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8_{9654A6A1-398A-4F5C-8243-CDC3ABDD3277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4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'1.1'!$A$1:$O$275</definedName>
    <definedName name="_xlnm.Print_Area" localSheetId="3">'1.2'!$A$1:$D$24</definedName>
    <definedName name="_xlnm.Print_Area" localSheetId="4">'1.3'!$A$1:$H$272</definedName>
    <definedName name="_xlnm.Print_Area" localSheetId="5">'1.4'!$A$1:$DA$64</definedName>
    <definedName name="_xlnm.Print_Area" localSheetId="6">'1.5'!$A$1:$P$180</definedName>
    <definedName name="_xlnm.Print_Area" localSheetId="7">'1.6'!$A$1:$E$254</definedName>
    <definedName name="_xlnm.Print_Area" localSheetId="8">'1.6.1'!$A$1:$P$256</definedName>
    <definedName name="_xlnm.Print_Area" localSheetId="9">'2.1'!$A$1:$G$269</definedName>
    <definedName name="_xlnm.Print_Area" localSheetId="30">'2.10'!$A$1:$P$42</definedName>
    <definedName name="_xlnm.Print_Area" localSheetId="31">'2.11'!$A$1:$R$270</definedName>
    <definedName name="_xlnm.Print_Area" localSheetId="32">'2.12'!$A$1:$F$269</definedName>
    <definedName name="_xlnm.Print_Area" localSheetId="33">'2.13'!$A$1:$AE$200</definedName>
    <definedName name="_xlnm.Print_Area" localSheetId="34">'2.14'!$A$1:$O$42</definedName>
    <definedName name="_xlnm.Print_Area" localSheetId="35">'2.15'!$A$1:$H$90</definedName>
    <definedName name="_xlnm.Print_Area" localSheetId="36">'2.16'!$A$1:$AT$276</definedName>
    <definedName name="_xlnm.Print_Area" localSheetId="37">'2.16.1'!$A$1:$P$64</definedName>
    <definedName name="_xlnm.Print_Area" localSheetId="10">'2.2'!$A$1:$F$268</definedName>
    <definedName name="_xlnm.Print_Area" localSheetId="11">'2.3'!$A$1:$G$269</definedName>
    <definedName name="_xlnm.Print_Area" localSheetId="12">'2.4'!$A$1:$N$278</definedName>
    <definedName name="_xlnm.Print_Area" localSheetId="13">'2.5'!$A$1:$G$270</definedName>
    <definedName name="_xlnm.Print_Area" localSheetId="14">'2.6'!$A$1:$L$270</definedName>
    <definedName name="_xlnm.Print_Area" localSheetId="15">'2.7'!$A$1:$O$273</definedName>
    <definedName name="_xlnm.Print_Area" localSheetId="17">'2.7.1'!$A$1:$H$79</definedName>
    <definedName name="_xlnm.Print_Area" localSheetId="16">'2.7.d.'!$A$1:$V$71</definedName>
    <definedName name="_xlnm.Print_Area" localSheetId="18">'2.8'!$A$1:$AI$273</definedName>
    <definedName name="_xlnm.Print_Area" localSheetId="20">'2.8.1'!$A$1:$EE$50</definedName>
    <definedName name="_xlnm.Print_Area" localSheetId="21">'2.8.2'!$A$1:$EE$35</definedName>
    <definedName name="_xlnm.Print_Area" localSheetId="22">'2.8.3'!$A$1:$EF$35</definedName>
    <definedName name="_xlnm.Print_Area" localSheetId="23">'2.8.4'!$A$1:$EE$35</definedName>
    <definedName name="_xlnm.Print_Area" localSheetId="24">'2.8.5'!$A$1:$EE$35</definedName>
    <definedName name="_xlnm.Print_Area" localSheetId="25">'2.8.6'!$A$1:$EE$35</definedName>
    <definedName name="_xlnm.Print_Area" localSheetId="26">'2.8.7'!$A$1:$EE$35</definedName>
    <definedName name="_xlnm.Print_Area" localSheetId="27">'2.8.8'!$A$1:$EE$35</definedName>
    <definedName name="_xlnm.Print_Area" localSheetId="28">'2.8.9'!$A$1:$EE$35</definedName>
    <definedName name="_xlnm.Print_Area" localSheetId="19">'2.8.d.'!$A$1:$AG$70</definedName>
    <definedName name="_xlnm.Print_Area" localSheetId="29">'2.9'!$A$1:$I$201</definedName>
    <definedName name="_xlnm.Print_Area" localSheetId="38">'3.1 '!$A$1:$P$277</definedName>
    <definedName name="_xlnm.Print_Area" localSheetId="39">'3.2'!$B$1:$AE$715</definedName>
    <definedName name="_xlnm.Print_Area" localSheetId="40">'3.2.1'!$A$1:$E$197</definedName>
    <definedName name="_xlnm.Print_Area" localSheetId="41">'3.3 '!$A$1:$L$1172</definedName>
    <definedName name="_xlnm.Print_Area" localSheetId="42">'3.4'!$A$1:$L$915</definedName>
    <definedName name="_xlnm.Print_Area" localSheetId="43">'3.5'!$A$1:$I$272</definedName>
    <definedName name="_xlnm.Print_Area" localSheetId="44">'3.6'!$A$1:$M$279</definedName>
    <definedName name="_xlnm.Print_Area" localSheetId="45">'4.1'!$A$1:$J$270</definedName>
    <definedName name="_xlnm.Print_Area" localSheetId="54">'4.10'!$A$1:$G$55</definedName>
    <definedName name="_xlnm.Print_Area" localSheetId="46">'4.2'!$A$1:$AY$29</definedName>
    <definedName name="_xlnm.Print_Area" localSheetId="47">'4.3'!$A$1:$M$226</definedName>
    <definedName name="_xlnm.Print_Area" localSheetId="48">'4.4'!$A$1:$F$28</definedName>
    <definedName name="_xlnm.Print_Area" localSheetId="50">'4.6'!$A$1:$O$198</definedName>
    <definedName name="_xlnm.Print_Area" localSheetId="51">'4.7'!$A$1:$P$201</definedName>
    <definedName name="_xlnm.Print_Area" localSheetId="52">'4.8'!$A$1:$D$27</definedName>
    <definedName name="_xlnm.Print_Area" localSheetId="53">'4.9'!$A$1:$G$267</definedName>
    <definedName name="_xlnm.Print_Area" localSheetId="55">'5.1'!$A$1:$BP$22</definedName>
    <definedName name="_xlnm.Print_Area" localSheetId="56">'5.2'!$A$1:$CZ$53</definedName>
    <definedName name="_xlnm.Print_Area" localSheetId="57">'5.3'!$A$1:$BA$34</definedName>
    <definedName name="_xlnm.Print_Area" localSheetId="58">'5.4'!$A$1:$BA$13</definedName>
    <definedName name="_xlnm.Print_Area" localSheetId="59">'5.5'!$A$1:$AC$10</definedName>
    <definedName name="_xlnm.Print_Area" localSheetId="60">'5.6'!$A$1:$AC$17</definedName>
    <definedName name="_xlnm.Print_Area" localSheetId="61">'5.7'!$A$1:$L$13</definedName>
    <definedName name="_xlnm.Print_Area" localSheetId="62">'6.1'!$A$1:$GO$42</definedName>
    <definedName name="_xlnm.Print_Area" localSheetId="63">'6.2'!$A$1:$FR$61</definedName>
    <definedName name="_xlnm.Print_Area" localSheetId="64">'7'!$A$1:$W$138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5" i="217" l="1"/>
  <c r="G264" i="217"/>
  <c r="G262" i="217"/>
  <c r="G261" i="217"/>
  <c r="D265" i="217"/>
  <c r="D264" i="217"/>
  <c r="D262" i="217"/>
  <c r="D261" i="217"/>
  <c r="J265" i="209" l="1"/>
  <c r="G265" i="209"/>
  <c r="D265" i="209"/>
  <c r="J264" i="209"/>
  <c r="G264" i="209"/>
  <c r="D264" i="209"/>
  <c r="P175" i="65" l="1"/>
  <c r="O175" i="65"/>
  <c r="M175" i="65"/>
  <c r="K175" i="65"/>
  <c r="H175" i="65"/>
  <c r="I175" i="65" s="1"/>
  <c r="G175" i="65"/>
  <c r="E175" i="65"/>
  <c r="B175" i="65"/>
  <c r="N175" i="65" s="1"/>
  <c r="P174" i="65"/>
  <c r="O174" i="65"/>
  <c r="M174" i="65"/>
  <c r="K174" i="65"/>
  <c r="H174" i="65"/>
  <c r="I174" i="65" s="1"/>
  <c r="G174" i="65"/>
  <c r="E174" i="65"/>
  <c r="B174" i="65"/>
  <c r="N174" i="65" s="1"/>
  <c r="P173" i="65"/>
  <c r="O173" i="65"/>
  <c r="M173" i="65"/>
  <c r="K173" i="65"/>
  <c r="H173" i="65"/>
  <c r="I173" i="65" s="1"/>
  <c r="G173" i="65"/>
  <c r="E173" i="65"/>
  <c r="B173" i="65"/>
  <c r="N173" i="65" s="1"/>
  <c r="P172" i="65"/>
  <c r="P171" i="65" s="1"/>
  <c r="O172" i="65"/>
  <c r="O171" i="65" s="1"/>
  <c r="N172" i="65"/>
  <c r="M172" i="65"/>
  <c r="K172" i="65"/>
  <c r="H172" i="65"/>
  <c r="I172" i="65" s="1"/>
  <c r="G172" i="65"/>
  <c r="E172" i="65"/>
  <c r="B172" i="65"/>
  <c r="C172" i="65" s="1"/>
  <c r="M171" i="65"/>
  <c r="L171" i="65"/>
  <c r="K171" i="65"/>
  <c r="J171" i="65"/>
  <c r="G171" i="65"/>
  <c r="F171" i="65"/>
  <c r="E171" i="65"/>
  <c r="D171" i="65"/>
  <c r="B171" i="65"/>
  <c r="N171" i="65" l="1"/>
  <c r="C171" i="65"/>
  <c r="C175" i="65"/>
  <c r="C174" i="65"/>
  <c r="C173" i="65"/>
  <c r="H171" i="65"/>
  <c r="I171" i="65"/>
  <c r="AH270" i="92" l="1"/>
  <c r="AF270" i="92"/>
  <c r="AD270" i="92"/>
  <c r="AB270" i="92"/>
  <c r="Z270" i="92"/>
  <c r="Y270" i="92"/>
  <c r="X270" i="92"/>
  <c r="V270" i="92"/>
  <c r="T270" i="92"/>
  <c r="R270" i="92"/>
  <c r="P270" i="92"/>
  <c r="L270" i="92"/>
  <c r="J270" i="92"/>
  <c r="H270" i="92"/>
  <c r="F270" i="92"/>
  <c r="D270" i="92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7" i="15"/>
  <c r="J267" i="15"/>
  <c r="H267" i="15"/>
  <c r="F267" i="15"/>
  <c r="D267" i="15"/>
  <c r="L266" i="15"/>
  <c r="J266" i="15"/>
  <c r="H266" i="15"/>
  <c r="F266" i="15"/>
  <c r="D266" i="15"/>
  <c r="C276" i="33"/>
  <c r="D276" i="33"/>
  <c r="E276" i="33"/>
  <c r="F276" i="33"/>
  <c r="G276" i="33"/>
  <c r="H276" i="33"/>
  <c r="I276" i="33"/>
  <c r="B276" i="33"/>
  <c r="E270" i="32" l="1"/>
  <c r="B270" i="32"/>
  <c r="I270" i="32" s="1"/>
  <c r="H270" i="32" l="1"/>
  <c r="J276" i="86" l="1"/>
  <c r="I276" i="86"/>
  <c r="J275" i="86"/>
  <c r="I275" i="86"/>
  <c r="J273" i="86"/>
  <c r="I273" i="86"/>
  <c r="J272" i="86"/>
  <c r="I272" i="86"/>
  <c r="H276" i="86" l="1"/>
  <c r="G276" i="86"/>
  <c r="F276" i="86"/>
  <c r="H275" i="86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4" i="99" l="1"/>
  <c r="D62" i="123"/>
  <c r="D63" i="123"/>
  <c r="D64" i="123"/>
  <c r="D67" i="123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FE41" i="224" l="1"/>
  <c r="FD41" i="224"/>
  <c r="ES41" i="224"/>
  <c r="ER41" i="224"/>
  <c r="DY41" i="224"/>
  <c r="DJ41" i="224"/>
  <c r="DI41" i="224"/>
  <c r="DF41" i="224"/>
  <c r="CW41" i="224"/>
  <c r="CV41" i="224"/>
  <c r="CT41" i="224"/>
  <c r="CQ41" i="224"/>
  <c r="BY41" i="224"/>
  <c r="BX41" i="224"/>
  <c r="BV41" i="224"/>
  <c r="BM41" i="224"/>
  <c r="BL41" i="224"/>
  <c r="AZ41" i="224"/>
  <c r="AX41" i="224"/>
  <c r="Q41" i="224"/>
  <c r="P41" i="224"/>
  <c r="D41" i="224"/>
  <c r="GH41" i="224"/>
  <c r="GG41" i="224"/>
  <c r="GF41" i="224"/>
  <c r="GE41" i="224"/>
  <c r="GD41" i="224"/>
  <c r="GC41" i="224"/>
  <c r="GB41" i="224"/>
  <c r="GA41" i="224"/>
  <c r="FZ41" i="224"/>
  <c r="FY41" i="224"/>
  <c r="FX41" i="224"/>
  <c r="FW41" i="224"/>
  <c r="FV41" i="224"/>
  <c r="FU41" i="224"/>
  <c r="FT41" i="224"/>
  <c r="FS41" i="224"/>
  <c r="FR41" i="224"/>
  <c r="FQ41" i="224"/>
  <c r="FP41" i="224"/>
  <c r="FO41" i="224"/>
  <c r="FN41" i="224"/>
  <c r="FM41" i="224"/>
  <c r="FL41" i="224"/>
  <c r="FK41" i="224"/>
  <c r="FJ41" i="224"/>
  <c r="FI41" i="224"/>
  <c r="FH41" i="224"/>
  <c r="FG41" i="224"/>
  <c r="FF41" i="224"/>
  <c r="FC41" i="224"/>
  <c r="FB41" i="224"/>
  <c r="FA41" i="224"/>
  <c r="EZ41" i="224"/>
  <c r="EY41" i="224"/>
  <c r="EX41" i="224"/>
  <c r="EW41" i="224"/>
  <c r="EV41" i="224"/>
  <c r="EU41" i="224"/>
  <c r="ET41" i="224"/>
  <c r="EQ41" i="224"/>
  <c r="EP41" i="224"/>
  <c r="EO41" i="224"/>
  <c r="EN41" i="224"/>
  <c r="EM41" i="224"/>
  <c r="EL41" i="224"/>
  <c r="EK41" i="224"/>
  <c r="EJ41" i="224"/>
  <c r="EI41" i="224"/>
  <c r="EH41" i="224"/>
  <c r="EG41" i="224"/>
  <c r="EF41" i="224"/>
  <c r="EE41" i="224"/>
  <c r="ED41" i="224"/>
  <c r="EC41" i="224"/>
  <c r="EB41" i="224"/>
  <c r="EA41" i="224"/>
  <c r="DZ41" i="224"/>
  <c r="DX41" i="224"/>
  <c r="DW41" i="224"/>
  <c r="DV41" i="224"/>
  <c r="DU41" i="224"/>
  <c r="DT41" i="224"/>
  <c r="DS41" i="224"/>
  <c r="DR41" i="224"/>
  <c r="DQ41" i="224"/>
  <c r="DP41" i="224"/>
  <c r="DO41" i="224"/>
  <c r="DN41" i="224"/>
  <c r="DM41" i="224"/>
  <c r="DL41" i="224"/>
  <c r="DK41" i="224"/>
  <c r="DH41" i="224"/>
  <c r="DG41" i="224"/>
  <c r="DE41" i="224"/>
  <c r="DD41" i="224"/>
  <c r="DC41" i="224"/>
  <c r="DB41" i="224"/>
  <c r="DA41" i="224"/>
  <c r="CZ41" i="224"/>
  <c r="CY41" i="224"/>
  <c r="CX41" i="224"/>
  <c r="CU41" i="224"/>
  <c r="CS41" i="224"/>
  <c r="CR41" i="224"/>
  <c r="CP41" i="224"/>
  <c r="CO41" i="224"/>
  <c r="CN41" i="224"/>
  <c r="CM41" i="224"/>
  <c r="CL41" i="224"/>
  <c r="CK41" i="224"/>
  <c r="CJ41" i="224"/>
  <c r="CI41" i="224"/>
  <c r="CH41" i="224"/>
  <c r="CG41" i="224"/>
  <c r="CF41" i="224"/>
  <c r="CE41" i="224"/>
  <c r="CD41" i="224"/>
  <c r="CC41" i="224"/>
  <c r="CB41" i="224"/>
  <c r="CA41" i="224"/>
  <c r="BZ41" i="224"/>
  <c r="BW41" i="224"/>
  <c r="BU41" i="224"/>
  <c r="BT41" i="224"/>
  <c r="BS41" i="224"/>
  <c r="BR41" i="224"/>
  <c r="BQ41" i="224"/>
  <c r="BP41" i="224"/>
  <c r="BO41" i="224"/>
  <c r="BN41" i="224"/>
  <c r="BK41" i="224"/>
  <c r="BJ41" i="224"/>
  <c r="BI41" i="224"/>
  <c r="BH41" i="224"/>
  <c r="BG41" i="224"/>
  <c r="BF41" i="224"/>
  <c r="BE41" i="224"/>
  <c r="BD41" i="224"/>
  <c r="BC41" i="224"/>
  <c r="BB41" i="224"/>
  <c r="BA41" i="224"/>
  <c r="AY41" i="224"/>
  <c r="AW41" i="224"/>
  <c r="AV41" i="224"/>
  <c r="AU41" i="224"/>
  <c r="AT41" i="224"/>
  <c r="AS41" i="224"/>
  <c r="AR41" i="224"/>
  <c r="AQ41" i="224"/>
  <c r="AP41" i="224"/>
  <c r="AO41" i="224"/>
  <c r="AN41" i="224"/>
  <c r="AM41" i="224"/>
  <c r="AL41" i="224"/>
  <c r="AK41" i="224"/>
  <c r="AJ41" i="224"/>
  <c r="AI41" i="224"/>
  <c r="AH41" i="224"/>
  <c r="AG41" i="224"/>
  <c r="AF41" i="224"/>
  <c r="AE41" i="224"/>
  <c r="AD41" i="224"/>
  <c r="AC41" i="224"/>
  <c r="AB41" i="224"/>
  <c r="AA41" i="224"/>
  <c r="Z41" i="224"/>
  <c r="Y41" i="224"/>
  <c r="X41" i="224"/>
  <c r="W41" i="224"/>
  <c r="V41" i="224"/>
  <c r="U41" i="224"/>
  <c r="T41" i="224"/>
  <c r="S41" i="224"/>
  <c r="R41" i="224"/>
  <c r="O41" i="224"/>
  <c r="N41" i="224"/>
  <c r="M41" i="224"/>
  <c r="L41" i="224"/>
  <c r="K41" i="224"/>
  <c r="J41" i="224"/>
  <c r="I41" i="224"/>
  <c r="H41" i="224"/>
  <c r="G41" i="224"/>
  <c r="F41" i="224"/>
  <c r="E41" i="224"/>
  <c r="C41" i="224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D10" i="221"/>
  <c r="CC9" i="221"/>
  <c r="CD9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I169" i="65" s="1"/>
  <c r="G169" i="65"/>
  <c r="E169" i="65"/>
  <c r="B169" i="65"/>
  <c r="N169" i="65" s="1"/>
  <c r="P168" i="65"/>
  <c r="O168" i="65"/>
  <c r="M168" i="65"/>
  <c r="K168" i="65"/>
  <c r="H168" i="65"/>
  <c r="I168" i="65" s="1"/>
  <c r="G168" i="65"/>
  <c r="E168" i="65"/>
  <c r="B168" i="65"/>
  <c r="N168" i="65" s="1"/>
  <c r="P167" i="65"/>
  <c r="O167" i="65"/>
  <c r="M167" i="65"/>
  <c r="K167" i="65"/>
  <c r="H167" i="65"/>
  <c r="I167" i="65" s="1"/>
  <c r="G167" i="65"/>
  <c r="E167" i="65"/>
  <c r="B167" i="65"/>
  <c r="P166" i="65"/>
  <c r="O166" i="65"/>
  <c r="M166" i="65"/>
  <c r="K166" i="65"/>
  <c r="H166" i="65"/>
  <c r="I166" i="65" s="1"/>
  <c r="G166" i="65"/>
  <c r="E166" i="65"/>
  <c r="B166" i="65"/>
  <c r="C166" i="65" s="1"/>
  <c r="N166" i="65" l="1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R75" i="220" s="1"/>
  <c r="O75" i="220"/>
  <c r="L75" i="220"/>
  <c r="K75" i="220" s="1"/>
  <c r="J75" i="220"/>
  <c r="I75" i="220"/>
  <c r="H75" i="220"/>
  <c r="G75" i="220"/>
  <c r="F75" i="220"/>
  <c r="AC74" i="220"/>
  <c r="Y74" i="220" s="1"/>
  <c r="Z74" i="220"/>
  <c r="V74" i="220"/>
  <c r="S74" i="220"/>
  <c r="R74" i="220" s="1"/>
  <c r="O74" i="220"/>
  <c r="L74" i="220"/>
  <c r="J74" i="220"/>
  <c r="I74" i="220"/>
  <c r="G74" i="220"/>
  <c r="F74" i="220"/>
  <c r="E74" i="220" s="1"/>
  <c r="C74" i="220"/>
  <c r="AC73" i="220"/>
  <c r="Z73" i="220"/>
  <c r="Y73" i="220" s="1"/>
  <c r="V73" i="220"/>
  <c r="S73" i="220"/>
  <c r="O73" i="220"/>
  <c r="L73" i="220"/>
  <c r="J73" i="220"/>
  <c r="I73" i="220"/>
  <c r="H73" i="220" s="1"/>
  <c r="G73" i="220"/>
  <c r="F73" i="220"/>
  <c r="D73" i="220"/>
  <c r="AE72" i="220"/>
  <c r="AD72" i="220"/>
  <c r="AB72" i="220"/>
  <c r="AA72" i="220"/>
  <c r="X72" i="220"/>
  <c r="W72" i="220"/>
  <c r="U72" i="220"/>
  <c r="S72" i="220" s="1"/>
  <c r="T72" i="220"/>
  <c r="Q72" i="220"/>
  <c r="P72" i="220"/>
  <c r="N72" i="220"/>
  <c r="M72" i="220"/>
  <c r="F72" i="220"/>
  <c r="AC71" i="220"/>
  <c r="Z71" i="220"/>
  <c r="V71" i="220"/>
  <c r="S71" i="220"/>
  <c r="R71" i="220" s="1"/>
  <c r="O71" i="220"/>
  <c r="L71" i="220"/>
  <c r="J71" i="220"/>
  <c r="I71" i="220"/>
  <c r="H71" i="220" s="1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C70" i="220" s="1"/>
  <c r="AC69" i="220"/>
  <c r="Z69" i="220"/>
  <c r="Y69" i="220" s="1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R67" i="220" s="1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K66" i="220" s="1"/>
  <c r="J66" i="220"/>
  <c r="I66" i="220"/>
  <c r="H66" i="220"/>
  <c r="G66" i="220"/>
  <c r="D66" i="220" s="1"/>
  <c r="F66" i="220"/>
  <c r="E66" i="220" s="1"/>
  <c r="AC64" i="220"/>
  <c r="Z64" i="220"/>
  <c r="V64" i="220"/>
  <c r="S64" i="220"/>
  <c r="R64" i="220" s="1"/>
  <c r="O64" i="220"/>
  <c r="L64" i="220"/>
  <c r="K64" i="220"/>
  <c r="J64" i="220"/>
  <c r="I64" i="220"/>
  <c r="H64" i="220" s="1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C63" i="220" s="1"/>
  <c r="AC62" i="220"/>
  <c r="Z62" i="220"/>
  <c r="Y62" i="220" s="1"/>
  <c r="V62" i="220"/>
  <c r="S62" i="220"/>
  <c r="O62" i="220"/>
  <c r="L62" i="220"/>
  <c r="K62" i="220"/>
  <c r="J62" i="220"/>
  <c r="I62" i="220"/>
  <c r="G62" i="220"/>
  <c r="F62" i="220"/>
  <c r="AC61" i="220"/>
  <c r="Z61" i="220"/>
  <c r="V61" i="220"/>
  <c r="S61" i="220"/>
  <c r="R61" i="220"/>
  <c r="O61" i="220"/>
  <c r="L61" i="220"/>
  <c r="K61" i="220" s="1"/>
  <c r="J61" i="220"/>
  <c r="I61" i="220"/>
  <c r="G61" i="220"/>
  <c r="F61" i="220"/>
  <c r="E61" i="220" s="1"/>
  <c r="AC60" i="220"/>
  <c r="Z60" i="220"/>
  <c r="Y60" i="220" s="1"/>
  <c r="V60" i="220"/>
  <c r="S60" i="220"/>
  <c r="R60" i="220" s="1"/>
  <c r="O60" i="220"/>
  <c r="L60" i="220"/>
  <c r="J60" i="220"/>
  <c r="I60" i="220"/>
  <c r="H60" i="220" s="1"/>
  <c r="G60" i="220"/>
  <c r="F60" i="220"/>
  <c r="AC59" i="220"/>
  <c r="Z59" i="220"/>
  <c r="V59" i="220"/>
  <c r="S59" i="220"/>
  <c r="R59" i="220" s="1"/>
  <c r="O59" i="220"/>
  <c r="L59" i="220"/>
  <c r="K59" i="220" s="1"/>
  <c r="J59" i="220"/>
  <c r="I59" i="220"/>
  <c r="H59" i="220" s="1"/>
  <c r="G59" i="220"/>
  <c r="F59" i="220"/>
  <c r="E59" i="220" s="1"/>
  <c r="AC58" i="220"/>
  <c r="Z58" i="220"/>
  <c r="Y58" i="220" s="1"/>
  <c r="V58" i="220"/>
  <c r="S58" i="220"/>
  <c r="R58" i="220"/>
  <c r="O58" i="220"/>
  <c r="L58" i="220"/>
  <c r="J58" i="220"/>
  <c r="I58" i="220"/>
  <c r="H58" i="220" s="1"/>
  <c r="G58" i="220"/>
  <c r="F58" i="220"/>
  <c r="AC57" i="220"/>
  <c r="Z57" i="220"/>
  <c r="Y57" i="220"/>
  <c r="V57" i="220"/>
  <c r="S57" i="220"/>
  <c r="R57" i="220" s="1"/>
  <c r="O57" i="220"/>
  <c r="L57" i="220"/>
  <c r="J57" i="220"/>
  <c r="I57" i="220"/>
  <c r="G57" i="220"/>
  <c r="D57" i="220" s="1"/>
  <c r="F57" i="220"/>
  <c r="E57" i="220" s="1"/>
  <c r="AC56" i="220"/>
  <c r="Z56" i="220"/>
  <c r="V56" i="220"/>
  <c r="S56" i="220"/>
  <c r="O56" i="220"/>
  <c r="L56" i="220"/>
  <c r="K56" i="220"/>
  <c r="J56" i="220"/>
  <c r="I56" i="220"/>
  <c r="H56" i="220" s="1"/>
  <c r="G56" i="220"/>
  <c r="D56" i="220" s="1"/>
  <c r="F56" i="220"/>
  <c r="AC55" i="220"/>
  <c r="Z55" i="220"/>
  <c r="V55" i="220"/>
  <c r="S55" i="220"/>
  <c r="O55" i="220"/>
  <c r="L55" i="220"/>
  <c r="K55" i="220" s="1"/>
  <c r="J55" i="220"/>
  <c r="I55" i="220"/>
  <c r="H55" i="220" s="1"/>
  <c r="G55" i="220"/>
  <c r="F55" i="220"/>
  <c r="E55" i="220" s="1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H53" i="220"/>
  <c r="G53" i="220"/>
  <c r="D53" i="220" s="1"/>
  <c r="F53" i="220"/>
  <c r="AC51" i="220"/>
  <c r="Z51" i="220"/>
  <c r="V51" i="220"/>
  <c r="S51" i="220"/>
  <c r="O51" i="220"/>
  <c r="L51" i="220"/>
  <c r="K51" i="220"/>
  <c r="J51" i="220"/>
  <c r="I51" i="220"/>
  <c r="H51" i="220" s="1"/>
  <c r="G51" i="220"/>
  <c r="F51" i="220"/>
  <c r="AC50" i="220"/>
  <c r="Z50" i="220"/>
  <c r="Y50" i="220" s="1"/>
  <c r="V50" i="220"/>
  <c r="S50" i="220"/>
  <c r="O50" i="220"/>
  <c r="L50" i="220"/>
  <c r="K50" i="220" s="1"/>
  <c r="J50" i="220"/>
  <c r="I50" i="220"/>
  <c r="G50" i="220"/>
  <c r="D50" i="220" s="1"/>
  <c r="F50" i="220"/>
  <c r="C50" i="220" s="1"/>
  <c r="B50" i="220" s="1"/>
  <c r="E50" i="220"/>
  <c r="AC49" i="220"/>
  <c r="Z49" i="220"/>
  <c r="V49" i="220"/>
  <c r="S49" i="220"/>
  <c r="O49" i="220"/>
  <c r="L49" i="220"/>
  <c r="K49" i="220"/>
  <c r="J49" i="220"/>
  <c r="I49" i="220"/>
  <c r="H49" i="220" s="1"/>
  <c r="G49" i="220"/>
  <c r="F49" i="220"/>
  <c r="AC48" i="220"/>
  <c r="Z48" i="220"/>
  <c r="V48" i="220"/>
  <c r="S48" i="220"/>
  <c r="R48" i="220"/>
  <c r="O48" i="220"/>
  <c r="L48" i="220"/>
  <c r="J48" i="220"/>
  <c r="I48" i="220"/>
  <c r="G48" i="220"/>
  <c r="F48" i="220"/>
  <c r="E48" i="220" s="1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Y46" i="220"/>
  <c r="V46" i="220"/>
  <c r="S46" i="220"/>
  <c r="O46" i="220"/>
  <c r="L46" i="220"/>
  <c r="J46" i="220"/>
  <c r="I46" i="220"/>
  <c r="G46" i="220"/>
  <c r="F46" i="220"/>
  <c r="C46" i="220" s="1"/>
  <c r="AC45" i="220"/>
  <c r="Z45" i="220"/>
  <c r="Y45" i="220" s="1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Y44" i="220" s="1"/>
  <c r="V44" i="220"/>
  <c r="S44" i="220"/>
  <c r="R44" i="220"/>
  <c r="O44" i="220"/>
  <c r="L44" i="220"/>
  <c r="J44" i="220"/>
  <c r="I44" i="220"/>
  <c r="G44" i="220"/>
  <c r="F44" i="220"/>
  <c r="E44" i="220" s="1"/>
  <c r="AC43" i="220"/>
  <c r="Z43" i="220"/>
  <c r="Y43" i="220" s="1"/>
  <c r="V43" i="220"/>
  <c r="S43" i="220"/>
  <c r="O43" i="220"/>
  <c r="L43" i="220"/>
  <c r="K43" i="220" s="1"/>
  <c r="J43" i="220"/>
  <c r="I43" i="220"/>
  <c r="H43" i="220" s="1"/>
  <c r="G43" i="220"/>
  <c r="F43" i="220"/>
  <c r="AC42" i="220"/>
  <c r="Z42" i="220"/>
  <c r="V42" i="220"/>
  <c r="S42" i="220"/>
  <c r="R42" i="220" s="1"/>
  <c r="O42" i="220"/>
  <c r="L42" i="220"/>
  <c r="J42" i="220"/>
  <c r="I42" i="220"/>
  <c r="H42" i="220" s="1"/>
  <c r="G42" i="220"/>
  <c r="D42" i="220" s="1"/>
  <c r="F42" i="220"/>
  <c r="AC41" i="220"/>
  <c r="Z41" i="220"/>
  <c r="V41" i="220"/>
  <c r="S41" i="220"/>
  <c r="R41" i="220" s="1"/>
  <c r="O41" i="220"/>
  <c r="L41" i="220"/>
  <c r="J41" i="220"/>
  <c r="I41" i="220"/>
  <c r="H41" i="220" s="1"/>
  <c r="G41" i="220"/>
  <c r="D41" i="220" s="1"/>
  <c r="F41" i="220"/>
  <c r="AC40" i="220"/>
  <c r="Z40" i="220"/>
  <c r="Y40" i="220" s="1"/>
  <c r="V40" i="220"/>
  <c r="S40" i="220"/>
  <c r="R40" i="220" s="1"/>
  <c r="O40" i="220"/>
  <c r="L40" i="220"/>
  <c r="J40" i="220"/>
  <c r="I40" i="220"/>
  <c r="H40" i="220" s="1"/>
  <c r="G40" i="220"/>
  <c r="E40" i="220" s="1"/>
  <c r="F40" i="220"/>
  <c r="AC38" i="220"/>
  <c r="Z38" i="220"/>
  <c r="Y38" i="220" s="1"/>
  <c r="V38" i="220"/>
  <c r="S38" i="220"/>
  <c r="R38" i="220" s="1"/>
  <c r="O38" i="220"/>
  <c r="L38" i="220"/>
  <c r="J38" i="220"/>
  <c r="I38" i="220"/>
  <c r="G38" i="220"/>
  <c r="F38" i="220"/>
  <c r="AC37" i="220"/>
  <c r="Z37" i="220"/>
  <c r="Y37" i="220"/>
  <c r="V37" i="220"/>
  <c r="S37" i="220"/>
  <c r="R37" i="220"/>
  <c r="O37" i="220"/>
  <c r="L37" i="220"/>
  <c r="K37" i="220" s="1"/>
  <c r="J37" i="220"/>
  <c r="I37" i="220"/>
  <c r="G37" i="220"/>
  <c r="F37" i="220"/>
  <c r="E37" i="220" s="1"/>
  <c r="AC36" i="220"/>
  <c r="Z36" i="220"/>
  <c r="V36" i="220"/>
  <c r="S36" i="220"/>
  <c r="O36" i="220"/>
  <c r="L36" i="220"/>
  <c r="K36" i="220" s="1"/>
  <c r="J36" i="220"/>
  <c r="I36" i="220"/>
  <c r="G36" i="220"/>
  <c r="F36" i="220"/>
  <c r="AC35" i="220"/>
  <c r="Z35" i="220"/>
  <c r="V35" i="220"/>
  <c r="S35" i="220"/>
  <c r="R35" i="220" s="1"/>
  <c r="O35" i="220"/>
  <c r="L35" i="220"/>
  <c r="J35" i="220"/>
  <c r="I35" i="220"/>
  <c r="G35" i="220"/>
  <c r="F35" i="220"/>
  <c r="AC33" i="220"/>
  <c r="Z33" i="220"/>
  <c r="Y33" i="220" s="1"/>
  <c r="V33" i="220"/>
  <c r="S33" i="220"/>
  <c r="R33" i="220" s="1"/>
  <c r="O33" i="220"/>
  <c r="L33" i="220"/>
  <c r="J33" i="220"/>
  <c r="I33" i="220"/>
  <c r="H33" i="220" s="1"/>
  <c r="G33" i="220"/>
  <c r="F33" i="220"/>
  <c r="AC32" i="220"/>
  <c r="Z32" i="220"/>
  <c r="V32" i="220"/>
  <c r="S32" i="220"/>
  <c r="O32" i="220"/>
  <c r="L32" i="220"/>
  <c r="J32" i="220"/>
  <c r="I32" i="220"/>
  <c r="H32" i="220" s="1"/>
  <c r="G32" i="220"/>
  <c r="F32" i="220"/>
  <c r="AC31" i="220"/>
  <c r="Z31" i="220"/>
  <c r="Y31" i="220" s="1"/>
  <c r="V31" i="220"/>
  <c r="S31" i="220"/>
  <c r="O31" i="220"/>
  <c r="L31" i="220"/>
  <c r="K31" i="220" s="1"/>
  <c r="J31" i="220"/>
  <c r="I31" i="220"/>
  <c r="H31" i="220" s="1"/>
  <c r="G31" i="220"/>
  <c r="F31" i="220"/>
  <c r="AC30" i="220"/>
  <c r="Z30" i="220"/>
  <c r="Y30" i="220" s="1"/>
  <c r="V30" i="220"/>
  <c r="S30" i="220"/>
  <c r="R30" i="220" s="1"/>
  <c r="O30" i="220"/>
  <c r="L30" i="220"/>
  <c r="K30" i="220" s="1"/>
  <c r="J30" i="220"/>
  <c r="I30" i="220"/>
  <c r="G30" i="220"/>
  <c r="F30" i="220"/>
  <c r="E30" i="220" s="1"/>
  <c r="AC29" i="220"/>
  <c r="Z29" i="220"/>
  <c r="V29" i="220"/>
  <c r="S29" i="220"/>
  <c r="O29" i="220"/>
  <c r="L29" i="220"/>
  <c r="J29" i="220"/>
  <c r="I29" i="220"/>
  <c r="H29" i="220"/>
  <c r="G29" i="220"/>
  <c r="F29" i="220"/>
  <c r="AC28" i="220"/>
  <c r="Z28" i="220"/>
  <c r="V28" i="220"/>
  <c r="S28" i="220"/>
  <c r="R28" i="220" s="1"/>
  <c r="O28" i="220"/>
  <c r="L28" i="220"/>
  <c r="K28" i="220" s="1"/>
  <c r="J28" i="220"/>
  <c r="I28" i="220"/>
  <c r="H28" i="220" s="1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H27" i="220" s="1"/>
  <c r="G27" i="220"/>
  <c r="F27" i="220"/>
  <c r="AC25" i="220"/>
  <c r="Z25" i="220"/>
  <c r="Y25" i="220" s="1"/>
  <c r="V25" i="220"/>
  <c r="S25" i="220"/>
  <c r="O25" i="220"/>
  <c r="L25" i="220"/>
  <c r="J25" i="220"/>
  <c r="I25" i="220"/>
  <c r="H25" i="220" s="1"/>
  <c r="G25" i="220"/>
  <c r="D25" i="220" s="1"/>
  <c r="F25" i="220"/>
  <c r="E25" i="220" s="1"/>
  <c r="AC24" i="220"/>
  <c r="Z24" i="220"/>
  <c r="V24" i="220"/>
  <c r="S24" i="220"/>
  <c r="R24" i="220" s="1"/>
  <c r="O24" i="220"/>
  <c r="L24" i="220"/>
  <c r="K24" i="220" s="1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E23" i="220" s="1"/>
  <c r="AC22" i="220"/>
  <c r="Z22" i="220"/>
  <c r="Y22" i="220" s="1"/>
  <c r="V22" i="220"/>
  <c r="S22" i="220"/>
  <c r="O22" i="220"/>
  <c r="L22" i="220"/>
  <c r="K22" i="220" s="1"/>
  <c r="J22" i="220"/>
  <c r="I22" i="220"/>
  <c r="G22" i="220"/>
  <c r="D22" i="220" s="1"/>
  <c r="F22" i="220"/>
  <c r="AC21" i="220"/>
  <c r="Z21" i="220"/>
  <c r="V21" i="220"/>
  <c r="S21" i="220"/>
  <c r="R21" i="220" s="1"/>
  <c r="O21" i="220"/>
  <c r="L21" i="220"/>
  <c r="K21" i="220" s="1"/>
  <c r="J21" i="220"/>
  <c r="I21" i="220"/>
  <c r="H21" i="220" s="1"/>
  <c r="G21" i="220"/>
  <c r="F21" i="220"/>
  <c r="E21" i="220" s="1"/>
  <c r="AC20" i="220"/>
  <c r="Z20" i="220"/>
  <c r="V20" i="220"/>
  <c r="S20" i="220"/>
  <c r="R20" i="220" s="1"/>
  <c r="O20" i="220"/>
  <c r="L20" i="220"/>
  <c r="J20" i="220"/>
  <c r="I20" i="220"/>
  <c r="G20" i="220"/>
  <c r="D20" i="220" s="1"/>
  <c r="F20" i="220"/>
  <c r="AC19" i="220"/>
  <c r="Z19" i="220"/>
  <c r="Y19" i="220" s="1"/>
  <c r="V19" i="220"/>
  <c r="S19" i="220"/>
  <c r="O19" i="220"/>
  <c r="L19" i="220"/>
  <c r="J19" i="220"/>
  <c r="I19" i="220"/>
  <c r="H19" i="220" s="1"/>
  <c r="G19" i="220"/>
  <c r="F19" i="220"/>
  <c r="E19" i="220"/>
  <c r="AC18" i="220"/>
  <c r="Z18" i="220"/>
  <c r="V18" i="220"/>
  <c r="S18" i="220"/>
  <c r="R18" i="220" s="1"/>
  <c r="O18" i="220"/>
  <c r="L18" i="220"/>
  <c r="K18" i="220" s="1"/>
  <c r="J18" i="220"/>
  <c r="I18" i="220"/>
  <c r="H18" i="220" s="1"/>
  <c r="G18" i="220"/>
  <c r="F18" i="220"/>
  <c r="AC17" i="220"/>
  <c r="Z17" i="220"/>
  <c r="Y17" i="220" s="1"/>
  <c r="V17" i="220"/>
  <c r="S17" i="220"/>
  <c r="O17" i="220"/>
  <c r="L17" i="220"/>
  <c r="J17" i="220"/>
  <c r="I17" i="220"/>
  <c r="G17" i="220"/>
  <c r="D17" i="220" s="1"/>
  <c r="F17" i="220"/>
  <c r="C17" i="220" s="1"/>
  <c r="AC16" i="220"/>
  <c r="Z16" i="220"/>
  <c r="V16" i="220"/>
  <c r="S16" i="220"/>
  <c r="O16" i="220"/>
  <c r="L16" i="220"/>
  <c r="K16" i="220" s="1"/>
  <c r="J16" i="220"/>
  <c r="I16" i="220"/>
  <c r="H16" i="220" s="1"/>
  <c r="G16" i="220"/>
  <c r="D16" i="220" s="1"/>
  <c r="F16" i="220"/>
  <c r="AC15" i="220"/>
  <c r="Z15" i="220"/>
  <c r="V15" i="220"/>
  <c r="S15" i="220"/>
  <c r="R15" i="220" s="1"/>
  <c r="O15" i="220"/>
  <c r="L15" i="220"/>
  <c r="K15" i="220" s="1"/>
  <c r="J15" i="220"/>
  <c r="I15" i="220"/>
  <c r="G15" i="220"/>
  <c r="F15" i="220"/>
  <c r="AC14" i="220"/>
  <c r="Z14" i="220"/>
  <c r="V14" i="220"/>
  <c r="S14" i="220"/>
  <c r="R14" i="220"/>
  <c r="O14" i="220"/>
  <c r="L14" i="220"/>
  <c r="J14" i="220"/>
  <c r="I14" i="220"/>
  <c r="G14" i="220"/>
  <c r="D14" i="220" s="1"/>
  <c r="F14" i="220"/>
  <c r="E14" i="220" s="1"/>
  <c r="AC12" i="220"/>
  <c r="Z12" i="220"/>
  <c r="Y12" i="220" s="1"/>
  <c r="V12" i="220"/>
  <c r="S12" i="220"/>
  <c r="O12" i="220"/>
  <c r="L12" i="220"/>
  <c r="K12" i="220" s="1"/>
  <c r="J12" i="220"/>
  <c r="I12" i="220"/>
  <c r="H12" i="220" s="1"/>
  <c r="G12" i="220"/>
  <c r="F12" i="220"/>
  <c r="M267" i="219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M221" i="219" s="1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M214" i="219" s="1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M141" i="219" s="1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M138" i="219" s="1"/>
  <c r="B138" i="219" s="1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M136" i="219" s="1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M128" i="219" s="1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M123" i="219" s="1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M115" i="219" s="1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M113" i="219" s="1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M110" i="219" s="1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M105" i="219" s="1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M97" i="219" s="1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M92" i="219" s="1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B81" i="219" s="1"/>
  <c r="M80" i="219"/>
  <c r="C80" i="219"/>
  <c r="B80" i="219" s="1"/>
  <c r="M79" i="219"/>
  <c r="C79" i="219"/>
  <c r="B79" i="219" s="1"/>
  <c r="M78" i="219"/>
  <c r="C78" i="219"/>
  <c r="B78" i="219" s="1"/>
  <c r="M77" i="219"/>
  <c r="C77" i="219"/>
  <c r="M76" i="219"/>
  <c r="C76" i="219"/>
  <c r="B76" i="219" s="1"/>
  <c r="M75" i="219"/>
  <c r="C75" i="219"/>
  <c r="B75" i="219" s="1"/>
  <c r="M74" i="219"/>
  <c r="C74" i="219"/>
  <c r="M73" i="219"/>
  <c r="C73" i="219"/>
  <c r="B73" i="219" s="1"/>
  <c r="M72" i="219"/>
  <c r="C72" i="219"/>
  <c r="B72" i="219" s="1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B68" i="219" s="1"/>
  <c r="C68" i="219"/>
  <c r="M67" i="219"/>
  <c r="C67" i="219"/>
  <c r="M66" i="219"/>
  <c r="C66" i="219"/>
  <c r="M65" i="219"/>
  <c r="C65" i="219"/>
  <c r="M64" i="219"/>
  <c r="C64" i="219"/>
  <c r="M63" i="219"/>
  <c r="C63" i="219"/>
  <c r="B63" i="219" s="1"/>
  <c r="M62" i="219"/>
  <c r="C62" i="219"/>
  <c r="B62" i="219" s="1"/>
  <c r="M61" i="219"/>
  <c r="C61" i="219"/>
  <c r="M60" i="219"/>
  <c r="C60" i="219"/>
  <c r="M59" i="219"/>
  <c r="C59" i="219"/>
  <c r="B59" i="219" s="1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B42" i="219" s="1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B33" i="219" s="1"/>
  <c r="M32" i="219"/>
  <c r="C32" i="219"/>
  <c r="M31" i="219"/>
  <c r="C31" i="219"/>
  <c r="B31" i="219" s="1"/>
  <c r="M30" i="219"/>
  <c r="C30" i="219"/>
  <c r="B30" i="219" s="1"/>
  <c r="M29" i="219"/>
  <c r="C29" i="219"/>
  <c r="M28" i="219"/>
  <c r="C28" i="219"/>
  <c r="M27" i="219"/>
  <c r="C27" i="219"/>
  <c r="M26" i="219"/>
  <c r="C26" i="219"/>
  <c r="B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B21" i="219" s="1"/>
  <c r="M20" i="219"/>
  <c r="C20" i="219"/>
  <c r="B20" i="219" s="1"/>
  <c r="M19" i="219"/>
  <c r="C19" i="219"/>
  <c r="M18" i="219"/>
  <c r="C18" i="219"/>
  <c r="B18" i="219" s="1"/>
  <c r="M17" i="219"/>
  <c r="H17" i="219"/>
  <c r="C17" i="219"/>
  <c r="B17" i="219" s="1"/>
  <c r="M16" i="219"/>
  <c r="H16" i="219"/>
  <c r="C16" i="219"/>
  <c r="B16" i="219" s="1"/>
  <c r="M15" i="219"/>
  <c r="H15" i="219"/>
  <c r="C15" i="219"/>
  <c r="B15" i="219" s="1"/>
  <c r="M14" i="219"/>
  <c r="H14" i="219"/>
  <c r="C14" i="219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G81" i="217" s="1"/>
  <c r="B94" i="217"/>
  <c r="C94" i="217"/>
  <c r="E94" i="217"/>
  <c r="F94" i="217"/>
  <c r="B107" i="217"/>
  <c r="C107" i="217"/>
  <c r="E107" i="217"/>
  <c r="F107" i="217"/>
  <c r="G107" i="217" s="1"/>
  <c r="B120" i="217"/>
  <c r="C120" i="217"/>
  <c r="E120" i="217"/>
  <c r="F120" i="217"/>
  <c r="G120" i="217" s="1"/>
  <c r="B133" i="217"/>
  <c r="C133" i="217"/>
  <c r="E133" i="217"/>
  <c r="F133" i="217"/>
  <c r="B146" i="217"/>
  <c r="C146" i="217"/>
  <c r="E146" i="217"/>
  <c r="F146" i="217"/>
  <c r="B159" i="217"/>
  <c r="C159" i="217"/>
  <c r="D159" i="217" s="1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G211" i="217" s="1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G237" i="217" s="1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G146" i="209" s="1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 s="1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G237" i="209" s="1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D133" i="217" l="1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B19" i="220" s="1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B11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B9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B70" i="220" s="1"/>
  <c r="R16" i="220"/>
  <c r="H23" i="220"/>
  <c r="H36" i="220"/>
  <c r="K41" i="220"/>
  <c r="Y55" i="220"/>
  <c r="D63" i="220"/>
  <c r="B63" i="220" s="1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B57" i="220" s="1"/>
  <c r="H61" i="220"/>
  <c r="H69" i="220"/>
  <c r="Y75" i="220"/>
  <c r="R22" i="220"/>
  <c r="Y36" i="220"/>
  <c r="C44" i="220"/>
  <c r="B44" i="220" s="1"/>
  <c r="K71" i="220"/>
  <c r="Y48" i="220"/>
  <c r="R31" i="220"/>
  <c r="D49" i="220"/>
  <c r="R68" i="220"/>
  <c r="K53" i="220"/>
  <c r="D37" i="220"/>
  <c r="D40" i="220"/>
  <c r="D47" i="220"/>
  <c r="Y68" i="220"/>
  <c r="Y15" i="220"/>
  <c r="B30" i="220"/>
  <c r="K33" i="220"/>
  <c r="Y42" i="220"/>
  <c r="D59" i="220"/>
  <c r="R17" i="220"/>
  <c r="Y20" i="220"/>
  <c r="D23" i="220"/>
  <c r="R29" i="220"/>
  <c r="E35" i="220"/>
  <c r="D36" i="220"/>
  <c r="C37" i="220"/>
  <c r="B37" i="220" s="1"/>
  <c r="R50" i="220"/>
  <c r="R53" i="220"/>
  <c r="Y59" i="220"/>
  <c r="E63" i="220"/>
  <c r="B19" i="219"/>
  <c r="B51" i="219"/>
  <c r="B71" i="219"/>
  <c r="M100" i="219"/>
  <c r="M106" i="219"/>
  <c r="M220" i="219"/>
  <c r="B113" i="219"/>
  <c r="B141" i="219"/>
  <c r="B43" i="219"/>
  <c r="B47" i="219"/>
  <c r="B58" i="219"/>
  <c r="B69" i="219"/>
  <c r="M99" i="219"/>
  <c r="N142" i="219"/>
  <c r="B48" i="219"/>
  <c r="B64" i="219"/>
  <c r="B105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28" i="219"/>
  <c r="B39" i="219"/>
  <c r="B66" i="219"/>
  <c r="M87" i="219"/>
  <c r="B87" i="219" s="1"/>
  <c r="M89" i="219"/>
  <c r="B89" i="219" s="1"/>
  <c r="M125" i="219"/>
  <c r="M131" i="219"/>
  <c r="B131" i="219" s="1"/>
  <c r="G185" i="217"/>
  <c r="D185" i="217"/>
  <c r="D146" i="217"/>
  <c r="D81" i="217"/>
  <c r="BW11" i="217"/>
  <c r="G68" i="217"/>
  <c r="G185" i="209"/>
  <c r="D133" i="209"/>
  <c r="G159" i="209"/>
  <c r="D94" i="209"/>
  <c r="D198" i="209"/>
  <c r="G172" i="209"/>
  <c r="D107" i="209"/>
  <c r="G68" i="209"/>
  <c r="M139" i="219"/>
  <c r="B92" i="219"/>
  <c r="M88" i="219"/>
  <c r="B88" i="219" s="1"/>
  <c r="M218" i="219"/>
  <c r="B36" i="219"/>
  <c r="B45" i="219"/>
  <c r="B50" i="219"/>
  <c r="B82" i="219"/>
  <c r="B125" i="219"/>
  <c r="B110" i="219"/>
  <c r="B128" i="219"/>
  <c r="B61" i="219"/>
  <c r="M103" i="219"/>
  <c r="B103" i="219" s="1"/>
  <c r="M208" i="219"/>
  <c r="B56" i="219"/>
  <c r="B84" i="219"/>
  <c r="B100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B99" i="219"/>
  <c r="M104" i="219"/>
  <c r="B104" i="219" s="1"/>
  <c r="C57" i="219"/>
  <c r="B60" i="219"/>
  <c r="M86" i="219"/>
  <c r="B86" i="219" s="1"/>
  <c r="M91" i="219"/>
  <c r="B91" i="219" s="1"/>
  <c r="B123" i="219"/>
  <c r="H142" i="219"/>
  <c r="H14" i="220"/>
  <c r="E17" i="220"/>
  <c r="R32" i="220"/>
  <c r="H38" i="220"/>
  <c r="C40" i="220"/>
  <c r="B40" i="220" s="1"/>
  <c r="E42" i="220"/>
  <c r="K46" i="220"/>
  <c r="K48" i="220"/>
  <c r="Y54" i="220"/>
  <c r="R56" i="220"/>
  <c r="Y67" i="220"/>
  <c r="R69" i="220"/>
  <c r="O72" i="220"/>
  <c r="AC72" i="220"/>
  <c r="Y72" i="220" s="1"/>
  <c r="B17" i="220"/>
  <c r="Y21" i="220"/>
  <c r="B53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C72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B14" i="220" s="1"/>
  <c r="D15" i="220"/>
  <c r="R19" i="220"/>
  <c r="H24" i="220"/>
  <c r="C25" i="220"/>
  <c r="B25" i="220" s="1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B93" i="219"/>
  <c r="M94" i="219"/>
  <c r="B94" i="219" s="1"/>
  <c r="B106" i="219"/>
  <c r="M107" i="219"/>
  <c r="B107" i="219" s="1"/>
  <c r="B119" i="219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39" i="219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B136" i="219"/>
  <c r="M137" i="219"/>
  <c r="B137" i="219" s="1"/>
  <c r="E29" i="220"/>
  <c r="C29" i="220"/>
  <c r="B29" i="220" s="1"/>
  <c r="E73" i="220"/>
  <c r="C73" i="220"/>
  <c r="B73" i="220" s="1"/>
  <c r="E20" i="220"/>
  <c r="C20" i="220"/>
  <c r="B20" i="220" s="1"/>
  <c r="E27" i="220"/>
  <c r="C27" i="220"/>
  <c r="B27" i="220" s="1"/>
  <c r="E33" i="220"/>
  <c r="C33" i="220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B60" i="220" s="1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B43" i="220" s="1"/>
  <c r="E49" i="220"/>
  <c r="C49" i="220"/>
  <c r="E56" i="220"/>
  <c r="C56" i="220"/>
  <c r="B56" i="220" s="1"/>
  <c r="E69" i="220"/>
  <c r="C69" i="220"/>
  <c r="B69" i="220" s="1"/>
  <c r="D74" i="220"/>
  <c r="B74" i="220" s="1"/>
  <c r="C15" i="220"/>
  <c r="K19" i="220"/>
  <c r="C21" i="220"/>
  <c r="B21" i="220" s="1"/>
  <c r="K25" i="220"/>
  <c r="C28" i="220"/>
  <c r="B28" i="220" s="1"/>
  <c r="C35" i="220"/>
  <c r="C42" i="220"/>
  <c r="B42" i="220" s="1"/>
  <c r="C48" i="220"/>
  <c r="C55" i="220"/>
  <c r="B55" i="220" s="1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W9" i="217"/>
  <c r="BX11" i="217"/>
  <c r="BX12" i="218"/>
  <c r="B18" i="220" l="1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D60" i="123"/>
  <c r="D61" i="123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71" i="32"/>
  <c r="H271" i="32" s="1"/>
  <c r="E271" i="32"/>
  <c r="I271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B65" i="194" s="1"/>
  <c r="C65" i="194"/>
  <c r="F64" i="194"/>
  <c r="C64" i="194"/>
  <c r="B64" i="194" s="1"/>
  <c r="F62" i="194"/>
  <c r="C62" i="194"/>
  <c r="F61" i="194"/>
  <c r="B61" i="194" s="1"/>
  <c r="C61" i="194"/>
  <c r="F60" i="194"/>
  <c r="C60" i="194"/>
  <c r="B60" i="194" s="1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l="1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71" i="106"/>
  <c r="E255" i="32" l="1"/>
  <c r="B257" i="32" l="1"/>
  <c r="I257" i="32" s="1"/>
  <c r="H257" i="32" l="1"/>
  <c r="E10" i="191"/>
  <c r="D10" i="191"/>
  <c r="C9" i="191"/>
  <c r="B9" i="191"/>
  <c r="C7" i="191"/>
  <c r="B7" i="19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DO50" i="149"/>
  <c r="CI50" i="149"/>
  <c r="CF50" i="149"/>
  <c r="W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EA23" i="149" s="1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O23" i="149" s="1"/>
  <c r="CN24" i="149"/>
  <c r="CM24" i="149"/>
  <c r="CL24" i="149"/>
  <c r="CK24" i="149"/>
  <c r="CJ24" i="149"/>
  <c r="CI24" i="149"/>
  <c r="CH24" i="149"/>
  <c r="CG24" i="149"/>
  <c r="CG23" i="149" s="1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N23" i="149" l="1"/>
  <c r="N18" i="149" s="1"/>
  <c r="N11" i="149" s="1"/>
  <c r="N60" i="149" s="1"/>
  <c r="AL23" i="149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DE11" i="149" s="1"/>
  <c r="DE60" i="149" s="1"/>
  <c r="AL18" i="149"/>
  <c r="AL11" i="149" s="1"/>
  <c r="AL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BI18" i="149"/>
  <c r="BI11" i="149" s="1"/>
  <c r="BI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2" i="136" l="1"/>
  <c r="R132" i="136"/>
  <c r="M132" i="136"/>
  <c r="G132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EF14" i="99"/>
  <c r="EF18" i="99"/>
  <c r="EF22" i="99"/>
  <c r="EF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F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EE30" i="102" l="1"/>
  <c r="EE26" i="102"/>
  <c r="EE22" i="102"/>
  <c r="EE18" i="102"/>
  <c r="EE14" i="102"/>
  <c r="EE10" i="102"/>
  <c r="EE34" i="102"/>
  <c r="EF30" i="99"/>
  <c r="EF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71" i="106" l="1"/>
  <c r="L238" i="15"/>
  <c r="E271" i="106" l="1"/>
  <c r="G271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2" i="105" l="1"/>
  <c r="CN26" i="103"/>
  <c r="AT22" i="103"/>
  <c r="CG22" i="98"/>
  <c r="CK22" i="98"/>
  <c r="CK26" i="103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CG34" i="98" s="1"/>
  <c r="BD26" i="98"/>
  <c r="CH22" i="98"/>
  <c r="CH26" i="98"/>
  <c r="CH34" i="98" s="1"/>
  <c r="CM26" i="98"/>
  <c r="CM34" i="98" s="1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C137" i="65" s="1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C138" i="65" s="1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O57" i="65" s="1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8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B55" i="14"/>
  <c r="H113" i="15"/>
  <c r="I148" i="32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H99" i="15"/>
  <c r="J126" i="15"/>
  <c r="H126" i="15"/>
  <c r="H108" i="15"/>
  <c r="H138" i="15"/>
  <c r="F126" i="15"/>
  <c r="C42" i="65"/>
  <c r="C127" i="65"/>
  <c r="G144" i="65"/>
  <c r="C41" i="65"/>
  <c r="D42" i="65"/>
  <c r="E48" i="65" s="1"/>
  <c r="B138" i="65"/>
  <c r="C144" i="65" s="1"/>
  <c r="E41" i="65"/>
  <c r="D139" i="65"/>
  <c r="E139" i="65" s="1"/>
  <c r="E141" i="65"/>
  <c r="F139" i="65"/>
  <c r="G135" i="65" s="1"/>
  <c r="H132" i="32"/>
  <c r="B147" i="65"/>
  <c r="N147" i="65"/>
  <c r="BZ9" i="64"/>
  <c r="BT55" i="64"/>
  <c r="B129" i="65" l="1"/>
  <c r="O41" i="65"/>
  <c r="N41" i="65"/>
  <c r="BT21" i="64"/>
  <c r="B103" i="14"/>
  <c r="D131" i="15"/>
  <c r="CC9" i="10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B61" i="64" s="1"/>
  <c r="BW9" i="64"/>
  <c r="BW7" i="64" s="1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BT47" i="64" s="1"/>
  <c r="AZ9" i="64"/>
  <c r="AZ7" i="64" s="1"/>
  <c r="BJ9" i="64"/>
  <c r="BJ7" i="64" s="1"/>
  <c r="BC47" i="64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Z61" i="64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I45" i="65"/>
  <c r="C145" i="65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/>
  <c r="K153" i="65" l="1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C157" i="65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BD61" i="64" l="1"/>
  <c r="M45" i="65"/>
  <c r="N157" i="65"/>
  <c r="P39" i="65"/>
  <c r="C153" i="65"/>
  <c r="I153" i="65"/>
  <c r="I157" i="65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<sst xmlns="http://schemas.openxmlformats.org/spreadsheetml/2006/main" count="19039" uniqueCount="4124">
  <si>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</si>
  <si>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</si>
  <si>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</si>
  <si>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</si>
  <si>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</si>
  <si>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</si>
  <si>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</si>
  <si>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</si>
  <si>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</si>
  <si>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</si>
  <si>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</si>
  <si>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</si>
  <si>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</si>
  <si>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</si>
  <si>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</si>
  <si>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</si>
  <si>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</si>
  <si>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</si>
  <si>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</si>
  <si>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</si>
  <si>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</si>
  <si>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</si>
  <si>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</si>
  <si>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</si>
  <si>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</si>
  <si>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</si>
  <si>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</si>
  <si>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</si>
  <si>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</si>
  <si>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</si>
  <si>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</si>
  <si>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</si>
  <si>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</si>
  <si>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</si>
  <si>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</si>
  <si>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</si>
  <si>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</si>
  <si>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</si>
  <si>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</si>
  <si>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</si>
  <si>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</si>
  <si>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</si>
  <si>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</si>
  <si>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</si>
  <si>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</si>
  <si>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</si>
  <si>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</si>
  <si>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</si>
  <si>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</si>
  <si>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</si>
  <si>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</si>
  <si>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</si>
  <si>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</si>
  <si>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</si>
  <si>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</si>
  <si>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</si>
  <si>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</si>
  <si>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</si>
  <si>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</si>
  <si>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</si>
  <si>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</si>
  <si>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</si>
  <si>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</si>
  <si>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</si>
  <si>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</si>
  <si>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</si>
  <si>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</si>
  <si>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</si>
  <si>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</si>
  <si>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</si>
  <si>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</si>
  <si>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</si>
  <si>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</si>
  <si>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</si>
  <si>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</si>
  <si>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</si>
  <si>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</si>
  <si>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</si>
  <si>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</si>
  <si>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</si>
  <si>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</si>
  <si>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</si>
  <si>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</si>
  <si>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</si>
  <si>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</si>
  <si>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</si>
  <si>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</si>
  <si>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</si>
  <si>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</si>
  <si>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</si>
  <si>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</si>
  <si>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</si>
  <si>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</si>
  <si>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</si>
  <si>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</si>
  <si>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</si>
  <si>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</si>
  <si>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</si>
  <si>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</si>
  <si>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</si>
  <si>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</si>
  <si>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</si>
  <si>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</si>
  <si>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</si>
  <si>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</si>
  <si>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</si>
  <si>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</si>
  <si>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</si>
  <si>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</si>
  <si>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</si>
  <si>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</si>
  <si>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</si>
  <si>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</si>
  <si>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</si>
  <si>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</si>
  <si>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</si>
  <si>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</si>
  <si>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</si>
  <si>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</si>
  <si>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</si>
  <si>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</si>
  <si>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</si>
  <si>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</si>
  <si>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</si>
  <si>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</si>
  <si>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</si>
  <si>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</si>
  <si>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</si>
  <si>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</si>
  <si>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</si>
  <si>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</si>
  <si>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</si>
  <si>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</si>
  <si>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</si>
  <si>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</si>
  <si>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</si>
  <si>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</si>
  <si>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</si>
  <si>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</si>
  <si>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</si>
  <si>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</si>
  <si>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</si>
  <si>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</si>
  <si>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</si>
  <si>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</si>
  <si>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</si>
  <si>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</si>
  <si>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</si>
  <si>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</si>
  <si>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</si>
  <si>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</si>
  <si>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</si>
  <si>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</si>
  <si>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</si>
  <si>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</si>
  <si>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</si>
  <si>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</si>
  <si>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</si>
  <si>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</si>
  <si>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</si>
  <si>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</si>
  <si>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</si>
  <si>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</si>
  <si>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</si>
  <si>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</si>
  <si>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</si>
  <si>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</si>
  <si>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</si>
  <si>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</si>
  <si>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</si>
  <si>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</si>
  <si>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</si>
  <si>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</si>
  <si>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</si>
  <si>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</si>
  <si>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</si>
  <si>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</si>
  <si>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</si>
  <si>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</si>
  <si>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</si>
  <si>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</si>
  <si>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</si>
  <si>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</si>
  <si>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</si>
  <si>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</si>
  <si>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</si>
  <si>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</si>
  <si>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</si>
  <si>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</si>
  <si>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</si>
  <si>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</si>
  <si>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</si>
  <si>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</si>
  <si>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</si>
  <si>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</si>
  <si>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</si>
  <si>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</si>
  <si>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</si>
  <si>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</si>
  <si>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</si>
  <si>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</si>
  <si>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</si>
  <si>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</si>
  <si>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</si>
  <si>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</si>
  <si>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</si>
  <si>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</si>
  <si>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</si>
  <si>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</si>
  <si>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</si>
  <si>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</si>
  <si>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</si>
  <si>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</si>
  <si>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</si>
  <si>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</si>
  <si>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</si>
  <si>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</si>
  <si>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</si>
  <si>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</si>
  <si>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</si>
  <si>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</si>
  <si>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</si>
  <si>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</si>
  <si>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</si>
  <si>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</si>
  <si>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</si>
  <si>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</si>
  <si>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</si>
  <si>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</si>
  <si>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</si>
  <si>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</si>
  <si>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</si>
  <si>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</si>
  <si>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</si>
  <si>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</si>
  <si>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</si>
  <si>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</si>
  <si>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</si>
  <si>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</si>
  <si>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</si>
  <si>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</si>
  <si>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</si>
  <si>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</si>
  <si>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</si>
  <si>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</si>
  <si>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</si>
  <si>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</si>
  <si>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</si>
  <si>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</si>
  <si>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</si>
  <si>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</si>
  <si>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</si>
  <si>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</si>
  <si>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</si>
  <si>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</si>
  <si>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</si>
  <si>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</si>
  <si>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</si>
  <si>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</si>
  <si>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</si>
  <si>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</si>
  <si>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</si>
  <si>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</si>
  <si>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</si>
  <si>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</si>
  <si>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</si>
  <si>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</si>
  <si>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</si>
  <si>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</si>
  <si>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</si>
  <si>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</si>
  <si>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</si>
  <si>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</si>
  <si>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</si>
  <si>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</si>
  <si>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</si>
  <si>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</si>
  <si>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</si>
  <si>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</si>
  <si>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</si>
  <si>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</si>
  <si>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</si>
  <si>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</si>
  <si>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</si>
  <si>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</si>
  <si>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</si>
  <si>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</si>
  <si>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</si>
  <si>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</si>
  <si>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</si>
  <si>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</si>
  <si>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</si>
  <si>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</si>
  <si>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</si>
  <si>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</si>
  <si>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</si>
  <si>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</si>
  <si>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</si>
  <si>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</si>
  <si>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</si>
  <si>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</si>
  <si>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</si>
  <si>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</si>
  <si>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</si>
  <si>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</si>
  <si>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</si>
  <si>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</si>
  <si>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</si>
  <si>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</si>
  <si>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</si>
  <si>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</si>
  <si>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</si>
  <si>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</si>
  <si>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</si>
  <si>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</si>
  <si>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</si>
  <si>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</si>
  <si>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</si>
  <si>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</si>
  <si>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</si>
  <si>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</si>
  <si>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</si>
  <si>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</si>
  <si>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</si>
  <si>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</si>
  <si>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</si>
  <si>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</si>
  <si>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</si>
  <si>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</si>
  <si>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</si>
  <si>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</si>
  <si>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</si>
  <si>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</si>
  <si>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</si>
  <si>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</si>
  <si>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</si>
  <si>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</si>
  <si>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</si>
  <si>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</si>
  <si>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</si>
  <si>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</si>
  <si>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</si>
  <si>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</si>
  <si>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</si>
  <si>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</si>
  <si>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</si>
  <si>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</si>
  <si>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</si>
  <si>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</si>
  <si>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</si>
  <si>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</si>
  <si>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</si>
  <si>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</si>
  <si>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</si>
  <si>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</si>
  <si>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</si>
  <si>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</si>
  <si>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</si>
  <si>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</si>
  <si>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</si>
  <si>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</si>
  <si>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</si>
  <si>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</si>
  <si>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</si>
  <si>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</si>
  <si>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</si>
  <si>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</si>
  <si>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</si>
  <si>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</si>
  <si>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</si>
  <si>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</si>
  <si>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</si>
  <si>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</si>
  <si>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</si>
  <si>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</si>
  <si>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</si>
  <si>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</si>
  <si>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</si>
  <si>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</si>
  <si>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</si>
  <si>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</si>
  <si>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</si>
  <si>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</si>
  <si>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</si>
  <si>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</si>
  <si>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</si>
  <si>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</si>
  <si>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</si>
  <si>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</si>
  <si>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</si>
  <si>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</si>
  <si>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</si>
  <si>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</si>
  <si>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</si>
  <si>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</si>
  <si>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</si>
  <si>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</si>
  <si>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</si>
  <si>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</si>
  <si>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</si>
  <si>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</si>
  <si>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</si>
  <si>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</si>
  <si>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</si>
  <si>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</si>
  <si>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</si>
  <si>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</si>
  <si>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</si>
  <si>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</si>
  <si>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</si>
  <si>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</si>
  <si>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</si>
  <si>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</si>
  <si>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</si>
  <si>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</si>
  <si>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</si>
  <si>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</si>
  <si>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</si>
  <si>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</si>
  <si>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</si>
  <si>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</si>
  <si>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</si>
  <si>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</si>
  <si>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</si>
  <si>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</si>
  <si>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</si>
  <si>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</si>
  <si>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</si>
  <si>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</si>
  <si>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</si>
  <si>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</si>
  <si>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</si>
  <si>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</si>
  <si>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</si>
  <si>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</si>
  <si>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</si>
  <si>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</si>
  <si>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</si>
  <si>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</si>
  <si>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</si>
  <si>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</si>
  <si>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</si>
  <si>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</si>
  <si>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</si>
  <si>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</si>
  <si>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</si>
  <si>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</si>
  <si>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</si>
  <si>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</si>
  <si>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</si>
  <si>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</si>
  <si>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</si>
  <si>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</si>
  <si>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</si>
  <si>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</si>
  <si>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</si>
  <si>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</si>
  <si>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</si>
  <si>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</si>
  <si>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</si>
  <si>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</si>
  <si>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</si>
  <si>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</si>
  <si>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</si>
  <si>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</si>
  <si>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</si>
  <si>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</si>
  <si>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</si>
  <si>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</si>
  <si>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</si>
  <si>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</si>
  <si>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</si>
  <si>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</si>
  <si>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</si>
  <si>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</si>
  <si>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</si>
  <si>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</si>
  <si>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</si>
  <si>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</si>
  <si>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</si>
  <si>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</si>
  <si>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</si>
  <si>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</si>
  <si>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</si>
  <si>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</si>
  <si>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</si>
  <si>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</si>
  <si>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</si>
  <si>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</si>
  <si>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</si>
  <si>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</si>
  <si>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</si>
  <si>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</si>
  <si>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</si>
  <si>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</si>
  <si>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</si>
  <si>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</si>
  <si>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</si>
  <si>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</si>
  <si>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</si>
  <si>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</si>
  <si>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</si>
  <si>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</si>
  <si>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</si>
  <si>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</si>
  <si>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</si>
  <si>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</si>
  <si>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</si>
  <si>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</si>
  <si>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</si>
  <si>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</si>
  <si>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</si>
  <si>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</si>
  <si>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</si>
  <si>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</si>
  <si>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</si>
  <si>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</si>
  <si>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</si>
  <si>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</si>
  <si>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</si>
  <si>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</si>
  <si>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</si>
  <si>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</si>
  <si>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</si>
  <si>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</si>
  <si>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</si>
  <si>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</si>
  <si>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</si>
  <si>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</si>
  <si>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</si>
  <si>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</si>
  <si>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</si>
  <si>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</si>
  <si>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</si>
  <si>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</si>
  <si>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</si>
  <si>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</si>
  <si>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</si>
  <si>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</si>
  <si>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</si>
  <si>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</si>
  <si>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</si>
  <si>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</si>
  <si>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</si>
  <si>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</si>
  <si>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</si>
  <si>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</si>
  <si>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</si>
  <si>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</si>
  <si>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</si>
  <si>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</si>
  <si>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</si>
  <si>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</si>
  <si>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</si>
  <si>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</si>
  <si>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</si>
  <si>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</si>
  <si>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</si>
  <si>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</si>
  <si>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</si>
  <si>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</si>
  <si>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</si>
  <si>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</si>
  <si>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</si>
  <si>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</si>
  <si>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</si>
  <si>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</si>
  <si>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</si>
  <si>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</si>
  <si>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</si>
  <si>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</si>
  <si>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</si>
  <si>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</si>
  <si>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</si>
  <si>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</si>
  <si>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</si>
  <si>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</si>
  <si>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</si>
  <si>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</si>
  <si>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</si>
  <si>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</si>
  <si>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</si>
  <si>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</si>
  <si>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</si>
  <si>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</si>
  <si>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</si>
  <si>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</si>
  <si>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</si>
  <si>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</si>
  <si>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</si>
  <si>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</si>
  <si>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</si>
  <si>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</si>
  <si>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</si>
  <si>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</si>
  <si>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</si>
  <si>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</si>
  <si>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</si>
  <si>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</si>
  <si>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</si>
  <si>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</si>
  <si>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</si>
  <si>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</si>
  <si>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</si>
  <si>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</si>
  <si>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</si>
  <si>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</si>
  <si>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</si>
  <si>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</si>
  <si>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</si>
  <si>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</si>
  <si>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</si>
  <si>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</si>
  <si>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</si>
  <si>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</si>
  <si>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</si>
  <si>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</si>
  <si>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</si>
  <si>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</si>
  <si>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</si>
  <si>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</si>
  <si>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</si>
  <si>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</si>
  <si>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</si>
  <si>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</si>
  <si>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</si>
  <si>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</si>
  <si>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</si>
  <si>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</si>
  <si>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</si>
  <si>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</si>
  <si>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</si>
  <si>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</si>
  <si>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</si>
  <si>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</si>
  <si>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</si>
  <si>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</si>
  <si>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</si>
  <si>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</si>
  <si>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</si>
  <si>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</si>
  <si>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</si>
  <si>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</si>
  <si>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</si>
  <si>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</si>
  <si>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</si>
  <si>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</si>
  <si>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</si>
  <si>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</si>
  <si>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</si>
  <si>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</si>
  <si>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</si>
  <si>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</si>
  <si>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</si>
  <si>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</si>
  <si>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</si>
  <si>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</si>
  <si>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</si>
  <si>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</si>
  <si>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</si>
  <si>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</si>
  <si>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</si>
  <si>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</si>
  <si>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</si>
  <si>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</si>
  <si>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</si>
  <si>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</si>
  <si>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</si>
  <si>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</si>
  <si>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</si>
  <si>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</si>
  <si>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</si>
  <si>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</si>
  <si>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</si>
  <si>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</si>
  <si>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</si>
  <si>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</si>
  <si>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</si>
  <si>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</si>
  <si>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</si>
  <si>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</si>
  <si>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</si>
  <si>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</si>
  <si>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</si>
  <si>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</si>
  <si>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</si>
  <si>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</si>
  <si>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</si>
  <si>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</si>
  <si>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</si>
  <si>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</si>
  <si>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</si>
  <si>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</si>
  <si>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</si>
  <si>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</si>
  <si>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</si>
  <si>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</si>
  <si>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</si>
  <si>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</si>
  <si>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</si>
  <si>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</si>
  <si>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</si>
  <si>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</si>
  <si>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</si>
  <si>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</si>
  <si>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</si>
  <si>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</si>
  <si>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</si>
  <si>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</si>
  <si>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</si>
  <si>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</si>
  <si>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</si>
  <si>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</si>
  <si>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</si>
  <si>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</si>
  <si>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</si>
  <si>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</si>
  <si>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</si>
  <si>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</si>
  <si>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</si>
  <si>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</si>
  <si>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</si>
  <si>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</si>
  <si>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</si>
  <si>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</si>
  <si>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</si>
  <si>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</si>
  <si>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</si>
  <si>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</si>
  <si>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</si>
  <si>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</si>
  <si>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</si>
  <si>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</si>
  <si>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</si>
  <si>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</si>
  <si>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</si>
  <si>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</si>
  <si>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</si>
  <si>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</si>
  <si>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</si>
  <si>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</si>
  <si>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</si>
  <si>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</si>
  <si>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</si>
  <si>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</si>
  <si>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</si>
  <si>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</si>
  <si>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</si>
  <si>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</si>
  <si>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</si>
  <si>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</si>
  <si>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</si>
  <si>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</si>
  <si>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</si>
  <si>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</si>
  <si>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</si>
  <si>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</si>
  <si>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</si>
  <si>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</si>
  <si>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</si>
  <si>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</si>
  <si>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</si>
  <si>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</si>
  <si>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</si>
  <si>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</si>
  <si>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</si>
  <si>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</si>
  <si>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</si>
  <si>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</si>
  <si>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</si>
  <si>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</si>
  <si>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</si>
  <si>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</si>
  <si>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</si>
  <si>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</si>
  <si>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</si>
  <si>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</si>
  <si>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</si>
  <si>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</si>
  <si>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</si>
  <si>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</si>
  <si>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</si>
  <si>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</si>
  <si>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</si>
  <si>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</si>
  <si>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</si>
  <si>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</si>
  <si>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</si>
  <si>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</si>
  <si>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</si>
  <si>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</si>
  <si>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</si>
  <si>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</si>
  <si>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</si>
  <si>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</si>
  <si>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</si>
  <si>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</si>
  <si>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</si>
  <si>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</si>
  <si>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</si>
  <si>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</si>
  <si>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</si>
  <si>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</si>
  <si>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</si>
  <si>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</si>
  <si>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</si>
  <si>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</si>
  <si>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</si>
  <si>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</si>
  <si>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</si>
  <si>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</si>
  <si>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</si>
  <si>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</si>
  <si>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</si>
  <si>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</si>
  <si>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</si>
  <si>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</si>
  <si>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</si>
  <si>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</si>
  <si>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</si>
  <si>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</si>
  <si>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</si>
  <si>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</si>
  <si>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</si>
  <si>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</si>
  <si>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</si>
  <si>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</si>
  <si>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</si>
  <si>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</si>
  <si>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</si>
  <si>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</si>
  <si>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</si>
  <si>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</si>
  <si>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</si>
  <si>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</si>
  <si>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</si>
  <si>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</si>
  <si>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</si>
  <si>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</si>
  <si>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</si>
  <si>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</si>
  <si>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</si>
  <si>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</si>
  <si>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</si>
  <si>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</si>
  <si>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</si>
  <si>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</si>
  <si>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</si>
  <si>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</si>
  <si>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</si>
  <si>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</si>
  <si>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</si>
  <si>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</si>
  <si>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</si>
  <si>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</si>
  <si>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</si>
  <si>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</si>
  <si>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</si>
  <si>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</si>
  <si>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</si>
  <si>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</si>
  <si>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</si>
  <si>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</si>
  <si>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</si>
  <si>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</si>
  <si>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</si>
  <si>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</si>
  <si>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</si>
  <si>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</si>
  <si>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</si>
  <si>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</si>
  <si>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</si>
  <si>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</si>
  <si>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</si>
  <si>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</si>
  <si>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</si>
  <si>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</si>
  <si>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</si>
  <si>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</si>
  <si>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</si>
  <si>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</si>
  <si>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</si>
  <si>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</si>
  <si>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</si>
  <si>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</si>
  <si>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</si>
  <si>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</si>
  <si>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</si>
  <si>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</si>
  <si>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</si>
  <si>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</si>
  <si>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</si>
  <si>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</si>
  <si>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</si>
  <si>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</si>
  <si>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</si>
  <si>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</si>
  <si>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</si>
  <si>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</si>
  <si>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</si>
  <si>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</si>
  <si>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</si>
  <si>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</si>
  <si>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</si>
  <si>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</si>
  <si>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</si>
  <si>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</si>
  <si>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</si>
  <si>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</si>
  <si>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</si>
  <si>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</si>
  <si>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</si>
  <si>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</si>
  <si>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</si>
  <si>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</si>
  <si>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</si>
  <si>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</si>
  <si>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</si>
  <si>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</si>
  <si>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</si>
  <si>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</si>
  <si>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</si>
  <si>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</si>
  <si>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</si>
  <si>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</si>
  <si>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</si>
  <si>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</si>
  <si>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</si>
  <si>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</si>
  <si>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</si>
  <si>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</si>
  <si>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</si>
  <si>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</si>
  <si>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</si>
  <si>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</si>
  <si>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</si>
  <si>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</si>
  <si>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</si>
  <si>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</si>
  <si>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</si>
  <si>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</si>
  <si>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</si>
  <si>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</si>
  <si>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</si>
  <si>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</si>
  <si>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</si>
  <si>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</si>
  <si>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</si>
  <si>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</si>
  <si>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</si>
  <si>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</si>
  <si>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</si>
  <si>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</si>
  <si>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</si>
  <si>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</si>
  <si>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</si>
  <si>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</si>
  <si>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</si>
  <si>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</si>
  <si>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</si>
  <si>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</si>
  <si>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</si>
  <si>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</si>
  <si>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</si>
  <si>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</si>
  <si>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</si>
  <si>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</si>
  <si>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</si>
  <si>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</si>
  <si>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</si>
  <si>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</si>
  <si>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</si>
  <si>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</si>
  <si>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</si>
  <si>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</si>
  <si>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</si>
  <si>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</si>
  <si>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</si>
  <si>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</si>
  <si>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</si>
  <si>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</si>
  <si>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</si>
  <si>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</si>
  <si>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</si>
  <si>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</si>
  <si>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</si>
  <si>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</si>
  <si>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</si>
  <si>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</si>
  <si>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</si>
  <si>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</si>
  <si>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</si>
  <si>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</si>
  <si>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</si>
  <si>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</si>
  <si>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</si>
  <si>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</si>
  <si>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</si>
  <si>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</si>
  <si>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</si>
  <si>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</si>
  <si>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</si>
  <si>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</si>
  <si>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</si>
  <si>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</si>
  <si>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</si>
  <si>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</si>
  <si>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</si>
  <si>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</si>
  <si>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</si>
  <si>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</si>
  <si>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</si>
  <si>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</si>
  <si>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</si>
  <si>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</si>
  <si>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</si>
  <si>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</si>
  <si>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</si>
  <si>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</si>
  <si>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</si>
  <si>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</si>
  <si>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</si>
  <si>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</si>
  <si>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</si>
  <si>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</si>
  <si>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</si>
  <si>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</si>
  <si>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</si>
  <si>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</si>
  <si>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</si>
  <si>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</si>
  <si>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</si>
  <si>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</si>
  <si>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</si>
  <si>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</si>
  <si>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</si>
  <si>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</si>
  <si>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</si>
  <si>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</si>
  <si>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</si>
  <si>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</si>
  <si>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</si>
  <si>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</si>
  <si>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</si>
  <si>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</si>
  <si>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</si>
  <si>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</si>
  <si>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</si>
  <si>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</si>
  <si>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</si>
  <si>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</si>
  <si>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</si>
  <si>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</si>
  <si>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</si>
  <si>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</si>
  <si>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</si>
  <si>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</si>
  <si>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</si>
  <si>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</si>
  <si>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</si>
  <si>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</si>
  <si>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</si>
  <si>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</si>
  <si>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</si>
  <si>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</si>
  <si>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</si>
  <si>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</si>
  <si>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</si>
  <si>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</si>
  <si>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</si>
  <si>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</si>
  <si>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</si>
  <si>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</si>
  <si>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</si>
  <si>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</si>
  <si>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</si>
  <si>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</si>
  <si>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</si>
  <si>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</si>
  <si>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</si>
  <si>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</si>
  <si>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</si>
  <si>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</si>
  <si>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</si>
  <si>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</si>
  <si>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</si>
  <si>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</si>
  <si>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</si>
  <si>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</si>
  <si>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</si>
  <si>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</si>
  <si>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</si>
  <si>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</si>
  <si>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</si>
  <si>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</si>
  <si>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</si>
  <si>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</si>
  <si>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</si>
  <si>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</si>
  <si>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</si>
  <si>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</si>
  <si>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</si>
  <si>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</si>
  <si>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</si>
  <si>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</si>
  <si>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</si>
  <si>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</si>
  <si>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</si>
  <si>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</si>
  <si>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</si>
  <si>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</si>
  <si>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</si>
  <si>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</si>
  <si>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</si>
  <si>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</si>
  <si>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</si>
  <si>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</si>
  <si>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</si>
  <si>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</si>
  <si>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</si>
  <si>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</si>
  <si>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</si>
  <si>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</si>
  <si>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</si>
  <si>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</si>
  <si>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</si>
  <si>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</si>
  <si>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</si>
  <si>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</si>
  <si>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</si>
  <si>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</si>
  <si>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</si>
  <si>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</si>
  <si>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</si>
  <si>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</si>
  <si>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</si>
  <si>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</si>
  <si>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</si>
  <si>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</si>
  <si>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</si>
  <si>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</si>
  <si>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</si>
  <si>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</si>
  <si>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</si>
  <si>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</si>
  <si>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</si>
  <si>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</si>
  <si>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</si>
  <si>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</si>
  <si>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</si>
  <si>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</si>
  <si>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</si>
  <si>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</si>
  <si>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</si>
  <si>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</si>
  <si>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</si>
  <si>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</si>
  <si>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</si>
  <si>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</si>
  <si>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</si>
  <si>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</si>
  <si>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</si>
  <si>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</si>
  <si>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</si>
  <si>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</si>
  <si>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</si>
  <si>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</si>
  <si>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</si>
  <si>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</si>
  <si>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</si>
  <si>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</si>
  <si>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</si>
  <si>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</si>
  <si>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</si>
  <si>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</si>
  <si>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</si>
  <si>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</si>
  <si>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</si>
  <si>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</si>
  <si>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</si>
  <si>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</si>
  <si>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</si>
  <si>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</si>
  <si>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</si>
  <si>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</si>
  <si>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</si>
  <si>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</si>
  <si>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</si>
  <si>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</si>
  <si>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</si>
  <si>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</si>
  <si>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</si>
  <si>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</si>
  <si>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</si>
  <si>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</si>
  <si>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</si>
  <si>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</si>
  <si>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</si>
  <si>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</si>
  <si>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</si>
  <si>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</si>
  <si>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</si>
  <si>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</si>
  <si>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</si>
  <si>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</si>
  <si>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</si>
  <si>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</si>
  <si>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</si>
  <si>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</si>
  <si>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</si>
  <si>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</si>
  <si>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</si>
  <si>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</si>
  <si>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</si>
  <si>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</si>
  <si>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</si>
  <si>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</si>
  <si>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</si>
  <si>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</si>
  <si>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</si>
  <si>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</si>
  <si>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</si>
  <si>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</si>
  <si>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</si>
  <si>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</si>
  <si>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</si>
  <si>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</si>
  <si>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</si>
  <si>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</si>
  <si>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</si>
  <si>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</si>
  <si>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</si>
  <si>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</si>
  <si>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</si>
  <si>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</si>
  <si>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</si>
  <si>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</si>
  <si>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</si>
  <si>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</si>
  <si>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</si>
  <si>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</si>
  <si>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</si>
  <si>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</si>
  <si>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</si>
  <si>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</si>
  <si>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</si>
  <si>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</si>
  <si>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</si>
  <si>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</si>
  <si>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</si>
  <si>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</si>
  <si>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</si>
  <si>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</si>
  <si>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</si>
  <si>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</si>
  <si>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</si>
  <si>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</si>
  <si>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</si>
  <si>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</si>
  <si>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</si>
  <si>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</si>
  <si>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</si>
  <si>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</si>
  <si>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</si>
  <si>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</si>
  <si>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</si>
  <si>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</si>
  <si>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</si>
  <si>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</si>
  <si>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</si>
  <si>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</si>
  <si>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</si>
  <si>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</si>
  <si>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</si>
  <si>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</si>
  <si>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</si>
  <si>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</si>
  <si>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</si>
  <si>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</si>
  <si>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</si>
  <si>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</si>
  <si>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</si>
  <si>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</si>
  <si>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</si>
  <si>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</si>
  <si>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</si>
  <si>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</si>
  <si>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</si>
  <si>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</si>
  <si>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</si>
  <si>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</si>
  <si>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</si>
  <si>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</si>
  <si>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</si>
  <si>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</si>
  <si>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</si>
  <si>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</si>
  <si>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</si>
  <si>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</si>
  <si>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</si>
  <si>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</si>
  <si>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</si>
  <si>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</si>
  <si>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</si>
  <si>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</si>
  <si>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</si>
  <si>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</si>
  <si>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</si>
  <si>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</si>
  <si>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</si>
  <si>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</si>
  <si>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</si>
  <si>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</si>
  <si>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</si>
  <si>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</si>
  <si>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</si>
  <si>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</si>
  <si>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</si>
  <si>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</si>
  <si>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</si>
  <si>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</si>
  <si>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</si>
  <si>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</si>
  <si>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</si>
  <si>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</si>
  <si>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</si>
  <si>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</si>
  <si>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</si>
  <si>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</si>
  <si>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</si>
  <si>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</si>
  <si>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</si>
  <si>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</si>
  <si>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</si>
  <si>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</si>
  <si>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</si>
  <si>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</si>
  <si>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</si>
  <si>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</si>
  <si>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</si>
  <si>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</si>
  <si>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</si>
  <si>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</si>
  <si>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</si>
  <si>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</si>
  <si>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</si>
  <si>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</si>
  <si>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</si>
  <si>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</si>
  <si>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</si>
  <si>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</si>
  <si>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</si>
  <si>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</si>
  <si>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</si>
  <si>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</si>
  <si>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</si>
  <si>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</si>
  <si>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</si>
  <si>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</si>
  <si>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</si>
  <si>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</si>
  <si>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</si>
  <si>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</si>
  <si>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</si>
  <si>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</si>
  <si>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</si>
  <si>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</si>
  <si>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</si>
  <si>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</si>
  <si>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</si>
  <si>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</si>
  <si>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</si>
  <si>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</si>
  <si>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</si>
  <si>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</si>
  <si>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</si>
  <si>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</si>
  <si>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</si>
  <si>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</si>
  <si>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</si>
  <si>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</si>
  <si>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</si>
  <si>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</si>
  <si>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</si>
  <si>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</si>
  <si>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</si>
  <si>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</si>
  <si>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</si>
  <si>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</si>
  <si>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</si>
  <si>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</si>
  <si>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</si>
  <si>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</si>
  <si>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</si>
  <si>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</si>
  <si>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</si>
  <si>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</si>
  <si>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</si>
  <si>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</si>
  <si>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</si>
  <si>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</si>
  <si>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</si>
  <si>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</si>
  <si>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</si>
  <si>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</si>
  <si>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</si>
  <si>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</si>
  <si>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</si>
  <si>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</si>
  <si>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</si>
  <si>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</si>
  <si>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</si>
  <si>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</si>
  <si>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</si>
  <si>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</si>
  <si>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</si>
  <si>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</si>
  <si>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</si>
  <si>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</si>
  <si>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</si>
  <si>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</si>
  <si>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</si>
  <si>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</si>
  <si>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</si>
  <si>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</si>
  <si>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</si>
  <si>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</si>
  <si>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</si>
  <si>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</si>
  <si>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</si>
  <si>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</si>
  <si>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</si>
  <si>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</si>
  <si>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</si>
  <si>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</si>
  <si>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</si>
  <si>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</si>
  <si>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</si>
  <si>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</si>
  <si>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</si>
  <si>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</si>
  <si>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</si>
  <si>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</si>
  <si>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</si>
  <si>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</si>
  <si>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</si>
  <si>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</si>
  <si>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</si>
  <si>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</si>
  <si>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</si>
  <si>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</si>
  <si>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</si>
  <si>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</si>
  <si>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</si>
  <si>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</si>
  <si>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</si>
  <si>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</si>
  <si>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</si>
  <si>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</si>
  <si>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</si>
  <si>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</si>
  <si>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</si>
  <si>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</si>
  <si>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</si>
  <si>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</si>
  <si>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</si>
  <si>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</si>
  <si>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</si>
  <si>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</si>
  <si>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</si>
  <si>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</si>
  <si>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</si>
  <si>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</si>
  <si>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</si>
  <si>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</si>
  <si>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</si>
  <si>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</si>
  <si>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</si>
  <si>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</si>
  <si>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</si>
  <si>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</si>
  <si>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</si>
  <si>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</si>
  <si>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</si>
  <si>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</si>
  <si>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</si>
  <si>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</si>
  <si>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</si>
  <si>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</si>
  <si>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</si>
  <si>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</si>
  <si>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</si>
  <si>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</si>
  <si>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</si>
  <si>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</si>
  <si>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</si>
  <si>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</si>
  <si>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</si>
  <si>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</si>
  <si>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</si>
  <si>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</si>
  <si>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</si>
  <si>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</si>
  <si>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</si>
  <si>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</si>
  <si>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</si>
  <si>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</si>
  <si>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</si>
  <si>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</si>
  <si>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</si>
  <si>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</si>
  <si>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</si>
  <si>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</si>
  <si>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</si>
  <si>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</si>
  <si>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</si>
  <si>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</si>
  <si>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</si>
  <si>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</si>
  <si>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</si>
  <si>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</si>
  <si>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</si>
  <si>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</si>
  <si>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</si>
  <si>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</si>
  <si>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</si>
  <si>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</si>
  <si>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</si>
  <si>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</si>
  <si>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</si>
  <si>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</si>
  <si>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</si>
  <si>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</si>
  <si>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</si>
  <si>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</si>
  <si>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</si>
  <si>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</si>
  <si>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</si>
  <si>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</si>
  <si>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</si>
  <si>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</si>
  <si>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</si>
  <si>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</si>
  <si>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</si>
  <si>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</si>
  <si>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</si>
  <si>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</si>
  <si>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</si>
  <si>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</si>
  <si>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</si>
  <si>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</si>
  <si>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</si>
  <si>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</si>
  <si>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</si>
  <si>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</si>
  <si>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</si>
  <si>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</si>
  <si>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</si>
  <si>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</si>
  <si>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</si>
  <si>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</si>
  <si>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</si>
  <si>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</si>
  <si>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</si>
  <si>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</si>
  <si>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</si>
  <si>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</si>
  <si>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</si>
  <si>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</si>
  <si>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</si>
  <si>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</si>
  <si>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</si>
  <si>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</si>
  <si>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</si>
  <si>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</si>
  <si>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</si>
  <si>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</si>
  <si>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</si>
  <si>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</si>
  <si>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</si>
  <si>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</si>
  <si>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</si>
  <si>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</si>
  <si>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</si>
  <si>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</si>
  <si>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</si>
  <si>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</si>
  <si>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</si>
  <si>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</si>
  <si>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</si>
  <si>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</si>
  <si>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</si>
  <si>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</si>
  <si>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</si>
  <si>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</si>
  <si>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</si>
  <si>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</si>
  <si>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</si>
  <si>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</si>
  <si>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</si>
  <si>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</si>
  <si>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</si>
  <si>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</si>
  <si>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</si>
  <si>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</si>
  <si>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</si>
  <si>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</si>
  <si>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</si>
  <si>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</si>
  <si>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</si>
  <si>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</si>
  <si>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</si>
  <si>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</si>
  <si>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</si>
  <si>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</si>
  <si>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</si>
  <si>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</si>
  <si>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</si>
  <si>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</si>
  <si>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</si>
  <si>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</si>
  <si>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</si>
  <si>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</si>
  <si>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</si>
  <si>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</si>
  <si>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</si>
  <si>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</si>
  <si>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</si>
  <si>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</si>
  <si>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</si>
  <si>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</si>
  <si>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</si>
  <si>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</si>
  <si>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</si>
  <si>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</si>
  <si>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</si>
  <si>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</si>
  <si>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</si>
  <si>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</si>
  <si>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</si>
  <si>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</si>
  <si>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</si>
  <si>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</si>
  <si>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</si>
  <si>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</si>
  <si>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</si>
  <si>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</si>
  <si>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</si>
  <si>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</si>
  <si>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</si>
  <si>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</si>
  <si>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</si>
  <si>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</si>
  <si>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</si>
  <si>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</si>
  <si>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</si>
  <si>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</si>
  <si>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</si>
  <si>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</si>
  <si>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</si>
  <si>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</si>
  <si>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</si>
  <si>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</si>
  <si>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</si>
  <si>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</si>
  <si>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</si>
  <si>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</si>
  <si>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</si>
  <si>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</si>
  <si>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</si>
  <si>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</si>
  <si>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</si>
  <si>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</si>
  <si>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</si>
  <si>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</si>
  <si>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</si>
  <si>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</si>
  <si>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</si>
  <si>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</si>
  <si>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</si>
  <si>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</si>
  <si>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</si>
  <si>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</si>
  <si>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</si>
  <si>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</si>
  <si>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</si>
  <si>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</si>
  <si>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</si>
  <si>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</si>
  <si>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</si>
  <si>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</si>
  <si>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</si>
  <si>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</si>
  <si>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</si>
  <si>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</si>
  <si>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</si>
  <si>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</si>
  <si>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</si>
  <si>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</si>
  <si>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</si>
  <si>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</si>
  <si>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</si>
  <si>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</si>
  <si>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</si>
  <si>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</si>
  <si>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</si>
  <si>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</si>
  <si>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</si>
  <si>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</si>
  <si>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</si>
  <si>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</si>
  <si>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</si>
  <si>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</si>
  <si>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</si>
  <si>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</si>
  <si>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</si>
  <si>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</si>
  <si>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</si>
  <si>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</si>
  <si>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</si>
  <si>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</si>
  <si>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</si>
  <si>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</si>
  <si>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</si>
  <si>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</si>
  <si>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</si>
  <si>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</si>
  <si>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</si>
  <si>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</si>
  <si>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</si>
  <si>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</si>
  <si>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</si>
  <si>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</si>
  <si>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</si>
  <si>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</si>
  <si>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</si>
  <si>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</si>
  <si>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</si>
  <si>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</si>
  <si>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</si>
  <si>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</si>
  <si>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</si>
  <si>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</si>
  <si>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</si>
  <si>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</si>
  <si>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</si>
  <si>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</si>
  <si>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</si>
  <si>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</si>
  <si>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</si>
  <si>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</si>
  <si>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</si>
  <si>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</si>
  <si>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</si>
  <si>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</si>
  <si>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</si>
  <si>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</si>
  <si>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</si>
  <si>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</si>
  <si>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</si>
  <si>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</si>
  <si>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</si>
  <si>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</si>
  <si>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</si>
  <si>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</si>
  <si>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</si>
  <si>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</si>
  <si>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</si>
  <si>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</si>
  <si>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</si>
  <si>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</si>
  <si>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</si>
  <si>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</si>
  <si>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</si>
  <si>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</si>
  <si>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</si>
  <si>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</si>
  <si>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</si>
  <si>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</si>
  <si>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</si>
  <si>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</si>
  <si>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</si>
  <si>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</si>
  <si>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</si>
  <si>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</si>
  <si>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</si>
  <si>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</si>
  <si>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</si>
  <si>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</si>
  <si>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</si>
  <si>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</si>
  <si>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</si>
  <si>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</si>
  <si>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</si>
  <si>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</si>
  <si>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</si>
  <si>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</si>
  <si>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</si>
  <si>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</si>
  <si>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</si>
  <si>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</si>
  <si>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</si>
  <si>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</si>
  <si>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</si>
  <si>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</si>
  <si>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</si>
  <si>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</si>
  <si>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</si>
  <si>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</si>
  <si>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</si>
  <si>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</si>
  <si>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</si>
  <si>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</si>
  <si>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</si>
  <si>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</si>
  <si>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</si>
  <si>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</si>
  <si>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</si>
  <si>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</si>
  <si>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</si>
  <si>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</si>
  <si>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</si>
  <si>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</si>
  <si>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</si>
  <si>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</si>
  <si>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</si>
  <si>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</si>
  <si>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</si>
  <si>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</si>
  <si>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</si>
  <si>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</si>
  <si>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</si>
  <si>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</si>
  <si>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</si>
  <si>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</si>
  <si>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</si>
  <si>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</si>
  <si>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</si>
  <si>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</si>
  <si>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</si>
  <si>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</si>
  <si>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</si>
  <si>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</si>
  <si>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</si>
  <si>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</si>
  <si>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</si>
  <si>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</si>
  <si>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</si>
  <si>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</si>
  <si>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</si>
  <si>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</si>
  <si>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</si>
  <si>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</si>
  <si>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</si>
  <si>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</si>
  <si>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</si>
  <si>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</si>
  <si>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</si>
  <si>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</si>
  <si>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</si>
  <si>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</si>
  <si>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</si>
  <si>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</si>
  <si>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</si>
  <si>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</si>
  <si>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</si>
  <si>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</si>
  <si>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</si>
  <si>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</si>
  <si>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</si>
  <si>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</si>
  <si>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</si>
  <si>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</si>
  <si>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</si>
  <si>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</si>
  <si>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</si>
  <si>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</si>
  <si>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</si>
  <si>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</si>
  <si>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</si>
  <si>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</si>
  <si>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</si>
  <si>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</si>
  <si>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</si>
  <si>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</si>
  <si>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</si>
  <si>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</si>
  <si>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</si>
  <si>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</si>
  <si>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</si>
  <si>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</si>
  <si>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</si>
  <si>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</si>
  <si>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</si>
  <si>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</si>
  <si>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</si>
  <si>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</si>
  <si>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</si>
  <si>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</si>
  <si>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</si>
  <si>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</si>
  <si>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</si>
  <si>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</si>
  <si>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</si>
  <si>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</si>
  <si>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</si>
  <si>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</si>
  <si>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</si>
  <si>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</si>
  <si>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</si>
  <si>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</si>
  <si>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</si>
  <si>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</si>
  <si>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</si>
  <si>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</si>
  <si>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</si>
  <si>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</si>
  <si>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</si>
  <si>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</si>
  <si>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</si>
  <si>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</si>
  <si>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</si>
  <si>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</si>
  <si>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</si>
  <si>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</si>
  <si>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</si>
  <si>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</si>
  <si>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</si>
  <si>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</si>
  <si>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</si>
  <si>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</si>
  <si>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</si>
  <si>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</si>
  <si>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</si>
  <si>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</si>
  <si>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</si>
  <si>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</si>
  <si>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</si>
  <si>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</si>
  <si>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</si>
  <si>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</si>
  <si>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</si>
  <si>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</si>
  <si>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</si>
  <si>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</si>
  <si>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</si>
  <si>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</si>
  <si>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</si>
  <si>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</si>
  <si>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</si>
  <si>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</si>
  <si>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</si>
  <si>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</si>
  <si>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</si>
  <si>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</si>
  <si>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</si>
  <si>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</si>
  <si>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</si>
  <si>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</si>
  <si>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</si>
  <si>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</si>
  <si>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</si>
  <si>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</si>
  <si>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</si>
  <si>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</si>
  <si>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</si>
  <si>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</si>
  <si>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</si>
  <si>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</si>
  <si>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</si>
  <si>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</si>
  <si>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</si>
  <si>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</si>
  <si>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</si>
  <si>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</si>
  <si>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</si>
  <si>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</si>
  <si>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</si>
  <si>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</si>
  <si>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</si>
  <si>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</si>
  <si>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</si>
  <si>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</si>
  <si>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</si>
  <si>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</si>
  <si>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</si>
  <si>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</si>
  <si>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</si>
  <si>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</si>
  <si>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</si>
  <si>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</si>
  <si>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</si>
  <si>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</si>
  <si>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</si>
  <si>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</si>
  <si>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</si>
  <si>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</si>
  <si>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</si>
  <si>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</si>
  <si>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</si>
  <si>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</si>
  <si>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</si>
  <si>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</si>
  <si>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</si>
  <si>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</si>
  <si>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</si>
  <si>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</si>
  <si>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</si>
  <si>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</si>
  <si>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</si>
  <si>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</si>
  <si>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</si>
  <si>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</si>
  <si>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</si>
  <si>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</si>
  <si>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</si>
  <si>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</si>
  <si>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</si>
  <si>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</si>
  <si>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</si>
  <si>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</si>
  <si>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</si>
  <si>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</si>
  <si>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</si>
  <si>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</si>
  <si>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</si>
  <si>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</si>
  <si>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</si>
  <si>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</si>
  <si>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</si>
  <si>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</si>
  <si>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</si>
  <si>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</si>
  <si>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</si>
  <si>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</si>
  <si>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</si>
  <si>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</si>
  <si>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</si>
  <si>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</si>
  <si>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</si>
  <si>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</si>
  <si>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</si>
  <si>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</si>
  <si>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</si>
  <si>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</si>
  <si>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</si>
  <si>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</si>
  <si>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</si>
  <si>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</si>
  <si>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</si>
  <si>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</si>
  <si>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</si>
  <si>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</si>
  <si>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</si>
  <si>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</si>
  <si>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</si>
  <si>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</si>
  <si>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</si>
  <si>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</si>
  <si>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</si>
  <si>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</si>
  <si>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</si>
  <si>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</si>
  <si>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</si>
  <si>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</si>
  <si>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</si>
  <si>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</si>
  <si>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</si>
  <si>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</si>
  <si>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</si>
  <si>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</si>
  <si>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</si>
  <si>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</si>
  <si>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</si>
  <si>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</si>
  <si>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</si>
  <si>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</si>
  <si>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</si>
  <si>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</si>
  <si>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</si>
  <si>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</si>
  <si>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</si>
  <si>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</si>
  <si>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</si>
  <si>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</si>
  <si>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</si>
  <si>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</si>
  <si>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</si>
  <si>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</si>
  <si>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</si>
  <si>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</si>
  <si>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</si>
  <si>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</si>
  <si>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</si>
  <si>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</si>
  <si>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</si>
  <si>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</si>
  <si>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</si>
  <si>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</si>
  <si>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</si>
  <si>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</si>
  <si>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</si>
  <si>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</si>
  <si>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</si>
  <si>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</si>
  <si>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</si>
  <si>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</si>
  <si>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</si>
  <si>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</si>
  <si>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</si>
  <si>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</si>
  <si>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</si>
  <si>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</si>
  <si>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</si>
  <si>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</si>
  <si>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</si>
  <si>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</si>
  <si>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</si>
  <si>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</si>
  <si>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</si>
  <si>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</si>
  <si>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</si>
  <si>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</si>
  <si>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</si>
  <si>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</si>
  <si>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</si>
  <si>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</si>
  <si>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</si>
  <si>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</si>
  <si>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</si>
  <si>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</si>
  <si>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</si>
  <si>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</si>
  <si>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</si>
  <si>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</si>
  <si>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</si>
  <si>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</si>
  <si>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</si>
  <si>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</si>
  <si>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</si>
  <si>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</si>
  <si>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</si>
  <si>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</si>
  <si>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</si>
  <si>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</si>
  <si>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</si>
  <si>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</si>
  <si>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</si>
  <si>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</si>
  <si>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</si>
  <si>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</si>
  <si>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</si>
  <si>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</si>
  <si>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</si>
  <si>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</si>
  <si>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</si>
  <si>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</si>
  <si>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</si>
  <si>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</si>
  <si>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</si>
  <si>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</si>
  <si>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</si>
  <si>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</si>
  <si>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</si>
  <si>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</si>
  <si>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</si>
  <si>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</si>
  <si>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</si>
  <si>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</si>
  <si>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</si>
  <si>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</si>
  <si>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</si>
  <si>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</si>
  <si>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</si>
  <si>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</si>
  <si>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</si>
  <si>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</si>
  <si>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</si>
  <si>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</si>
  <si>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</si>
  <si>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</si>
  <si>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</si>
  <si>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</si>
  <si>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</si>
  <si>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</si>
  <si>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</si>
  <si>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</si>
  <si>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</si>
  <si>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</si>
  <si>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</si>
  <si>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</si>
  <si>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</si>
  <si>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</si>
  <si>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</si>
  <si>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</si>
  <si>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</si>
  <si>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</si>
  <si>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</si>
  <si>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</si>
  <si>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</si>
  <si>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</si>
  <si>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</si>
  <si>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</si>
  <si>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</si>
  <si>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</si>
  <si>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</si>
  <si>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</si>
  <si>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</si>
  <si>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</si>
  <si>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</si>
  <si>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</si>
  <si>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</si>
  <si>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</si>
  <si>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</si>
  <si>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</si>
  <si>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</si>
  <si>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</si>
  <si>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</si>
  <si>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</si>
  <si>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</si>
  <si>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</si>
  <si>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</si>
  <si>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</si>
  <si>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</si>
  <si>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</si>
  <si>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</si>
  <si>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</si>
  <si>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</si>
  <si>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</si>
  <si>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</si>
  <si>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</si>
  <si>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</si>
  <si>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</si>
  <si>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</si>
  <si>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</si>
  <si>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</si>
  <si>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</si>
  <si>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</si>
  <si>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</si>
  <si>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</si>
  <si>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</si>
  <si>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</si>
  <si>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</si>
  <si>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</si>
  <si>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</si>
  <si>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</si>
  <si>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</si>
  <si>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</si>
  <si>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</si>
  <si>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</si>
  <si>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</si>
  <si>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</si>
  <si>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</si>
  <si>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</si>
  <si>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</si>
  <si>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</si>
  <si>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</si>
  <si>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</si>
  <si>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</si>
  <si>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</si>
  <si>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</si>
  <si>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</si>
  <si>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</si>
  <si>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</si>
  <si>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</si>
  <si>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</si>
  <si>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</si>
  <si>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</si>
  <si>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</si>
  <si>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</si>
  <si>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</si>
  <si>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</si>
  <si>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</si>
  <si>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</si>
  <si>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</si>
  <si>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</si>
  <si>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</si>
  <si>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</si>
  <si>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</si>
  <si>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</si>
  <si>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</si>
  <si>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</si>
  <si>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</si>
  <si>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</si>
  <si>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</si>
  <si>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</si>
  <si>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</si>
  <si>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</si>
  <si>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</si>
  <si>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</si>
  <si>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</si>
  <si>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</si>
  <si>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</si>
  <si>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</si>
  <si>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</si>
  <si>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</si>
  <si>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</si>
  <si>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</si>
  <si>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</si>
  <si>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</si>
  <si>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</si>
  <si>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</si>
  <si>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</si>
  <si>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</si>
  <si>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</si>
  <si>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</si>
  <si>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</si>
  <si>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</si>
  <si>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</si>
  <si>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</si>
  <si>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</si>
  <si>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</si>
  <si>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</si>
  <si>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</si>
  <si>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</si>
  <si>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</si>
  <si>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</si>
  <si>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</si>
  <si>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</si>
  <si>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</si>
  <si>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</si>
  <si>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</si>
  <si>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</si>
  <si>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</si>
  <si>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</si>
  <si>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</si>
  <si>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</si>
  <si>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</si>
  <si>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</si>
  <si>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</si>
  <si>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</si>
  <si>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</si>
  <si>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</si>
  <si>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</si>
  <si>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</si>
  <si>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</si>
  <si>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</si>
  <si>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</si>
  <si>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</si>
  <si>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</si>
  <si>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</si>
  <si>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</si>
  <si>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</si>
  <si>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</si>
  <si>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</si>
  <si>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</si>
  <si>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</si>
  <si>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</si>
  <si>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</si>
  <si>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</si>
  <si>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</si>
  <si>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</si>
  <si>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</si>
  <si>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</si>
  <si>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</si>
  <si>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</si>
  <si>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</si>
  <si>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</si>
  <si>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</si>
  <si>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</si>
  <si>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</si>
  <si>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</si>
  <si>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</si>
  <si>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</si>
  <si>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</si>
  <si>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</si>
  <si>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</si>
  <si>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</si>
  <si>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</si>
  <si>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</si>
  <si>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</si>
  <si>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</si>
  <si>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</si>
  <si>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</si>
  <si>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</si>
  <si>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</si>
  <si>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</si>
  <si>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</si>
  <si>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</si>
  <si>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</si>
  <si>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</si>
  <si>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</si>
  <si>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</si>
  <si>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</si>
  <si>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</si>
  <si>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</si>
  <si>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</si>
  <si>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</si>
  <si>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</si>
  <si>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</si>
  <si>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</si>
  <si>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</si>
  <si>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</si>
  <si>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</si>
  <si>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</si>
  <si>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</si>
  <si>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</si>
  <si>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</si>
  <si>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</si>
  <si>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</si>
  <si>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</si>
  <si>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</si>
  <si>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</si>
  <si>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</si>
  <si>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</si>
  <si>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</si>
  <si>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</si>
  <si>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</si>
  <si>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</si>
  <si>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</si>
  <si>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</si>
  <si>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</si>
  <si>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</si>
  <si>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</si>
  <si>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</si>
  <si>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</si>
  <si>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</si>
  <si>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</si>
  <si>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</si>
  <si>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</si>
  <si>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</si>
  <si>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</si>
  <si>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</si>
  <si>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</si>
  <si>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</si>
  <si>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</si>
  <si>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</si>
  <si>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</si>
  <si>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</si>
  <si>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</si>
  <si>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</si>
  <si>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</si>
  <si>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</si>
  <si>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</si>
  <si>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</si>
  <si>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</si>
  <si>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</si>
  <si>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</si>
  <si>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</si>
  <si>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</si>
  <si>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</si>
  <si>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</si>
  <si>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</si>
  <si>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</si>
  <si>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</si>
  <si>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</si>
  <si>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</si>
  <si>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</si>
  <si>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</si>
  <si>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</si>
  <si>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</si>
  <si>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</si>
  <si>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</si>
  <si>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</si>
  <si>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</si>
  <si>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</si>
  <si>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</si>
  <si>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</si>
  <si>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</si>
  <si>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</si>
  <si>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</si>
  <si>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</si>
  <si>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</si>
  <si>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</si>
  <si>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</si>
  <si>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</si>
  <si>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</si>
  <si>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</si>
  <si>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</si>
  <si>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</si>
  <si>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</si>
  <si>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</si>
  <si>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</si>
  <si>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</si>
  <si>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</si>
  <si>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</si>
  <si>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</si>
  <si>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</si>
  <si>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</si>
  <si>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</si>
  <si>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</si>
  <si>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</si>
  <si>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</si>
  <si>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</si>
  <si>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</si>
  <si>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</si>
  <si>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</si>
  <si>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</si>
  <si>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</si>
  <si>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</si>
  <si>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</si>
  <si>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</si>
  <si>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</si>
  <si>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</si>
  <si>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</si>
  <si>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</si>
  <si>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</si>
  <si>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</si>
  <si>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</si>
  <si>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</si>
  <si>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</si>
  <si>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</si>
  <si>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</si>
  <si>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</si>
  <si>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</si>
  <si>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</si>
  <si>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</si>
  <si>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</si>
  <si>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</si>
  <si>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</si>
  <si>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</si>
  <si>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</si>
  <si>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</si>
  <si>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</si>
  <si>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</si>
  <si>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</si>
  <si>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</si>
  <si>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</si>
  <si>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</si>
  <si>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</si>
  <si>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</si>
  <si>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</si>
  <si>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</si>
  <si>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</si>
  <si>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</si>
  <si>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</si>
  <si>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</si>
  <si>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</si>
  <si>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</si>
  <si>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</si>
  <si>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</si>
  <si>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</si>
  <si>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</si>
  <si>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</si>
  <si>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</si>
  <si>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</si>
  <si>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</si>
  <si>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</si>
  <si>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</si>
  <si>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</si>
  <si>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</si>
  <si>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</si>
  <si>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</si>
  <si>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</si>
  <si>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</si>
  <si>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</si>
  <si>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</si>
  <si>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</si>
  <si>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</si>
  <si>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</si>
  <si>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</si>
  <si>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</si>
  <si>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</si>
  <si>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</si>
  <si>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</si>
  <si>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</si>
  <si>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</si>
  <si>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</si>
  <si>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</si>
  <si>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</si>
  <si>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</si>
  <si>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</si>
  <si>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</si>
  <si>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</si>
  <si>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</si>
  <si>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</si>
  <si>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</si>
  <si>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</si>
  <si>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</si>
  <si>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</si>
  <si>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</si>
  <si>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</si>
  <si>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</si>
  <si>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</si>
  <si>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</si>
  <si>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</si>
  <si>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</si>
  <si>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</si>
  <si>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</si>
  <si>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</si>
  <si>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</si>
  <si>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</si>
  <si>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</si>
  <si>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</si>
  <si>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</si>
  <si>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</si>
  <si>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</si>
  <si>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</si>
  <si>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</si>
  <si>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</si>
  <si>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</si>
  <si>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</si>
  <si>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</si>
  <si>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</si>
  <si>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</si>
  <si>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</si>
  <si>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</si>
  <si>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</si>
  <si>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</si>
  <si>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</si>
  <si>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</si>
  <si>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</si>
  <si>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</si>
  <si>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</si>
  <si>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</si>
  <si>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</si>
  <si>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</si>
  <si>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</si>
  <si>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</si>
  <si>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</si>
  <si>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</si>
  <si>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</si>
  <si>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</si>
  <si>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</si>
  <si>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</si>
  <si>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</si>
  <si>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</si>
  <si>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</si>
  <si>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</si>
  <si>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</si>
  <si>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</si>
  <si>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</si>
  <si>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</si>
  <si>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</si>
  <si>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</si>
  <si>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</si>
  <si>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</si>
  <si>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</si>
  <si>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</si>
  <si>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</si>
  <si>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</si>
  <si>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</si>
  <si>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</si>
  <si>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</si>
  <si>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</si>
  <si>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</si>
  <si>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</si>
  <si>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</si>
  <si>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</si>
  <si>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</si>
  <si>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</si>
  <si>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</si>
  <si>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</si>
  <si>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</si>
  <si>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</si>
  <si>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</si>
  <si>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</si>
  <si>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</si>
  <si>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</si>
  <si>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</si>
  <si>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</si>
  <si>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</si>
  <si>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</si>
  <si>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</si>
  <si>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</si>
  <si>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</si>
  <si>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</si>
  <si>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</si>
  <si>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</si>
  <si>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</si>
  <si>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</si>
  <si>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</si>
  <si>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</si>
  <si>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</si>
  <si>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</si>
  <si>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</si>
  <si>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</si>
  <si>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</si>
  <si>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</si>
  <si>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</si>
  <si>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</si>
  <si>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</si>
  <si>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</si>
  <si>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</si>
  <si>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</si>
  <si>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</si>
  <si>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</si>
  <si>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</si>
  <si>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</si>
  <si>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</si>
  <si>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</si>
  <si>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</si>
  <si>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</si>
  <si>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</si>
  <si>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</si>
  <si>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</si>
  <si>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</si>
  <si>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</si>
  <si>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</si>
  <si>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</si>
  <si>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</si>
  <si>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</si>
  <si>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</si>
  <si>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</si>
  <si>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</si>
  <si>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</si>
  <si>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</si>
  <si>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</si>
  <si>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</si>
  <si>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</si>
  <si>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</si>
  <si>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</si>
  <si>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</si>
  <si>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</si>
  <si>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</si>
  <si>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</si>
  <si>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</si>
  <si>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</si>
  <si>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</si>
  <si>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</si>
  <si>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</si>
  <si>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</si>
  <si>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</si>
  <si>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</si>
  <si>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</si>
  <si>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</si>
  <si>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</si>
  <si>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</si>
  <si>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</si>
  <si>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</si>
  <si>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</si>
  <si>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</si>
  <si>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</si>
  <si>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</si>
  <si>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</si>
  <si>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</si>
  <si>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</si>
  <si>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</si>
  <si>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</si>
  <si>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</si>
  <si>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</si>
  <si>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</si>
  <si>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</si>
  <si>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</si>
  <si>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</si>
  <si>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</si>
  <si>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</si>
  <si>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</si>
  <si>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</si>
  <si>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</si>
  <si>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</si>
  <si>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</si>
  <si>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</si>
  <si>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</si>
  <si>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</si>
  <si>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</si>
  <si>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</si>
  <si>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</si>
  <si>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</si>
  <si>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</si>
  <si>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</si>
  <si>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</si>
  <si>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</si>
  <si>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</si>
  <si>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</si>
  <si>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</si>
  <si>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</si>
  <si>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</si>
  <si>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</si>
  <si>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</si>
  <si>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</si>
  <si>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</si>
  <si>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</si>
  <si>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</si>
  <si>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</si>
  <si>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</si>
  <si>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</si>
  <si>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</si>
  <si>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</si>
  <si>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</si>
  <si>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</si>
  <si>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</si>
  <si>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</si>
  <si>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</si>
  <si>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</si>
  <si>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</si>
  <si>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</si>
  <si>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</si>
  <si>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</si>
  <si>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</si>
  <si>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</si>
  <si>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</si>
  <si>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</si>
  <si>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</si>
  <si>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</si>
  <si>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</si>
  <si>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</si>
  <si>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</si>
  <si>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</si>
  <si>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</si>
  <si>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</si>
  <si>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</si>
  <si>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</si>
  <si>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</si>
  <si>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</si>
  <si>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</si>
  <si>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</si>
  <si>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</si>
  <si>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</si>
  <si>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</si>
  <si>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</si>
  <si>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</si>
  <si>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</si>
  <si>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</si>
  <si>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</si>
  <si>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</si>
  <si>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</si>
  <si>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</si>
  <si>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</si>
  <si>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</si>
  <si>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</si>
  <si>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</si>
  <si>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</si>
  <si>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</si>
  <si>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</si>
  <si>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</si>
  <si>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</si>
  <si>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</si>
  <si>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</si>
  <si>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</si>
  <si>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</si>
  <si>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</si>
  <si>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</si>
  <si>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</si>
  <si>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</si>
  <si>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</si>
  <si>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</si>
  <si>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</si>
  <si>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</si>
  <si>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</si>
  <si>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</si>
  <si>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</si>
  <si>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</si>
  <si>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</si>
  <si>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</si>
  <si>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</si>
  <si>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</si>
  <si>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</si>
  <si>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</si>
  <si>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</si>
  <si>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</si>
  <si>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</si>
  <si>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</si>
  <si>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</si>
  <si>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</si>
  <si>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</si>
  <si>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</si>
  <si>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</si>
  <si>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</si>
  <si>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</si>
  <si>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</si>
  <si>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</si>
  <si>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</si>
  <si>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</si>
  <si>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</si>
  <si>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</si>
  <si>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</si>
  <si>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</si>
  <si>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</si>
  <si>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</si>
  <si>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</si>
  <si>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</si>
  <si>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</si>
  <si>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</si>
  <si>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</si>
  <si>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</si>
  <si>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</si>
  <si>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</si>
  <si>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</si>
  <si>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</si>
  <si>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</si>
  <si>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</si>
  <si>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</si>
  <si>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</si>
  <si>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</si>
  <si>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</si>
  <si>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</si>
  <si>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</si>
  <si>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</si>
  <si>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</si>
  <si>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</si>
  <si>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</si>
  <si>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</si>
  <si>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</si>
  <si>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</si>
  <si>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</si>
  <si>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</si>
  <si>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</si>
  <si>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</si>
  <si>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</si>
  <si>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</si>
  <si>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</si>
  <si>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</si>
  <si>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</si>
  <si>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</si>
  <si>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</si>
  <si>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</si>
  <si>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</si>
  <si>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</si>
  <si>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</si>
  <si>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</si>
  <si>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</si>
  <si>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</si>
  <si>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</si>
  <si>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</si>
  <si>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</si>
  <si>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</si>
  <si>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</si>
  <si>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</si>
  <si>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</si>
  <si>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</si>
  <si>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</si>
  <si>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</si>
  <si>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</si>
  <si>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</si>
  <si>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</si>
  <si>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</si>
  <si>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</si>
  <si>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</si>
  <si>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</si>
  <si>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</si>
  <si>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</si>
  <si>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</si>
  <si>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</si>
  <si>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</si>
  <si>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</si>
  <si>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</si>
  <si>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</si>
  <si>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</si>
  <si>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</si>
  <si>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</si>
  <si>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</si>
  <si>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</si>
  <si>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</si>
  <si>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</si>
  <si>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</si>
  <si>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</si>
  <si>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</si>
  <si>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</si>
  <si>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</si>
  <si>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</si>
  <si>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</si>
  <si>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</si>
  <si>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</si>
  <si>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</si>
  <si>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</si>
  <si>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</si>
  <si>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</si>
  <si>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</si>
  <si>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</si>
  <si>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</si>
  <si>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</si>
  <si>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</si>
  <si>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</si>
  <si>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</si>
  <si>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</si>
  <si>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</si>
  <si>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</si>
  <si>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</si>
  <si>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</si>
  <si>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</si>
  <si>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</si>
  <si>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</si>
  <si>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</si>
  <si>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</si>
  <si>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</si>
  <si>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</si>
  <si>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</si>
  <si>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</si>
  <si>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</si>
  <si>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</si>
  <si>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</si>
  <si>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</si>
  <si>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</si>
  <si>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</si>
  <si>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</si>
  <si>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</si>
  <si>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</si>
  <si>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</si>
  <si>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</si>
  <si>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</si>
  <si>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</si>
  <si>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</si>
  <si>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</si>
  <si>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</si>
  <si>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</si>
  <si>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</si>
  <si>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</si>
  <si>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</si>
  <si>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</si>
  <si>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</si>
  <si>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</si>
  <si>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</si>
  <si>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</si>
  <si>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</si>
  <si>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</si>
  <si>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</si>
  <si>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</si>
  <si>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</si>
  <si>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</si>
  <si>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</si>
  <si>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</si>
  <si>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</si>
  <si>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</si>
  <si>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</si>
  <si>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</si>
  <si>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</si>
  <si>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</si>
  <si>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</si>
  <si>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</si>
  <si>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</si>
  <si>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</si>
  <si>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</si>
  <si>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</si>
  <si>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</si>
  <si>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</si>
  <si>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</si>
  <si>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</si>
  <si>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</si>
  <si>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</si>
  <si>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</si>
  <si>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</si>
  <si>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</si>
  <si>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</si>
  <si>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</si>
  <si>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</si>
  <si>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</si>
  <si>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</si>
  <si>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</si>
  <si>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</si>
  <si>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</si>
  <si>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</si>
  <si>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</si>
  <si>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</si>
  <si>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</si>
  <si>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</si>
  <si>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</si>
  <si>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</si>
  <si>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</si>
  <si>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</si>
  <si>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</si>
  <si>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</si>
  <si>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</si>
  <si>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</si>
  <si>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</si>
  <si>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</si>
  <si>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</si>
  <si>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</si>
  <si>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</si>
  <si>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</si>
  <si>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</si>
  <si>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</si>
  <si>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</si>
  <si>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</si>
  <si>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</si>
  <si>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</si>
  <si>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</si>
  <si>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</si>
  <si>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</si>
  <si>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</si>
  <si>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</si>
  <si>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</si>
  <si>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</si>
  <si>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</si>
  <si>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</si>
  <si>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</si>
  <si>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</si>
  <si>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</si>
  <si>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</si>
  <si>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</si>
  <si>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</si>
  <si>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</si>
  <si>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</si>
  <si>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</si>
  <si>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</si>
  <si>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</si>
  <si>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</si>
  <si>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</si>
  <si>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</si>
  <si>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</si>
  <si>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</si>
  <si>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</si>
  <si>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</si>
  <si>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</si>
  <si>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</si>
  <si>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</si>
  <si>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</si>
  <si>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</si>
  <si>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</si>
  <si>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</si>
  <si>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</si>
  <si>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</si>
  <si>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</si>
  <si>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</si>
  <si>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</si>
  <si>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</si>
  <si>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</si>
  <si>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</si>
  <si>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</si>
  <si>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</si>
  <si>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</si>
  <si>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</si>
  <si>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</si>
  <si>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</si>
  <si>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</si>
  <si>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</si>
  <si>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</si>
  <si>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</si>
  <si>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</si>
  <si>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</si>
  <si>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</si>
  <si>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</si>
  <si>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</si>
  <si>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</si>
  <si>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</si>
  <si>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</si>
  <si>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</si>
  <si>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</si>
  <si>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</si>
  <si>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</si>
  <si>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</si>
  <si>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</si>
  <si>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</si>
  <si>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</si>
  <si>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</si>
  <si>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</si>
  <si>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</si>
  <si>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</si>
  <si>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</si>
  <si>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</si>
  <si>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</si>
  <si>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</si>
  <si>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</si>
  <si>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</si>
  <si>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</si>
  <si>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</si>
  <si>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</si>
  <si>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</si>
  <si>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</si>
  <si>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</si>
  <si>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</si>
  <si>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</si>
  <si>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</si>
  <si>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</si>
  <si>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</si>
  <si>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</si>
  <si>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</si>
  <si>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</si>
  <si>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</si>
  <si>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</si>
  <si>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</si>
  <si>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</si>
  <si>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</si>
  <si>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</si>
  <si>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</si>
  <si>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</si>
  <si>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</si>
  <si>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</si>
  <si>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</si>
  <si>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</si>
  <si>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</si>
  <si>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</si>
  <si>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</si>
  <si>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</si>
  <si>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</si>
  <si>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</si>
  <si>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</si>
  <si>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</si>
  <si>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</si>
  <si>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</si>
  <si>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</si>
  <si>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</si>
  <si>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</si>
  <si>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</si>
  <si>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</si>
  <si>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</si>
  <si>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</si>
  <si>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</si>
  <si>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</si>
  <si>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</si>
  <si>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</si>
  <si>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</si>
  <si>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</si>
  <si>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</si>
  <si>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</si>
  <si>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</si>
  <si>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</si>
  <si>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</si>
  <si>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</si>
  <si>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</si>
  <si>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</si>
  <si>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</si>
  <si>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</si>
  <si>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</si>
  <si>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</si>
  <si>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</si>
  <si>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</si>
  <si>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</si>
  <si>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</si>
  <si>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</si>
  <si>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</si>
  <si>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</si>
  <si>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</si>
  <si>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</si>
  <si>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</si>
  <si>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</si>
  <si>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</si>
  <si>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</si>
  <si>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</si>
  <si>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</si>
  <si>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</si>
  <si>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</si>
  <si>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</si>
  <si>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</si>
  <si>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</si>
  <si>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</si>
  <si>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</si>
  <si>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</si>
  <si>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</si>
  <si>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</si>
  <si>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</si>
  <si>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</si>
  <si>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</si>
  <si>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</si>
  <si>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</si>
  <si>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</si>
  <si>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</si>
  <si>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</si>
  <si>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</si>
  <si>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</si>
  <si>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</si>
  <si>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</si>
  <si>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</si>
  <si>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</si>
  <si>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</si>
  <si>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</si>
  <si>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</si>
  <si>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</si>
  <si>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</si>
  <si>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</si>
  <si>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</si>
  <si>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</si>
  <si>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</si>
  <si>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</si>
  <si>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</si>
  <si>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</si>
  <si>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</si>
  <si>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</si>
  <si>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</si>
  <si>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</si>
  <si>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</si>
  <si>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</si>
  <si>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</si>
  <si>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</si>
  <si>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</si>
  <si>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</si>
  <si>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</si>
  <si>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</si>
  <si>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</si>
  <si>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</si>
  <si>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</si>
  <si>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</si>
  <si>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</si>
  <si>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</si>
  <si>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</si>
  <si>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</si>
  <si>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</si>
  <si>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</si>
  <si>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</si>
  <si>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</si>
  <si>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</si>
  <si>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</si>
  <si>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</si>
  <si>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</si>
  <si>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</si>
  <si>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</si>
  <si>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</si>
  <si>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</si>
  <si>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</si>
  <si>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</si>
  <si>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</si>
  <si>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</si>
  <si>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</si>
  <si>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</si>
  <si>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</si>
  <si>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</si>
  <si>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</si>
  <si>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</si>
  <si>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</si>
  <si>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</si>
  <si>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</si>
  <si>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</si>
  <si>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</si>
  <si>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</si>
  <si>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</si>
  <si>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</si>
  <si>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</si>
  <si>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</si>
  <si>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</si>
  <si>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</si>
  <si>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</si>
  <si>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</si>
  <si>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</si>
  <si>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</si>
  <si>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</si>
  <si>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</si>
  <si>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</si>
  <si>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</si>
  <si>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</si>
  <si>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</si>
  <si>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</si>
  <si>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</si>
  <si>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</si>
  <si>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</si>
  <si>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</si>
  <si>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</si>
  <si>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</si>
  <si>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</si>
  <si>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</si>
  <si>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</si>
  <si>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</si>
  <si>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</si>
  <si>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</si>
  <si>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</si>
  <si>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</si>
  <si>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</si>
  <si>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</si>
  <si>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</si>
  <si>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</si>
  <si>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</si>
  <si>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</si>
  <si>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</si>
  <si>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</si>
  <si>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</si>
  <si>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</si>
  <si>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</si>
  <si>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</si>
  <si>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</si>
  <si>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</si>
  <si>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</si>
  <si>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</si>
  <si>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</si>
  <si>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</si>
  <si>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</si>
  <si>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</si>
  <si>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</si>
  <si>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</si>
  <si>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</si>
  <si>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</si>
  <si>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</si>
  <si>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</si>
  <si>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</si>
  <si>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</si>
  <si>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</si>
  <si>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</si>
  <si>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</si>
  <si>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</si>
  <si>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</si>
  <si>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</si>
  <si>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</si>
  <si>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</si>
  <si>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</si>
  <si>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</si>
  <si>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</si>
  <si>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</si>
  <si>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</si>
  <si>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</si>
  <si>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</si>
  <si>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</si>
  <si>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</si>
  <si>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</si>
  <si>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</si>
  <si>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</si>
  <si>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</si>
  <si>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</si>
  <si>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</si>
  <si>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</si>
  <si>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</si>
  <si>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</si>
  <si>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</si>
  <si>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</si>
  <si>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</si>
  <si>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</si>
  <si>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</si>
  <si>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</si>
  <si>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</si>
  <si>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</si>
  <si>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</si>
  <si>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</si>
  <si>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</si>
  <si>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</si>
  <si>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</si>
  <si>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</si>
  <si>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</si>
  <si>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</si>
  <si>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</si>
  <si>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</si>
  <si>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</si>
  <si>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</si>
  <si>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</si>
  <si>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</si>
  <si>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</si>
  <si>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</si>
  <si>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</si>
  <si>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</si>
  <si>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</si>
  <si>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</si>
  <si>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</si>
  <si>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</si>
  <si>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</si>
  <si>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</si>
  <si>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</si>
  <si>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</si>
  <si>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</si>
  <si>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</si>
  <si>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</si>
  <si>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</si>
  <si>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</si>
  <si>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</si>
  <si>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</si>
  <si>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</si>
  <si>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</si>
  <si>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</si>
  <si>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</si>
  <si>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</si>
  <si>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</si>
  <si>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</si>
  <si>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</si>
  <si>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</si>
  <si>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</si>
  <si>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</si>
  <si>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</si>
  <si>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</si>
  <si>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</si>
  <si>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</si>
  <si>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</si>
  <si>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</si>
  <si>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</si>
  <si>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</si>
  <si>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</si>
  <si>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</si>
  <si>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</si>
  <si>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</si>
  <si>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</si>
  <si>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</si>
  <si>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</si>
  <si>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</si>
  <si>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</si>
  <si>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</si>
  <si>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</si>
  <si>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</si>
  <si>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</si>
  <si>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</si>
  <si>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</si>
  <si>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</si>
  <si>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</si>
  <si>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</si>
  <si>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</si>
  <si>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</si>
  <si>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</si>
  <si>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</si>
  <si>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</si>
  <si>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</si>
  <si>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</si>
  <si>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</si>
  <si>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</si>
  <si>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</si>
  <si>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</si>
  <si>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</si>
  <si>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</si>
  <si>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</si>
  <si>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</si>
  <si>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</si>
  <si>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</si>
  <si>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</si>
  <si>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</si>
  <si>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</si>
  <si>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</si>
  <si>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</si>
  <si>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</si>
  <si>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</si>
  <si>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</si>
  <si>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</si>
  <si>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</si>
  <si>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</si>
  <si>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</si>
  <si>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</si>
  <si>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</si>
  <si>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</si>
  <si>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</si>
  <si>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</si>
  <si>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</si>
  <si>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</si>
  <si>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</si>
  <si>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</si>
  <si>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</si>
  <si>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</si>
  <si>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</si>
  <si>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</si>
  <si>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</si>
  <si>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</si>
  <si>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</si>
  <si>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</si>
  <si>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</si>
  <si>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</si>
  <si>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</si>
  <si>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</si>
  <si>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</si>
  <si>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</si>
  <si>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</si>
  <si>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</si>
  <si>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</si>
  <si>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</si>
  <si>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</si>
  <si>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</si>
  <si>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</si>
  <si>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</si>
  <si>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</si>
  <si>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</si>
  <si>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</si>
  <si>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</si>
  <si>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</si>
  <si>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</si>
  <si>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</si>
  <si>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</si>
  <si>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</si>
  <si>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</si>
  <si>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</si>
  <si>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</si>
  <si>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</si>
  <si>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</si>
  <si>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</si>
  <si>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</si>
  <si>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</si>
  <si>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</si>
  <si>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</si>
  <si>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</si>
  <si>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</si>
  <si>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</si>
  <si>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</si>
  <si>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</si>
  <si>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</si>
  <si>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</si>
  <si>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</si>
  <si>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</si>
  <si>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</si>
  <si>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</si>
  <si>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</si>
  <si>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</si>
  <si>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</si>
  <si>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</si>
  <si>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</si>
  <si>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</si>
  <si>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</si>
  <si>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</si>
  <si>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</si>
  <si>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</si>
  <si>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</si>
  <si>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</si>
  <si>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</si>
  <si>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</si>
  <si>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</si>
  <si>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</si>
  <si>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</si>
  <si>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</si>
  <si>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</si>
  <si>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</si>
  <si>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</si>
  <si>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</si>
  <si>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</si>
  <si>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</si>
  <si>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</si>
  <si>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</si>
  <si>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</si>
  <si>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</si>
  <si>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</si>
  <si>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</si>
  <si>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</si>
  <si>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</si>
  <si>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</si>
  <si>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</si>
  <si>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</si>
  <si>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</si>
  <si>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</si>
  <si>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</si>
  <si>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</si>
  <si>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</si>
  <si>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</si>
  <si>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</si>
  <si>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</si>
  <si>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</si>
  <si>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</si>
  <si>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</si>
  <si>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</si>
  <si>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</si>
  <si>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</si>
  <si>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</si>
  <si>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</si>
  <si>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</si>
  <si>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</si>
  <si>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</si>
  <si>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</si>
  <si>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</si>
  <si>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</si>
  <si>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</si>
  <si>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</si>
  <si>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</si>
  <si>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</si>
  <si>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</si>
  <si>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</si>
  <si>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</si>
  <si>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</si>
  <si>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</si>
  <si>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</si>
  <si>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</si>
  <si>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</si>
  <si>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</si>
  <si>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</si>
  <si>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</si>
  <si>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</si>
  <si>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</si>
  <si>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</si>
  <si>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</si>
  <si>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</si>
  <si>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</si>
  <si>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</si>
  <si>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</si>
  <si>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</si>
  <si>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</si>
  <si>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</si>
  <si>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</si>
  <si>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</si>
  <si>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</si>
  <si>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</si>
  <si>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</si>
  <si>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</si>
  <si>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</si>
  <si>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</si>
  <si>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</si>
  <si>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</si>
  <si>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</si>
  <si>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</si>
  <si>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</si>
  <si>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</si>
  <si>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</si>
  <si>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</si>
  <si>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</si>
  <si>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</si>
  <si>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</si>
  <si>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</si>
  <si>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</si>
  <si>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</si>
  <si>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</si>
  <si>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</si>
  <si>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</si>
  <si>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</si>
  <si>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</si>
  <si>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</si>
  <si>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</si>
  <si>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</si>
  <si>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</si>
  <si>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</si>
  <si>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</si>
  <si>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</si>
  <si>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</si>
  <si>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</si>
  <si>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</si>
  <si>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</si>
  <si>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</si>
  <si>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</si>
  <si>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</si>
  <si>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</si>
  <si>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</si>
  <si>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</si>
  <si>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</si>
  <si>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</si>
  <si>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</si>
  <si>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</si>
  <si>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</si>
  <si>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</si>
  <si>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</si>
  <si>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</si>
  <si>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</si>
  <si>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</si>
  <si>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</si>
  <si>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</si>
  <si>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</si>
  <si>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</si>
  <si>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</si>
  <si>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</si>
  <si>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</si>
  <si>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</si>
  <si>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</si>
  <si>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</si>
  <si>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</si>
  <si>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</si>
  <si>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</si>
  <si>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</si>
  <si>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</si>
  <si>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</si>
  <si>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</si>
  <si>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</si>
  <si>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</si>
  <si>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</si>
  <si>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</si>
  <si>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</si>
  <si>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</si>
  <si>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</si>
  <si>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</si>
  <si>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</si>
  <si>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</si>
  <si>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</si>
  <si>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</si>
  <si>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</si>
  <si>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</si>
  <si>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</si>
  <si>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</si>
  <si>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</si>
  <si>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</si>
  <si>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</si>
  <si>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</si>
  <si>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</si>
  <si>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</si>
  <si>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</si>
  <si>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</si>
  <si>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</si>
  <si>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</si>
  <si>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</si>
  <si>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</si>
  <si>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</si>
  <si>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</si>
  <si>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</si>
  <si>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</si>
  <si>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</si>
  <si>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</si>
  <si>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</si>
  <si>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</si>
  <si>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</si>
  <si>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</si>
  <si>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</si>
  <si>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</si>
  <si>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</si>
  <si>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</si>
  <si>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</si>
  <si>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</si>
  <si>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</si>
  <si>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</si>
  <si>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</si>
  <si>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</si>
  <si>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</si>
  <si>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</si>
  <si>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</si>
  <si>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</si>
  <si>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</si>
  <si>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</si>
  <si>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</si>
  <si>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</si>
  <si>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</si>
  <si>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</si>
  <si>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</si>
  <si>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</si>
  <si>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</si>
  <si>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</si>
  <si>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</si>
  <si>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</si>
  <si>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</si>
  <si>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</si>
  <si>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</si>
  <si>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</si>
  <si>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</si>
  <si>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</si>
  <si>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</si>
  <si>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</si>
  <si>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</si>
  <si>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</si>
  <si>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</si>
  <si>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</si>
  <si>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</si>
  <si>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</si>
  <si>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</si>
  <si>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</si>
  <si>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</si>
  <si>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</si>
  <si>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</si>
  <si>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</si>
  <si>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</si>
  <si>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</si>
  <si>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</si>
  <si>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</si>
  <si>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</si>
  <si>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</si>
  <si>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</si>
  <si>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</si>
  <si>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</si>
  <si>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</si>
  <si>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</si>
  <si>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</si>
  <si>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</si>
  <si>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</si>
  <si>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</si>
  <si>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</si>
  <si>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</si>
  <si>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</si>
  <si>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</si>
  <si>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</si>
  <si>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</si>
  <si>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</si>
  <si>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</si>
  <si>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</si>
  <si>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</si>
  <si>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</si>
  <si>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</si>
  <si>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</si>
  <si>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</si>
  <si>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</si>
  <si>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</si>
  <si>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</si>
  <si>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</si>
  <si>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</si>
  <si>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</si>
  <si>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</si>
  <si>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</si>
  <si>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</si>
  <si>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</si>
  <si>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</si>
  <si>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</si>
  <si>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</si>
  <si>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</si>
  <si>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</si>
  <si>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</si>
  <si>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</si>
  <si>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</si>
  <si>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</si>
  <si>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</si>
  <si>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</si>
  <si>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</si>
  <si>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</si>
  <si>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</si>
  <si>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</si>
  <si>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</si>
  <si>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</si>
  <si>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</si>
  <si>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</si>
  <si>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</si>
  <si>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</si>
  <si>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</si>
  <si>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</si>
  <si>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</si>
  <si>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</si>
  <si>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</si>
  <si>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</si>
  <si>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</si>
  <si>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</si>
  <si>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</si>
  <si>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</si>
  <si>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</si>
  <si>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</si>
  <si>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</si>
  <si>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</si>
  <si>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</si>
  <si>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</si>
  <si>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</si>
  <si>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</si>
  <si>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</si>
  <si>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</si>
  <si>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</si>
  <si>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</si>
  <si>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</si>
  <si>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</si>
  <si>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</si>
  <si>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</si>
  <si>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</si>
  <si>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</si>
  <si>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</si>
  <si>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</si>
  <si>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</si>
  <si>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</si>
  <si>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</si>
  <si>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</si>
  <si>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</si>
  <si>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</si>
  <si>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</si>
  <si>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</si>
  <si>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</si>
  <si>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</si>
  <si>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</si>
  <si>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</si>
  <si>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</si>
  <si>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</si>
  <si>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</si>
  <si>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</si>
  <si>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</si>
  <si>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</si>
  <si>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</si>
  <si>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</si>
  <si>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</si>
  <si>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</si>
  <si>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</si>
  <si>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</si>
  <si>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</si>
  <si>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</si>
  <si>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</si>
  <si>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</si>
  <si>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</si>
  <si>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</si>
  <si>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</si>
  <si>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</si>
  <si>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</si>
  <si>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</si>
  <si>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</si>
  <si>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</si>
  <si>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</si>
  <si>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</si>
  <si>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</si>
  <si>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</si>
  <si>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</si>
  <si>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</si>
  <si>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</si>
  <si>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</si>
  <si>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</si>
  <si>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</si>
  <si>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</si>
  <si>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</si>
  <si>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</si>
  <si>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</si>
  <si>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</si>
  <si>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</si>
  <si>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</si>
  <si>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</si>
  <si>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</si>
  <si>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</si>
  <si>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</si>
  <si>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</si>
  <si>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</si>
  <si>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</si>
  <si>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</si>
  <si>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</si>
  <si>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</si>
  <si>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</si>
  <si>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</si>
  <si>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</si>
  <si>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</si>
  <si>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</si>
  <si>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</si>
  <si>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</si>
  <si>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</si>
  <si>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</si>
  <si>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</si>
  <si>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</si>
  <si>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</si>
  <si>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</si>
  <si>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</si>
  <si>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</si>
  <si>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</si>
  <si>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</si>
  <si>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</si>
  <si>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</si>
  <si>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</si>
  <si>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</si>
  <si>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</si>
  <si>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</si>
  <si>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</si>
  <si>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</si>
  <si>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</si>
  <si>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</si>
  <si>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</si>
  <si>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</si>
  <si>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</si>
  <si>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</si>
  <si>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</si>
  <si>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</si>
  <si>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</si>
  <si>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</si>
  <si>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</si>
  <si>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</si>
  <si>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</si>
  <si>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</si>
  <si>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</si>
  <si>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</si>
  <si>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</si>
  <si>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</si>
  <si>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</si>
  <si>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</si>
  <si>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</si>
  <si>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</si>
  <si>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</si>
  <si>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</si>
  <si>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</si>
  <si>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</si>
  <si>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</si>
  <si>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</si>
  <si>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</si>
  <si>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</si>
  <si>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</si>
  <si>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</si>
  <si>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</si>
  <si>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</si>
  <si>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</si>
  <si>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</si>
  <si>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</si>
  <si>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</si>
  <si>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</si>
  <si>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</si>
  <si>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</si>
  <si>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</si>
  <si>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</si>
  <si>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</si>
  <si>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</si>
  <si>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</si>
  <si>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</si>
  <si>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</si>
  <si>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</si>
  <si>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</si>
  <si>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</si>
  <si>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</si>
  <si>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</si>
  <si>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</si>
  <si>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</si>
  <si>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</si>
  <si>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</si>
  <si>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</si>
  <si>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</si>
  <si>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</si>
  <si>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</si>
  <si>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</si>
  <si>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</si>
  <si>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</si>
  <si>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</si>
  <si>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</si>
  <si>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</si>
  <si>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</si>
  <si>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</si>
  <si>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</si>
  <si>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</si>
  <si>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</si>
  <si>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</si>
  <si>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</si>
  <si>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</si>
  <si>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</si>
  <si>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</si>
  <si>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</si>
  <si>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</si>
  <si>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</si>
  <si>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</si>
  <si>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</si>
  <si>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</si>
  <si>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</si>
  <si>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</si>
  <si>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</si>
  <si>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</si>
  <si>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</si>
  <si>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</si>
  <si>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</si>
  <si>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</si>
  <si>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</si>
  <si>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</si>
  <si>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</si>
  <si>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</si>
  <si>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</si>
  <si>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</si>
  <si>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</si>
  <si>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</si>
  <si>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</si>
  <si>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</si>
  <si>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</si>
  <si>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</si>
  <si>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</si>
  <si>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</si>
  <si>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</si>
  <si>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</si>
  <si>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</si>
  <si>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</si>
  <si>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</si>
  <si>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</si>
  <si>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</si>
  <si>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</si>
  <si>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</si>
  <si>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</si>
  <si>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</si>
  <si>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</si>
  <si>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</si>
  <si>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</si>
  <si>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</si>
  <si>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</si>
  <si>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</si>
  <si>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 xml:space="preserve">Table 6.1.  Premiums Written and Claims Paid
 (based on ad-hoc reports)   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</si>
  <si>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</si>
  <si>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</si>
  <si>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</si>
  <si>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</si>
  <si>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</si>
  <si>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</si>
  <si>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</si>
  <si>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</si>
  <si>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</si>
  <si>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</si>
  <si>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</si>
  <si>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</si>
  <si>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</si>
  <si>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</si>
  <si>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</si>
  <si>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</si>
  <si>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</si>
  <si>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</si>
  <si>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Fevral  2024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</si>
  <si>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</si>
  <si>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</si>
  <si>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</si>
  <si>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</si>
  <si>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</si>
  <si>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</si>
  <si>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</si>
  <si>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</si>
  <si>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</si>
  <si>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</si>
  <si>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</si>
  <si>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</si>
  <si>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</si>
  <si>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</si>
  <si>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</si>
  <si>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</si>
  <si>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</si>
  <si>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</si>
  <si>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3136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</si>
</sst>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_(* #,##0.000_);_(* \(#,##0.000\);_(* &quot;-&quot;??_);_(@_)"/>
    <numFmt numFmtId="192" formatCode="#,##0.000000000"/>
    <numFmt numFmtId="193" formatCode="#,##0.000000000000"/>
    <numFmt numFmtId="194" formatCode="0.00000000"/>
    <numFmt numFmtId="195" formatCode="_(* #,##0.0000_);_(* \(#,##0.0000\);_(* &quot;-&quot;??_);_(@_)"/>
    <numFmt numFmtId="196" formatCode="0.00000000000"/>
    <numFmt numFmtId="197" formatCode="_(* #,##0.0_);_(* \(#,##0.0\);_(* &quot;-&quot;?_);_(@_)"/>
    <numFmt numFmtId="198" formatCode="0.00000000000000"/>
    <numFmt numFmtId="199" formatCode="_-* #,##0.0000\ _X_D_R_-;\-* #,##0.0000\ _X_D_R_-;_-* &quot;-&quot;??\ _X_D_R_-;_-@_-"/>
    <numFmt numFmtId="200" formatCode="_-* #,##0.000000\ _X_D_R_-;\-* #,##0.000000\ _X_D_R_-;_-* &quot;-&quot;??\ _X_D_R_-;_-@_-"/>
    <numFmt numFmtId="201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4" fillId="0" borderId="0"/>
    <xf numFmtId="169" fontId="12" fillId="0" borderId="0" applyFont="0" applyFill="0" applyBorder="0" applyAlignment="0" applyProtection="0"/>
    <xf numFmtId="0" fontId="3" fillId="0" borderId="0"/>
    <xf numFmtId="0" fontId="284" fillId="0" borderId="0"/>
    <xf numFmtId="0" fontId="3" fillId="0" borderId="0"/>
    <xf numFmtId="185" fontId="284" fillId="0" borderId="0" applyFont="0" applyFill="0" applyBorder="0" applyAlignment="0" applyProtection="0"/>
    <xf numFmtId="0" fontId="28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3" fillId="0" borderId="0"/>
    <xf numFmtId="0" fontId="144" fillId="0" borderId="0"/>
    <xf numFmtId="0" fontId="144" fillId="0" borderId="0"/>
    <xf numFmtId="0" fontId="33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4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19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16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21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15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20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6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5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3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2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7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4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7" fillId="26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8" fillId="18" borderId="0" applyNumberFormat="0" applyBorder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39" fillId="28" borderId="156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0" fontId="340" fillId="29" borderId="157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34" fillId="0" borderId="0">
      <protection locked="0"/>
    </xf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179" fontId="334" fillId="0" borderId="0">
      <protection locked="0"/>
    </xf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2" fillId="20" borderId="0" applyNumberFormat="0" applyBorder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3" fillId="0" borderId="158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6" fillId="21" borderId="156" applyNumberFormat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7" fillId="0" borderId="161" applyNumberFormat="0" applyFill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348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63" fillId="17" borderId="162" applyNumberFormat="0" applyFon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49" fillId="28" borderId="163" applyNumberFormat="0" applyAlignment="0" applyProtection="0"/>
    <xf numFmtId="0" fontId="333" fillId="0" borderId="0"/>
    <xf numFmtId="0" fontId="333" fillId="0" borderId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34" fillId="0" borderId="164">
      <protection locked="0"/>
    </xf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63" fillId="0" borderId="0"/>
  </cellStyleXfs>
  <cellXfs count="2917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3" fillId="0" borderId="2" xfId="0" applyFont="1" applyFill="1" applyBorder="1" applyAlignment="1">
      <alignment horizontal="center" vertical="center"/>
    </xf>
    <xf numFmtId="0" fontId="273" fillId="0" borderId="2" xfId="0" quotePrefix="1" applyFont="1" applyFill="1" applyBorder="1" applyAlignment="1">
      <alignment horizontal="center" vertical="center" wrapText="1"/>
    </xf>
    <xf numFmtId="166" fontId="273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6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0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0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 vertical="center"/>
    </xf>
    <xf numFmtId="0" fontId="270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7" fillId="0" borderId="0" xfId="36" applyFont="1" applyFill="1" applyAlignment="1">
      <alignment vertical="center"/>
    </xf>
    <xf numFmtId="0" fontId="277" fillId="0" borderId="0" xfId="36" applyFont="1" applyFill="1" applyBorder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6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6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6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7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6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6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0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5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9" fillId="0" borderId="0" xfId="22" applyFont="1"/>
    <xf numFmtId="0" fontId="306" fillId="7" borderId="127" xfId="22" applyFont="1" applyFill="1" applyBorder="1" applyAlignment="1">
      <alignment horizontal="left" vertical="center" wrapText="1"/>
    </xf>
    <xf numFmtId="1" fontId="306" fillId="7" borderId="57" xfId="22" applyNumberFormat="1" applyFont="1" applyFill="1" applyBorder="1" applyAlignment="1">
      <alignment horizontal="center" vertical="center" wrapText="1"/>
    </xf>
    <xf numFmtId="1" fontId="306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6" fillId="7" borderId="129" xfId="22" applyFont="1" applyFill="1" applyBorder="1" applyAlignment="1">
      <alignment horizontal="left" vertical="center" wrapText="1"/>
    </xf>
    <xf numFmtId="1" fontId="306" fillId="7" borderId="130" xfId="22" applyNumberFormat="1" applyFont="1" applyFill="1" applyBorder="1" applyAlignment="1">
      <alignment horizontal="center" vertical="center" wrapText="1"/>
    </xf>
    <xf numFmtId="1" fontId="306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1" fontId="139" fillId="13" borderId="57" xfId="98" applyNumberFormat="1" applyFont="1" applyFill="1" applyBorder="1" applyAlignment="1">
      <alignment horizontal="center" vertical="center" wrapText="1"/>
    </xf>
    <xf numFmtId="191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2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2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7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6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8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6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6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193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1" fillId="0" borderId="85" xfId="3" applyFont="1" applyFill="1" applyBorder="1" applyAlignment="1">
      <alignment horizontal="left" indent="2"/>
    </xf>
    <xf numFmtId="0" fontId="270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vertical="center" indent="2"/>
    </xf>
    <xf numFmtId="0" fontId="270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2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4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5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6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7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6" fillId="3" borderId="23" xfId="69" applyFont="1" applyFill="1" applyBorder="1" applyAlignment="1">
      <alignment horizontal="center" vertical="center" wrapText="1"/>
    </xf>
    <xf numFmtId="0" fontId="296" fillId="3" borderId="2" xfId="69" applyFont="1" applyFill="1" applyBorder="1" applyAlignment="1">
      <alignment horizontal="center" vertical="center" wrapText="1"/>
    </xf>
    <xf numFmtId="0" fontId="296" fillId="3" borderId="28" xfId="69" applyFont="1" applyFill="1" applyBorder="1" applyAlignment="1">
      <alignment horizontal="center" vertical="center" wrapText="1"/>
    </xf>
    <xf numFmtId="0" fontId="316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6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8" fillId="0" borderId="5" xfId="94" applyNumberFormat="1" applyFont="1" applyFill="1" applyBorder="1" applyAlignment="1" applyProtection="1">
      <alignment horizontal="right" vertical="center" wrapText="1"/>
    </xf>
    <xf numFmtId="170" fontId="298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66" fontId="115" fillId="0" borderId="0" xfId="0" applyNumberFormat="1" applyFont="1" applyAlignment="1">
      <alignment horizontal="center" vertical="center"/>
    </xf>
    <xf numFmtId="196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8" fillId="9" borderId="42" xfId="69" applyNumberFormat="1" applyFont="1" applyFill="1" applyBorder="1" applyAlignment="1" applyProtection="1">
      <alignment horizontal="center" vertical="center" wrapText="1"/>
    </xf>
    <xf numFmtId="14" fontId="328" fillId="9" borderId="45" xfId="69" applyNumberFormat="1" applyFont="1" applyFill="1" applyBorder="1" applyAlignment="1" applyProtection="1">
      <alignment horizontal="center" vertical="center" wrapText="1"/>
    </xf>
    <xf numFmtId="0" fontId="329" fillId="0" borderId="20" xfId="69" applyFont="1" applyFill="1" applyBorder="1" applyAlignment="1">
      <alignment horizontal="left" vertical="center" wrapText="1" indent="3"/>
    </xf>
    <xf numFmtId="170" fontId="328" fillId="0" borderId="23" xfId="94" applyNumberFormat="1" applyFont="1" applyFill="1" applyBorder="1" applyAlignment="1" applyProtection="1">
      <alignment horizontal="right" vertical="center" wrapText="1"/>
    </xf>
    <xf numFmtId="0" fontId="330" fillId="0" borderId="36" xfId="69" applyFont="1" applyFill="1" applyBorder="1" applyAlignment="1">
      <alignment horizontal="left" vertical="center" wrapText="1" indent="2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31" fillId="0" borderId="36" xfId="69" applyNumberFormat="1" applyFont="1" applyFill="1" applyBorder="1" applyAlignment="1">
      <alignment horizontal="left" vertical="center" wrapText="1" indent="5"/>
    </xf>
    <xf numFmtId="170" fontId="332" fillId="0" borderId="2" xfId="94" applyNumberFormat="1" applyFont="1" applyFill="1" applyBorder="1" applyAlignment="1" applyProtection="1">
      <alignment horizontal="right" vertical="center" wrapText="1"/>
    </xf>
    <xf numFmtId="49" fontId="331" fillId="0" borderId="25" xfId="69" applyNumberFormat="1" applyFont="1" applyFill="1" applyBorder="1" applyAlignment="1">
      <alignment horizontal="left" vertical="center" wrapText="1" indent="5"/>
    </xf>
    <xf numFmtId="170" fontId="332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8" fillId="9" borderId="46" xfId="69" applyNumberFormat="1" applyFont="1" applyFill="1" applyBorder="1" applyAlignment="1" applyProtection="1">
      <alignment horizontal="center" vertical="center" wrapText="1"/>
    </xf>
    <xf numFmtId="170" fontId="328" fillId="0" borderId="78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32" fillId="0" borderId="5" xfId="94" applyNumberFormat="1" applyFont="1" applyFill="1" applyBorder="1" applyAlignment="1" applyProtection="1">
      <alignment horizontal="right" vertical="center" wrapText="1"/>
    </xf>
    <xf numFmtId="170" fontId="332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8" fillId="9" borderId="39" xfId="69" applyNumberFormat="1" applyFont="1" applyFill="1" applyBorder="1" applyAlignment="1" applyProtection="1">
      <alignment horizontal="center" vertical="center" wrapText="1"/>
    </xf>
    <xf numFmtId="0" fontId="329" fillId="0" borderId="22" xfId="69" applyFont="1" applyFill="1" applyBorder="1" applyAlignment="1">
      <alignment horizontal="left" vertical="center" wrapText="1" indent="3"/>
    </xf>
    <xf numFmtId="0" fontId="330" fillId="0" borderId="24" xfId="69" applyFont="1" applyFill="1" applyBorder="1" applyAlignment="1">
      <alignment horizontal="left" vertical="center" wrapText="1" indent="2"/>
    </xf>
    <xf numFmtId="49" fontId="331" fillId="0" borderId="24" xfId="69" applyNumberFormat="1" applyFont="1" applyFill="1" applyBorder="1" applyAlignment="1">
      <alignment horizontal="left" vertical="center" wrapText="1" indent="5"/>
    </xf>
    <xf numFmtId="49" fontId="331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4" xfId="22" applyNumberFormat="1" applyFont="1" applyFill="1" applyBorder="1" applyAlignment="1">
      <alignment horizontal="center" vertical="center"/>
    </xf>
    <xf numFmtId="166" fontId="24" fillId="0" borderId="154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9" fontId="122" fillId="0" borderId="0" xfId="69" applyNumberFormat="1" applyFont="1" applyFill="1"/>
    <xf numFmtId="200" fontId="122" fillId="0" borderId="0" xfId="69" applyNumberFormat="1" applyFont="1" applyFill="1"/>
    <xf numFmtId="0" fontId="351" fillId="0" borderId="20" xfId="69" applyFont="1" applyFill="1" applyBorder="1" applyAlignment="1" applyProtection="1">
      <alignment horizontal="left" vertical="center" wrapText="1"/>
    </xf>
    <xf numFmtId="170" fontId="351" fillId="0" borderId="23" xfId="94" applyNumberFormat="1" applyFont="1" applyFill="1" applyBorder="1" applyAlignment="1">
      <alignment horizontal="right" vertical="center"/>
    </xf>
    <xf numFmtId="170" fontId="351" fillId="0" borderId="78" xfId="94" applyNumberFormat="1" applyFont="1" applyFill="1" applyBorder="1" applyAlignment="1">
      <alignment horizontal="right" vertical="center"/>
    </xf>
    <xf numFmtId="0" fontId="351" fillId="0" borderId="21" xfId="69" applyFont="1" applyFill="1" applyBorder="1" applyAlignment="1" applyProtection="1">
      <alignment horizontal="left" vertical="center" wrapText="1"/>
    </xf>
    <xf numFmtId="0" fontId="351" fillId="0" borderId="36" xfId="69" applyFont="1" applyFill="1" applyBorder="1" applyAlignment="1" applyProtection="1">
      <alignment horizontal="left" vertical="center" wrapText="1" indent="2"/>
    </xf>
    <xf numFmtId="170" fontId="351" fillId="0" borderId="2" xfId="94" applyNumberFormat="1" applyFont="1" applyFill="1" applyBorder="1" applyAlignment="1">
      <alignment horizontal="right" vertical="center"/>
    </xf>
    <xf numFmtId="170" fontId="351" fillId="0" borderId="5" xfId="94" applyNumberFormat="1" applyFont="1" applyFill="1" applyBorder="1" applyAlignment="1">
      <alignment horizontal="right" vertical="center"/>
    </xf>
    <xf numFmtId="0" fontId="351" fillId="0" borderId="4" xfId="69" applyFont="1" applyFill="1" applyBorder="1" applyAlignment="1" applyProtection="1">
      <alignment horizontal="left" vertical="center" wrapText="1" indent="2"/>
    </xf>
    <xf numFmtId="0" fontId="351" fillId="0" borderId="36" xfId="69" applyFont="1" applyFill="1" applyBorder="1" applyAlignment="1" applyProtection="1">
      <alignment horizontal="left" vertical="center" wrapText="1"/>
    </xf>
    <xf numFmtId="0" fontId="351" fillId="0" borderId="4" xfId="69" applyFont="1" applyFill="1" applyBorder="1" applyAlignment="1" applyProtection="1">
      <alignment horizontal="left" vertical="center" wrapText="1"/>
    </xf>
    <xf numFmtId="2" fontId="351" fillId="0" borderId="2" xfId="94" applyNumberFormat="1" applyFont="1" applyFill="1" applyBorder="1" applyAlignment="1">
      <alignment horizontal="right" vertical="center"/>
    </xf>
    <xf numFmtId="166" fontId="351" fillId="0" borderId="2" xfId="94" applyNumberFormat="1" applyFont="1" applyFill="1" applyBorder="1" applyAlignment="1">
      <alignment horizontal="right" vertical="center"/>
    </xf>
    <xf numFmtId="173" fontId="351" fillId="0" borderId="2" xfId="94" applyNumberFormat="1" applyFont="1" applyFill="1" applyBorder="1" applyAlignment="1">
      <alignment horizontal="right" vertical="center"/>
    </xf>
    <xf numFmtId="173" fontId="351" fillId="0" borderId="5" xfId="94" applyNumberFormat="1" applyFont="1" applyFill="1" applyBorder="1" applyAlignment="1">
      <alignment horizontal="right" vertical="center"/>
    </xf>
    <xf numFmtId="0" fontId="351" fillId="0" borderId="117" xfId="69" applyFont="1" applyFill="1" applyBorder="1" applyAlignment="1" applyProtection="1">
      <alignment horizontal="left" vertical="center" wrapText="1"/>
    </xf>
    <xf numFmtId="170" fontId="351" fillId="0" borderId="118" xfId="94" applyNumberFormat="1" applyFont="1" applyFill="1" applyBorder="1" applyAlignment="1">
      <alignment horizontal="right" vertical="center"/>
    </xf>
    <xf numFmtId="170" fontId="351" fillId="0" borderId="119" xfId="94" applyNumberFormat="1" applyFont="1" applyFill="1" applyBorder="1" applyAlignment="1">
      <alignment horizontal="right" vertical="center"/>
    </xf>
    <xf numFmtId="0" fontId="351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5" xfId="0" applyFont="1" applyBorder="1" applyAlignment="1">
      <alignment vertical="center"/>
    </xf>
    <xf numFmtId="166" fontId="18" fillId="0" borderId="165" xfId="0" applyNumberFormat="1" applyFont="1" applyBorder="1" applyAlignment="1">
      <alignment vertical="center"/>
    </xf>
    <xf numFmtId="1" fontId="18" fillId="0" borderId="165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5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5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6" xfId="0" applyFont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5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1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6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6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6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95" fontId="139" fillId="13" borderId="130" xfId="98" applyNumberFormat="1" applyFont="1" applyFill="1" applyBorder="1" applyAlignment="1">
      <alignment horizontal="center" vertical="center" wrapText="1"/>
    </xf>
    <xf numFmtId="195" fontId="139" fillId="13" borderId="57" xfId="98" applyNumberFormat="1" applyFont="1" applyFill="1" applyBorder="1" applyAlignment="1">
      <alignment horizontal="center"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9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92" fillId="0" borderId="4" xfId="69" applyFont="1" applyBorder="1" applyAlignment="1">
      <alignment vertical="center" wrapText="1"/>
    </xf>
    <xf numFmtId="0" fontId="304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235" fillId="3" borderId="0" xfId="69" applyFont="1" applyFill="1" applyAlignment="1">
      <alignment vertical="center"/>
    </xf>
    <xf numFmtId="0" fontId="316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 wrapText="1"/>
    </xf>
    <xf numFmtId="1" fontId="139" fillId="0" borderId="165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6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6" fillId="7" borderId="137" xfId="22" applyNumberFormat="1" applyFont="1" applyFill="1" applyBorder="1" applyAlignment="1">
      <alignment horizontal="center" vertical="center" wrapText="1"/>
    </xf>
    <xf numFmtId="0" fontId="90" fillId="9" borderId="3" xfId="69" applyFont="1" applyFill="1" applyBorder="1" applyAlignment="1">
      <alignment vertical="center" wrapText="1"/>
    </xf>
    <xf numFmtId="0" fontId="251" fillId="0" borderId="0" xfId="3" applyFont="1" applyFill="1" applyBorder="1" applyAlignment="1">
      <alignment horizontal="center" vertical="center" wrapText="1"/>
    </xf>
    <xf numFmtId="0" fontId="309" fillId="0" borderId="0" xfId="3" applyFont="1" applyFill="1" applyBorder="1" applyAlignment="1">
      <alignment horizontal="center" vertical="top" wrapText="1"/>
    </xf>
    <xf numFmtId="14" fontId="72" fillId="9" borderId="82" xfId="3" applyNumberFormat="1" applyFont="1" applyFill="1" applyBorder="1" applyAlignment="1">
      <alignment horizontal="left" vertical="center"/>
    </xf>
    <xf numFmtId="0" fontId="193" fillId="9" borderId="102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6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285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2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1" fillId="0" borderId="0" xfId="36" applyFont="1" applyFill="1" applyBorder="1" applyAlignment="1">
      <alignment horizontal="left" vertical="center" wrapText="1"/>
    </xf>
    <xf numFmtId="0" fontId="281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3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4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5" xfId="22" applyNumberFormat="1" applyFont="1" applyFill="1" applyBorder="1" applyAlignment="1">
      <alignment horizontal="center" vertical="center" wrapText="1"/>
    </xf>
    <xf numFmtId="0" fontId="279" fillId="0" borderId="12" xfId="36" applyFont="1" applyFill="1" applyBorder="1" applyAlignment="1">
      <alignment horizontal="left" vertical="center" wrapText="1"/>
    </xf>
    <xf numFmtId="0" fontId="279" fillId="0" borderId="12" xfId="36" applyFont="1" applyFill="1" applyBorder="1" applyAlignment="1">
      <alignment horizontal="left" vertical="center"/>
    </xf>
    <xf numFmtId="0" fontId="279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9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4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1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1" fillId="0" borderId="12" xfId="69" applyNumberFormat="1" applyFont="1" applyFill="1" applyBorder="1" applyAlignment="1">
      <alignment horizontal="left" vertical="center"/>
    </xf>
    <xf numFmtId="0" fontId="291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91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4" fillId="3" borderId="0" xfId="69" applyNumberFormat="1" applyFont="1" applyFill="1" applyBorder="1" applyAlignment="1">
      <alignment horizontal="left" vertical="center"/>
    </xf>
    <xf numFmtId="0" fontId="294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3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5" xfId="0" applyFont="1" applyFill="1" applyBorder="1" applyAlignment="1">
      <alignment horizontal="left" vertical="center" wrapText="1"/>
    </xf>
    <xf numFmtId="0" fontId="251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09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93" xfId="0" applyFont="1" applyFill="1" applyBorder="1" applyAlignment="1">
      <alignment horizontal="center" vertical="center"/>
    </xf>
    <xf numFmtId="0" fontId="73" fillId="9" borderId="165" xfId="0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2" fillId="9" borderId="6" xfId="0" applyFont="1" applyFill="1" applyBorder="1" applyAlignment="1">
      <alignment horizontal="center" vertical="center" wrapText="1"/>
    </xf>
    <xf numFmtId="0" fontId="312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2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5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6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5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7" fillId="0" borderId="132" xfId="22" applyFont="1" applyBorder="1" applyAlignment="1">
      <alignment horizontal="center" vertical="center" wrapText="1"/>
    </xf>
    <xf numFmtId="0" fontId="307" fillId="0" borderId="133" xfId="22" applyFont="1" applyBorder="1" applyAlignment="1">
      <alignment horizontal="center" vertical="center" wrapText="1"/>
    </xf>
    <xf numFmtId="0" fontId="307" fillId="0" borderId="134" xfId="22" applyFont="1" applyBorder="1" applyAlignment="1">
      <alignment horizontal="center" vertical="center" wrapText="1"/>
    </xf>
    <xf numFmtId="0" fontId="307" fillId="0" borderId="139" xfId="22" applyFont="1" applyBorder="1" applyAlignment="1">
      <alignment horizontal="center" vertical="center" wrapText="1"/>
    </xf>
    <xf numFmtId="0" fontId="307" fillId="0" borderId="140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50" fillId="9" borderId="152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6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5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6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 wrapText="1"/>
    </xf>
    <xf numFmtId="0" fontId="217" fillId="3" borderId="0" xfId="0" applyFont="1" applyFill="1" applyAlignment="1">
      <alignment horizontal="left" vertical="center"/>
    </xf>
    <xf numFmtId="1" fontId="217" fillId="3" borderId="165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4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166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4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5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5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58" xfId="22" applyNumberFormat="1" applyFont="1" applyFill="1" applyBorder="1" applyAlignment="1">
      <alignment horizontal="center" vertical="center" wrapText="1"/>
    </xf>
    <xf numFmtId="0" fontId="138" fillId="9" borderId="56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9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9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6" fillId="0" borderId="0" xfId="69" applyFont="1" applyFill="1" applyAlignment="1" applyProtection="1">
      <alignment horizontal="center" vertical="top" wrapText="1"/>
    </xf>
    <xf numFmtId="0" fontId="327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7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8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10" fillId="0" borderId="0" xfId="69" applyFont="1" applyAlignment="1">
      <alignment horizontal="center" vertical="center"/>
    </xf>
    <xf numFmtId="0" fontId="35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6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10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4" fontId="311" fillId="9" borderId="1" xfId="27" applyNumberFormat="1" applyFont="1" applyFill="1" applyBorder="1" applyAlignment="1" applyProtection="1">
      <alignment horizontal="center" vertical="center" wrapText="1"/>
    </xf>
    <xf numFmtId="4" fontId="311" fillId="9" borderId="2" xfId="27" applyNumberFormat="1" applyFont="1" applyFill="1" applyBorder="1" applyAlignment="1" applyProtection="1">
      <alignment horizontal="center" vertical="center" wrapText="1"/>
    </xf>
    <xf numFmtId="4" fontId="311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2" fillId="0" borderId="0" xfId="96" applyFont="1" applyAlignment="1">
      <alignment horizontal="left" vertical="center" wrapText="1"/>
    </xf>
    <xf numFmtId="0" fontId="153" fillId="0" borderId="0" xfId="22" applyFont="1" applyAlignment="1">
      <alignment horizontal="center" vertical="center"/>
    </xf>
    <xf numFmtId="0" fontId="4" fillId="0" borderId="0" xfId="22" applyFont="1" applyAlignment="1">
      <alignment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82" fillId="0" borderId="0" xfId="22" applyFont="1" applyAlignment="1">
      <alignment horizontal="left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G291" sqref="G291"/>
      <selection pane="bottomLeft" activeCell="G23" sqref="G23"/>
    </sheetView>
  </sheetViews>
  <sheetFormatPr defaultColWidth="9.109375" defaultRowHeight="13.8"/>
  <cols>
    <col min="1" max="1" width="8.109375" style="1096" customWidth="1"/>
    <col min="2" max="2" width="101.5546875" style="1097" customWidth="1"/>
    <col min="3" max="16384" width="9.109375" style="1097"/>
  </cols>
  <sheetData>
    <row r="1" spans="1:2" ht="6" customHeight="1"/>
    <row r="2" spans="1:2" ht="30" customHeight="1">
      <c r="A2" s="2114" t="s">
        <v>2964</v>
      </c>
      <c r="B2" s="2114"/>
    </row>
    <row r="3" spans="1:2" ht="12" customHeight="1">
      <c r="A3" s="2115"/>
      <c r="B3" s="2115"/>
    </row>
    <row r="4" spans="1:2" ht="10.5" customHeight="1">
      <c r="A4" s="2116"/>
      <c r="B4" s="2116"/>
    </row>
    <row r="5" spans="1:2" ht="19.5" customHeight="1">
      <c r="A5" s="1098" t="s">
        <v>2388</v>
      </c>
      <c r="B5" s="1099" t="s">
        <v>2314</v>
      </c>
    </row>
    <row r="6" spans="1:2" ht="18" customHeight="1">
      <c r="A6" s="1100">
        <v>1.1000000000000001</v>
      </c>
      <c r="B6" s="1102" t="s">
        <v>2965</v>
      </c>
    </row>
    <row r="7" spans="1:2" ht="18" customHeight="1">
      <c r="A7" s="1101">
        <v>1.2</v>
      </c>
      <c r="B7" s="1102" t="s">
        <v>3036</v>
      </c>
    </row>
    <row r="8" spans="1:2" ht="18" customHeight="1">
      <c r="A8" s="1101">
        <v>1.3</v>
      </c>
      <c r="B8" s="1102" t="s">
        <v>2966</v>
      </c>
    </row>
    <row r="9" spans="1:2" ht="18" customHeight="1">
      <c r="A9" s="1101">
        <v>1.4</v>
      </c>
      <c r="B9" s="1102" t="s">
        <v>2967</v>
      </c>
    </row>
    <row r="10" spans="1:2" ht="18" customHeight="1">
      <c r="A10" s="1101">
        <v>1.5</v>
      </c>
      <c r="B10" s="1102" t="s">
        <v>2968</v>
      </c>
    </row>
    <row r="11" spans="1:2" ht="18" customHeight="1">
      <c r="A11" s="1101">
        <v>1.6</v>
      </c>
      <c r="B11" s="1102" t="s">
        <v>2969</v>
      </c>
    </row>
    <row r="12" spans="1:2" ht="18" customHeight="1">
      <c r="A12" s="1101" t="s">
        <v>3596</v>
      </c>
      <c r="B12" s="1102" t="s">
        <v>3595</v>
      </c>
    </row>
    <row r="13" spans="1:2" ht="18" customHeight="1">
      <c r="A13" s="1101">
        <v>2.1</v>
      </c>
      <c r="B13" s="1102" t="s">
        <v>2970</v>
      </c>
    </row>
    <row r="14" spans="1:2" ht="18" customHeight="1">
      <c r="A14" s="1101">
        <v>2.2000000000000002</v>
      </c>
      <c r="B14" s="1102" t="s">
        <v>2971</v>
      </c>
    </row>
    <row r="15" spans="1:2" ht="18" customHeight="1">
      <c r="A15" s="1101">
        <v>2.2999999999999998</v>
      </c>
      <c r="B15" s="1102" t="s">
        <v>2972</v>
      </c>
    </row>
    <row r="16" spans="1:2" ht="18" customHeight="1">
      <c r="A16" s="1101">
        <v>2.4</v>
      </c>
      <c r="B16" s="1102" t="s">
        <v>2973</v>
      </c>
    </row>
    <row r="17" spans="1:2" ht="18" customHeight="1">
      <c r="A17" s="1101">
        <v>2.5</v>
      </c>
      <c r="B17" s="1102" t="s">
        <v>2974</v>
      </c>
    </row>
    <row r="18" spans="1:2" ht="18" customHeight="1">
      <c r="A18" s="1101">
        <v>2.6</v>
      </c>
      <c r="B18" s="1102" t="s">
        <v>2975</v>
      </c>
    </row>
    <row r="19" spans="1:2" ht="18" customHeight="1">
      <c r="A19" s="1101">
        <v>2.7</v>
      </c>
      <c r="B19" s="1102" t="s">
        <v>2976</v>
      </c>
    </row>
    <row r="20" spans="1:2" ht="18" customHeight="1">
      <c r="A20" s="1101" t="s">
        <v>3050</v>
      </c>
      <c r="B20" s="1102" t="s">
        <v>3056</v>
      </c>
    </row>
    <row r="21" spans="1:2" ht="18" customHeight="1">
      <c r="A21" s="1101" t="s">
        <v>3172</v>
      </c>
      <c r="B21" s="1102" t="s">
        <v>3173</v>
      </c>
    </row>
    <row r="22" spans="1:2" ht="18" customHeight="1">
      <c r="A22" s="1101">
        <v>2.8</v>
      </c>
      <c r="B22" s="1102" t="s">
        <v>2977</v>
      </c>
    </row>
    <row r="23" spans="1:2" ht="18" customHeight="1">
      <c r="A23" s="1101" t="s">
        <v>3048</v>
      </c>
      <c r="B23" s="1102" t="s">
        <v>3049</v>
      </c>
    </row>
    <row r="24" spans="1:2" ht="18" customHeight="1">
      <c r="A24" s="1101" t="s">
        <v>2978</v>
      </c>
      <c r="B24" s="1102" t="s">
        <v>2979</v>
      </c>
    </row>
    <row r="25" spans="1:2" ht="18" customHeight="1">
      <c r="A25" s="1101" t="s">
        <v>2980</v>
      </c>
      <c r="B25" s="1102" t="s">
        <v>2981</v>
      </c>
    </row>
    <row r="26" spans="1:2" ht="18" customHeight="1">
      <c r="A26" s="1101" t="s">
        <v>2982</v>
      </c>
      <c r="B26" s="1102" t="s">
        <v>2983</v>
      </c>
    </row>
    <row r="27" spans="1:2" ht="18" customHeight="1">
      <c r="A27" s="1101" t="s">
        <v>2984</v>
      </c>
      <c r="B27" s="1102" t="s">
        <v>2985</v>
      </c>
    </row>
    <row r="28" spans="1:2" ht="18" customHeight="1">
      <c r="A28" s="1101" t="s">
        <v>2986</v>
      </c>
      <c r="B28" s="1102" t="s">
        <v>2987</v>
      </c>
    </row>
    <row r="29" spans="1:2" ht="18" customHeight="1">
      <c r="A29" s="1101" t="s">
        <v>2988</v>
      </c>
      <c r="B29" s="1102" t="s">
        <v>2989</v>
      </c>
    </row>
    <row r="30" spans="1:2" ht="18" customHeight="1">
      <c r="A30" s="1101" t="s">
        <v>2990</v>
      </c>
      <c r="B30" s="1102" t="s">
        <v>2991</v>
      </c>
    </row>
    <row r="31" spans="1:2" ht="18" customHeight="1">
      <c r="A31" s="1101" t="s">
        <v>2992</v>
      </c>
      <c r="B31" s="1102" t="s">
        <v>2993</v>
      </c>
    </row>
    <row r="32" spans="1:2" ht="18" customHeight="1">
      <c r="A32" s="1101" t="s">
        <v>2994</v>
      </c>
      <c r="B32" s="1102" t="s">
        <v>2995</v>
      </c>
    </row>
    <row r="33" spans="1:2" ht="18" customHeight="1">
      <c r="A33" s="1101" t="s">
        <v>2996</v>
      </c>
      <c r="B33" s="1102" t="s">
        <v>2997</v>
      </c>
    </row>
    <row r="34" spans="1:2" ht="18" customHeight="1">
      <c r="A34" s="1101" t="s">
        <v>2998</v>
      </c>
      <c r="B34" s="1102" t="s">
        <v>2999</v>
      </c>
    </row>
    <row r="35" spans="1:2" ht="18" customHeight="1">
      <c r="A35" s="1101" t="s">
        <v>3000</v>
      </c>
      <c r="B35" s="1102" t="s">
        <v>3034</v>
      </c>
    </row>
    <row r="36" spans="1:2" ht="18" customHeight="1">
      <c r="A36" s="1101" t="s">
        <v>3001</v>
      </c>
      <c r="B36" s="1102" t="s">
        <v>3002</v>
      </c>
    </row>
    <row r="37" spans="1:2" ht="18" customHeight="1">
      <c r="A37" s="1101" t="s">
        <v>3003</v>
      </c>
      <c r="B37" s="1102" t="s">
        <v>3004</v>
      </c>
    </row>
    <row r="38" spans="1:2" ht="18" customHeight="1">
      <c r="A38" s="1101" t="s">
        <v>3005</v>
      </c>
      <c r="B38" s="1102" t="s">
        <v>3006</v>
      </c>
    </row>
    <row r="39" spans="1:2" ht="18" customHeight="1">
      <c r="A39" s="1101" t="s">
        <v>3007</v>
      </c>
      <c r="B39" s="1102" t="s">
        <v>3035</v>
      </c>
    </row>
    <row r="40" spans="1:2" ht="18" customHeight="1">
      <c r="A40" s="1101" t="s">
        <v>3008</v>
      </c>
      <c r="B40" s="1102" t="s">
        <v>3759</v>
      </c>
    </row>
    <row r="41" spans="1:2" ht="18" customHeight="1">
      <c r="A41" s="1101" t="s">
        <v>3597</v>
      </c>
      <c r="B41" s="1102" t="s">
        <v>3598</v>
      </c>
    </row>
    <row r="42" spans="1:2" ht="18" customHeight="1">
      <c r="A42" s="1101" t="s">
        <v>3009</v>
      </c>
      <c r="B42" s="1102" t="s">
        <v>3349</v>
      </c>
    </row>
    <row r="43" spans="1:2" ht="18" customHeight="1">
      <c r="A43" s="1101" t="s">
        <v>3010</v>
      </c>
      <c r="B43" s="1102" t="s">
        <v>3399</v>
      </c>
    </row>
    <row r="44" spans="1:2" ht="18" customHeight="1">
      <c r="A44" s="1101" t="s">
        <v>3011</v>
      </c>
      <c r="B44" s="1102" t="s">
        <v>3400</v>
      </c>
    </row>
    <row r="45" spans="1:2" ht="18" customHeight="1">
      <c r="A45" s="1101" t="s">
        <v>3012</v>
      </c>
      <c r="B45" s="1102" t="s">
        <v>3013</v>
      </c>
    </row>
    <row r="46" spans="1:2" ht="18" customHeight="1">
      <c r="A46" s="1101" t="s">
        <v>3014</v>
      </c>
      <c r="B46" s="1102" t="s">
        <v>3015</v>
      </c>
    </row>
    <row r="47" spans="1:2" ht="18" customHeight="1">
      <c r="A47" s="1101" t="s">
        <v>3016</v>
      </c>
      <c r="B47" s="1102" t="s">
        <v>3017</v>
      </c>
    </row>
    <row r="48" spans="1:2" ht="18" customHeight="1">
      <c r="A48" s="1101" t="s">
        <v>3018</v>
      </c>
      <c r="B48" s="1102" t="s">
        <v>3019</v>
      </c>
    </row>
    <row r="49" spans="1:2" ht="18" customHeight="1">
      <c r="A49" s="1101" t="s">
        <v>3020</v>
      </c>
      <c r="B49" s="1102" t="s">
        <v>3331</v>
      </c>
    </row>
    <row r="50" spans="1:2" ht="18" customHeight="1">
      <c r="A50" s="1101" t="s">
        <v>3021</v>
      </c>
      <c r="B50" s="1102" t="s">
        <v>3450</v>
      </c>
    </row>
    <row r="51" spans="1:2" ht="18" customHeight="1">
      <c r="A51" s="1101" t="s">
        <v>3023</v>
      </c>
      <c r="B51" s="1102" t="s">
        <v>4018</v>
      </c>
    </row>
    <row r="52" spans="1:2" ht="18" customHeight="1">
      <c r="A52" s="1101" t="s">
        <v>3024</v>
      </c>
      <c r="B52" s="1102" t="s">
        <v>3178</v>
      </c>
    </row>
    <row r="53" spans="1:2" ht="18" customHeight="1">
      <c r="A53" s="1101" t="s">
        <v>3026</v>
      </c>
      <c r="B53" s="1102" t="s">
        <v>3022</v>
      </c>
    </row>
    <row r="54" spans="1:2" ht="18" customHeight="1">
      <c r="A54" s="1101" t="s">
        <v>3174</v>
      </c>
      <c r="B54" s="1102" t="s">
        <v>3025</v>
      </c>
    </row>
    <row r="55" spans="1:2" ht="18" customHeight="1">
      <c r="A55" s="1101" t="s">
        <v>3175</v>
      </c>
      <c r="B55" s="1102" t="s">
        <v>3981</v>
      </c>
    </row>
    <row r="56" spans="1:2" ht="18" customHeight="1">
      <c r="A56" s="1101" t="s">
        <v>3176</v>
      </c>
      <c r="B56" s="1102" t="s">
        <v>3179</v>
      </c>
    </row>
    <row r="57" spans="1:2" ht="18" customHeight="1">
      <c r="A57" s="1101" t="s">
        <v>3177</v>
      </c>
      <c r="B57" s="1102" t="s">
        <v>3330</v>
      </c>
    </row>
    <row r="58" spans="1:2" ht="18" customHeight="1">
      <c r="A58" s="1101" t="s">
        <v>3880</v>
      </c>
      <c r="B58" s="1102" t="s">
        <v>3879</v>
      </c>
    </row>
    <row r="59" spans="1:2" ht="18" customHeight="1">
      <c r="A59" s="1101" t="s">
        <v>3027</v>
      </c>
      <c r="B59" s="1102" t="s">
        <v>2265</v>
      </c>
    </row>
    <row r="60" spans="1:2" ht="18" customHeight="1">
      <c r="A60" s="1101" t="s">
        <v>3028</v>
      </c>
      <c r="B60" s="1102" t="s">
        <v>3029</v>
      </c>
    </row>
    <row r="61" spans="1:2" ht="18" customHeight="1">
      <c r="A61" s="1101" t="s">
        <v>3030</v>
      </c>
      <c r="B61" s="1102" t="s">
        <v>3031</v>
      </c>
    </row>
    <row r="62" spans="1:2" ht="18" customHeight="1">
      <c r="A62" s="1101" t="s">
        <v>3032</v>
      </c>
      <c r="B62" s="1102" t="s">
        <v>3033</v>
      </c>
    </row>
    <row r="63" spans="1:2" ht="18" customHeight="1">
      <c r="A63" s="1101" t="s">
        <v>3180</v>
      </c>
      <c r="B63" s="1102" t="s">
        <v>3181</v>
      </c>
    </row>
    <row r="64" spans="1:2" ht="18" customHeight="1">
      <c r="A64" s="1101" t="s">
        <v>3728</v>
      </c>
      <c r="B64" s="1102" t="s">
        <v>3729</v>
      </c>
    </row>
    <row r="65" spans="1:2" ht="18" customHeight="1">
      <c r="A65" s="1101" t="s">
        <v>3916</v>
      </c>
      <c r="B65" s="1102" t="s">
        <v>3917</v>
      </c>
    </row>
    <row r="66" spans="1:2" ht="18" customHeight="1">
      <c r="A66" s="1101" t="s">
        <v>3182</v>
      </c>
      <c r="B66" s="1102" t="s">
        <v>2389</v>
      </c>
    </row>
    <row r="67" spans="1:2" ht="18" customHeight="1">
      <c r="A67" s="1101" t="s">
        <v>3183</v>
      </c>
      <c r="B67" s="1102" t="s">
        <v>2360</v>
      </c>
    </row>
    <row r="68" spans="1:2" ht="18" customHeight="1">
      <c r="A68" s="1101" t="s">
        <v>307</v>
      </c>
      <c r="B68" s="1102" t="s">
        <v>3184</v>
      </c>
    </row>
    <row r="69" spans="1:2" ht="18" customHeight="1">
      <c r="A69" s="1101" t="s">
        <v>308</v>
      </c>
      <c r="B69" s="1102" t="s">
        <v>3325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73"/>
  <sheetViews>
    <sheetView showGridLines="0" view="pageBreakPreview" zoomScale="120" zoomScaleSheetLayoutView="120" workbookViewId="0">
      <pane ySplit="7" topLeftCell="A250" activePane="bottomLeft" state="frozen"/>
      <selection activeCell="G291" sqref="G291"/>
      <selection pane="bottomLeft" activeCell="I273" sqref="I273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37" t="s">
        <v>2790</v>
      </c>
      <c r="B2" s="2237"/>
      <c r="C2" s="2237"/>
      <c r="D2" s="2237"/>
      <c r="E2" s="2237"/>
      <c r="F2" s="2237"/>
      <c r="G2" s="2237"/>
    </row>
    <row r="3" spans="1:82" s="1" customFormat="1" ht="18.75" customHeight="1">
      <c r="A3" s="2238" t="s">
        <v>2791</v>
      </c>
      <c r="B3" s="2238"/>
      <c r="C3" s="2238"/>
      <c r="D3" s="2238"/>
      <c r="E3" s="2238"/>
      <c r="F3" s="2238"/>
      <c r="G3" s="2238"/>
    </row>
    <row r="4" spans="1:82" s="573" customFormat="1" ht="12.75" customHeight="1">
      <c r="A4" s="606"/>
      <c r="B4" s="606"/>
      <c r="C4" s="606"/>
      <c r="D4" s="606"/>
      <c r="E4" s="606"/>
      <c r="F4" s="606"/>
      <c r="G4" s="606"/>
    </row>
    <row r="5" spans="1:82" s="1" customFormat="1" ht="12.75" customHeight="1">
      <c r="A5" s="2239" t="s">
        <v>8</v>
      </c>
      <c r="B5" s="2239"/>
      <c r="C5" s="2239"/>
      <c r="D5" s="2239"/>
      <c r="E5" s="2239"/>
      <c r="F5" s="2239"/>
      <c r="G5" s="2239"/>
    </row>
    <row r="6" spans="1:82" s="42" customFormat="1" ht="45.75" customHeight="1">
      <c r="A6" s="716" t="s">
        <v>182</v>
      </c>
      <c r="B6" s="716" t="s">
        <v>116</v>
      </c>
      <c r="C6" s="716" t="s">
        <v>117</v>
      </c>
      <c r="D6" s="716" t="s">
        <v>2086</v>
      </c>
      <c r="E6" s="716" t="s">
        <v>1231</v>
      </c>
      <c r="F6" s="716" t="s">
        <v>1232</v>
      </c>
      <c r="G6" s="716" t="s">
        <v>1233</v>
      </c>
    </row>
    <row r="7" spans="1:82" ht="45.75" customHeight="1">
      <c r="A7" s="571" t="s">
        <v>304</v>
      </c>
      <c r="B7" s="571" t="s">
        <v>118</v>
      </c>
      <c r="C7" s="571" t="s">
        <v>119</v>
      </c>
      <c r="D7" s="571" t="s">
        <v>2882</v>
      </c>
      <c r="E7" s="571" t="s">
        <v>120</v>
      </c>
      <c r="F7" s="571" t="s">
        <v>2747</v>
      </c>
      <c r="G7" s="571" t="s">
        <v>1234</v>
      </c>
      <c r="CD7" s="373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6">
        <v>11.141395154553051</v>
      </c>
      <c r="CC8" s="30">
        <f>CC10+CC11</f>
        <v>4361</v>
      </c>
      <c r="CD8" s="373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3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3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3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3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3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3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3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3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3"/>
    </row>
    <row r="18" spans="1:82" hidden="1">
      <c r="A18" s="5">
        <v>2004</v>
      </c>
      <c r="B18" s="487">
        <v>960.71047693507967</v>
      </c>
      <c r="C18" s="487">
        <v>545.16788435032413</v>
      </c>
      <c r="D18" s="487">
        <v>944.74</v>
      </c>
      <c r="E18" s="487">
        <v>1505.8783612854038</v>
      </c>
      <c r="F18" s="487">
        <v>685.66962160337187</v>
      </c>
      <c r="G18" s="488">
        <v>12.440685326050986</v>
      </c>
      <c r="CC18" s="30">
        <f>CC20+CC21</f>
        <v>-797</v>
      </c>
      <c r="CD18" s="373">
        <f t="shared" si="0"/>
        <v>-797</v>
      </c>
    </row>
    <row r="19" spans="1:82" hidden="1">
      <c r="A19" s="5">
        <v>2005</v>
      </c>
      <c r="B19" s="487">
        <v>1036.0004879875071</v>
      </c>
      <c r="C19" s="487">
        <v>802.69085712110882</v>
      </c>
      <c r="D19" s="487">
        <v>1451.673865221082</v>
      </c>
      <c r="E19" s="487">
        <v>1838.6913451086159</v>
      </c>
      <c r="F19" s="487">
        <v>796.45042524850601</v>
      </c>
      <c r="G19" s="488">
        <v>15.722886953187034</v>
      </c>
      <c r="CD19" s="373"/>
    </row>
    <row r="20" spans="1:82" ht="13.8" hidden="1">
      <c r="A20" s="129" t="s">
        <v>18</v>
      </c>
      <c r="B20" s="489">
        <v>942.00474171046619</v>
      </c>
      <c r="C20" s="487">
        <v>502.76538743438368</v>
      </c>
      <c r="D20" s="487">
        <v>944.76346551250992</v>
      </c>
      <c r="E20" s="487">
        <v>1444.7701291448498</v>
      </c>
      <c r="F20" s="487">
        <v>618.41400162516391</v>
      </c>
      <c r="G20" s="488">
        <v>1.0608750744257149</v>
      </c>
      <c r="H20" s="44"/>
      <c r="I20" s="44"/>
      <c r="CC20" s="30">
        <v>-644</v>
      </c>
      <c r="CD20" s="373">
        <f t="shared" si="0"/>
        <v>-644</v>
      </c>
    </row>
    <row r="21" spans="1:82" hidden="1">
      <c r="A21" s="129" t="s">
        <v>19</v>
      </c>
      <c r="B21" s="490">
        <v>898.68403275957837</v>
      </c>
      <c r="C21" s="487">
        <v>544.18132761489369</v>
      </c>
      <c r="D21" s="487">
        <v>998.52206972653198</v>
      </c>
      <c r="E21" s="487">
        <v>1442.8653603744719</v>
      </c>
      <c r="F21" s="487">
        <v>639.79639097140785</v>
      </c>
      <c r="G21" s="488">
        <v>2.1981368132832269</v>
      </c>
      <c r="H21" s="44"/>
      <c r="I21" s="44"/>
      <c r="CC21" s="30">
        <v>-153</v>
      </c>
      <c r="CD21" s="373">
        <f t="shared" si="0"/>
        <v>-153</v>
      </c>
    </row>
    <row r="22" spans="1:82" hidden="1">
      <c r="A22" s="129" t="s">
        <v>20</v>
      </c>
      <c r="B22" s="490">
        <v>892.21515947397927</v>
      </c>
      <c r="C22" s="487">
        <v>556.58481139308469</v>
      </c>
      <c r="D22" s="487">
        <v>1055.30965780519</v>
      </c>
      <c r="E22" s="487">
        <v>1448.7999708670638</v>
      </c>
      <c r="F22" s="487">
        <v>639.81767324583598</v>
      </c>
      <c r="G22" s="488">
        <v>3.3313865639047848</v>
      </c>
      <c r="H22" s="44"/>
      <c r="I22" s="44"/>
      <c r="CD22" s="373"/>
    </row>
    <row r="23" spans="1:82" hidden="1">
      <c r="A23" s="129" t="s">
        <v>21</v>
      </c>
      <c r="B23" s="490">
        <v>1003.1229480410176</v>
      </c>
      <c r="C23" s="487">
        <v>581.65869265508491</v>
      </c>
      <c r="D23" s="487">
        <v>1082.8349468781405</v>
      </c>
      <c r="E23" s="487">
        <v>1584.7816406961019</v>
      </c>
      <c r="F23" s="487">
        <v>681.24733238799013</v>
      </c>
      <c r="G23" s="488">
        <v>4.534270966129446</v>
      </c>
      <c r="H23" s="44"/>
      <c r="I23" s="44"/>
      <c r="CD23" s="373"/>
    </row>
    <row r="24" spans="1:82" hidden="1">
      <c r="A24" s="129" t="s">
        <v>22</v>
      </c>
      <c r="B24" s="490">
        <v>1036.4872921166273</v>
      </c>
      <c r="C24" s="487">
        <v>621.42532569840546</v>
      </c>
      <c r="D24" s="487">
        <v>1099.3367620315685</v>
      </c>
      <c r="E24" s="487">
        <v>1657.9126178150323</v>
      </c>
      <c r="F24" s="487">
        <v>731.29756130039812</v>
      </c>
      <c r="G24" s="488">
        <v>5.4257257373378858</v>
      </c>
      <c r="H24" s="44"/>
      <c r="I24" s="44"/>
      <c r="CD24" s="373"/>
    </row>
    <row r="25" spans="1:82" hidden="1">
      <c r="A25" s="129" t="s">
        <v>23</v>
      </c>
      <c r="B25" s="490">
        <v>1100.3384840961137</v>
      </c>
      <c r="C25" s="487">
        <v>592.14768338986187</v>
      </c>
      <c r="D25" s="487">
        <v>1101.0951560996098</v>
      </c>
      <c r="E25" s="487">
        <v>1692.4861674859758</v>
      </c>
      <c r="F25" s="487">
        <v>775.44086006359987</v>
      </c>
      <c r="G25" s="488">
        <v>6.3203014599953242</v>
      </c>
      <c r="H25" s="44"/>
      <c r="I25" s="44"/>
      <c r="CC25" s="30">
        <v>-31</v>
      </c>
      <c r="CD25" s="373">
        <f t="shared" si="0"/>
        <v>-31</v>
      </c>
    </row>
    <row r="26" spans="1:82" hidden="1">
      <c r="A26" s="129" t="s">
        <v>24</v>
      </c>
      <c r="B26" s="490">
        <v>1082.9939380977798</v>
      </c>
      <c r="C26" s="487">
        <v>691.54060884527803</v>
      </c>
      <c r="D26" s="487">
        <v>1136.9263587689998</v>
      </c>
      <c r="E26" s="487">
        <v>1774.5345469430581</v>
      </c>
      <c r="F26" s="487">
        <v>811.45976042374605</v>
      </c>
      <c r="G26" s="488">
        <v>7.2344437596442654</v>
      </c>
      <c r="H26" s="44"/>
      <c r="I26" s="44"/>
      <c r="CC26" s="30">
        <v>-440</v>
      </c>
      <c r="CD26" s="373">
        <f t="shared" si="0"/>
        <v>-440</v>
      </c>
    </row>
    <row r="27" spans="1:82" hidden="1">
      <c r="A27" s="129" t="s">
        <v>25</v>
      </c>
      <c r="B27" s="490">
        <v>1071.4864969725661</v>
      </c>
      <c r="C27" s="487">
        <v>761.19386633676208</v>
      </c>
      <c r="D27" s="487">
        <v>1226.7760169591581</v>
      </c>
      <c r="E27" s="487">
        <v>1832.6803633093282</v>
      </c>
      <c r="F27" s="487">
        <v>832.04509136438014</v>
      </c>
      <c r="G27" s="488">
        <v>8.5846308981731987</v>
      </c>
      <c r="H27" s="44"/>
      <c r="I27" s="44"/>
      <c r="CD27" s="373"/>
    </row>
    <row r="28" spans="1:82" hidden="1">
      <c r="A28" s="129" t="s">
        <v>26</v>
      </c>
      <c r="B28" s="490">
        <v>1145.196852069382</v>
      </c>
      <c r="C28" s="487">
        <v>728.34411314199565</v>
      </c>
      <c r="D28" s="487">
        <v>1261.4407799139096</v>
      </c>
      <c r="E28" s="487">
        <v>1873.5409652113781</v>
      </c>
      <c r="F28" s="487">
        <v>843.40775928979792</v>
      </c>
      <c r="G28" s="488">
        <v>9.6994364942629403</v>
      </c>
      <c r="H28" s="44"/>
      <c r="I28" s="44"/>
      <c r="CC28" s="30">
        <f>CC30+CC31</f>
        <v>-498</v>
      </c>
      <c r="CD28" s="373">
        <f>BY28+BZ28+CA28+CC28</f>
        <v>-498</v>
      </c>
    </row>
    <row r="29" spans="1:82" hidden="1">
      <c r="A29" s="129" t="s">
        <v>27</v>
      </c>
      <c r="B29" s="490">
        <v>1122.2922589680441</v>
      </c>
      <c r="C29" s="487">
        <v>741.89058961024216</v>
      </c>
      <c r="D29" s="487">
        <v>1338.8969367714942</v>
      </c>
      <c r="E29" s="487">
        <v>1864.1828485782862</v>
      </c>
      <c r="F29" s="487">
        <v>796.90697123063808</v>
      </c>
      <c r="G29" s="488">
        <v>11.643567361032094</v>
      </c>
      <c r="H29" s="44"/>
      <c r="I29" s="44"/>
      <c r="CD29" s="373"/>
    </row>
    <row r="30" spans="1:82" hidden="1">
      <c r="A30" s="129" t="s">
        <v>28</v>
      </c>
      <c r="B30" s="490">
        <v>1098.4971849432382</v>
      </c>
      <c r="C30" s="487">
        <v>706.95883187496793</v>
      </c>
      <c r="D30" s="487">
        <v>1393.8364500878258</v>
      </c>
      <c r="E30" s="487">
        <v>1805.4560168182061</v>
      </c>
      <c r="F30" s="487">
        <v>773.44285378011011</v>
      </c>
      <c r="G30" s="488">
        <v>13.531626737319973</v>
      </c>
      <c r="H30" s="44"/>
      <c r="I30" s="44"/>
      <c r="CC30" s="30">
        <v>-521</v>
      </c>
      <c r="CD30" s="373">
        <f>BY30+BZ30+CA30+CC30</f>
        <v>-521</v>
      </c>
    </row>
    <row r="31" spans="1:82" hidden="1">
      <c r="A31" s="129" t="s">
        <v>29</v>
      </c>
      <c r="B31" s="490">
        <v>1036.0004879875073</v>
      </c>
      <c r="C31" s="487">
        <v>802.69085712110882</v>
      </c>
      <c r="D31" s="487">
        <v>1451.673865221082</v>
      </c>
      <c r="E31" s="487">
        <v>1838.6913451086161</v>
      </c>
      <c r="F31" s="487">
        <v>796.45042524850601</v>
      </c>
      <c r="G31" s="488">
        <v>15.722886953187034</v>
      </c>
      <c r="H31" s="44"/>
      <c r="I31" s="44"/>
      <c r="CC31" s="30">
        <v>23</v>
      </c>
      <c r="CD31" s="373">
        <f>BY31+BZ31+CA31+CC31</f>
        <v>23</v>
      </c>
    </row>
    <row r="32" spans="1:82" hidden="1">
      <c r="A32" s="130">
        <v>2006</v>
      </c>
      <c r="B32" s="487">
        <v>1957.2939453609158</v>
      </c>
      <c r="C32" s="487">
        <v>1477.6651191990834</v>
      </c>
      <c r="D32" s="487">
        <v>2369.0709289899992</v>
      </c>
      <c r="E32" s="487">
        <v>3434.9590645600006</v>
      </c>
      <c r="F32" s="487">
        <v>2135.4512166600002</v>
      </c>
      <c r="G32" s="488"/>
      <c r="H32" s="44"/>
      <c r="I32" s="44"/>
      <c r="CD32" s="373"/>
    </row>
    <row r="33" spans="1:82" hidden="1">
      <c r="A33" s="129" t="s">
        <v>18</v>
      </c>
      <c r="B33" s="487">
        <v>1105.486402558196</v>
      </c>
      <c r="C33" s="487">
        <v>673.5574450718035</v>
      </c>
      <c r="D33" s="487">
        <v>1405.0779187999997</v>
      </c>
      <c r="E33" s="487">
        <v>1779.0438476300001</v>
      </c>
      <c r="F33" s="487">
        <v>707.85783872000013</v>
      </c>
      <c r="G33" s="488">
        <v>1.4307957680194916</v>
      </c>
      <c r="H33" s="44"/>
      <c r="I33" s="44"/>
      <c r="CC33" s="30">
        <v>433</v>
      </c>
      <c r="CD33" s="373">
        <f t="shared" si="0"/>
        <v>433</v>
      </c>
    </row>
    <row r="34" spans="1:82" hidden="1">
      <c r="A34" s="129" t="s">
        <v>19</v>
      </c>
      <c r="B34" s="487">
        <v>1155.1237011387882</v>
      </c>
      <c r="C34" s="487">
        <v>690.58563345121195</v>
      </c>
      <c r="D34" s="487">
        <v>1364.1025199999997</v>
      </c>
      <c r="E34" s="487">
        <v>1845.7093345899996</v>
      </c>
      <c r="F34" s="487">
        <v>764.2260487399999</v>
      </c>
      <c r="G34" s="488">
        <v>2.9165454431641629</v>
      </c>
      <c r="H34" s="44"/>
      <c r="I34" s="44"/>
      <c r="CC34" s="30">
        <v>-931</v>
      </c>
      <c r="CD34" s="373">
        <f t="shared" si="0"/>
        <v>-931</v>
      </c>
    </row>
    <row r="35" spans="1:82" hidden="1">
      <c r="A35" s="129" t="s">
        <v>20</v>
      </c>
      <c r="B35" s="487">
        <v>1252.2659811012934</v>
      </c>
      <c r="C35" s="487">
        <v>674.23729065870577</v>
      </c>
      <c r="D35" s="487">
        <v>1398.9087918199998</v>
      </c>
      <c r="E35" s="487">
        <v>1926.5032717600002</v>
      </c>
      <c r="F35" s="487">
        <v>841.32249034000006</v>
      </c>
      <c r="G35" s="488">
        <v>3.8308734605412758</v>
      </c>
      <c r="H35" s="44"/>
      <c r="I35" s="44"/>
      <c r="CD35" s="373"/>
    </row>
    <row r="36" spans="1:82" hidden="1">
      <c r="A36" s="129" t="s">
        <v>21</v>
      </c>
      <c r="B36" s="487">
        <v>1445.1790252374435</v>
      </c>
      <c r="C36" s="487">
        <v>610.3784273725571</v>
      </c>
      <c r="D36" s="487">
        <v>1504.7018845800005</v>
      </c>
      <c r="E36" s="487">
        <v>2055.5574526100004</v>
      </c>
      <c r="F36" s="487">
        <v>915.66259446000004</v>
      </c>
      <c r="G36" s="488">
        <v>4.8903384577381175</v>
      </c>
      <c r="H36" s="44"/>
      <c r="I36" s="44"/>
      <c r="CC36" s="30">
        <v>204</v>
      </c>
      <c r="CD36" s="373">
        <f t="shared" si="0"/>
        <v>204</v>
      </c>
    </row>
    <row r="37" spans="1:82" hidden="1">
      <c r="A37" s="129" t="s">
        <v>22</v>
      </c>
      <c r="B37" s="487">
        <v>1516.6699195310116</v>
      </c>
      <c r="C37" s="487">
        <v>636.68527485898858</v>
      </c>
      <c r="D37" s="487">
        <v>1577.85957433</v>
      </c>
      <c r="E37" s="487">
        <v>2153.3551943900002</v>
      </c>
      <c r="F37" s="487">
        <v>986.21397751000006</v>
      </c>
      <c r="G37" s="488">
        <v>5.9357301087741297</v>
      </c>
      <c r="CC37" s="30">
        <v>200</v>
      </c>
      <c r="CD37" s="373">
        <f t="shared" si="0"/>
        <v>200</v>
      </c>
    </row>
    <row r="38" spans="1:82" hidden="1">
      <c r="A38" s="129" t="s">
        <v>23</v>
      </c>
      <c r="B38" s="487">
        <v>1585.4926098653332</v>
      </c>
      <c r="C38" s="487">
        <v>763.96339595466634</v>
      </c>
      <c r="D38" s="487">
        <v>1677.1738760599997</v>
      </c>
      <c r="E38" s="487">
        <v>2349.45600582</v>
      </c>
      <c r="F38" s="487">
        <v>1131.2472143800001</v>
      </c>
      <c r="G38" s="488">
        <v>6.3172752243343293</v>
      </c>
      <c r="CD38" s="373"/>
    </row>
    <row r="39" spans="1:82" hidden="1">
      <c r="A39" s="129" t="s">
        <v>24</v>
      </c>
      <c r="B39" s="487">
        <v>1884.5023596718318</v>
      </c>
      <c r="C39" s="487">
        <v>661.60083833816827</v>
      </c>
      <c r="D39" s="487">
        <v>1785.2472700100002</v>
      </c>
      <c r="E39" s="487">
        <v>2546.1031978499996</v>
      </c>
      <c r="F39" s="487">
        <v>1293.6081918599998</v>
      </c>
      <c r="G39" s="488">
        <v>6.8053836203232354</v>
      </c>
      <c r="CC39" s="30">
        <v>295</v>
      </c>
      <c r="CD39" s="373">
        <f t="shared" si="0"/>
        <v>295</v>
      </c>
    </row>
    <row r="40" spans="1:82" hidden="1">
      <c r="A40" s="129" t="s">
        <v>25</v>
      </c>
      <c r="B40" s="487">
        <v>1588.2240708241015</v>
      </c>
      <c r="C40" s="487">
        <v>1071.4717123958985</v>
      </c>
      <c r="D40" s="487">
        <v>1913.3265658300002</v>
      </c>
      <c r="E40" s="487">
        <v>2659.6957829799999</v>
      </c>
      <c r="F40" s="487">
        <v>1411.4761434100001</v>
      </c>
      <c r="G40" s="488">
        <v>7.2949869171179147</v>
      </c>
      <c r="CC40" s="30">
        <v>-95</v>
      </c>
      <c r="CD40" s="373">
        <f t="shared" si="0"/>
        <v>-95</v>
      </c>
    </row>
    <row r="41" spans="1:82" hidden="1">
      <c r="A41" s="129" t="s">
        <v>26</v>
      </c>
      <c r="B41" s="487">
        <v>1638.6151015690937</v>
      </c>
      <c r="C41" s="487">
        <v>1159.5437563109065</v>
      </c>
      <c r="D41" s="487">
        <v>2033.0709613599995</v>
      </c>
      <c r="E41" s="487">
        <v>2798.1588578800006</v>
      </c>
      <c r="F41" s="487">
        <v>1529.3885263800003</v>
      </c>
      <c r="G41" s="488">
        <v>8.3237187806893385</v>
      </c>
      <c r="CD41" s="373"/>
    </row>
    <row r="42" spans="1:82" hidden="1">
      <c r="A42" s="129" t="s">
        <v>27</v>
      </c>
      <c r="B42" s="487">
        <v>2014.0511970996029</v>
      </c>
      <c r="C42" s="487">
        <v>937.11467580039721</v>
      </c>
      <c r="D42" s="487">
        <v>2170.7026661899995</v>
      </c>
      <c r="E42" s="487">
        <v>2951.16587265</v>
      </c>
      <c r="F42" s="487">
        <v>1714.3926982600001</v>
      </c>
      <c r="G42" s="488">
        <v>8.6105126409965997</v>
      </c>
      <c r="CC42" s="30">
        <v>0</v>
      </c>
      <c r="CD42" s="373">
        <f t="shared" si="0"/>
        <v>0</v>
      </c>
    </row>
    <row r="43" spans="1:82" hidden="1">
      <c r="A43" s="129" t="s">
        <v>28</v>
      </c>
      <c r="B43" s="487">
        <v>1649.3031889469619</v>
      </c>
      <c r="C43" s="487">
        <v>1391.3515558130375</v>
      </c>
      <c r="D43" s="487">
        <v>2250.3402722599994</v>
      </c>
      <c r="E43" s="487">
        <v>3040.6547447600001</v>
      </c>
      <c r="F43" s="487">
        <v>1820.3852246000001</v>
      </c>
      <c r="G43" s="488">
        <v>8.9702991319258363</v>
      </c>
      <c r="CD43" s="373"/>
    </row>
    <row r="44" spans="1:82" hidden="1">
      <c r="A44" s="129" t="s">
        <v>29</v>
      </c>
      <c r="B44" s="487">
        <v>1957.2939453609158</v>
      </c>
      <c r="C44" s="487">
        <v>1477.6651191990834</v>
      </c>
      <c r="D44" s="487">
        <v>2369.0709289899992</v>
      </c>
      <c r="E44" s="487">
        <v>3434.9590645600006</v>
      </c>
      <c r="F44" s="487">
        <v>2135.4512166600002</v>
      </c>
      <c r="G44" s="488">
        <v>8.4465052909105189</v>
      </c>
      <c r="CC44" s="30">
        <f>CC45-CC49</f>
        <v>481</v>
      </c>
      <c r="CD44" s="373">
        <f t="shared" si="0"/>
        <v>481</v>
      </c>
    </row>
    <row r="45" spans="1:82" hidden="1">
      <c r="A45" s="131" t="s">
        <v>121</v>
      </c>
      <c r="B45" s="487">
        <v>2871.6757064960207</v>
      </c>
      <c r="C45" s="487">
        <v>3025.579504403981</v>
      </c>
      <c r="D45" s="487">
        <v>4644.1000000000004</v>
      </c>
      <c r="E45" s="487">
        <v>5897.2552108999998</v>
      </c>
      <c r="F45" s="487">
        <v>4401.6000000000004</v>
      </c>
      <c r="G45" s="488"/>
      <c r="CC45" s="30">
        <f>CC47+CC48</f>
        <v>965</v>
      </c>
      <c r="CD45" s="373">
        <f t="shared" si="0"/>
        <v>965</v>
      </c>
    </row>
    <row r="46" spans="1:82" hidden="1">
      <c r="A46" s="129" t="s">
        <v>18</v>
      </c>
      <c r="B46" s="487">
        <v>2114.3700751026372</v>
      </c>
      <c r="C46" s="487">
        <v>1138.1046796473629</v>
      </c>
      <c r="D46" s="487">
        <v>2520.1305085299991</v>
      </c>
      <c r="E46" s="487">
        <v>3252.4747547500001</v>
      </c>
      <c r="F46" s="487">
        <v>1950.7451824</v>
      </c>
      <c r="G46" s="488">
        <v>0.84429274251683528</v>
      </c>
      <c r="CD46" s="373"/>
    </row>
    <row r="47" spans="1:82" hidden="1">
      <c r="A47" s="129" t="s">
        <v>19</v>
      </c>
      <c r="B47" s="487">
        <v>1748.9776398929316</v>
      </c>
      <c r="C47" s="487">
        <v>1599.4913577270686</v>
      </c>
      <c r="D47" s="487">
        <v>2693.2072224200001</v>
      </c>
      <c r="E47" s="487">
        <v>3348.4689976199998</v>
      </c>
      <c r="F47" s="487">
        <v>2078.7716244099997</v>
      </c>
      <c r="G47" s="488">
        <v>1.574535635163375</v>
      </c>
      <c r="CC47" s="30">
        <v>954</v>
      </c>
      <c r="CD47" s="373">
        <f t="shared" si="0"/>
        <v>954</v>
      </c>
    </row>
    <row r="48" spans="1:82" hidden="1">
      <c r="A48" s="129" t="s">
        <v>20</v>
      </c>
      <c r="B48" s="487">
        <v>1805.2500934654174</v>
      </c>
      <c r="C48" s="487">
        <v>1659.1831381645818</v>
      </c>
      <c r="D48" s="487">
        <v>2906.1031668499995</v>
      </c>
      <c r="E48" s="487">
        <v>3464.4332316299997</v>
      </c>
      <c r="F48" s="487">
        <v>2216.0282588099999</v>
      </c>
      <c r="G48" s="488">
        <v>2.3219017986544372</v>
      </c>
      <c r="CC48" s="30">
        <v>11</v>
      </c>
      <c r="CD48" s="373">
        <f t="shared" si="0"/>
        <v>11</v>
      </c>
    </row>
    <row r="49" spans="1:82" hidden="1">
      <c r="A49" s="129" t="s">
        <v>21</v>
      </c>
      <c r="B49" s="487">
        <v>2126.9685358907027</v>
      </c>
      <c r="C49" s="487">
        <v>1418.2946958292966</v>
      </c>
      <c r="D49" s="487">
        <v>3111.6</v>
      </c>
      <c r="E49" s="487">
        <v>3545.26323172</v>
      </c>
      <c r="F49" s="487">
        <v>2340.6354799700002</v>
      </c>
      <c r="G49" s="488">
        <v>2.9411670714690841</v>
      </c>
      <c r="CC49" s="30">
        <f>CC51+CC52+CC53+CC54</f>
        <v>484</v>
      </c>
      <c r="CD49" s="373">
        <f t="shared" si="0"/>
        <v>484</v>
      </c>
    </row>
    <row r="50" spans="1:82" hidden="1">
      <c r="A50" s="129" t="s">
        <v>22</v>
      </c>
      <c r="B50" s="487">
        <v>1831.8186928825041</v>
      </c>
      <c r="C50" s="487">
        <v>1953.1499846174961</v>
      </c>
      <c r="D50" s="487">
        <v>3329.7</v>
      </c>
      <c r="E50" s="487">
        <v>3784.9686775</v>
      </c>
      <c r="F50" s="487">
        <v>2523.2134007700001</v>
      </c>
      <c r="G50" s="488">
        <v>3.4730316497707907</v>
      </c>
      <c r="CD50" s="373"/>
    </row>
    <row r="51" spans="1:82" hidden="1">
      <c r="A51" s="129" t="s">
        <v>23</v>
      </c>
      <c r="B51" s="487">
        <v>2140.3657838791883</v>
      </c>
      <c r="C51" s="487">
        <v>1900.8716703008108</v>
      </c>
      <c r="D51" s="487">
        <v>3462.2</v>
      </c>
      <c r="E51" s="487">
        <v>4041.23745418</v>
      </c>
      <c r="F51" s="487">
        <v>2739.73652227</v>
      </c>
      <c r="G51" s="488">
        <v>3.8954110781271098</v>
      </c>
      <c r="CC51" s="30">
        <v>1214</v>
      </c>
      <c r="CD51" s="373">
        <f t="shared" si="0"/>
        <v>1214</v>
      </c>
    </row>
    <row r="52" spans="1:82" hidden="1">
      <c r="A52" s="129" t="s">
        <v>24</v>
      </c>
      <c r="B52" s="487">
        <v>2800.913101097166</v>
      </c>
      <c r="C52" s="487">
        <v>1540.2822771128333</v>
      </c>
      <c r="D52" s="487">
        <v>3452.6</v>
      </c>
      <c r="E52" s="487">
        <v>4341.1953782099999</v>
      </c>
      <c r="F52" s="487">
        <v>3024.8366283599998</v>
      </c>
      <c r="G52" s="488">
        <v>4.21169853623043</v>
      </c>
      <c r="CC52" s="30">
        <v>-745</v>
      </c>
      <c r="CD52" s="373">
        <f t="shared" si="0"/>
        <v>-745</v>
      </c>
    </row>
    <row r="53" spans="1:82" hidden="1">
      <c r="A53" s="129" t="s">
        <v>25</v>
      </c>
      <c r="B53" s="487">
        <v>2516.90987649923</v>
      </c>
      <c r="C53" s="487">
        <v>2119.1866557407702</v>
      </c>
      <c r="D53" s="487">
        <v>3586</v>
      </c>
      <c r="E53" s="487">
        <v>4636.0965322399998</v>
      </c>
      <c r="F53" s="487">
        <v>3259.80839982</v>
      </c>
      <c r="G53" s="488">
        <v>4.5451751093156672</v>
      </c>
      <c r="CC53" s="30">
        <v>0</v>
      </c>
      <c r="CD53" s="373">
        <f>BY53+BZ53+CA53+CC53</f>
        <v>0</v>
      </c>
    </row>
    <row r="54" spans="1:82" hidden="1">
      <c r="A54" s="129" t="s">
        <v>26</v>
      </c>
      <c r="B54" s="487">
        <v>2744.5623244850672</v>
      </c>
      <c r="C54" s="487">
        <v>2200.4853187249337</v>
      </c>
      <c r="D54" s="487">
        <v>3771.3</v>
      </c>
      <c r="E54" s="487">
        <v>4945.0476432100004</v>
      </c>
      <c r="F54" s="487">
        <v>3417.3791418999999</v>
      </c>
      <c r="G54" s="488">
        <v>4.8598646244344597</v>
      </c>
      <c r="CC54" s="30">
        <v>15</v>
      </c>
      <c r="CD54" s="373">
        <f>BY54+BZ54+CA54+CC54</f>
        <v>15</v>
      </c>
    </row>
    <row r="55" spans="1:82" hidden="1">
      <c r="A55" s="129" t="s">
        <v>27</v>
      </c>
      <c r="B55" s="487">
        <v>3239.6269183050667</v>
      </c>
      <c r="C55" s="487">
        <v>1905.1886028849335</v>
      </c>
      <c r="D55" s="487">
        <v>4077.5</v>
      </c>
      <c r="E55" s="487">
        <v>5144.8155211900003</v>
      </c>
      <c r="F55" s="487">
        <v>3530.0808482500001</v>
      </c>
      <c r="G55" s="488">
        <v>5.3085469725969467</v>
      </c>
      <c r="CC55" s="30">
        <v>-372</v>
      </c>
      <c r="CD55" s="373">
        <f>BY55+BZ55+CA55+CC55</f>
        <v>-372</v>
      </c>
    </row>
    <row r="56" spans="1:82" hidden="1">
      <c r="A56" s="129" t="s">
        <v>28</v>
      </c>
      <c r="B56" s="487">
        <v>3079.6416690861297</v>
      </c>
      <c r="C56" s="487">
        <v>2232.0405344938699</v>
      </c>
      <c r="D56" s="487">
        <v>4387.3999999999996</v>
      </c>
      <c r="E56" s="487">
        <v>5311.6822035799996</v>
      </c>
      <c r="F56" s="487">
        <v>3769.7125072700001</v>
      </c>
      <c r="G56" s="488">
        <v>5.5224370452260967</v>
      </c>
      <c r="CC56" s="30">
        <v>-231</v>
      </c>
      <c r="CD56" s="373">
        <f>BY56+BZ56+CA56+CC56</f>
        <v>-231</v>
      </c>
    </row>
    <row r="57" spans="1:82" hidden="1">
      <c r="A57" s="129" t="s">
        <v>29</v>
      </c>
      <c r="B57" s="487">
        <v>2871.6757064960207</v>
      </c>
      <c r="C57" s="487">
        <v>3025.579504403981</v>
      </c>
      <c r="D57" s="487">
        <v>4644.1000000000004</v>
      </c>
      <c r="E57" s="487">
        <v>5897.2552108999998</v>
      </c>
      <c r="F57" s="487">
        <v>4401.6000000000004</v>
      </c>
      <c r="G57" s="488">
        <v>6.0921255906942919</v>
      </c>
      <c r="CD57" s="373"/>
    </row>
    <row r="58" spans="1:82" ht="17.25" customHeight="1">
      <c r="A58" s="384" t="s">
        <v>114</v>
      </c>
      <c r="B58" s="712">
        <v>4036.0885673581779</v>
      </c>
      <c r="C58" s="712">
        <v>4458.1136025118212</v>
      </c>
      <c r="D58" s="712">
        <v>7224.9</v>
      </c>
      <c r="E58" s="712">
        <v>8494.2021698699991</v>
      </c>
      <c r="F58" s="712">
        <v>6081.0003026699997</v>
      </c>
      <c r="G58" s="708"/>
      <c r="CC58" s="30" t="e">
        <f>#REF!+CC42-CC44+CC55-CC56</f>
        <v>#REF!</v>
      </c>
      <c r="CD58" s="373" t="e">
        <f>BY58+BZ58+CA58+CC58</f>
        <v>#REF!</v>
      </c>
    </row>
    <row r="59" spans="1:82" ht="18.75" hidden="1" customHeight="1">
      <c r="A59" s="713" t="s">
        <v>18</v>
      </c>
      <c r="B59" s="714">
        <v>3540.2907294331403</v>
      </c>
      <c r="C59" s="714">
        <v>2110.0584309268597</v>
      </c>
      <c r="D59" s="714">
        <v>4801.8</v>
      </c>
      <c r="E59" s="714">
        <v>5650.3491603600005</v>
      </c>
      <c r="F59" s="714">
        <v>4095.9496440200001</v>
      </c>
      <c r="G59" s="715">
        <v>0.55811233014973993</v>
      </c>
    </row>
    <row r="60" spans="1:82" ht="17.25" hidden="1" customHeight="1">
      <c r="A60" s="713" t="s">
        <v>19</v>
      </c>
      <c r="B60" s="714">
        <v>3542.9353284594913</v>
      </c>
      <c r="C60" s="714">
        <v>2652.0249402405093</v>
      </c>
      <c r="D60" s="714">
        <v>4857.6000000000004</v>
      </c>
      <c r="E60" s="714">
        <v>6194.9602687000006</v>
      </c>
      <c r="F60" s="714">
        <v>4246.36731977</v>
      </c>
      <c r="G60" s="715">
        <v>1.1226066048987489</v>
      </c>
    </row>
    <row r="61" spans="1:82" ht="15.75" hidden="1" customHeight="1">
      <c r="A61" s="713" t="s">
        <v>20</v>
      </c>
      <c r="B61" s="714">
        <v>3601.5234624221089</v>
      </c>
      <c r="C61" s="714">
        <v>2739.7297048278897</v>
      </c>
      <c r="D61" s="714">
        <v>4969.1000000000004</v>
      </c>
      <c r="E61" s="714">
        <v>6341.2531672499999</v>
      </c>
      <c r="F61" s="714">
        <v>4428.2279845800003</v>
      </c>
      <c r="G61" s="715">
        <v>1.8539695852580784</v>
      </c>
    </row>
    <row r="62" spans="1:82" ht="15.75" hidden="1" customHeight="1">
      <c r="A62" s="713" t="s">
        <v>21</v>
      </c>
      <c r="B62" s="714">
        <v>4315.0298191111997</v>
      </c>
      <c r="C62" s="714">
        <v>2234.8895687087979</v>
      </c>
      <c r="D62" s="714">
        <v>5261</v>
      </c>
      <c r="E62" s="714">
        <v>6549.9193878199994</v>
      </c>
      <c r="F62" s="714">
        <v>4563.1478739799995</v>
      </c>
      <c r="G62" s="715">
        <v>2.4483975335770523</v>
      </c>
    </row>
    <row r="63" spans="1:82" s="6" customFormat="1" ht="14.25" hidden="1" customHeight="1">
      <c r="A63" s="713" t="s">
        <v>22</v>
      </c>
      <c r="B63" s="714">
        <v>3132.6474541564075</v>
      </c>
      <c r="C63" s="714">
        <v>3696.7593459235904</v>
      </c>
      <c r="D63" s="714">
        <v>6128.2</v>
      </c>
      <c r="E63" s="714">
        <v>6829.4068000799998</v>
      </c>
      <c r="F63" s="714">
        <v>4598.2767978000002</v>
      </c>
      <c r="G63" s="715">
        <v>3.1117309003333178</v>
      </c>
    </row>
    <row r="64" spans="1:82" ht="15.75" hidden="1" customHeight="1">
      <c r="A64" s="713" t="s">
        <v>23</v>
      </c>
      <c r="B64" s="714">
        <v>3842.2920691327045</v>
      </c>
      <c r="C64" s="714">
        <v>3494.7082214072943</v>
      </c>
      <c r="D64" s="714">
        <v>6243.7</v>
      </c>
      <c r="E64" s="714">
        <v>7337.0002905399997</v>
      </c>
      <c r="F64" s="714">
        <v>4933.15039075</v>
      </c>
      <c r="G64" s="715">
        <v>3.7512945144951337</v>
      </c>
    </row>
    <row r="65" spans="1:7" s="6" customFormat="1" ht="14.25" hidden="1" customHeight="1">
      <c r="A65" s="713" t="s">
        <v>24</v>
      </c>
      <c r="B65" s="714">
        <v>4144.1876290580358</v>
      </c>
      <c r="C65" s="714">
        <v>3393.1324747419662</v>
      </c>
      <c r="D65" s="714">
        <v>6438.3</v>
      </c>
      <c r="E65" s="714">
        <v>7537.3201038000007</v>
      </c>
      <c r="F65" s="714">
        <v>5211.7479659500004</v>
      </c>
      <c r="G65" s="715">
        <v>4.4163877743854849</v>
      </c>
    </row>
    <row r="66" spans="1:7" s="6" customFormat="1" ht="16.5" hidden="1" customHeight="1">
      <c r="A66" s="713" t="s">
        <v>25</v>
      </c>
      <c r="B66" s="714">
        <v>3962.0719948913643</v>
      </c>
      <c r="C66" s="714">
        <v>3674.5599309386384</v>
      </c>
      <c r="D66" s="714">
        <v>6560.3</v>
      </c>
      <c r="E66" s="714">
        <v>7636.6319258300009</v>
      </c>
      <c r="F66" s="714">
        <v>5365.0975741000002</v>
      </c>
      <c r="G66" s="715">
        <v>4.8259886502331488</v>
      </c>
    </row>
    <row r="67" spans="1:7" s="6" customFormat="1" ht="16.5" hidden="1" customHeight="1">
      <c r="A67" s="713" t="s">
        <v>26</v>
      </c>
      <c r="B67" s="714">
        <v>3870.2094703189027</v>
      </c>
      <c r="C67" s="714">
        <v>3779.5303113011018</v>
      </c>
      <c r="D67" s="714">
        <v>6687.5</v>
      </c>
      <c r="E67" s="714">
        <v>7649.73978162</v>
      </c>
      <c r="F67" s="714">
        <v>5514.4881937399996</v>
      </c>
      <c r="G67" s="715">
        <v>5.5073832662251814</v>
      </c>
    </row>
    <row r="68" spans="1:7" ht="18.75" hidden="1" customHeight="1">
      <c r="A68" s="713" t="s">
        <v>27</v>
      </c>
      <c r="B68" s="714">
        <v>3915.4523760223565</v>
      </c>
      <c r="C68" s="714">
        <v>3692.5677385876447</v>
      </c>
      <c r="D68" s="714">
        <v>6794.1</v>
      </c>
      <c r="E68" s="714">
        <v>7608.0201146099998</v>
      </c>
      <c r="F68" s="714">
        <v>5443.8339595699999</v>
      </c>
      <c r="G68" s="715">
        <v>5.9778458053063899</v>
      </c>
    </row>
    <row r="69" spans="1:7" s="6" customFormat="1" ht="16.5" hidden="1" customHeight="1">
      <c r="A69" s="713" t="s">
        <v>28</v>
      </c>
      <c r="B69" s="714">
        <v>3544.2965664101239</v>
      </c>
      <c r="C69" s="714">
        <v>4174.3551066098735</v>
      </c>
      <c r="D69" s="714">
        <v>6958.4</v>
      </c>
      <c r="E69" s="714">
        <v>7718.6516730200001</v>
      </c>
      <c r="F69" s="714">
        <v>5512.8204870700001</v>
      </c>
      <c r="G69" s="715">
        <v>6.2872716572749683</v>
      </c>
    </row>
    <row r="70" spans="1:7" s="6" customFormat="1" ht="16.5" hidden="1" customHeight="1">
      <c r="A70" s="713" t="s">
        <v>29</v>
      </c>
      <c r="B70" s="709">
        <v>4036.0885673581779</v>
      </c>
      <c r="C70" s="709">
        <v>4458.1136025118212</v>
      </c>
      <c r="D70" s="709">
        <v>7224.9</v>
      </c>
      <c r="E70" s="709">
        <v>8494.2021698699991</v>
      </c>
      <c r="F70" s="709">
        <v>6081.0003026699997</v>
      </c>
      <c r="G70" s="710">
        <v>6.6004272327328879</v>
      </c>
    </row>
    <row r="71" spans="1:7" s="6" customFormat="1" ht="16.5" customHeight="1">
      <c r="A71" s="40" t="s">
        <v>43</v>
      </c>
      <c r="B71" s="707">
        <v>3529.3299135213997</v>
      </c>
      <c r="C71" s="707">
        <v>4939.8527167585999</v>
      </c>
      <c r="D71" s="707">
        <v>8556.4</v>
      </c>
      <c r="E71" s="707">
        <v>8469.18263028</v>
      </c>
      <c r="F71" s="707">
        <v>6169.2249880700001</v>
      </c>
      <c r="G71" s="708"/>
    </row>
    <row r="72" spans="1:7" ht="18.75" hidden="1" customHeight="1">
      <c r="A72" s="387" t="s">
        <v>18</v>
      </c>
      <c r="B72" s="709">
        <v>4094.828060680517</v>
      </c>
      <c r="C72" s="709">
        <v>3914.4301659494859</v>
      </c>
      <c r="D72" s="709">
        <v>7255.2</v>
      </c>
      <c r="E72" s="709">
        <v>8009.2582266299996</v>
      </c>
      <c r="F72" s="709">
        <v>5594.6607752999998</v>
      </c>
      <c r="G72" s="710">
        <v>0.68981840990941135</v>
      </c>
    </row>
    <row r="73" spans="1:7" ht="15.75" hidden="1" customHeight="1">
      <c r="A73" s="387" t="s">
        <v>19</v>
      </c>
      <c r="B73" s="709">
        <v>3787.356214899678</v>
      </c>
      <c r="C73" s="709">
        <v>3541.033001920322</v>
      </c>
      <c r="D73" s="709">
        <v>6770.2</v>
      </c>
      <c r="E73" s="709">
        <v>7328.38921682</v>
      </c>
      <c r="F73" s="709">
        <v>5264.8158648999997</v>
      </c>
      <c r="G73" s="710">
        <v>0.73303608312867441</v>
      </c>
    </row>
    <row r="74" spans="1:7" ht="15" hidden="1" customHeight="1">
      <c r="A74" s="387" t="s">
        <v>20</v>
      </c>
      <c r="B74" s="709">
        <v>3189.0613707546263</v>
      </c>
      <c r="C74" s="709">
        <v>3208.3223166553739</v>
      </c>
      <c r="D74" s="709">
        <v>6299.8</v>
      </c>
      <c r="E74" s="709">
        <v>6397.3836874099998</v>
      </c>
      <c r="F74" s="709">
        <v>4740.8666567799992</v>
      </c>
      <c r="G74" s="710">
        <v>1.4220606669791966</v>
      </c>
    </row>
    <row r="75" spans="1:7" ht="17.25" hidden="1" customHeight="1">
      <c r="A75" s="387" t="s">
        <v>21</v>
      </c>
      <c r="B75" s="709">
        <v>3217.4189168434937</v>
      </c>
      <c r="C75" s="709">
        <v>3285.0097464865057</v>
      </c>
      <c r="D75" s="709">
        <v>6381.1</v>
      </c>
      <c r="E75" s="709">
        <v>6502.4286633299998</v>
      </c>
      <c r="F75" s="709">
        <v>4732.2624489400005</v>
      </c>
      <c r="G75" s="710">
        <v>1.900993467092057</v>
      </c>
    </row>
    <row r="76" spans="1:7" ht="17.25" hidden="1" customHeight="1">
      <c r="A76" s="387" t="s">
        <v>22</v>
      </c>
      <c r="B76" s="709">
        <v>3245.4877517428868</v>
      </c>
      <c r="C76" s="709">
        <v>3366.4842491071126</v>
      </c>
      <c r="D76" s="709">
        <v>6487.6</v>
      </c>
      <c r="E76" s="709">
        <v>6611.9720008499989</v>
      </c>
      <c r="F76" s="709">
        <v>4811.1753836499993</v>
      </c>
      <c r="G76" s="710">
        <v>2.362437261926857</v>
      </c>
    </row>
    <row r="77" spans="1:7" ht="17.25" hidden="1" customHeight="1">
      <c r="A77" s="387" t="s">
        <v>23</v>
      </c>
      <c r="B77" s="709">
        <v>3348.0183800322197</v>
      </c>
      <c r="C77" s="709">
        <v>3345.90775259778</v>
      </c>
      <c r="D77" s="709">
        <v>6569</v>
      </c>
      <c r="E77" s="709">
        <v>6693.9261326299993</v>
      </c>
      <c r="F77" s="709">
        <v>4872.0269019699999</v>
      </c>
      <c r="G77" s="710">
        <v>2.9325987494491832</v>
      </c>
    </row>
    <row r="78" spans="1:7" ht="17.25" hidden="1" customHeight="1">
      <c r="A78" s="387" t="s">
        <v>24</v>
      </c>
      <c r="B78" s="709">
        <v>3426.4139952291048</v>
      </c>
      <c r="C78" s="709">
        <v>4155.9721593008981</v>
      </c>
      <c r="D78" s="709">
        <v>7322.8</v>
      </c>
      <c r="E78" s="709">
        <v>7582.3861545300006</v>
      </c>
      <c r="F78" s="709">
        <v>5091.55427401</v>
      </c>
      <c r="G78" s="710">
        <v>3.4049524107981552</v>
      </c>
    </row>
    <row r="79" spans="1:7" ht="19.5" hidden="1" customHeight="1">
      <c r="A79" s="387" t="s">
        <v>25</v>
      </c>
      <c r="B79" s="709">
        <v>3316.7335057105502</v>
      </c>
      <c r="C79" s="709">
        <v>4252.3173844294488</v>
      </c>
      <c r="D79" s="709">
        <v>7733.7</v>
      </c>
      <c r="E79" s="709">
        <v>7569.0508901399999</v>
      </c>
      <c r="F79" s="709">
        <v>5333.4637649400001</v>
      </c>
      <c r="G79" s="710">
        <v>3.8676554129044614</v>
      </c>
    </row>
    <row r="80" spans="1:7" ht="16.5" hidden="1" customHeight="1">
      <c r="A80" s="387" t="s">
        <v>26</v>
      </c>
      <c r="B80" s="709">
        <v>3193.8457408628246</v>
      </c>
      <c r="C80" s="709">
        <v>4264.5089945971758</v>
      </c>
      <c r="D80" s="709">
        <v>7906.4</v>
      </c>
      <c r="E80" s="709">
        <v>7458.3547354599996</v>
      </c>
      <c r="F80" s="709">
        <v>5222.3727558999999</v>
      </c>
      <c r="G80" s="710">
        <v>4.4859111164619803</v>
      </c>
    </row>
    <row r="81" spans="1:7" ht="17.25" hidden="1" customHeight="1">
      <c r="A81" s="387" t="s">
        <v>27</v>
      </c>
      <c r="B81" s="709">
        <v>3676.8798485942398</v>
      </c>
      <c r="C81" s="709">
        <v>3998.7418354157576</v>
      </c>
      <c r="D81" s="709">
        <v>8128.2</v>
      </c>
      <c r="E81" s="709">
        <v>7675.6216840100005</v>
      </c>
      <c r="F81" s="709">
        <v>5388.5222151300004</v>
      </c>
      <c r="G81" s="710">
        <v>4.9452333935227388</v>
      </c>
    </row>
    <row r="82" spans="1:7" ht="15.75" hidden="1" customHeight="1">
      <c r="A82" s="387" t="s">
        <v>28</v>
      </c>
      <c r="B82" s="709">
        <v>3707.3092519136003</v>
      </c>
      <c r="C82" s="709">
        <v>4197.5760347863998</v>
      </c>
      <c r="D82" s="709">
        <v>8253.7999999999993</v>
      </c>
      <c r="E82" s="709">
        <v>7904.8852866999987</v>
      </c>
      <c r="F82" s="709">
        <v>5575.5593386</v>
      </c>
      <c r="G82" s="710">
        <v>5.3186053988703579</v>
      </c>
    </row>
    <row r="83" spans="1:7" ht="18" hidden="1" customHeight="1">
      <c r="A83" s="387" t="s">
        <v>29</v>
      </c>
      <c r="B83" s="709">
        <v>3529.3299135213997</v>
      </c>
      <c r="C83" s="709">
        <v>4939.8527167585999</v>
      </c>
      <c r="D83" s="709">
        <v>8556.4</v>
      </c>
      <c r="E83" s="709">
        <v>8469.18263028</v>
      </c>
      <c r="F83" s="709">
        <v>6169.2249880700001</v>
      </c>
      <c r="G83" s="710">
        <v>5.605031436990549</v>
      </c>
    </row>
    <row r="84" spans="1:7" ht="17.25" customHeight="1">
      <c r="A84" s="40" t="s">
        <v>48</v>
      </c>
      <c r="B84" s="707">
        <v>4638.2789533463601</v>
      </c>
      <c r="C84" s="707">
        <v>5889.2101490436416</v>
      </c>
      <c r="D84" s="707">
        <v>9388.0786196000026</v>
      </c>
      <c r="E84" s="707">
        <v>10527.48910239</v>
      </c>
      <c r="F84" s="707">
        <v>8297.46906709</v>
      </c>
      <c r="G84" s="708"/>
    </row>
    <row r="85" spans="1:7" ht="15" hidden="1" customHeight="1">
      <c r="A85" s="387" t="s">
        <v>18</v>
      </c>
      <c r="B85" s="709">
        <v>3668.1501651784997</v>
      </c>
      <c r="C85" s="709">
        <v>4475.6204525714975</v>
      </c>
      <c r="D85" s="709">
        <v>8613.4</v>
      </c>
      <c r="E85" s="709">
        <v>8143.7706177500004</v>
      </c>
      <c r="F85" s="709">
        <v>5837.6964127600004</v>
      </c>
      <c r="G85" s="710">
        <v>5.4516333487503639</v>
      </c>
    </row>
    <row r="86" spans="1:7" ht="14.25" hidden="1" customHeight="1">
      <c r="A86" s="387" t="s">
        <v>19</v>
      </c>
      <c r="B86" s="709">
        <v>3547.8373440769988</v>
      </c>
      <c r="C86" s="709">
        <v>4584.7193941429996</v>
      </c>
      <c r="D86" s="709">
        <v>8550.5</v>
      </c>
      <c r="E86" s="709">
        <v>8132.5567382199988</v>
      </c>
      <c r="F86" s="709">
        <v>5853.1111007499994</v>
      </c>
      <c r="G86" s="710">
        <v>6.2817993883583059</v>
      </c>
    </row>
    <row r="87" spans="1:7" ht="15.75" hidden="1" customHeight="1">
      <c r="A87" s="387" t="s">
        <v>20</v>
      </c>
      <c r="B87" s="709">
        <v>4003.4407711724007</v>
      </c>
      <c r="C87" s="709">
        <v>4669.9762340275984</v>
      </c>
      <c r="D87" s="709">
        <v>8658.5</v>
      </c>
      <c r="E87" s="709">
        <v>8673.4170052000009</v>
      </c>
      <c r="F87" s="709">
        <v>6182.5589487400002</v>
      </c>
      <c r="G87" s="710">
        <v>6.1796655128910167</v>
      </c>
    </row>
    <row r="88" spans="1:7" ht="16.5" hidden="1" customHeight="1">
      <c r="A88" s="387" t="s">
        <v>21</v>
      </c>
      <c r="B88" s="709">
        <v>3891.044689624101</v>
      </c>
      <c r="C88" s="709">
        <v>4844.4220380058996</v>
      </c>
      <c r="D88" s="709">
        <v>8797.5</v>
      </c>
      <c r="E88" s="709">
        <v>8735.4667276299988</v>
      </c>
      <c r="F88" s="709">
        <v>6347.7163216399995</v>
      </c>
      <c r="G88" s="710">
        <v>6.1368212108322693</v>
      </c>
    </row>
    <row r="89" spans="1:7" ht="17.25" hidden="1" customHeight="1">
      <c r="A89" s="387" t="s">
        <v>22</v>
      </c>
      <c r="B89" s="709">
        <v>3823.2081689596812</v>
      </c>
      <c r="C89" s="709">
        <v>5106.558011780322</v>
      </c>
      <c r="D89" s="709">
        <v>8945.5</v>
      </c>
      <c r="E89" s="709">
        <v>8929.76618074</v>
      </c>
      <c r="F89" s="709">
        <v>6453.9733412699998</v>
      </c>
      <c r="G89" s="710">
        <v>6.1483359157111872</v>
      </c>
    </row>
    <row r="90" spans="1:7" ht="19.5" hidden="1" customHeight="1">
      <c r="A90" s="387" t="s">
        <v>23</v>
      </c>
      <c r="B90" s="709">
        <v>3682.3204846679605</v>
      </c>
      <c r="C90" s="709">
        <v>5400.1562917620377</v>
      </c>
      <c r="D90" s="709">
        <v>9033.5</v>
      </c>
      <c r="E90" s="709">
        <v>9082.4767764299995</v>
      </c>
      <c r="F90" s="709">
        <v>6629.4488834099993</v>
      </c>
      <c r="G90" s="710">
        <v>5.9371888858720245</v>
      </c>
    </row>
    <row r="91" spans="1:7" ht="18" hidden="1" customHeight="1">
      <c r="A91" s="387" t="s">
        <v>24</v>
      </c>
      <c r="B91" s="709">
        <v>3854.6548589143995</v>
      </c>
      <c r="C91" s="709">
        <v>5199.8102829856016</v>
      </c>
      <c r="D91" s="709">
        <v>8852.5</v>
      </c>
      <c r="E91" s="709">
        <v>9054.4651419000002</v>
      </c>
      <c r="F91" s="709">
        <v>6892.0023660900006</v>
      </c>
      <c r="G91" s="710">
        <v>5.7594022054556016</v>
      </c>
    </row>
    <row r="92" spans="1:7" ht="17.25" hidden="1" customHeight="1">
      <c r="A92" s="387" t="s">
        <v>25</v>
      </c>
      <c r="B92" s="709">
        <v>4026.5998572004796</v>
      </c>
      <c r="C92" s="709">
        <v>5288.4060610195193</v>
      </c>
      <c r="D92" s="709">
        <v>9011.2999999999993</v>
      </c>
      <c r="E92" s="709">
        <v>9315.0059182199984</v>
      </c>
      <c r="F92" s="709">
        <v>7046.6076046599992</v>
      </c>
      <c r="G92" s="710">
        <v>5.5749439445973934</v>
      </c>
    </row>
    <row r="93" spans="1:7" ht="17.25" hidden="1" customHeight="1">
      <c r="A93" s="387" t="s">
        <v>26</v>
      </c>
      <c r="B93" s="709">
        <v>4070.8463910498099</v>
      </c>
      <c r="C93" s="709">
        <v>5319.1216225301914</v>
      </c>
      <c r="D93" s="709">
        <v>9160.7000000000007</v>
      </c>
      <c r="E93" s="709">
        <v>9389.968013579999</v>
      </c>
      <c r="F93" s="709">
        <v>7156.0729733199987</v>
      </c>
      <c r="G93" s="710">
        <v>5.4606978661561465</v>
      </c>
    </row>
    <row r="94" spans="1:7" ht="16.5" hidden="1" customHeight="1">
      <c r="A94" s="387" t="s">
        <v>27</v>
      </c>
      <c r="B94" s="709">
        <v>4046.5815493722507</v>
      </c>
      <c r="C94" s="709">
        <v>5573.3372700677555</v>
      </c>
      <c r="D94" s="709">
        <v>9257</v>
      </c>
      <c r="E94" s="709">
        <v>9619.9188194400012</v>
      </c>
      <c r="F94" s="709">
        <v>7314.5376940000006</v>
      </c>
      <c r="G94" s="710">
        <v>5.3317930138765455</v>
      </c>
    </row>
    <row r="95" spans="1:7" ht="14.25" hidden="1" customHeight="1">
      <c r="A95" s="387" t="s">
        <v>28</v>
      </c>
      <c r="B95" s="709">
        <v>4253.3071951301599</v>
      </c>
      <c r="C95" s="709">
        <v>5367.4674216098392</v>
      </c>
      <c r="D95" s="709">
        <v>9352.5</v>
      </c>
      <c r="E95" s="709">
        <v>9620.7746167400001</v>
      </c>
      <c r="F95" s="709">
        <v>7417.6583926100002</v>
      </c>
      <c r="G95" s="710">
        <v>5.3790797686614455</v>
      </c>
    </row>
    <row r="96" spans="1:7" ht="16.5" hidden="1" customHeight="1">
      <c r="A96" s="387" t="s">
        <v>29</v>
      </c>
      <c r="B96" s="709">
        <v>4638.2789533463601</v>
      </c>
      <c r="C96" s="709">
        <v>5889.2101490436416</v>
      </c>
      <c r="D96" s="709">
        <v>9388.0786196000026</v>
      </c>
      <c r="E96" s="709">
        <v>10527.48910239</v>
      </c>
      <c r="F96" s="709">
        <v>8297.46906709</v>
      </c>
      <c r="G96" s="710">
        <v>5.0105091895149139</v>
      </c>
    </row>
    <row r="97" spans="1:7" ht="13.5" customHeight="1">
      <c r="A97" s="40" t="s">
        <v>1045</v>
      </c>
      <c r="B97" s="707">
        <v>7849.8831809402491</v>
      </c>
      <c r="C97" s="707">
        <v>6053.2924071797524</v>
      </c>
      <c r="D97" s="707">
        <v>11814.156175560001</v>
      </c>
      <c r="E97" s="707">
        <v>13903.175588120001</v>
      </c>
      <c r="F97" s="707">
        <v>10997.158822920001</v>
      </c>
      <c r="G97" s="708"/>
    </row>
    <row r="98" spans="1:7" ht="16.5" hidden="1" customHeight="1">
      <c r="A98" s="387" t="s">
        <v>18</v>
      </c>
      <c r="B98" s="709">
        <v>5059.3703026452013</v>
      </c>
      <c r="C98" s="709">
        <v>5047.8902188148004</v>
      </c>
      <c r="D98" s="709">
        <v>9385.0613247399997</v>
      </c>
      <c r="E98" s="709">
        <v>10107.260521460001</v>
      </c>
      <c r="F98" s="709">
        <v>7763.8045956900005</v>
      </c>
      <c r="G98" s="710">
        <v>5.3208480383317447</v>
      </c>
    </row>
    <row r="99" spans="1:7" ht="15" hidden="1" customHeight="1">
      <c r="A99" s="387" t="s">
        <v>19</v>
      </c>
      <c r="B99" s="709">
        <v>4993.7096705192007</v>
      </c>
      <c r="C99" s="709">
        <v>5278.896107180798</v>
      </c>
      <c r="D99" s="709">
        <v>9403.6249008399973</v>
      </c>
      <c r="E99" s="709">
        <v>10272.605777700001</v>
      </c>
      <c r="F99" s="709">
        <v>7907.6871624700007</v>
      </c>
      <c r="G99" s="710">
        <v>5.0923783148070871</v>
      </c>
    </row>
    <row r="100" spans="1:7" ht="16.5" hidden="1" customHeight="1">
      <c r="A100" s="387" t="s">
        <v>20</v>
      </c>
      <c r="B100" s="709">
        <v>5201.6591942505493</v>
      </c>
      <c r="C100" s="709">
        <v>5555.7410697094501</v>
      </c>
      <c r="D100" s="709">
        <v>8598.9848898</v>
      </c>
      <c r="E100" s="709">
        <v>10757.400264010001</v>
      </c>
      <c r="F100" s="709">
        <v>8115.4929009299995</v>
      </c>
      <c r="G100" s="710">
        <v>5.1363933214219708</v>
      </c>
    </row>
    <row r="101" spans="1:7" ht="16.5" hidden="1" customHeight="1">
      <c r="A101" s="387" t="s">
        <v>21</v>
      </c>
      <c r="B101" s="709">
        <v>5607.7632550175222</v>
      </c>
      <c r="C101" s="709">
        <v>5152.8061162224822</v>
      </c>
      <c r="D101" s="709">
        <v>10354.34255773</v>
      </c>
      <c r="E101" s="709">
        <v>10760.569371239999</v>
      </c>
      <c r="F101" s="709">
        <v>8176.43909859</v>
      </c>
      <c r="G101" s="710">
        <v>5.0321290543515484</v>
      </c>
    </row>
    <row r="102" spans="1:7" ht="14.25" hidden="1" customHeight="1">
      <c r="A102" s="387" t="s">
        <v>22</v>
      </c>
      <c r="B102" s="709">
        <v>5530.0868574797987</v>
      </c>
      <c r="C102" s="709">
        <v>5526.046390690195</v>
      </c>
      <c r="D102" s="709">
        <v>10542.867697859994</v>
      </c>
      <c r="E102" s="709">
        <v>11056.133248170001</v>
      </c>
      <c r="F102" s="709">
        <v>8392.0020107100008</v>
      </c>
      <c r="G102" s="710">
        <v>5.0323879885605338</v>
      </c>
    </row>
    <row r="103" spans="1:7" ht="14.25" hidden="1" customHeight="1">
      <c r="A103" s="387" t="s">
        <v>23</v>
      </c>
      <c r="B103" s="709">
        <v>5226.8616327624595</v>
      </c>
      <c r="C103" s="709">
        <v>6185.6545389375387</v>
      </c>
      <c r="D103" s="709">
        <v>10708.556130879999</v>
      </c>
      <c r="E103" s="709">
        <v>11412.516171699999</v>
      </c>
      <c r="F103" s="709">
        <v>8735.36012544</v>
      </c>
      <c r="G103" s="710">
        <v>5.1552304416512129</v>
      </c>
    </row>
    <row r="104" spans="1:7" ht="14.25" hidden="1" customHeight="1">
      <c r="A104" s="387" t="s">
        <v>24</v>
      </c>
      <c r="B104" s="709">
        <v>5605.0630788195194</v>
      </c>
      <c r="C104" s="709">
        <v>6316.1646247204781</v>
      </c>
      <c r="D104" s="709">
        <v>10910.089063099998</v>
      </c>
      <c r="E104" s="709">
        <v>11921.22770354</v>
      </c>
      <c r="F104" s="709">
        <v>9351.3794538900001</v>
      </c>
      <c r="G104" s="710">
        <v>4.8583634536005302</v>
      </c>
    </row>
    <row r="105" spans="1:7" ht="14.25" hidden="1" customHeight="1">
      <c r="A105" s="387" t="s">
        <v>25</v>
      </c>
      <c r="B105" s="709">
        <v>4966.9644559154995</v>
      </c>
      <c r="C105" s="709">
        <v>7369.2815616044973</v>
      </c>
      <c r="D105" s="709">
        <v>11328.251774179998</v>
      </c>
      <c r="E105" s="709">
        <v>12336.246017520003</v>
      </c>
      <c r="F105" s="709">
        <v>9569.8319123600013</v>
      </c>
      <c r="G105" s="710">
        <v>4.8384710234278669</v>
      </c>
    </row>
    <row r="106" spans="1:7" ht="14.25" hidden="1" customHeight="1">
      <c r="A106" s="387" t="s">
        <v>26</v>
      </c>
      <c r="B106" s="709">
        <v>4996.0327912871089</v>
      </c>
      <c r="C106" s="709">
        <v>7656.139593962891</v>
      </c>
      <c r="D106" s="709">
        <v>11487.75340066</v>
      </c>
      <c r="E106" s="709">
        <v>12652.172385250002</v>
      </c>
      <c r="F106" s="709">
        <v>9630.2770908400016</v>
      </c>
      <c r="G106" s="710">
        <v>4.7880959056311854</v>
      </c>
    </row>
    <row r="107" spans="1:7" ht="14.25" hidden="1" customHeight="1">
      <c r="A107" s="387" t="s">
        <v>27</v>
      </c>
      <c r="B107" s="709">
        <v>5449.4394000178991</v>
      </c>
      <c r="C107" s="709">
        <v>7202.781769612101</v>
      </c>
      <c r="D107" s="709">
        <v>11600.475687729999</v>
      </c>
      <c r="E107" s="709">
        <v>12652.22116963</v>
      </c>
      <c r="F107" s="709">
        <v>9748.6448836399995</v>
      </c>
      <c r="G107" s="710">
        <v>5.0087192007057419</v>
      </c>
    </row>
    <row r="108" spans="1:7" ht="14.25" hidden="1" customHeight="1">
      <c r="A108" s="387" t="s">
        <v>28</v>
      </c>
      <c r="B108" s="709">
        <v>5247.1810448815995</v>
      </c>
      <c r="C108" s="709">
        <v>7583.5584755884047</v>
      </c>
      <c r="D108" s="709">
        <v>11677.472621020004</v>
      </c>
      <c r="E108" s="709">
        <v>12830.739520470001</v>
      </c>
      <c r="F108" s="709">
        <v>9991.944854450001</v>
      </c>
      <c r="G108" s="710">
        <v>4.9651017324032471</v>
      </c>
    </row>
    <row r="109" spans="1:7" ht="14.25" hidden="1" customHeight="1">
      <c r="A109" s="387" t="s">
        <v>29</v>
      </c>
      <c r="B109" s="709">
        <v>7849.8831809402491</v>
      </c>
      <c r="C109" s="709">
        <v>6053.2924071797524</v>
      </c>
      <c r="D109" s="709">
        <v>11814.156175560001</v>
      </c>
      <c r="E109" s="709">
        <v>13903.175588120001</v>
      </c>
      <c r="F109" s="709">
        <v>10997.158822920001</v>
      </c>
      <c r="G109" s="710">
        <v>4.5528861892117991</v>
      </c>
    </row>
    <row r="110" spans="1:7" ht="13.5" customHeight="1">
      <c r="A110" s="40" t="s">
        <v>1327</v>
      </c>
      <c r="B110" s="707">
        <v>8283.1419850940001</v>
      </c>
      <c r="C110" s="707">
        <v>8492.1598212959962</v>
      </c>
      <c r="D110" s="707">
        <v>15603.110140220002</v>
      </c>
      <c r="E110" s="707">
        <v>16775.301806390002</v>
      </c>
      <c r="F110" s="707">
        <v>13806.376126880001</v>
      </c>
      <c r="G110" s="708"/>
    </row>
    <row r="111" spans="1:7" ht="16.5" hidden="1" customHeight="1">
      <c r="A111" s="387" t="s">
        <v>18</v>
      </c>
      <c r="B111" s="709">
        <v>8179.2003237670415</v>
      </c>
      <c r="C111" s="709">
        <v>5295.426421032962</v>
      </c>
      <c r="D111" s="709">
        <v>11960.857928580001</v>
      </c>
      <c r="E111" s="709">
        <v>13474.6267448</v>
      </c>
      <c r="F111" s="709">
        <v>10550.646729730001</v>
      </c>
      <c r="G111" s="710">
        <v>4.6532329914886361</v>
      </c>
    </row>
    <row r="112" spans="1:7" ht="16.5" hidden="1" customHeight="1">
      <c r="A112" s="387" t="s">
        <v>19</v>
      </c>
      <c r="B112" s="709">
        <v>8320.9053566173188</v>
      </c>
      <c r="C112" s="709">
        <v>5478.2565195426796</v>
      </c>
      <c r="D112" s="709">
        <v>12101.508401289999</v>
      </c>
      <c r="E112" s="709">
        <v>13799.16187616</v>
      </c>
      <c r="F112" s="709">
        <v>10694.32494869</v>
      </c>
      <c r="G112" s="710">
        <v>4.4894382989068946</v>
      </c>
    </row>
    <row r="113" spans="1:7" ht="16.5" hidden="1" customHeight="1">
      <c r="A113" s="387" t="s">
        <v>20</v>
      </c>
      <c r="B113" s="709">
        <v>8374.4350423209999</v>
      </c>
      <c r="C113" s="709">
        <v>5945.4477897390016</v>
      </c>
      <c r="D113" s="709">
        <v>12123.262548840001</v>
      </c>
      <c r="E113" s="709">
        <v>14319.88283205</v>
      </c>
      <c r="F113" s="709">
        <v>11263.437944789999</v>
      </c>
      <c r="G113" s="710">
        <v>4.364259459843387</v>
      </c>
    </row>
    <row r="114" spans="1:7" s="6" customFormat="1" ht="16.5" hidden="1" customHeight="1">
      <c r="A114" s="387" t="s">
        <v>21</v>
      </c>
      <c r="B114" s="709">
        <v>9022.7760185473235</v>
      </c>
      <c r="C114" s="709">
        <v>5323.4255901326833</v>
      </c>
      <c r="D114" s="709">
        <v>12291.642298090002</v>
      </c>
      <c r="E114" s="709">
        <v>14346.201608679999</v>
      </c>
      <c r="F114" s="709">
        <v>11202.396400419999</v>
      </c>
      <c r="G114" s="710">
        <v>4.4521709633649937</v>
      </c>
    </row>
    <row r="115" spans="1:7" s="6" customFormat="1" ht="16.5" hidden="1" customHeight="1">
      <c r="A115" s="387" t="s">
        <v>22</v>
      </c>
      <c r="B115" s="709">
        <v>8503.9337522758015</v>
      </c>
      <c r="C115" s="709">
        <v>6075.5504954642056</v>
      </c>
      <c r="D115" s="709">
        <v>12453.759248170005</v>
      </c>
      <c r="E115" s="709">
        <v>14579.48424774</v>
      </c>
      <c r="F115" s="709">
        <v>11456.70347266</v>
      </c>
      <c r="G115" s="710">
        <v>4.3681688444316418</v>
      </c>
    </row>
    <row r="116" spans="1:7" s="6" customFormat="1" ht="16.5" hidden="1" customHeight="1">
      <c r="A116" s="387" t="s">
        <v>23</v>
      </c>
      <c r="B116" s="709">
        <v>8130.6310187444815</v>
      </c>
      <c r="C116" s="709">
        <v>6396.851249085521</v>
      </c>
      <c r="D116" s="709">
        <v>12791.04749839</v>
      </c>
      <c r="E116" s="709">
        <v>14527.482267830001</v>
      </c>
      <c r="F116" s="709">
        <v>11753.663751780001</v>
      </c>
      <c r="G116" s="710">
        <v>4.4005377030211763</v>
      </c>
    </row>
    <row r="117" spans="1:7" s="6" customFormat="1" ht="16.5" hidden="1" customHeight="1">
      <c r="A117" s="387" t="s">
        <v>24</v>
      </c>
      <c r="B117" s="709">
        <v>8419.5579046270013</v>
      </c>
      <c r="C117" s="709">
        <v>6283.4852380130023</v>
      </c>
      <c r="D117" s="709">
        <v>12753.53298939</v>
      </c>
      <c r="E117" s="709">
        <v>14703.043142640003</v>
      </c>
      <c r="F117" s="709">
        <v>11971.003045320002</v>
      </c>
      <c r="G117" s="710">
        <v>4.4082365717149781</v>
      </c>
    </row>
    <row r="118" spans="1:7" s="6" customFormat="1" ht="16.5" hidden="1" customHeight="1">
      <c r="A118" s="387" t="s">
        <v>25</v>
      </c>
      <c r="B118" s="709">
        <v>8337.3287172766995</v>
      </c>
      <c r="C118" s="709">
        <v>6665.6634768433023</v>
      </c>
      <c r="D118" s="709">
        <v>13125.689057630003</v>
      </c>
      <c r="E118" s="709">
        <v>15002.992194119999</v>
      </c>
      <c r="F118" s="709">
        <v>12218.2895424</v>
      </c>
      <c r="G118" s="710">
        <v>4.3135788121097001</v>
      </c>
    </row>
    <row r="119" spans="1:7" s="6" customFormat="1" ht="16.5" hidden="1" customHeight="1">
      <c r="A119" s="387" t="s">
        <v>26</v>
      </c>
      <c r="B119" s="709">
        <v>8492.1448392023995</v>
      </c>
      <c r="C119" s="709">
        <v>6851.1854589375989</v>
      </c>
      <c r="D119" s="709">
        <v>13553.82171255</v>
      </c>
      <c r="E119" s="709">
        <v>15343.330298140001</v>
      </c>
      <c r="F119" s="709">
        <v>12402.361989680001</v>
      </c>
      <c r="G119" s="710">
        <v>4.2745057408243561</v>
      </c>
    </row>
    <row r="120" spans="1:7" s="6" customFormat="1" ht="16.5" hidden="1" customHeight="1">
      <c r="A120" s="387" t="s">
        <v>27</v>
      </c>
      <c r="B120" s="709">
        <v>8815.5726432672018</v>
      </c>
      <c r="C120" s="709">
        <v>6790.9985671728</v>
      </c>
      <c r="D120" s="709">
        <v>13827.021194729998</v>
      </c>
      <c r="E120" s="709">
        <v>15606.571210440001</v>
      </c>
      <c r="F120" s="709">
        <v>12563.57153646</v>
      </c>
      <c r="G120" s="710">
        <v>4.7822916998312586</v>
      </c>
    </row>
    <row r="121" spans="1:7" s="6" customFormat="1" ht="16.5" hidden="1" customHeight="1">
      <c r="A121" s="387" t="s">
        <v>28</v>
      </c>
      <c r="B121" s="709">
        <v>8896.8298966765487</v>
      </c>
      <c r="C121" s="709">
        <v>6890.9140451234489</v>
      </c>
      <c r="D121" s="709">
        <v>14367.090263119999</v>
      </c>
      <c r="E121" s="709">
        <v>15787.743941799999</v>
      </c>
      <c r="F121" s="709">
        <v>12649.589319520001</v>
      </c>
      <c r="G121" s="710">
        <v>4.1558823994434606</v>
      </c>
    </row>
    <row r="122" spans="1:7" s="6" customFormat="1" ht="16.5" hidden="1" customHeight="1">
      <c r="A122" s="387" t="s">
        <v>29</v>
      </c>
      <c r="B122" s="709">
        <v>8283.1419850940001</v>
      </c>
      <c r="C122" s="709">
        <v>8492.1598212959962</v>
      </c>
      <c r="D122" s="709">
        <v>15603.110140220002</v>
      </c>
      <c r="E122" s="709">
        <v>16775.301806390002</v>
      </c>
      <c r="F122" s="709">
        <v>13806.376126880001</v>
      </c>
      <c r="G122" s="710">
        <v>3.9108674238034538</v>
      </c>
    </row>
    <row r="123" spans="1:7" ht="13.5" customHeight="1">
      <c r="A123" s="40" t="s">
        <v>1449</v>
      </c>
      <c r="B123" s="707">
        <v>9975.526182756601</v>
      </c>
      <c r="C123" s="707">
        <v>9127.7610041334046</v>
      </c>
      <c r="D123" s="707">
        <v>16582.112609380005</v>
      </c>
      <c r="E123" s="707">
        <v>19289.435054590002</v>
      </c>
      <c r="F123" s="707">
        <v>16434.781617190001</v>
      </c>
      <c r="G123" s="708"/>
    </row>
    <row r="124" spans="1:7" ht="16.5" hidden="1" customHeight="1">
      <c r="A124" s="387" t="s">
        <v>18</v>
      </c>
      <c r="B124" s="709">
        <v>8753.8249211743969</v>
      </c>
      <c r="C124" s="709">
        <v>7865.4690825056005</v>
      </c>
      <c r="D124" s="709">
        <v>14419.78952009</v>
      </c>
      <c r="E124" s="709">
        <v>16619.294003679996</v>
      </c>
      <c r="F124" s="709">
        <v>13685.938089679998</v>
      </c>
      <c r="G124" s="710">
        <v>3.9231216485252571</v>
      </c>
    </row>
    <row r="125" spans="1:7" ht="16.5" hidden="1" customHeight="1">
      <c r="A125" s="387" t="s">
        <v>19</v>
      </c>
      <c r="B125" s="709">
        <v>8577.0188716651992</v>
      </c>
      <c r="C125" s="709">
        <v>8188.0517459047987</v>
      </c>
      <c r="D125" s="709">
        <v>13634.921192759999</v>
      </c>
      <c r="E125" s="709">
        <v>16765.07061757</v>
      </c>
      <c r="F125" s="709">
        <v>13905.86568132</v>
      </c>
      <c r="G125" s="710">
        <v>3.6004662454964391</v>
      </c>
    </row>
    <row r="126" spans="1:7" ht="16.5" hidden="1" customHeight="1">
      <c r="A126" s="387" t="s">
        <v>20</v>
      </c>
      <c r="B126" s="709">
        <v>9156.4418342964018</v>
      </c>
      <c r="C126" s="709">
        <v>8288.7049269435993</v>
      </c>
      <c r="D126" s="709">
        <v>13678.840231869999</v>
      </c>
      <c r="E126" s="709">
        <v>17445.146761240001</v>
      </c>
      <c r="F126" s="709">
        <v>14184.517696760002</v>
      </c>
      <c r="G126" s="710">
        <v>3.6510229749883782</v>
      </c>
    </row>
    <row r="127" spans="1:7" ht="16.5" hidden="1" customHeight="1">
      <c r="A127" s="387" t="s">
        <v>21</v>
      </c>
      <c r="B127" s="709">
        <v>9176.8903917599982</v>
      </c>
      <c r="C127" s="709">
        <v>8303.4849263099968</v>
      </c>
      <c r="D127" s="709">
        <v>14364.643777299996</v>
      </c>
      <c r="E127" s="709">
        <v>17480.375318070004</v>
      </c>
      <c r="F127" s="709">
        <v>14369.789669550002</v>
      </c>
      <c r="G127" s="710">
        <v>3.5972342802995771</v>
      </c>
    </row>
    <row r="128" spans="1:7" ht="16.5" hidden="1" customHeight="1">
      <c r="A128" s="387" t="s">
        <v>22</v>
      </c>
      <c r="B128" s="709">
        <v>9218.9531737847992</v>
      </c>
      <c r="C128" s="709">
        <v>8414.8986516652021</v>
      </c>
      <c r="D128" s="709">
        <v>14752.904465990003</v>
      </c>
      <c r="E128" s="709">
        <v>17633.851825450001</v>
      </c>
      <c r="F128" s="709">
        <v>14515.321340959999</v>
      </c>
      <c r="G128" s="710">
        <v>3.6572597156494666</v>
      </c>
    </row>
    <row r="129" spans="1:7" ht="16.5" hidden="1" customHeight="1">
      <c r="A129" s="387" t="s">
        <v>23</v>
      </c>
      <c r="B129" s="709">
        <v>8793.607174044253</v>
      </c>
      <c r="C129" s="709">
        <v>8712.6722171757519</v>
      </c>
      <c r="D129" s="709">
        <v>15071.089690870003</v>
      </c>
      <c r="E129" s="709">
        <v>17506.27939122</v>
      </c>
      <c r="F129" s="709">
        <v>14682.522197119999</v>
      </c>
      <c r="G129" s="710">
        <v>3.7053579262200218</v>
      </c>
    </row>
    <row r="130" spans="1:7" ht="16.5" hidden="1" customHeight="1">
      <c r="A130" s="387" t="s">
        <v>24</v>
      </c>
      <c r="B130" s="709">
        <v>9284.6306146360002</v>
      </c>
      <c r="C130" s="709">
        <v>8669.4924534340007</v>
      </c>
      <c r="D130" s="709">
        <v>15521.622974330001</v>
      </c>
      <c r="E130" s="709">
        <v>17954.123068069999</v>
      </c>
      <c r="F130" s="709">
        <v>14916.31385235</v>
      </c>
      <c r="G130" s="710">
        <v>3.7117615349235469</v>
      </c>
    </row>
    <row r="131" spans="1:7" ht="16.5" hidden="1" customHeight="1">
      <c r="A131" s="387" t="s">
        <v>25</v>
      </c>
      <c r="B131" s="709">
        <v>9155.66704560168</v>
      </c>
      <c r="C131" s="709">
        <v>8847.1074589683176</v>
      </c>
      <c r="D131" s="709">
        <v>15681.06523186</v>
      </c>
      <c r="E131" s="709">
        <v>18002.774504569999</v>
      </c>
      <c r="F131" s="709">
        <v>15163.179898129998</v>
      </c>
      <c r="G131" s="710">
        <v>3.7017103521222618</v>
      </c>
    </row>
    <row r="132" spans="1:7" ht="16.5" hidden="1" customHeight="1">
      <c r="A132" s="387" t="s">
        <v>26</v>
      </c>
      <c r="B132" s="709">
        <v>9262.2368177244007</v>
      </c>
      <c r="C132" s="709">
        <v>8947.9169661155975</v>
      </c>
      <c r="D132" s="709">
        <v>16024.718345569998</v>
      </c>
      <c r="E132" s="709">
        <v>18210.15378384</v>
      </c>
      <c r="F132" s="709">
        <v>15264.92949411</v>
      </c>
      <c r="G132" s="710">
        <v>3.7338746540117214</v>
      </c>
    </row>
    <row r="133" spans="1:7" ht="16.5" hidden="1" customHeight="1">
      <c r="A133" s="387" t="s">
        <v>27</v>
      </c>
      <c r="B133" s="709">
        <v>9884.5211664189974</v>
      </c>
      <c r="C133" s="709">
        <v>8565.0180041710009</v>
      </c>
      <c r="D133" s="709">
        <v>16190.7225745</v>
      </c>
      <c r="E133" s="709">
        <v>18449.53917059</v>
      </c>
      <c r="F133" s="709">
        <v>15495.52054265</v>
      </c>
      <c r="G133" s="710">
        <v>3.6834838715420637</v>
      </c>
    </row>
    <row r="134" spans="1:7" ht="16.5" hidden="1" customHeight="1">
      <c r="A134" s="387" t="s">
        <v>28</v>
      </c>
      <c r="B134" s="709">
        <v>9943.594772619761</v>
      </c>
      <c r="C134" s="709">
        <v>8912.7867856502417</v>
      </c>
      <c r="D134" s="709">
        <v>16484.559871459998</v>
      </c>
      <c r="E134" s="709">
        <v>18856.381558270001</v>
      </c>
      <c r="F134" s="709">
        <v>15673.90127194</v>
      </c>
      <c r="G134" s="710">
        <v>3.6242476594960049</v>
      </c>
    </row>
    <row r="135" spans="1:7" ht="16.5" hidden="1" customHeight="1">
      <c r="A135" s="387" t="s">
        <v>29</v>
      </c>
      <c r="B135" s="709">
        <v>9975.526182756601</v>
      </c>
      <c r="C135" s="709">
        <v>9313.9088718334042</v>
      </c>
      <c r="D135" s="709">
        <v>16582.112609380005</v>
      </c>
      <c r="E135" s="709">
        <v>19289.435054590002</v>
      </c>
      <c r="F135" s="709">
        <v>16434.781617190001</v>
      </c>
      <c r="G135" s="710">
        <v>3.5113457144839675</v>
      </c>
    </row>
    <row r="136" spans="1:7" ht="13.5" customHeight="1">
      <c r="A136" s="40" t="s">
        <v>1660</v>
      </c>
      <c r="B136" s="709"/>
      <c r="C136" s="709"/>
      <c r="D136" s="709"/>
      <c r="E136" s="709"/>
      <c r="F136" s="709"/>
      <c r="G136" s="710"/>
    </row>
    <row r="137" spans="1:7" ht="16.5" customHeight="1">
      <c r="A137" s="40" t="s">
        <v>18</v>
      </c>
      <c r="B137" s="709">
        <v>10313.828678065041</v>
      </c>
      <c r="C137" s="709">
        <v>8731.0219437849628</v>
      </c>
      <c r="D137" s="709">
        <v>16663.613278920002</v>
      </c>
      <c r="E137" s="709">
        <v>19044.850621850001</v>
      </c>
      <c r="F137" s="709">
        <v>15982.879134549999</v>
      </c>
      <c r="G137" s="710">
        <v>3.272752021688409</v>
      </c>
    </row>
    <row r="138" spans="1:7" ht="16.5" customHeight="1">
      <c r="A138" s="40" t="s">
        <v>19</v>
      </c>
      <c r="B138" s="709">
        <v>10730.386405456722</v>
      </c>
      <c r="C138" s="709">
        <v>8543.1733030732776</v>
      </c>
      <c r="D138" s="709">
        <v>16933.433028599997</v>
      </c>
      <c r="E138" s="709">
        <v>19273.559708530003</v>
      </c>
      <c r="F138" s="709">
        <v>16124.661814100004</v>
      </c>
      <c r="G138" s="710">
        <v>3.148866040440053</v>
      </c>
    </row>
    <row r="139" spans="1:7" ht="16.5" customHeight="1">
      <c r="A139" s="40" t="s">
        <v>20</v>
      </c>
      <c r="B139" s="709">
        <v>11792.215780226838</v>
      </c>
      <c r="C139" s="709">
        <v>7584.8011703231596</v>
      </c>
      <c r="D139" s="709">
        <v>17313.647154999999</v>
      </c>
      <c r="E139" s="709">
        <v>19377.016950549998</v>
      </c>
      <c r="F139" s="709">
        <v>16132.314188839999</v>
      </c>
      <c r="G139" s="710">
        <v>3.2607101116583466</v>
      </c>
    </row>
    <row r="140" spans="1:7" ht="16.5" customHeight="1">
      <c r="A140" s="40" t="s">
        <v>21</v>
      </c>
      <c r="B140" s="709">
        <v>12216.608476437083</v>
      </c>
      <c r="C140" s="709">
        <v>7575.9506153929215</v>
      </c>
      <c r="D140" s="709">
        <v>17716.84290394</v>
      </c>
      <c r="E140" s="709">
        <v>19792.55909183</v>
      </c>
      <c r="F140" s="709">
        <v>16489.676849340001</v>
      </c>
      <c r="G140" s="710">
        <v>3.3123086946477134</v>
      </c>
    </row>
    <row r="141" spans="1:7" ht="16.5" customHeight="1">
      <c r="A141" s="40" t="s">
        <v>22</v>
      </c>
      <c r="B141" s="709">
        <v>12112.184756759523</v>
      </c>
      <c r="C141" s="709">
        <v>7856.3767399104836</v>
      </c>
      <c r="D141" s="709">
        <v>18123.072748740004</v>
      </c>
      <c r="E141" s="709">
        <v>19968.561496670001</v>
      </c>
      <c r="F141" s="709">
        <v>16695.74778433</v>
      </c>
      <c r="G141" s="710">
        <v>3.3701695022495821</v>
      </c>
    </row>
    <row r="142" spans="1:7" ht="16.5" customHeight="1">
      <c r="A142" s="40" t="s">
        <v>23</v>
      </c>
      <c r="B142" s="709">
        <v>12068.196271351564</v>
      </c>
      <c r="C142" s="709">
        <v>8501.0502020184431</v>
      </c>
      <c r="D142" s="709">
        <v>18209.982750170002</v>
      </c>
      <c r="E142" s="709">
        <v>20569.24647337</v>
      </c>
      <c r="F142" s="709">
        <v>17005.082993600001</v>
      </c>
      <c r="G142" s="710">
        <v>3.3805186379646202</v>
      </c>
    </row>
    <row r="143" spans="1:7" ht="16.5" customHeight="1">
      <c r="A143" s="40" t="s">
        <v>24</v>
      </c>
      <c r="B143" s="709">
        <v>12429.804703018724</v>
      </c>
      <c r="C143" s="709">
        <v>8795.5950047212791</v>
      </c>
      <c r="D143" s="709">
        <v>18477.874276729999</v>
      </c>
      <c r="E143" s="709">
        <v>21225.399707740002</v>
      </c>
      <c r="F143" s="709">
        <v>17435.081794850001</v>
      </c>
      <c r="G143" s="710">
        <v>3.3425022426458524</v>
      </c>
    </row>
    <row r="144" spans="1:7" ht="16.5" customHeight="1">
      <c r="A144" s="40" t="s">
        <v>25</v>
      </c>
      <c r="B144" s="709">
        <v>12073.92507237732</v>
      </c>
      <c r="C144" s="709">
        <v>9232.470557712677</v>
      </c>
      <c r="D144" s="709">
        <v>18777.822485639997</v>
      </c>
      <c r="E144" s="709">
        <v>21306.395630089999</v>
      </c>
      <c r="F144" s="709">
        <v>17452.391032289997</v>
      </c>
      <c r="G144" s="710">
        <v>3.3667249313454222</v>
      </c>
    </row>
    <row r="145" spans="1:7" ht="16.5" customHeight="1">
      <c r="A145" s="40" t="s">
        <v>26</v>
      </c>
      <c r="B145" s="709">
        <v>11912.041999287285</v>
      </c>
      <c r="C145" s="709">
        <v>9221.0862821627234</v>
      </c>
      <c r="D145" s="709">
        <v>19082.944819290002</v>
      </c>
      <c r="E145" s="709">
        <v>21133.128281450001</v>
      </c>
      <c r="F145" s="709">
        <v>17367.805316220001</v>
      </c>
      <c r="G145" s="710">
        <v>3.3890580259458272</v>
      </c>
    </row>
    <row r="146" spans="1:7" ht="16.5" customHeight="1">
      <c r="A146" s="40" t="s">
        <v>27</v>
      </c>
      <c r="B146" s="709">
        <v>12189.504669240039</v>
      </c>
      <c r="C146" s="709">
        <v>9182.6088926099637</v>
      </c>
      <c r="D146" s="709">
        <v>19307.721907270003</v>
      </c>
      <c r="E146" s="709">
        <v>21372.113561850005</v>
      </c>
      <c r="F146" s="709">
        <v>17370.041469000003</v>
      </c>
      <c r="G146" s="710">
        <v>3.400696544416522</v>
      </c>
    </row>
    <row r="147" spans="1:7" ht="16.5" customHeight="1">
      <c r="A147" s="40" t="s">
        <v>28</v>
      </c>
      <c r="B147" s="709">
        <v>11986.022929026241</v>
      </c>
      <c r="C147" s="709">
        <v>9703.7364830537572</v>
      </c>
      <c r="D147" s="709">
        <v>19758.176670529996</v>
      </c>
      <c r="E147" s="709">
        <v>21689.759412079999</v>
      </c>
      <c r="F147" s="709">
        <v>17525.152211059998</v>
      </c>
      <c r="G147" s="710">
        <v>3.3454448380196884</v>
      </c>
    </row>
    <row r="148" spans="1:7" ht="16.5" customHeight="1">
      <c r="A148" s="40" t="s">
        <v>29</v>
      </c>
      <c r="B148" s="709">
        <v>10477.630813157359</v>
      </c>
      <c r="C148" s="709">
        <v>11088.726110782638</v>
      </c>
      <c r="D148" s="709">
        <v>20041.87220582</v>
      </c>
      <c r="E148" s="709">
        <v>21566.356923939999</v>
      </c>
      <c r="F148" s="709">
        <v>17435.832346269999</v>
      </c>
      <c r="G148" s="710">
        <v>3.3825629215009609</v>
      </c>
    </row>
    <row r="149" spans="1:7" ht="16.5" customHeight="1">
      <c r="A149" s="40" t="s">
        <v>1855</v>
      </c>
      <c r="B149" s="709"/>
      <c r="C149" s="709"/>
      <c r="D149" s="709"/>
      <c r="E149" s="709"/>
      <c r="F149" s="709"/>
      <c r="G149" s="710"/>
    </row>
    <row r="150" spans="1:7" ht="16.5" customHeight="1">
      <c r="A150" s="40" t="s">
        <v>18</v>
      </c>
      <c r="B150" s="709">
        <v>9805.7262237300019</v>
      </c>
      <c r="C150" s="709">
        <v>10762.770555879999</v>
      </c>
      <c r="D150" s="709">
        <v>19899.446903470001</v>
      </c>
      <c r="E150" s="709">
        <v>20568.496779610003</v>
      </c>
      <c r="F150" s="709">
        <v>16236.448099690002</v>
      </c>
      <c r="G150" s="710">
        <v>2.6841092172635999</v>
      </c>
    </row>
    <row r="151" spans="1:7" ht="16.5" customHeight="1">
      <c r="A151" s="40" t="s">
        <v>19</v>
      </c>
      <c r="B151" s="709">
        <v>10926.39392425</v>
      </c>
      <c r="C151" s="709">
        <v>9188.7745882199979</v>
      </c>
      <c r="D151" s="709">
        <v>22155.680821059996</v>
      </c>
      <c r="E151" s="709">
        <v>20115.168512470002</v>
      </c>
      <c r="F151" s="709">
        <v>13607.043731039999</v>
      </c>
      <c r="G151" s="710">
        <v>3.1367283624315809</v>
      </c>
    </row>
    <row r="152" spans="1:7" ht="16.5" customHeight="1">
      <c r="A152" s="40" t="s">
        <v>20</v>
      </c>
      <c r="B152" s="709">
        <v>9368.00387013</v>
      </c>
      <c r="C152" s="709">
        <v>10139.384984620006</v>
      </c>
      <c r="D152" s="709">
        <v>22099.479051470007</v>
      </c>
      <c r="E152" s="709">
        <v>19507.388854749999</v>
      </c>
      <c r="F152" s="709">
        <v>12493.102293259999</v>
      </c>
      <c r="G152" s="710">
        <v>3.690036223018109</v>
      </c>
    </row>
    <row r="153" spans="1:7" ht="16.5" customHeight="1">
      <c r="A153" s="40" t="s">
        <v>21</v>
      </c>
      <c r="B153" s="709">
        <v>8845.1355185200009</v>
      </c>
      <c r="C153" s="709">
        <v>10137.745574610002</v>
      </c>
      <c r="D153" s="709">
        <v>22082.80706562</v>
      </c>
      <c r="E153" s="709">
        <v>18982.881093129999</v>
      </c>
      <c r="F153" s="709">
        <v>11004.003724679998</v>
      </c>
      <c r="G153" s="710">
        <v>4.5362580065331279</v>
      </c>
    </row>
    <row r="154" spans="1:7" ht="16.5" customHeight="1">
      <c r="A154" s="40" t="s">
        <v>22</v>
      </c>
      <c r="B154" s="709">
        <v>8801.645188460001</v>
      </c>
      <c r="C154" s="709">
        <v>10165.164992949998</v>
      </c>
      <c r="D154" s="709">
        <v>22074.494394220001</v>
      </c>
      <c r="E154" s="709">
        <v>18966.810181410001</v>
      </c>
      <c r="F154" s="709">
        <v>11051.43324894</v>
      </c>
      <c r="G154" s="710">
        <v>4.6352648426767065</v>
      </c>
    </row>
    <row r="155" spans="1:7" ht="16.5" customHeight="1">
      <c r="A155" s="40" t="s">
        <v>23</v>
      </c>
      <c r="B155" s="709">
        <v>8676.7089770900002</v>
      </c>
      <c r="C155" s="709">
        <v>10172.653723980002</v>
      </c>
      <c r="D155" s="709">
        <v>22042.853342460003</v>
      </c>
      <c r="E155" s="709">
        <v>18849.36270107</v>
      </c>
      <c r="F155" s="709">
        <v>10991.807172730001</v>
      </c>
      <c r="G155" s="710">
        <v>4.7790321622748442</v>
      </c>
    </row>
    <row r="156" spans="1:7" ht="16.5" customHeight="1">
      <c r="A156" s="40" t="s">
        <v>24</v>
      </c>
      <c r="B156" s="709">
        <v>8888.991460119998</v>
      </c>
      <c r="C156" s="709">
        <v>9966.4036213800027</v>
      </c>
      <c r="D156" s="709">
        <v>21909.448119130004</v>
      </c>
      <c r="E156" s="709">
        <v>18855.395081499999</v>
      </c>
      <c r="F156" s="709">
        <v>10853.4799398</v>
      </c>
      <c r="G156" s="710">
        <v>5.0634187919940974</v>
      </c>
    </row>
    <row r="157" spans="1:7" ht="16.5" customHeight="1">
      <c r="A157" s="40" t="s">
        <v>25</v>
      </c>
      <c r="B157" s="709">
        <v>8488.722814900002</v>
      </c>
      <c r="C157" s="709">
        <v>9245.5467057100032</v>
      </c>
      <c r="D157" s="709">
        <v>21877.230808510005</v>
      </c>
      <c r="E157" s="709">
        <v>17734.26952061</v>
      </c>
      <c r="F157" s="709">
        <v>9545.6573157900002</v>
      </c>
      <c r="G157" s="710">
        <v>5.6613597379624263</v>
      </c>
    </row>
    <row r="158" spans="1:7" ht="16.5" customHeight="1">
      <c r="A158" s="40" t="s">
        <v>26</v>
      </c>
      <c r="B158" s="709">
        <v>8349.6931199899936</v>
      </c>
      <c r="C158" s="709">
        <v>9334.3310063300032</v>
      </c>
      <c r="D158" s="709">
        <v>21203.703947240003</v>
      </c>
      <c r="E158" s="709">
        <v>17684.024126320001</v>
      </c>
      <c r="F158" s="709">
        <v>9368.9163284799997</v>
      </c>
      <c r="G158" s="710">
        <v>5.7891291548620485</v>
      </c>
    </row>
    <row r="159" spans="1:7" ht="16.5" customHeight="1">
      <c r="A159" s="40" t="s">
        <v>27</v>
      </c>
      <c r="B159" s="709">
        <v>8717.5732322799995</v>
      </c>
      <c r="C159" s="709">
        <v>8651.9128977800046</v>
      </c>
      <c r="D159" s="709">
        <v>20910.811603430007</v>
      </c>
      <c r="E159" s="709">
        <v>17369.486130060002</v>
      </c>
      <c r="F159" s="709">
        <v>9363.6434162200003</v>
      </c>
      <c r="G159" s="710">
        <v>5.8867854690532475</v>
      </c>
    </row>
    <row r="160" spans="1:7" ht="16.5" customHeight="1">
      <c r="A160" s="40" t="s">
        <v>28</v>
      </c>
      <c r="B160" s="709">
        <v>8766.7500764899996</v>
      </c>
      <c r="C160" s="709">
        <v>8677.7290508000042</v>
      </c>
      <c r="D160" s="709">
        <v>21248.51733812</v>
      </c>
      <c r="E160" s="709">
        <v>17444.47912729</v>
      </c>
      <c r="F160" s="709">
        <v>9050.0356780599996</v>
      </c>
      <c r="G160" s="710">
        <v>6.0340294514604427</v>
      </c>
    </row>
    <row r="161" spans="1:9" ht="16.5" customHeight="1">
      <c r="A161" s="40" t="s">
        <v>29</v>
      </c>
      <c r="B161" s="709">
        <v>10680.57673565</v>
      </c>
      <c r="C161" s="709">
        <v>10606.32995677</v>
      </c>
      <c r="D161" s="709">
        <v>24627.246070779998</v>
      </c>
      <c r="E161" s="709">
        <v>21286.906692420001</v>
      </c>
      <c r="F161" s="709">
        <v>8678.2990421599989</v>
      </c>
      <c r="G161" s="710">
        <v>6.2629899863962208</v>
      </c>
    </row>
    <row r="162" spans="1:9" ht="16.5" customHeight="1">
      <c r="A162" s="40" t="s">
        <v>1879</v>
      </c>
      <c r="B162" s="709"/>
      <c r="C162" s="709"/>
      <c r="D162" s="709"/>
      <c r="E162" s="709"/>
      <c r="F162" s="709"/>
      <c r="G162" s="710"/>
    </row>
    <row r="163" spans="1:9" ht="16.5" customHeight="1">
      <c r="A163" s="40" t="s">
        <v>18</v>
      </c>
      <c r="B163" s="709">
        <v>10181.611797529999</v>
      </c>
      <c r="C163" s="709">
        <v>9748.5779503600061</v>
      </c>
      <c r="D163" s="709">
        <v>24204.942155520006</v>
      </c>
      <c r="E163" s="709">
        <v>19930.189747889999</v>
      </c>
      <c r="F163" s="709">
        <v>8001.7370589799993</v>
      </c>
      <c r="G163" s="710">
        <v>6.0154938415504251</v>
      </c>
      <c r="I163" s="285"/>
    </row>
    <row r="164" spans="1:9" ht="16.5" customHeight="1">
      <c r="A164" s="40" t="s">
        <v>19</v>
      </c>
      <c r="B164" s="709">
        <v>10029.378411110001</v>
      </c>
      <c r="C164" s="709">
        <v>9569.4649208600076</v>
      </c>
      <c r="D164" s="709">
        <v>23355.908324403506</v>
      </c>
      <c r="E164" s="709">
        <v>19598.843331969998</v>
      </c>
      <c r="F164" s="709">
        <v>8686.374386129999</v>
      </c>
      <c r="G164" s="710">
        <v>5.4490168044768907</v>
      </c>
    </row>
    <row r="165" spans="1:9" ht="16.5" customHeight="1">
      <c r="A165" s="40" t="s">
        <v>20</v>
      </c>
      <c r="B165" s="709">
        <v>11909.642779999996</v>
      </c>
      <c r="C165" s="709">
        <v>8725.4731387399952</v>
      </c>
      <c r="D165" s="709">
        <v>22629.552759573737</v>
      </c>
      <c r="E165" s="709">
        <v>20635.115918739997</v>
      </c>
      <c r="F165" s="709">
        <v>8943.0222278000001</v>
      </c>
      <c r="G165" s="710">
        <v>5.6306244933025704</v>
      </c>
    </row>
    <row r="166" spans="1:9" ht="16.5" customHeight="1">
      <c r="A166" s="40" t="s">
        <v>21</v>
      </c>
      <c r="B166" s="709">
        <v>11689.993301909999</v>
      </c>
      <c r="C166" s="709">
        <v>8875.7390559199976</v>
      </c>
      <c r="D166" s="709">
        <v>21736.177713950001</v>
      </c>
      <c r="E166" s="709">
        <v>20565.732357829998</v>
      </c>
      <c r="F166" s="709">
        <v>9205.7599008199995</v>
      </c>
      <c r="G166" s="710">
        <v>5.4969606578043058</v>
      </c>
    </row>
    <row r="167" spans="1:9" ht="16.5" customHeight="1">
      <c r="A167" s="40" t="s">
        <v>22</v>
      </c>
      <c r="B167" s="709">
        <v>8691.5180625699959</v>
      </c>
      <c r="C167" s="709">
        <v>11938.220276070002</v>
      </c>
      <c r="D167" s="709">
        <v>21206.458284820001</v>
      </c>
      <c r="E167" s="709">
        <v>20629.73833864</v>
      </c>
      <c r="F167" s="709">
        <v>9600.709636919999</v>
      </c>
      <c r="G167" s="710">
        <v>5.3778024700852871</v>
      </c>
    </row>
    <row r="168" spans="1:9" ht="16.5" customHeight="1">
      <c r="A168" s="40" t="s">
        <v>23</v>
      </c>
      <c r="B168" s="709">
        <v>9375.8426324999982</v>
      </c>
      <c r="C168" s="709">
        <v>11475.642199420003</v>
      </c>
      <c r="D168" s="709">
        <v>21203.648283040002</v>
      </c>
      <c r="E168" s="709">
        <v>20851.484831909998</v>
      </c>
      <c r="F168" s="709">
        <v>9806.5437926800005</v>
      </c>
      <c r="G168" s="710">
        <v>5.5069962610385943</v>
      </c>
    </row>
    <row r="169" spans="1:9" ht="16.5" customHeight="1">
      <c r="A169" s="40" t="s">
        <v>24</v>
      </c>
      <c r="B169" s="709">
        <v>8552.6384638200016</v>
      </c>
      <c r="C169" s="709">
        <v>12549.255828089999</v>
      </c>
      <c r="D169" s="709">
        <v>19363.994178419998</v>
      </c>
      <c r="E169" s="709">
        <v>21101.894291910001</v>
      </c>
      <c r="F169" s="709">
        <v>10096.59923992</v>
      </c>
      <c r="G169" s="710">
        <v>5.4540457610705966</v>
      </c>
    </row>
    <row r="170" spans="1:9" ht="16.5" customHeight="1">
      <c r="A170" s="40" t="s">
        <v>25</v>
      </c>
      <c r="B170" s="709">
        <v>8842.8224372700006</v>
      </c>
      <c r="C170" s="709">
        <v>12311.232067360002</v>
      </c>
      <c r="D170" s="709">
        <v>19567.956046391038</v>
      </c>
      <c r="E170" s="709">
        <v>21154.054504630003</v>
      </c>
      <c r="F170" s="709">
        <v>9861.4011032900016</v>
      </c>
      <c r="G170" s="710">
        <v>5.7843403186358087</v>
      </c>
    </row>
    <row r="171" spans="1:9" ht="16.5" customHeight="1">
      <c r="A171" s="40" t="s">
        <v>26</v>
      </c>
      <c r="B171" s="709">
        <v>8401.6128056299985</v>
      </c>
      <c r="C171" s="709">
        <v>11732.53741148</v>
      </c>
      <c r="D171" s="709">
        <v>19489.634150261038</v>
      </c>
      <c r="E171" s="709">
        <v>20134.15021711</v>
      </c>
      <c r="F171" s="709">
        <v>9966.4070786500015</v>
      </c>
      <c r="G171" s="710">
        <v>5.8110276059997688</v>
      </c>
    </row>
    <row r="172" spans="1:9" ht="16.5" customHeight="1">
      <c r="A172" s="40" t="s">
        <v>27</v>
      </c>
      <c r="B172" s="709">
        <v>8163.6268637900002</v>
      </c>
      <c r="C172" s="709">
        <v>11958.957116480002</v>
      </c>
      <c r="D172" s="709">
        <v>19057.325024561036</v>
      </c>
      <c r="E172" s="709">
        <v>20122.583980269999</v>
      </c>
      <c r="F172" s="709">
        <v>10679.03181364</v>
      </c>
      <c r="G172" s="710">
        <v>5.5312205292388166</v>
      </c>
    </row>
    <row r="173" spans="1:9" ht="16.5" customHeight="1">
      <c r="A173" s="40" t="s">
        <v>28</v>
      </c>
      <c r="B173" s="709">
        <v>7502.1303790200018</v>
      </c>
      <c r="C173" s="709">
        <v>12769.745173680003</v>
      </c>
      <c r="D173" s="709">
        <v>19799.13768470104</v>
      </c>
      <c r="E173" s="709">
        <v>20271.875552699999</v>
      </c>
      <c r="F173" s="709">
        <v>10942.423036390001</v>
      </c>
      <c r="G173" s="710">
        <v>5.4267289282168099</v>
      </c>
    </row>
    <row r="174" spans="1:9" ht="16.5" customHeight="1">
      <c r="A174" s="40" t="s">
        <v>29</v>
      </c>
      <c r="B174" s="709">
        <v>7591.6417212400011</v>
      </c>
      <c r="C174" s="709">
        <v>13297.958496220001</v>
      </c>
      <c r="D174" s="709">
        <v>17661.766609731036</v>
      </c>
      <c r="E174" s="709">
        <v>20889.60021746</v>
      </c>
      <c r="F174" s="709">
        <v>11546.34558836</v>
      </c>
      <c r="G174" s="710">
        <v>5.1953840755012797</v>
      </c>
    </row>
    <row r="175" spans="1:9" ht="16.5" customHeight="1">
      <c r="A175" s="40" t="s">
        <v>1942</v>
      </c>
      <c r="B175" s="709"/>
      <c r="C175" s="709"/>
      <c r="D175" s="709"/>
      <c r="E175" s="709"/>
      <c r="F175" s="709"/>
      <c r="G175" s="710"/>
    </row>
    <row r="176" spans="1:9" ht="16.5" customHeight="1">
      <c r="A176" s="40" t="s">
        <v>18</v>
      </c>
      <c r="B176" s="709">
        <v>9686.2611908000017</v>
      </c>
      <c r="C176" s="709">
        <v>11348.592694390001</v>
      </c>
      <c r="D176" s="709">
        <v>16055.80105774104</v>
      </c>
      <c r="E176" s="709">
        <v>21034.853885190001</v>
      </c>
      <c r="F176" s="709">
        <v>10749.334211820002</v>
      </c>
      <c r="G176" s="710">
        <v>5.8419618148022607</v>
      </c>
    </row>
    <row r="177" spans="1:7" ht="16.5" customHeight="1">
      <c r="A177" s="40" t="s">
        <v>19</v>
      </c>
      <c r="B177" s="709">
        <v>7579.4802593500017</v>
      </c>
      <c r="C177" s="709">
        <v>12571.724120029996</v>
      </c>
      <c r="D177" s="709">
        <v>15349.225691871037</v>
      </c>
      <c r="E177" s="709">
        <v>20151.204379379997</v>
      </c>
      <c r="F177" s="709">
        <v>10764.027273759999</v>
      </c>
      <c r="G177" s="710">
        <v>5.5978676444724416</v>
      </c>
    </row>
    <row r="178" spans="1:7" ht="16.5" customHeight="1">
      <c r="A178" s="40" t="s">
        <v>20</v>
      </c>
      <c r="B178" s="709">
        <v>8259.7188025500054</v>
      </c>
      <c r="C178" s="709">
        <v>11643.207625820003</v>
      </c>
      <c r="D178" s="709">
        <v>14953.03136745104</v>
      </c>
      <c r="E178" s="709">
        <v>19902.926428370003</v>
      </c>
      <c r="F178" s="709">
        <v>10981.981760760002</v>
      </c>
      <c r="G178" s="710">
        <v>5.5471590945152105</v>
      </c>
    </row>
    <row r="179" spans="1:7" ht="16.5" customHeight="1">
      <c r="A179" s="40" t="s">
        <v>21</v>
      </c>
      <c r="B179" s="709">
        <v>8656.3365086799986</v>
      </c>
      <c r="C179" s="709">
        <v>12425.470219749994</v>
      </c>
      <c r="D179" s="709">
        <v>15051.610971511036</v>
      </c>
      <c r="E179" s="709">
        <v>21081.806728430001</v>
      </c>
      <c r="F179" s="709">
        <v>11610.051899549999</v>
      </c>
      <c r="G179" s="710">
        <v>5.2040594239153943</v>
      </c>
    </row>
    <row r="180" spans="1:7" ht="16.5" customHeight="1">
      <c r="A180" s="40" t="s">
        <v>22</v>
      </c>
      <c r="B180" s="709">
        <v>9246.3859576599989</v>
      </c>
      <c r="C180" s="709">
        <v>11609.979976169992</v>
      </c>
      <c r="D180" s="709">
        <v>14254.772286781041</v>
      </c>
      <c r="E180" s="709">
        <v>20856.365933830002</v>
      </c>
      <c r="F180" s="709">
        <v>11568.538726760002</v>
      </c>
      <c r="G180" s="710">
        <v>5.2567468922699323</v>
      </c>
    </row>
    <row r="181" spans="1:7" ht="16.5" customHeight="1">
      <c r="A181" s="40" t="s">
        <v>23</v>
      </c>
      <c r="B181" s="709">
        <v>9423.3952125599972</v>
      </c>
      <c r="C181" s="709">
        <v>11549.609276900004</v>
      </c>
      <c r="D181" s="709">
        <v>13329.53336102104</v>
      </c>
      <c r="E181" s="709">
        <v>20973.004489459996</v>
      </c>
      <c r="F181" s="709">
        <v>11435.887373869999</v>
      </c>
      <c r="G181" s="710">
        <v>5.47584966104895</v>
      </c>
    </row>
    <row r="182" spans="1:7" ht="16.5" customHeight="1">
      <c r="A182" s="40" t="s">
        <v>24</v>
      </c>
      <c r="B182" s="709">
        <v>9715.0228328499998</v>
      </c>
      <c r="C182" s="709">
        <v>11109.361999189996</v>
      </c>
      <c r="D182" s="709">
        <v>12094.787673261037</v>
      </c>
      <c r="E182" s="709">
        <v>20824.384832039999</v>
      </c>
      <c r="F182" s="709">
        <v>11338.46891634</v>
      </c>
      <c r="G182" s="710">
        <v>5.6916830574513746</v>
      </c>
    </row>
    <row r="183" spans="1:7" ht="16.5" customHeight="1">
      <c r="A183" s="40" t="s">
        <v>25</v>
      </c>
      <c r="B183" s="709">
        <v>10145.448565560002</v>
      </c>
      <c r="C183" s="709">
        <v>10410.854755249993</v>
      </c>
      <c r="D183" s="709">
        <v>11728.830825641035</v>
      </c>
      <c r="E183" s="709">
        <v>20556.303320809995</v>
      </c>
      <c r="F183" s="709">
        <v>11137.546011989998</v>
      </c>
      <c r="G183" s="710">
        <v>5.887275341391323</v>
      </c>
    </row>
    <row r="184" spans="1:7">
      <c r="A184" s="40" t="s">
        <v>26</v>
      </c>
      <c r="B184" s="709">
        <v>13649.886896820004</v>
      </c>
      <c r="C184" s="709">
        <v>7483.8322918499998</v>
      </c>
      <c r="D184" s="709">
        <v>11862.255660601038</v>
      </c>
      <c r="E184" s="709">
        <v>21133.719188670002</v>
      </c>
      <c r="F184" s="709">
        <v>11464.497166829999</v>
      </c>
      <c r="G184" s="710">
        <v>5.8228807621100884</v>
      </c>
    </row>
    <row r="185" spans="1:7" ht="16.5" customHeight="1">
      <c r="A185" s="40" t="s">
        <v>27</v>
      </c>
      <c r="B185" s="709">
        <v>14490.233194789998</v>
      </c>
      <c r="C185" s="709">
        <v>6959.3879467099996</v>
      </c>
      <c r="D185" s="709">
        <v>11674.205142721039</v>
      </c>
      <c r="E185" s="709">
        <v>21449.6211415</v>
      </c>
      <c r="F185" s="709">
        <v>11546.72964532</v>
      </c>
      <c r="G185" s="710">
        <v>5.8698698317121316</v>
      </c>
    </row>
    <row r="186" spans="1:7" ht="16.5" customHeight="1">
      <c r="A186" s="40" t="s">
        <v>28</v>
      </c>
      <c r="B186" s="709">
        <v>12879.959697359996</v>
      </c>
      <c r="C186" s="709">
        <v>8637.9607756900004</v>
      </c>
      <c r="D186" s="709">
        <v>11817.19033116</v>
      </c>
      <c r="E186" s="709">
        <v>21517.920473049999</v>
      </c>
      <c r="F186" s="709">
        <v>12044.7137398</v>
      </c>
      <c r="G186" s="710">
        <v>5.7124690575333714</v>
      </c>
    </row>
    <row r="187" spans="1:7" ht="16.5" customHeight="1">
      <c r="A187" s="40" t="s">
        <v>29</v>
      </c>
      <c r="B187" s="709">
        <v>15051.31524702</v>
      </c>
      <c r="C187" s="709">
        <v>7720.7552040000028</v>
      </c>
      <c r="D187" s="709">
        <v>11363.186676810003</v>
      </c>
      <c r="E187" s="709">
        <v>22772.070451020001</v>
      </c>
      <c r="F187" s="709">
        <v>12466.432601680001</v>
      </c>
      <c r="G187" s="710">
        <v>5.6259157884949751</v>
      </c>
    </row>
    <row r="188" spans="1:7" ht="16.5" customHeight="1">
      <c r="A188" s="40" t="s">
        <v>2078</v>
      </c>
      <c r="B188" s="707"/>
      <c r="C188" s="707"/>
      <c r="D188" s="707"/>
      <c r="E188" s="707"/>
      <c r="F188" s="707"/>
      <c r="G188" s="708"/>
    </row>
    <row r="189" spans="1:7" ht="16.5" customHeight="1">
      <c r="A189" s="40" t="s">
        <v>18</v>
      </c>
      <c r="B189" s="709">
        <v>15215.15271205</v>
      </c>
      <c r="C189" s="709">
        <v>7540.2460617299976</v>
      </c>
      <c r="D189" s="709">
        <v>11439.614230220001</v>
      </c>
      <c r="E189" s="709">
        <v>22755.398773779998</v>
      </c>
      <c r="F189" s="709">
        <v>12272.674945000001</v>
      </c>
      <c r="G189" s="710">
        <v>5.9150918870849303</v>
      </c>
    </row>
    <row r="190" spans="1:7" ht="16.5" customHeight="1">
      <c r="A190" s="40" t="s">
        <v>19</v>
      </c>
      <c r="B190" s="709">
        <v>15209.074641149999</v>
      </c>
      <c r="C190" s="709">
        <v>7659.0022269400033</v>
      </c>
      <c r="D190" s="709">
        <v>11216.25471754</v>
      </c>
      <c r="E190" s="709">
        <v>22868.07686809</v>
      </c>
      <c r="F190" s="709">
        <v>12744.878943899999</v>
      </c>
      <c r="G190" s="710">
        <v>5.4334764814022973</v>
      </c>
    </row>
    <row r="191" spans="1:7" ht="16.5" customHeight="1">
      <c r="A191" s="40" t="s">
        <v>20</v>
      </c>
      <c r="B191" s="709">
        <v>14827.697943479998</v>
      </c>
      <c r="C191" s="709">
        <v>7631.8016116400031</v>
      </c>
      <c r="D191" s="709">
        <v>10921.316064299999</v>
      </c>
      <c r="E191" s="709">
        <v>22459.499555119997</v>
      </c>
      <c r="F191" s="709">
        <v>13005.875008679999</v>
      </c>
      <c r="G191" s="710">
        <v>5.2853345087603332</v>
      </c>
    </row>
    <row r="192" spans="1:7" ht="16.5" customHeight="1">
      <c r="A192" s="40" t="s">
        <v>21</v>
      </c>
      <c r="B192" s="709">
        <v>15207.835717920001</v>
      </c>
      <c r="C192" s="709">
        <v>6912.1456042400068</v>
      </c>
      <c r="D192" s="709">
        <v>11295.221409450003</v>
      </c>
      <c r="E192" s="709">
        <v>22119.981322159998</v>
      </c>
      <c r="F192" s="709">
        <v>12425.141375929999</v>
      </c>
      <c r="G192" s="710">
        <v>5.5457719083572545</v>
      </c>
    </row>
    <row r="193" spans="1:7" ht="16.5" customHeight="1">
      <c r="A193" s="40" t="s">
        <v>22</v>
      </c>
      <c r="B193" s="709">
        <v>14685.559832260002</v>
      </c>
      <c r="C193" s="709">
        <v>7459.5814682800055</v>
      </c>
      <c r="D193" s="709">
        <v>11567.469745009997</v>
      </c>
      <c r="E193" s="709">
        <v>22145.141300540003</v>
      </c>
      <c r="F193" s="709">
        <v>12599.04958142</v>
      </c>
      <c r="G193" s="710">
        <v>5.5802304408485455</v>
      </c>
    </row>
    <row r="194" spans="1:7" ht="16.5" customHeight="1">
      <c r="A194" s="40" t="s">
        <v>23</v>
      </c>
      <c r="B194" s="709">
        <v>14866.660805050002</v>
      </c>
      <c r="C194" s="709">
        <v>7816.9508409700011</v>
      </c>
      <c r="D194" s="709">
        <v>11601.38508041</v>
      </c>
      <c r="E194" s="709">
        <v>22683.611646020006</v>
      </c>
      <c r="F194" s="709">
        <v>12984.69515177</v>
      </c>
      <c r="G194" s="710">
        <v>5.7004187726278852</v>
      </c>
    </row>
    <row r="195" spans="1:7" ht="16.5" customHeight="1">
      <c r="A195" s="40" t="s">
        <v>24</v>
      </c>
      <c r="B195" s="709">
        <v>14898.302429340003</v>
      </c>
      <c r="C195" s="709">
        <v>7829.6722971600011</v>
      </c>
      <c r="D195" s="709">
        <v>11658.179657479999</v>
      </c>
      <c r="E195" s="709">
        <v>22727.974726499997</v>
      </c>
      <c r="F195" s="709">
        <v>13347.24488812</v>
      </c>
      <c r="G195" s="710">
        <v>5.5842792637665681</v>
      </c>
    </row>
    <row r="196" spans="1:7" ht="16.5" customHeight="1">
      <c r="A196" s="40" t="s">
        <v>25</v>
      </c>
      <c r="B196" s="709">
        <v>14742.815107280003</v>
      </c>
      <c r="C196" s="709">
        <v>7688.7912995700081</v>
      </c>
      <c r="D196" s="709">
        <v>11908.097342610003</v>
      </c>
      <c r="E196" s="709">
        <v>22431.606406849998</v>
      </c>
      <c r="F196" s="709">
        <v>12875.444561080003</v>
      </c>
      <c r="G196" s="710">
        <v>5.8858433695623225</v>
      </c>
    </row>
    <row r="197" spans="1:7" ht="16.5" customHeight="1">
      <c r="A197" s="40" t="s">
        <v>26</v>
      </c>
      <c r="B197" s="709">
        <v>14925.815097000002</v>
      </c>
      <c r="C197" s="709">
        <v>8220.5482064299977</v>
      </c>
      <c r="D197" s="709">
        <v>11994.595670209999</v>
      </c>
      <c r="E197" s="709">
        <v>23146.363303429996</v>
      </c>
      <c r="F197" s="709">
        <v>13498.862857829999</v>
      </c>
      <c r="G197" s="710">
        <v>5.7053595904927432</v>
      </c>
    </row>
    <row r="198" spans="1:7" ht="16.5" customHeight="1">
      <c r="A198" s="40" t="s">
        <v>27</v>
      </c>
      <c r="B198" s="709">
        <v>15278.428414849997</v>
      </c>
      <c r="C198" s="709">
        <v>8312.2667972200034</v>
      </c>
      <c r="D198" s="709">
        <v>12155.465655079997</v>
      </c>
      <c r="E198" s="709">
        <v>23590.695212070001</v>
      </c>
      <c r="F198" s="709">
        <v>13995.88495462</v>
      </c>
      <c r="G198" s="710">
        <v>5.5930439735545372</v>
      </c>
    </row>
    <row r="199" spans="1:7" ht="16.5" customHeight="1">
      <c r="A199" s="40" t="s">
        <v>28</v>
      </c>
      <c r="B199" s="709">
        <v>15623.576645599996</v>
      </c>
      <c r="C199" s="709">
        <v>8103.9560301999991</v>
      </c>
      <c r="D199" s="709">
        <v>12613.941619519996</v>
      </c>
      <c r="E199" s="709">
        <v>23727.532675800001</v>
      </c>
      <c r="F199" s="709">
        <v>14130.015342300001</v>
      </c>
      <c r="G199" s="710">
        <v>5.5921267209873013</v>
      </c>
    </row>
    <row r="200" spans="1:7" ht="16.5" customHeight="1">
      <c r="A200" s="40" t="s">
        <v>29</v>
      </c>
      <c r="B200" s="709">
        <v>14951.341600259995</v>
      </c>
      <c r="C200" s="709">
        <v>9109.0515746599976</v>
      </c>
      <c r="D200" s="709">
        <v>13057.835329099997</v>
      </c>
      <c r="E200" s="709">
        <v>24060.393174920002</v>
      </c>
      <c r="F200" s="709">
        <v>14643.622398930002</v>
      </c>
      <c r="G200" s="710">
        <v>5.4492869200062639</v>
      </c>
    </row>
    <row r="201" spans="1:7" ht="16.5" customHeight="1">
      <c r="A201" s="40" t="s">
        <v>2171</v>
      </c>
      <c r="B201" s="709"/>
      <c r="C201" s="709"/>
      <c r="D201" s="709"/>
      <c r="E201" s="709"/>
      <c r="F201" s="709"/>
      <c r="G201" s="710"/>
    </row>
    <row r="202" spans="1:7" ht="16.5" customHeight="1">
      <c r="A202" s="40" t="s">
        <v>18</v>
      </c>
      <c r="B202" s="709">
        <v>15436.09738542</v>
      </c>
      <c r="C202" s="709">
        <v>8243.1699539799993</v>
      </c>
      <c r="D202" s="709">
        <v>12703.17767779</v>
      </c>
      <c r="E202" s="709">
        <v>23679.267339400001</v>
      </c>
      <c r="F202" s="709">
        <v>13961.6501642</v>
      </c>
      <c r="G202" s="710">
        <v>5.0963889771748274</v>
      </c>
    </row>
    <row r="203" spans="1:7" ht="16.5" customHeight="1">
      <c r="A203" s="40" t="s">
        <v>19</v>
      </c>
      <c r="B203" s="709">
        <v>16412.663800009996</v>
      </c>
      <c r="C203" s="709">
        <v>8147.605019550002</v>
      </c>
      <c r="D203" s="709">
        <v>12778.940305229999</v>
      </c>
      <c r="E203" s="709">
        <v>24560.268819559999</v>
      </c>
      <c r="F203" s="709">
        <v>14392.6817524</v>
      </c>
      <c r="G203" s="710">
        <v>4.7876414684504267</v>
      </c>
    </row>
    <row r="204" spans="1:7" ht="16.5" customHeight="1">
      <c r="A204" s="40" t="s">
        <v>20</v>
      </c>
      <c r="B204" s="709">
        <v>16294.604472880001</v>
      </c>
      <c r="C204" s="709">
        <v>7904.114186490001</v>
      </c>
      <c r="D204" s="709">
        <v>12776.212547229999</v>
      </c>
      <c r="E204" s="709">
        <v>24198.718659369999</v>
      </c>
      <c r="F204" s="709">
        <v>14293.507187650001</v>
      </c>
      <c r="G204" s="710">
        <v>5.0685111112964716</v>
      </c>
    </row>
    <row r="205" spans="1:7" ht="16.5" customHeight="1">
      <c r="A205" s="40" t="s">
        <v>21</v>
      </c>
      <c r="B205" s="709">
        <v>16354.029426420002</v>
      </c>
      <c r="C205" s="709">
        <v>8119.345586970001</v>
      </c>
      <c r="D205" s="709">
        <v>12746.491232320001</v>
      </c>
      <c r="E205" s="709">
        <v>24473.375013390003</v>
      </c>
      <c r="F205" s="709">
        <v>14965.257296850003</v>
      </c>
      <c r="G205" s="710">
        <v>4.7737368347844757</v>
      </c>
    </row>
    <row r="206" spans="1:7" ht="16.5" customHeight="1">
      <c r="A206" s="40" t="s">
        <v>22</v>
      </c>
      <c r="B206" s="709">
        <v>16144.320443900002</v>
      </c>
      <c r="C206" s="709">
        <v>8689.707201660005</v>
      </c>
      <c r="D206" s="709">
        <v>12764.291382460002</v>
      </c>
      <c r="E206" s="709">
        <v>24834.027645559996</v>
      </c>
      <c r="F206" s="709">
        <v>15491.78615055</v>
      </c>
      <c r="G206" s="710">
        <v>4.7419244808896321</v>
      </c>
    </row>
    <row r="207" spans="1:7" ht="16.5" customHeight="1">
      <c r="A207" s="40" t="s">
        <v>23</v>
      </c>
      <c r="B207" s="709">
        <v>15922.972550980003</v>
      </c>
      <c r="C207" s="709">
        <v>9361.1948192100062</v>
      </c>
      <c r="D207" s="709">
        <v>13104.776029759998</v>
      </c>
      <c r="E207" s="709">
        <v>25284.16737019</v>
      </c>
      <c r="F207" s="709">
        <v>15834.294932270001</v>
      </c>
      <c r="G207" s="710">
        <v>4.7776298422878227</v>
      </c>
    </row>
    <row r="208" spans="1:7" ht="16.5" customHeight="1">
      <c r="A208" s="40" t="s">
        <v>24</v>
      </c>
      <c r="B208" s="709">
        <v>16082.351295590004</v>
      </c>
      <c r="C208" s="709">
        <v>9559.9255516899993</v>
      </c>
      <c r="D208" s="709">
        <v>13371.491012979996</v>
      </c>
      <c r="E208" s="709">
        <v>25642.276847279998</v>
      </c>
      <c r="F208" s="709">
        <v>16182.182113769999</v>
      </c>
      <c r="G208" s="710">
        <v>4.7113299964116084</v>
      </c>
    </row>
    <row r="209" spans="1:7" ht="16.5" customHeight="1">
      <c r="A209" s="40" t="s">
        <v>25</v>
      </c>
      <c r="B209" s="709">
        <v>16474.534192860006</v>
      </c>
      <c r="C209" s="709">
        <v>9008.1436978899965</v>
      </c>
      <c r="D209" s="709">
        <v>13594.453350999996</v>
      </c>
      <c r="E209" s="709">
        <v>25482.677890749997</v>
      </c>
      <c r="F209" s="709">
        <v>15948.621320620001</v>
      </c>
      <c r="G209" s="710">
        <v>4.7849621898874775</v>
      </c>
    </row>
    <row r="210" spans="1:7" ht="16.5" customHeight="1">
      <c r="A210" s="40" t="s">
        <v>26</v>
      </c>
      <c r="B210" s="709">
        <v>16841.025754920003</v>
      </c>
      <c r="C210" s="709">
        <v>9709.6121694800004</v>
      </c>
      <c r="D210" s="709">
        <v>13944.7088059</v>
      </c>
      <c r="E210" s="709">
        <v>26550.637924399998</v>
      </c>
      <c r="F210" s="709">
        <v>16217.440250410002</v>
      </c>
      <c r="G210" s="710">
        <v>4.806693625074149</v>
      </c>
    </row>
    <row r="211" spans="1:7" ht="16.5" customHeight="1">
      <c r="A211" s="40" t="s">
        <v>27</v>
      </c>
      <c r="B211" s="709">
        <v>17194.459753770003</v>
      </c>
      <c r="C211" s="709">
        <v>9252.4802077999993</v>
      </c>
      <c r="D211" s="709">
        <v>14176.468375749999</v>
      </c>
      <c r="E211" s="709">
        <v>26446.939961569999</v>
      </c>
      <c r="F211" s="709">
        <v>16339.016886419999</v>
      </c>
      <c r="G211" s="710">
        <v>4.8043355696169749</v>
      </c>
    </row>
    <row r="212" spans="1:7" ht="16.5" customHeight="1">
      <c r="A212" s="40" t="s">
        <v>28</v>
      </c>
      <c r="B212" s="709">
        <v>16611.147235610006</v>
      </c>
      <c r="C212" s="709">
        <v>10131.010045580004</v>
      </c>
      <c r="D212" s="709">
        <v>14828.83944168</v>
      </c>
      <c r="E212" s="709">
        <v>26742.157281189997</v>
      </c>
      <c r="F212" s="709">
        <v>16663.40605034</v>
      </c>
      <c r="G212" s="710">
        <v>4.7694407153395666</v>
      </c>
    </row>
    <row r="213" spans="1:7" ht="16.5" customHeight="1">
      <c r="A213" s="40" t="s">
        <v>29</v>
      </c>
      <c r="B213" s="709">
        <v>16923.436541439994</v>
      </c>
      <c r="C213" s="709">
        <v>11942.869630390003</v>
      </c>
      <c r="D213" s="709">
        <v>15036.395868329997</v>
      </c>
      <c r="E213" s="709">
        <v>28866.306171830001</v>
      </c>
      <c r="F213" s="709">
        <v>18238.611014260001</v>
      </c>
      <c r="G213" s="710">
        <v>4.4784660375802234</v>
      </c>
    </row>
    <row r="214" spans="1:7" ht="16.5" customHeight="1">
      <c r="A214" s="40" t="s">
        <v>2407</v>
      </c>
      <c r="B214" s="709"/>
      <c r="C214" s="709"/>
      <c r="D214" s="709"/>
      <c r="E214" s="709"/>
      <c r="F214" s="709"/>
      <c r="G214" s="710"/>
    </row>
    <row r="215" spans="1:7" ht="16.5" customHeight="1">
      <c r="A215" s="40" t="s">
        <v>18</v>
      </c>
      <c r="B215" s="709">
        <v>17461.082540930005</v>
      </c>
      <c r="C215" s="709">
        <v>11069.35546377</v>
      </c>
      <c r="D215" s="709">
        <v>15174.153975789997</v>
      </c>
      <c r="E215" s="709">
        <v>28530.438004700001</v>
      </c>
      <c r="F215" s="709">
        <v>17946.08479271</v>
      </c>
      <c r="G215" s="710">
        <v>4.3598590391026883</v>
      </c>
    </row>
    <row r="216" spans="1:7" ht="16.5" customHeight="1">
      <c r="A216" s="40" t="s">
        <v>19</v>
      </c>
      <c r="B216" s="709">
        <v>16935.301778849996</v>
      </c>
      <c r="C216" s="709">
        <v>11681.391002660001</v>
      </c>
      <c r="D216" s="709">
        <v>15453.481209539999</v>
      </c>
      <c r="E216" s="709">
        <v>28616.692781509999</v>
      </c>
      <c r="F216" s="709">
        <v>18299.3697938</v>
      </c>
      <c r="G216" s="710">
        <v>4.1240764491009561</v>
      </c>
    </row>
    <row r="217" spans="1:7" ht="16.5" customHeight="1">
      <c r="A217" s="40" t="s">
        <v>20</v>
      </c>
      <c r="B217" s="709">
        <v>17405.766731319996</v>
      </c>
      <c r="C217" s="709">
        <v>9315.4246295400044</v>
      </c>
      <c r="D217" s="709">
        <v>15339.275539660002</v>
      </c>
      <c r="E217" s="709">
        <v>26721.191360860001</v>
      </c>
      <c r="F217" s="709">
        <v>16442.773718979999</v>
      </c>
      <c r="G217" s="710">
        <v>4.4569366003867916</v>
      </c>
    </row>
    <row r="218" spans="1:7" ht="16.5" customHeight="1">
      <c r="A218" s="40" t="s">
        <v>21</v>
      </c>
      <c r="B218" s="709">
        <v>17442.282064709994</v>
      </c>
      <c r="C218" s="709">
        <v>8849.5218228400045</v>
      </c>
      <c r="D218" s="709">
        <v>15072.395578970001</v>
      </c>
      <c r="E218" s="709">
        <v>26291.803887549999</v>
      </c>
      <c r="F218" s="709">
        <v>16484.154980579999</v>
      </c>
      <c r="G218" s="710">
        <v>4.076733085752358</v>
      </c>
    </row>
    <row r="219" spans="1:7" ht="16.5" customHeight="1">
      <c r="A219" s="40" t="s">
        <v>22</v>
      </c>
      <c r="B219" s="709">
        <v>17340.418617129999</v>
      </c>
      <c r="C219" s="709">
        <v>9289.8043930899948</v>
      </c>
      <c r="D219" s="709">
        <v>14523.218296129999</v>
      </c>
      <c r="E219" s="709">
        <v>26630.223010220001</v>
      </c>
      <c r="F219" s="709">
        <v>17021.310660290001</v>
      </c>
      <c r="G219" s="710">
        <v>3.8746581456775053</v>
      </c>
    </row>
    <row r="220" spans="1:7" ht="16.5" customHeight="1">
      <c r="A220" s="40" t="s">
        <v>23</v>
      </c>
      <c r="B220" s="709">
        <v>16389.94843484</v>
      </c>
      <c r="C220" s="709">
        <v>9823.5611701899961</v>
      </c>
      <c r="D220" s="709">
        <v>14373.889682129999</v>
      </c>
      <c r="E220" s="709">
        <v>26213.509605029998</v>
      </c>
      <c r="F220" s="709">
        <v>17169.070671429999</v>
      </c>
      <c r="G220" s="710">
        <v>3.937767005205588</v>
      </c>
    </row>
    <row r="221" spans="1:7" ht="16.5" customHeight="1">
      <c r="A221" s="40" t="s">
        <v>24</v>
      </c>
      <c r="B221" s="709">
        <v>16346.638948270001</v>
      </c>
      <c r="C221" s="709">
        <v>10365.167312649999</v>
      </c>
      <c r="D221" s="709">
        <v>14714.01681705</v>
      </c>
      <c r="E221" s="709">
        <v>26711.806260919999</v>
      </c>
      <c r="F221" s="709">
        <v>17927.599440489998</v>
      </c>
      <c r="G221" s="710">
        <v>3.8257213536964993</v>
      </c>
    </row>
    <row r="222" spans="1:7" ht="16.5" customHeight="1">
      <c r="A222" s="40" t="s">
        <v>25</v>
      </c>
      <c r="B222" s="709">
        <v>16420.152464160001</v>
      </c>
      <c r="C222" s="709">
        <v>10503.255776259994</v>
      </c>
      <c r="D222" s="709">
        <v>14835.452325189999</v>
      </c>
      <c r="E222" s="709">
        <v>26923.408240420002</v>
      </c>
      <c r="F222" s="709">
        <v>18109.264225810002</v>
      </c>
      <c r="G222" s="710">
        <v>3.8070983525514408</v>
      </c>
    </row>
    <row r="223" spans="1:7" ht="16.5" customHeight="1">
      <c r="A223" s="40" t="s">
        <v>26</v>
      </c>
      <c r="B223" s="709">
        <v>15472.272472590004</v>
      </c>
      <c r="C223" s="709">
        <v>11311.003160490003</v>
      </c>
      <c r="D223" s="709">
        <v>14944.390646930002</v>
      </c>
      <c r="E223" s="709">
        <v>26783.27563308</v>
      </c>
      <c r="F223" s="709">
        <v>18427.77644216</v>
      </c>
      <c r="G223" s="710">
        <v>3.767790444925843</v>
      </c>
    </row>
    <row r="224" spans="1:7" ht="16.5" customHeight="1">
      <c r="A224" s="40" t="s">
        <v>27</v>
      </c>
      <c r="B224" s="709">
        <v>15614.192489770001</v>
      </c>
      <c r="C224" s="709">
        <v>11333.686743449998</v>
      </c>
      <c r="D224" s="709">
        <v>15302.399984839998</v>
      </c>
      <c r="E224" s="709">
        <v>26947.879233220003</v>
      </c>
      <c r="F224" s="709">
        <v>18573.56709312</v>
      </c>
      <c r="G224" s="710">
        <v>3.7775942363806809</v>
      </c>
    </row>
    <row r="225" spans="1:7" ht="16.5" customHeight="1">
      <c r="A225" s="40" t="s">
        <v>28</v>
      </c>
      <c r="B225" s="709">
        <v>17371.823992289996</v>
      </c>
      <c r="C225" s="709">
        <v>9775.2789636100006</v>
      </c>
      <c r="D225" s="709">
        <v>15140.635196690002</v>
      </c>
      <c r="E225" s="709">
        <v>27147.102955900002</v>
      </c>
      <c r="F225" s="709">
        <v>18613.844544650001</v>
      </c>
      <c r="G225" s="710">
        <v>3.7924440309486314</v>
      </c>
    </row>
    <row r="226" spans="1:7" ht="16.5" customHeight="1">
      <c r="A226" s="40" t="s">
        <v>29</v>
      </c>
      <c r="B226" s="709">
        <v>18435.934671379997</v>
      </c>
      <c r="C226" s="709">
        <v>10749.872900919996</v>
      </c>
      <c r="D226" s="709">
        <v>14933.871500879997</v>
      </c>
      <c r="E226" s="709">
        <v>29185.8075723</v>
      </c>
      <c r="F226" s="709">
        <v>20305.478031890001</v>
      </c>
      <c r="G226" s="710">
        <v>3.5671260674702827</v>
      </c>
    </row>
    <row r="227" spans="1:7" ht="16.5" customHeight="1">
      <c r="A227" s="40" t="s">
        <v>2583</v>
      </c>
      <c r="B227" s="709"/>
      <c r="C227" s="709"/>
      <c r="D227" s="709"/>
      <c r="E227" s="709"/>
      <c r="F227" s="709"/>
      <c r="G227" s="710"/>
    </row>
    <row r="228" spans="1:7" ht="16.5" customHeight="1">
      <c r="A228" s="40" t="s">
        <v>18</v>
      </c>
      <c r="B228" s="709">
        <v>18629.755840289999</v>
      </c>
      <c r="C228" s="709">
        <v>9482.522564750001</v>
      </c>
      <c r="D228" s="709">
        <v>14877.395116979997</v>
      </c>
      <c r="E228" s="709">
        <v>28112.278405040001</v>
      </c>
      <c r="F228" s="709">
        <v>19488.342999029999</v>
      </c>
      <c r="G228" s="710">
        <v>3.852641551092213</v>
      </c>
    </row>
    <row r="229" spans="1:7" ht="16.5" customHeight="1">
      <c r="A229" s="40" t="s">
        <v>19</v>
      </c>
      <c r="B229" s="709">
        <v>18655.831137790003</v>
      </c>
      <c r="C229" s="709">
        <v>9922.2023884100036</v>
      </c>
      <c r="D229" s="709">
        <v>14940.178832529999</v>
      </c>
      <c r="E229" s="709">
        <v>28578.033526200001</v>
      </c>
      <c r="F229" s="709">
        <v>19587.868783219998</v>
      </c>
      <c r="G229" s="710">
        <v>3.6815643803871434</v>
      </c>
    </row>
    <row r="230" spans="1:7" ht="16.5" customHeight="1">
      <c r="A230" s="40" t="s">
        <v>20</v>
      </c>
      <c r="B230" s="709">
        <v>18731.7518734</v>
      </c>
      <c r="C230" s="709">
        <v>10567.742744940004</v>
      </c>
      <c r="D230" s="709">
        <v>14973.671767880001</v>
      </c>
      <c r="E230" s="709">
        <v>29299.494618340002</v>
      </c>
      <c r="F230" s="709">
        <v>20319.899299190001</v>
      </c>
      <c r="G230" s="710">
        <v>3.7247231832008647</v>
      </c>
    </row>
    <row r="231" spans="1:7" ht="16.5" customHeight="1">
      <c r="A231" s="40" t="s">
        <v>21</v>
      </c>
      <c r="B231" s="709">
        <v>18641.517583209999</v>
      </c>
      <c r="C231" s="709">
        <v>11112.358257790002</v>
      </c>
      <c r="D231" s="709">
        <v>15250.671643320004</v>
      </c>
      <c r="E231" s="709">
        <v>29753.875841000001</v>
      </c>
      <c r="F231" s="709">
        <v>20889.349868739999</v>
      </c>
      <c r="G231" s="710">
        <v>3.6016343482564328</v>
      </c>
    </row>
    <row r="232" spans="1:7" ht="16.5" customHeight="1">
      <c r="A232" s="40" t="s">
        <v>22</v>
      </c>
      <c r="B232" s="709">
        <v>18878.328296079999</v>
      </c>
      <c r="C232" s="709">
        <v>11578.641411040002</v>
      </c>
      <c r="D232" s="709">
        <v>15323.944778999999</v>
      </c>
      <c r="E232" s="709">
        <v>30456.969707119999</v>
      </c>
      <c r="F232" s="709">
        <v>21612.49612172</v>
      </c>
      <c r="G232" s="710">
        <v>3.5015853594044404</v>
      </c>
    </row>
    <row r="233" spans="1:7" ht="16.5" customHeight="1">
      <c r="A233" s="40" t="s">
        <v>23</v>
      </c>
      <c r="B233" s="709">
        <v>17913.220910579999</v>
      </c>
      <c r="C233" s="709">
        <v>12380.715167719998</v>
      </c>
      <c r="D233" s="709">
        <v>15573.909282170001</v>
      </c>
      <c r="E233" s="709">
        <v>30293.936078300005</v>
      </c>
      <c r="F233" s="709">
        <v>21480.734456600003</v>
      </c>
      <c r="G233" s="710">
        <v>3.7163533752204669</v>
      </c>
    </row>
    <row r="234" spans="1:7" ht="16.5" customHeight="1">
      <c r="A234" s="40" t="s">
        <v>24</v>
      </c>
      <c r="B234" s="709">
        <v>18590.749985130002</v>
      </c>
      <c r="C234" s="709">
        <v>12916.566683020004</v>
      </c>
      <c r="D234" s="709">
        <v>15633.965863520005</v>
      </c>
      <c r="E234" s="709">
        <v>31507.316668149997</v>
      </c>
      <c r="F234" s="709">
        <v>21840.937861349998</v>
      </c>
      <c r="G234" s="710">
        <v>3.709597372998422</v>
      </c>
    </row>
    <row r="235" spans="1:7" ht="16.5" customHeight="1">
      <c r="A235" s="40" t="s">
        <v>25</v>
      </c>
      <c r="B235" s="709">
        <v>18028.229270430002</v>
      </c>
      <c r="C235" s="709">
        <v>13260.928285479999</v>
      </c>
      <c r="D235" s="709">
        <v>15866.601328869998</v>
      </c>
      <c r="E235" s="709">
        <v>31289.157555909998</v>
      </c>
      <c r="F235" s="709">
        <v>21946.90603559</v>
      </c>
      <c r="G235" s="710">
        <v>3.7406320447570556</v>
      </c>
    </row>
    <row r="236" spans="1:7" ht="16.5" customHeight="1">
      <c r="A236" s="40" t="s">
        <v>26</v>
      </c>
      <c r="B236" s="709">
        <v>18583.587132689998</v>
      </c>
      <c r="C236" s="709">
        <v>13628.549177099998</v>
      </c>
      <c r="D236" s="709">
        <v>16176.23063507</v>
      </c>
      <c r="E236" s="709">
        <v>32212.136309789996</v>
      </c>
      <c r="F236" s="709">
        <v>22407.213064969998</v>
      </c>
      <c r="G236" s="710">
        <v>3.7414975744751584</v>
      </c>
    </row>
    <row r="237" spans="1:7" ht="16.5" customHeight="1">
      <c r="A237" s="40" t="s">
        <v>27</v>
      </c>
      <c r="B237" s="709">
        <v>18807.258126690002</v>
      </c>
      <c r="C237" s="709">
        <v>13655.549796100006</v>
      </c>
      <c r="D237" s="709">
        <v>16637.722099530001</v>
      </c>
      <c r="E237" s="709">
        <v>32462.807922790002</v>
      </c>
      <c r="F237" s="709">
        <v>22578.347080029998</v>
      </c>
      <c r="G237" s="710">
        <v>3.8048312259307271</v>
      </c>
    </row>
    <row r="238" spans="1:7" ht="16.5" customHeight="1">
      <c r="A238" s="40" t="s">
        <v>28</v>
      </c>
      <c r="B238" s="709">
        <v>19212.29293517</v>
      </c>
      <c r="C238" s="709">
        <v>13819.00268611</v>
      </c>
      <c r="D238" s="709">
        <v>16903.345898200001</v>
      </c>
      <c r="E238" s="709">
        <v>33031.295621280005</v>
      </c>
      <c r="F238" s="709">
        <v>22743.662187120004</v>
      </c>
      <c r="G238" s="710">
        <v>3.870242627809501</v>
      </c>
    </row>
    <row r="239" spans="1:7" ht="16.5" customHeight="1">
      <c r="A239" s="40" t="s">
        <v>29</v>
      </c>
      <c r="B239" s="709">
        <v>20171.006019230001</v>
      </c>
      <c r="C239" s="709">
        <v>14475.635467280003</v>
      </c>
      <c r="D239" s="709">
        <v>17432.947822030004</v>
      </c>
      <c r="E239" s="709">
        <v>34646.641486510001</v>
      </c>
      <c r="F239" s="709">
        <v>23874.89363441</v>
      </c>
      <c r="G239" s="710">
        <v>3.889345076124973</v>
      </c>
    </row>
    <row r="240" spans="1:7" ht="16.5" customHeight="1">
      <c r="A240" s="40" t="s">
        <v>2892</v>
      </c>
      <c r="B240" s="709"/>
      <c r="C240" s="709"/>
      <c r="D240" s="709"/>
      <c r="E240" s="709"/>
      <c r="F240" s="709"/>
      <c r="G240" s="710"/>
    </row>
    <row r="241" spans="1:7" ht="16.5" customHeight="1">
      <c r="A241" s="40" t="s">
        <v>18</v>
      </c>
      <c r="B241" s="709">
        <v>20644.00900419</v>
      </c>
      <c r="C241" s="709">
        <v>14003.592208620003</v>
      </c>
      <c r="D241" s="709">
        <v>17664.256217129998</v>
      </c>
      <c r="E241" s="709">
        <v>34647.601212809997</v>
      </c>
      <c r="F241" s="709">
        <v>23113.733211639999</v>
      </c>
      <c r="G241" s="710">
        <v>4.8062854659953782</v>
      </c>
    </row>
    <row r="242" spans="1:7" ht="16.5" customHeight="1">
      <c r="A242" s="40" t="s">
        <v>19</v>
      </c>
      <c r="B242" s="709">
        <v>20806.759282540002</v>
      </c>
      <c r="C242" s="709">
        <v>13077.34499216</v>
      </c>
      <c r="D242" s="709">
        <v>18108.422533050001</v>
      </c>
      <c r="E242" s="709">
        <v>33884.104274700003</v>
      </c>
      <c r="F242" s="709">
        <v>23010.41155588</v>
      </c>
      <c r="G242" s="710">
        <v>4.9999627221182941</v>
      </c>
    </row>
    <row r="243" spans="1:7" ht="16.5" customHeight="1">
      <c r="A243" s="40" t="s">
        <v>20</v>
      </c>
      <c r="B243" s="709">
        <v>21167.649971120001</v>
      </c>
      <c r="C243" s="709">
        <v>13742.878801230007</v>
      </c>
      <c r="D243" s="709">
        <v>18431.213404970007</v>
      </c>
      <c r="E243" s="709">
        <v>34910.528772350001</v>
      </c>
      <c r="F243" s="709">
        <v>23597.13338761</v>
      </c>
      <c r="G243" s="710">
        <v>5.0916354129305113</v>
      </c>
    </row>
    <row r="244" spans="1:7" ht="16.5" customHeight="1">
      <c r="A244" s="40" t="s">
        <v>21</v>
      </c>
      <c r="B244" s="709">
        <v>21284.639338749999</v>
      </c>
      <c r="C244" s="709">
        <v>14354.179341939996</v>
      </c>
      <c r="D244" s="709">
        <v>18778.023275389998</v>
      </c>
      <c r="E244" s="709">
        <v>35638.818680690005</v>
      </c>
      <c r="F244" s="709">
        <v>24214.973517330003</v>
      </c>
      <c r="G244" s="710">
        <v>4.9004554935843769</v>
      </c>
    </row>
    <row r="245" spans="1:7" ht="16.5" customHeight="1">
      <c r="A245" s="40" t="s">
        <v>22</v>
      </c>
      <c r="B245" s="709">
        <v>20984.274289159999</v>
      </c>
      <c r="C245" s="709">
        <v>16016.839450910004</v>
      </c>
      <c r="D245" s="709">
        <v>19105.334922900001</v>
      </c>
      <c r="E245" s="709">
        <v>37001.113740070003</v>
      </c>
      <c r="F245" s="709">
        <v>25371.124111100002</v>
      </c>
      <c r="G245" s="710">
        <v>4.8118482833241307</v>
      </c>
    </row>
    <row r="246" spans="1:7" ht="16.5" customHeight="1">
      <c r="A246" s="40" t="s">
        <v>23</v>
      </c>
      <c r="B246" s="709">
        <v>21843.776461989994</v>
      </c>
      <c r="C246" s="709">
        <v>16446.592322800003</v>
      </c>
      <c r="D246" s="709">
        <v>19447.286774370004</v>
      </c>
      <c r="E246" s="709">
        <v>38290.368884790005</v>
      </c>
      <c r="F246" s="709">
        <v>26164.281564559999</v>
      </c>
      <c r="G246" s="710">
        <v>4.843580347784382</v>
      </c>
    </row>
    <row r="247" spans="1:7" ht="16.5" customHeight="1">
      <c r="A247" s="40" t="s">
        <v>24</v>
      </c>
      <c r="B247" s="709">
        <v>22007.304013479999</v>
      </c>
      <c r="C247" s="709">
        <v>16250.072628029999</v>
      </c>
      <c r="D247" s="709">
        <v>19647.958738629997</v>
      </c>
      <c r="E247" s="709">
        <v>38257.376641509996</v>
      </c>
      <c r="F247" s="709">
        <v>26265.92058921</v>
      </c>
      <c r="G247" s="710">
        <v>4.8398532070572857</v>
      </c>
    </row>
    <row r="248" spans="1:7" ht="16.5" customHeight="1">
      <c r="A248" s="40" t="s">
        <v>25</v>
      </c>
      <c r="B248" s="709">
        <v>22153.519507969999</v>
      </c>
      <c r="C248" s="709">
        <v>16911.346218070001</v>
      </c>
      <c r="D248" s="709">
        <v>19828.250462769996</v>
      </c>
      <c r="E248" s="709">
        <v>39064.86572604</v>
      </c>
      <c r="F248" s="709">
        <v>26973.767824449998</v>
      </c>
      <c r="G248" s="710">
        <v>4.7201637097429154</v>
      </c>
    </row>
    <row r="249" spans="1:7" ht="16.5" customHeight="1">
      <c r="A249" s="40" t="s">
        <v>26</v>
      </c>
      <c r="B249" s="709">
        <v>22267.239252699997</v>
      </c>
      <c r="C249" s="709">
        <v>17883.182544539992</v>
      </c>
      <c r="D249" s="709">
        <v>20352.808314019992</v>
      </c>
      <c r="E249" s="709">
        <v>40150.42179724</v>
      </c>
      <c r="F249" s="709">
        <v>27698.74506401</v>
      </c>
      <c r="G249" s="710">
        <v>4.7211669589289373</v>
      </c>
    </row>
    <row r="250" spans="1:7" ht="16.5" customHeight="1">
      <c r="A250" s="40" t="s">
        <v>27</v>
      </c>
      <c r="B250" s="709">
        <v>24658.507956729998</v>
      </c>
      <c r="C250" s="709">
        <v>16519.659770829992</v>
      </c>
      <c r="D250" s="709">
        <v>20638.016606299996</v>
      </c>
      <c r="E250" s="709">
        <v>41178.167727560001</v>
      </c>
      <c r="F250" s="709">
        <v>28702.123430260002</v>
      </c>
      <c r="G250" s="710">
        <v>4.641950632110186</v>
      </c>
    </row>
    <row r="251" spans="1:7" ht="16.5" customHeight="1">
      <c r="A251" s="40" t="s">
        <v>28</v>
      </c>
      <c r="B251" s="709">
        <v>22692.495799500008</v>
      </c>
      <c r="C251" s="709">
        <v>19039.985192260003</v>
      </c>
      <c r="D251" s="709">
        <v>21105.466911740001</v>
      </c>
      <c r="E251" s="709">
        <v>41732.48099176</v>
      </c>
      <c r="F251" s="709">
        <v>28664.181435909999</v>
      </c>
      <c r="G251" s="710">
        <v>4.6220167692195337</v>
      </c>
    </row>
    <row r="252" spans="1:7" ht="16.5" customHeight="1">
      <c r="A252" s="40" t="s">
        <v>29</v>
      </c>
      <c r="B252" s="709">
        <v>25030.791140590009</v>
      </c>
      <c r="C252" s="709">
        <v>17794.138854120007</v>
      </c>
      <c r="D252" s="709">
        <v>20472.839225040007</v>
      </c>
      <c r="E252" s="709">
        <v>42824.929994710001</v>
      </c>
      <c r="F252" s="709">
        <v>29565.60384879</v>
      </c>
      <c r="G252" s="710">
        <v>4.526401716144111</v>
      </c>
    </row>
    <row r="253" spans="1:7" ht="16.5" customHeight="1">
      <c r="A253" s="40" t="s">
        <v>3605</v>
      </c>
      <c r="B253" s="709"/>
      <c r="C253" s="709"/>
      <c r="D253" s="709"/>
      <c r="E253" s="709"/>
      <c r="F253" s="709"/>
      <c r="G253" s="710"/>
    </row>
    <row r="254" spans="1:7" ht="16.5" customHeight="1">
      <c r="A254" s="40" t="s">
        <v>18</v>
      </c>
      <c r="B254" s="709">
        <v>25868.055113970007</v>
      </c>
      <c r="C254" s="709">
        <v>16146.762710270003</v>
      </c>
      <c r="D254" s="709">
        <v>21288.890944710001</v>
      </c>
      <c r="E254" s="709">
        <v>42014.817824240003</v>
      </c>
      <c r="F254" s="709">
        <v>28914.779509910004</v>
      </c>
      <c r="G254" s="710">
        <v>4.0215558261527251</v>
      </c>
    </row>
    <row r="255" spans="1:7" ht="16.5" customHeight="1">
      <c r="A255" s="40" t="s">
        <v>19</v>
      </c>
      <c r="B255" s="709">
        <v>23298.165353230008</v>
      </c>
      <c r="C255" s="709">
        <v>18434.834957210001</v>
      </c>
      <c r="D255" s="709">
        <v>21116.176848379997</v>
      </c>
      <c r="E255" s="709">
        <v>41733.000310440002</v>
      </c>
      <c r="F255" s="709">
        <v>29018.297662320001</v>
      </c>
      <c r="G255" s="710">
        <v>4.0965531949297675</v>
      </c>
    </row>
    <row r="256" spans="1:7" ht="16.5" customHeight="1">
      <c r="A256" s="40" t="s">
        <v>20</v>
      </c>
      <c r="B256" s="709">
        <v>21484.841118709999</v>
      </c>
      <c r="C256" s="709">
        <v>19593.412260490004</v>
      </c>
      <c r="D256" s="709">
        <v>21403.629193590001</v>
      </c>
      <c r="E256" s="709">
        <v>41078.253379200003</v>
      </c>
      <c r="F256" s="709">
        <v>29693.952624060003</v>
      </c>
      <c r="G256" s="710">
        <v>4.0830670653714654</v>
      </c>
    </row>
    <row r="257" spans="1:13" ht="16.5" customHeight="1">
      <c r="A257" s="40" t="s">
        <v>21</v>
      </c>
      <c r="B257" s="709">
        <v>23585.935239589991</v>
      </c>
      <c r="C257" s="709">
        <v>17591.534631979994</v>
      </c>
      <c r="D257" s="709">
        <v>21520.688835459991</v>
      </c>
      <c r="E257" s="709">
        <v>41177.46987157</v>
      </c>
      <c r="F257" s="709">
        <v>30189.143619710001</v>
      </c>
      <c r="G257" s="710">
        <v>3.9735973140251781</v>
      </c>
    </row>
    <row r="258" spans="1:13" ht="16.5" customHeight="1">
      <c r="A258" s="40" t="s">
        <v>22</v>
      </c>
      <c r="B258" s="709">
        <v>22451.585595700002</v>
      </c>
      <c r="C258" s="709">
        <v>18920.234159929994</v>
      </c>
      <c r="D258" s="709">
        <v>21471.025684899989</v>
      </c>
      <c r="E258" s="709">
        <v>41371.81975563</v>
      </c>
      <c r="F258" s="709">
        <v>30368.844427370001</v>
      </c>
      <c r="G258" s="710">
        <v>3.9182893601561086</v>
      </c>
    </row>
    <row r="259" spans="1:13" ht="16.5" customHeight="1">
      <c r="A259" s="40" t="s">
        <v>23</v>
      </c>
      <c r="B259" s="709">
        <v>20991.644776169993</v>
      </c>
      <c r="C259" s="709">
        <v>20248.293868329998</v>
      </c>
      <c r="D259" s="709">
        <v>22335.133190169996</v>
      </c>
      <c r="E259" s="709">
        <v>41239.938644499998</v>
      </c>
      <c r="F259" s="709">
        <v>31403.953318119999</v>
      </c>
      <c r="G259" s="710">
        <v>3.840414573868689</v>
      </c>
    </row>
    <row r="260" spans="1:13" ht="16.5" customHeight="1">
      <c r="A260" s="40" t="s">
        <v>24</v>
      </c>
      <c r="B260" s="709">
        <v>20638.096375329991</v>
      </c>
      <c r="C260" s="709">
        <v>20432.483649409998</v>
      </c>
      <c r="D260" s="709">
        <v>22513.200543559997</v>
      </c>
      <c r="E260" s="709">
        <v>41070.580024739997</v>
      </c>
      <c r="F260" s="709">
        <v>31713.095934369998</v>
      </c>
      <c r="G260" s="710">
        <v>3.8040454136838817</v>
      </c>
    </row>
    <row r="261" spans="1:13" ht="16.5" customHeight="1">
      <c r="A261" s="40" t="s">
        <v>25</v>
      </c>
      <c r="B261" s="709">
        <v>21126.532039799993</v>
      </c>
      <c r="C261" s="709">
        <v>19983.770695990006</v>
      </c>
      <c r="D261" s="709">
        <v>22719.850545200003</v>
      </c>
      <c r="E261" s="709">
        <v>41110.302735789999</v>
      </c>
      <c r="F261" s="709">
        <v>32027.483827459997</v>
      </c>
      <c r="G261" s="710">
        <v>3.7512968751229026</v>
      </c>
    </row>
    <row r="262" spans="1:13" ht="16.5" customHeight="1">
      <c r="A262" s="1718" t="s">
        <v>26</v>
      </c>
      <c r="B262" s="1716">
        <v>20621.750711860001</v>
      </c>
      <c r="C262" s="1716">
        <v>21402.317896349996</v>
      </c>
      <c r="D262" s="1716">
        <v>23087.726836369999</v>
      </c>
      <c r="E262" s="1716">
        <v>42024.06860821</v>
      </c>
      <c r="F262" s="1716">
        <v>33180.734471010001</v>
      </c>
      <c r="G262" s="1717">
        <v>3.6492059402459525</v>
      </c>
    </row>
    <row r="263" spans="1:13" ht="16.5" customHeight="1">
      <c r="A263" s="1718" t="s">
        <v>27</v>
      </c>
      <c r="B263" s="1716">
        <v>22371.923932239999</v>
      </c>
      <c r="C263" s="1716">
        <v>20522.285646640001</v>
      </c>
      <c r="D263" s="1716">
        <v>22961.073278830001</v>
      </c>
      <c r="E263" s="1716">
        <v>42894.209578879992</v>
      </c>
      <c r="F263" s="1716">
        <v>33433.653526879993</v>
      </c>
      <c r="G263" s="1717">
        <v>3.6208941359839844</v>
      </c>
    </row>
    <row r="264" spans="1:13" ht="16.5" customHeight="1">
      <c r="A264" s="1718" t="s">
        <v>28</v>
      </c>
      <c r="B264" s="1716">
        <v>23021.823576949999</v>
      </c>
      <c r="C264" s="1716">
        <v>20339.941090730001</v>
      </c>
      <c r="D264" s="1716">
        <v>23286.30599253</v>
      </c>
      <c r="E264" s="1716">
        <v>43361.764667709998</v>
      </c>
      <c r="F264" s="1716">
        <v>34199.027360200002</v>
      </c>
      <c r="G264" s="1717">
        <v>3.515659793134021</v>
      </c>
    </row>
    <row r="265" spans="1:13" ht="16.5" customHeight="1">
      <c r="A265" s="1718" t="s">
        <v>29</v>
      </c>
      <c r="B265" s="1716">
        <v>25216.533737230002</v>
      </c>
      <c r="C265" s="1716">
        <v>19856.920698250004</v>
      </c>
      <c r="D265" s="1716">
        <v>23505.793842999999</v>
      </c>
      <c r="E265" s="1716">
        <v>45073.454435480002</v>
      </c>
      <c r="F265" s="1716">
        <v>35371.828297100001</v>
      </c>
      <c r="G265" s="1717">
        <v>3.4774990697917851</v>
      </c>
    </row>
    <row r="266" spans="1:13" ht="16.5" customHeight="1">
      <c r="A266" s="1718" t="s">
        <v>4086</v>
      </c>
      <c r="B266" s="1716"/>
      <c r="C266" s="1716"/>
      <c r="D266" s="1716"/>
      <c r="E266" s="1716"/>
      <c r="F266" s="1716"/>
      <c r="G266" s="1717"/>
    </row>
    <row r="267" spans="1:13" ht="16.5" customHeight="1">
      <c r="A267" s="1718" t="s">
        <v>18</v>
      </c>
      <c r="B267" s="1716">
        <v>24550.943468530004</v>
      </c>
      <c r="C267" s="1716">
        <v>20347.717273910002</v>
      </c>
      <c r="D267" s="1716">
        <v>23979.402651959997</v>
      </c>
      <c r="E267" s="1716">
        <v>44898.660742440006</v>
      </c>
      <c r="F267" s="1716">
        <v>34235.278261960004</v>
      </c>
      <c r="G267" s="1717">
        <v>3.2005581833330452</v>
      </c>
    </row>
    <row r="268" spans="1:13" ht="16.5" customHeight="1">
      <c r="A268" s="1719" t="s">
        <v>19</v>
      </c>
      <c r="B268" s="1720">
        <v>24679.883061890007</v>
      </c>
      <c r="C268" s="1720">
        <v>20082.720093179996</v>
      </c>
      <c r="D268" s="1720">
        <v>24395.710689939995</v>
      </c>
      <c r="E268" s="1720">
        <v>44762.603155070006</v>
      </c>
      <c r="F268" s="1720">
        <v>34263.958200840003</v>
      </c>
      <c r="G268" s="1721">
        <v>3.2530217129808272</v>
      </c>
    </row>
    <row r="269" spans="1:13" s="878" customFormat="1" ht="30" customHeight="1">
      <c r="A269" s="2234" t="s">
        <v>2752</v>
      </c>
      <c r="B269" s="2235"/>
      <c r="C269" s="2235"/>
      <c r="D269" s="2235"/>
      <c r="E269" s="2235"/>
      <c r="F269" s="2235"/>
      <c r="G269" s="2235"/>
      <c r="H269" s="877"/>
      <c r="I269" s="877"/>
      <c r="J269" s="877"/>
      <c r="K269" s="877"/>
      <c r="L269" s="877"/>
      <c r="M269" s="877"/>
    </row>
    <row r="270" spans="1:13" s="6" customFormat="1">
      <c r="A270" s="2236"/>
      <c r="B270" s="2236"/>
      <c r="C270" s="2236"/>
    </row>
    <row r="271" spans="1:13" s="6" customFormat="1">
      <c r="A271" s="2233"/>
      <c r="B271" s="2233"/>
      <c r="C271" s="2233"/>
      <c r="G271" s="245"/>
    </row>
    <row r="272" spans="1:13" s="6" customFormat="1"/>
    <row r="273" s="6" customFormat="1"/>
  </sheetData>
  <mergeCells count="6">
    <mergeCell ref="A271:C271"/>
    <mergeCell ref="A269:G269"/>
    <mergeCell ref="A270:C270"/>
    <mergeCell ref="A2:G2"/>
    <mergeCell ref="A3:G3"/>
    <mergeCell ref="A5:G5"/>
  </mergeCells>
  <pageMargins left="1.27" right="0.7" top="0.35" bottom="0.48" header="0.3" footer="0.3"/>
  <pageSetup scale="29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9"/>
  <sheetViews>
    <sheetView showGridLines="0" view="pageBreakPreview" zoomScale="115" zoomScaleSheetLayoutView="115" workbookViewId="0">
      <pane ySplit="7" topLeftCell="A260" activePane="bottomLeft" state="frozen"/>
      <selection activeCell="G291" sqref="G291"/>
      <selection pane="bottomLeft" activeCell="F276" sqref="F276"/>
    </sheetView>
  </sheetViews>
  <sheetFormatPr defaultColWidth="9.109375" defaultRowHeight="13.2"/>
  <cols>
    <col min="1" max="1" width="8.44140625" style="1678" customWidth="1"/>
    <col min="2" max="5" width="19.5546875" style="1678" customWidth="1"/>
    <col min="6" max="6" width="19.5546875" style="30" customWidth="1"/>
    <col min="7" max="7" width="9.109375" style="1678" customWidth="1"/>
    <col min="8" max="16384" width="9.109375" style="1678"/>
  </cols>
  <sheetData>
    <row r="1" spans="1:8" ht="7.5" customHeight="1"/>
    <row r="2" spans="1:8" ht="19.5" customHeight="1">
      <c r="A2" s="2240" t="s">
        <v>3937</v>
      </c>
      <c r="B2" s="2240"/>
      <c r="C2" s="2240"/>
      <c r="D2" s="2240"/>
      <c r="E2" s="2240"/>
      <c r="F2" s="2240"/>
    </row>
    <row r="3" spans="1:8" ht="19.5" customHeight="1">
      <c r="A3" s="2241" t="s">
        <v>3938</v>
      </c>
      <c r="B3" s="2241"/>
      <c r="C3" s="2241"/>
      <c r="D3" s="2241"/>
      <c r="E3" s="2241"/>
      <c r="F3" s="2241"/>
    </row>
    <row r="4" spans="1:8">
      <c r="A4" s="1679"/>
      <c r="B4" s="1679"/>
      <c r="C4" s="1679"/>
      <c r="D4" s="1679"/>
      <c r="E4" s="1679"/>
      <c r="F4" s="1679"/>
    </row>
    <row r="5" spans="1:8">
      <c r="A5" s="2239" t="s">
        <v>8</v>
      </c>
      <c r="B5" s="2239"/>
      <c r="C5" s="2239"/>
      <c r="D5" s="2239"/>
      <c r="E5" s="2239"/>
      <c r="F5" s="2239"/>
    </row>
    <row r="6" spans="1:8" s="95" customFormat="1" ht="47.25" customHeight="1">
      <c r="A6" s="1675" t="s">
        <v>182</v>
      </c>
      <c r="B6" s="1675" t="s">
        <v>3939</v>
      </c>
      <c r="C6" s="1680" t="s">
        <v>3940</v>
      </c>
      <c r="D6" s="1675" t="s">
        <v>3941</v>
      </c>
      <c r="E6" s="1675" t="s">
        <v>3942</v>
      </c>
      <c r="F6" s="1675" t="s">
        <v>3943</v>
      </c>
    </row>
    <row r="7" spans="1:8" ht="47.25" customHeight="1">
      <c r="A7" s="1676" t="s">
        <v>304</v>
      </c>
      <c r="B7" s="1676" t="s">
        <v>3944</v>
      </c>
      <c r="C7" s="1681" t="s">
        <v>3945</v>
      </c>
      <c r="D7" s="1676" t="s">
        <v>3946</v>
      </c>
      <c r="E7" s="1676" t="s">
        <v>3947</v>
      </c>
      <c r="F7" s="1676" t="s">
        <v>3948</v>
      </c>
    </row>
    <row r="8" spans="1:8" hidden="1">
      <c r="A8" s="1682">
        <v>1995</v>
      </c>
      <c r="B8" s="1683">
        <v>250</v>
      </c>
      <c r="C8" s="1683">
        <v>60.88</v>
      </c>
      <c r="D8" s="1683">
        <v>49.58</v>
      </c>
      <c r="E8" s="1684">
        <v>180.12</v>
      </c>
      <c r="F8" s="1685">
        <v>147.26</v>
      </c>
      <c r="G8" s="1686"/>
      <c r="H8" s="1686"/>
    </row>
    <row r="9" spans="1:8" hidden="1">
      <c r="A9" s="1682">
        <v>1996</v>
      </c>
      <c r="B9" s="1684">
        <v>268</v>
      </c>
      <c r="C9" s="1684">
        <v>72.900000000000006</v>
      </c>
      <c r="D9" s="1684">
        <v>152.36000000000001</v>
      </c>
      <c r="E9" s="1684">
        <v>212.38</v>
      </c>
      <c r="F9" s="1685">
        <v>197.38</v>
      </c>
      <c r="G9" s="1686"/>
      <c r="H9" s="1686"/>
    </row>
    <row r="10" spans="1:8" hidden="1">
      <c r="A10" s="1682">
        <v>1997</v>
      </c>
      <c r="B10" s="1684">
        <v>550.20000000000005</v>
      </c>
      <c r="C10" s="1684">
        <v>32.64</v>
      </c>
      <c r="D10" s="1684">
        <v>155.76</v>
      </c>
      <c r="E10" s="1684">
        <v>284.45999999999998</v>
      </c>
      <c r="F10" s="1685">
        <v>267.86</v>
      </c>
      <c r="G10" s="1686"/>
      <c r="H10" s="1686"/>
    </row>
    <row r="11" spans="1:8" hidden="1">
      <c r="A11" s="1682">
        <v>1998</v>
      </c>
      <c r="B11" s="1684">
        <v>521.29999999999995</v>
      </c>
      <c r="C11" s="1684">
        <v>46.44</v>
      </c>
      <c r="D11" s="1684">
        <v>133.4</v>
      </c>
      <c r="E11" s="1684">
        <v>228.04</v>
      </c>
      <c r="F11" s="1685">
        <v>211.42</v>
      </c>
      <c r="G11" s="1686"/>
      <c r="H11" s="1686"/>
    </row>
    <row r="12" spans="1:8" hidden="1">
      <c r="A12" s="1682">
        <v>1999</v>
      </c>
      <c r="B12" s="1684">
        <v>726.9</v>
      </c>
      <c r="C12" s="1684">
        <v>73.12</v>
      </c>
      <c r="D12" s="1684">
        <v>134.72</v>
      </c>
      <c r="E12" s="1684">
        <v>264.94</v>
      </c>
      <c r="F12" s="1685">
        <v>251.32</v>
      </c>
      <c r="G12" s="1686"/>
      <c r="H12" s="1686"/>
    </row>
    <row r="13" spans="1:8" hidden="1">
      <c r="A13" s="1682">
        <v>2000</v>
      </c>
      <c r="B13" s="1684">
        <v>691.4</v>
      </c>
      <c r="C13" s="1684">
        <v>89.78</v>
      </c>
      <c r="D13" s="1684">
        <v>140.22</v>
      </c>
      <c r="E13" s="1684">
        <v>353.08</v>
      </c>
      <c r="F13" s="1685">
        <v>308.39999999999998</v>
      </c>
      <c r="G13" s="1686"/>
      <c r="H13" s="1686"/>
    </row>
    <row r="14" spans="1:8" hidden="1">
      <c r="A14" s="1682">
        <v>2001</v>
      </c>
      <c r="B14" s="1684">
        <v>698.4</v>
      </c>
      <c r="C14" s="1684">
        <v>-139.58874511884201</v>
      </c>
      <c r="D14" s="1684">
        <v>20.199011821302001</v>
      </c>
      <c r="E14" s="1684">
        <v>359.48</v>
      </c>
      <c r="F14" s="1685">
        <v>336.86</v>
      </c>
      <c r="G14" s="1686"/>
      <c r="H14" s="1686"/>
    </row>
    <row r="15" spans="1:8" hidden="1">
      <c r="A15" s="1682">
        <v>2002</v>
      </c>
      <c r="B15" s="1684">
        <v>681.71</v>
      </c>
      <c r="C15" s="1684">
        <v>21.991962001619996</v>
      </c>
      <c r="D15" s="1684">
        <v>17.28</v>
      </c>
      <c r="E15" s="1684">
        <v>409.92</v>
      </c>
      <c r="F15" s="1685">
        <v>374.38</v>
      </c>
      <c r="G15" s="1686"/>
      <c r="H15" s="1686"/>
    </row>
    <row r="16" spans="1:8" hidden="1">
      <c r="A16" s="1682">
        <v>2003</v>
      </c>
      <c r="B16" s="1684">
        <v>757.1</v>
      </c>
      <c r="C16" s="1684">
        <v>12.445196676278</v>
      </c>
      <c r="D16" s="1684">
        <v>39.096577698252005</v>
      </c>
      <c r="E16" s="1684">
        <v>506.12</v>
      </c>
      <c r="F16" s="1685">
        <v>463.2</v>
      </c>
      <c r="G16" s="1686"/>
      <c r="H16" s="1686"/>
    </row>
    <row r="17" spans="1:8" hidden="1">
      <c r="A17" s="1682">
        <v>2004</v>
      </c>
      <c r="B17" s="1684">
        <v>876.86</v>
      </c>
      <c r="C17" s="1684">
        <v>20.190830154036011</v>
      </c>
      <c r="D17" s="1684">
        <v>43.136173873040008</v>
      </c>
      <c r="E17" s="1684">
        <v>833.62</v>
      </c>
      <c r="F17" s="1685">
        <v>640.04</v>
      </c>
      <c r="G17" s="1686"/>
      <c r="H17" s="1686"/>
    </row>
    <row r="18" spans="1:8" ht="15" hidden="1" customHeight="1">
      <c r="A18" s="1682">
        <v>2005</v>
      </c>
      <c r="B18" s="1684">
        <v>961.71</v>
      </c>
      <c r="C18" s="1684">
        <v>-51.834081518653996</v>
      </c>
      <c r="D18" s="1684">
        <v>41.85877699319802</v>
      </c>
      <c r="E18" s="1684">
        <v>885.82</v>
      </c>
      <c r="F18" s="1685">
        <v>687.76</v>
      </c>
    </row>
    <row r="19" spans="1:8" ht="12.75" hidden="1" customHeight="1">
      <c r="A19" s="1682" t="s">
        <v>18</v>
      </c>
      <c r="B19" s="1684">
        <v>876.56</v>
      </c>
      <c r="C19" s="1684">
        <v>-42.266091558507995</v>
      </c>
      <c r="D19" s="1684">
        <v>38.929472279694004</v>
      </c>
      <c r="E19" s="1684">
        <v>638.04</v>
      </c>
      <c r="F19" s="1685">
        <v>571.1</v>
      </c>
    </row>
    <row r="20" spans="1:8" ht="12.75" hidden="1" customHeight="1">
      <c r="A20" s="1682" t="s">
        <v>19</v>
      </c>
      <c r="B20" s="1684">
        <v>884.77</v>
      </c>
      <c r="C20" s="1684">
        <v>-38.534742968880003</v>
      </c>
      <c r="D20" s="1684">
        <v>40.527083865599991</v>
      </c>
      <c r="E20" s="1684">
        <v>646.4</v>
      </c>
      <c r="F20" s="1685">
        <v>582.24</v>
      </c>
    </row>
    <row r="21" spans="1:8" ht="12.75" hidden="1" customHeight="1">
      <c r="A21" s="1682" t="s">
        <v>20</v>
      </c>
      <c r="B21" s="1684">
        <v>891.34</v>
      </c>
      <c r="C21" s="1684">
        <v>-66.55234814181</v>
      </c>
      <c r="D21" s="1684">
        <v>38.31116792555801</v>
      </c>
      <c r="E21" s="1684">
        <v>650.14</v>
      </c>
      <c r="F21" s="1685">
        <v>561.9</v>
      </c>
    </row>
    <row r="22" spans="1:8" ht="12.75" hidden="1" customHeight="1">
      <c r="A22" s="1682" t="s">
        <v>21</v>
      </c>
      <c r="B22" s="1684">
        <v>930.95</v>
      </c>
      <c r="C22" s="1684">
        <v>-88.947985050589935</v>
      </c>
      <c r="D22" s="1684">
        <v>48.743863181230004</v>
      </c>
      <c r="E22" s="1684">
        <v>647.62</v>
      </c>
      <c r="F22" s="1685">
        <v>584.26</v>
      </c>
    </row>
    <row r="23" spans="1:8" ht="12.75" hidden="1" customHeight="1">
      <c r="A23" s="1682" t="s">
        <v>22</v>
      </c>
      <c r="B23" s="1684">
        <v>942.52</v>
      </c>
      <c r="C23" s="1684">
        <v>-85.793463804361991</v>
      </c>
      <c r="D23" s="1684">
        <v>54.410660861124001</v>
      </c>
      <c r="E23" s="1684">
        <v>684.48</v>
      </c>
      <c r="F23" s="1685">
        <v>613.48</v>
      </c>
    </row>
    <row r="24" spans="1:8" ht="12.75" hidden="1" customHeight="1">
      <c r="A24" s="1682" t="s">
        <v>23</v>
      </c>
      <c r="B24" s="1684">
        <v>989.37</v>
      </c>
      <c r="C24" s="1684">
        <v>-88.21250159697199</v>
      </c>
      <c r="D24" s="1684">
        <v>59.260763175258006</v>
      </c>
      <c r="E24" s="1684">
        <v>745.34</v>
      </c>
      <c r="F24" s="1685">
        <v>670.96</v>
      </c>
    </row>
    <row r="25" spans="1:8" ht="12.75" hidden="1" customHeight="1">
      <c r="A25" s="1682" t="s">
        <v>24</v>
      </c>
      <c r="B25" s="1684">
        <v>948.59</v>
      </c>
      <c r="C25" s="1684">
        <v>-12.35910988391802</v>
      </c>
      <c r="D25" s="1684">
        <v>53.837094099824007</v>
      </c>
      <c r="E25" s="1684">
        <v>794.8</v>
      </c>
      <c r="F25" s="1685">
        <v>719.62</v>
      </c>
    </row>
    <row r="26" spans="1:8" ht="12.75" hidden="1" customHeight="1">
      <c r="A26" s="1682" t="s">
        <v>25</v>
      </c>
      <c r="B26" s="1684">
        <v>975.93</v>
      </c>
      <c r="C26" s="1684">
        <v>-14.921094714659981</v>
      </c>
      <c r="D26" s="1684">
        <v>47.184107424152003</v>
      </c>
      <c r="E26" s="1684">
        <v>813</v>
      </c>
      <c r="F26" s="1685">
        <v>733.08</v>
      </c>
    </row>
    <row r="27" spans="1:8" ht="12.75" hidden="1" customHeight="1">
      <c r="A27" s="1682" t="s">
        <v>26</v>
      </c>
      <c r="B27" s="1684">
        <v>1025.81</v>
      </c>
      <c r="C27" s="1684">
        <v>-58.154580164374011</v>
      </c>
      <c r="D27" s="1684">
        <v>42.277631570652005</v>
      </c>
      <c r="E27" s="1684">
        <v>822.78</v>
      </c>
      <c r="F27" s="1685">
        <v>733.82</v>
      </c>
    </row>
    <row r="28" spans="1:8" ht="12.75" hidden="1" customHeight="1">
      <c r="A28" s="1682" t="s">
        <v>27</v>
      </c>
      <c r="B28" s="1684">
        <v>990.96</v>
      </c>
      <c r="C28" s="1684">
        <v>-49.741837992209994</v>
      </c>
      <c r="D28" s="1684">
        <v>42.599513627127997</v>
      </c>
      <c r="E28" s="1684">
        <v>793.78</v>
      </c>
      <c r="F28" s="1685">
        <v>709.4</v>
      </c>
    </row>
    <row r="29" spans="1:8" ht="12.75" hidden="1" customHeight="1">
      <c r="A29" s="1682" t="s">
        <v>28</v>
      </c>
      <c r="B29" s="1684">
        <v>990.93</v>
      </c>
      <c r="C29" s="1684">
        <v>-114.31044674374199</v>
      </c>
      <c r="D29" s="1684">
        <v>39.648521401656012</v>
      </c>
      <c r="E29" s="1684">
        <v>734.78</v>
      </c>
      <c r="F29" s="1685">
        <v>648.74</v>
      </c>
    </row>
    <row r="30" spans="1:8" ht="12.75" hidden="1" customHeight="1">
      <c r="A30" s="1682" t="s">
        <v>29</v>
      </c>
      <c r="B30" s="1684">
        <v>961.71</v>
      </c>
      <c r="C30" s="1684">
        <v>-51.834081518653996</v>
      </c>
      <c r="D30" s="1684">
        <v>41.85877699319802</v>
      </c>
      <c r="E30" s="1684">
        <v>885.82</v>
      </c>
      <c r="F30" s="1685">
        <v>687.76</v>
      </c>
    </row>
    <row r="31" spans="1:8">
      <c r="A31" s="1687">
        <v>2006</v>
      </c>
      <c r="B31" s="1688">
        <v>1967.33</v>
      </c>
      <c r="C31" s="1688">
        <v>25.4</v>
      </c>
      <c r="D31" s="1688">
        <v>-19.075273459999991</v>
      </c>
      <c r="E31" s="1688">
        <v>2044.6</v>
      </c>
      <c r="F31" s="1689">
        <v>1599.5</v>
      </c>
    </row>
    <row r="32" spans="1:8" ht="12.75" hidden="1" customHeight="1">
      <c r="A32" s="504" t="s">
        <v>18</v>
      </c>
      <c r="B32" s="521">
        <v>941.81</v>
      </c>
      <c r="C32" s="521">
        <v>-122.16774437000001</v>
      </c>
      <c r="D32" s="521">
        <v>43.604475560000004</v>
      </c>
      <c r="E32" s="521">
        <v>690.96</v>
      </c>
      <c r="F32" s="1690">
        <v>604.02</v>
      </c>
    </row>
    <row r="33" spans="1:6" ht="12.75" hidden="1" customHeight="1">
      <c r="A33" s="504" t="s">
        <v>19</v>
      </c>
      <c r="B33" s="521">
        <v>939.66</v>
      </c>
      <c r="C33" s="521">
        <v>-80.295672270000011</v>
      </c>
      <c r="D33" s="521">
        <v>41.883703860000018</v>
      </c>
      <c r="E33" s="521">
        <v>757.04</v>
      </c>
      <c r="F33" s="1690">
        <v>645.20000000000005</v>
      </c>
    </row>
    <row r="34" spans="1:6" ht="12.75" hidden="1" customHeight="1">
      <c r="A34" s="504" t="s">
        <v>20</v>
      </c>
      <c r="B34" s="521">
        <v>1026.56</v>
      </c>
      <c r="C34" s="521">
        <v>-88.032961770000014</v>
      </c>
      <c r="D34" s="521">
        <v>41.837376859999999</v>
      </c>
      <c r="E34" s="521">
        <v>826.18</v>
      </c>
      <c r="F34" s="1690">
        <v>712.38</v>
      </c>
    </row>
    <row r="35" spans="1:6" ht="12.75" hidden="1" customHeight="1">
      <c r="A35" s="504" t="s">
        <v>21</v>
      </c>
      <c r="B35" s="521">
        <v>1306.28</v>
      </c>
      <c r="C35" s="521">
        <v>-300.98824904999992</v>
      </c>
      <c r="D35" s="521">
        <v>38.512252720000014</v>
      </c>
      <c r="E35" s="521">
        <v>857.64</v>
      </c>
      <c r="F35" s="1690">
        <v>742.14</v>
      </c>
    </row>
    <row r="36" spans="1:6" ht="12.75" hidden="1" customHeight="1">
      <c r="A36" s="504" t="s">
        <v>22</v>
      </c>
      <c r="B36" s="521">
        <v>1357.57</v>
      </c>
      <c r="C36" s="521">
        <v>-270.81661683999994</v>
      </c>
      <c r="D36" s="521">
        <v>41.434133400000007</v>
      </c>
      <c r="E36" s="521">
        <v>932.8</v>
      </c>
      <c r="F36" s="1690">
        <v>808.6</v>
      </c>
    </row>
    <row r="37" spans="1:6" ht="12.75" hidden="1" customHeight="1">
      <c r="A37" s="504" t="s">
        <v>23</v>
      </c>
      <c r="B37" s="521">
        <v>1444.63</v>
      </c>
      <c r="C37" s="521">
        <v>-185.1</v>
      </c>
      <c r="D37" s="521">
        <v>28.93067648000001</v>
      </c>
      <c r="E37" s="521">
        <v>1083.7</v>
      </c>
      <c r="F37" s="1690">
        <v>963.1</v>
      </c>
    </row>
    <row r="38" spans="1:6" ht="12.75" hidden="1" customHeight="1">
      <c r="A38" s="504" t="s">
        <v>24</v>
      </c>
      <c r="B38" s="521">
        <v>1811.93</v>
      </c>
      <c r="C38" s="521">
        <v>-401.6</v>
      </c>
      <c r="D38" s="521">
        <v>28.740283510000005</v>
      </c>
      <c r="E38" s="521">
        <v>1202.0999999999999</v>
      </c>
      <c r="F38" s="1690">
        <v>1073.3</v>
      </c>
    </row>
    <row r="39" spans="1:6" ht="12.75" hidden="1" customHeight="1">
      <c r="A39" s="504" t="s">
        <v>25</v>
      </c>
      <c r="B39" s="521">
        <v>1397.1</v>
      </c>
      <c r="C39" s="521">
        <v>-10.6</v>
      </c>
      <c r="D39" s="521">
        <v>0.63103229000000072</v>
      </c>
      <c r="E39" s="521">
        <v>1295.5</v>
      </c>
      <c r="F39" s="1690">
        <v>1159.7</v>
      </c>
    </row>
    <row r="40" spans="1:6" ht="12.75" hidden="1" customHeight="1">
      <c r="A40" s="504" t="s">
        <v>26</v>
      </c>
      <c r="B40" s="521">
        <v>1522.32</v>
      </c>
      <c r="C40" s="521">
        <v>-71.8</v>
      </c>
      <c r="D40" s="521">
        <v>14.909655930000014</v>
      </c>
      <c r="E40" s="521">
        <v>1325.1</v>
      </c>
      <c r="F40" s="1690">
        <v>1193.4000000000001</v>
      </c>
    </row>
    <row r="41" spans="1:6" ht="12.75" hidden="1" customHeight="1">
      <c r="A41" s="504" t="s">
        <v>27</v>
      </c>
      <c r="B41" s="521">
        <v>1600.11</v>
      </c>
      <c r="C41" s="521">
        <v>-412.1</v>
      </c>
      <c r="D41" s="521">
        <v>16.885257010000011</v>
      </c>
      <c r="E41" s="521">
        <v>1465.3</v>
      </c>
      <c r="F41" s="1690">
        <v>1333.7</v>
      </c>
    </row>
    <row r="42" spans="1:6" ht="12.75" hidden="1" customHeight="1">
      <c r="A42" s="504" t="s">
        <v>28</v>
      </c>
      <c r="B42" s="521">
        <v>1721.62</v>
      </c>
      <c r="C42" s="521">
        <v>-9.4</v>
      </c>
      <c r="D42" s="521">
        <v>18.972823840000018</v>
      </c>
      <c r="E42" s="521">
        <v>1546.9</v>
      </c>
      <c r="F42" s="1690">
        <v>1413</v>
      </c>
    </row>
    <row r="43" spans="1:6" ht="12.75" hidden="1" customHeight="1">
      <c r="A43" s="504" t="s">
        <v>29</v>
      </c>
      <c r="B43" s="521">
        <v>1967.33</v>
      </c>
      <c r="C43" s="521">
        <v>25.4</v>
      </c>
      <c r="D43" s="521">
        <v>-19.075273459999991</v>
      </c>
      <c r="E43" s="521">
        <v>2044.6</v>
      </c>
      <c r="F43" s="1690">
        <v>1599.5</v>
      </c>
    </row>
    <row r="44" spans="1:6">
      <c r="A44" s="504" t="s">
        <v>121</v>
      </c>
      <c r="B44" s="521">
        <v>4015.26</v>
      </c>
      <c r="C44" s="521">
        <v>93.1</v>
      </c>
      <c r="D44" s="521">
        <v>-154.43452151</v>
      </c>
      <c r="E44" s="521">
        <v>3440.8</v>
      </c>
      <c r="F44" s="1690">
        <v>3220.8</v>
      </c>
    </row>
    <row r="45" spans="1:6" hidden="1">
      <c r="A45" s="504" t="s">
        <v>18</v>
      </c>
      <c r="B45" s="521">
        <v>1961.74</v>
      </c>
      <c r="C45" s="521">
        <v>-373</v>
      </c>
      <c r="D45" s="521">
        <v>-2.8152636999999903</v>
      </c>
      <c r="E45" s="521">
        <v>1596.8</v>
      </c>
      <c r="F45" s="1690">
        <v>1460.3</v>
      </c>
    </row>
    <row r="46" spans="1:6" hidden="1">
      <c r="A46" s="504" t="s">
        <v>19</v>
      </c>
      <c r="B46" s="521">
        <v>1935.93</v>
      </c>
      <c r="C46" s="521">
        <v>-43.1</v>
      </c>
      <c r="D46" s="521">
        <v>10.432424970000014</v>
      </c>
      <c r="E46" s="521">
        <v>1698.8</v>
      </c>
      <c r="F46" s="1690">
        <v>1563.7</v>
      </c>
    </row>
    <row r="47" spans="1:6" hidden="1">
      <c r="A47" s="504" t="s">
        <v>20</v>
      </c>
      <c r="B47" s="521">
        <v>2007.62</v>
      </c>
      <c r="C47" s="521">
        <v>-65.099999999999994</v>
      </c>
      <c r="D47" s="521">
        <v>23.914148060000002</v>
      </c>
      <c r="E47" s="521">
        <v>1798.4</v>
      </c>
      <c r="F47" s="1690">
        <v>1662.5</v>
      </c>
    </row>
    <row r="48" spans="1:6" hidden="1">
      <c r="A48" s="504" t="s">
        <v>21</v>
      </c>
      <c r="B48" s="521">
        <v>2035.39</v>
      </c>
      <c r="C48" s="521">
        <v>-398.91891887000008</v>
      </c>
      <c r="D48" s="521">
        <v>-22.90566777999998</v>
      </c>
      <c r="E48" s="521">
        <v>1819.5</v>
      </c>
      <c r="F48" s="1690">
        <v>1685.8</v>
      </c>
    </row>
    <row r="49" spans="1:6" hidden="1">
      <c r="A49" s="504" t="s">
        <v>22</v>
      </c>
      <c r="B49" s="521">
        <v>2177.64</v>
      </c>
      <c r="C49" s="521">
        <v>-4.9000000000000004</v>
      </c>
      <c r="D49" s="521">
        <v>-57.65890661000001</v>
      </c>
      <c r="E49" s="521">
        <v>1907.8</v>
      </c>
      <c r="F49" s="1690">
        <v>1779</v>
      </c>
    </row>
    <row r="50" spans="1:6" hidden="1">
      <c r="A50" s="504" t="s">
        <v>23</v>
      </c>
      <c r="B50" s="521">
        <v>2477.1</v>
      </c>
      <c r="C50" s="521">
        <v>2.1</v>
      </c>
      <c r="D50" s="521">
        <v>-28.4102897</v>
      </c>
      <c r="E50" s="521">
        <v>2226</v>
      </c>
      <c r="F50" s="1690">
        <v>2032.4</v>
      </c>
    </row>
    <row r="51" spans="1:6" hidden="1">
      <c r="A51" s="504" t="s">
        <v>24</v>
      </c>
      <c r="B51" s="521">
        <v>2814.29</v>
      </c>
      <c r="C51" s="521">
        <v>-452.8</v>
      </c>
      <c r="D51" s="521">
        <v>-106.40486285</v>
      </c>
      <c r="E51" s="521">
        <v>2388.1</v>
      </c>
      <c r="F51" s="1690">
        <v>2245.9</v>
      </c>
    </row>
    <row r="52" spans="1:6" hidden="1">
      <c r="A52" s="504" t="s">
        <v>25</v>
      </c>
      <c r="B52" s="521">
        <v>2979.52</v>
      </c>
      <c r="C52" s="521">
        <v>-18.899999999999999</v>
      </c>
      <c r="D52" s="521">
        <v>-67.531915239999975</v>
      </c>
      <c r="E52" s="521">
        <v>2541.3000000000002</v>
      </c>
      <c r="F52" s="1690">
        <v>2392.3000000000002</v>
      </c>
    </row>
    <row r="53" spans="1:6" hidden="1">
      <c r="A53" s="504" t="s">
        <v>26</v>
      </c>
      <c r="B53" s="521">
        <v>3135.65</v>
      </c>
      <c r="C53" s="521">
        <v>-44.8</v>
      </c>
      <c r="D53" s="521">
        <v>-86.565789079999988</v>
      </c>
      <c r="E53" s="521">
        <v>2632.9</v>
      </c>
      <c r="F53" s="1690">
        <v>2480.6</v>
      </c>
    </row>
    <row r="54" spans="1:6" hidden="1">
      <c r="A54" s="504" t="s">
        <v>27</v>
      </c>
      <c r="B54" s="521">
        <v>3237.42</v>
      </c>
      <c r="C54" s="521">
        <v>-580</v>
      </c>
      <c r="D54" s="521">
        <v>-106.37440273000001</v>
      </c>
      <c r="E54" s="521">
        <v>2690.7</v>
      </c>
      <c r="F54" s="1690">
        <v>2520.5</v>
      </c>
    </row>
    <row r="55" spans="1:6" hidden="1">
      <c r="A55" s="504" t="s">
        <v>28</v>
      </c>
      <c r="B55" s="521">
        <v>3370.9</v>
      </c>
      <c r="C55" s="521">
        <v>-508.3</v>
      </c>
      <c r="D55" s="521">
        <v>-102.38862255999997</v>
      </c>
      <c r="E55" s="521">
        <v>2785.1</v>
      </c>
      <c r="F55" s="1690">
        <v>2612.5</v>
      </c>
    </row>
    <row r="56" spans="1:6" hidden="1">
      <c r="A56" s="504" t="s">
        <v>29</v>
      </c>
      <c r="B56" s="521">
        <v>4015.26</v>
      </c>
      <c r="C56" s="521">
        <v>93.1</v>
      </c>
      <c r="D56" s="521">
        <v>-154.43452151</v>
      </c>
      <c r="E56" s="521">
        <v>3440.8</v>
      </c>
      <c r="F56" s="1690">
        <v>3220.8</v>
      </c>
    </row>
    <row r="57" spans="1:6" ht="14.25" customHeight="1">
      <c r="A57" s="504" t="s">
        <v>114</v>
      </c>
      <c r="B57" s="521">
        <v>6136.99</v>
      </c>
      <c r="C57" s="521">
        <v>-476.1</v>
      </c>
      <c r="D57" s="521">
        <v>54.075419130000014</v>
      </c>
      <c r="E57" s="521">
        <v>4963.8999999999996</v>
      </c>
      <c r="F57" s="1690">
        <v>4781.3</v>
      </c>
    </row>
    <row r="58" spans="1:6" ht="14.25" hidden="1" customHeight="1">
      <c r="A58" s="717" t="s">
        <v>18</v>
      </c>
      <c r="B58" s="521">
        <v>3928.51</v>
      </c>
      <c r="C58" s="521">
        <v>-847.9</v>
      </c>
      <c r="D58" s="521">
        <v>-142.28263827000001</v>
      </c>
      <c r="E58" s="521">
        <v>3074.5</v>
      </c>
      <c r="F58" s="1690">
        <v>2895.6</v>
      </c>
    </row>
    <row r="59" spans="1:6" hidden="1">
      <c r="A59" s="717" t="s">
        <v>19</v>
      </c>
      <c r="B59" s="521">
        <v>4013.59</v>
      </c>
      <c r="C59" s="521">
        <v>-289.8</v>
      </c>
      <c r="D59" s="521">
        <v>-94.136231139999978</v>
      </c>
      <c r="E59" s="521">
        <v>3194.3</v>
      </c>
      <c r="F59" s="1690">
        <v>3022</v>
      </c>
    </row>
    <row r="60" spans="1:6" ht="13.5" hidden="1" customHeight="1">
      <c r="A60" s="717" t="s">
        <v>20</v>
      </c>
      <c r="B60" s="521">
        <v>4260.71</v>
      </c>
      <c r="C60" s="521">
        <v>-276.3</v>
      </c>
      <c r="D60" s="521">
        <v>-59.304956680000004</v>
      </c>
      <c r="E60" s="521">
        <v>3468</v>
      </c>
      <c r="F60" s="1690">
        <v>3246.4</v>
      </c>
    </row>
    <row r="61" spans="1:6" hidden="1">
      <c r="A61" s="717" t="s">
        <v>21</v>
      </c>
      <c r="B61" s="521">
        <v>4306.6400000000003</v>
      </c>
      <c r="C61" s="521">
        <v>-966</v>
      </c>
      <c r="D61" s="521">
        <v>-70.568276089999998</v>
      </c>
      <c r="E61" s="521">
        <v>3463.4</v>
      </c>
      <c r="F61" s="1690">
        <v>3291.2</v>
      </c>
    </row>
    <row r="62" spans="1:6" s="12" customFormat="1" hidden="1">
      <c r="A62" s="717" t="s">
        <v>22</v>
      </c>
      <c r="B62" s="521">
        <v>4323.43</v>
      </c>
      <c r="C62" s="521">
        <v>-196.2</v>
      </c>
      <c r="D62" s="521">
        <v>-0.65509246999998805</v>
      </c>
      <c r="E62" s="521">
        <v>3489.1</v>
      </c>
      <c r="F62" s="1690">
        <v>3321.2</v>
      </c>
    </row>
    <row r="63" spans="1:6" ht="15.75" hidden="1" customHeight="1">
      <c r="A63" s="717" t="s">
        <v>23</v>
      </c>
      <c r="B63" s="521">
        <v>5225.1899999999996</v>
      </c>
      <c r="C63" s="521">
        <v>-459.9</v>
      </c>
      <c r="D63" s="521">
        <v>-23.496919709999997</v>
      </c>
      <c r="E63" s="521">
        <v>3959</v>
      </c>
      <c r="F63" s="1690">
        <v>3748.5</v>
      </c>
    </row>
    <row r="64" spans="1:6" s="12" customFormat="1" hidden="1">
      <c r="A64" s="717" t="s">
        <v>24</v>
      </c>
      <c r="B64" s="521">
        <v>5223.68</v>
      </c>
      <c r="C64" s="521">
        <v>-904.4</v>
      </c>
      <c r="D64" s="521">
        <v>-21.665553179999989</v>
      </c>
      <c r="E64" s="521">
        <v>4072</v>
      </c>
      <c r="F64" s="1690">
        <v>3873</v>
      </c>
    </row>
    <row r="65" spans="1:6" ht="15.75" hidden="1" customHeight="1">
      <c r="A65" s="717" t="s">
        <v>25</v>
      </c>
      <c r="B65" s="521">
        <v>5338.1980000000003</v>
      </c>
      <c r="C65" s="521">
        <v>-622.6</v>
      </c>
      <c r="D65" s="521">
        <v>76.798452769999997</v>
      </c>
      <c r="E65" s="521">
        <v>4315.2</v>
      </c>
      <c r="F65" s="1690">
        <v>4046.7</v>
      </c>
    </row>
    <row r="66" spans="1:6" ht="18.75" hidden="1" customHeight="1">
      <c r="A66" s="717" t="s">
        <v>26</v>
      </c>
      <c r="B66" s="521">
        <v>5438.61</v>
      </c>
      <c r="C66" s="521">
        <v>-438.8</v>
      </c>
      <c r="D66" s="521">
        <v>22.665929800000001</v>
      </c>
      <c r="E66" s="521">
        <v>4453.3999999999996</v>
      </c>
      <c r="F66" s="521">
        <v>4172.6000000000004</v>
      </c>
    </row>
    <row r="67" spans="1:6" ht="14.25" hidden="1" customHeight="1">
      <c r="A67" s="717" t="s">
        <v>27</v>
      </c>
      <c r="B67" s="521">
        <v>5316.04</v>
      </c>
      <c r="C67" s="521">
        <v>-862.5</v>
      </c>
      <c r="D67" s="521">
        <v>-20.649522649999994</v>
      </c>
      <c r="E67" s="521">
        <v>4265.6000000000004</v>
      </c>
      <c r="F67" s="1690">
        <v>4082</v>
      </c>
    </row>
    <row r="68" spans="1:6" ht="15.75" hidden="1" customHeight="1">
      <c r="A68" s="717" t="s">
        <v>28</v>
      </c>
      <c r="B68" s="521">
        <v>5348.57</v>
      </c>
      <c r="C68" s="521">
        <v>-614.1</v>
      </c>
      <c r="D68" s="521">
        <v>-0.33802315999999166</v>
      </c>
      <c r="E68" s="521">
        <v>4382.3</v>
      </c>
      <c r="F68" s="1690">
        <v>4212.5</v>
      </c>
    </row>
    <row r="69" spans="1:6" ht="14.25" hidden="1" customHeight="1">
      <c r="A69" s="717" t="s">
        <v>29</v>
      </c>
      <c r="B69" s="521">
        <v>6136.99</v>
      </c>
      <c r="C69" s="521">
        <v>-476.1</v>
      </c>
      <c r="D69" s="521">
        <v>54.075419130000014</v>
      </c>
      <c r="E69" s="521">
        <v>4963.8999999999996</v>
      </c>
      <c r="F69" s="1690">
        <v>4781.3</v>
      </c>
    </row>
    <row r="70" spans="1:6" ht="16.5" customHeight="1">
      <c r="A70" s="504" t="s">
        <v>43</v>
      </c>
      <c r="B70" s="521">
        <v>5161.67</v>
      </c>
      <c r="C70" s="521">
        <v>-591.1</v>
      </c>
      <c r="D70" s="521">
        <v>1472.8</v>
      </c>
      <c r="E70" s="521">
        <v>4907.7</v>
      </c>
      <c r="F70" s="1690">
        <v>4861</v>
      </c>
    </row>
    <row r="71" spans="1:6" ht="18" hidden="1" customHeight="1">
      <c r="A71" s="504" t="s">
        <v>18</v>
      </c>
      <c r="B71" s="718">
        <v>5975.93</v>
      </c>
      <c r="C71" s="718">
        <v>-1083.8</v>
      </c>
      <c r="D71" s="718">
        <v>100.9</v>
      </c>
      <c r="E71" s="718">
        <v>4452</v>
      </c>
      <c r="F71" s="1691">
        <v>4300.2</v>
      </c>
    </row>
    <row r="72" spans="1:6" ht="16.5" hidden="1" customHeight="1">
      <c r="A72" s="504" t="s">
        <v>19</v>
      </c>
      <c r="B72" s="718">
        <v>5635.96</v>
      </c>
      <c r="C72" s="718">
        <v>-1129.3</v>
      </c>
      <c r="D72" s="718">
        <v>204.8</v>
      </c>
      <c r="E72" s="718">
        <v>4215.3999999999996</v>
      </c>
      <c r="F72" s="1691">
        <v>4127.8</v>
      </c>
    </row>
    <row r="73" spans="1:6" ht="16.5" hidden="1" customHeight="1">
      <c r="A73" s="504" t="s">
        <v>20</v>
      </c>
      <c r="B73" s="718">
        <v>4961.83</v>
      </c>
      <c r="C73" s="718">
        <v>-938.6</v>
      </c>
      <c r="D73" s="718">
        <v>224.8</v>
      </c>
      <c r="E73" s="718">
        <v>3751.8</v>
      </c>
      <c r="F73" s="1691">
        <v>3702.1</v>
      </c>
    </row>
    <row r="74" spans="1:6" ht="18.75" hidden="1" customHeight="1">
      <c r="A74" s="504" t="s">
        <v>21</v>
      </c>
      <c r="B74" s="718">
        <v>4906.6400000000003</v>
      </c>
      <c r="C74" s="718">
        <v>-1026.2</v>
      </c>
      <c r="D74" s="718">
        <v>334.5</v>
      </c>
      <c r="E74" s="718">
        <v>3742.3</v>
      </c>
      <c r="F74" s="1691">
        <v>3679.6</v>
      </c>
    </row>
    <row r="75" spans="1:6" ht="17.25" hidden="1" customHeight="1">
      <c r="A75" s="504" t="s">
        <v>22</v>
      </c>
      <c r="B75" s="718">
        <v>5026.01</v>
      </c>
      <c r="C75" s="718">
        <v>-866.2</v>
      </c>
      <c r="D75" s="718">
        <v>360.9</v>
      </c>
      <c r="E75" s="718">
        <v>3880.5</v>
      </c>
      <c r="F75" s="1691">
        <v>3820.5</v>
      </c>
    </row>
    <row r="76" spans="1:6" ht="18.75" hidden="1" customHeight="1">
      <c r="A76" s="504" t="s">
        <v>23</v>
      </c>
      <c r="B76" s="718">
        <v>5077.1499999999996</v>
      </c>
      <c r="C76" s="718">
        <v>-602.79999999999995</v>
      </c>
      <c r="D76" s="718">
        <v>389.8</v>
      </c>
      <c r="E76" s="718">
        <v>3935.6</v>
      </c>
      <c r="F76" s="1691">
        <v>3888.9</v>
      </c>
    </row>
    <row r="77" spans="1:6" ht="15.75" hidden="1" customHeight="1">
      <c r="A77" s="504" t="s">
        <v>24</v>
      </c>
      <c r="B77" s="718">
        <v>4787.03</v>
      </c>
      <c r="C77" s="718">
        <v>-501.9</v>
      </c>
      <c r="D77" s="718">
        <v>801.3</v>
      </c>
      <c r="E77" s="718">
        <v>4177.7</v>
      </c>
      <c r="F77" s="1691">
        <v>4129.1000000000004</v>
      </c>
    </row>
    <row r="78" spans="1:6" ht="18" hidden="1" customHeight="1">
      <c r="A78" s="504" t="s">
        <v>25</v>
      </c>
      <c r="B78" s="718">
        <v>5001.21</v>
      </c>
      <c r="C78" s="718">
        <v>-787</v>
      </c>
      <c r="D78" s="718">
        <v>1128.5999999999999</v>
      </c>
      <c r="E78" s="718">
        <v>4233.8999999999996</v>
      </c>
      <c r="F78" s="1691">
        <v>4172</v>
      </c>
    </row>
    <row r="79" spans="1:6" ht="16.5" hidden="1" customHeight="1">
      <c r="A79" s="504" t="s">
        <v>26</v>
      </c>
      <c r="B79" s="718">
        <v>5103.6499999999996</v>
      </c>
      <c r="C79" s="718">
        <v>-902.5</v>
      </c>
      <c r="D79" s="718">
        <v>1255.7</v>
      </c>
      <c r="E79" s="718">
        <v>4180.6000000000004</v>
      </c>
      <c r="F79" s="1691">
        <v>4170.3999999999996</v>
      </c>
    </row>
    <row r="80" spans="1:6" ht="17.25" hidden="1" customHeight="1">
      <c r="A80" s="504" t="s">
        <v>27</v>
      </c>
      <c r="B80" s="718">
        <v>5092.88</v>
      </c>
      <c r="C80" s="718">
        <v>-1206.2</v>
      </c>
      <c r="D80" s="718">
        <v>1341.8</v>
      </c>
      <c r="E80" s="718">
        <v>4214</v>
      </c>
      <c r="F80" s="1691">
        <v>4193.5</v>
      </c>
    </row>
    <row r="81" spans="1:6" ht="18" hidden="1" customHeight="1">
      <c r="A81" s="504" t="s">
        <v>28</v>
      </c>
      <c r="B81" s="718">
        <v>5181.1040000000003</v>
      </c>
      <c r="C81" s="718">
        <v>-1115</v>
      </c>
      <c r="D81" s="718">
        <v>1339.9</v>
      </c>
      <c r="E81" s="718">
        <v>4360.6000000000004</v>
      </c>
      <c r="F81" s="1691">
        <v>4337.1000000000004</v>
      </c>
    </row>
    <row r="82" spans="1:6" ht="20.25" hidden="1" customHeight="1">
      <c r="A82" s="504" t="s">
        <v>29</v>
      </c>
      <c r="B82" s="718">
        <v>5161.67</v>
      </c>
      <c r="C82" s="718">
        <v>-591.1</v>
      </c>
      <c r="D82" s="718">
        <v>1472.8</v>
      </c>
      <c r="E82" s="718">
        <v>4907.7</v>
      </c>
      <c r="F82" s="1691">
        <v>4861</v>
      </c>
    </row>
    <row r="83" spans="1:6" ht="16.5" customHeight="1">
      <c r="A83" s="504" t="s">
        <v>48</v>
      </c>
      <c r="B83" s="521">
        <v>6407.6</v>
      </c>
      <c r="C83" s="521">
        <v>-828.5</v>
      </c>
      <c r="D83" s="521">
        <v>1930.8</v>
      </c>
      <c r="E83" s="521">
        <v>6520.9</v>
      </c>
      <c r="F83" s="1690">
        <v>6397.1</v>
      </c>
    </row>
    <row r="84" spans="1:6" ht="14.25" hidden="1" customHeight="1">
      <c r="A84" s="504" t="s">
        <v>18</v>
      </c>
      <c r="B84" s="718">
        <v>5139.5200000000004</v>
      </c>
      <c r="C84" s="718">
        <v>-1197.7</v>
      </c>
      <c r="D84" s="718">
        <v>1543.2</v>
      </c>
      <c r="E84" s="718">
        <v>4594.2</v>
      </c>
      <c r="F84" s="1691">
        <v>4559.1000000000004</v>
      </c>
    </row>
    <row r="85" spans="1:6" ht="16.5" hidden="1" customHeight="1">
      <c r="A85" s="504" t="s">
        <v>19</v>
      </c>
      <c r="B85" s="718">
        <v>5074.45</v>
      </c>
      <c r="C85" s="718">
        <v>-1103.0999999999999</v>
      </c>
      <c r="D85" s="718">
        <v>1571.7</v>
      </c>
      <c r="E85" s="718">
        <v>4677.8</v>
      </c>
      <c r="F85" s="1691">
        <v>4658.1000000000004</v>
      </c>
    </row>
    <row r="86" spans="1:6" ht="15" hidden="1" customHeight="1">
      <c r="A86" s="504" t="s">
        <v>20</v>
      </c>
      <c r="B86" s="718">
        <v>5509.95</v>
      </c>
      <c r="C86" s="718">
        <v>-1097.5</v>
      </c>
      <c r="D86" s="718">
        <v>1440.9</v>
      </c>
      <c r="E86" s="718">
        <v>4916.7</v>
      </c>
      <c r="F86" s="1691">
        <v>4902</v>
      </c>
    </row>
    <row r="87" spans="1:6" ht="15.75" hidden="1" customHeight="1">
      <c r="A87" s="504" t="s">
        <v>21</v>
      </c>
      <c r="B87" s="718">
        <v>5501.73</v>
      </c>
      <c r="C87" s="718">
        <v>-1206.9000000000001</v>
      </c>
      <c r="D87" s="718">
        <v>1453.4</v>
      </c>
      <c r="E87" s="718">
        <v>4967.8</v>
      </c>
      <c r="F87" s="1691">
        <v>4956.1000000000004</v>
      </c>
    </row>
    <row r="88" spans="1:6" ht="15" hidden="1" customHeight="1">
      <c r="A88" s="504" t="s">
        <v>22</v>
      </c>
      <c r="B88" s="718">
        <v>5360.95</v>
      </c>
      <c r="C88" s="718">
        <v>-1025.5</v>
      </c>
      <c r="D88" s="718">
        <v>1444.2</v>
      </c>
      <c r="E88" s="718">
        <v>5048</v>
      </c>
      <c r="F88" s="1691">
        <v>5012.6000000000004</v>
      </c>
    </row>
    <row r="89" spans="1:6" ht="14.25" hidden="1" customHeight="1">
      <c r="A89" s="504" t="s">
        <v>23</v>
      </c>
      <c r="B89" s="718">
        <v>5470.74</v>
      </c>
      <c r="C89" s="718">
        <v>-929.3</v>
      </c>
      <c r="D89" s="718">
        <v>1595.2</v>
      </c>
      <c r="E89" s="718">
        <v>5137.3</v>
      </c>
      <c r="F89" s="1691">
        <v>5116.3999999999996</v>
      </c>
    </row>
    <row r="90" spans="1:6" ht="14.25" hidden="1" customHeight="1">
      <c r="A90" s="504" t="s">
        <v>24</v>
      </c>
      <c r="B90" s="718">
        <v>5658.49</v>
      </c>
      <c r="C90" s="718">
        <v>-929.7</v>
      </c>
      <c r="D90" s="718">
        <v>1446.9</v>
      </c>
      <c r="E90" s="718">
        <v>5311.8</v>
      </c>
      <c r="F90" s="1691">
        <v>5299.4</v>
      </c>
    </row>
    <row r="91" spans="1:6" ht="15" hidden="1" customHeight="1">
      <c r="A91" s="504" t="s">
        <v>25</v>
      </c>
      <c r="B91" s="718">
        <v>5899.71</v>
      </c>
      <c r="C91" s="718">
        <v>-1078.0999999999999</v>
      </c>
      <c r="D91" s="718">
        <v>1497</v>
      </c>
      <c r="E91" s="718">
        <v>5385.2</v>
      </c>
      <c r="F91" s="1691">
        <v>5373.5</v>
      </c>
    </row>
    <row r="92" spans="1:6" ht="15.75" hidden="1" customHeight="1">
      <c r="A92" s="504" t="s">
        <v>26</v>
      </c>
      <c r="B92" s="718">
        <v>6057.63</v>
      </c>
      <c r="C92" s="718">
        <v>-1089.0999999999999</v>
      </c>
      <c r="D92" s="718">
        <v>1689</v>
      </c>
      <c r="E92" s="718">
        <v>5516.1</v>
      </c>
      <c r="F92" s="1691">
        <v>5504.6</v>
      </c>
    </row>
    <row r="93" spans="1:6" ht="15" hidden="1" customHeight="1">
      <c r="A93" s="504" t="s">
        <v>27</v>
      </c>
      <c r="B93" s="718">
        <v>6127.9</v>
      </c>
      <c r="C93" s="718">
        <v>-1235.3</v>
      </c>
      <c r="D93" s="718">
        <v>1821.4</v>
      </c>
      <c r="E93" s="718">
        <v>5660.9</v>
      </c>
      <c r="F93" s="1691">
        <v>5646.3</v>
      </c>
    </row>
    <row r="94" spans="1:6" ht="13.5" hidden="1" customHeight="1">
      <c r="A94" s="504" t="s">
        <v>28</v>
      </c>
      <c r="B94" s="718">
        <v>6079.3</v>
      </c>
      <c r="C94" s="718">
        <v>-1331.6</v>
      </c>
      <c r="D94" s="718">
        <v>1799.5</v>
      </c>
      <c r="E94" s="718">
        <v>5622.9</v>
      </c>
      <c r="F94" s="1691">
        <v>5605.5</v>
      </c>
    </row>
    <row r="95" spans="1:6" ht="15" hidden="1" customHeight="1">
      <c r="A95" s="504" t="s">
        <v>29</v>
      </c>
      <c r="B95" s="718">
        <v>6407.6</v>
      </c>
      <c r="C95" s="718">
        <v>-828.5</v>
      </c>
      <c r="D95" s="718">
        <v>1930.8</v>
      </c>
      <c r="E95" s="718">
        <v>6520.9</v>
      </c>
      <c r="F95" s="1691">
        <v>6397.1</v>
      </c>
    </row>
    <row r="96" spans="1:6" ht="12.75" customHeight="1">
      <c r="A96" s="504" t="s">
        <v>1045</v>
      </c>
      <c r="B96" s="521">
        <v>10481.5</v>
      </c>
      <c r="C96" s="521">
        <v>-2083.1999999999998</v>
      </c>
      <c r="D96" s="521">
        <v>515.5</v>
      </c>
      <c r="E96" s="521">
        <v>8489.4</v>
      </c>
      <c r="F96" s="1690">
        <v>8275.2999999999993</v>
      </c>
    </row>
    <row r="97" spans="1:6" ht="15" hidden="1" customHeight="1">
      <c r="A97" s="504" t="s">
        <v>18</v>
      </c>
      <c r="B97" s="718">
        <v>6566.9</v>
      </c>
      <c r="C97" s="718">
        <v>-1577.6</v>
      </c>
      <c r="D97" s="718">
        <v>648.6</v>
      </c>
      <c r="E97" s="718">
        <v>6015.6</v>
      </c>
      <c r="F97" s="1691">
        <v>5960.9435422899996</v>
      </c>
    </row>
    <row r="98" spans="1:6" ht="13.5" hidden="1" customHeight="1">
      <c r="A98" s="504" t="s">
        <v>19</v>
      </c>
      <c r="B98" s="718">
        <v>6705.2</v>
      </c>
      <c r="C98" s="718">
        <v>-1412.8</v>
      </c>
      <c r="D98" s="718">
        <v>607.79999999999995</v>
      </c>
      <c r="E98" s="718">
        <v>6120.5</v>
      </c>
      <c r="F98" s="1691">
        <v>6099.5</v>
      </c>
    </row>
    <row r="99" spans="1:6" ht="15" hidden="1" customHeight="1">
      <c r="A99" s="504" t="s">
        <v>20</v>
      </c>
      <c r="B99" s="718">
        <v>6718.4</v>
      </c>
      <c r="C99" s="718">
        <v>-1349.9</v>
      </c>
      <c r="D99" s="718">
        <v>621.29999999999995</v>
      </c>
      <c r="E99" s="718">
        <v>6282.9</v>
      </c>
      <c r="F99" s="1691">
        <v>6269</v>
      </c>
    </row>
    <row r="100" spans="1:6" ht="15" hidden="1" customHeight="1">
      <c r="A100" s="504" t="s">
        <v>21</v>
      </c>
      <c r="B100" s="718">
        <v>6949.2</v>
      </c>
      <c r="C100" s="718">
        <v>-1797.4</v>
      </c>
      <c r="D100" s="718">
        <v>498.9</v>
      </c>
      <c r="E100" s="718">
        <v>6191.6</v>
      </c>
      <c r="F100" s="1691">
        <v>6167.3</v>
      </c>
    </row>
    <row r="101" spans="1:6" ht="15" hidden="1" customHeight="1">
      <c r="A101" s="504" t="s">
        <v>22</v>
      </c>
      <c r="B101" s="718">
        <v>6898.8</v>
      </c>
      <c r="C101" s="718">
        <v>-1664.2</v>
      </c>
      <c r="D101" s="718">
        <v>447.7</v>
      </c>
      <c r="E101" s="718">
        <v>6294.4</v>
      </c>
      <c r="F101" s="1691">
        <v>6244.9</v>
      </c>
    </row>
    <row r="102" spans="1:6" ht="15" hidden="1" customHeight="1">
      <c r="A102" s="504" t="s">
        <v>23</v>
      </c>
      <c r="B102" s="718">
        <v>6947.5</v>
      </c>
      <c r="C102" s="718">
        <v>-1088.5999999999999</v>
      </c>
      <c r="D102" s="718">
        <v>599.1</v>
      </c>
      <c r="E102" s="718">
        <v>6552.4</v>
      </c>
      <c r="F102" s="1691">
        <v>6497.7</v>
      </c>
    </row>
    <row r="103" spans="1:6" ht="15" hidden="1" customHeight="1">
      <c r="A103" s="504" t="s">
        <v>24</v>
      </c>
      <c r="B103" s="718">
        <v>7073.8</v>
      </c>
      <c r="C103" s="718">
        <v>-1085.3</v>
      </c>
      <c r="D103" s="718">
        <v>503.1</v>
      </c>
      <c r="E103" s="718">
        <v>6940.6</v>
      </c>
      <c r="F103" s="1691">
        <v>6858.1</v>
      </c>
    </row>
    <row r="104" spans="1:6" ht="15" hidden="1" customHeight="1">
      <c r="A104" s="504" t="s">
        <v>25</v>
      </c>
      <c r="B104" s="718">
        <v>7114.2</v>
      </c>
      <c r="C104" s="718">
        <v>-424.6</v>
      </c>
      <c r="D104" s="718">
        <v>570.9</v>
      </c>
      <c r="E104" s="718">
        <v>7202.8</v>
      </c>
      <c r="F104" s="1691">
        <v>7119.3</v>
      </c>
    </row>
    <row r="105" spans="1:6" ht="15" hidden="1" customHeight="1">
      <c r="A105" s="504" t="s">
        <v>26</v>
      </c>
      <c r="B105" s="718">
        <v>6943.3</v>
      </c>
      <c r="C105" s="718">
        <v>-333.5</v>
      </c>
      <c r="D105" s="718">
        <v>640.1</v>
      </c>
      <c r="E105" s="718">
        <v>7281.5</v>
      </c>
      <c r="F105" s="1691">
        <v>7206.5</v>
      </c>
    </row>
    <row r="106" spans="1:6" ht="15" hidden="1" customHeight="1">
      <c r="A106" s="504" t="s">
        <v>27</v>
      </c>
      <c r="B106" s="718">
        <v>7074.3</v>
      </c>
      <c r="C106" s="718">
        <v>-804.1</v>
      </c>
      <c r="D106" s="718">
        <v>656.3</v>
      </c>
      <c r="E106" s="718">
        <v>7270.4</v>
      </c>
      <c r="F106" s="1691">
        <v>7189.7</v>
      </c>
    </row>
    <row r="107" spans="1:6" ht="15" hidden="1" customHeight="1">
      <c r="A107" s="504" t="s">
        <v>28</v>
      </c>
      <c r="B107" s="718">
        <v>7027.6</v>
      </c>
      <c r="C107" s="718">
        <v>-500.6</v>
      </c>
      <c r="D107" s="718">
        <v>658.1</v>
      </c>
      <c r="E107" s="718">
        <v>7494.4</v>
      </c>
      <c r="F107" s="1691">
        <v>7417.4</v>
      </c>
    </row>
    <row r="108" spans="1:6" ht="15" hidden="1" customHeight="1">
      <c r="A108" s="504" t="s">
        <v>29</v>
      </c>
      <c r="B108" s="718">
        <v>10481.5</v>
      </c>
      <c r="C108" s="718">
        <v>-2083.1999999999998</v>
      </c>
      <c r="D108" s="718">
        <v>515.5</v>
      </c>
      <c r="E108" s="718">
        <v>8489.4</v>
      </c>
      <c r="F108" s="1691">
        <v>8275.2999999999993</v>
      </c>
    </row>
    <row r="109" spans="1:6" ht="12.75" customHeight="1">
      <c r="A109" s="504" t="s">
        <v>1327</v>
      </c>
      <c r="B109" s="718"/>
      <c r="C109" s="718"/>
      <c r="D109" s="718"/>
      <c r="E109" s="718"/>
      <c r="F109" s="1691"/>
    </row>
    <row r="110" spans="1:6" ht="15" customHeight="1">
      <c r="A110" s="504" t="s">
        <v>18</v>
      </c>
      <c r="B110" s="718">
        <v>10583.8</v>
      </c>
      <c r="C110" s="718">
        <v>-3042.6</v>
      </c>
      <c r="D110" s="718">
        <v>494.4</v>
      </c>
      <c r="E110" s="718">
        <v>7686.7</v>
      </c>
      <c r="F110" s="1691">
        <v>7601.5</v>
      </c>
    </row>
    <row r="111" spans="1:6" ht="15" customHeight="1">
      <c r="A111" s="504" t="s">
        <v>19</v>
      </c>
      <c r="B111" s="718">
        <v>10769.7</v>
      </c>
      <c r="C111" s="718">
        <v>-2864.6</v>
      </c>
      <c r="D111" s="718">
        <v>533.20000000000005</v>
      </c>
      <c r="E111" s="718">
        <v>7908.7</v>
      </c>
      <c r="F111" s="1691">
        <v>7825.2</v>
      </c>
    </row>
    <row r="112" spans="1:6" ht="15" customHeight="1">
      <c r="A112" s="504" t="s">
        <v>20</v>
      </c>
      <c r="B112" s="718">
        <v>10822.6</v>
      </c>
      <c r="C112" s="718">
        <v>-2285.3000000000002</v>
      </c>
      <c r="D112" s="718">
        <v>551.9</v>
      </c>
      <c r="E112" s="718">
        <v>8468.2999999999993</v>
      </c>
      <c r="F112" s="1691">
        <v>8347.7000000000007</v>
      </c>
    </row>
    <row r="113" spans="1:6" ht="15" customHeight="1">
      <c r="A113" s="504" t="s">
        <v>21</v>
      </c>
      <c r="B113" s="1692">
        <v>10951.7</v>
      </c>
      <c r="C113" s="1692">
        <v>-2981.4</v>
      </c>
      <c r="D113" s="1692">
        <v>559.4</v>
      </c>
      <c r="E113" s="1692">
        <v>8223</v>
      </c>
      <c r="F113" s="1691">
        <v>8145.9</v>
      </c>
    </row>
    <row r="114" spans="1:6" ht="15" customHeight="1">
      <c r="A114" s="504" t="s">
        <v>22</v>
      </c>
      <c r="B114" s="1692">
        <v>10891.9</v>
      </c>
      <c r="C114" s="1692">
        <v>-2512</v>
      </c>
      <c r="D114" s="1692">
        <v>606.79999999999995</v>
      </c>
      <c r="E114" s="1692">
        <v>8457.9</v>
      </c>
      <c r="F114" s="1691">
        <v>8373.1</v>
      </c>
    </row>
    <row r="115" spans="1:6" ht="15" customHeight="1">
      <c r="A115" s="504" t="s">
        <v>23</v>
      </c>
      <c r="B115" s="1692">
        <v>11046.3</v>
      </c>
      <c r="C115" s="1692">
        <v>-2368.5</v>
      </c>
      <c r="D115" s="1692">
        <v>650.4</v>
      </c>
      <c r="E115" s="1692">
        <v>8730.4</v>
      </c>
      <c r="F115" s="1691">
        <v>8654.4</v>
      </c>
    </row>
    <row r="116" spans="1:6" ht="15" customHeight="1">
      <c r="A116" s="504" t="s">
        <v>24</v>
      </c>
      <c r="B116" s="1692">
        <v>11122.7</v>
      </c>
      <c r="C116" s="1692">
        <v>-2492.6</v>
      </c>
      <c r="D116" s="1692">
        <v>722.7</v>
      </c>
      <c r="E116" s="1692">
        <v>9039.6</v>
      </c>
      <c r="F116" s="1691">
        <v>8940.2000000000007</v>
      </c>
    </row>
    <row r="117" spans="1:6" ht="15" customHeight="1">
      <c r="A117" s="504" t="s">
        <v>25</v>
      </c>
      <c r="B117" s="1692">
        <v>11279.3</v>
      </c>
      <c r="C117" s="1692">
        <v>-2505.1</v>
      </c>
      <c r="D117" s="1692">
        <v>798.8</v>
      </c>
      <c r="E117" s="1692">
        <v>9195.7000000000007</v>
      </c>
      <c r="F117" s="1691">
        <v>9076.4</v>
      </c>
    </row>
    <row r="118" spans="1:6" ht="15" customHeight="1">
      <c r="A118" s="504" t="s">
        <v>26</v>
      </c>
      <c r="B118" s="1692">
        <v>11506.5</v>
      </c>
      <c r="C118" s="1692">
        <v>-2447.9</v>
      </c>
      <c r="D118" s="1692">
        <v>795.2</v>
      </c>
      <c r="E118" s="1692">
        <v>9399.7000000000007</v>
      </c>
      <c r="F118" s="1691">
        <v>9299.7999999999993</v>
      </c>
    </row>
    <row r="119" spans="1:6" ht="15" customHeight="1">
      <c r="A119" s="504" t="s">
        <v>27</v>
      </c>
      <c r="B119" s="1692">
        <v>11743.2</v>
      </c>
      <c r="C119" s="1692">
        <v>-2845.4</v>
      </c>
      <c r="D119" s="1692">
        <v>794.2</v>
      </c>
      <c r="E119" s="1692">
        <v>9365.1</v>
      </c>
      <c r="F119" s="1691">
        <v>9291.2999999999993</v>
      </c>
    </row>
    <row r="120" spans="1:6" ht="15" customHeight="1">
      <c r="A120" s="504" t="s">
        <v>28</v>
      </c>
      <c r="B120" s="1692">
        <v>11686</v>
      </c>
      <c r="C120" s="1692">
        <v>-2910</v>
      </c>
      <c r="D120" s="1692">
        <v>731.20000420999997</v>
      </c>
      <c r="E120" s="1692">
        <v>9427.2999999999993</v>
      </c>
      <c r="F120" s="1691">
        <v>9346</v>
      </c>
    </row>
    <row r="121" spans="1:6" ht="15" customHeight="1">
      <c r="A121" s="504" t="s">
        <v>29</v>
      </c>
      <c r="B121" s="1692">
        <v>11694.8</v>
      </c>
      <c r="C121" s="1692">
        <v>-1933.9</v>
      </c>
      <c r="D121" s="1692">
        <v>852</v>
      </c>
      <c r="E121" s="1692">
        <v>10660.3</v>
      </c>
      <c r="F121" s="1691">
        <v>10515</v>
      </c>
    </row>
    <row r="122" spans="1:6" ht="12.75" customHeight="1">
      <c r="A122" s="504" t="s">
        <v>1449</v>
      </c>
      <c r="B122" s="718"/>
      <c r="C122" s="718"/>
      <c r="D122" s="718"/>
      <c r="E122" s="718"/>
      <c r="F122" s="1691"/>
    </row>
    <row r="123" spans="1:6" ht="15" customHeight="1">
      <c r="A123" s="504" t="s">
        <v>18</v>
      </c>
      <c r="B123" s="718">
        <v>11964</v>
      </c>
      <c r="C123" s="718">
        <v>-3167.4</v>
      </c>
      <c r="D123" s="718">
        <v>897.87505942000018</v>
      </c>
      <c r="E123" s="718">
        <v>9938.8954381399981</v>
      </c>
      <c r="F123" s="1691">
        <v>9842.5224666099984</v>
      </c>
    </row>
    <row r="124" spans="1:6" ht="15" customHeight="1">
      <c r="A124" s="504" t="s">
        <v>19</v>
      </c>
      <c r="B124" s="718">
        <v>11948.3</v>
      </c>
      <c r="C124" s="718">
        <v>-2655.5</v>
      </c>
      <c r="D124" s="718">
        <v>988.38018140000042</v>
      </c>
      <c r="E124" s="718">
        <v>10117.00896714</v>
      </c>
      <c r="F124" s="1691">
        <v>10042.278477350001</v>
      </c>
    </row>
    <row r="125" spans="1:6" ht="15" customHeight="1">
      <c r="A125" s="504" t="s">
        <v>20</v>
      </c>
      <c r="B125" s="718">
        <v>12332.6</v>
      </c>
      <c r="C125" s="718">
        <v>-2641.9</v>
      </c>
      <c r="D125" s="718">
        <v>1024.4047944899999</v>
      </c>
      <c r="E125" s="718">
        <v>10281.538850699999</v>
      </c>
      <c r="F125" s="1691">
        <v>10196.195094999999</v>
      </c>
    </row>
    <row r="126" spans="1:6" ht="15" customHeight="1">
      <c r="A126" s="504" t="s">
        <v>21</v>
      </c>
      <c r="B126" s="718">
        <v>12499.9</v>
      </c>
      <c r="C126" s="718">
        <v>-3006.2</v>
      </c>
      <c r="D126" s="718">
        <v>994.05148968000049</v>
      </c>
      <c r="E126" s="718">
        <v>10191.12480883</v>
      </c>
      <c r="F126" s="1691">
        <v>10094.551942800001</v>
      </c>
    </row>
    <row r="127" spans="1:6" ht="15" customHeight="1">
      <c r="A127" s="504" t="s">
        <v>22</v>
      </c>
      <c r="B127" s="718">
        <v>12572.3</v>
      </c>
      <c r="C127" s="718">
        <v>-3273</v>
      </c>
      <c r="D127" s="718">
        <v>1207.6276752900003</v>
      </c>
      <c r="E127" s="718">
        <v>10201.401611349998</v>
      </c>
      <c r="F127" s="1691">
        <v>10122.983837369999</v>
      </c>
    </row>
    <row r="128" spans="1:6" ht="15" customHeight="1">
      <c r="A128" s="504" t="s">
        <v>23</v>
      </c>
      <c r="B128" s="718">
        <v>12720.4</v>
      </c>
      <c r="C128" s="718">
        <v>-3242.4</v>
      </c>
      <c r="D128" s="718">
        <v>1284.6458706300004</v>
      </c>
      <c r="E128" s="718">
        <v>10331.388455559998</v>
      </c>
      <c r="F128" s="1691">
        <v>10266.594539619999</v>
      </c>
    </row>
    <row r="129" spans="1:6" ht="15" customHeight="1">
      <c r="A129" s="504" t="s">
        <v>24</v>
      </c>
      <c r="B129" s="718">
        <v>12880.3</v>
      </c>
      <c r="C129" s="718">
        <v>-3518.6</v>
      </c>
      <c r="D129" s="718">
        <v>1310.0206117700006</v>
      </c>
      <c r="E129" s="718">
        <v>10529.225237050001</v>
      </c>
      <c r="F129" s="1691">
        <v>10428.005373100001</v>
      </c>
    </row>
    <row r="130" spans="1:6" ht="15" customHeight="1">
      <c r="A130" s="504" t="s">
        <v>25</v>
      </c>
      <c r="B130" s="718">
        <v>12958.9</v>
      </c>
      <c r="C130" s="718">
        <v>-3514.1</v>
      </c>
      <c r="D130" s="718">
        <v>1424.1010539399999</v>
      </c>
      <c r="E130" s="718">
        <v>10688.93542118</v>
      </c>
      <c r="F130" s="1691">
        <v>10617.02397176</v>
      </c>
    </row>
    <row r="131" spans="1:6" ht="15" customHeight="1">
      <c r="A131" s="504" t="s">
        <v>26</v>
      </c>
      <c r="B131" s="718">
        <v>13262.7</v>
      </c>
      <c r="C131" s="718">
        <v>-3692.1</v>
      </c>
      <c r="D131" s="718">
        <v>1441.3250712100005</v>
      </c>
      <c r="E131" s="718">
        <v>10697.737923710001</v>
      </c>
      <c r="F131" s="1691">
        <v>10616.446083440002</v>
      </c>
    </row>
    <row r="132" spans="1:6" ht="15" customHeight="1">
      <c r="A132" s="504" t="s">
        <v>27</v>
      </c>
      <c r="B132" s="718">
        <v>13584.1</v>
      </c>
      <c r="C132" s="718">
        <v>-4084.8</v>
      </c>
      <c r="D132" s="718">
        <v>1435.11725828</v>
      </c>
      <c r="E132" s="718">
        <v>10823.582633259999</v>
      </c>
      <c r="F132" s="1691">
        <v>10732.614357859999</v>
      </c>
    </row>
    <row r="133" spans="1:6" ht="15" customHeight="1">
      <c r="A133" s="504" t="s">
        <v>28</v>
      </c>
      <c r="B133" s="718">
        <v>13742.5</v>
      </c>
      <c r="C133" s="718">
        <v>-4018</v>
      </c>
      <c r="D133" s="718">
        <v>1393.7650887600005</v>
      </c>
      <c r="E133" s="718">
        <v>10899.871209200001</v>
      </c>
      <c r="F133" s="1691">
        <v>10792.02597456</v>
      </c>
    </row>
    <row r="134" spans="1:6" ht="15" customHeight="1">
      <c r="A134" s="504" t="s">
        <v>29</v>
      </c>
      <c r="B134" s="718">
        <v>14152</v>
      </c>
      <c r="C134" s="718">
        <v>-3289.9</v>
      </c>
      <c r="D134" s="718">
        <v>1439.4479640800002</v>
      </c>
      <c r="E134" s="718">
        <v>11793.1</v>
      </c>
      <c r="F134" s="1691">
        <v>11642</v>
      </c>
    </row>
    <row r="135" spans="1:6" ht="12.75" customHeight="1">
      <c r="A135" s="504" t="s">
        <v>1660</v>
      </c>
      <c r="B135" s="718"/>
      <c r="C135" s="718"/>
      <c r="D135" s="718"/>
      <c r="E135" s="718"/>
      <c r="F135" s="1691"/>
    </row>
    <row r="136" spans="1:6" ht="15" customHeight="1">
      <c r="A136" s="504" t="s">
        <v>18</v>
      </c>
      <c r="B136" s="718">
        <v>14219.3</v>
      </c>
      <c r="C136" s="718">
        <v>-4260.95</v>
      </c>
      <c r="D136" s="718">
        <v>1408.2830303400006</v>
      </c>
      <c r="E136" s="718">
        <v>11142.6</v>
      </c>
      <c r="F136" s="1691">
        <v>11038.1</v>
      </c>
    </row>
    <row r="137" spans="1:6" ht="15" customHeight="1">
      <c r="A137" s="504" t="s">
        <v>19</v>
      </c>
      <c r="B137" s="718">
        <v>14444.8</v>
      </c>
      <c r="C137" s="718">
        <v>-4235.1000000000004</v>
      </c>
      <c r="D137" s="718">
        <v>1383.2</v>
      </c>
      <c r="E137" s="718">
        <v>11244.6</v>
      </c>
      <c r="F137" s="1691">
        <v>11136.5</v>
      </c>
    </row>
    <row r="138" spans="1:6" ht="15" customHeight="1">
      <c r="A138" s="504" t="s">
        <v>20</v>
      </c>
      <c r="B138" s="718">
        <v>14715.7</v>
      </c>
      <c r="C138" s="718">
        <v>-5229.1000000000004</v>
      </c>
      <c r="D138" s="718">
        <v>1334.6</v>
      </c>
      <c r="E138" s="718">
        <v>11205.6</v>
      </c>
      <c r="F138" s="1691">
        <v>11107.1</v>
      </c>
    </row>
    <row r="139" spans="1:6" ht="15" customHeight="1">
      <c r="A139" s="504" t="s">
        <v>21</v>
      </c>
      <c r="B139" s="718">
        <v>14871.1</v>
      </c>
      <c r="C139" s="718">
        <v>-5454.7</v>
      </c>
      <c r="D139" s="718">
        <v>1328.6</v>
      </c>
      <c r="E139" s="718">
        <v>11229.3</v>
      </c>
      <c r="F139" s="1691">
        <v>11105</v>
      </c>
    </row>
    <row r="140" spans="1:6" ht="15" customHeight="1">
      <c r="A140" s="504" t="s">
        <v>22</v>
      </c>
      <c r="B140" s="718">
        <v>15091.3</v>
      </c>
      <c r="C140" s="718">
        <v>-5494.8</v>
      </c>
      <c r="D140" s="718">
        <v>1392.4</v>
      </c>
      <c r="E140" s="718">
        <v>11366.4</v>
      </c>
      <c r="F140" s="1691">
        <v>11272.2</v>
      </c>
    </row>
    <row r="141" spans="1:6" ht="15" customHeight="1">
      <c r="A141" s="504" t="s">
        <v>23</v>
      </c>
      <c r="B141" s="718">
        <v>15163.2</v>
      </c>
      <c r="C141" s="718">
        <v>-5234.8</v>
      </c>
      <c r="D141" s="718">
        <v>1458.7</v>
      </c>
      <c r="E141" s="718">
        <v>11580.6</v>
      </c>
      <c r="F141" s="1691">
        <v>11485.2</v>
      </c>
    </row>
    <row r="142" spans="1:6" ht="15" customHeight="1">
      <c r="A142" s="504" t="s">
        <v>24</v>
      </c>
      <c r="B142" s="718">
        <v>15193.4</v>
      </c>
      <c r="C142" s="718">
        <v>-5038.2</v>
      </c>
      <c r="D142" s="718">
        <v>1471.5</v>
      </c>
      <c r="E142" s="718">
        <v>11858.1</v>
      </c>
      <c r="F142" s="1691">
        <v>11736.5</v>
      </c>
    </row>
    <row r="143" spans="1:6" ht="15" customHeight="1">
      <c r="A143" s="504" t="s">
        <v>25</v>
      </c>
      <c r="B143" s="718">
        <v>15190.9</v>
      </c>
      <c r="C143" s="718">
        <v>-4980</v>
      </c>
      <c r="D143" s="718">
        <v>1471.6</v>
      </c>
      <c r="E143" s="718">
        <v>11863.4</v>
      </c>
      <c r="F143" s="1691">
        <v>11743.6</v>
      </c>
    </row>
    <row r="144" spans="1:6" ht="15" customHeight="1">
      <c r="A144" s="504" t="s">
        <v>26</v>
      </c>
      <c r="B144" s="718">
        <v>15042.4</v>
      </c>
      <c r="C144" s="718">
        <v>-5232</v>
      </c>
      <c r="D144" s="718">
        <v>1482.8</v>
      </c>
      <c r="E144" s="718">
        <v>11646.2</v>
      </c>
      <c r="F144" s="1691">
        <v>11546.5</v>
      </c>
    </row>
    <row r="145" spans="1:6" ht="15" customHeight="1">
      <c r="A145" s="504" t="s">
        <v>27</v>
      </c>
      <c r="B145" s="718">
        <v>15033.6</v>
      </c>
      <c r="C145" s="718">
        <v>-5537</v>
      </c>
      <c r="D145" s="718">
        <v>1443.3</v>
      </c>
      <c r="E145" s="718">
        <v>11587.4</v>
      </c>
      <c r="F145" s="1691">
        <v>11478</v>
      </c>
    </row>
    <row r="146" spans="1:6" ht="15" customHeight="1">
      <c r="A146" s="504" t="s">
        <v>28</v>
      </c>
      <c r="B146" s="718">
        <v>14996.3</v>
      </c>
      <c r="C146" s="718">
        <v>-5393.1</v>
      </c>
      <c r="D146" s="718">
        <v>1504.3</v>
      </c>
      <c r="E146" s="718">
        <v>11601.1</v>
      </c>
      <c r="F146" s="1691">
        <v>11519.673289699998</v>
      </c>
    </row>
    <row r="147" spans="1:6" ht="15" customHeight="1">
      <c r="A147" s="504" t="s">
        <v>29</v>
      </c>
      <c r="B147" s="718">
        <v>13758.27</v>
      </c>
      <c r="C147" s="718">
        <v>-4192.5940071099994</v>
      </c>
      <c r="D147" s="718">
        <v>1482.3477654399999</v>
      </c>
      <c r="E147" s="718">
        <v>11866.942363640001</v>
      </c>
      <c r="F147" s="1691">
        <v>11541.85058185</v>
      </c>
    </row>
    <row r="148" spans="1:6" ht="15" customHeight="1">
      <c r="A148" s="504" t="s">
        <v>1855</v>
      </c>
      <c r="B148" s="718"/>
      <c r="C148" s="718"/>
      <c r="D148" s="718"/>
      <c r="E148" s="718"/>
      <c r="F148" s="718"/>
    </row>
    <row r="149" spans="1:6" ht="15" customHeight="1">
      <c r="A149" s="504" t="s">
        <v>18</v>
      </c>
      <c r="B149" s="718">
        <v>12680.8</v>
      </c>
      <c r="C149" s="718">
        <v>-4975.7651899000002</v>
      </c>
      <c r="D149" s="718">
        <v>1697.27247375</v>
      </c>
      <c r="E149" s="718">
        <v>10760.302754689999</v>
      </c>
      <c r="F149" s="1691">
        <v>10550.98263348</v>
      </c>
    </row>
    <row r="150" spans="1:6" ht="15" customHeight="1">
      <c r="A150" s="504" t="s">
        <v>19</v>
      </c>
      <c r="B150" s="718">
        <v>11004.43</v>
      </c>
      <c r="C150" s="718">
        <v>-5798.7434746999998</v>
      </c>
      <c r="D150" s="718">
        <v>1909.1907807100006</v>
      </c>
      <c r="E150" s="718">
        <v>9736.0533009599985</v>
      </c>
      <c r="F150" s="1691">
        <v>9109.8742473199982</v>
      </c>
    </row>
    <row r="151" spans="1:6" ht="15" customHeight="1">
      <c r="A151" s="504" t="s">
        <v>20</v>
      </c>
      <c r="B151" s="718">
        <v>9472.1299999999992</v>
      </c>
      <c r="C151" s="718">
        <v>-4776.898226620001</v>
      </c>
      <c r="D151" s="718">
        <v>2089.4379742000001</v>
      </c>
      <c r="E151" s="718">
        <v>8919.1828803299995</v>
      </c>
      <c r="F151" s="1691">
        <v>8339.4258388500002</v>
      </c>
    </row>
    <row r="152" spans="1:6" ht="15" customHeight="1">
      <c r="A152" s="504" t="s">
        <v>21</v>
      </c>
      <c r="B152" s="718">
        <v>8387.92</v>
      </c>
      <c r="C152" s="718">
        <v>-4641.9943332100011</v>
      </c>
      <c r="D152" s="718">
        <v>2266.4213900399996</v>
      </c>
      <c r="E152" s="718">
        <v>7870.1980502399992</v>
      </c>
      <c r="F152" s="1691">
        <v>7418.6134919299993</v>
      </c>
    </row>
    <row r="153" spans="1:6" ht="15" customHeight="1">
      <c r="A153" s="504" t="s">
        <v>22</v>
      </c>
      <c r="B153" s="718">
        <v>8430.7800000000007</v>
      </c>
      <c r="C153" s="718">
        <v>-4480.6492558899999</v>
      </c>
      <c r="D153" s="718">
        <v>2244.4379572500002</v>
      </c>
      <c r="E153" s="718">
        <v>7983.6680595399994</v>
      </c>
      <c r="F153" s="1691">
        <v>7597.2826965399991</v>
      </c>
    </row>
    <row r="154" spans="1:6" ht="15" customHeight="1">
      <c r="A154" s="504" t="s">
        <v>23</v>
      </c>
      <c r="B154" s="718">
        <v>8520.15</v>
      </c>
      <c r="C154" s="718">
        <v>-4455.2760769400002</v>
      </c>
      <c r="D154" s="718">
        <v>2179.8588592499996</v>
      </c>
      <c r="E154" s="718">
        <v>7805.9569541199999</v>
      </c>
      <c r="F154" s="1691">
        <v>7487.0474245200003</v>
      </c>
    </row>
    <row r="155" spans="1:6" ht="15" customHeight="1">
      <c r="A155" s="504" t="s">
        <v>24</v>
      </c>
      <c r="B155" s="718">
        <v>8501.51</v>
      </c>
      <c r="C155" s="718">
        <v>-4604.2718522199993</v>
      </c>
      <c r="D155" s="718">
        <v>2394.4539659100005</v>
      </c>
      <c r="E155" s="718">
        <v>7793.4260408500004</v>
      </c>
      <c r="F155" s="1691">
        <v>7467.4627806899998</v>
      </c>
    </row>
    <row r="156" spans="1:6" ht="15" customHeight="1">
      <c r="A156" s="504" t="s">
        <v>25</v>
      </c>
      <c r="B156" s="718">
        <v>7315.44</v>
      </c>
      <c r="C156" s="718">
        <v>-5306.15157301</v>
      </c>
      <c r="D156" s="718">
        <v>2951.3969358500008</v>
      </c>
      <c r="E156" s="718">
        <v>6886.2807920499999</v>
      </c>
      <c r="F156" s="1691">
        <v>6352.0686349199996</v>
      </c>
    </row>
    <row r="157" spans="1:6" ht="15" customHeight="1">
      <c r="A157" s="504" t="s">
        <v>26</v>
      </c>
      <c r="B157" s="718">
        <v>7014.74</v>
      </c>
      <c r="C157" s="718">
        <v>-5382.2579440200007</v>
      </c>
      <c r="D157" s="718">
        <v>3859.6111284399999</v>
      </c>
      <c r="E157" s="718">
        <v>7434.2946894699999</v>
      </c>
      <c r="F157" s="1691">
        <v>7050.4451382899997</v>
      </c>
    </row>
    <row r="158" spans="1:6" ht="15" customHeight="1">
      <c r="A158" s="504" t="s">
        <v>27</v>
      </c>
      <c r="B158" s="718">
        <v>6834.56</v>
      </c>
      <c r="C158" s="718">
        <v>-6475.3689597400007</v>
      </c>
      <c r="D158" s="718">
        <v>4822.4878872599993</v>
      </c>
      <c r="E158" s="718">
        <v>7355.3705613900001</v>
      </c>
      <c r="F158" s="1691">
        <v>7055.8749215899998</v>
      </c>
    </row>
    <row r="159" spans="1:6" ht="14.25" customHeight="1">
      <c r="A159" s="504" t="s">
        <v>28</v>
      </c>
      <c r="B159" s="718">
        <v>6245.64</v>
      </c>
      <c r="C159" s="718">
        <v>-6242.9908215800006</v>
      </c>
      <c r="D159" s="718">
        <v>4901.3927343400001</v>
      </c>
      <c r="E159" s="718">
        <v>7002.2079040099998</v>
      </c>
      <c r="F159" s="1691">
        <v>6730.5800266299993</v>
      </c>
    </row>
    <row r="160" spans="1:6" ht="14.25" customHeight="1">
      <c r="A160" s="504" t="s">
        <v>29</v>
      </c>
      <c r="B160" s="718">
        <v>5016.6899999999996</v>
      </c>
      <c r="C160" s="718">
        <v>-5651.23827093</v>
      </c>
      <c r="D160" s="718">
        <v>5374.9700775599995</v>
      </c>
      <c r="E160" s="718">
        <v>7560.6734860699999</v>
      </c>
      <c r="F160" s="1691">
        <v>6901.8423380800004</v>
      </c>
    </row>
    <row r="161" spans="1:6" ht="14.25" customHeight="1">
      <c r="A161" s="504" t="s">
        <v>1879</v>
      </c>
      <c r="B161" s="718"/>
      <c r="C161" s="718"/>
      <c r="D161" s="718"/>
      <c r="E161" s="718"/>
      <c r="F161" s="1691"/>
    </row>
    <row r="162" spans="1:6" ht="14.25" customHeight="1">
      <c r="A162" s="504" t="s">
        <v>18</v>
      </c>
      <c r="B162" s="718">
        <v>4398.5200000000004</v>
      </c>
      <c r="C162" s="718">
        <v>-6542.7097631800007</v>
      </c>
      <c r="D162" s="718">
        <v>5880.5604253099991</v>
      </c>
      <c r="E162" s="718">
        <v>6681.8523943</v>
      </c>
      <c r="F162" s="1691">
        <v>5786.8521675800002</v>
      </c>
    </row>
    <row r="163" spans="1:6" ht="14.25" customHeight="1">
      <c r="A163" s="504" t="s">
        <v>19</v>
      </c>
      <c r="B163" s="718">
        <v>4026.25</v>
      </c>
      <c r="C163" s="718">
        <v>-6081.6141112800005</v>
      </c>
      <c r="D163" s="718">
        <v>6425.2714593865003</v>
      </c>
      <c r="E163" s="718">
        <v>7318.4052416199993</v>
      </c>
      <c r="F163" s="1691">
        <v>6388.5472950699987</v>
      </c>
    </row>
    <row r="164" spans="1:6" ht="14.25" customHeight="1">
      <c r="A164" s="504" t="s">
        <v>20</v>
      </c>
      <c r="B164" s="718">
        <v>4065.8</v>
      </c>
      <c r="C164" s="718">
        <v>-5899.3786624499999</v>
      </c>
      <c r="D164" s="718">
        <v>6422.8676134262623</v>
      </c>
      <c r="E164" s="718">
        <v>7401.9125061799996</v>
      </c>
      <c r="F164" s="1691">
        <v>6535.8084241099996</v>
      </c>
    </row>
    <row r="165" spans="1:6" ht="14.25" customHeight="1">
      <c r="A165" s="504" t="s">
        <v>21</v>
      </c>
      <c r="B165" s="718">
        <v>4120.63</v>
      </c>
      <c r="C165" s="718">
        <v>-5755.6470949300001</v>
      </c>
      <c r="D165" s="718">
        <v>6307.4261621799997</v>
      </c>
      <c r="E165" s="718">
        <v>7472.7052993199995</v>
      </c>
      <c r="F165" s="1691">
        <v>6726.0725825299996</v>
      </c>
    </row>
    <row r="166" spans="1:6" ht="14.25" customHeight="1">
      <c r="A166" s="504" t="s">
        <v>22</v>
      </c>
      <c r="B166" s="718">
        <v>4284.26</v>
      </c>
      <c r="C166" s="718">
        <v>-5758.9402841400015</v>
      </c>
      <c r="D166" s="718">
        <v>6945.6664337500006</v>
      </c>
      <c r="E166" s="718">
        <v>8343.5829335300004</v>
      </c>
      <c r="F166" s="1691">
        <v>7641.6268355399998</v>
      </c>
    </row>
    <row r="167" spans="1:6" ht="14.25" customHeight="1">
      <c r="A167" s="504" t="s">
        <v>23</v>
      </c>
      <c r="B167" s="718">
        <v>4283.9399999999996</v>
      </c>
      <c r="C167" s="718">
        <v>-5933.6050098099995</v>
      </c>
      <c r="D167" s="718">
        <v>6919.0878051199988</v>
      </c>
      <c r="E167" s="718">
        <v>8337.9684701599999</v>
      </c>
      <c r="F167" s="1691">
        <v>7689.3512139399991</v>
      </c>
    </row>
    <row r="168" spans="1:6" ht="14.25" customHeight="1">
      <c r="A168" s="504" t="s">
        <v>24</v>
      </c>
      <c r="B168" s="718">
        <v>4162.88</v>
      </c>
      <c r="C168" s="718">
        <v>-6234.5640553000003</v>
      </c>
      <c r="D168" s="718">
        <v>7093.0593390200011</v>
      </c>
      <c r="E168" s="718">
        <v>8623.2592612000008</v>
      </c>
      <c r="F168" s="1691">
        <v>7638.1249938200008</v>
      </c>
    </row>
    <row r="169" spans="1:6" ht="14.25" customHeight="1">
      <c r="A169" s="504" t="s">
        <v>25</v>
      </c>
      <c r="B169" s="718">
        <v>4192.5200000000004</v>
      </c>
      <c r="C169" s="718">
        <v>-6637.9299187800007</v>
      </c>
      <c r="D169" s="718">
        <v>7254.0840388089628</v>
      </c>
      <c r="E169" s="718">
        <v>8477.8879030800017</v>
      </c>
      <c r="F169" s="1691">
        <v>7412.1772067400007</v>
      </c>
    </row>
    <row r="170" spans="1:6" ht="14.25" customHeight="1">
      <c r="A170" s="504" t="s">
        <v>26</v>
      </c>
      <c r="B170" s="718">
        <v>4132.67</v>
      </c>
      <c r="C170" s="718">
        <v>-7144.3582126400015</v>
      </c>
      <c r="D170" s="718">
        <v>7243.508882718962</v>
      </c>
      <c r="E170" s="718">
        <v>7985.9435525199997</v>
      </c>
      <c r="F170" s="1691">
        <v>6810.3119202299995</v>
      </c>
    </row>
    <row r="171" spans="1:6" ht="14.25" customHeight="1">
      <c r="A171" s="504" t="s">
        <v>27</v>
      </c>
      <c r="B171" s="718">
        <v>4005.48</v>
      </c>
      <c r="C171" s="718">
        <v>-6594.8051028899999</v>
      </c>
      <c r="D171" s="718">
        <v>7507.0025445089614</v>
      </c>
      <c r="E171" s="718">
        <v>8792.8452389400009</v>
      </c>
      <c r="F171" s="1691">
        <v>7448.9083649700005</v>
      </c>
    </row>
    <row r="172" spans="1:6" ht="14.25" customHeight="1">
      <c r="A172" s="504" t="s">
        <v>28</v>
      </c>
      <c r="B172" s="718">
        <v>4010.95</v>
      </c>
      <c r="C172" s="718">
        <v>-6094.4799778200004</v>
      </c>
      <c r="D172" s="718">
        <v>7322.2467782089643</v>
      </c>
      <c r="E172" s="718">
        <v>9055.768697380001</v>
      </c>
      <c r="F172" s="1691">
        <v>7702.215091080001</v>
      </c>
    </row>
    <row r="173" spans="1:6" ht="14.25" customHeight="1">
      <c r="A173" s="504" t="s">
        <v>29</v>
      </c>
      <c r="B173" s="718">
        <v>3974.37</v>
      </c>
      <c r="C173" s="718">
        <v>-3663.9285512200008</v>
      </c>
      <c r="D173" s="718">
        <v>7046.8426651189602</v>
      </c>
      <c r="E173" s="718">
        <v>9232.7881355600002</v>
      </c>
      <c r="F173" s="1691">
        <v>7860.4837056300003</v>
      </c>
    </row>
    <row r="174" spans="1:6" ht="14.25" customHeight="1">
      <c r="A174" s="504" t="s">
        <v>1942</v>
      </c>
      <c r="B174" s="718"/>
      <c r="C174" s="718"/>
      <c r="D174" s="718"/>
      <c r="E174" s="718"/>
      <c r="F174" s="1691"/>
    </row>
    <row r="175" spans="1:6" ht="14.25" customHeight="1">
      <c r="A175" s="504" t="s">
        <v>18</v>
      </c>
      <c r="B175" s="718">
        <v>4327.17</v>
      </c>
      <c r="C175" s="718">
        <v>-3437.0982505699994</v>
      </c>
      <c r="D175" s="718">
        <v>6833.2550431589616</v>
      </c>
      <c r="E175" s="718">
        <v>8731.8619273800032</v>
      </c>
      <c r="F175" s="1691">
        <v>7331.6690958400013</v>
      </c>
    </row>
    <row r="176" spans="1:6" ht="14.25" customHeight="1">
      <c r="A176" s="504" t="s">
        <v>19</v>
      </c>
      <c r="B176" s="718">
        <v>4369.28</v>
      </c>
      <c r="C176" s="718">
        <v>-2505.4754732099996</v>
      </c>
      <c r="D176" s="718">
        <v>6383.9072480789619</v>
      </c>
      <c r="E176" s="718">
        <v>8336.4134713400017</v>
      </c>
      <c r="F176" s="1691">
        <v>6986.960843580001</v>
      </c>
    </row>
    <row r="177" spans="1:6" ht="14.25" customHeight="1">
      <c r="A177" s="504" t="s">
        <v>20</v>
      </c>
      <c r="B177" s="718">
        <v>4432.72</v>
      </c>
      <c r="C177" s="718">
        <v>-2044.7378705600001</v>
      </c>
      <c r="D177" s="718">
        <v>6571.4732768389586</v>
      </c>
      <c r="E177" s="718">
        <v>9557.3477016000015</v>
      </c>
      <c r="F177" s="1691">
        <v>7277.5359397400016</v>
      </c>
    </row>
    <row r="178" spans="1:6" ht="14.25" customHeight="1">
      <c r="A178" s="504" t="s">
        <v>21</v>
      </c>
      <c r="B178" s="718">
        <v>4619.3</v>
      </c>
      <c r="C178" s="718">
        <v>-1581.3920804700003</v>
      </c>
      <c r="D178" s="718">
        <v>6586.1940043789618</v>
      </c>
      <c r="E178" s="718">
        <v>10363.75818338</v>
      </c>
      <c r="F178" s="1691">
        <v>7628.1178079899992</v>
      </c>
    </row>
    <row r="179" spans="1:6" ht="14.25" customHeight="1">
      <c r="A179" s="504" t="s">
        <v>22</v>
      </c>
      <c r="B179" s="718">
        <v>4825.4189999999999</v>
      </c>
      <c r="C179" s="718">
        <v>-1598.5441601999999</v>
      </c>
      <c r="D179" s="718">
        <v>6450.5691342889595</v>
      </c>
      <c r="E179" s="718">
        <v>10088.03619836</v>
      </c>
      <c r="F179" s="1691">
        <v>7788.6733876100006</v>
      </c>
    </row>
    <row r="180" spans="1:6" ht="14.25" customHeight="1">
      <c r="A180" s="504" t="s">
        <v>23</v>
      </c>
      <c r="B180" s="718">
        <v>4964.0600907293865</v>
      </c>
      <c r="C180" s="718">
        <v>-1555.1911793099998</v>
      </c>
      <c r="D180" s="718">
        <v>6847.8876676189611</v>
      </c>
      <c r="E180" s="718">
        <v>10525.852064319999</v>
      </c>
      <c r="F180" s="1691">
        <v>8274.47549703</v>
      </c>
    </row>
    <row r="181" spans="1:6" ht="14.25" customHeight="1">
      <c r="A181" s="504" t="s">
        <v>24</v>
      </c>
      <c r="B181" s="718">
        <v>5033.0514360755251</v>
      </c>
      <c r="C181" s="718">
        <v>-2074.9427606499999</v>
      </c>
      <c r="D181" s="718">
        <v>7117.3713263589616</v>
      </c>
      <c r="E181" s="718">
        <v>10718.18429874</v>
      </c>
      <c r="F181" s="1691">
        <v>8332.8540120800008</v>
      </c>
    </row>
    <row r="182" spans="1:6" ht="14.25" customHeight="1">
      <c r="A182" s="504" t="s">
        <v>25</v>
      </c>
      <c r="B182" s="718">
        <v>5101.2079581848066</v>
      </c>
      <c r="C182" s="718">
        <v>-1800.7639583999999</v>
      </c>
      <c r="D182" s="718">
        <v>7012.4600890289603</v>
      </c>
      <c r="E182" s="718">
        <v>10660.60308101</v>
      </c>
      <c r="F182" s="1691">
        <v>8468.4398282700004</v>
      </c>
    </row>
    <row r="183" spans="1:6" ht="14.25" customHeight="1">
      <c r="A183" s="504" t="s">
        <v>26</v>
      </c>
      <c r="B183" s="718">
        <v>5167.459476965988</v>
      </c>
      <c r="C183" s="718">
        <v>-1640.1744250300001</v>
      </c>
      <c r="D183" s="718">
        <v>7036.8140077689604</v>
      </c>
      <c r="E183" s="718">
        <v>10032.272046389999</v>
      </c>
      <c r="F183" s="1691">
        <v>8671.2016743799995</v>
      </c>
    </row>
    <row r="184" spans="1:6" ht="14.25" customHeight="1">
      <c r="A184" s="504" t="s">
        <v>27</v>
      </c>
      <c r="B184" s="718">
        <v>5200.6554885443002</v>
      </c>
      <c r="C184" s="718">
        <v>-4161.7151650600008</v>
      </c>
      <c r="D184" s="718">
        <v>6985.8785573389614</v>
      </c>
      <c r="E184" s="718">
        <v>9829.0430620700008</v>
      </c>
      <c r="F184" s="1691">
        <v>8531.6469131100021</v>
      </c>
    </row>
    <row r="185" spans="1:6" ht="14.25" customHeight="1">
      <c r="A185" s="504" t="s">
        <v>28</v>
      </c>
      <c r="B185" s="718">
        <v>5254.2423316823606</v>
      </c>
      <c r="C185" s="718">
        <v>-2991.2841644499995</v>
      </c>
      <c r="D185" s="718">
        <v>6549.0005966299996</v>
      </c>
      <c r="E185" s="718">
        <v>10001.93815468</v>
      </c>
      <c r="F185" s="1691">
        <v>8686.8413463500001</v>
      </c>
    </row>
    <row r="186" spans="1:6" ht="14.25" customHeight="1">
      <c r="A186" s="504" t="s">
        <v>29</v>
      </c>
      <c r="B186" s="718">
        <v>5334.5998997171873</v>
      </c>
      <c r="C186" s="718">
        <v>-1480.0310585399998</v>
      </c>
      <c r="D186" s="718">
        <v>5718.4878603800007</v>
      </c>
      <c r="E186" s="718">
        <v>9872.6132871700011</v>
      </c>
      <c r="F186" s="1691">
        <v>8543.2044720300019</v>
      </c>
    </row>
    <row r="187" spans="1:6" ht="14.25" customHeight="1">
      <c r="A187" s="504" t="s">
        <v>2078</v>
      </c>
      <c r="B187" s="521"/>
      <c r="C187" s="521"/>
      <c r="D187" s="521"/>
      <c r="E187" s="521"/>
      <c r="F187" s="1690"/>
    </row>
    <row r="188" spans="1:6" ht="14.25" customHeight="1">
      <c r="A188" s="504" t="s">
        <v>18</v>
      </c>
      <c r="B188" s="718">
        <v>5381.2068722227705</v>
      </c>
      <c r="C188" s="718">
        <v>-2012.5200456499999</v>
      </c>
      <c r="D188" s="718">
        <v>6262.2027275399996</v>
      </c>
      <c r="E188" s="718">
        <v>9829.3884574200001</v>
      </c>
      <c r="F188" s="1691">
        <v>8761.5609664799995</v>
      </c>
    </row>
    <row r="189" spans="1:6" ht="14.25" customHeight="1">
      <c r="A189" s="504" t="s">
        <v>19</v>
      </c>
      <c r="B189" s="718">
        <v>5387.3180298026346</v>
      </c>
      <c r="C189" s="718">
        <v>-1360.9036155200001</v>
      </c>
      <c r="D189" s="718">
        <v>6344.72667052</v>
      </c>
      <c r="E189" s="718">
        <v>10248.502778329999</v>
      </c>
      <c r="F189" s="1691">
        <v>9180.5560188300005</v>
      </c>
    </row>
    <row r="190" spans="1:6" ht="14.25" customHeight="1">
      <c r="A190" s="504" t="s">
        <v>20</v>
      </c>
      <c r="B190" s="718">
        <v>5507.9970343947225</v>
      </c>
      <c r="C190" s="718">
        <v>-1316.6213811299999</v>
      </c>
      <c r="D190" s="718">
        <v>6391.8596595100016</v>
      </c>
      <c r="E190" s="718">
        <v>10782.977859649998</v>
      </c>
      <c r="F190" s="1691">
        <v>9471.0484987299988</v>
      </c>
    </row>
    <row r="191" spans="1:6" ht="14.25" customHeight="1">
      <c r="A191" s="504" t="s">
        <v>21</v>
      </c>
      <c r="B191" s="718">
        <v>5465.7915155104338</v>
      </c>
      <c r="C191" s="718">
        <v>-2197.5238495500003</v>
      </c>
      <c r="D191" s="718">
        <v>6093.8135672800017</v>
      </c>
      <c r="E191" s="718">
        <v>9684.2921908099997</v>
      </c>
      <c r="F191" s="1691">
        <v>8412.9733237500004</v>
      </c>
    </row>
    <row r="192" spans="1:6" ht="14.25" customHeight="1">
      <c r="A192" s="504" t="s">
        <v>22</v>
      </c>
      <c r="B192" s="718">
        <v>5471.3750945429711</v>
      </c>
      <c r="C192" s="718">
        <v>-2183.3685772199997</v>
      </c>
      <c r="D192" s="718">
        <v>6014.0223240800024</v>
      </c>
      <c r="E192" s="718">
        <v>9731.5376101399997</v>
      </c>
      <c r="F192" s="1691">
        <v>8404.4068456700006</v>
      </c>
    </row>
    <row r="193" spans="1:6" ht="14.25" customHeight="1">
      <c r="A193" s="504" t="s">
        <v>23</v>
      </c>
      <c r="B193" s="718">
        <v>5512.6635748421659</v>
      </c>
      <c r="C193" s="718">
        <v>-1924.3872799899998</v>
      </c>
      <c r="D193" s="718">
        <v>6005.9190182399998</v>
      </c>
      <c r="E193" s="718">
        <v>9674.4502738600004</v>
      </c>
      <c r="F193" s="1691">
        <v>8588.03503705</v>
      </c>
    </row>
    <row r="194" spans="1:6" ht="14.25" customHeight="1">
      <c r="A194" s="504" t="s">
        <v>24</v>
      </c>
      <c r="B194" s="718">
        <v>5546.9300035058022</v>
      </c>
      <c r="C194" s="718">
        <v>-1881.63452504</v>
      </c>
      <c r="D194" s="718">
        <v>6050.7393597700002</v>
      </c>
      <c r="E194" s="718">
        <v>10079.05528153</v>
      </c>
      <c r="F194" s="1691">
        <v>8888.8569364699997</v>
      </c>
    </row>
    <row r="195" spans="1:6" ht="14.25" customHeight="1">
      <c r="A195" s="504" t="s">
        <v>25</v>
      </c>
      <c r="B195" s="718">
        <v>5503.4769034956043</v>
      </c>
      <c r="C195" s="718">
        <v>-2368.8353860500001</v>
      </c>
      <c r="D195" s="718">
        <v>6036.3878105900003</v>
      </c>
      <c r="E195" s="718">
        <v>9329.3632530899995</v>
      </c>
      <c r="F195" s="1691">
        <v>8318.2212724799992</v>
      </c>
    </row>
    <row r="196" spans="1:6" ht="14.25" customHeight="1">
      <c r="A196" s="504" t="s">
        <v>26</v>
      </c>
      <c r="B196" s="718">
        <v>5534.5485068348689</v>
      </c>
      <c r="C196" s="718">
        <v>-1722.0524434199997</v>
      </c>
      <c r="D196" s="718">
        <v>5977.5587336900007</v>
      </c>
      <c r="E196" s="718">
        <v>9754.0301530100005</v>
      </c>
      <c r="F196" s="1691">
        <v>8871.45735565</v>
      </c>
    </row>
    <row r="197" spans="1:6" ht="14.25" customHeight="1">
      <c r="A197" s="504" t="s">
        <v>27</v>
      </c>
      <c r="B197" s="718">
        <v>5536.3774238938713</v>
      </c>
      <c r="C197" s="718">
        <v>-1662.5644128700001</v>
      </c>
      <c r="D197" s="718">
        <v>5970.1748995100006</v>
      </c>
      <c r="E197" s="718">
        <v>10059.50504419</v>
      </c>
      <c r="F197" s="1691">
        <v>9153.3159421199998</v>
      </c>
    </row>
    <row r="198" spans="1:6" ht="14.25" customHeight="1">
      <c r="A198" s="504" t="s">
        <v>28</v>
      </c>
      <c r="B198" s="718">
        <v>5590.9317330487975</v>
      </c>
      <c r="C198" s="718">
        <v>-1885.50014397</v>
      </c>
      <c r="D198" s="718">
        <v>6063.2200216800002</v>
      </c>
      <c r="E198" s="718">
        <v>9716.6719579600012</v>
      </c>
      <c r="F198" s="1691">
        <v>8985.1594870900008</v>
      </c>
    </row>
    <row r="199" spans="1:6" ht="14.25" customHeight="1">
      <c r="A199" s="504" t="s">
        <v>29</v>
      </c>
      <c r="B199" s="718">
        <v>5625.7434993212628</v>
      </c>
      <c r="C199" s="718">
        <v>-1579.6651132099998</v>
      </c>
      <c r="D199" s="718">
        <v>6245.507101279999</v>
      </c>
      <c r="E199" s="718">
        <v>10643.679051069999</v>
      </c>
      <c r="F199" s="1691">
        <v>9545.7262990999989</v>
      </c>
    </row>
    <row r="200" spans="1:6" ht="14.25" customHeight="1">
      <c r="A200" s="504" t="s">
        <v>2171</v>
      </c>
      <c r="B200" s="718"/>
      <c r="C200" s="718"/>
      <c r="D200" s="718"/>
      <c r="E200" s="718"/>
      <c r="F200" s="1691"/>
    </row>
    <row r="201" spans="1:6" ht="14.25" customHeight="1">
      <c r="A201" s="504" t="s">
        <v>18</v>
      </c>
      <c r="B201" s="718">
        <v>5655.9450825125223</v>
      </c>
      <c r="C201" s="718">
        <v>-2632.0862208100002</v>
      </c>
      <c r="D201" s="718">
        <v>6137.0319445300011</v>
      </c>
      <c r="E201" s="718">
        <v>9356.9150563700023</v>
      </c>
      <c r="F201" s="1691">
        <v>8709.2276391800006</v>
      </c>
    </row>
    <row r="202" spans="1:6" ht="14.25" customHeight="1">
      <c r="A202" s="504" t="s">
        <v>19</v>
      </c>
      <c r="B202" s="718">
        <v>5761.9179299361012</v>
      </c>
      <c r="C202" s="718">
        <v>-2390.5609332600002</v>
      </c>
      <c r="D202" s="718">
        <v>6134.8454063600002</v>
      </c>
      <c r="E202" s="718">
        <v>9776.3184573999988</v>
      </c>
      <c r="F202" s="1691">
        <v>9014.1419027799984</v>
      </c>
    </row>
    <row r="203" spans="1:6" ht="14.25" customHeight="1">
      <c r="A203" s="504" t="s">
        <v>20</v>
      </c>
      <c r="B203" s="718">
        <v>5778.5601883884683</v>
      </c>
      <c r="C203" s="718">
        <v>-2387.2078326400001</v>
      </c>
      <c r="D203" s="718">
        <v>6196.2807710200013</v>
      </c>
      <c r="E203" s="718">
        <v>9734.8745247399984</v>
      </c>
      <c r="F203" s="1691">
        <v>8946.2544290799979</v>
      </c>
    </row>
    <row r="204" spans="1:6" ht="14.25" customHeight="1">
      <c r="A204" s="504" t="s">
        <v>21</v>
      </c>
      <c r="B204" s="718">
        <v>5788.957906991237</v>
      </c>
      <c r="C204" s="718">
        <v>-2348.1688947300008</v>
      </c>
      <c r="D204" s="718">
        <v>6469.1268623900014</v>
      </c>
      <c r="E204" s="718">
        <v>10012.380729480003</v>
      </c>
      <c r="F204" s="1691">
        <v>9495.0742352800025</v>
      </c>
    </row>
    <row r="205" spans="1:6" ht="14.25" customHeight="1">
      <c r="A205" s="504" t="s">
        <v>22</v>
      </c>
      <c r="B205" s="718">
        <v>5870.9274834049766</v>
      </c>
      <c r="C205" s="718">
        <v>-1898.7200413600003</v>
      </c>
      <c r="D205" s="718">
        <v>6649.7448511300008</v>
      </c>
      <c r="E205" s="718">
        <v>11095.957607389997</v>
      </c>
      <c r="F205" s="1691">
        <v>10172.390385009998</v>
      </c>
    </row>
    <row r="206" spans="1:6" ht="14.25" customHeight="1">
      <c r="A206" s="504" t="s">
        <v>23</v>
      </c>
      <c r="B206" s="718">
        <v>5939.4335888851701</v>
      </c>
      <c r="C206" s="718">
        <v>-3722.7660032799999</v>
      </c>
      <c r="D206" s="718">
        <v>6757.2977631899994</v>
      </c>
      <c r="E206" s="718">
        <v>11255.612272279999</v>
      </c>
      <c r="F206" s="1691">
        <v>10376.906186889999</v>
      </c>
    </row>
    <row r="207" spans="1:6" ht="14.25" customHeight="1">
      <c r="A207" s="504" t="s">
        <v>24</v>
      </c>
      <c r="B207" s="718">
        <v>5962.8047662763875</v>
      </c>
      <c r="C207" s="718">
        <v>-3521.7220473499997</v>
      </c>
      <c r="D207" s="718">
        <v>6658.029172110002</v>
      </c>
      <c r="E207" s="718">
        <v>11668.047325330002</v>
      </c>
      <c r="F207" s="1691">
        <v>10574.283058750001</v>
      </c>
    </row>
    <row r="208" spans="1:6" ht="15" customHeight="1">
      <c r="A208" s="504" t="s">
        <v>25</v>
      </c>
      <c r="B208" s="718">
        <v>6004.2869922898417</v>
      </c>
      <c r="C208" s="718">
        <v>-3998.8050769400006</v>
      </c>
      <c r="D208" s="718">
        <v>6669.6903233800003</v>
      </c>
      <c r="E208" s="718">
        <v>11416.972533090004</v>
      </c>
      <c r="F208" s="1691">
        <v>10157.646670730002</v>
      </c>
    </row>
    <row r="209" spans="1:6" ht="15" customHeight="1">
      <c r="A209" s="504" t="s">
        <v>26</v>
      </c>
      <c r="B209" s="718">
        <v>6034.1087713265779</v>
      </c>
      <c r="C209" s="718">
        <v>-3922.0600097400002</v>
      </c>
      <c r="D209" s="718">
        <v>6671.2393342900004</v>
      </c>
      <c r="E209" s="718">
        <v>11498.2638658</v>
      </c>
      <c r="F209" s="1691">
        <v>10217.26660046</v>
      </c>
    </row>
    <row r="210" spans="1:6" ht="15" customHeight="1">
      <c r="A210" s="504" t="s">
        <v>27</v>
      </c>
      <c r="B210" s="718">
        <v>6144.6723368055236</v>
      </c>
      <c r="C210" s="718">
        <v>-4549.3311883899987</v>
      </c>
      <c r="D210" s="718">
        <v>6689.6457160400005</v>
      </c>
      <c r="E210" s="718">
        <v>11427.484053389999</v>
      </c>
      <c r="F210" s="1691">
        <v>10298.833747049997</v>
      </c>
    </row>
    <row r="211" spans="1:6" ht="15" customHeight="1">
      <c r="A211" s="504" t="s">
        <v>28</v>
      </c>
      <c r="B211" s="718">
        <v>6183.1162897687436</v>
      </c>
      <c r="C211" s="718">
        <v>-4203.8082333100001</v>
      </c>
      <c r="D211" s="718">
        <v>6835.4547701200008</v>
      </c>
      <c r="E211" s="718">
        <v>11622.7870291</v>
      </c>
      <c r="F211" s="1691">
        <v>10674.527353169999</v>
      </c>
    </row>
    <row r="212" spans="1:6" ht="15" customHeight="1">
      <c r="A212" s="504" t="s">
        <v>29</v>
      </c>
      <c r="B212" s="718">
        <v>6258.0206035702868</v>
      </c>
      <c r="C212" s="718">
        <v>-2708.6279168599999</v>
      </c>
      <c r="D212" s="718">
        <v>7063.5436390000013</v>
      </c>
      <c r="E212" s="718">
        <v>13125.27651143</v>
      </c>
      <c r="F212" s="1691">
        <v>12152.50801965</v>
      </c>
    </row>
    <row r="213" spans="1:6" ht="15" customHeight="1">
      <c r="A213" s="504" t="s">
        <v>2407</v>
      </c>
      <c r="B213" s="718"/>
      <c r="C213" s="718"/>
      <c r="D213" s="718"/>
      <c r="E213" s="718"/>
      <c r="F213" s="1691"/>
    </row>
    <row r="214" spans="1:6" ht="15" customHeight="1">
      <c r="A214" s="504" t="s">
        <v>18</v>
      </c>
      <c r="B214" s="718">
        <v>6340.7729967071782</v>
      </c>
      <c r="C214" s="718">
        <v>-3287.0138509499993</v>
      </c>
      <c r="D214" s="718">
        <v>6709.1017183400018</v>
      </c>
      <c r="E214" s="718">
        <v>12602.824915190002</v>
      </c>
      <c r="F214" s="1691">
        <v>11543.405625900001</v>
      </c>
    </row>
    <row r="215" spans="1:6" ht="15" customHeight="1">
      <c r="A215" s="504" t="s">
        <v>19</v>
      </c>
      <c r="B215" s="718">
        <v>6400.8807681514218</v>
      </c>
      <c r="C215" s="718">
        <v>-3162.4534499199999</v>
      </c>
      <c r="D215" s="718">
        <v>6782.756077510001</v>
      </c>
      <c r="E215" s="718">
        <v>13348.45337465</v>
      </c>
      <c r="F215" s="1691">
        <v>12112.34670455</v>
      </c>
    </row>
    <row r="216" spans="1:6" ht="15" customHeight="1">
      <c r="A216" s="504" t="s">
        <v>20</v>
      </c>
      <c r="B216" s="718">
        <v>6393.8471483803569</v>
      </c>
      <c r="C216" s="718">
        <v>-5419.3984246500004</v>
      </c>
      <c r="D216" s="718">
        <v>7233.0431053200009</v>
      </c>
      <c r="E216" s="718">
        <v>11360.740389489998</v>
      </c>
      <c r="F216" s="1691">
        <v>10066.898366729998</v>
      </c>
    </row>
    <row r="217" spans="1:6" ht="15" customHeight="1">
      <c r="A217" s="504" t="s">
        <v>21</v>
      </c>
      <c r="B217" s="718">
        <v>6401.7439822555543</v>
      </c>
      <c r="C217" s="718">
        <v>-5590.8061241599999</v>
      </c>
      <c r="D217" s="718">
        <v>7135.3754791000001</v>
      </c>
      <c r="E217" s="718">
        <v>11773.892088780001</v>
      </c>
      <c r="F217" s="1691">
        <v>10065.709438690001</v>
      </c>
    </row>
    <row r="218" spans="1:6" ht="15" customHeight="1">
      <c r="A218" s="504" t="s">
        <v>22</v>
      </c>
      <c r="B218" s="718">
        <v>6414.3893862143032</v>
      </c>
      <c r="C218" s="718">
        <v>-5110.02644384</v>
      </c>
      <c r="D218" s="718">
        <v>7578.2025643600009</v>
      </c>
      <c r="E218" s="718">
        <v>12480.829736399999</v>
      </c>
      <c r="F218" s="1691">
        <v>10921.206972239999</v>
      </c>
    </row>
    <row r="219" spans="1:6" ht="15" customHeight="1">
      <c r="A219" s="504" t="s">
        <v>23</v>
      </c>
      <c r="B219" s="718">
        <v>6436.3122981789302</v>
      </c>
      <c r="C219" s="718">
        <v>-4235.5488188700001</v>
      </c>
      <c r="D219" s="718">
        <v>7380.5318115800001</v>
      </c>
      <c r="E219" s="718">
        <v>12754.724676150001</v>
      </c>
      <c r="F219" s="1691">
        <v>11251.77431065</v>
      </c>
    </row>
    <row r="220" spans="1:6" ht="15" customHeight="1">
      <c r="A220" s="504" t="s">
        <v>24</v>
      </c>
      <c r="B220" s="718">
        <v>6468.6836759924481</v>
      </c>
      <c r="C220" s="718">
        <v>-3904.2695486899993</v>
      </c>
      <c r="D220" s="718">
        <v>7335.5055478800004</v>
      </c>
      <c r="E220" s="718">
        <v>12771.147726130002</v>
      </c>
      <c r="F220" s="1691">
        <v>11676.935499960002</v>
      </c>
    </row>
    <row r="221" spans="1:6" ht="15" customHeight="1">
      <c r="A221" s="504" t="s">
        <v>25</v>
      </c>
      <c r="B221" s="718">
        <v>6483.8689124108132</v>
      </c>
      <c r="C221" s="718">
        <v>-3471.8620452799996</v>
      </c>
      <c r="D221" s="718">
        <v>7273.2242030200014</v>
      </c>
      <c r="E221" s="718">
        <v>13012.733262090003</v>
      </c>
      <c r="F221" s="1691">
        <v>11907.489257140003</v>
      </c>
    </row>
    <row r="222" spans="1:6" ht="15" customHeight="1">
      <c r="A222" s="504" t="s">
        <v>26</v>
      </c>
      <c r="B222" s="718">
        <v>6491.3905920541256</v>
      </c>
      <c r="C222" s="718">
        <v>-2979.2559676599999</v>
      </c>
      <c r="D222" s="718">
        <v>7201.7986901900003</v>
      </c>
      <c r="E222" s="718">
        <v>13233.603302260002</v>
      </c>
      <c r="F222" s="1691">
        <v>12230.095657750002</v>
      </c>
    </row>
    <row r="223" spans="1:6" ht="15" customHeight="1">
      <c r="A223" s="504" t="s">
        <v>27</v>
      </c>
      <c r="B223" s="718">
        <v>6467.7717844155541</v>
      </c>
      <c r="C223" s="718">
        <v>-3995.3252026900004</v>
      </c>
      <c r="D223" s="718">
        <v>7055.5868399400006</v>
      </c>
      <c r="E223" s="718">
        <v>13477.575708620003</v>
      </c>
      <c r="F223" s="718">
        <v>12103.611000920002</v>
      </c>
    </row>
    <row r="224" spans="1:6" ht="15" customHeight="1">
      <c r="A224" s="504" t="s">
        <v>28</v>
      </c>
      <c r="B224" s="718">
        <v>6411.455882902359</v>
      </c>
      <c r="C224" s="718">
        <v>-5778.4019707999987</v>
      </c>
      <c r="D224" s="718">
        <v>7069.2307145700006</v>
      </c>
      <c r="E224" s="718">
        <v>13241.241082749999</v>
      </c>
      <c r="F224" s="718">
        <v>11803.62807689</v>
      </c>
    </row>
    <row r="225" spans="1:6" ht="15" customHeight="1">
      <c r="A225" s="504" t="s">
        <v>29</v>
      </c>
      <c r="B225" s="718">
        <v>6369.4441464616193</v>
      </c>
      <c r="C225" s="718">
        <v>-4624.8777174899997</v>
      </c>
      <c r="D225" s="718">
        <v>7247.4852294600005</v>
      </c>
      <c r="E225" s="718">
        <v>15052.883723020001</v>
      </c>
      <c r="F225" s="718">
        <v>13564.16827113</v>
      </c>
    </row>
    <row r="226" spans="1:6" ht="15" customHeight="1">
      <c r="A226" s="504" t="s">
        <v>2583</v>
      </c>
      <c r="B226" s="718"/>
      <c r="C226" s="718"/>
      <c r="D226" s="718"/>
      <c r="E226" s="718"/>
      <c r="F226" s="718"/>
    </row>
    <row r="227" spans="1:6" ht="15" customHeight="1">
      <c r="A227" s="504" t="s">
        <v>18</v>
      </c>
      <c r="B227" s="718">
        <v>6365.2239446115764</v>
      </c>
      <c r="C227" s="718">
        <v>-5686.6431226799996</v>
      </c>
      <c r="D227" s="718">
        <v>7176.0321009200015</v>
      </c>
      <c r="E227" s="718">
        <v>14109.267730200003</v>
      </c>
      <c r="F227" s="718">
        <v>12782.042175830002</v>
      </c>
    </row>
    <row r="228" spans="1:6" ht="15" customHeight="1">
      <c r="A228" s="504" t="s">
        <v>19</v>
      </c>
      <c r="B228" s="718">
        <v>6367.6196156170399</v>
      </c>
      <c r="C228" s="718">
        <v>-5365.1246469100006</v>
      </c>
      <c r="D228" s="718">
        <v>7160.0462225800002</v>
      </c>
      <c r="E228" s="718">
        <v>14148.474008169998</v>
      </c>
      <c r="F228" s="1691">
        <v>12862.995351079999</v>
      </c>
    </row>
    <row r="229" spans="1:6" ht="15" customHeight="1">
      <c r="A229" s="504" t="s">
        <v>20</v>
      </c>
      <c r="B229" s="718">
        <v>6356.2219111099384</v>
      </c>
      <c r="C229" s="718">
        <v>-5063.72947346</v>
      </c>
      <c r="D229" s="718">
        <v>7344.3984332100017</v>
      </c>
      <c r="E229" s="718">
        <v>14820.991516580003</v>
      </c>
      <c r="F229" s="1691">
        <v>13314.967326430002</v>
      </c>
    </row>
    <row r="230" spans="1:6" ht="15" customHeight="1">
      <c r="A230" s="504" t="s">
        <v>21</v>
      </c>
      <c r="B230" s="718">
        <v>6367.61768075076</v>
      </c>
      <c r="C230" s="718">
        <v>-5161.56357862</v>
      </c>
      <c r="D230" s="718">
        <v>7476.923160639999</v>
      </c>
      <c r="E230" s="718">
        <v>14692.819125990001</v>
      </c>
      <c r="F230" s="1691">
        <v>13281.584169410002</v>
      </c>
    </row>
    <row r="231" spans="1:6" ht="15" customHeight="1">
      <c r="A231" s="504" t="s">
        <v>22</v>
      </c>
      <c r="B231" s="718">
        <v>6460.3514766113285</v>
      </c>
      <c r="C231" s="718">
        <v>-4916.160488030001</v>
      </c>
      <c r="D231" s="718">
        <v>7617.4630409200017</v>
      </c>
      <c r="E231" s="718">
        <v>15189.946663819999</v>
      </c>
      <c r="F231" s="1691">
        <v>13856.76540126</v>
      </c>
    </row>
    <row r="232" spans="1:6" ht="15" customHeight="1">
      <c r="A232" s="504" t="s">
        <v>23</v>
      </c>
      <c r="B232" s="718">
        <v>6455.2589645242306</v>
      </c>
      <c r="C232" s="718">
        <v>-4488.5164425100002</v>
      </c>
      <c r="D232" s="718">
        <v>7707.6243373399993</v>
      </c>
      <c r="E232" s="718">
        <v>15181.921383729999</v>
      </c>
      <c r="F232" s="1691">
        <v>13802.977317270001</v>
      </c>
    </row>
    <row r="233" spans="1:6" ht="15" customHeight="1">
      <c r="A233" s="504" t="s">
        <v>24</v>
      </c>
      <c r="B233" s="718">
        <v>6496.5122216975496</v>
      </c>
      <c r="C233" s="718">
        <v>-4763.9436396600004</v>
      </c>
      <c r="D233" s="718">
        <v>7985.5146329300005</v>
      </c>
      <c r="E233" s="718">
        <v>15643.82057193</v>
      </c>
      <c r="F233" s="1691">
        <v>14213.38429102</v>
      </c>
    </row>
    <row r="234" spans="1:6" ht="15" customHeight="1">
      <c r="A234" s="504" t="s">
        <v>25</v>
      </c>
      <c r="B234" s="718">
        <v>7042.5534806167352</v>
      </c>
      <c r="C234" s="718">
        <v>-4671.2393571499997</v>
      </c>
      <c r="D234" s="718">
        <v>7973.3876551199992</v>
      </c>
      <c r="E234" s="718">
        <v>15460.227133350001</v>
      </c>
      <c r="F234" s="1691">
        <v>14172.33178405</v>
      </c>
    </row>
    <row r="235" spans="1:6" ht="15" customHeight="1">
      <c r="A235" s="504" t="s">
        <v>26</v>
      </c>
      <c r="B235" s="718">
        <v>7033.8460781342592</v>
      </c>
      <c r="C235" s="718">
        <v>-4425.93041816</v>
      </c>
      <c r="D235" s="718">
        <v>7966.7005941000007</v>
      </c>
      <c r="E235" s="718">
        <v>15724.71971781</v>
      </c>
      <c r="F235" s="1691">
        <v>14498.74134884</v>
      </c>
    </row>
    <row r="236" spans="1:6" ht="15" customHeight="1">
      <c r="A236" s="504" t="s">
        <v>27</v>
      </c>
      <c r="B236" s="718">
        <v>7041.1274565992717</v>
      </c>
      <c r="C236" s="718">
        <v>-4657.1851116900007</v>
      </c>
      <c r="D236" s="718">
        <v>8044.584765730001</v>
      </c>
      <c r="E236" s="718">
        <v>16065.780464840003</v>
      </c>
      <c r="F236" s="1691">
        <v>14621.233465130003</v>
      </c>
    </row>
    <row r="237" spans="1:6" ht="15" customHeight="1">
      <c r="A237" s="504" t="s">
        <v>28</v>
      </c>
      <c r="B237" s="718">
        <v>7018.6619981789727</v>
      </c>
      <c r="C237" s="718">
        <v>-4713.0293249899996</v>
      </c>
      <c r="D237" s="718">
        <v>7989.4385309900008</v>
      </c>
      <c r="E237" s="718">
        <v>15487.161826160002</v>
      </c>
      <c r="F237" s="1691">
        <v>14279.102331930002</v>
      </c>
    </row>
    <row r="238" spans="1:6" ht="15" customHeight="1">
      <c r="A238" s="504" t="s">
        <v>29</v>
      </c>
      <c r="B238" s="718">
        <v>7074.9986620290329</v>
      </c>
      <c r="C238" s="718">
        <v>-3678.7917116100002</v>
      </c>
      <c r="D238" s="718">
        <v>10377.256796000001</v>
      </c>
      <c r="E238" s="718">
        <v>19761.4066164</v>
      </c>
      <c r="F238" s="1691">
        <v>17937.554502260002</v>
      </c>
    </row>
    <row r="239" spans="1:6" ht="15" customHeight="1">
      <c r="A239" s="504" t="s">
        <v>2892</v>
      </c>
      <c r="B239" s="718"/>
      <c r="C239" s="718"/>
      <c r="D239" s="718"/>
      <c r="E239" s="718"/>
      <c r="F239" s="1691"/>
    </row>
    <row r="240" spans="1:6" ht="15" customHeight="1">
      <c r="A240" s="504" t="s">
        <v>18</v>
      </c>
      <c r="B240" s="718">
        <v>7074.1164971587641</v>
      </c>
      <c r="C240" s="718">
        <v>-5550.7281721899999</v>
      </c>
      <c r="D240" s="718">
        <v>7769.2752748100011</v>
      </c>
      <c r="E240" s="718">
        <v>15421.207929630002</v>
      </c>
      <c r="F240" s="1691">
        <v>14044.248861950002</v>
      </c>
    </row>
    <row r="241" spans="1:6" ht="15" customHeight="1">
      <c r="A241" s="504" t="s">
        <v>19</v>
      </c>
      <c r="B241" s="718">
        <v>7159.9415331700329</v>
      </c>
      <c r="C241" s="718">
        <v>-5596.7439958600007</v>
      </c>
      <c r="D241" s="718">
        <v>7394.290647079999</v>
      </c>
      <c r="E241" s="718">
        <v>15368.86442881</v>
      </c>
      <c r="F241" s="1691">
        <v>13945.622092490001</v>
      </c>
    </row>
    <row r="242" spans="1:6" ht="15" customHeight="1">
      <c r="A242" s="504" t="s">
        <v>20</v>
      </c>
      <c r="B242" s="718">
        <v>7138.4432596318493</v>
      </c>
      <c r="C242" s="718">
        <v>-5195.5820095700001</v>
      </c>
      <c r="D242" s="718">
        <v>7457.9275879099996</v>
      </c>
      <c r="E242" s="718">
        <v>16403.964037680002</v>
      </c>
      <c r="F242" s="1691">
        <v>14359.583505760002</v>
      </c>
    </row>
    <row r="243" spans="1:6" ht="15" customHeight="1">
      <c r="A243" s="504" t="s">
        <v>21</v>
      </c>
      <c r="B243" s="718">
        <v>7087.7539344771021</v>
      </c>
      <c r="C243" s="718">
        <v>-5378.4392237499997</v>
      </c>
      <c r="D243" s="718">
        <v>7569.0245239100004</v>
      </c>
      <c r="E243" s="718">
        <v>16012.793593580001</v>
      </c>
      <c r="F243" s="1691">
        <v>14564.534771010003</v>
      </c>
    </row>
    <row r="244" spans="1:6" ht="15" customHeight="1">
      <c r="A244" s="504" t="s">
        <v>22</v>
      </c>
      <c r="B244" s="718">
        <v>7230.7002711399946</v>
      </c>
      <c r="C244" s="718">
        <v>-4721.1143639700003</v>
      </c>
      <c r="D244" s="718">
        <v>7558.7193815199989</v>
      </c>
      <c r="E244" s="718">
        <v>17025.012353530001</v>
      </c>
      <c r="F244" s="1691">
        <v>14883.586254350002</v>
      </c>
    </row>
    <row r="245" spans="1:6" ht="15" customHeight="1">
      <c r="A245" s="504" t="s">
        <v>23</v>
      </c>
      <c r="B245" s="718">
        <v>7371.9023554278556</v>
      </c>
      <c r="C245" s="718">
        <v>-4194.7042865000003</v>
      </c>
      <c r="D245" s="718">
        <v>7620.6238561700011</v>
      </c>
      <c r="E245" s="718">
        <v>17530.809179430002</v>
      </c>
      <c r="F245" s="1691">
        <v>15652.816622270002</v>
      </c>
    </row>
    <row r="246" spans="1:6" ht="15" customHeight="1">
      <c r="A246" s="504" t="s">
        <v>24</v>
      </c>
      <c r="B246" s="718">
        <v>7407.2260309142139</v>
      </c>
      <c r="C246" s="718">
        <v>-4525.2426090199997</v>
      </c>
      <c r="D246" s="718">
        <v>8432.5998922600011</v>
      </c>
      <c r="E246" s="718">
        <v>18015.001649310001</v>
      </c>
      <c r="F246" s="1691">
        <v>16120.4379274</v>
      </c>
    </row>
    <row r="247" spans="1:6" ht="15" customHeight="1">
      <c r="A247" s="504" t="s">
        <v>25</v>
      </c>
      <c r="B247" s="718">
        <v>7503.5704006588585</v>
      </c>
      <c r="C247" s="718">
        <v>-3983.4663426900006</v>
      </c>
      <c r="D247" s="718">
        <v>7983.3315921000003</v>
      </c>
      <c r="E247" s="718">
        <v>17855.30838563</v>
      </c>
      <c r="F247" s="1691">
        <v>16204.82873126</v>
      </c>
    </row>
    <row r="248" spans="1:6" ht="15" customHeight="1">
      <c r="A248" s="504" t="s">
        <v>26</v>
      </c>
      <c r="B248" s="718">
        <v>7667.3034434579577</v>
      </c>
      <c r="C248" s="718">
        <v>-3804.66978715</v>
      </c>
      <c r="D248" s="718">
        <v>7565.5794774799997</v>
      </c>
      <c r="E248" s="718">
        <v>17703.294185750001</v>
      </c>
      <c r="F248" s="1691">
        <v>16144.852498050001</v>
      </c>
    </row>
    <row r="249" spans="1:6" ht="15" customHeight="1">
      <c r="A249" s="504" t="s">
        <v>27</v>
      </c>
      <c r="B249" s="718">
        <v>7803.0407141027363</v>
      </c>
      <c r="C249" s="718">
        <v>-5615.8449982399998</v>
      </c>
      <c r="D249" s="718">
        <v>7284.0996847800006</v>
      </c>
      <c r="E249" s="718">
        <v>18408.423289830003</v>
      </c>
      <c r="F249" s="1691">
        <v>16670.989240350005</v>
      </c>
    </row>
    <row r="250" spans="1:6" ht="15" customHeight="1">
      <c r="A250" s="504" t="s">
        <v>28</v>
      </c>
      <c r="B250" s="718">
        <v>7969.2328116736553</v>
      </c>
      <c r="C250" s="718">
        <v>-3318.5968028500001</v>
      </c>
      <c r="D250" s="718">
        <v>7054.2474867400015</v>
      </c>
      <c r="E250" s="718">
        <v>18753.574553070001</v>
      </c>
      <c r="F250" s="1691">
        <v>16708.172107660001</v>
      </c>
    </row>
    <row r="251" spans="1:6" ht="15" customHeight="1">
      <c r="A251" s="504" t="s">
        <v>29</v>
      </c>
      <c r="B251" s="718">
        <v>8995.6599256680947</v>
      </c>
      <c r="C251" s="718">
        <v>-3975.8979470100003</v>
      </c>
      <c r="D251" s="718">
        <v>7439.7436596900025</v>
      </c>
      <c r="E251" s="718">
        <v>20900.260452980005</v>
      </c>
      <c r="F251" s="1691">
        <v>17460.274460720004</v>
      </c>
    </row>
    <row r="252" spans="1:6" ht="15" customHeight="1">
      <c r="A252" s="504" t="s">
        <v>3605</v>
      </c>
      <c r="B252" s="718"/>
      <c r="C252" s="718"/>
      <c r="D252" s="718"/>
      <c r="E252" s="718"/>
      <c r="F252" s="1691"/>
    </row>
    <row r="253" spans="1:6" ht="15" customHeight="1">
      <c r="A253" s="504" t="s">
        <v>18</v>
      </c>
      <c r="B253" s="718">
        <v>9061.4186246267673</v>
      </c>
      <c r="C253" s="718">
        <v>-6395.5264805099996</v>
      </c>
      <c r="D253" s="718">
        <v>7398.0067534700011</v>
      </c>
      <c r="E253" s="718">
        <v>18626.765334310003</v>
      </c>
      <c r="F253" s="1691">
        <v>16884.882542810003</v>
      </c>
    </row>
    <row r="254" spans="1:6" ht="15" customHeight="1">
      <c r="A254" s="504" t="s">
        <v>19</v>
      </c>
      <c r="B254" s="718">
        <v>9043.7945346232045</v>
      </c>
      <c r="C254" s="718">
        <v>-3911.0864986299998</v>
      </c>
      <c r="D254" s="718">
        <v>7225.250141290001</v>
      </c>
      <c r="E254" s="718">
        <v>18911.679152650006</v>
      </c>
      <c r="F254" s="1691">
        <v>17248.685680310005</v>
      </c>
    </row>
    <row r="255" spans="1:6" ht="15" customHeight="1">
      <c r="A255" s="504" t="s">
        <v>20</v>
      </c>
      <c r="B255" s="718">
        <v>9132.9696203952972</v>
      </c>
      <c r="C255" s="718">
        <v>-3386.1758224199998</v>
      </c>
      <c r="D255" s="718">
        <v>7330.9293727400018</v>
      </c>
      <c r="E255" s="718">
        <v>19438.388410329997</v>
      </c>
      <c r="F255" s="1691">
        <v>17688.949252909999</v>
      </c>
    </row>
    <row r="256" spans="1:6" ht="15" customHeight="1">
      <c r="A256" s="504" t="s">
        <v>21</v>
      </c>
      <c r="B256" s="718">
        <v>9189.1734194612563</v>
      </c>
      <c r="C256" s="718">
        <v>-5002.6237481099997</v>
      </c>
      <c r="D256" s="718">
        <v>7447.0475746000011</v>
      </c>
      <c r="E256" s="718">
        <v>19024.700017860003</v>
      </c>
      <c r="F256" s="1691">
        <v>17609.946463520002</v>
      </c>
    </row>
    <row r="257" spans="1:6" ht="15" customHeight="1">
      <c r="A257" s="504" t="s">
        <v>22</v>
      </c>
      <c r="B257" s="718">
        <v>9175.6953275939704</v>
      </c>
      <c r="C257" s="718">
        <v>-3499.743418779999</v>
      </c>
      <c r="D257" s="718">
        <v>7174.5069328100017</v>
      </c>
      <c r="E257" s="718">
        <v>19116.760338709999</v>
      </c>
      <c r="F257" s="1691">
        <v>17350.46711112</v>
      </c>
    </row>
    <row r="258" spans="1:6" ht="15" customHeight="1">
      <c r="A258" s="504" t="s">
        <v>23</v>
      </c>
      <c r="B258" s="718">
        <v>9195.9375092697155</v>
      </c>
      <c r="C258" s="718">
        <v>-2819.0936198099998</v>
      </c>
      <c r="D258" s="718">
        <v>7551.3787672899998</v>
      </c>
      <c r="E258" s="718">
        <v>19963.433359180006</v>
      </c>
      <c r="F258" s="1691">
        <v>18401.718879660006</v>
      </c>
    </row>
    <row r="259" spans="1:6" ht="15" customHeight="1">
      <c r="A259" s="504" t="s">
        <v>24</v>
      </c>
      <c r="B259" s="718">
        <v>9243.980611007044</v>
      </c>
      <c r="C259" s="718">
        <v>-2483.9864068499996</v>
      </c>
      <c r="D259" s="718">
        <v>6808.8231565200022</v>
      </c>
      <c r="E259" s="718">
        <v>19566.763979630003</v>
      </c>
      <c r="F259" s="1691">
        <v>18262.643928190002</v>
      </c>
    </row>
    <row r="260" spans="1:6" ht="15" customHeight="1">
      <c r="A260" s="504" t="s">
        <v>25</v>
      </c>
      <c r="B260" s="718">
        <v>9364.3780010023911</v>
      </c>
      <c r="C260" s="718">
        <v>-3077.4013341000004</v>
      </c>
      <c r="D260" s="718">
        <v>6614.8793767499992</v>
      </c>
      <c r="E260" s="718">
        <v>19816.583937430001</v>
      </c>
      <c r="F260" s="1691">
        <v>18116.87461454</v>
      </c>
    </row>
    <row r="261" spans="1:6" ht="15" customHeight="1">
      <c r="A261" s="1722" t="s">
        <v>26</v>
      </c>
      <c r="B261" s="1723">
        <v>9775.339752447635</v>
      </c>
      <c r="C261" s="1723">
        <v>-2829.4028629499999</v>
      </c>
      <c r="D261" s="1723">
        <v>6006.2833440400009</v>
      </c>
      <c r="E261" s="1723">
        <v>19432.514785309999</v>
      </c>
      <c r="F261" s="1724">
        <v>17896.178054439999</v>
      </c>
    </row>
    <row r="262" spans="1:6" ht="15" customHeight="1">
      <c r="A262" s="1722" t="s">
        <v>27</v>
      </c>
      <c r="B262" s="1723">
        <v>10508.115744740609</v>
      </c>
      <c r="C262" s="1723">
        <v>-3551.1388759000001</v>
      </c>
      <c r="D262" s="1723">
        <v>5807.1684552400002</v>
      </c>
      <c r="E262" s="1723">
        <v>19955.28193134</v>
      </c>
      <c r="F262" s="1724">
        <v>18401.99067264</v>
      </c>
    </row>
    <row r="263" spans="1:6" ht="15" customHeight="1">
      <c r="A263" s="1722" t="s">
        <v>28</v>
      </c>
      <c r="B263" s="1723">
        <v>10615.905396279366</v>
      </c>
      <c r="C263" s="1723">
        <v>-4263.8929406899997</v>
      </c>
      <c r="D263" s="1723">
        <v>5482.2620358900003</v>
      </c>
      <c r="E263" s="1723">
        <v>19752.470663329997</v>
      </c>
      <c r="F263" s="1724">
        <v>18334.378930759998</v>
      </c>
    </row>
    <row r="264" spans="1:6" ht="15" customHeight="1">
      <c r="A264" s="1722" t="s">
        <v>29</v>
      </c>
      <c r="B264" s="1723">
        <v>11612.954205166468</v>
      </c>
      <c r="C264" s="1723">
        <v>-3205.0042044599995</v>
      </c>
      <c r="D264" s="1723">
        <v>6557.4268872899993</v>
      </c>
      <c r="E264" s="1723">
        <v>23884.63747682</v>
      </c>
      <c r="F264" s="1724">
        <v>20875.191369710003</v>
      </c>
    </row>
    <row r="265" spans="1:6" ht="15" customHeight="1">
      <c r="A265" s="1722" t="s">
        <v>4086</v>
      </c>
      <c r="B265" s="1723"/>
      <c r="C265" s="1723"/>
      <c r="D265" s="1723"/>
      <c r="E265" s="1723"/>
      <c r="F265" s="1724"/>
    </row>
    <row r="266" spans="1:6" ht="15" customHeight="1">
      <c r="A266" s="1722" t="s">
        <v>18</v>
      </c>
      <c r="B266" s="1723">
        <v>11637.045374008969</v>
      </c>
      <c r="C266" s="1723">
        <v>-3930.7708726500005</v>
      </c>
      <c r="D266" s="1723">
        <v>6893.9515966200006</v>
      </c>
      <c r="E266" s="1723">
        <v>22781.832874150001</v>
      </c>
      <c r="F266" s="1724">
        <v>20271.14124787</v>
      </c>
    </row>
    <row r="267" spans="1:6" ht="15" customHeight="1">
      <c r="A267" s="1725" t="s">
        <v>19</v>
      </c>
      <c r="B267" s="1726">
        <v>11650.322749046125</v>
      </c>
      <c r="C267" s="1726">
        <v>-4162.1633163699998</v>
      </c>
      <c r="D267" s="1726">
        <v>6938.1763717800022</v>
      </c>
      <c r="E267" s="1726">
        <v>23030.41038677</v>
      </c>
      <c r="F267" s="1727">
        <v>20131.75628383</v>
      </c>
    </row>
    <row r="268" spans="1:6" s="876" customFormat="1" ht="30" customHeight="1">
      <c r="A268" s="2214" t="s">
        <v>2751</v>
      </c>
      <c r="B268" s="2214"/>
      <c r="C268" s="2214"/>
      <c r="D268" s="2214"/>
      <c r="E268" s="2214"/>
      <c r="F268" s="2242"/>
    </row>
    <row r="269" spans="1:6" ht="14.25" customHeight="1">
      <c r="A269" s="1693"/>
      <c r="B269" s="97"/>
      <c r="C269" s="97"/>
      <c r="D269" s="97"/>
      <c r="E269" s="97"/>
      <c r="F269" s="28"/>
    </row>
  </sheetData>
  <mergeCells count="4">
    <mergeCell ref="A2:F2"/>
    <mergeCell ref="A3:F3"/>
    <mergeCell ref="A5:F5"/>
    <mergeCell ref="A268:F268"/>
  </mergeCells>
  <pageMargins left="0.75" right="0.17" top="0.49" bottom="0.3" header="0.17" footer="0.17"/>
  <pageSetup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9"/>
  <sheetViews>
    <sheetView showGridLines="0" view="pageBreakPreview" zoomScale="115" zoomScaleSheetLayoutView="115" workbookViewId="0">
      <pane ySplit="15" topLeftCell="A253" activePane="bottomLeft" state="frozen"/>
      <selection activeCell="G291" sqref="G291"/>
      <selection pane="bottomLeft" activeCell="A266" sqref="A266:G266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40" t="s">
        <v>2826</v>
      </c>
      <c r="B2" s="2240"/>
      <c r="C2" s="2240"/>
      <c r="D2" s="2240"/>
      <c r="E2" s="2240"/>
      <c r="F2" s="2240"/>
      <c r="G2" s="2240"/>
    </row>
    <row r="3" spans="1:82" ht="22.5" customHeight="1">
      <c r="A3" s="2248" t="s">
        <v>2792</v>
      </c>
      <c r="B3" s="2248"/>
      <c r="C3" s="2248"/>
      <c r="D3" s="2248"/>
      <c r="E3" s="2248"/>
      <c r="F3" s="2248"/>
      <c r="G3" s="2248"/>
    </row>
    <row r="4" spans="1:82">
      <c r="A4" s="617"/>
      <c r="B4" s="617"/>
      <c r="C4" s="617"/>
      <c r="D4" s="617"/>
      <c r="E4" s="617"/>
      <c r="F4" s="617"/>
      <c r="G4" s="617"/>
    </row>
    <row r="5" spans="1:82">
      <c r="A5" s="2239" t="s">
        <v>8</v>
      </c>
      <c r="B5" s="2239"/>
      <c r="C5" s="2239"/>
      <c r="D5" s="2239"/>
      <c r="E5" s="2239"/>
      <c r="F5" s="2239"/>
      <c r="G5" s="2239"/>
    </row>
    <row r="6" spans="1:82" s="45" customFormat="1" ht="21.75" customHeight="1">
      <c r="A6" s="2251" t="s">
        <v>182</v>
      </c>
      <c r="B6" s="2251" t="s">
        <v>116</v>
      </c>
      <c r="C6" s="2249" t="s">
        <v>122</v>
      </c>
      <c r="D6" s="2250"/>
      <c r="E6" s="2251" t="s">
        <v>2087</v>
      </c>
      <c r="F6" s="2251" t="s">
        <v>1346</v>
      </c>
      <c r="G6" s="2251" t="s">
        <v>1347</v>
      </c>
    </row>
    <row r="7" spans="1:82" s="45" customFormat="1" ht="30" customHeight="1">
      <c r="A7" s="2252"/>
      <c r="B7" s="2252"/>
      <c r="C7" s="719" t="s">
        <v>124</v>
      </c>
      <c r="D7" s="719" t="s">
        <v>2827</v>
      </c>
      <c r="E7" s="2252"/>
      <c r="F7" s="2252"/>
      <c r="G7" s="2252"/>
      <c r="CC7" s="45" t="s">
        <v>2089</v>
      </c>
      <c r="CD7" s="367" t="s">
        <v>2090</v>
      </c>
    </row>
    <row r="8" spans="1:82" ht="21.75" customHeight="1">
      <c r="A8" s="2243" t="s">
        <v>304</v>
      </c>
      <c r="B8" s="2243" t="s">
        <v>118</v>
      </c>
      <c r="C8" s="2246" t="s">
        <v>106</v>
      </c>
      <c r="D8" s="2247"/>
      <c r="E8" s="2243" t="s">
        <v>2883</v>
      </c>
      <c r="F8" s="2243" t="s">
        <v>1896</v>
      </c>
      <c r="G8" s="2243" t="s">
        <v>2045</v>
      </c>
      <c r="CD8" s="373"/>
    </row>
    <row r="9" spans="1:82" ht="30" customHeight="1">
      <c r="A9" s="2244"/>
      <c r="B9" s="2244"/>
      <c r="C9" s="720" t="s">
        <v>2861</v>
      </c>
      <c r="D9" s="720" t="s">
        <v>2828</v>
      </c>
      <c r="E9" s="2244"/>
      <c r="F9" s="2244"/>
      <c r="G9" s="2244"/>
      <c r="CC9" s="30" t="e">
        <f>#REF!+CC10</f>
        <v>#REF!</v>
      </c>
      <c r="CD9" s="373" t="e">
        <f>BY9+BZ9+CA9+CC9</f>
        <v>#REF!</v>
      </c>
    </row>
    <row r="10" spans="1:82" hidden="1">
      <c r="A10" s="31">
        <v>2000</v>
      </c>
      <c r="B10" s="513">
        <v>264.66000000000003</v>
      </c>
      <c r="C10" s="513">
        <v>350.7</v>
      </c>
      <c r="D10" s="513">
        <v>-86.56</v>
      </c>
      <c r="E10" s="513">
        <v>424.18</v>
      </c>
      <c r="F10" s="513">
        <v>55.46</v>
      </c>
      <c r="G10" s="514">
        <v>461.26</v>
      </c>
      <c r="CC10" s="30">
        <f>CC12+CC13</f>
        <v>-2648</v>
      </c>
      <c r="CD10" s="373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3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3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3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3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3">
        <f t="shared" si="0"/>
        <v>-797</v>
      </c>
    </row>
    <row r="16" spans="1:82">
      <c r="A16" s="572">
        <v>2005</v>
      </c>
      <c r="B16" s="721">
        <v>105.86702456825405</v>
      </c>
      <c r="C16" s="721">
        <v>266.95066591038801</v>
      </c>
      <c r="D16" s="721">
        <v>-158.78541888091996</v>
      </c>
      <c r="E16" s="721">
        <v>1451.1272220204778</v>
      </c>
      <c r="F16" s="721">
        <v>249.03745754959803</v>
      </c>
      <c r="G16" s="721">
        <v>1042.2409198601101</v>
      </c>
      <c r="CD16" s="373"/>
    </row>
    <row r="17" spans="1:82" hidden="1">
      <c r="A17" s="40" t="s">
        <v>18</v>
      </c>
      <c r="B17" s="722">
        <v>226.31779738259198</v>
      </c>
      <c r="C17" s="722">
        <v>309.81536375124199</v>
      </c>
      <c r="D17" s="722">
        <v>-82.025807652004019</v>
      </c>
      <c r="E17" s="722">
        <v>944.26154165850596</v>
      </c>
      <c r="F17" s="722">
        <v>191.09764153841598</v>
      </c>
      <c r="G17" s="722">
        <v>826.35612751968597</v>
      </c>
      <c r="CC17" s="30">
        <v>-644</v>
      </c>
      <c r="CD17" s="373">
        <f t="shared" si="0"/>
        <v>-644</v>
      </c>
    </row>
    <row r="18" spans="1:82" hidden="1">
      <c r="A18" s="40" t="s">
        <v>19</v>
      </c>
      <c r="B18" s="722">
        <v>175.19358431000794</v>
      </c>
      <c r="C18" s="722">
        <v>258.00327424580598</v>
      </c>
      <c r="D18" s="722">
        <v>-81.322175700354009</v>
      </c>
      <c r="E18" s="722">
        <v>998.0141753036819</v>
      </c>
      <c r="F18" s="722">
        <v>198.99057707903197</v>
      </c>
      <c r="G18" s="722">
        <v>803.06896940306399</v>
      </c>
      <c r="CC18" s="30">
        <v>-153</v>
      </c>
      <c r="CD18" s="373">
        <f t="shared" si="0"/>
        <v>-153</v>
      </c>
    </row>
    <row r="19" spans="1:82" hidden="1">
      <c r="A19" s="40" t="s">
        <v>20</v>
      </c>
      <c r="B19" s="722">
        <v>141.369108762742</v>
      </c>
      <c r="C19" s="722">
        <v>226.25620282140201</v>
      </c>
      <c r="D19" s="722">
        <v>-83.177875314668015</v>
      </c>
      <c r="E19" s="722">
        <v>1054.8051885356522</v>
      </c>
      <c r="F19" s="722">
        <v>197.42766988909599</v>
      </c>
      <c r="G19" s="722">
        <v>808.98229762122787</v>
      </c>
      <c r="CD19" s="373"/>
    </row>
    <row r="20" spans="1:82" hidden="1">
      <c r="A20" s="40" t="s">
        <v>21</v>
      </c>
      <c r="B20" s="722">
        <v>241.71439015857604</v>
      </c>
      <c r="C20" s="722">
        <v>328.44628926722402</v>
      </c>
      <c r="D20" s="722">
        <v>-84.761384582609992</v>
      </c>
      <c r="E20" s="722">
        <v>1082.3312021329684</v>
      </c>
      <c r="F20" s="722">
        <v>210.88235612576202</v>
      </c>
      <c r="G20" s="722">
        <v>903.53430830811192</v>
      </c>
      <c r="CD20" s="373"/>
    </row>
    <row r="21" spans="1:82" hidden="1">
      <c r="A21" s="40" t="s">
        <v>22</v>
      </c>
      <c r="B21" s="722">
        <v>261.91530561403005</v>
      </c>
      <c r="C21" s="722">
        <v>354.62884856109804</v>
      </c>
      <c r="D21" s="722">
        <v>-90.635807685405993</v>
      </c>
      <c r="E21" s="722">
        <v>1098.8270172421767</v>
      </c>
      <c r="F21" s="722">
        <v>233.42076834517405</v>
      </c>
      <c r="G21" s="722">
        <v>926.61505651463415</v>
      </c>
      <c r="CD21" s="373"/>
    </row>
    <row r="22" spans="1:82" hidden="1">
      <c r="A22" s="40" t="s">
        <v>23</v>
      </c>
      <c r="B22" s="722">
        <v>273.887678374676</v>
      </c>
      <c r="C22" s="722">
        <v>371.23311050735799</v>
      </c>
      <c r="D22" s="722">
        <v>-95.094934800614013</v>
      </c>
      <c r="E22" s="722">
        <v>1100.59549698551</v>
      </c>
      <c r="F22" s="722">
        <v>240.71974991018004</v>
      </c>
      <c r="G22" s="722">
        <v>917.04530742237603</v>
      </c>
      <c r="CC22" s="30">
        <v>-31</v>
      </c>
      <c r="CD22" s="373">
        <f t="shared" si="0"/>
        <v>-31</v>
      </c>
    </row>
    <row r="23" spans="1:82" hidden="1">
      <c r="A23" s="40" t="s">
        <v>24</v>
      </c>
      <c r="B23" s="722">
        <v>287.94173326069807</v>
      </c>
      <c r="C23" s="722">
        <v>384.39139838503405</v>
      </c>
      <c r="D23" s="722">
        <v>-93.629800017072</v>
      </c>
      <c r="E23" s="722">
        <v>1136.4297556521899</v>
      </c>
      <c r="F23" s="722">
        <v>248.309655161352</v>
      </c>
      <c r="G23" s="722">
        <v>963.07478651931194</v>
      </c>
      <c r="CC23" s="30">
        <v>-440</v>
      </c>
      <c r="CD23" s="373">
        <f t="shared" si="0"/>
        <v>-440</v>
      </c>
    </row>
    <row r="24" spans="1:82" hidden="1">
      <c r="A24" s="40" t="s">
        <v>25</v>
      </c>
      <c r="B24" s="722">
        <v>254.40039895022991</v>
      </c>
      <c r="C24" s="722">
        <v>350.29725286513593</v>
      </c>
      <c r="D24" s="722">
        <v>-92.888435669553999</v>
      </c>
      <c r="E24" s="722">
        <v>1226.2619454779642</v>
      </c>
      <c r="F24" s="722">
        <v>259.31174310221002</v>
      </c>
      <c r="G24" s="722">
        <v>1000.6352719449479</v>
      </c>
      <c r="CD24" s="373"/>
    </row>
    <row r="25" spans="1:82" hidden="1">
      <c r="A25" s="40" t="s">
        <v>26</v>
      </c>
      <c r="B25" s="722">
        <v>274.91288724710199</v>
      </c>
      <c r="C25" s="722">
        <v>425.64806629671199</v>
      </c>
      <c r="D25" s="722">
        <v>-147.28264562891798</v>
      </c>
      <c r="E25" s="722">
        <v>1260.9014057023458</v>
      </c>
      <c r="F25" s="722">
        <v>240.11795367972002</v>
      </c>
      <c r="G25" s="722">
        <v>1030.1332059215802</v>
      </c>
      <c r="CC25" s="30">
        <f>CC27+CC28</f>
        <v>-498</v>
      </c>
      <c r="CD25" s="373">
        <f>BY25+BZ25+CA25+CC25</f>
        <v>-498</v>
      </c>
    </row>
    <row r="26" spans="1:82" hidden="1">
      <c r="A26" s="40" t="s">
        <v>27</v>
      </c>
      <c r="B26" s="722">
        <v>288.61470354677215</v>
      </c>
      <c r="C26" s="722">
        <v>437.4458615041321</v>
      </c>
      <c r="D26" s="722">
        <v>-146.69159752805598</v>
      </c>
      <c r="E26" s="722">
        <v>1338.37008769158</v>
      </c>
      <c r="F26" s="722">
        <v>231.61050531635203</v>
      </c>
      <c r="G26" s="722">
        <v>1067.275877347648</v>
      </c>
      <c r="CD26" s="373"/>
    </row>
    <row r="27" spans="1:82" hidden="1">
      <c r="A27" s="40" t="s">
        <v>28</v>
      </c>
      <c r="B27" s="722">
        <v>257.058623413536</v>
      </c>
      <c r="C27" s="722">
        <v>411.16556567462601</v>
      </c>
      <c r="D27" s="722">
        <v>-151.70716688019399</v>
      </c>
      <c r="E27" s="722">
        <v>1393.2799725213758</v>
      </c>
      <c r="F27" s="722">
        <v>243.68546632667801</v>
      </c>
      <c r="G27" s="722">
        <v>1032.0131630380961</v>
      </c>
      <c r="CC27" s="30">
        <v>-521</v>
      </c>
      <c r="CD27" s="373">
        <f>BY27+BZ27+CA27+CC27</f>
        <v>-521</v>
      </c>
    </row>
    <row r="28" spans="1:82" hidden="1">
      <c r="A28" s="40" t="s">
        <v>29</v>
      </c>
      <c r="B28" s="722">
        <v>105.86702456825405</v>
      </c>
      <c r="C28" s="722">
        <v>266.95066591038801</v>
      </c>
      <c r="D28" s="722">
        <v>-158.78541888091996</v>
      </c>
      <c r="E28" s="722">
        <v>1451.1272220204778</v>
      </c>
      <c r="F28" s="722">
        <v>249.03745754959803</v>
      </c>
      <c r="G28" s="722">
        <v>1042.2409198601101</v>
      </c>
      <c r="CC28" s="30">
        <v>23</v>
      </c>
      <c r="CD28" s="373">
        <f>BY28+BZ28+CA28+CC28</f>
        <v>23</v>
      </c>
    </row>
    <row r="29" spans="1:82" ht="0.75" customHeight="1">
      <c r="A29" s="40"/>
      <c r="B29" s="722">
        <v>0</v>
      </c>
      <c r="C29" s="722">
        <v>0</v>
      </c>
      <c r="D29" s="722">
        <v>0</v>
      </c>
      <c r="E29" s="722">
        <v>0</v>
      </c>
      <c r="F29" s="722">
        <v>0</v>
      </c>
      <c r="G29" s="722">
        <v>0</v>
      </c>
      <c r="CD29" s="373"/>
    </row>
    <row r="30" spans="1:82">
      <c r="A30" s="117">
        <v>2006</v>
      </c>
      <c r="B30" s="722">
        <v>-113.29190724000001</v>
      </c>
      <c r="C30" s="722">
        <v>304.16222184999998</v>
      </c>
      <c r="D30" s="722">
        <v>-409.54046516</v>
      </c>
      <c r="E30" s="722">
        <v>2367.8748952299993</v>
      </c>
      <c r="F30" s="722">
        <v>823.71840786000007</v>
      </c>
      <c r="G30" s="722">
        <v>1299.5078479000001</v>
      </c>
      <c r="CC30" s="30">
        <v>433</v>
      </c>
      <c r="CD30" s="373">
        <f t="shared" si="0"/>
        <v>433</v>
      </c>
    </row>
    <row r="31" spans="1:82" hidden="1">
      <c r="A31" s="40" t="s">
        <v>18</v>
      </c>
      <c r="B31" s="722">
        <v>300.56181778999996</v>
      </c>
      <c r="C31" s="722">
        <v>461.09300507999995</v>
      </c>
      <c r="D31" s="722">
        <v>-157.95570436</v>
      </c>
      <c r="E31" s="722">
        <v>1404.5400549499998</v>
      </c>
      <c r="F31" s="722">
        <v>241.62172978000001</v>
      </c>
      <c r="G31" s="722">
        <v>1071.1860089099998</v>
      </c>
      <c r="CC31" s="30">
        <v>-931</v>
      </c>
      <c r="CD31" s="373">
        <f t="shared" si="0"/>
        <v>-931</v>
      </c>
    </row>
    <row r="32" spans="1:82" hidden="1">
      <c r="A32" s="40" t="s">
        <v>19</v>
      </c>
      <c r="B32" s="722">
        <v>325.34679913999997</v>
      </c>
      <c r="C32" s="722">
        <v>498.97467079999996</v>
      </c>
      <c r="D32" s="722">
        <v>-171.18699480999999</v>
      </c>
      <c r="E32" s="722">
        <v>1363.5740406399998</v>
      </c>
      <c r="F32" s="722">
        <v>291.81017402999993</v>
      </c>
      <c r="G32" s="722">
        <v>1081.4832858499999</v>
      </c>
      <c r="CD32" s="373"/>
    </row>
    <row r="33" spans="1:82" hidden="1">
      <c r="A33" s="40" t="s">
        <v>20</v>
      </c>
      <c r="B33" s="722">
        <v>342.83050071999992</v>
      </c>
      <c r="C33" s="722">
        <v>515.35390431999997</v>
      </c>
      <c r="D33" s="722">
        <v>-169.94028131000002</v>
      </c>
      <c r="E33" s="722">
        <v>1398.3771504899998</v>
      </c>
      <c r="F33" s="722">
        <v>321.78490283999997</v>
      </c>
      <c r="G33" s="722">
        <v>1085.1807814200001</v>
      </c>
      <c r="CC33" s="30">
        <v>204</v>
      </c>
      <c r="CD33" s="373">
        <f t="shared" si="0"/>
        <v>204</v>
      </c>
    </row>
    <row r="34" spans="1:82" hidden="1">
      <c r="A34" s="40" t="s">
        <v>21</v>
      </c>
      <c r="B34" s="722">
        <v>288.06934340000004</v>
      </c>
      <c r="C34" s="722">
        <v>466.35962813999998</v>
      </c>
      <c r="D34" s="722">
        <v>-174.76835029</v>
      </c>
      <c r="E34" s="722">
        <v>1504.1838813400004</v>
      </c>
      <c r="F34" s="722">
        <v>351.61407830999997</v>
      </c>
      <c r="G34" s="722">
        <v>1139.8948581500003</v>
      </c>
      <c r="CC34" s="30">
        <v>200</v>
      </c>
      <c r="CD34" s="373">
        <f t="shared" si="0"/>
        <v>200</v>
      </c>
    </row>
    <row r="35" spans="1:82" hidden="1">
      <c r="A35" s="40" t="s">
        <v>22</v>
      </c>
      <c r="B35" s="722">
        <v>312.35846918000004</v>
      </c>
      <c r="C35" s="722">
        <v>493.13203035000004</v>
      </c>
      <c r="D35" s="722">
        <v>-176.67265043999998</v>
      </c>
      <c r="E35" s="722">
        <v>1577.3447361799999</v>
      </c>
      <c r="F35" s="722">
        <v>356.86671254999999</v>
      </c>
      <c r="G35" s="722">
        <v>1167.14121688</v>
      </c>
      <c r="CD35" s="373"/>
    </row>
    <row r="36" spans="1:82" hidden="1">
      <c r="A36" s="40" t="s">
        <v>23</v>
      </c>
      <c r="B36" s="722">
        <v>305.57490925000008</v>
      </c>
      <c r="C36" s="722">
        <v>495.81780132000006</v>
      </c>
      <c r="D36" s="722">
        <v>-183.86065114000002</v>
      </c>
      <c r="E36" s="722">
        <v>1676.5183650199997</v>
      </c>
      <c r="F36" s="722">
        <v>403.11003255999998</v>
      </c>
      <c r="G36" s="722">
        <v>1218.2087914399999</v>
      </c>
      <c r="CC36" s="30">
        <v>295</v>
      </c>
      <c r="CD36" s="373">
        <f t="shared" si="0"/>
        <v>295</v>
      </c>
    </row>
    <row r="37" spans="1:82" hidden="1">
      <c r="A37" s="40" t="s">
        <v>24</v>
      </c>
      <c r="B37" s="722">
        <v>271.79204826</v>
      </c>
      <c r="C37" s="722">
        <v>465.90912352999999</v>
      </c>
      <c r="D37" s="722">
        <v>-188.71756236999997</v>
      </c>
      <c r="E37" s="722">
        <v>1784.5363579100001</v>
      </c>
      <c r="F37" s="722">
        <v>428.25928491999997</v>
      </c>
      <c r="G37" s="722">
        <v>1252.4950059900002</v>
      </c>
      <c r="CC37" s="30">
        <v>-95</v>
      </c>
      <c r="CD37" s="373">
        <f t="shared" si="0"/>
        <v>-95</v>
      </c>
    </row>
    <row r="38" spans="1:82" hidden="1">
      <c r="A38" s="40" t="s">
        <v>25</v>
      </c>
      <c r="B38" s="722">
        <v>251.47519954000001</v>
      </c>
      <c r="C38" s="722">
        <v>398.5411805</v>
      </c>
      <c r="D38" s="722">
        <v>-142.57577545000001</v>
      </c>
      <c r="E38" s="722">
        <v>1912.4597789200002</v>
      </c>
      <c r="F38" s="722">
        <v>492.44084806000001</v>
      </c>
      <c r="G38" s="722">
        <v>1248.2196395699998</v>
      </c>
      <c r="CD38" s="373"/>
    </row>
    <row r="39" spans="1:82" hidden="1">
      <c r="A39" s="40" t="s">
        <v>26</v>
      </c>
      <c r="B39" s="722">
        <v>228.55438325000009</v>
      </c>
      <c r="C39" s="722">
        <v>393.62743569000003</v>
      </c>
      <c r="D39" s="722">
        <v>-159.19948818999995</v>
      </c>
      <c r="E39" s="722">
        <v>2032.1994047699995</v>
      </c>
      <c r="F39" s="722">
        <v>528.56351084000005</v>
      </c>
      <c r="G39" s="722">
        <v>1268.7703315000003</v>
      </c>
      <c r="CC39" s="30">
        <v>0</v>
      </c>
      <c r="CD39" s="373">
        <f t="shared" si="0"/>
        <v>0</v>
      </c>
    </row>
    <row r="40" spans="1:82" hidden="1">
      <c r="A40" s="40" t="s">
        <v>27</v>
      </c>
      <c r="B40" s="722">
        <v>131.76616706000001</v>
      </c>
      <c r="C40" s="722">
        <v>304.66298760999996</v>
      </c>
      <c r="D40" s="722">
        <v>-168.16147842999996</v>
      </c>
      <c r="E40" s="722">
        <v>2169.7224147499992</v>
      </c>
      <c r="F40" s="722">
        <v>615.94271600000002</v>
      </c>
      <c r="G40" s="722">
        <v>1236.7731743899999</v>
      </c>
      <c r="CD40" s="373"/>
    </row>
    <row r="41" spans="1:82" hidden="1">
      <c r="A41" s="40" t="s">
        <v>28</v>
      </c>
      <c r="B41" s="722">
        <v>84.369812489999958</v>
      </c>
      <c r="C41" s="722">
        <v>371.79685331999997</v>
      </c>
      <c r="D41" s="722">
        <v>-281.41349485000001</v>
      </c>
      <c r="E41" s="722">
        <v>2249.2650426099995</v>
      </c>
      <c r="F41" s="722">
        <v>705.40156724000008</v>
      </c>
      <c r="G41" s="722">
        <v>1220.2695201599997</v>
      </c>
      <c r="CC41" s="30">
        <f>CC42-CC46</f>
        <v>481</v>
      </c>
      <c r="CD41" s="373">
        <f t="shared" si="0"/>
        <v>481</v>
      </c>
    </row>
    <row r="42" spans="1:82" hidden="1">
      <c r="A42" s="40" t="s">
        <v>29</v>
      </c>
      <c r="B42" s="722">
        <v>-113.29190724000001</v>
      </c>
      <c r="C42" s="722">
        <v>304.16222184999998</v>
      </c>
      <c r="D42" s="722">
        <v>-409.54046516</v>
      </c>
      <c r="E42" s="722">
        <v>2367.8748952299993</v>
      </c>
      <c r="F42" s="722">
        <v>823.71840786000007</v>
      </c>
      <c r="G42" s="722">
        <v>1299.5078479000001</v>
      </c>
      <c r="CC42" s="30">
        <f>CC44+CC45</f>
        <v>965</v>
      </c>
      <c r="CD42" s="373">
        <f t="shared" si="0"/>
        <v>965</v>
      </c>
    </row>
    <row r="43" spans="1:82">
      <c r="A43" s="40" t="s">
        <v>121</v>
      </c>
      <c r="B43" s="722">
        <v>-655.7</v>
      </c>
      <c r="C43" s="722">
        <v>503.7</v>
      </c>
      <c r="D43" s="722">
        <v>-971.6</v>
      </c>
      <c r="E43" s="722">
        <v>4642.6000000000004</v>
      </c>
      <c r="F43" s="722">
        <v>1687.8</v>
      </c>
      <c r="G43" s="722">
        <v>1495.6</v>
      </c>
      <c r="CD43" s="373"/>
    </row>
    <row r="44" spans="1:82" hidden="1">
      <c r="A44" s="40" t="s">
        <v>18</v>
      </c>
      <c r="B44" s="722">
        <v>105.32</v>
      </c>
      <c r="C44" s="722">
        <v>419.6</v>
      </c>
      <c r="D44" s="722">
        <v>-306.49446628000004</v>
      </c>
      <c r="E44" s="722">
        <v>2518.956833409999</v>
      </c>
      <c r="F44" s="722">
        <v>740.10036146000004</v>
      </c>
      <c r="G44" s="722">
        <v>1301.7295723499999</v>
      </c>
      <c r="CC44" s="30">
        <v>954</v>
      </c>
      <c r="CD44" s="373">
        <f t="shared" si="0"/>
        <v>954</v>
      </c>
    </row>
    <row r="45" spans="1:82" hidden="1">
      <c r="A45" s="40" t="s">
        <v>19</v>
      </c>
      <c r="B45" s="722">
        <v>-19.7</v>
      </c>
      <c r="C45" s="722">
        <v>356.5</v>
      </c>
      <c r="D45" s="722">
        <v>-361.68408433000008</v>
      </c>
      <c r="E45" s="722">
        <v>2692.0418313599998</v>
      </c>
      <c r="F45" s="722">
        <v>790.45572708999998</v>
      </c>
      <c r="G45" s="722">
        <v>1269.69737321</v>
      </c>
      <c r="CC45" s="30">
        <v>11</v>
      </c>
      <c r="CD45" s="373">
        <f t="shared" si="0"/>
        <v>11</v>
      </c>
    </row>
    <row r="46" spans="1:82" hidden="1">
      <c r="A46" s="40" t="s">
        <v>20</v>
      </c>
      <c r="B46" s="722">
        <v>-76.7</v>
      </c>
      <c r="C46" s="722">
        <v>351.9</v>
      </c>
      <c r="D46" s="722">
        <v>-414.38195938000007</v>
      </c>
      <c r="E46" s="722">
        <v>2904.9610948799996</v>
      </c>
      <c r="F46" s="722">
        <v>858.09695017000001</v>
      </c>
      <c r="G46" s="722">
        <v>1248.40497282</v>
      </c>
      <c r="CC46" s="30">
        <f>CC48+CC49+CC50+CC51</f>
        <v>484</v>
      </c>
      <c r="CD46" s="373">
        <f t="shared" si="0"/>
        <v>484</v>
      </c>
    </row>
    <row r="47" spans="1:82" hidden="1">
      <c r="A47" s="40" t="s">
        <v>21</v>
      </c>
      <c r="B47" s="722">
        <v>-162.80000000000001</v>
      </c>
      <c r="C47" s="722">
        <v>342.45540765999999</v>
      </c>
      <c r="D47" s="722">
        <v>-443.13814659999997</v>
      </c>
      <c r="E47" s="722">
        <v>3110.3781674399997</v>
      </c>
      <c r="F47" s="722">
        <v>913.93312748000005</v>
      </c>
      <c r="G47" s="722">
        <v>1204.62775175</v>
      </c>
      <c r="CD47" s="373"/>
    </row>
    <row r="48" spans="1:82" hidden="1">
      <c r="A48" s="40" t="s">
        <v>22</v>
      </c>
      <c r="B48" s="722">
        <v>-180.3</v>
      </c>
      <c r="C48" s="722">
        <v>478.8</v>
      </c>
      <c r="D48" s="722">
        <v>-595.97926332000009</v>
      </c>
      <c r="E48" s="722">
        <v>3328.3245033399999</v>
      </c>
      <c r="F48" s="722">
        <v>987.05192137000017</v>
      </c>
      <c r="G48" s="722">
        <v>1261.7552767300001</v>
      </c>
      <c r="CC48" s="30">
        <v>1214</v>
      </c>
      <c r="CD48" s="373">
        <f t="shared" si="0"/>
        <v>1214</v>
      </c>
    </row>
    <row r="49" spans="1:82" hidden="1">
      <c r="A49" s="40" t="s">
        <v>23</v>
      </c>
      <c r="B49" s="722">
        <v>-153.19999999999999</v>
      </c>
      <c r="C49" s="722">
        <v>587.4</v>
      </c>
      <c r="D49" s="722">
        <v>-674.94249806000016</v>
      </c>
      <c r="E49" s="722">
        <v>3460.87982087</v>
      </c>
      <c r="F49" s="722">
        <v>1015.9529375599999</v>
      </c>
      <c r="G49" s="722">
        <v>1301.5009319100002</v>
      </c>
      <c r="CC49" s="30">
        <v>-745</v>
      </c>
      <c r="CD49" s="373">
        <f t="shared" si="0"/>
        <v>-745</v>
      </c>
    </row>
    <row r="50" spans="1:82" hidden="1">
      <c r="A50" s="40" t="s">
        <v>24</v>
      </c>
      <c r="B50" s="722">
        <v>-193.6</v>
      </c>
      <c r="C50" s="722">
        <v>598.6</v>
      </c>
      <c r="D50" s="722">
        <v>-686.21575077</v>
      </c>
      <c r="E50" s="722">
        <v>3451.1911663699989</v>
      </c>
      <c r="F50" s="722">
        <v>1146.07180498</v>
      </c>
      <c r="G50" s="722">
        <v>1316.3587498499999</v>
      </c>
      <c r="CC50" s="30">
        <v>0</v>
      </c>
      <c r="CD50" s="373">
        <f>BY50+BZ50+CA50+CC50</f>
        <v>0</v>
      </c>
    </row>
    <row r="51" spans="1:82" hidden="1">
      <c r="A51" s="40" t="s">
        <v>25</v>
      </c>
      <c r="B51" s="722">
        <v>-144.6</v>
      </c>
      <c r="C51" s="722">
        <v>661.35094558000003</v>
      </c>
      <c r="D51" s="722">
        <v>-701.51570378000008</v>
      </c>
      <c r="E51" s="722">
        <v>3584.5360302999998</v>
      </c>
      <c r="F51" s="722">
        <v>1321.36731175</v>
      </c>
      <c r="G51" s="722">
        <v>1376.28813242</v>
      </c>
      <c r="CC51" s="30">
        <v>15</v>
      </c>
      <c r="CD51" s="373">
        <f>BY51+BZ51+CA51+CC51</f>
        <v>15</v>
      </c>
    </row>
    <row r="52" spans="1:82" hidden="1">
      <c r="A52" s="40" t="s">
        <v>26</v>
      </c>
      <c r="B52" s="722">
        <v>-56.5</v>
      </c>
      <c r="C52" s="722">
        <v>806.5</v>
      </c>
      <c r="D52" s="722">
        <v>-756.0998976300001</v>
      </c>
      <c r="E52" s="722">
        <v>3769.8690415999999</v>
      </c>
      <c r="F52" s="722">
        <v>1364.9740055100001</v>
      </c>
      <c r="G52" s="722">
        <v>1527.6685013100002</v>
      </c>
      <c r="CC52" s="30">
        <v>-372</v>
      </c>
      <c r="CD52" s="373">
        <f>BY52+BZ52+CA52+CC52</f>
        <v>-372</v>
      </c>
    </row>
    <row r="53" spans="1:82" hidden="1">
      <c r="A53" s="40" t="s">
        <v>27</v>
      </c>
      <c r="B53" s="722">
        <v>-182.8</v>
      </c>
      <c r="C53" s="722">
        <v>744.34</v>
      </c>
      <c r="D53" s="722">
        <v>-781.95586589000004</v>
      </c>
      <c r="E53" s="722">
        <v>4074.5613771900003</v>
      </c>
      <c r="F53" s="722">
        <v>1387.0520770999997</v>
      </c>
      <c r="G53" s="722">
        <v>1614.7346729399999</v>
      </c>
      <c r="CC53" s="30">
        <v>-231</v>
      </c>
      <c r="CD53" s="373">
        <f>BY53+BZ53+CA53+CC53</f>
        <v>-231</v>
      </c>
    </row>
    <row r="54" spans="1:82" hidden="1">
      <c r="A54" s="40" t="s">
        <v>28</v>
      </c>
      <c r="B54" s="722">
        <v>-365.4</v>
      </c>
      <c r="C54" s="722">
        <v>526.57806665999999</v>
      </c>
      <c r="D54" s="722">
        <v>-752.90667431999998</v>
      </c>
      <c r="E54" s="722">
        <v>4384.4518599799994</v>
      </c>
      <c r="F54" s="722">
        <v>1513.8522416599999</v>
      </c>
      <c r="G54" s="722">
        <v>1541.96969631</v>
      </c>
      <c r="CD54" s="373"/>
    </row>
    <row r="55" spans="1:82" hidden="1">
      <c r="A55" s="40" t="s">
        <v>29</v>
      </c>
      <c r="B55" s="722">
        <v>-655.7</v>
      </c>
      <c r="C55" s="722">
        <v>503.7</v>
      </c>
      <c r="D55" s="722">
        <v>-971.6</v>
      </c>
      <c r="E55" s="722">
        <v>4642.6000000000004</v>
      </c>
      <c r="F55" s="722">
        <v>1687.8</v>
      </c>
      <c r="G55" s="722">
        <v>1495.6</v>
      </c>
      <c r="CC55" s="30" t="e">
        <f>#REF!+CC39-CC41+CC52-CC53</f>
        <v>#REF!</v>
      </c>
      <c r="CD55" s="373" t="e">
        <f>BY55+BZ55+CA55+CC55</f>
        <v>#REF!</v>
      </c>
    </row>
    <row r="56" spans="1:82" ht="16.5" customHeight="1">
      <c r="A56" s="40" t="s">
        <v>114</v>
      </c>
      <c r="B56" s="722">
        <v>-1076.56758969</v>
      </c>
      <c r="C56" s="722">
        <v>1179.7</v>
      </c>
      <c r="D56" s="722">
        <v>-2048.5</v>
      </c>
      <c r="E56" s="722">
        <v>7223.1</v>
      </c>
      <c r="F56" s="722">
        <v>1934.8</v>
      </c>
      <c r="G56" s="722">
        <v>2413.1999999999998</v>
      </c>
    </row>
    <row r="57" spans="1:82" hidden="1">
      <c r="A57" s="40" t="s">
        <v>18</v>
      </c>
      <c r="B57" s="709">
        <v>-568.5</v>
      </c>
      <c r="C57" s="709">
        <v>608.29999999999995</v>
      </c>
      <c r="D57" s="709">
        <v>-975</v>
      </c>
      <c r="E57" s="709">
        <v>4800.2</v>
      </c>
      <c r="F57" s="709">
        <v>1571.3</v>
      </c>
      <c r="G57" s="709">
        <v>1554.4</v>
      </c>
    </row>
    <row r="58" spans="1:82" ht="15" hidden="1" customHeight="1">
      <c r="A58" s="40" t="s">
        <v>19</v>
      </c>
      <c r="B58" s="709">
        <v>-106.3</v>
      </c>
      <c r="C58" s="709">
        <v>1083.3</v>
      </c>
      <c r="D58" s="709">
        <v>-964.6</v>
      </c>
      <c r="E58" s="709">
        <v>4856</v>
      </c>
      <c r="F58" s="709">
        <v>1680.1</v>
      </c>
      <c r="G58" s="709">
        <v>1948.6</v>
      </c>
    </row>
    <row r="59" spans="1:82" ht="15.75" hidden="1" customHeight="1">
      <c r="A59" s="40" t="s">
        <v>20</v>
      </c>
      <c r="B59" s="709">
        <v>-281</v>
      </c>
      <c r="C59" s="709">
        <v>919.5</v>
      </c>
      <c r="D59" s="709">
        <v>-980.6</v>
      </c>
      <c r="E59" s="709">
        <v>4967.3999999999996</v>
      </c>
      <c r="F59" s="709">
        <v>1693</v>
      </c>
      <c r="G59" s="709">
        <v>1913</v>
      </c>
    </row>
    <row r="60" spans="1:82" ht="15.75" hidden="1" customHeight="1">
      <c r="A60" s="40" t="s">
        <v>21</v>
      </c>
      <c r="B60" s="709">
        <v>-247.8</v>
      </c>
      <c r="C60" s="709">
        <v>1002.9</v>
      </c>
      <c r="D60" s="709">
        <v>-1020.8</v>
      </c>
      <c r="E60" s="709">
        <v>5259.3</v>
      </c>
      <c r="F60" s="709">
        <v>1693</v>
      </c>
      <c r="G60" s="709">
        <v>1986.8</v>
      </c>
    </row>
    <row r="61" spans="1:82" s="6" customFormat="1" hidden="1">
      <c r="A61" s="40" t="s">
        <v>22</v>
      </c>
      <c r="B61" s="709">
        <v>-581.9</v>
      </c>
      <c r="C61" s="709">
        <v>861.4</v>
      </c>
      <c r="D61" s="709">
        <v>-1208.8</v>
      </c>
      <c r="E61" s="709">
        <v>6126.5</v>
      </c>
      <c r="F61" s="709">
        <v>1625.9</v>
      </c>
      <c r="G61" s="709">
        <v>2231.1</v>
      </c>
    </row>
    <row r="62" spans="1:82" ht="15" hidden="1" customHeight="1">
      <c r="A62" s="40" t="s">
        <v>23</v>
      </c>
      <c r="B62" s="709">
        <v>-593.5</v>
      </c>
      <c r="C62" s="709">
        <v>921.8</v>
      </c>
      <c r="D62" s="709">
        <v>-1262.2</v>
      </c>
      <c r="E62" s="709">
        <v>6241.9</v>
      </c>
      <c r="F62" s="709">
        <v>1738.5</v>
      </c>
      <c r="G62" s="709">
        <v>2403.8000000000002</v>
      </c>
    </row>
    <row r="63" spans="1:82" ht="15" hidden="1" customHeight="1">
      <c r="A63" s="40" t="s">
        <v>24</v>
      </c>
      <c r="B63" s="709">
        <v>-825.3</v>
      </c>
      <c r="C63" s="709">
        <v>896.9</v>
      </c>
      <c r="D63" s="709">
        <v>-1393.5</v>
      </c>
      <c r="E63" s="709">
        <v>6436.5</v>
      </c>
      <c r="F63" s="709">
        <v>1722.1</v>
      </c>
      <c r="G63" s="709">
        <v>2325.6</v>
      </c>
    </row>
    <row r="64" spans="1:82" s="6" customFormat="1" ht="15" hidden="1" customHeight="1">
      <c r="A64" s="40" t="s">
        <v>25</v>
      </c>
      <c r="B64" s="709">
        <v>-795.6</v>
      </c>
      <c r="C64" s="709">
        <v>1132.7</v>
      </c>
      <c r="D64" s="709">
        <v>-1598.3</v>
      </c>
      <c r="E64" s="709">
        <v>6558.4</v>
      </c>
      <c r="F64" s="709">
        <v>1814.4</v>
      </c>
      <c r="G64" s="709">
        <v>2271.5</v>
      </c>
    </row>
    <row r="65" spans="1:7" ht="16.5" hidden="1" customHeight="1">
      <c r="A65" s="40" t="s">
        <v>26</v>
      </c>
      <c r="B65" s="709">
        <v>-869</v>
      </c>
      <c r="C65" s="709">
        <v>1458.1</v>
      </c>
      <c r="D65" s="709">
        <v>-2001</v>
      </c>
      <c r="E65" s="709">
        <v>6685.6</v>
      </c>
      <c r="F65" s="709">
        <v>1880.9</v>
      </c>
      <c r="G65" s="709">
        <v>2135.3000000000002</v>
      </c>
    </row>
    <row r="66" spans="1:7" ht="15" hidden="1" customHeight="1">
      <c r="A66" s="40" t="s">
        <v>27</v>
      </c>
      <c r="B66" s="709">
        <v>-900</v>
      </c>
      <c r="C66" s="709">
        <v>1542.9</v>
      </c>
      <c r="D66" s="709">
        <v>-2155.1999999999998</v>
      </c>
      <c r="E66" s="709">
        <v>6792.3</v>
      </c>
      <c r="F66" s="709">
        <v>1806.1</v>
      </c>
      <c r="G66" s="709">
        <v>2164.1999999999998</v>
      </c>
    </row>
    <row r="67" spans="1:7" ht="15" hidden="1" customHeight="1">
      <c r="A67" s="40" t="s">
        <v>28</v>
      </c>
      <c r="B67" s="709">
        <v>-1111.7</v>
      </c>
      <c r="C67" s="709">
        <v>1198.4000000000001</v>
      </c>
      <c r="D67" s="709">
        <v>-2044.7</v>
      </c>
      <c r="E67" s="709">
        <v>6956.6</v>
      </c>
      <c r="F67" s="709">
        <v>1843.9</v>
      </c>
      <c r="G67" s="709">
        <v>2205.8000000000002</v>
      </c>
    </row>
    <row r="68" spans="1:7" ht="15" hidden="1" customHeight="1">
      <c r="A68" s="40" t="s">
        <v>29</v>
      </c>
      <c r="B68" s="709">
        <v>-1076.56758969</v>
      </c>
      <c r="C68" s="709">
        <v>1179.7</v>
      </c>
      <c r="D68" s="709">
        <v>-2048.5</v>
      </c>
      <c r="E68" s="709">
        <v>7223.1</v>
      </c>
      <c r="F68" s="709">
        <v>1934.8</v>
      </c>
      <c r="G68" s="709">
        <v>2413.1999999999998</v>
      </c>
    </row>
    <row r="69" spans="1:7" ht="16.5" customHeight="1">
      <c r="A69" s="40" t="s">
        <v>43</v>
      </c>
      <c r="B69" s="722">
        <v>-727.8</v>
      </c>
      <c r="C69" s="722">
        <v>1273.7</v>
      </c>
      <c r="D69" s="722">
        <v>-1932.3</v>
      </c>
      <c r="E69" s="722">
        <v>8554.7000000000007</v>
      </c>
      <c r="F69" s="722">
        <v>1991.5</v>
      </c>
      <c r="G69" s="722">
        <v>2300</v>
      </c>
    </row>
    <row r="70" spans="1:7" ht="19.5" hidden="1" customHeight="1">
      <c r="A70" s="40" t="s">
        <v>18</v>
      </c>
      <c r="B70" s="709">
        <v>-976.8</v>
      </c>
      <c r="C70" s="709">
        <v>1263.7</v>
      </c>
      <c r="D70" s="709">
        <v>-2034.5</v>
      </c>
      <c r="E70" s="709">
        <v>7253.4</v>
      </c>
      <c r="F70" s="709">
        <v>1697.6</v>
      </c>
      <c r="G70" s="709">
        <v>2414.6</v>
      </c>
    </row>
    <row r="71" spans="1:7" ht="17.25" hidden="1" customHeight="1">
      <c r="A71" s="40" t="s">
        <v>19</v>
      </c>
      <c r="B71" s="709">
        <v>-964.6</v>
      </c>
      <c r="C71" s="709">
        <v>1195.5999999999999</v>
      </c>
      <c r="D71" s="709">
        <v>-1969.9</v>
      </c>
      <c r="E71" s="709">
        <v>6768.4</v>
      </c>
      <c r="F71" s="709">
        <v>1594.2</v>
      </c>
      <c r="G71" s="709">
        <v>2063.6</v>
      </c>
    </row>
    <row r="72" spans="1:7" ht="16.5" hidden="1" customHeight="1">
      <c r="A72" s="40" t="s">
        <v>20</v>
      </c>
      <c r="B72" s="709">
        <v>-941.1</v>
      </c>
      <c r="C72" s="709">
        <v>1101.8</v>
      </c>
      <c r="D72" s="709">
        <v>-1908.6</v>
      </c>
      <c r="E72" s="709">
        <v>6298.1</v>
      </c>
      <c r="F72" s="709">
        <v>1434.6</v>
      </c>
      <c r="G72" s="709">
        <v>1656.5</v>
      </c>
    </row>
    <row r="73" spans="1:7" ht="16.5" hidden="1" customHeight="1">
      <c r="A73" s="40" t="s">
        <v>21</v>
      </c>
      <c r="B73" s="709">
        <v>-888.3</v>
      </c>
      <c r="C73" s="709">
        <v>1142.4000000000001</v>
      </c>
      <c r="D73" s="709">
        <v>-1938.1</v>
      </c>
      <c r="E73" s="709">
        <v>6379.4</v>
      </c>
      <c r="F73" s="709">
        <v>1433.7</v>
      </c>
      <c r="G73" s="709">
        <v>1770.2</v>
      </c>
    </row>
    <row r="74" spans="1:7" ht="22.5" hidden="1" customHeight="1">
      <c r="A74" s="40" t="s">
        <v>22</v>
      </c>
      <c r="B74" s="709">
        <v>-887.6</v>
      </c>
      <c r="C74" s="709">
        <v>1120.4000000000001</v>
      </c>
      <c r="D74" s="709">
        <v>-1928.5</v>
      </c>
      <c r="E74" s="709">
        <v>6485.9</v>
      </c>
      <c r="F74" s="709">
        <v>1410.4</v>
      </c>
      <c r="G74" s="709">
        <v>1800.8</v>
      </c>
    </row>
    <row r="75" spans="1:7" ht="16.5" hidden="1" customHeight="1">
      <c r="A75" s="40" t="s">
        <v>23</v>
      </c>
      <c r="B75" s="709">
        <v>-827.2</v>
      </c>
      <c r="C75" s="709">
        <v>1088.8</v>
      </c>
      <c r="D75" s="709">
        <v>-1845.2</v>
      </c>
      <c r="E75" s="709">
        <v>6567.3</v>
      </c>
      <c r="F75" s="709">
        <v>1381.7</v>
      </c>
      <c r="G75" s="709">
        <v>1821.9</v>
      </c>
    </row>
    <row r="76" spans="1:7" ht="16.5" hidden="1" customHeight="1">
      <c r="A76" s="40" t="s">
        <v>24</v>
      </c>
      <c r="B76" s="709">
        <v>-482.4</v>
      </c>
      <c r="C76" s="709">
        <v>1424.6</v>
      </c>
      <c r="D76" s="709">
        <v>-1843.2</v>
      </c>
      <c r="E76" s="709">
        <v>7321.1</v>
      </c>
      <c r="F76" s="709">
        <v>1429.3</v>
      </c>
      <c r="G76" s="709">
        <v>2490.8000000000002</v>
      </c>
    </row>
    <row r="77" spans="1:7" ht="19.5" hidden="1" customHeight="1">
      <c r="A77" s="40" t="s">
        <v>25</v>
      </c>
      <c r="B77" s="709">
        <v>-612.70000000000005</v>
      </c>
      <c r="C77" s="709">
        <v>1266</v>
      </c>
      <c r="D77" s="709">
        <v>-1812.6</v>
      </c>
      <c r="E77" s="709">
        <v>7732.1</v>
      </c>
      <c r="F77" s="709">
        <v>1676.1</v>
      </c>
      <c r="G77" s="709">
        <v>2235.6</v>
      </c>
    </row>
    <row r="78" spans="1:7" ht="16.5" hidden="1" customHeight="1">
      <c r="A78" s="40" t="s">
        <v>26</v>
      </c>
      <c r="B78" s="709">
        <v>-693</v>
      </c>
      <c r="C78" s="709">
        <v>1167</v>
      </c>
      <c r="D78" s="709">
        <v>-1796.8</v>
      </c>
      <c r="E78" s="709">
        <v>7904.8</v>
      </c>
      <c r="F78" s="709">
        <v>1599.5</v>
      </c>
      <c r="G78" s="709">
        <v>2236</v>
      </c>
    </row>
    <row r="79" spans="1:7" ht="18" hidden="1" customHeight="1">
      <c r="A79" s="40" t="s">
        <v>27</v>
      </c>
      <c r="B79" s="709">
        <v>-690.8</v>
      </c>
      <c r="C79" s="709">
        <v>1182.2</v>
      </c>
      <c r="D79" s="709">
        <v>-1803.6</v>
      </c>
      <c r="E79" s="709">
        <v>8126.6</v>
      </c>
      <c r="F79" s="709">
        <v>1713.7</v>
      </c>
      <c r="G79" s="709">
        <v>2287.1</v>
      </c>
    </row>
    <row r="80" spans="1:7" ht="16.5" hidden="1" customHeight="1">
      <c r="A80" s="40" t="s">
        <v>28</v>
      </c>
      <c r="B80" s="709">
        <v>-755.5</v>
      </c>
      <c r="C80" s="709">
        <v>1140.5</v>
      </c>
      <c r="D80" s="709">
        <v>-1828.5</v>
      </c>
      <c r="E80" s="709">
        <v>8252.2000000000007</v>
      </c>
      <c r="F80" s="709">
        <v>1764</v>
      </c>
      <c r="G80" s="709">
        <v>2329.3000000000002</v>
      </c>
    </row>
    <row r="81" spans="1:7" ht="15.75" hidden="1" customHeight="1">
      <c r="A81" s="40" t="s">
        <v>29</v>
      </c>
      <c r="B81" s="709">
        <v>-727.8</v>
      </c>
      <c r="C81" s="709">
        <v>1273.7</v>
      </c>
      <c r="D81" s="709">
        <v>-1932.3</v>
      </c>
      <c r="E81" s="709">
        <v>8554.7000000000007</v>
      </c>
      <c r="F81" s="709">
        <v>1991.5</v>
      </c>
      <c r="G81" s="709">
        <v>2300</v>
      </c>
    </row>
    <row r="82" spans="1:7" ht="17.25" customHeight="1">
      <c r="A82" s="40" t="s">
        <v>48</v>
      </c>
      <c r="B82" s="709"/>
      <c r="C82" s="709"/>
      <c r="D82" s="709"/>
      <c r="E82" s="709"/>
      <c r="F82" s="709"/>
      <c r="G82" s="709"/>
    </row>
    <row r="83" spans="1:7" ht="15.75" customHeight="1">
      <c r="A83" s="40" t="s">
        <v>18</v>
      </c>
      <c r="B83" s="709">
        <v>-771.9</v>
      </c>
      <c r="C83" s="709">
        <v>1276.5</v>
      </c>
      <c r="D83" s="709">
        <v>-1976.9</v>
      </c>
      <c r="E83" s="709">
        <v>8611.7000000000007</v>
      </c>
      <c r="F83" s="709">
        <v>1862.4</v>
      </c>
      <c r="G83" s="709">
        <v>2306.1</v>
      </c>
    </row>
    <row r="84" spans="1:7" ht="17.25" customHeight="1">
      <c r="A84" s="40" t="s">
        <v>19</v>
      </c>
      <c r="B84" s="709">
        <v>-808.6</v>
      </c>
      <c r="C84" s="709">
        <v>1338</v>
      </c>
      <c r="D84" s="709">
        <v>-2066.8000000000002</v>
      </c>
      <c r="E84" s="709">
        <v>8548.9</v>
      </c>
      <c r="F84" s="709">
        <v>1762.4</v>
      </c>
      <c r="G84" s="709">
        <v>2279.4</v>
      </c>
    </row>
    <row r="85" spans="1:7" ht="15" customHeight="1">
      <c r="A85" s="40" t="s">
        <v>20</v>
      </c>
      <c r="B85" s="709">
        <v>-698.6</v>
      </c>
      <c r="C85" s="709">
        <v>1613.5</v>
      </c>
      <c r="D85" s="709">
        <v>-2233.5</v>
      </c>
      <c r="E85" s="709">
        <v>8656.7999999999993</v>
      </c>
      <c r="F85" s="709">
        <v>1863.2</v>
      </c>
      <c r="G85" s="709">
        <v>2490.9</v>
      </c>
    </row>
    <row r="86" spans="1:7" ht="16.5" customHeight="1">
      <c r="A86" s="40" t="s">
        <v>21</v>
      </c>
      <c r="B86" s="709">
        <v>-947.9</v>
      </c>
      <c r="C86" s="709">
        <v>1518.3</v>
      </c>
      <c r="D86" s="709">
        <v>-2381.4</v>
      </c>
      <c r="E86" s="709">
        <v>8795.9</v>
      </c>
      <c r="F86" s="709">
        <v>1904.1</v>
      </c>
      <c r="G86" s="709">
        <v>2387.8000000000002</v>
      </c>
    </row>
    <row r="87" spans="1:7" ht="15.75" customHeight="1">
      <c r="A87" s="40" t="s">
        <v>22</v>
      </c>
      <c r="B87" s="709">
        <v>-813.4</v>
      </c>
      <c r="C87" s="709">
        <v>1386.5</v>
      </c>
      <c r="D87" s="709">
        <v>-2117.4</v>
      </c>
      <c r="E87" s="709">
        <v>8943.9</v>
      </c>
      <c r="F87" s="709">
        <v>1901.3</v>
      </c>
      <c r="G87" s="709">
        <v>2475.8000000000002</v>
      </c>
    </row>
    <row r="88" spans="1:7" ht="18" customHeight="1">
      <c r="A88" s="40" t="s">
        <v>23</v>
      </c>
      <c r="B88" s="709">
        <v>-800.6</v>
      </c>
      <c r="C88" s="709">
        <v>1453.4</v>
      </c>
      <c r="D88" s="709">
        <v>-2170.1</v>
      </c>
      <c r="E88" s="709">
        <v>9031.7000000000007</v>
      </c>
      <c r="F88" s="709">
        <v>2035.8</v>
      </c>
      <c r="G88" s="709">
        <v>2453</v>
      </c>
    </row>
    <row r="89" spans="1:7" ht="16.5" customHeight="1">
      <c r="A89" s="40" t="s">
        <v>24</v>
      </c>
      <c r="B89" s="709">
        <v>-1053.4000000000001</v>
      </c>
      <c r="C89" s="709">
        <v>1297.4000000000001</v>
      </c>
      <c r="D89" s="709">
        <v>-2266.5</v>
      </c>
      <c r="E89" s="709">
        <v>8850.7000000000007</v>
      </c>
      <c r="F89" s="709">
        <v>2075.5</v>
      </c>
      <c r="G89" s="709">
        <v>2162.5</v>
      </c>
    </row>
    <row r="90" spans="1:7" ht="19.5" customHeight="1">
      <c r="A90" s="40" t="s">
        <v>25</v>
      </c>
      <c r="B90" s="709">
        <v>-1008.7</v>
      </c>
      <c r="C90" s="709">
        <v>1286.2</v>
      </c>
      <c r="D90" s="709">
        <v>-2209.6999999999998</v>
      </c>
      <c r="E90" s="709">
        <v>9009.5</v>
      </c>
      <c r="F90" s="709">
        <v>2191.5</v>
      </c>
      <c r="G90" s="709">
        <v>2268.4</v>
      </c>
    </row>
    <row r="91" spans="1:7" ht="15.75" customHeight="1">
      <c r="A91" s="40" t="s">
        <v>26</v>
      </c>
      <c r="B91" s="709">
        <v>-1027.0999999999999</v>
      </c>
      <c r="C91" s="709">
        <v>1357.8</v>
      </c>
      <c r="D91" s="709">
        <v>-2295.4</v>
      </c>
      <c r="E91" s="709">
        <v>9159</v>
      </c>
      <c r="F91" s="709">
        <v>2255.1999999999998</v>
      </c>
      <c r="G91" s="709">
        <v>2233.9</v>
      </c>
    </row>
    <row r="92" spans="1:7" ht="15.75" customHeight="1">
      <c r="A92" s="40" t="s">
        <v>27</v>
      </c>
      <c r="B92" s="709">
        <v>-1235.3</v>
      </c>
      <c r="C92" s="709">
        <v>1289.5</v>
      </c>
      <c r="D92" s="709">
        <v>-2504</v>
      </c>
      <c r="E92" s="709">
        <v>9255.2999999999993</v>
      </c>
      <c r="F92" s="709">
        <v>2368.1999999999998</v>
      </c>
      <c r="G92" s="709">
        <v>2305.4</v>
      </c>
    </row>
    <row r="93" spans="1:7" ht="14.25" customHeight="1">
      <c r="A93" s="40" t="s">
        <v>28</v>
      </c>
      <c r="B93" s="709">
        <v>-1006.9</v>
      </c>
      <c r="C93" s="709">
        <v>1532.1</v>
      </c>
      <c r="D93" s="709">
        <v>-2469.1</v>
      </c>
      <c r="E93" s="709">
        <v>9350.7999999999993</v>
      </c>
      <c r="F93" s="709">
        <v>2421.9</v>
      </c>
      <c r="G93" s="709">
        <v>2203.1</v>
      </c>
    </row>
    <row r="94" spans="1:7" ht="15.75" customHeight="1">
      <c r="A94" s="40" t="s">
        <v>29</v>
      </c>
      <c r="B94" s="709">
        <v>-850</v>
      </c>
      <c r="C94" s="709">
        <v>1691.9</v>
      </c>
      <c r="D94" s="709">
        <v>-2470.4</v>
      </c>
      <c r="E94" s="709">
        <v>9386.2999999999993</v>
      </c>
      <c r="F94" s="709">
        <v>2839.5</v>
      </c>
      <c r="G94" s="709">
        <v>2230</v>
      </c>
    </row>
    <row r="95" spans="1:7" ht="14.25" customHeight="1">
      <c r="A95" s="40" t="s">
        <v>1045</v>
      </c>
      <c r="B95" s="709"/>
      <c r="C95" s="709"/>
      <c r="D95" s="709"/>
      <c r="E95" s="709"/>
      <c r="F95" s="709"/>
      <c r="G95" s="709"/>
    </row>
    <row r="96" spans="1:7" ht="15.75" customHeight="1">
      <c r="A96" s="40" t="s">
        <v>18</v>
      </c>
      <c r="B96" s="709">
        <v>-717.5</v>
      </c>
      <c r="C96" s="709">
        <v>1833.7</v>
      </c>
      <c r="D96" s="709">
        <v>-2484.6999999999998</v>
      </c>
      <c r="E96" s="709">
        <v>9383.2999999999993</v>
      </c>
      <c r="F96" s="709">
        <v>2494.6999999999998</v>
      </c>
      <c r="G96" s="709">
        <v>2343.5</v>
      </c>
    </row>
    <row r="97" spans="1:7" ht="14.25" customHeight="1">
      <c r="A97" s="40" t="s">
        <v>19</v>
      </c>
      <c r="B97" s="709">
        <v>-764.6</v>
      </c>
      <c r="C97" s="709">
        <v>1793.3</v>
      </c>
      <c r="D97" s="709">
        <v>-2501.3000000000002</v>
      </c>
      <c r="E97" s="709">
        <v>9401.9</v>
      </c>
      <c r="F97" s="709">
        <v>2540.6</v>
      </c>
      <c r="G97" s="709">
        <v>2364.9</v>
      </c>
    </row>
    <row r="98" spans="1:7" ht="15.75" customHeight="1">
      <c r="A98" s="40" t="s">
        <v>20</v>
      </c>
      <c r="B98" s="709">
        <v>-624.29999999999995</v>
      </c>
      <c r="C98" s="709">
        <v>1954.4</v>
      </c>
      <c r="D98" s="709">
        <v>-2531.1999999999998</v>
      </c>
      <c r="E98" s="709">
        <v>8597.2999999999993</v>
      </c>
      <c r="F98" s="709">
        <v>2682.9</v>
      </c>
      <c r="G98" s="709">
        <v>2641.9</v>
      </c>
    </row>
    <row r="99" spans="1:7" ht="15.75" customHeight="1">
      <c r="A99" s="40" t="s">
        <v>21</v>
      </c>
      <c r="B99" s="709">
        <v>-719.3</v>
      </c>
      <c r="C99" s="709">
        <v>1827.8</v>
      </c>
      <c r="D99" s="709">
        <v>-2503.1999999999998</v>
      </c>
      <c r="E99" s="709">
        <v>8894.0219791599993</v>
      </c>
      <c r="F99" s="709">
        <v>2710.9</v>
      </c>
      <c r="G99" s="709">
        <v>2584.1</v>
      </c>
    </row>
    <row r="100" spans="1:7" ht="15.75" customHeight="1">
      <c r="A100" s="40" t="s">
        <v>22</v>
      </c>
      <c r="B100" s="709">
        <v>-702</v>
      </c>
      <c r="C100" s="709">
        <v>1811</v>
      </c>
      <c r="D100" s="709">
        <v>-2468</v>
      </c>
      <c r="E100" s="709">
        <v>9040.0538178499937</v>
      </c>
      <c r="F100" s="709">
        <v>2773.9</v>
      </c>
      <c r="G100" s="709">
        <v>2664.1</v>
      </c>
    </row>
    <row r="101" spans="1:7" ht="15.75" customHeight="1">
      <c r="A101" s="40" t="s">
        <v>23</v>
      </c>
      <c r="B101" s="709">
        <v>-553.29999999999995</v>
      </c>
      <c r="C101" s="709">
        <v>1893.6</v>
      </c>
      <c r="D101" s="709">
        <v>-2404.9</v>
      </c>
      <c r="E101" s="709">
        <v>9231.0705042799982</v>
      </c>
      <c r="F101" s="709">
        <v>2873.9</v>
      </c>
      <c r="G101" s="709">
        <v>2677.2</v>
      </c>
    </row>
    <row r="102" spans="1:7" ht="15.75" customHeight="1">
      <c r="A102" s="40" t="s">
        <v>24</v>
      </c>
      <c r="B102" s="709">
        <v>-636.1</v>
      </c>
      <c r="C102" s="709">
        <v>1833.3</v>
      </c>
      <c r="D102" s="709">
        <v>-2428.9</v>
      </c>
      <c r="E102" s="709">
        <v>9425.6461800399975</v>
      </c>
      <c r="F102" s="709">
        <v>3141.5</v>
      </c>
      <c r="G102" s="709">
        <v>2569.8000000000002</v>
      </c>
    </row>
    <row r="103" spans="1:7" ht="15.75" customHeight="1">
      <c r="A103" s="40" t="s">
        <v>25</v>
      </c>
      <c r="B103" s="709">
        <v>-837.1</v>
      </c>
      <c r="C103" s="709">
        <v>1686.2</v>
      </c>
      <c r="D103" s="709">
        <v>-2487.8000000000002</v>
      </c>
      <c r="E103" s="709">
        <v>9843.7767524999981</v>
      </c>
      <c r="F103" s="709">
        <v>3064.3</v>
      </c>
      <c r="G103" s="709">
        <v>2766.4</v>
      </c>
    </row>
    <row r="104" spans="1:7" ht="15.75" customHeight="1">
      <c r="A104" s="40" t="s">
        <v>26</v>
      </c>
      <c r="B104" s="709">
        <v>-577.70000000000005</v>
      </c>
      <c r="C104" s="709">
        <v>1875.8</v>
      </c>
      <c r="D104" s="709">
        <v>-2426.8000000000002</v>
      </c>
      <c r="E104" s="709">
        <v>9997.8195771700011</v>
      </c>
      <c r="F104" s="709">
        <v>3152.8</v>
      </c>
      <c r="G104" s="709">
        <v>3021.9</v>
      </c>
    </row>
    <row r="105" spans="1:7" ht="15.75" customHeight="1">
      <c r="A105" s="40" t="s">
        <v>27</v>
      </c>
      <c r="B105" s="709">
        <v>-647.70000000000005</v>
      </c>
      <c r="C105" s="709">
        <v>1741.7</v>
      </c>
      <c r="D105" s="709">
        <v>-2372</v>
      </c>
      <c r="E105" s="709">
        <v>10110.52391462</v>
      </c>
      <c r="F105" s="709">
        <v>3231.9</v>
      </c>
      <c r="G105" s="709">
        <v>2903.6</v>
      </c>
    </row>
    <row r="106" spans="1:7" ht="15.75" customHeight="1">
      <c r="A106" s="40" t="s">
        <v>28</v>
      </c>
      <c r="B106" s="709">
        <v>-663.7</v>
      </c>
      <c r="C106" s="709">
        <v>1689</v>
      </c>
      <c r="D106" s="709">
        <v>-2343.5</v>
      </c>
      <c r="E106" s="709">
        <v>10187.593105730004</v>
      </c>
      <c r="F106" s="709">
        <v>3448.3</v>
      </c>
      <c r="G106" s="709">
        <v>2838.8</v>
      </c>
    </row>
    <row r="107" spans="1:7" ht="15.75" customHeight="1">
      <c r="A107" s="40" t="s">
        <v>29</v>
      </c>
      <c r="B107" s="709">
        <v>-698.5</v>
      </c>
      <c r="C107" s="709">
        <v>1762.6</v>
      </c>
      <c r="D107" s="709">
        <v>-2432.3000000000002</v>
      </c>
      <c r="E107" s="709">
        <v>10294.254034680001</v>
      </c>
      <c r="F107" s="709">
        <v>3834.5</v>
      </c>
      <c r="G107" s="709">
        <v>2906</v>
      </c>
    </row>
    <row r="108" spans="1:7" ht="14.25" customHeight="1">
      <c r="A108" s="40" t="s">
        <v>1327</v>
      </c>
      <c r="B108" s="709"/>
      <c r="C108" s="709"/>
      <c r="D108" s="709"/>
      <c r="E108" s="709"/>
      <c r="F108" s="709"/>
      <c r="G108" s="709"/>
    </row>
    <row r="109" spans="1:7" ht="15.75" customHeight="1">
      <c r="A109" s="40" t="s">
        <v>18</v>
      </c>
      <c r="B109" s="709">
        <v>-608.4</v>
      </c>
      <c r="C109" s="709">
        <v>1860.8</v>
      </c>
      <c r="D109" s="709">
        <v>-2440.5</v>
      </c>
      <c r="E109" s="709">
        <v>10341</v>
      </c>
      <c r="F109" s="709">
        <v>3734.9</v>
      </c>
      <c r="G109" s="709">
        <v>2924</v>
      </c>
    </row>
    <row r="110" spans="1:7" ht="15.75" customHeight="1">
      <c r="A110" s="40" t="s">
        <v>19</v>
      </c>
      <c r="B110" s="709">
        <v>-512.79999999999995</v>
      </c>
      <c r="C110" s="709">
        <v>1992.2</v>
      </c>
      <c r="D110" s="709">
        <v>-2469</v>
      </c>
      <c r="E110" s="709">
        <v>10481.6</v>
      </c>
      <c r="F110" s="709">
        <v>3770.3</v>
      </c>
      <c r="G110" s="709">
        <v>3104.8</v>
      </c>
    </row>
    <row r="111" spans="1:7" ht="15.75" customHeight="1">
      <c r="A111" s="40" t="s">
        <v>20</v>
      </c>
      <c r="B111" s="709">
        <v>-419.1</v>
      </c>
      <c r="C111" s="709">
        <v>2152.6</v>
      </c>
      <c r="D111" s="709">
        <v>-2531.4</v>
      </c>
      <c r="E111" s="709">
        <v>10503.5</v>
      </c>
      <c r="F111" s="709">
        <v>4009.1</v>
      </c>
      <c r="G111" s="709">
        <v>3056.4</v>
      </c>
    </row>
    <row r="112" spans="1:7" ht="15.75" customHeight="1">
      <c r="A112" s="40" t="s">
        <v>21</v>
      </c>
      <c r="B112" s="709">
        <v>-269.10000000000002</v>
      </c>
      <c r="C112" s="709">
        <v>2280.6999999999998</v>
      </c>
      <c r="D112" s="709">
        <v>-2509.9</v>
      </c>
      <c r="E112" s="709">
        <v>10726.9</v>
      </c>
      <c r="F112" s="709">
        <v>3874.1</v>
      </c>
      <c r="G112" s="709">
        <v>3143.8</v>
      </c>
    </row>
    <row r="113" spans="1:7" ht="15.75" customHeight="1">
      <c r="A113" s="40" t="s">
        <v>22</v>
      </c>
      <c r="B113" s="709">
        <v>-323.8</v>
      </c>
      <c r="C113" s="709">
        <v>2147.3000000000002</v>
      </c>
      <c r="D113" s="709">
        <v>-2422.6</v>
      </c>
      <c r="E113" s="709">
        <v>10904.4</v>
      </c>
      <c r="F113" s="709">
        <v>3931</v>
      </c>
      <c r="G113" s="709">
        <v>3122.8</v>
      </c>
    </row>
    <row r="114" spans="1:7" ht="15.75" customHeight="1">
      <c r="A114" s="40" t="s">
        <v>23</v>
      </c>
      <c r="B114" s="709">
        <v>-710.2</v>
      </c>
      <c r="C114" s="709">
        <v>1807.6</v>
      </c>
      <c r="D114" s="709">
        <v>-2469.1</v>
      </c>
      <c r="E114" s="709">
        <v>11111.7</v>
      </c>
      <c r="F114" s="709">
        <v>3983.1</v>
      </c>
      <c r="G114" s="709">
        <v>2773.8</v>
      </c>
    </row>
    <row r="115" spans="1:7" ht="15.75" customHeight="1">
      <c r="A115" s="40" t="s">
        <v>24</v>
      </c>
      <c r="B115" s="709">
        <v>-735.6</v>
      </c>
      <c r="C115" s="709">
        <v>1833.3</v>
      </c>
      <c r="D115" s="709">
        <v>-2527</v>
      </c>
      <c r="E115" s="709">
        <v>11074.2</v>
      </c>
      <c r="F115" s="709">
        <v>3940.9</v>
      </c>
      <c r="G115" s="709">
        <v>2732</v>
      </c>
    </row>
    <row r="116" spans="1:7" ht="15.75" customHeight="1">
      <c r="A116" s="40" t="s">
        <v>25</v>
      </c>
      <c r="B116" s="709">
        <v>-942.3</v>
      </c>
      <c r="C116" s="709">
        <v>1800.4</v>
      </c>
      <c r="D116" s="709">
        <v>-2705.5</v>
      </c>
      <c r="E116" s="709">
        <v>11446.4</v>
      </c>
      <c r="F116" s="709">
        <v>4066</v>
      </c>
      <c r="G116" s="709">
        <v>2784.7</v>
      </c>
    </row>
    <row r="117" spans="1:7" ht="15.75" customHeight="1">
      <c r="A117" s="40" t="s">
        <v>26</v>
      </c>
      <c r="B117" s="709">
        <v>-900.2</v>
      </c>
      <c r="C117" s="709">
        <v>1978.3</v>
      </c>
      <c r="D117" s="709">
        <v>-2837.7</v>
      </c>
      <c r="E117" s="709">
        <v>11736.1</v>
      </c>
      <c r="F117" s="709">
        <v>4070.8</v>
      </c>
      <c r="G117" s="709">
        <v>2941</v>
      </c>
    </row>
    <row r="118" spans="1:7" ht="15.75" customHeight="1">
      <c r="A118" s="40" t="s">
        <v>27</v>
      </c>
      <c r="B118" s="709">
        <v>-924.6</v>
      </c>
      <c r="C118" s="709">
        <v>1968.8</v>
      </c>
      <c r="D118" s="709">
        <v>-2845.3</v>
      </c>
      <c r="E118" s="709">
        <v>12009.3</v>
      </c>
      <c r="F118" s="709">
        <v>4129.2</v>
      </c>
      <c r="G118" s="709">
        <v>3043</v>
      </c>
    </row>
    <row r="119" spans="1:7" ht="15.75" customHeight="1">
      <c r="A119" s="40" t="s">
        <v>28</v>
      </c>
      <c r="B119" s="709">
        <v>-847.8</v>
      </c>
      <c r="C119" s="709">
        <v>2095.6999999999998</v>
      </c>
      <c r="D119" s="709">
        <v>-2886.6</v>
      </c>
      <c r="E119" s="709">
        <v>12125.6</v>
      </c>
      <c r="F119" s="709">
        <v>4244</v>
      </c>
      <c r="G119" s="709">
        <v>3138.2</v>
      </c>
    </row>
    <row r="120" spans="1:7" ht="16.5" customHeight="1">
      <c r="A120" s="40" t="s">
        <v>29</v>
      </c>
      <c r="B120" s="709">
        <v>-1127.5999999999999</v>
      </c>
      <c r="C120" s="709">
        <v>2016.1</v>
      </c>
      <c r="D120" s="709">
        <v>-3073.6</v>
      </c>
      <c r="E120" s="709">
        <v>12656.3</v>
      </c>
      <c r="F120" s="709">
        <v>4535.6000000000004</v>
      </c>
      <c r="G120" s="709">
        <v>2968.9</v>
      </c>
    </row>
    <row r="121" spans="1:7" ht="14.25" customHeight="1">
      <c r="A121" s="40" t="s">
        <v>1449</v>
      </c>
      <c r="B121" s="709"/>
      <c r="C121" s="709"/>
      <c r="D121" s="709"/>
      <c r="E121" s="709"/>
      <c r="F121" s="709"/>
      <c r="G121" s="709"/>
    </row>
    <row r="122" spans="1:7" ht="15.75" customHeight="1">
      <c r="A122" s="40" t="s">
        <v>18</v>
      </c>
      <c r="B122" s="709">
        <v>-944.65710389000049</v>
      </c>
      <c r="C122" s="709">
        <v>2260.6321377300001</v>
      </c>
      <c r="D122" s="709">
        <v>-3123.7624453200006</v>
      </c>
      <c r="E122" s="709">
        <v>11945.563360509999</v>
      </c>
      <c r="F122" s="709">
        <v>4853.2337141300004</v>
      </c>
      <c r="G122" s="709">
        <v>2933.3503328599991</v>
      </c>
    </row>
    <row r="123" spans="1:7" ht="15.75" customHeight="1">
      <c r="A123" s="40" t="s">
        <v>19</v>
      </c>
      <c r="B123" s="709">
        <v>-1082.4762255299993</v>
      </c>
      <c r="C123" s="709">
        <v>2109.7419257999995</v>
      </c>
      <c r="D123" s="709">
        <v>-3131.859896949999</v>
      </c>
      <c r="E123" s="709">
        <v>11662.74066824</v>
      </c>
      <c r="F123" s="709">
        <v>5028.6653282799998</v>
      </c>
      <c r="G123" s="709">
        <v>2859.2012412199997</v>
      </c>
    </row>
    <row r="124" spans="1:7" ht="15.75" customHeight="1">
      <c r="A124" s="40" t="s">
        <v>20</v>
      </c>
      <c r="B124" s="709">
        <v>-696.03735523999967</v>
      </c>
      <c r="C124" s="709">
        <v>2488.1553495100002</v>
      </c>
      <c r="D124" s="709">
        <v>-3160.0316176699998</v>
      </c>
      <c r="E124" s="709">
        <v>11824.586201279999</v>
      </c>
      <c r="F124" s="709">
        <v>5165.0559255000007</v>
      </c>
      <c r="G124" s="709">
        <v>3260.62540399</v>
      </c>
    </row>
    <row r="125" spans="1:7" ht="15.75" customHeight="1">
      <c r="A125" s="40" t="s">
        <v>21</v>
      </c>
      <c r="B125" s="709">
        <v>-938.09110560000067</v>
      </c>
      <c r="C125" s="709">
        <v>2500.5469764799991</v>
      </c>
      <c r="D125" s="709">
        <v>-3417.4628642899997</v>
      </c>
      <c r="E125" s="709">
        <v>12385.504662919997</v>
      </c>
      <c r="F125" s="709">
        <v>5359.9754641899999</v>
      </c>
      <c r="G125" s="709">
        <v>3110.5819696300005</v>
      </c>
    </row>
    <row r="126" spans="1:7" ht="15.75" customHeight="1">
      <c r="A126" s="40" t="s">
        <v>22</v>
      </c>
      <c r="B126" s="709">
        <v>-942.88069798000083</v>
      </c>
      <c r="C126" s="709">
        <v>2525.7198820299991</v>
      </c>
      <c r="D126" s="709">
        <v>-3452.1512838399999</v>
      </c>
      <c r="E126" s="709">
        <v>12773.734028130004</v>
      </c>
      <c r="F126" s="709">
        <v>5382.6573775300003</v>
      </c>
      <c r="G126" s="709">
        <v>3118.5272214800002</v>
      </c>
    </row>
    <row r="127" spans="1:7" ht="15.75" customHeight="1">
      <c r="A127" s="40" t="s">
        <v>23</v>
      </c>
      <c r="B127" s="709">
        <v>-1380.1772533399985</v>
      </c>
      <c r="C127" s="709">
        <v>2279.8448922100006</v>
      </c>
      <c r="D127" s="709">
        <v>-3635.2836770499989</v>
      </c>
      <c r="E127" s="709">
        <v>13065.307436250005</v>
      </c>
      <c r="F127" s="709">
        <v>5435.9288016399996</v>
      </c>
      <c r="G127" s="709">
        <v>2823.7570112899998</v>
      </c>
    </row>
    <row r="128" spans="1:7" ht="15.75" customHeight="1">
      <c r="A128" s="40" t="s">
        <v>24</v>
      </c>
      <c r="B128" s="709">
        <v>-1344.8221988299995</v>
      </c>
      <c r="C128" s="709">
        <v>2464.5090043800005</v>
      </c>
      <c r="D128" s="709">
        <v>-3779.7908834</v>
      </c>
      <c r="E128" s="709">
        <v>13495.457277020001</v>
      </c>
      <c r="F128" s="709">
        <v>5436.6099973199998</v>
      </c>
      <c r="G128" s="709">
        <v>3037.80903291</v>
      </c>
    </row>
    <row r="129" spans="1:7" ht="15.75" customHeight="1">
      <c r="A129" s="40" t="s">
        <v>25</v>
      </c>
      <c r="B129" s="709">
        <v>-1520.593770720001</v>
      </c>
      <c r="C129" s="709">
        <v>2327.2204362699995</v>
      </c>
      <c r="D129" s="709">
        <v>-3784.1297370700004</v>
      </c>
      <c r="E129" s="709">
        <v>13626.724067990001</v>
      </c>
      <c r="F129" s="709">
        <v>5623.55217937</v>
      </c>
      <c r="G129" s="709">
        <v>2839.59442365</v>
      </c>
    </row>
    <row r="130" spans="1:7" ht="15.75" customHeight="1">
      <c r="A130" s="40" t="s">
        <v>26</v>
      </c>
      <c r="B130" s="709">
        <v>-1657.2634479099991</v>
      </c>
      <c r="C130" s="709">
        <v>2362.7929914500005</v>
      </c>
      <c r="D130" s="709">
        <v>-3978.5795170799997</v>
      </c>
      <c r="E130" s="709">
        <v>13935.324584949998</v>
      </c>
      <c r="F130" s="709">
        <v>5681.635409909999</v>
      </c>
      <c r="G130" s="709">
        <v>2945.224106919999</v>
      </c>
    </row>
    <row r="131" spans="1:7" ht="15.75" customHeight="1">
      <c r="A131" s="40" t="s">
        <v>27</v>
      </c>
      <c r="B131" s="709">
        <v>-1614.895307849999</v>
      </c>
      <c r="C131" s="709">
        <v>2461.6373334800005</v>
      </c>
      <c r="D131" s="709">
        <v>-4065.4660971299995</v>
      </c>
      <c r="E131" s="709">
        <v>14101.343214799999</v>
      </c>
      <c r="F131" s="709">
        <v>5746.0127448499998</v>
      </c>
      <c r="G131" s="709">
        <v>2954.0184568899999</v>
      </c>
    </row>
    <row r="132" spans="1:7" ht="15.75" customHeight="1">
      <c r="A132" s="40" t="s">
        <v>28</v>
      </c>
      <c r="B132" s="709">
        <v>-1566.5065488999999</v>
      </c>
      <c r="C132" s="709">
        <v>2727.6770678300013</v>
      </c>
      <c r="D132" s="709">
        <v>-4279.5094020200013</v>
      </c>
      <c r="E132" s="709">
        <v>14395.256042209998</v>
      </c>
      <c r="F132" s="709">
        <v>5797.7447458200004</v>
      </c>
      <c r="G132" s="709">
        <v>3182.4801153099997</v>
      </c>
    </row>
    <row r="133" spans="1:7" ht="15.75" customHeight="1">
      <c r="A133" s="40" t="s">
        <v>29</v>
      </c>
      <c r="B133" s="709">
        <v>-1745.1803926300004</v>
      </c>
      <c r="C133" s="709">
        <v>2533.6659378000008</v>
      </c>
      <c r="D133" s="709">
        <v>-4273.9113712500011</v>
      </c>
      <c r="E133" s="709">
        <v>14492.746447270001</v>
      </c>
      <c r="F133" s="709">
        <v>5965.5</v>
      </c>
      <c r="G133" s="709">
        <v>2854.6532663499997</v>
      </c>
    </row>
    <row r="134" spans="1:7" ht="14.25" customHeight="1">
      <c r="A134" s="40" t="s">
        <v>1660</v>
      </c>
      <c r="B134" s="709"/>
      <c r="C134" s="709"/>
      <c r="D134" s="709"/>
      <c r="E134" s="709"/>
      <c r="F134" s="709"/>
      <c r="G134" s="709"/>
    </row>
    <row r="135" spans="1:7" ht="15.75" customHeight="1">
      <c r="A135" s="40" t="s">
        <v>18</v>
      </c>
      <c r="B135" s="709">
        <v>-1688.4085730400016</v>
      </c>
      <c r="C135" s="709">
        <v>2592.6959930799994</v>
      </c>
      <c r="D135" s="709">
        <v>-4309.5825529400008</v>
      </c>
      <c r="E135" s="709">
        <v>14574.457826710002</v>
      </c>
      <c r="F135" s="709">
        <v>6057.2</v>
      </c>
      <c r="G135" s="709">
        <v>3061.9712525700002</v>
      </c>
    </row>
    <row r="136" spans="1:7" ht="15.75" customHeight="1">
      <c r="A136" s="40" t="s">
        <v>19</v>
      </c>
      <c r="B136" s="709">
        <v>-1578.7788008299972</v>
      </c>
      <c r="C136" s="709">
        <v>2799.8457317000011</v>
      </c>
      <c r="D136" s="709">
        <v>-4394.0847328799982</v>
      </c>
      <c r="E136" s="709">
        <v>14847.818625059999</v>
      </c>
      <c r="F136" s="709">
        <v>6159.4</v>
      </c>
      <c r="G136" s="709">
        <v>3148.8977077200002</v>
      </c>
    </row>
    <row r="137" spans="1:7" ht="15.75" customHeight="1">
      <c r="A137" s="40" t="s">
        <v>20</v>
      </c>
      <c r="B137" s="709">
        <v>-1516.66153571</v>
      </c>
      <c r="C137" s="709">
        <v>3040.8001508699995</v>
      </c>
      <c r="D137" s="709">
        <v>-4601.9514019399994</v>
      </c>
      <c r="E137" s="709">
        <v>15228.109717359999</v>
      </c>
      <c r="F137" s="709">
        <v>6169.2</v>
      </c>
      <c r="G137" s="709">
        <v>3244.7</v>
      </c>
    </row>
    <row r="138" spans="1:7" ht="15" customHeight="1">
      <c r="A138" s="40" t="s">
        <v>21</v>
      </c>
      <c r="B138" s="709">
        <v>-1329.4354866599995</v>
      </c>
      <c r="C138" s="709">
        <v>3143.7564729400005</v>
      </c>
      <c r="D138" s="709">
        <v>-4518.7582734699999</v>
      </c>
      <c r="E138" s="709">
        <v>15634.964043069998</v>
      </c>
      <c r="F138" s="709">
        <v>6429.3</v>
      </c>
      <c r="G138" s="709">
        <v>3302.9</v>
      </c>
    </row>
    <row r="139" spans="1:7" ht="15" customHeight="1">
      <c r="A139" s="40" t="s">
        <v>22</v>
      </c>
      <c r="B139" s="709">
        <v>-1624.9730067699988</v>
      </c>
      <c r="C139" s="709">
        <v>2911.7056099800006</v>
      </c>
      <c r="D139" s="709">
        <v>-4581.6950293399996</v>
      </c>
      <c r="E139" s="709">
        <v>16036.175753710004</v>
      </c>
      <c r="F139" s="709">
        <v>6472.7</v>
      </c>
      <c r="G139" s="709">
        <v>3272.7</v>
      </c>
    </row>
    <row r="140" spans="1:7" ht="15.75" customHeight="1">
      <c r="A140" s="40" t="s">
        <v>23</v>
      </c>
      <c r="B140" s="709">
        <v>-1444.185092939998</v>
      </c>
      <c r="C140" s="709">
        <v>3148.5938187200004</v>
      </c>
      <c r="D140" s="709">
        <v>-4630.0607184699984</v>
      </c>
      <c r="E140" s="709">
        <v>16123.148630310001</v>
      </c>
      <c r="F140" s="709">
        <v>6658.2</v>
      </c>
      <c r="G140" s="709">
        <v>3564.1</v>
      </c>
    </row>
    <row r="141" spans="1:7" ht="15.75" customHeight="1">
      <c r="A141" s="40" t="s">
        <v>24</v>
      </c>
      <c r="B141" s="709">
        <v>-1197.6603928099985</v>
      </c>
      <c r="C141" s="709">
        <v>3447.0984273899999</v>
      </c>
      <c r="D141" s="709">
        <v>-4695.8332580199985</v>
      </c>
      <c r="E141" s="709">
        <v>16417.850723740001</v>
      </c>
      <c r="F141" s="709">
        <v>6914.8</v>
      </c>
      <c r="G141" s="709">
        <v>3790.1</v>
      </c>
    </row>
    <row r="142" spans="1:7" ht="15.75" customHeight="1">
      <c r="A142" s="40" t="s">
        <v>25</v>
      </c>
      <c r="B142" s="709">
        <v>-1392.3962583499992</v>
      </c>
      <c r="C142" s="709">
        <v>3279.0771909100008</v>
      </c>
      <c r="D142" s="709">
        <v>-4713.4586376500001</v>
      </c>
      <c r="E142" s="709">
        <v>16744.60105311</v>
      </c>
      <c r="F142" s="709">
        <v>6951.4</v>
      </c>
      <c r="G142" s="709">
        <v>3854</v>
      </c>
    </row>
    <row r="143" spans="1:7" ht="15.75" customHeight="1">
      <c r="A143" s="40" t="s">
        <v>26</v>
      </c>
      <c r="B143" s="709">
        <v>-1557.9819082699994</v>
      </c>
      <c r="C143" s="709">
        <v>3132.0428804200001</v>
      </c>
      <c r="D143" s="709">
        <v>-4726.6059430799996</v>
      </c>
      <c r="E143" s="709">
        <v>17049.983864400001</v>
      </c>
      <c r="F143" s="709">
        <v>6967.2</v>
      </c>
      <c r="G143" s="709">
        <v>3765.3</v>
      </c>
    </row>
    <row r="144" spans="1:7" ht="15.75" customHeight="1">
      <c r="A144" s="40" t="s">
        <v>27</v>
      </c>
      <c r="B144" s="709">
        <v>-1515.1296545099983</v>
      </c>
      <c r="C144" s="709">
        <v>3293.2285732900004</v>
      </c>
      <c r="D144" s="709">
        <v>-4841.7042201799986</v>
      </c>
      <c r="E144" s="709">
        <v>17274.514971250002</v>
      </c>
      <c r="F144" s="709">
        <v>7034.7</v>
      </c>
      <c r="G144" s="709">
        <v>4002.1</v>
      </c>
    </row>
    <row r="145" spans="1:7" ht="15.75" customHeight="1">
      <c r="A145" s="40" t="s">
        <v>28</v>
      </c>
      <c r="B145" s="709">
        <v>-1287.8813396199996</v>
      </c>
      <c r="C145" s="709">
        <v>3665.3361290700009</v>
      </c>
      <c r="D145" s="709">
        <v>-4992.1725760300005</v>
      </c>
      <c r="E145" s="709">
        <v>17613.637115399997</v>
      </c>
      <c r="F145" s="709">
        <v>7189.4</v>
      </c>
      <c r="G145" s="709">
        <v>4164.3999999999996</v>
      </c>
    </row>
    <row r="146" spans="1:7" ht="15.75" customHeight="1">
      <c r="A146" s="40" t="s">
        <v>29</v>
      </c>
      <c r="B146" s="709">
        <v>-1805.627924840001</v>
      </c>
      <c r="C146" s="709">
        <v>3387.8689363599992</v>
      </c>
      <c r="D146" s="709">
        <v>-5242.3597403200001</v>
      </c>
      <c r="E146" s="709">
        <v>17896.836451949999</v>
      </c>
      <c r="F146" s="709">
        <v>7275.8</v>
      </c>
      <c r="G146" s="709">
        <v>4130.3</v>
      </c>
    </row>
    <row r="147" spans="1:7" ht="15.75" customHeight="1">
      <c r="A147" s="40" t="s">
        <v>1855</v>
      </c>
      <c r="B147" s="709"/>
      <c r="C147" s="709"/>
      <c r="D147" s="709"/>
      <c r="E147" s="709"/>
      <c r="F147" s="709"/>
      <c r="G147" s="709"/>
    </row>
    <row r="148" spans="1:7" ht="15.75" customHeight="1">
      <c r="A148" s="40" t="s">
        <v>18</v>
      </c>
      <c r="B148" s="709">
        <v>-1734.9105736299989</v>
      </c>
      <c r="C148" s="709">
        <v>3331.4081178500001</v>
      </c>
      <c r="D148" s="709">
        <v>-5138.7804128699991</v>
      </c>
      <c r="E148" s="709">
        <v>17758.091581010001</v>
      </c>
      <c r="F148" s="709">
        <v>6878.6093533100011</v>
      </c>
      <c r="G148" s="709">
        <v>4331.4927708200003</v>
      </c>
    </row>
    <row r="149" spans="1:7" ht="15.75" customHeight="1">
      <c r="A149" s="40" t="s">
        <v>19</v>
      </c>
      <c r="B149" s="709">
        <v>-3126.6945520600002</v>
      </c>
      <c r="C149" s="709">
        <v>4482.9042680099992</v>
      </c>
      <c r="D149" s="709">
        <v>-7736.2115726699994</v>
      </c>
      <c r="E149" s="709">
        <v>19834.382163069997</v>
      </c>
      <c r="F149" s="709">
        <v>5643.3262629000001</v>
      </c>
      <c r="G149" s="709">
        <v>6507.5951672600004</v>
      </c>
    </row>
    <row r="150" spans="1:7" ht="15.75" customHeight="1">
      <c r="A150" s="40" t="s">
        <v>20</v>
      </c>
      <c r="B150" s="709">
        <v>-2602.0168227900012</v>
      </c>
      <c r="C150" s="709">
        <v>4861.5508183599995</v>
      </c>
      <c r="D150" s="709">
        <v>-7599.7060326200008</v>
      </c>
      <c r="E150" s="709">
        <v>19729.008490550004</v>
      </c>
      <c r="F150" s="709">
        <v>5092.5902491500001</v>
      </c>
      <c r="G150" s="709">
        <v>7013.8795153299998</v>
      </c>
    </row>
    <row r="151" spans="1:7" ht="15.75" customHeight="1">
      <c r="A151" s="40" t="s">
        <v>21</v>
      </c>
      <c r="B151" s="709">
        <v>-1920.4881913500001</v>
      </c>
      <c r="C151" s="709">
        <v>5312.3738378399994</v>
      </c>
      <c r="D151" s="709">
        <v>-7381.4556557099995</v>
      </c>
      <c r="E151" s="709">
        <v>19717.097326090003</v>
      </c>
      <c r="F151" s="709">
        <v>4580.33506433</v>
      </c>
      <c r="G151" s="709">
        <v>7978.6870730800019</v>
      </c>
    </row>
    <row r="152" spans="1:7" ht="15.75" customHeight="1">
      <c r="A152" s="40" t="s">
        <v>22</v>
      </c>
      <c r="B152" s="709">
        <v>-2076.6141507299994</v>
      </c>
      <c r="C152" s="709">
        <v>5043.8532094800003</v>
      </c>
      <c r="D152" s="709">
        <v>-7246.7848869299996</v>
      </c>
      <c r="E152" s="709">
        <v>19708.305113650003</v>
      </c>
      <c r="F152" s="709">
        <v>4554.1832718900005</v>
      </c>
      <c r="G152" s="709">
        <v>7914.9119722200012</v>
      </c>
    </row>
    <row r="153" spans="1:7" ht="15.75" customHeight="1">
      <c r="A153" s="40" t="s">
        <v>23</v>
      </c>
      <c r="B153" s="709">
        <v>-2029.2156772999967</v>
      </c>
      <c r="C153" s="709">
        <v>4769.0458894500016</v>
      </c>
      <c r="D153" s="709">
        <v>-6926.2751237099983</v>
      </c>
      <c r="E153" s="709">
        <v>19622.373254300004</v>
      </c>
      <c r="F153" s="709">
        <v>4633.2296602300003</v>
      </c>
      <c r="G153" s="709">
        <v>7857.3233085800002</v>
      </c>
    </row>
    <row r="154" spans="1:7" ht="15.75" customHeight="1">
      <c r="A154" s="40" t="s">
        <v>24</v>
      </c>
      <c r="B154" s="709">
        <v>-1765.6060138800028</v>
      </c>
      <c r="C154" s="709">
        <v>4952.4026302699986</v>
      </c>
      <c r="D154" s="709">
        <v>-6823.8239818500015</v>
      </c>
      <c r="E154" s="709">
        <v>19493.113326610001</v>
      </c>
      <c r="F154" s="709">
        <v>4477.2368837800004</v>
      </c>
      <c r="G154" s="709">
        <v>8001.6960249400008</v>
      </c>
    </row>
    <row r="155" spans="1:7" ht="15.75" customHeight="1">
      <c r="A155" s="40" t="s">
        <v>25</v>
      </c>
      <c r="B155" s="709">
        <v>-1491.4169188600008</v>
      </c>
      <c r="C155" s="709">
        <v>4904.7459070099985</v>
      </c>
      <c r="D155" s="709">
        <v>-6524.4099915499992</v>
      </c>
      <c r="E155" s="709">
        <v>19309.197680590005</v>
      </c>
      <c r="F155" s="709">
        <v>4038.7197275000003</v>
      </c>
      <c r="G155" s="709">
        <v>8187.6833754799982</v>
      </c>
    </row>
    <row r="156" spans="1:7" ht="15.75" customHeight="1">
      <c r="A156" s="40" t="s">
        <v>26</v>
      </c>
      <c r="B156" s="709">
        <v>-1272.8679303300039</v>
      </c>
      <c r="C156" s="709">
        <v>4913.3011684099984</v>
      </c>
      <c r="D156" s="709">
        <v>-6311.4061940400024</v>
      </c>
      <c r="E156" s="709">
        <v>18387.245349370001</v>
      </c>
      <c r="F156" s="709">
        <v>3906.7503737700004</v>
      </c>
      <c r="G156" s="709">
        <v>8315.0105631900005</v>
      </c>
    </row>
    <row r="157" spans="1:7" ht="15.75" customHeight="1">
      <c r="A157" s="40" t="s">
        <v>27</v>
      </c>
      <c r="B157" s="709">
        <v>-992.19873984000026</v>
      </c>
      <c r="C157" s="709">
        <v>5039.6943665700001</v>
      </c>
      <c r="D157" s="709">
        <v>-6168.5911537000002</v>
      </c>
      <c r="E157" s="709">
        <v>17896.998184970009</v>
      </c>
      <c r="F157" s="709">
        <v>3924.6269119800004</v>
      </c>
      <c r="G157" s="709">
        <v>8004.8093400300004</v>
      </c>
    </row>
    <row r="158" spans="1:7" ht="15.75" customHeight="1">
      <c r="A158" s="40" t="s">
        <v>28</v>
      </c>
      <c r="B158" s="709">
        <v>-293.08665185999877</v>
      </c>
      <c r="C158" s="709">
        <v>5678.4673300900013</v>
      </c>
      <c r="D158" s="709">
        <v>-6097.48196921</v>
      </c>
      <c r="E158" s="709">
        <v>18062.559156980002</v>
      </c>
      <c r="F158" s="709">
        <v>3867.9456453000003</v>
      </c>
      <c r="G158" s="709">
        <v>8393.2747569000003</v>
      </c>
    </row>
    <row r="159" spans="1:7" ht="15.75" customHeight="1">
      <c r="A159" s="40" t="s">
        <v>29</v>
      </c>
      <c r="B159" s="709">
        <v>-381.84403809999827</v>
      </c>
      <c r="C159" s="709">
        <v>7650.5044214100017</v>
      </c>
      <c r="D159" s="709">
        <v>-8246.8994961699991</v>
      </c>
      <c r="E159" s="709">
        <v>20827.609560839999</v>
      </c>
      <c r="F159" s="709">
        <v>3895.8029514899999</v>
      </c>
      <c r="G159" s="709">
        <v>12608.498140200001</v>
      </c>
    </row>
    <row r="160" spans="1:7" ht="15.75" customHeight="1">
      <c r="A160" s="40" t="s">
        <v>1879</v>
      </c>
      <c r="B160" s="709"/>
      <c r="C160" s="709"/>
      <c r="D160" s="709"/>
      <c r="E160" s="709"/>
      <c r="F160" s="709"/>
      <c r="G160" s="709"/>
    </row>
    <row r="161" spans="1:7" ht="15.75" customHeight="1">
      <c r="A161" s="40" t="s">
        <v>18</v>
      </c>
      <c r="B161" s="709">
        <v>-201.29676440000105</v>
      </c>
      <c r="C161" s="709">
        <v>8009.4738433199991</v>
      </c>
      <c r="D161" s="709">
        <v>-8435.529301980001</v>
      </c>
      <c r="E161" s="709">
        <v>20305.450031090004</v>
      </c>
      <c r="F161" s="709">
        <v>3511.1933166999997</v>
      </c>
      <c r="G161" s="709">
        <v>11927.89790858</v>
      </c>
    </row>
    <row r="162" spans="1:7" ht="15.75" customHeight="1">
      <c r="A162" s="40" t="s">
        <v>19</v>
      </c>
      <c r="B162" s="709">
        <v>125.040998990002</v>
      </c>
      <c r="C162" s="709">
        <v>7350.3548348999993</v>
      </c>
      <c r="D162" s="709">
        <v>-7435.2672752699982</v>
      </c>
      <c r="E162" s="709">
        <v>19471.240562290004</v>
      </c>
      <c r="F162" s="709">
        <v>3717.2535188799998</v>
      </c>
      <c r="G162" s="709">
        <v>10910.386912459999</v>
      </c>
    </row>
    <row r="163" spans="1:7" ht="15.75" customHeight="1">
      <c r="A163" s="40" t="s">
        <v>20</v>
      </c>
      <c r="B163" s="709">
        <v>1891.6467564899963</v>
      </c>
      <c r="C163" s="709">
        <v>9127.5267238299984</v>
      </c>
      <c r="D163" s="709">
        <v>-7460.9849965100002</v>
      </c>
      <c r="E163" s="709">
        <v>18744.457143940002</v>
      </c>
      <c r="F163" s="709">
        <v>3901.8021862799997</v>
      </c>
      <c r="G163" s="709">
        <v>11692.052892049998</v>
      </c>
    </row>
    <row r="164" spans="1:7" ht="15.75" customHeight="1">
      <c r="A164" s="40" t="s">
        <v>21</v>
      </c>
      <c r="B164" s="709">
        <v>2011.6968336899999</v>
      </c>
      <c r="C164" s="709">
        <v>8557.8764045200005</v>
      </c>
      <c r="D164" s="709">
        <v>-6769.0439159300004</v>
      </c>
      <c r="E164" s="709">
        <v>17867.812120589999</v>
      </c>
      <c r="F164" s="709">
        <v>3894.8058592900002</v>
      </c>
      <c r="G164" s="709">
        <v>11359.940588299998</v>
      </c>
    </row>
    <row r="165" spans="1:7" ht="15.75" customHeight="1">
      <c r="A165" s="40" t="s">
        <v>22</v>
      </c>
      <c r="B165" s="709">
        <v>-1055.5446197900001</v>
      </c>
      <c r="C165" s="709">
        <v>5515.0281591300009</v>
      </c>
      <c r="D165" s="709">
        <v>-6722.6995824500009</v>
      </c>
      <c r="E165" s="709">
        <v>17302.279477950004</v>
      </c>
      <c r="F165" s="709">
        <v>4000.7744460499998</v>
      </c>
      <c r="G165" s="709">
        <v>11028.99703251</v>
      </c>
    </row>
    <row r="166" spans="1:7" ht="15.75" customHeight="1">
      <c r="A166" s="40" t="s">
        <v>23</v>
      </c>
      <c r="B166" s="709">
        <v>-1611.2116951100008</v>
      </c>
      <c r="C166" s="709">
        <v>4857.2781757499997</v>
      </c>
      <c r="D166" s="709">
        <v>-6654.2448096400012</v>
      </c>
      <c r="E166" s="709">
        <v>17268.505833039999</v>
      </c>
      <c r="F166" s="709">
        <v>4119.4479135299998</v>
      </c>
      <c r="G166" s="709">
        <v>11044.102895419999</v>
      </c>
    </row>
    <row r="167" spans="1:7" ht="15.75" customHeight="1">
      <c r="A167" s="40" t="s">
        <v>24</v>
      </c>
      <c r="B167" s="709">
        <v>-2102.9249831799984</v>
      </c>
      <c r="C167" s="709">
        <v>4496.1093418900009</v>
      </c>
      <c r="D167" s="709">
        <v>-6469.2430958799996</v>
      </c>
      <c r="E167" s="709">
        <v>15371.013200289999</v>
      </c>
      <c r="F167" s="709">
        <v>4248.29960381</v>
      </c>
      <c r="G167" s="709">
        <v>11003.235107749999</v>
      </c>
    </row>
    <row r="168" spans="1:7" ht="15.75" customHeight="1">
      <c r="A168" s="40" t="s">
        <v>25</v>
      </c>
      <c r="B168" s="709">
        <v>-2424.1354821</v>
      </c>
      <c r="C168" s="709">
        <v>4199.4177083400009</v>
      </c>
      <c r="D168" s="709">
        <v>-6488.6791796800007</v>
      </c>
      <c r="E168" s="709">
        <v>15602.968396580001</v>
      </c>
      <c r="F168" s="709">
        <v>4083.9524868300005</v>
      </c>
      <c r="G168" s="709">
        <v>11292.190008039999</v>
      </c>
    </row>
    <row r="169" spans="1:7" ht="15.75" customHeight="1">
      <c r="A169" s="40" t="s">
        <v>26</v>
      </c>
      <c r="B169" s="709">
        <v>-2628.491758350001</v>
      </c>
      <c r="C169" s="709">
        <v>3870.9183966799992</v>
      </c>
      <c r="D169" s="709">
        <v>-6357.9543645399999</v>
      </c>
      <c r="E169" s="709">
        <v>15539.344503199998</v>
      </c>
      <c r="F169" s="709">
        <v>4273.2557033600006</v>
      </c>
      <c r="G169" s="709">
        <v>10162.649538350001</v>
      </c>
    </row>
    <row r="170" spans="1:7" ht="15.75" customHeight="1">
      <c r="A170" s="40" t="s">
        <v>27</v>
      </c>
      <c r="B170" s="709">
        <v>-2692.2694512399994</v>
      </c>
      <c r="C170" s="709">
        <v>3649.7367286499998</v>
      </c>
      <c r="D170" s="709">
        <v>-6228.9924568299994</v>
      </c>
      <c r="E170" s="709">
        <v>15093.7118677</v>
      </c>
      <c r="F170" s="709">
        <v>4925.6839826599999</v>
      </c>
      <c r="G170" s="709">
        <v>9436.6169671300013</v>
      </c>
    </row>
    <row r="171" spans="1:7" ht="15.75" customHeight="1">
      <c r="A171" s="40" t="s">
        <v>28</v>
      </c>
      <c r="B171" s="709">
        <v>-3690.0380614799988</v>
      </c>
      <c r="C171" s="709">
        <v>3468.3682532299999</v>
      </c>
      <c r="D171" s="709">
        <v>-7039.124039979999</v>
      </c>
      <c r="E171" s="709">
        <v>15754.771128140001</v>
      </c>
      <c r="F171" s="709">
        <v>5106.9937883799994</v>
      </c>
      <c r="G171" s="709">
        <v>9323.2716604599991</v>
      </c>
    </row>
    <row r="172" spans="1:7" ht="15.75" customHeight="1">
      <c r="A172" s="40" t="s">
        <v>29</v>
      </c>
      <c r="B172" s="709">
        <v>-3916.39505715</v>
      </c>
      <c r="C172" s="709">
        <v>3422.4178004700002</v>
      </c>
      <c r="D172" s="709">
        <v>-7224.7670952300005</v>
      </c>
      <c r="E172" s="709">
        <v>15800.215137819996</v>
      </c>
      <c r="F172" s="709">
        <v>5163.1114129699999</v>
      </c>
      <c r="G172" s="709">
        <v>9336.2985531200011</v>
      </c>
    </row>
    <row r="173" spans="1:7" ht="15.75" customHeight="1">
      <c r="A173" s="40" t="s">
        <v>1942</v>
      </c>
      <c r="B173" s="709"/>
      <c r="C173" s="709"/>
      <c r="D173" s="709"/>
      <c r="E173" s="709"/>
      <c r="F173" s="709"/>
      <c r="G173" s="709"/>
    </row>
    <row r="174" spans="1:7" ht="15.75" customHeight="1">
      <c r="A174" s="40" t="s">
        <v>18</v>
      </c>
      <c r="B174" s="709">
        <v>-4190.7273737799978</v>
      </c>
      <c r="C174" s="709">
        <v>4012.9918495600023</v>
      </c>
      <c r="D174" s="709">
        <v>-8071.69103025</v>
      </c>
      <c r="E174" s="709">
        <v>16043.619452580002</v>
      </c>
      <c r="F174" s="709">
        <v>4818.7237495099998</v>
      </c>
      <c r="G174" s="709">
        <v>10276.775721460001</v>
      </c>
    </row>
    <row r="175" spans="1:7" ht="15.75" customHeight="1">
      <c r="A175" s="40" t="s">
        <v>19</v>
      </c>
      <c r="B175" s="709">
        <v>-3747.6469263699992</v>
      </c>
      <c r="C175" s="709">
        <v>3876.0289500799995</v>
      </c>
      <c r="D175" s="709">
        <v>-7511.3404605699989</v>
      </c>
      <c r="E175" s="709">
        <v>15336.818752289999</v>
      </c>
      <c r="F175" s="709">
        <v>4761.22743472</v>
      </c>
      <c r="G175" s="709">
        <v>9368.3620170199974</v>
      </c>
    </row>
    <row r="176" spans="1:7" ht="15.75" customHeight="1">
      <c r="A176" s="40" t="s">
        <v>20</v>
      </c>
      <c r="B176" s="709">
        <v>-4269.2662993600006</v>
      </c>
      <c r="C176" s="709">
        <v>3158.9824006499998</v>
      </c>
      <c r="D176" s="709">
        <v>-7310.9127355299997</v>
      </c>
      <c r="E176" s="709">
        <v>14940.71427762</v>
      </c>
      <c r="F176" s="709">
        <v>4821.3437977499998</v>
      </c>
      <c r="G176" s="709">
        <v>8901.0899751700017</v>
      </c>
    </row>
    <row r="177" spans="1:7" ht="15.75" customHeight="1">
      <c r="A177" s="40" t="s">
        <v>21</v>
      </c>
      <c r="B177" s="709">
        <v>-3796.3410458200001</v>
      </c>
      <c r="C177" s="709">
        <v>3438.2212839399995</v>
      </c>
      <c r="D177" s="709">
        <v>-7099.2776468599995</v>
      </c>
      <c r="E177" s="709">
        <v>15039.261344029997</v>
      </c>
      <c r="F177" s="709">
        <v>5244.3741332299996</v>
      </c>
      <c r="G177" s="709">
        <v>9444.2084124400026</v>
      </c>
    </row>
    <row r="178" spans="1:7" ht="15.75" customHeight="1">
      <c r="A178" s="40" t="s">
        <v>22</v>
      </c>
      <c r="B178" s="709">
        <v>-3161.3523634200001</v>
      </c>
      <c r="C178" s="709">
        <v>3813.4490577900006</v>
      </c>
      <c r="D178" s="709">
        <v>-6829.2161124700006</v>
      </c>
      <c r="E178" s="709">
        <v>14242.480911970002</v>
      </c>
      <c r="F178" s="709">
        <v>5007.6715363500007</v>
      </c>
      <c r="G178" s="709">
        <v>9263.0317598600013</v>
      </c>
    </row>
    <row r="179" spans="1:7" ht="15.75" customHeight="1">
      <c r="A179" s="40" t="s">
        <v>23</v>
      </c>
      <c r="B179" s="709">
        <v>-2986.0455763100003</v>
      </c>
      <c r="C179" s="709">
        <v>3970.3809256999994</v>
      </c>
      <c r="D179" s="709">
        <v>-6800.3995295999994</v>
      </c>
      <c r="E179" s="709">
        <v>13317.323353000002</v>
      </c>
      <c r="F179" s="709">
        <v>4647.7829626000002</v>
      </c>
      <c r="G179" s="709">
        <v>9517.867993089998</v>
      </c>
    </row>
    <row r="180" spans="1:7" ht="15.75" customHeight="1">
      <c r="A180" s="40" t="s">
        <v>24</v>
      </c>
      <c r="B180" s="709">
        <v>-3075.5598461400023</v>
      </c>
      <c r="C180" s="709">
        <v>3965.188330089999</v>
      </c>
      <c r="D180" s="709">
        <v>-6891.034180040001</v>
      </c>
      <c r="E180" s="709">
        <v>12082.472976659998</v>
      </c>
      <c r="F180" s="709">
        <v>4386.4365797899991</v>
      </c>
      <c r="G180" s="709">
        <v>9473.8703593300015</v>
      </c>
    </row>
    <row r="181" spans="1:7" ht="15.75" customHeight="1">
      <c r="A181" s="40" t="s">
        <v>25</v>
      </c>
      <c r="B181" s="709">
        <v>-2617.4671310099998</v>
      </c>
      <c r="C181" s="709">
        <v>3949.8266741799989</v>
      </c>
      <c r="D181" s="709">
        <v>-6428.2612694399986</v>
      </c>
      <c r="E181" s="709">
        <v>11716.552248449996</v>
      </c>
      <c r="F181" s="709">
        <v>4111.6456231299999</v>
      </c>
      <c r="G181" s="709">
        <v>9404.3639945199975</v>
      </c>
    </row>
    <row r="182" spans="1:7">
      <c r="A182" s="40" t="s">
        <v>26</v>
      </c>
      <c r="B182" s="709">
        <v>2404.3261412699994</v>
      </c>
      <c r="C182" s="709">
        <v>5268.1987389199994</v>
      </c>
      <c r="D182" s="709">
        <v>-2706.5493657600005</v>
      </c>
      <c r="E182" s="709">
        <v>11849.985710969999</v>
      </c>
      <c r="F182" s="709">
        <v>4344.3152026299995</v>
      </c>
      <c r="G182" s="709">
        <v>9653.3214406800016</v>
      </c>
    </row>
    <row r="183" spans="1:7" ht="15.75" customHeight="1">
      <c r="A183" s="40" t="s">
        <v>27</v>
      </c>
      <c r="B183" s="709">
        <v>2853.9399167100005</v>
      </c>
      <c r="C183" s="709">
        <v>5565.8885082200004</v>
      </c>
      <c r="D183" s="710">
        <v>-2550.2686528999998</v>
      </c>
      <c r="E183" s="709">
        <v>11661.937746970001</v>
      </c>
      <c r="F183" s="709">
        <v>4437.48570612</v>
      </c>
      <c r="G183" s="709">
        <v>9872.9580160499991</v>
      </c>
    </row>
    <row r="184" spans="1:7" ht="15.75" customHeight="1">
      <c r="A184" s="40" t="s">
        <v>28</v>
      </c>
      <c r="B184" s="709">
        <v>2194.6230655900004</v>
      </c>
      <c r="C184" s="709">
        <v>4868.7511328500004</v>
      </c>
      <c r="D184" s="710">
        <v>-2501.0180724800002</v>
      </c>
      <c r="E184" s="709">
        <v>11817.19033116</v>
      </c>
      <c r="F184" s="709">
        <v>4869.4568190199998</v>
      </c>
      <c r="G184" s="709">
        <v>9442.0783191299997</v>
      </c>
    </row>
    <row r="185" spans="1:7" ht="15.75" customHeight="1">
      <c r="A185" s="40" t="s">
        <v>29</v>
      </c>
      <c r="B185" s="709">
        <v>3409.9475811299994</v>
      </c>
      <c r="C185" s="709">
        <v>5873.9608721199993</v>
      </c>
      <c r="D185" s="710">
        <v>-2308.2827902499998</v>
      </c>
      <c r="E185" s="709">
        <v>11363.186676810003</v>
      </c>
      <c r="F185" s="709">
        <v>4943.7074549300005</v>
      </c>
      <c r="G185" s="709">
        <v>10301.494560519999</v>
      </c>
    </row>
    <row r="186" spans="1:7" ht="15.75" customHeight="1">
      <c r="A186" s="40" t="s">
        <v>2078</v>
      </c>
      <c r="B186" s="707"/>
      <c r="C186" s="707"/>
      <c r="D186" s="708"/>
      <c r="E186" s="707"/>
      <c r="F186" s="707"/>
      <c r="G186" s="707"/>
    </row>
    <row r="187" spans="1:7" ht="15.75" customHeight="1">
      <c r="A187" s="40" t="s">
        <v>18</v>
      </c>
      <c r="B187" s="709">
        <v>4212.3980666200005</v>
      </c>
      <c r="C187" s="709">
        <v>6639.0149916400005</v>
      </c>
      <c r="D187" s="710">
        <v>-2267.2078620900002</v>
      </c>
      <c r="E187" s="709">
        <v>11439.614230220001</v>
      </c>
      <c r="F187" s="709">
        <v>4848.8496793300001</v>
      </c>
      <c r="G187" s="709">
        <v>10470.961439159997</v>
      </c>
    </row>
    <row r="188" spans="1:7" ht="15.75" customHeight="1">
      <c r="A188" s="40" t="s">
        <v>19</v>
      </c>
      <c r="B188" s="709">
        <v>4047.0057169799998</v>
      </c>
      <c r="C188" s="709">
        <v>6472.2573729199994</v>
      </c>
      <c r="D188" s="710">
        <v>-2252.9045289299997</v>
      </c>
      <c r="E188" s="709">
        <v>11216.25471754</v>
      </c>
      <c r="F188" s="709">
        <v>5368.2276504900001</v>
      </c>
      <c r="G188" s="709">
        <v>10115.466074649999</v>
      </c>
    </row>
    <row r="189" spans="1:7" ht="15.75" customHeight="1">
      <c r="A189" s="40" t="s">
        <v>20</v>
      </c>
      <c r="B189" s="709">
        <v>3778.2984616699996</v>
      </c>
      <c r="C189" s="709">
        <v>5871.7940358699998</v>
      </c>
      <c r="D189" s="710">
        <v>-1892.2933891800003</v>
      </c>
      <c r="E189" s="709">
        <v>10921.316064299999</v>
      </c>
      <c r="F189" s="709">
        <v>5563.3513415199996</v>
      </c>
      <c r="G189" s="709">
        <v>9438.9916115300002</v>
      </c>
    </row>
    <row r="190" spans="1:7" ht="15.75" customHeight="1">
      <c r="A190" s="40" t="s">
        <v>21</v>
      </c>
      <c r="B190" s="709">
        <v>3592.7303806800005</v>
      </c>
      <c r="C190" s="709">
        <v>5680.1377143700001</v>
      </c>
      <c r="D190" s="710">
        <v>-1899.7644729699998</v>
      </c>
      <c r="E190" s="709">
        <v>11295.221409450003</v>
      </c>
      <c r="F190" s="709">
        <v>5490.7905435599996</v>
      </c>
      <c r="G190" s="709">
        <v>9681.7691543999972</v>
      </c>
    </row>
    <row r="191" spans="1:7" ht="15.75" customHeight="1">
      <c r="A191" s="40" t="s">
        <v>22</v>
      </c>
      <c r="B191" s="709">
        <v>3479.15590716</v>
      </c>
      <c r="C191" s="709">
        <v>5528.1117789500004</v>
      </c>
      <c r="D191" s="710">
        <v>-1863.8404007500003</v>
      </c>
      <c r="E191" s="709">
        <v>11567.469745009997</v>
      </c>
      <c r="F191" s="709">
        <v>5537.7048556199998</v>
      </c>
      <c r="G191" s="709">
        <v>9536.4588787200009</v>
      </c>
    </row>
    <row r="192" spans="1:7" ht="15.75" customHeight="1">
      <c r="A192" s="40" t="s">
        <v>23</v>
      </c>
      <c r="B192" s="709">
        <v>3943.2377465100003</v>
      </c>
      <c r="C192" s="709">
        <v>5848.0983816900007</v>
      </c>
      <c r="D192" s="710">
        <v>-1823.8675312300004</v>
      </c>
      <c r="E192" s="709">
        <v>11601.38508041</v>
      </c>
      <c r="F192" s="709">
        <v>5802.4542867</v>
      </c>
      <c r="G192" s="709">
        <v>9689.4353700600041</v>
      </c>
    </row>
    <row r="193" spans="1:7" ht="15.75" customHeight="1">
      <c r="A193" s="40" t="s">
        <v>24</v>
      </c>
      <c r="B193" s="709">
        <v>3847.09795519</v>
      </c>
      <c r="C193" s="709">
        <v>5800.5630324600006</v>
      </c>
      <c r="D193" s="710">
        <v>-1884.34041443</v>
      </c>
      <c r="E193" s="709">
        <v>11658.179657479999</v>
      </c>
      <c r="F193" s="709">
        <v>5948.8214082900004</v>
      </c>
      <c r="G193" s="709">
        <v>9368.212829879998</v>
      </c>
    </row>
    <row r="194" spans="1:7" ht="15.75" customHeight="1">
      <c r="A194" s="40" t="s">
        <v>25</v>
      </c>
      <c r="B194" s="709">
        <v>3842.6586807200019</v>
      </c>
      <c r="C194" s="709">
        <v>5763.1412269300017</v>
      </c>
      <c r="D194" s="710">
        <v>-1841.6169257200002</v>
      </c>
      <c r="E194" s="709">
        <v>11908.097342610003</v>
      </c>
      <c r="F194" s="709">
        <v>5955.0833541700013</v>
      </c>
      <c r="G194" s="709">
        <v>9540.559715829997</v>
      </c>
    </row>
    <row r="195" spans="1:7" ht="15.75" customHeight="1">
      <c r="A195" s="40" t="s">
        <v>26</v>
      </c>
      <c r="B195" s="709">
        <v>4276.1929900800014</v>
      </c>
      <c r="C195" s="709">
        <v>6337.8485085200018</v>
      </c>
      <c r="D195" s="710">
        <v>-1927.2737078</v>
      </c>
      <c r="E195" s="709">
        <v>11994.595670209999</v>
      </c>
      <c r="F195" s="709">
        <v>6600.2890993000001</v>
      </c>
      <c r="G195" s="709">
        <v>9626.6787994699971</v>
      </c>
    </row>
    <row r="196" spans="1:7" ht="15.75" customHeight="1">
      <c r="A196" s="40" t="s">
        <v>27</v>
      </c>
      <c r="B196" s="709">
        <v>4392.9443522199972</v>
      </c>
      <c r="C196" s="709">
        <v>6474.4377781199973</v>
      </c>
      <c r="D196" s="710">
        <v>-1932.5671330300002</v>
      </c>
      <c r="E196" s="709">
        <v>12155.465655079997</v>
      </c>
      <c r="F196" s="709">
        <v>6859.5087426600003</v>
      </c>
      <c r="G196" s="709">
        <v>9575.5026535100005</v>
      </c>
    </row>
    <row r="197" spans="1:7" ht="15.75" customHeight="1">
      <c r="A197" s="40" t="s">
        <v>28</v>
      </c>
      <c r="B197" s="709">
        <v>4728.6409499799984</v>
      </c>
      <c r="C197" s="709">
        <v>6822.3521505399985</v>
      </c>
      <c r="D197" s="710">
        <v>-1848.8306502300002</v>
      </c>
      <c r="E197" s="709">
        <v>12613.941619519996</v>
      </c>
      <c r="F197" s="709">
        <v>6807.1593996399997</v>
      </c>
      <c r="G197" s="709">
        <v>9580.0733562099977</v>
      </c>
    </row>
    <row r="198" spans="1:7" ht="15.75" customHeight="1">
      <c r="A198" s="40" t="s">
        <v>29</v>
      </c>
      <c r="B198" s="709">
        <v>3913.7503538499982</v>
      </c>
      <c r="C198" s="709">
        <v>5906.3006015799992</v>
      </c>
      <c r="D198" s="710">
        <v>-1828.1432298000009</v>
      </c>
      <c r="E198" s="709">
        <v>13057.835329099997</v>
      </c>
      <c r="F198" s="709">
        <v>7023.7769741900011</v>
      </c>
      <c r="G198" s="709">
        <v>9399.4873166699999</v>
      </c>
    </row>
    <row r="199" spans="1:7" ht="15.75" customHeight="1">
      <c r="A199" s="40" t="s">
        <v>2171</v>
      </c>
      <c r="B199" s="709"/>
      <c r="C199" s="709"/>
      <c r="D199" s="710"/>
      <c r="E199" s="709"/>
      <c r="F199" s="709"/>
      <c r="G199" s="709"/>
    </row>
    <row r="200" spans="1:7" ht="15.75" customHeight="1">
      <c r="A200" s="40" t="s">
        <v>18</v>
      </c>
      <c r="B200" s="709">
        <v>4557.3518622100009</v>
      </c>
      <c r="C200" s="709">
        <v>6755.4658210500011</v>
      </c>
      <c r="D200" s="709">
        <v>-1913.0635694300001</v>
      </c>
      <c r="E200" s="709">
        <v>12703.17767779</v>
      </c>
      <c r="F200" s="709">
        <v>6652.1843596799999</v>
      </c>
      <c r="G200" s="709">
        <v>9699.7572804800002</v>
      </c>
    </row>
    <row r="201" spans="1:7" ht="15.75" customHeight="1">
      <c r="A201" s="40" t="s">
        <v>19</v>
      </c>
      <c r="B201" s="709">
        <v>5219.7417752099982</v>
      </c>
      <c r="C201" s="709">
        <v>7170.7939403899991</v>
      </c>
      <c r="D201" s="709">
        <v>-1668.7878568700003</v>
      </c>
      <c r="E201" s="709">
        <v>12778.940305229999</v>
      </c>
      <c r="F201" s="709">
        <v>7048.9731638899993</v>
      </c>
      <c r="G201" s="709">
        <v>10152.496141309999</v>
      </c>
    </row>
    <row r="202" spans="1:7" ht="15.75" customHeight="1">
      <c r="A202" s="40" t="s">
        <v>20</v>
      </c>
      <c r="B202" s="709">
        <v>5201.6067936199988</v>
      </c>
      <c r="C202" s="709">
        <v>7077.9326326799992</v>
      </c>
      <c r="D202" s="709">
        <v>-1604.9484858400003</v>
      </c>
      <c r="E202" s="709">
        <v>12776.212547229999</v>
      </c>
      <c r="F202" s="709">
        <v>6744.58795138</v>
      </c>
      <c r="G202" s="709">
        <v>9903.7391661199981</v>
      </c>
    </row>
    <row r="203" spans="1:7" ht="15.75" customHeight="1">
      <c r="A203" s="40" t="s">
        <v>21</v>
      </c>
      <c r="B203" s="709">
        <v>5423.7092575900006</v>
      </c>
      <c r="C203" s="709">
        <v>7243.9871081600004</v>
      </c>
      <c r="D203" s="709">
        <v>-1550.7764948700001</v>
      </c>
      <c r="E203" s="709">
        <v>12746.491232320001</v>
      </c>
      <c r="F203" s="709">
        <v>7169.6070604500001</v>
      </c>
      <c r="G203" s="709">
        <v>9503.7525963400021</v>
      </c>
    </row>
    <row r="204" spans="1:7" ht="15.75" customHeight="1">
      <c r="A204" s="40" t="s">
        <v>22</v>
      </c>
      <c r="B204" s="709">
        <v>4814.2465802100014</v>
      </c>
      <c r="C204" s="709">
        <v>6590.330177740002</v>
      </c>
      <c r="D204" s="709">
        <v>-1507.5744686800006</v>
      </c>
      <c r="E204" s="709">
        <v>12764.291382460002</v>
      </c>
      <c r="F204" s="709">
        <v>7325.3737062600012</v>
      </c>
      <c r="G204" s="709">
        <v>9338.1097441399979</v>
      </c>
    </row>
    <row r="205" spans="1:7" ht="15.75" customHeight="1">
      <c r="A205" s="40" t="s">
        <v>23</v>
      </c>
      <c r="B205" s="709">
        <v>4719.0804133299989</v>
      </c>
      <c r="C205" s="709">
        <v>6482.3758083299981</v>
      </c>
      <c r="D205" s="709">
        <v>-1500.58060383</v>
      </c>
      <c r="E205" s="709">
        <v>13104.776029759998</v>
      </c>
      <c r="F205" s="709">
        <v>7444.3974589499994</v>
      </c>
      <c r="G205" s="709">
        <v>9445.285199599999</v>
      </c>
    </row>
    <row r="206" spans="1:7" ht="15.75" customHeight="1">
      <c r="A206" s="40" t="s">
        <v>24</v>
      </c>
      <c r="B206" s="709">
        <v>4495.9455179200004</v>
      </c>
      <c r="C206" s="709">
        <v>6291.915756970001</v>
      </c>
      <c r="D206" s="709">
        <v>-1471.2185664900003</v>
      </c>
      <c r="E206" s="709">
        <v>13371.491012979996</v>
      </c>
      <c r="F206" s="709">
        <v>7555.3907524399992</v>
      </c>
      <c r="G206" s="709">
        <v>9455.7014128599985</v>
      </c>
    </row>
    <row r="207" spans="1:7" ht="15.75" customHeight="1">
      <c r="A207" s="40" t="s">
        <v>25</v>
      </c>
      <c r="B207" s="709">
        <v>4510.9740653500003</v>
      </c>
      <c r="C207" s="709">
        <v>6368.0289655600009</v>
      </c>
      <c r="D207" s="709">
        <v>-1521.62287952</v>
      </c>
      <c r="E207" s="709">
        <v>13594.453350999996</v>
      </c>
      <c r="F207" s="709">
        <v>7387.61448827</v>
      </c>
      <c r="G207" s="709">
        <v>9530.3416567799977</v>
      </c>
    </row>
    <row r="208" spans="1:7" ht="15.75" customHeight="1">
      <c r="A208" s="40" t="s">
        <v>26</v>
      </c>
      <c r="B208" s="709">
        <v>5120.3525167600019</v>
      </c>
      <c r="C208" s="709">
        <v>6951.9588518500013</v>
      </c>
      <c r="D208" s="709">
        <v>-1480.1283389999999</v>
      </c>
      <c r="E208" s="709">
        <v>13944.7088059</v>
      </c>
      <c r="F208" s="709">
        <v>7625.5622652600014</v>
      </c>
      <c r="G208" s="709">
        <v>10332.835772319999</v>
      </c>
    </row>
    <row r="209" spans="1:7" ht="15.75" customHeight="1">
      <c r="A209" s="40" t="s">
        <v>27</v>
      </c>
      <c r="B209" s="709">
        <v>4988.581153430001</v>
      </c>
      <c r="C209" s="709">
        <v>6929.3245333500017</v>
      </c>
      <c r="D209" s="709">
        <v>-1607.1634390500003</v>
      </c>
      <c r="E209" s="709">
        <v>14176.468375749999</v>
      </c>
      <c r="F209" s="709">
        <v>7631.2049409800002</v>
      </c>
      <c r="G209" s="709">
        <v>10105.603013419999</v>
      </c>
    </row>
    <row r="210" spans="1:7" ht="15.75" customHeight="1">
      <c r="A210" s="40" t="s">
        <v>28</v>
      </c>
      <c r="B210" s="709">
        <v>4585.3430808400017</v>
      </c>
      <c r="C210" s="709">
        <v>6541.1472255900017</v>
      </c>
      <c r="D210" s="709">
        <v>-1666.1490139699999</v>
      </c>
      <c r="E210" s="709">
        <v>14828.83944168</v>
      </c>
      <c r="F210" s="709">
        <v>7821.9288620699999</v>
      </c>
      <c r="G210" s="709">
        <v>10077.374918279998</v>
      </c>
    </row>
    <row r="211" spans="1:7" ht="15.75" customHeight="1">
      <c r="A211" s="40" t="s">
        <v>29</v>
      </c>
      <c r="B211" s="709">
        <v>5231.8161922599993</v>
      </c>
      <c r="C211" s="709">
        <v>7157.0633727299992</v>
      </c>
      <c r="D211" s="709">
        <v>-1645.6228599599997</v>
      </c>
      <c r="E211" s="709">
        <v>15036.395868329997</v>
      </c>
      <c r="F211" s="709">
        <v>8726.4736178599996</v>
      </c>
      <c r="G211" s="709">
        <v>10627.634302310002</v>
      </c>
    </row>
    <row r="212" spans="1:7" ht="15.75" customHeight="1">
      <c r="A212" s="40" t="s">
        <v>2407</v>
      </c>
      <c r="B212" s="709"/>
      <c r="C212" s="709"/>
      <c r="D212" s="709"/>
      <c r="E212" s="709"/>
      <c r="F212" s="709"/>
      <c r="G212" s="709"/>
    </row>
    <row r="213" spans="1:7" ht="15.75" customHeight="1">
      <c r="A213" s="40" t="s">
        <v>18</v>
      </c>
      <c r="B213" s="709">
        <v>5196.687645840002</v>
      </c>
      <c r="C213" s="709">
        <v>7100.2470081000029</v>
      </c>
      <c r="D213" s="709">
        <v>-1604.11451276</v>
      </c>
      <c r="E213" s="709">
        <v>15174.153975789997</v>
      </c>
      <c r="F213" s="709">
        <v>8667.2788304299993</v>
      </c>
      <c r="G213" s="709">
        <v>10584.281511939998</v>
      </c>
    </row>
    <row r="214" spans="1:7" ht="15.75" customHeight="1">
      <c r="A214" s="40" t="s">
        <v>19</v>
      </c>
      <c r="B214" s="709">
        <v>4257.8960412700008</v>
      </c>
      <c r="C214" s="709">
        <v>6773.3073282100004</v>
      </c>
      <c r="D214" s="709">
        <v>-2079.5708070699998</v>
      </c>
      <c r="E214" s="709">
        <v>15453.481209539999</v>
      </c>
      <c r="F214" s="709">
        <v>8707.8784319799997</v>
      </c>
      <c r="G214" s="709">
        <v>10316.76741115</v>
      </c>
    </row>
    <row r="215" spans="1:7" ht="15.75" customHeight="1">
      <c r="A215" s="40" t="s">
        <v>20</v>
      </c>
      <c r="B215" s="709">
        <v>4584.2866505800002</v>
      </c>
      <c r="C215" s="709">
        <v>6701.80481676</v>
      </c>
      <c r="D215" s="709">
        <v>-1715.0402947599998</v>
      </c>
      <c r="E215" s="709">
        <v>15339.275539660002</v>
      </c>
      <c r="F215" s="709">
        <v>7902.6352148499991</v>
      </c>
      <c r="G215" s="709">
        <v>10277.916557160001</v>
      </c>
    </row>
    <row r="216" spans="1:7" ht="15.75" customHeight="1">
      <c r="A216" s="40" t="s">
        <v>21</v>
      </c>
      <c r="B216" s="709">
        <v>4095.7904446199982</v>
      </c>
      <c r="C216" s="709">
        <v>6081.3215812699982</v>
      </c>
      <c r="D216" s="709">
        <v>-1626.5729479200002</v>
      </c>
      <c r="E216" s="709">
        <v>15072.395578970001</v>
      </c>
      <c r="F216" s="709">
        <v>7769.3979194599979</v>
      </c>
      <c r="G216" s="709">
        <v>9807.2294133699997</v>
      </c>
    </row>
    <row r="217" spans="1:7" ht="15.75" customHeight="1">
      <c r="A217" s="40" t="s">
        <v>22</v>
      </c>
      <c r="B217" s="709">
        <v>4387.4734276299969</v>
      </c>
      <c r="C217" s="709">
        <v>6307.6649473199977</v>
      </c>
      <c r="D217" s="709">
        <v>-1599.5317552299998</v>
      </c>
      <c r="E217" s="709">
        <v>14523.218296129999</v>
      </c>
      <c r="F217" s="709">
        <v>8002.5380318799998</v>
      </c>
      <c r="G217" s="709">
        <v>9608.9109846299998</v>
      </c>
    </row>
    <row r="218" spans="1:7" ht="15.75" customHeight="1">
      <c r="A218" s="40" t="s">
        <v>23</v>
      </c>
      <c r="B218" s="709">
        <v>3911.7932920700005</v>
      </c>
      <c r="C218" s="709">
        <v>5642.77274261</v>
      </c>
      <c r="D218" s="709">
        <v>-1471.8138194000001</v>
      </c>
      <c r="E218" s="709">
        <v>14373.889682129999</v>
      </c>
      <c r="F218" s="709">
        <v>7912.4456502499997</v>
      </c>
      <c r="G218" s="709">
        <v>9044.3843893499998</v>
      </c>
    </row>
    <row r="219" spans="1:7" ht="15.75" customHeight="1">
      <c r="A219" s="40" t="s">
        <v>24</v>
      </c>
      <c r="B219" s="709">
        <v>3927.633543240001</v>
      </c>
      <c r="C219" s="709">
        <v>5622.768467070001</v>
      </c>
      <c r="D219" s="709">
        <v>-1419.4901462799999</v>
      </c>
      <c r="E219" s="709">
        <v>14714.01681705</v>
      </c>
      <c r="F219" s="709">
        <v>8194.4520252999991</v>
      </c>
      <c r="G219" s="709">
        <v>8784.2039442000005</v>
      </c>
    </row>
    <row r="220" spans="1:7" ht="15.75" customHeight="1">
      <c r="A220" s="40" t="s">
        <v>25</v>
      </c>
      <c r="B220" s="709">
        <v>4332.8828499999991</v>
      </c>
      <c r="C220" s="709">
        <v>5907.3873607399983</v>
      </c>
      <c r="D220" s="709">
        <v>-1318.1248724999998</v>
      </c>
      <c r="E220" s="709">
        <v>14835.452325189999</v>
      </c>
      <c r="F220" s="709">
        <v>8249.6216460399992</v>
      </c>
      <c r="G220" s="709">
        <v>8814.1426492499977</v>
      </c>
    </row>
    <row r="221" spans="1:7" ht="15.75" customHeight="1">
      <c r="A221" s="40" t="s">
        <v>26</v>
      </c>
      <c r="B221" s="709">
        <v>3591.7786087200002</v>
      </c>
      <c r="C221" s="709">
        <v>5096.4072644300004</v>
      </c>
      <c r="D221" s="709">
        <v>-1265.9736000099999</v>
      </c>
      <c r="E221" s="709">
        <v>14944.390646930002</v>
      </c>
      <c r="F221" s="709">
        <v>8555.3152490100001</v>
      </c>
      <c r="G221" s="709">
        <v>8355.4466016200004</v>
      </c>
    </row>
    <row r="222" spans="1:7" ht="15.75" customHeight="1">
      <c r="A222" s="40" t="s">
        <v>27</v>
      </c>
      <c r="B222" s="709">
        <v>3321.4977545299994</v>
      </c>
      <c r="C222" s="709">
        <v>4769.6523357499991</v>
      </c>
      <c r="D222" s="709">
        <v>-1230.1588439099999</v>
      </c>
      <c r="E222" s="709">
        <v>15302.399984839998</v>
      </c>
      <c r="F222" s="709">
        <v>8578.8494595699995</v>
      </c>
      <c r="G222" s="709">
        <v>8374.3006490700009</v>
      </c>
    </row>
    <row r="223" spans="1:7" ht="15.75" customHeight="1">
      <c r="A223" s="40" t="s">
        <v>28</v>
      </c>
      <c r="B223" s="709">
        <v>3589.9628707099996</v>
      </c>
      <c r="C223" s="709">
        <v>5027.4888536899998</v>
      </c>
      <c r="D223" s="709">
        <v>-1239.5303766400002</v>
      </c>
      <c r="E223" s="709">
        <v>15140.635196690002</v>
      </c>
      <c r="F223" s="709">
        <v>8442.7713959200009</v>
      </c>
      <c r="G223" s="709">
        <v>8533.2469202200009</v>
      </c>
    </row>
    <row r="224" spans="1:7" ht="15.75" customHeight="1">
      <c r="A224" s="40" t="s">
        <v>29</v>
      </c>
      <c r="B224" s="709">
        <v>4065.3819619800011</v>
      </c>
      <c r="C224" s="709">
        <v>5510.7906626700005</v>
      </c>
      <c r="D224" s="709">
        <v>-1220.7485675299999</v>
      </c>
      <c r="E224" s="709">
        <v>14933.871500879997</v>
      </c>
      <c r="F224" s="709">
        <v>9523.0317705399993</v>
      </c>
      <c r="G224" s="709">
        <v>8880.3237868100005</v>
      </c>
    </row>
    <row r="225" spans="1:7" ht="15.75" customHeight="1">
      <c r="A225" s="40" t="s">
        <v>2583</v>
      </c>
      <c r="B225" s="709"/>
      <c r="C225" s="709"/>
      <c r="D225" s="709"/>
      <c r="E225" s="709"/>
      <c r="F225" s="709"/>
      <c r="G225" s="709"/>
    </row>
    <row r="226" spans="1:7" ht="15.75" customHeight="1">
      <c r="A226" s="40" t="s">
        <v>18</v>
      </c>
      <c r="B226" s="709">
        <v>4191.8326471599985</v>
      </c>
      <c r="C226" s="709">
        <v>5675.9762252299988</v>
      </c>
      <c r="D226" s="709">
        <v>-1226.35395599</v>
      </c>
      <c r="E226" s="709">
        <v>14877.395116979997</v>
      </c>
      <c r="F226" s="709">
        <v>9151.1887685000002</v>
      </c>
      <c r="G226" s="709">
        <v>8623.9286387899992</v>
      </c>
    </row>
    <row r="227" spans="1:7" ht="15.75" customHeight="1">
      <c r="A227" s="40" t="s">
        <v>19</v>
      </c>
      <c r="B227" s="709">
        <v>4465.357434210001</v>
      </c>
      <c r="C227" s="709">
        <v>5849.8943403600006</v>
      </c>
      <c r="D227" s="709">
        <v>-1127.3335383100002</v>
      </c>
      <c r="E227" s="709">
        <v>14940.178832529999</v>
      </c>
      <c r="F227" s="709">
        <v>9122.2604139999985</v>
      </c>
      <c r="G227" s="709">
        <v>8990.1640575100009</v>
      </c>
    </row>
    <row r="228" spans="1:7" ht="15.75" customHeight="1">
      <c r="A228" s="40" t="s">
        <v>20</v>
      </c>
      <c r="B228" s="709">
        <v>4430.0668034999999</v>
      </c>
      <c r="C228" s="709">
        <v>5789.7991215100001</v>
      </c>
      <c r="D228" s="709">
        <v>-1094.52842556</v>
      </c>
      <c r="E228" s="709">
        <v>14973.671767880001</v>
      </c>
      <c r="F228" s="709">
        <v>9722.3021522000017</v>
      </c>
      <c r="G228" s="709">
        <v>8979.5857085899988</v>
      </c>
    </row>
    <row r="229" spans="1:7" ht="15.75" customHeight="1">
      <c r="A229" s="40" t="s">
        <v>21</v>
      </c>
      <c r="B229" s="709">
        <v>4438.0162638099982</v>
      </c>
      <c r="C229" s="709">
        <v>5780.8076527699986</v>
      </c>
      <c r="D229" s="709">
        <v>-1079.5003357100002</v>
      </c>
      <c r="E229" s="709">
        <v>15250.671643320004</v>
      </c>
      <c r="F229" s="709">
        <v>10326.086361130001</v>
      </c>
      <c r="G229" s="709">
        <v>8864.5251719500011</v>
      </c>
    </row>
    <row r="230" spans="1:7" ht="15.75" customHeight="1">
      <c r="A230" s="40" t="s">
        <v>22</v>
      </c>
      <c r="B230" s="709">
        <v>4623.3441563300012</v>
      </c>
      <c r="C230" s="709">
        <v>6055.5837866400007</v>
      </c>
      <c r="D230" s="709">
        <v>-1165.1373327800002</v>
      </c>
      <c r="E230" s="709">
        <v>15323.944778999999</v>
      </c>
      <c r="F230" s="709">
        <v>10947.416958760001</v>
      </c>
      <c r="G230" s="709">
        <v>8844.4727850899999</v>
      </c>
    </row>
    <row r="231" spans="1:7" ht="15.75" customHeight="1">
      <c r="A231" s="40" t="s">
        <v>23</v>
      </c>
      <c r="B231" s="709">
        <v>4093.5859992100031</v>
      </c>
      <c r="C231" s="709">
        <v>5494.2637564800025</v>
      </c>
      <c r="D231" s="709">
        <v>-1137.57432862</v>
      </c>
      <c r="E231" s="709">
        <v>15573.909282170001</v>
      </c>
      <c r="F231" s="709">
        <v>10734.663759840001</v>
      </c>
      <c r="G231" s="709">
        <v>8813.1533143600027</v>
      </c>
    </row>
    <row r="232" spans="1:7" ht="15.75" customHeight="1">
      <c r="A232" s="40" t="s">
        <v>24</v>
      </c>
      <c r="B232" s="709">
        <v>4533.756460470001</v>
      </c>
      <c r="C232" s="709">
        <v>5950.412689310001</v>
      </c>
      <c r="D232" s="709">
        <v>-1084.1605924199998</v>
      </c>
      <c r="E232" s="709">
        <v>15633.965863520005</v>
      </c>
      <c r="F232" s="709">
        <v>10782.785901339999</v>
      </c>
      <c r="G232" s="709">
        <v>9666.3776239099989</v>
      </c>
    </row>
    <row r="233" spans="1:7" ht="15.75" customHeight="1">
      <c r="A233" s="40" t="s">
        <v>25</v>
      </c>
      <c r="B233" s="709">
        <v>4230.2118402600008</v>
      </c>
      <c r="C233" s="709">
        <v>5663.4586897000008</v>
      </c>
      <c r="D233" s="709">
        <v>-1033.3976133699998</v>
      </c>
      <c r="E233" s="709">
        <v>15866.601328869998</v>
      </c>
      <c r="F233" s="709">
        <v>10948.186968370001</v>
      </c>
      <c r="G233" s="709">
        <v>9342.2503374299977</v>
      </c>
    </row>
    <row r="234" spans="1:7" ht="15.75" customHeight="1">
      <c r="A234" s="40" t="s">
        <v>26</v>
      </c>
      <c r="B234" s="709">
        <v>4762.2584204800014</v>
      </c>
      <c r="C234" s="709">
        <v>6273.721866750001</v>
      </c>
      <c r="D234" s="709">
        <v>-1117.6306915</v>
      </c>
      <c r="E234" s="709">
        <v>16176.23063507</v>
      </c>
      <c r="F234" s="709">
        <v>11357.60595739</v>
      </c>
      <c r="G234" s="709">
        <v>9804.8834209100005</v>
      </c>
    </row>
    <row r="235" spans="1:7" ht="15.75" customHeight="1">
      <c r="A235" s="40" t="s">
        <v>27</v>
      </c>
      <c r="B235" s="709">
        <v>4481.1597063400013</v>
      </c>
      <c r="C235" s="709">
        <v>5999.9271634900015</v>
      </c>
      <c r="D235" s="709">
        <v>-1113.1853218700001</v>
      </c>
      <c r="E235" s="709">
        <v>16637.722099530001</v>
      </c>
      <c r="F235" s="709">
        <v>11487.619885659999</v>
      </c>
      <c r="G235" s="709">
        <v>9884.4046074100006</v>
      </c>
    </row>
    <row r="236" spans="1:7" ht="15.75" customHeight="1">
      <c r="A236" s="40" t="s">
        <v>28</v>
      </c>
      <c r="B236" s="709">
        <v>5424.9355472999996</v>
      </c>
      <c r="C236" s="709">
        <v>6838.8724776199997</v>
      </c>
      <c r="D236" s="709">
        <v>-1021.8394985100001</v>
      </c>
      <c r="E236" s="709">
        <v>16903.345898200001</v>
      </c>
      <c r="F236" s="709">
        <v>11880.248749730001</v>
      </c>
      <c r="G236" s="709">
        <v>10287.63274843</v>
      </c>
    </row>
    <row r="237" spans="1:7" ht="15.75" customHeight="1">
      <c r="A237" s="40" t="s">
        <v>29</v>
      </c>
      <c r="B237" s="709">
        <v>5806.4240869600007</v>
      </c>
      <c r="C237" s="709">
        <v>7356.1658316200001</v>
      </c>
      <c r="D237" s="709">
        <v>-1063.24557622</v>
      </c>
      <c r="E237" s="709">
        <v>17432.947822030004</v>
      </c>
      <c r="F237" s="709">
        <v>12922.64351949</v>
      </c>
      <c r="G237" s="709">
        <v>10771.74716637</v>
      </c>
    </row>
    <row r="238" spans="1:7" ht="15.75" customHeight="1">
      <c r="A238" s="40" t="s">
        <v>2892</v>
      </c>
      <c r="B238" s="709"/>
      <c r="C238" s="709"/>
      <c r="D238" s="709"/>
      <c r="E238" s="709"/>
      <c r="F238" s="709"/>
      <c r="G238" s="709"/>
    </row>
    <row r="239" spans="1:7" ht="15.75" customHeight="1">
      <c r="A239" s="40" t="s">
        <v>18</v>
      </c>
      <c r="B239" s="709">
        <v>6137.7596728999988</v>
      </c>
      <c r="C239" s="709">
        <v>7657.1123233699991</v>
      </c>
      <c r="D239" s="709">
        <v>-1065.88950075</v>
      </c>
      <c r="E239" s="709">
        <v>17664.256217129998</v>
      </c>
      <c r="F239" s="709">
        <v>12774.936393629998</v>
      </c>
      <c r="G239" s="709">
        <v>11531.95160244</v>
      </c>
    </row>
    <row r="240" spans="1:7" ht="15.75" customHeight="1">
      <c r="A240" s="40" t="s">
        <v>19</v>
      </c>
      <c r="B240" s="709">
        <v>5748.1481050500024</v>
      </c>
      <c r="C240" s="709">
        <v>7461.501525810002</v>
      </c>
      <c r="D240" s="709">
        <v>-1257.9097359399998</v>
      </c>
      <c r="E240" s="709">
        <v>18108.422533050001</v>
      </c>
      <c r="F240" s="709">
        <v>12506.95964146</v>
      </c>
      <c r="G240" s="709">
        <v>10873.690736420003</v>
      </c>
    </row>
    <row r="241" spans="1:7" ht="15.75" customHeight="1">
      <c r="A241" s="40" t="s">
        <v>20</v>
      </c>
      <c r="B241" s="709">
        <v>5627.4933916700029</v>
      </c>
      <c r="C241" s="709">
        <v>7551.1496887500025</v>
      </c>
      <c r="D241" s="709">
        <v>-1409.7123251300002</v>
      </c>
      <c r="E241" s="709">
        <v>18431.213404970007</v>
      </c>
      <c r="F241" s="709">
        <v>13068.204833439999</v>
      </c>
      <c r="G241" s="709">
        <v>11313.393402340003</v>
      </c>
    </row>
    <row r="242" spans="1:7" ht="15.75" customHeight="1">
      <c r="A242" s="40" t="s">
        <v>21</v>
      </c>
      <c r="B242" s="709">
        <v>6331.6471631000004</v>
      </c>
      <c r="C242" s="709">
        <v>8290.7865563699997</v>
      </c>
      <c r="D242" s="709">
        <v>-1416.4237457199999</v>
      </c>
      <c r="E242" s="709">
        <v>18778.023275389998</v>
      </c>
      <c r="F242" s="709">
        <v>13352.83359423</v>
      </c>
      <c r="G242" s="709">
        <v>11421.928799060001</v>
      </c>
    </row>
    <row r="243" spans="1:7" ht="15.75" customHeight="1">
      <c r="A243" s="40" t="s">
        <v>22</v>
      </c>
      <c r="B243" s="709">
        <v>6247.7618802300003</v>
      </c>
      <c r="C243" s="709">
        <v>8274.17402081</v>
      </c>
      <c r="D243" s="709">
        <v>-1482.6513110799997</v>
      </c>
      <c r="E243" s="709">
        <v>19105.334922900001</v>
      </c>
      <c r="F243" s="709">
        <v>14114.45901653</v>
      </c>
      <c r="G243" s="709">
        <v>11629.988329289999</v>
      </c>
    </row>
    <row r="244" spans="1:7" ht="15.75" customHeight="1">
      <c r="A244" s="40" t="s">
        <v>23</v>
      </c>
      <c r="B244" s="709">
        <v>6656.7361235599983</v>
      </c>
      <c r="C244" s="709">
        <v>8759.5343765099988</v>
      </c>
      <c r="D244" s="709">
        <v>-1581.0903788800001</v>
      </c>
      <c r="E244" s="709">
        <v>19447.286774370004</v>
      </c>
      <c r="F244" s="709">
        <v>14446.128739329999</v>
      </c>
      <c r="G244" s="709">
        <v>12126.086020550003</v>
      </c>
    </row>
    <row r="245" spans="1:7" ht="15.75" customHeight="1">
      <c r="A245" s="40" t="s">
        <v>24</v>
      </c>
      <c r="B245" s="709">
        <v>6926.3784694000005</v>
      </c>
      <c r="C245" s="709">
        <v>9026.0548391299999</v>
      </c>
      <c r="D245" s="709">
        <v>-1624.4809430300002</v>
      </c>
      <c r="E245" s="709">
        <v>19647.958738629997</v>
      </c>
      <c r="F245" s="709">
        <v>14113.43569029</v>
      </c>
      <c r="G245" s="709">
        <v>11989.539702620001</v>
      </c>
    </row>
    <row r="246" spans="1:7" ht="15.75" customHeight="1">
      <c r="A246" s="40" t="s">
        <v>25</v>
      </c>
      <c r="B246" s="709">
        <v>6843.0038521500019</v>
      </c>
      <c r="C246" s="709">
        <v>9052.4252467900023</v>
      </c>
      <c r="D246" s="709">
        <v>-1686.48953011</v>
      </c>
      <c r="E246" s="709">
        <v>19828.250462769996</v>
      </c>
      <c r="F246" s="709">
        <v>14798.166153359998</v>
      </c>
      <c r="G246" s="709">
        <v>12091.095377910002</v>
      </c>
    </row>
    <row r="247" spans="1:7" ht="15.75" customHeight="1">
      <c r="A247" s="40" t="s">
        <v>26</v>
      </c>
      <c r="B247" s="709">
        <v>7029.4426297299988</v>
      </c>
      <c r="C247" s="709">
        <v>9346.6963265300001</v>
      </c>
      <c r="D247" s="709">
        <v>-1807.5861182900003</v>
      </c>
      <c r="E247" s="709">
        <v>20352.808314019992</v>
      </c>
      <c r="F247" s="709">
        <v>15390.747202359998</v>
      </c>
      <c r="G247" s="709">
        <v>12451.67459205</v>
      </c>
    </row>
    <row r="248" spans="1:7" ht="15.75" customHeight="1">
      <c r="A248" s="40" t="s">
        <v>27</v>
      </c>
      <c r="B248" s="709">
        <v>6654.2222445300004</v>
      </c>
      <c r="C248" s="709">
        <v>9081.4307249800004</v>
      </c>
      <c r="D248" s="709">
        <v>-1844.8756565200003</v>
      </c>
      <c r="E248" s="709">
        <v>20638.016606299996</v>
      </c>
      <c r="F248" s="709">
        <v>16029.904932810001</v>
      </c>
      <c r="G248" s="709">
        <v>12474.129656120002</v>
      </c>
    </row>
    <row r="249" spans="1:7" ht="15.75" customHeight="1">
      <c r="A249" s="40" t="s">
        <v>28</v>
      </c>
      <c r="B249" s="709">
        <v>6465.0405708800035</v>
      </c>
      <c r="C249" s="709">
        <v>8845.4109318300034</v>
      </c>
      <c r="D249" s="709">
        <v>-1769.2911849800003</v>
      </c>
      <c r="E249" s="709">
        <v>21105.466911740001</v>
      </c>
      <c r="F249" s="709">
        <v>15937.333966119999</v>
      </c>
      <c r="G249" s="709">
        <v>13068.296860040002</v>
      </c>
    </row>
    <row r="250" spans="1:7" ht="15.75" customHeight="1">
      <c r="A250" s="40" t="s">
        <v>29</v>
      </c>
      <c r="B250" s="709">
        <v>6427.7297985000014</v>
      </c>
      <c r="C250" s="709">
        <v>8802.8654382700006</v>
      </c>
      <c r="D250" s="709">
        <v>-1761.9476733299998</v>
      </c>
      <c r="E250" s="709">
        <v>20472.839225040007</v>
      </c>
      <c r="F250" s="709">
        <v>16251.92880792</v>
      </c>
      <c r="G250" s="709">
        <v>13259.326033890002</v>
      </c>
    </row>
    <row r="251" spans="1:7" ht="15.75" customHeight="1">
      <c r="A251" s="40" t="s">
        <v>3605</v>
      </c>
      <c r="B251" s="709"/>
      <c r="C251" s="709"/>
      <c r="D251" s="709"/>
      <c r="E251" s="709"/>
      <c r="F251" s="709"/>
      <c r="G251" s="709"/>
    </row>
    <row r="252" spans="1:7" ht="15.75" customHeight="1">
      <c r="A252" s="40" t="s">
        <v>18</v>
      </c>
      <c r="B252" s="709">
        <v>6870.4038068700011</v>
      </c>
      <c r="C252" s="709">
        <v>9280.3083577100006</v>
      </c>
      <c r="D252" s="709">
        <v>-1815.0200415199999</v>
      </c>
      <c r="E252" s="709">
        <v>21288.890944710001</v>
      </c>
      <c r="F252" s="709">
        <v>15656.682615970001</v>
      </c>
      <c r="G252" s="709">
        <v>13098.125702299996</v>
      </c>
    </row>
    <row r="253" spans="1:7" ht="15.75" customHeight="1">
      <c r="A253" s="40" t="s">
        <v>19</v>
      </c>
      <c r="B253" s="709">
        <v>6364.5668408699985</v>
      </c>
      <c r="C253" s="709">
        <v>9082.9587362899983</v>
      </c>
      <c r="D253" s="709">
        <v>-2087.7765365599998</v>
      </c>
      <c r="E253" s="709">
        <v>21116.176848379997</v>
      </c>
      <c r="F253" s="709">
        <v>15438.993411279998</v>
      </c>
      <c r="G253" s="709">
        <v>12714.27263159</v>
      </c>
    </row>
    <row r="254" spans="1:7" ht="15.75" customHeight="1">
      <c r="A254" s="40" t="s">
        <v>20</v>
      </c>
      <c r="B254" s="709">
        <v>4630.2659166499989</v>
      </c>
      <c r="C254" s="709">
        <v>7455.4698765599996</v>
      </c>
      <c r="D254" s="709">
        <v>-2152.0668421199998</v>
      </c>
      <c r="E254" s="709">
        <v>21403.629193590001</v>
      </c>
      <c r="F254" s="709">
        <v>16004.873711070002</v>
      </c>
      <c r="G254" s="709">
        <v>11384.296746960001</v>
      </c>
    </row>
    <row r="255" spans="1:7" ht="15.75" customHeight="1">
      <c r="A255" s="40" t="s">
        <v>21</v>
      </c>
      <c r="B255" s="709">
        <v>5467.665318289999</v>
      </c>
      <c r="C255" s="709">
        <v>8683.169084879999</v>
      </c>
      <c r="D255" s="709">
        <v>-2543.9890756399996</v>
      </c>
      <c r="E255" s="709">
        <v>21520.688835459991</v>
      </c>
      <c r="F255" s="709">
        <v>16283.53410683</v>
      </c>
      <c r="G255" s="709">
        <v>10986.40940368</v>
      </c>
    </row>
    <row r="256" spans="1:7" ht="15.75" customHeight="1">
      <c r="A256" s="40" t="s">
        <v>22</v>
      </c>
      <c r="B256" s="709">
        <v>5445.1955113499998</v>
      </c>
      <c r="C256" s="709">
        <v>8723.2978415400012</v>
      </c>
      <c r="D256" s="709">
        <v>-2555.0728779600008</v>
      </c>
      <c r="E256" s="709">
        <v>21471.025684899989</v>
      </c>
      <c r="F256" s="709">
        <v>16389.915054519999</v>
      </c>
      <c r="G256" s="709">
        <v>11002.97143908</v>
      </c>
    </row>
    <row r="257" spans="1:10" ht="15.75" customHeight="1">
      <c r="A257" s="40" t="s">
        <v>23</v>
      </c>
      <c r="B257" s="709">
        <v>4251.2573894599991</v>
      </c>
      <c r="C257" s="709">
        <v>7568.7598715200002</v>
      </c>
      <c r="D257" s="709">
        <v>-2569.79178116</v>
      </c>
      <c r="E257" s="709">
        <v>22335.133190169996</v>
      </c>
      <c r="F257" s="709">
        <v>16861.469248489997</v>
      </c>
      <c r="G257" s="709">
        <v>9835.9814372399997</v>
      </c>
    </row>
    <row r="258" spans="1:10" ht="15.75" customHeight="1">
      <c r="A258" s="40" t="s">
        <v>24</v>
      </c>
      <c r="B258" s="709">
        <v>3597.1391804699992</v>
      </c>
      <c r="C258" s="709">
        <v>6735.2438901599999</v>
      </c>
      <c r="D258" s="709">
        <v>-2331.2165324799998</v>
      </c>
      <c r="E258" s="709">
        <v>22513.200543559997</v>
      </c>
      <c r="F258" s="709">
        <v>16983.56178684</v>
      </c>
      <c r="G258" s="709">
        <v>9355.5675312299991</v>
      </c>
    </row>
    <row r="259" spans="1:10" ht="15.75" customHeight="1">
      <c r="A259" s="40" t="s">
        <v>25</v>
      </c>
      <c r="B259" s="709">
        <v>3037.535828569999</v>
      </c>
      <c r="C259" s="709">
        <v>6152.3340265299994</v>
      </c>
      <c r="D259" s="709">
        <v>-2353.0502440500004</v>
      </c>
      <c r="E259" s="709">
        <v>22719.850545200003</v>
      </c>
      <c r="F259" s="709">
        <v>17422.495845680001</v>
      </c>
      <c r="G259" s="709">
        <v>9082.8117849399987</v>
      </c>
    </row>
    <row r="260" spans="1:10" ht="15.75" customHeight="1">
      <c r="A260" s="1729" t="s">
        <v>26</v>
      </c>
      <c r="B260" s="1728">
        <v>2879.3142490599989</v>
      </c>
      <c r="C260" s="1728">
        <v>6048.5899231899994</v>
      </c>
      <c r="D260" s="1728">
        <v>-2364.4109169300004</v>
      </c>
      <c r="E260" s="1728">
        <v>23087.726836369999</v>
      </c>
      <c r="F260" s="1728">
        <v>18438.66185524</v>
      </c>
      <c r="G260" s="1728">
        <v>8843.329898330001</v>
      </c>
    </row>
    <row r="261" spans="1:10" ht="15.75" customHeight="1">
      <c r="A261" s="1729" t="s">
        <v>27</v>
      </c>
      <c r="B261" s="1728">
        <v>3155.1445346100013</v>
      </c>
      <c r="C261" s="1728">
        <v>6320.7827869600005</v>
      </c>
      <c r="D261" s="1728">
        <v>-2328.8096229699995</v>
      </c>
      <c r="E261" s="1728">
        <v>22961.073278830001</v>
      </c>
      <c r="F261" s="1728">
        <v>18492.134779239997</v>
      </c>
      <c r="G261" s="1728">
        <v>9458.639313130001</v>
      </c>
    </row>
    <row r="262" spans="1:10" ht="15.75" customHeight="1">
      <c r="A262" s="1729" t="s">
        <v>28</v>
      </c>
      <c r="B262" s="1728">
        <v>2825.8880662700012</v>
      </c>
      <c r="C262" s="1728">
        <v>5886.6510849700007</v>
      </c>
      <c r="D262" s="1728">
        <v>-2227.14281957</v>
      </c>
      <c r="E262" s="1728">
        <v>23286.30599253</v>
      </c>
      <c r="F262" s="1728">
        <v>19081.098897309999</v>
      </c>
      <c r="G262" s="1728">
        <v>9162.3474958899969</v>
      </c>
    </row>
    <row r="263" spans="1:10" ht="15.75" customHeight="1">
      <c r="A263" s="1729" t="s">
        <v>29</v>
      </c>
      <c r="B263" s="1728">
        <v>2672.8708134400008</v>
      </c>
      <c r="C263" s="1728">
        <v>6281.7434747700008</v>
      </c>
      <c r="D263" s="1728">
        <v>-2598.1537920499995</v>
      </c>
      <c r="E263" s="1728">
        <v>23489.571247119999</v>
      </c>
      <c r="F263" s="1728">
        <v>19453.203078050003</v>
      </c>
      <c r="G263" s="1728">
        <v>9701.6225689100011</v>
      </c>
    </row>
    <row r="264" spans="1:10" ht="15.75" customHeight="1">
      <c r="A264" s="1729" t="s">
        <v>4086</v>
      </c>
      <c r="B264" s="1728"/>
      <c r="C264" s="1728"/>
      <c r="D264" s="1728"/>
      <c r="E264" s="1728"/>
      <c r="F264" s="1728"/>
      <c r="G264" s="1728"/>
    </row>
    <row r="265" spans="1:10" ht="15.75" customHeight="1">
      <c r="A265" s="1729" t="s">
        <v>18</v>
      </c>
      <c r="B265" s="1728">
        <v>2877.1390079699991</v>
      </c>
      <c r="C265" s="1728">
        <v>6374.0893970899997</v>
      </c>
      <c r="D265" s="1728">
        <v>-2496.1450008700003</v>
      </c>
      <c r="E265" s="1728">
        <v>23979.402651959997</v>
      </c>
      <c r="F265" s="1728">
        <v>18818.605601449999</v>
      </c>
      <c r="G265" s="1728">
        <v>10661.465875510001</v>
      </c>
    </row>
    <row r="266" spans="1:10" ht="15.75" customHeight="1">
      <c r="A266" s="1730" t="s">
        <v>19</v>
      </c>
      <c r="B266" s="1731">
        <v>2522.8146955300017</v>
      </c>
      <c r="C266" s="1731">
        <v>5628.3101454300022</v>
      </c>
      <c r="D266" s="1731">
        <v>-2120.53756337</v>
      </c>
      <c r="E266" s="1731">
        <v>24395.710689939995</v>
      </c>
      <c r="F266" s="1731">
        <v>19018.336162079999</v>
      </c>
      <c r="G266" s="1731">
        <v>10498.637445010001</v>
      </c>
    </row>
    <row r="267" spans="1:10" s="880" customFormat="1" ht="12.75" customHeight="1">
      <c r="A267" s="2245" t="s">
        <v>2754</v>
      </c>
      <c r="B267" s="2245"/>
      <c r="C267" s="2245"/>
      <c r="D267" s="2245"/>
      <c r="E267" s="2245"/>
      <c r="F267" s="2245"/>
      <c r="G267" s="2245"/>
      <c r="H267" s="879"/>
      <c r="I267" s="879"/>
      <c r="J267" s="879"/>
    </row>
    <row r="268" spans="1:10" s="880" customFormat="1" ht="12.75" customHeight="1">
      <c r="A268" s="2245" t="s">
        <v>2755</v>
      </c>
      <c r="B268" s="2245"/>
      <c r="C268" s="2245"/>
      <c r="D268" s="2245"/>
      <c r="E268" s="2245"/>
      <c r="F268" s="2245"/>
      <c r="G268" s="2245"/>
      <c r="H268" s="881"/>
      <c r="I268" s="882"/>
      <c r="J268" s="882"/>
    </row>
    <row r="269" spans="1:10" s="880" customFormat="1" ht="12.75" customHeight="1">
      <c r="A269" s="2245" t="s">
        <v>2756</v>
      </c>
      <c r="B269" s="2245"/>
      <c r="C269" s="2245"/>
      <c r="D269" s="2245"/>
      <c r="E269" s="2245"/>
      <c r="F269" s="2245"/>
      <c r="G269" s="2245"/>
      <c r="H269" s="882"/>
      <c r="I269" s="882"/>
      <c r="J269" s="88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67:G267"/>
    <mergeCell ref="A268:G268"/>
    <mergeCell ref="A269:G269"/>
    <mergeCell ref="C8:D8"/>
    <mergeCell ref="G8:G9"/>
    <mergeCell ref="F8:F9"/>
    <mergeCell ref="E8:E9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80"/>
  <sheetViews>
    <sheetView showGridLines="0" view="pageBreakPreview" zoomScale="85" zoomScaleSheetLayoutView="85" workbookViewId="0">
      <pane ySplit="39" topLeftCell="A257" activePane="bottomLeft" state="frozen"/>
      <selection activeCell="G291" sqref="G291"/>
      <selection pane="bottomLeft" activeCell="A276" sqref="A276:J276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523" customFormat="1" ht="22.5" customHeight="1">
      <c r="A2" s="2257" t="s">
        <v>2793</v>
      </c>
      <c r="B2" s="2257"/>
      <c r="C2" s="2257"/>
      <c r="D2" s="2257"/>
      <c r="E2" s="2257"/>
      <c r="F2" s="2257"/>
      <c r="G2" s="2257"/>
      <c r="H2" s="2257"/>
      <c r="I2" s="2257"/>
      <c r="J2" s="2257"/>
      <c r="K2" s="522"/>
      <c r="L2" s="522"/>
    </row>
    <row r="3" spans="1:84" s="523" customFormat="1" ht="29.25" customHeight="1">
      <c r="A3" s="2258" t="s">
        <v>2794</v>
      </c>
      <c r="B3" s="2258"/>
      <c r="C3" s="2258"/>
      <c r="D3" s="2258"/>
      <c r="E3" s="2258"/>
      <c r="F3" s="2258"/>
      <c r="G3" s="2258"/>
      <c r="H3" s="2258"/>
      <c r="I3" s="2258"/>
      <c r="J3" s="2258"/>
    </row>
    <row r="4" spans="1:84" s="575" customFormat="1" ht="17.2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</row>
    <row r="5" spans="1:84" s="523" customFormat="1" ht="17.25" customHeight="1">
      <c r="A5" s="2259" t="s">
        <v>8</v>
      </c>
      <c r="B5" s="2259"/>
      <c r="C5" s="2259"/>
      <c r="D5" s="2259"/>
      <c r="E5" s="2259"/>
      <c r="F5" s="2259"/>
      <c r="G5" s="2259"/>
      <c r="H5" s="2259"/>
      <c r="I5" s="2259"/>
      <c r="J5" s="2259"/>
      <c r="K5" s="503"/>
      <c r="L5" s="503"/>
    </row>
    <row r="6" spans="1:84" ht="15.75" customHeight="1">
      <c r="A6" s="2256" t="s">
        <v>182</v>
      </c>
      <c r="B6" s="2256" t="s">
        <v>1175</v>
      </c>
      <c r="C6" s="2256" t="s">
        <v>122</v>
      </c>
      <c r="D6" s="2256"/>
      <c r="E6" s="2256"/>
      <c r="F6" s="2256"/>
      <c r="G6" s="2256"/>
      <c r="H6" s="2256"/>
      <c r="I6" s="2256" t="s">
        <v>125</v>
      </c>
      <c r="J6" s="2256"/>
      <c r="K6" s="48"/>
      <c r="L6" s="48"/>
      <c r="CE6" s="347" t="s">
        <v>2089</v>
      </c>
      <c r="CF6" s="371" t="s">
        <v>2090</v>
      </c>
    </row>
    <row r="7" spans="1:84" ht="15.6">
      <c r="A7" s="2256"/>
      <c r="B7" s="2256"/>
      <c r="C7" s="2256" t="s">
        <v>1176</v>
      </c>
      <c r="D7" s="2256" t="s">
        <v>123</v>
      </c>
      <c r="E7" s="2256"/>
      <c r="F7" s="2256"/>
      <c r="G7" s="2256"/>
      <c r="H7" s="2256" t="s">
        <v>1260</v>
      </c>
      <c r="I7" s="2256" t="s">
        <v>126</v>
      </c>
      <c r="J7" s="2256" t="s">
        <v>127</v>
      </c>
      <c r="K7" s="48"/>
      <c r="L7" s="48"/>
      <c r="CA7" s="9">
        <f>CA9+CA21+CA31+CA39</f>
        <v>0</v>
      </c>
      <c r="CE7" s="9">
        <f>CE9+CE21+CE31+CE39</f>
        <v>622</v>
      </c>
      <c r="CF7" s="372">
        <f>CA7+CB7+CC7+CE7</f>
        <v>622</v>
      </c>
    </row>
    <row r="8" spans="1:84" ht="15.6">
      <c r="A8" s="2256"/>
      <c r="B8" s="2256"/>
      <c r="C8" s="2256"/>
      <c r="D8" s="2256" t="s">
        <v>128</v>
      </c>
      <c r="E8" s="2256" t="s">
        <v>122</v>
      </c>
      <c r="F8" s="2256"/>
      <c r="G8" s="2256" t="s">
        <v>1258</v>
      </c>
      <c r="H8" s="2256"/>
      <c r="I8" s="2256"/>
      <c r="J8" s="2256"/>
      <c r="K8" s="48"/>
      <c r="L8" s="48"/>
      <c r="CF8" s="372"/>
    </row>
    <row r="9" spans="1:84" ht="15.6">
      <c r="A9" s="2256"/>
      <c r="B9" s="2256"/>
      <c r="C9" s="2256"/>
      <c r="D9" s="2256"/>
      <c r="E9" s="2256" t="s">
        <v>129</v>
      </c>
      <c r="F9" s="2256" t="s">
        <v>1255</v>
      </c>
      <c r="G9" s="2256"/>
      <c r="H9" s="2256"/>
      <c r="I9" s="2256"/>
      <c r="J9" s="2256"/>
      <c r="K9" s="48"/>
      <c r="L9" s="48"/>
      <c r="CE9" s="9">
        <f>CE11+CE16</f>
        <v>1713</v>
      </c>
      <c r="CF9" s="372">
        <f>CA9+CB9+CC9+CE9</f>
        <v>1713</v>
      </c>
    </row>
    <row r="10" spans="1:84" ht="30.75" customHeight="1">
      <c r="A10" s="2256"/>
      <c r="B10" s="2256"/>
      <c r="C10" s="2256"/>
      <c r="D10" s="2256"/>
      <c r="E10" s="2256"/>
      <c r="F10" s="2256"/>
      <c r="G10" s="2256"/>
      <c r="H10" s="2256"/>
      <c r="I10" s="2256"/>
      <c r="J10" s="2256"/>
      <c r="K10" s="48"/>
      <c r="L10" s="48"/>
      <c r="CF10" s="372"/>
    </row>
    <row r="11" spans="1:84" ht="15.6">
      <c r="A11" s="2254" t="s">
        <v>304</v>
      </c>
      <c r="B11" s="2254" t="s">
        <v>130</v>
      </c>
      <c r="C11" s="2254" t="s">
        <v>131</v>
      </c>
      <c r="D11" s="2254"/>
      <c r="E11" s="2254"/>
      <c r="F11" s="2254"/>
      <c r="G11" s="2254"/>
      <c r="H11" s="2254"/>
      <c r="I11" s="2254" t="s">
        <v>132</v>
      </c>
      <c r="J11" s="2254"/>
      <c r="CE11" s="9">
        <f>CE13+CE14</f>
        <v>4361</v>
      </c>
      <c r="CF11" s="372">
        <f>CA11+CB11+CC11+CE11</f>
        <v>4361</v>
      </c>
    </row>
    <row r="12" spans="1:84" ht="15.6">
      <c r="A12" s="2255"/>
      <c r="B12" s="2254"/>
      <c r="C12" s="2254" t="s">
        <v>133</v>
      </c>
      <c r="D12" s="2254" t="s">
        <v>131</v>
      </c>
      <c r="E12" s="2254"/>
      <c r="F12" s="2254"/>
      <c r="G12" s="2254"/>
      <c r="H12" s="2254" t="s">
        <v>1259</v>
      </c>
      <c r="I12" s="2254" t="s">
        <v>2830</v>
      </c>
      <c r="J12" s="2254" t="s">
        <v>2829</v>
      </c>
      <c r="CF12" s="372"/>
    </row>
    <row r="13" spans="1:84" ht="15.6">
      <c r="A13" s="2255"/>
      <c r="B13" s="2254"/>
      <c r="C13" s="2254"/>
      <c r="D13" s="2254" t="s">
        <v>134</v>
      </c>
      <c r="E13" s="2254" t="s">
        <v>106</v>
      </c>
      <c r="F13" s="2254"/>
      <c r="G13" s="2254" t="s">
        <v>1257</v>
      </c>
      <c r="H13" s="2254"/>
      <c r="I13" s="2254"/>
      <c r="J13" s="2254"/>
      <c r="CE13" s="9">
        <v>3917</v>
      </c>
      <c r="CF13" s="372">
        <f>CA13+CB13+CC13+CE13</f>
        <v>3917</v>
      </c>
    </row>
    <row r="14" spans="1:84" ht="15.6">
      <c r="A14" s="2255"/>
      <c r="B14" s="2254"/>
      <c r="C14" s="2254"/>
      <c r="D14" s="2254"/>
      <c r="E14" s="2254" t="s">
        <v>135</v>
      </c>
      <c r="F14" s="2254" t="s">
        <v>1256</v>
      </c>
      <c r="G14" s="2254"/>
      <c r="H14" s="2254"/>
      <c r="I14" s="2254"/>
      <c r="J14" s="2254"/>
      <c r="CE14" s="9">
        <v>444</v>
      </c>
      <c r="CF14" s="372">
        <f t="shared" ref="CF14:CF55" si="0">CA14+CB14+CC14+CE14</f>
        <v>444</v>
      </c>
    </row>
    <row r="15" spans="1:84" ht="27" customHeight="1">
      <c r="A15" s="2255"/>
      <c r="B15" s="2254"/>
      <c r="C15" s="2254"/>
      <c r="D15" s="2254"/>
      <c r="E15" s="2254"/>
      <c r="F15" s="2254"/>
      <c r="G15" s="2254"/>
      <c r="H15" s="2254"/>
      <c r="I15" s="2254"/>
      <c r="J15" s="2254"/>
      <c r="CF15" s="372"/>
    </row>
    <row r="16" spans="1:84" ht="15.6" hidden="1">
      <c r="A16" s="515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72">
        <f t="shared" si="0"/>
        <v>-2648</v>
      </c>
    </row>
    <row r="17" spans="1:84" ht="15.6" hidden="1">
      <c r="A17" s="515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72"/>
    </row>
    <row r="18" spans="1:84" ht="15.6" hidden="1">
      <c r="A18" s="515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72">
        <f t="shared" si="0"/>
        <v>-367</v>
      </c>
    </row>
    <row r="19" spans="1:84" ht="15.6" hidden="1">
      <c r="A19" s="515">
        <f>A18+1</f>
        <v>1998</v>
      </c>
      <c r="B19" s="11">
        <f>1712.9/5</f>
        <v>342.58000000000004</v>
      </c>
      <c r="C19" s="523">
        <f>1218.5/5</f>
        <v>243.7</v>
      </c>
      <c r="D19" s="523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72">
        <f t="shared" si="0"/>
        <v>-2281</v>
      </c>
    </row>
    <row r="20" spans="1:84" ht="15.6" hidden="1">
      <c r="A20" s="515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72"/>
    </row>
    <row r="21" spans="1:84" ht="15.6" hidden="1">
      <c r="A21" s="515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72">
        <f t="shared" si="0"/>
        <v>-797</v>
      </c>
    </row>
    <row r="22" spans="1:84" ht="15.6" hidden="1">
      <c r="A22" s="515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72"/>
    </row>
    <row r="23" spans="1:84" ht="15.6" hidden="1">
      <c r="A23" s="515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72">
        <f t="shared" si="0"/>
        <v>-644</v>
      </c>
    </row>
    <row r="24" spans="1:84" ht="15.6" hidden="1">
      <c r="A24" s="515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72">
        <f t="shared" si="0"/>
        <v>-153</v>
      </c>
    </row>
    <row r="25" spans="1:84" ht="15.6" hidden="1">
      <c r="A25" s="515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72"/>
    </row>
    <row r="26" spans="1:84" ht="15.6" hidden="1">
      <c r="A26" s="515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72"/>
    </row>
    <row r="27" spans="1:84" ht="15.6" hidden="1">
      <c r="A27" s="52">
        <v>2005</v>
      </c>
      <c r="B27" s="516">
        <v>1838.6913451086161</v>
      </c>
      <c r="C27" s="516">
        <v>796.45042524850601</v>
      </c>
      <c r="D27" s="516">
        <v>750.21738680547401</v>
      </c>
      <c r="E27" s="516">
        <v>547.40912764457403</v>
      </c>
      <c r="F27" s="516">
        <f>+F39</f>
        <v>202.80825916089998</v>
      </c>
      <c r="G27" s="516">
        <f>+G39</f>
        <v>46.233038443032001</v>
      </c>
      <c r="H27" s="516">
        <f>+H39</f>
        <v>1042.2409198601101</v>
      </c>
      <c r="I27" s="517">
        <f>+I39</f>
        <v>2.1</v>
      </c>
      <c r="J27" s="518">
        <f>+J39</f>
        <v>1.2</v>
      </c>
      <c r="K27" s="136"/>
      <c r="L27" s="136"/>
      <c r="CF27" s="372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72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72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72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72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72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72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72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72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72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72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72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72">
        <f t="shared" si="0"/>
        <v>204</v>
      </c>
    </row>
    <row r="40" spans="1:84" ht="15.6">
      <c r="A40" s="723">
        <v>2006</v>
      </c>
      <c r="B40" s="724">
        <v>3434.9590645600001</v>
      </c>
      <c r="C40" s="724">
        <v>2135.4512166600002</v>
      </c>
      <c r="D40" s="724">
        <v>1839.56814044</v>
      </c>
      <c r="E40" s="724">
        <v>1311.3468033600002</v>
      </c>
      <c r="F40" s="724">
        <f>+F52</f>
        <v>528.22133707999978</v>
      </c>
      <c r="G40" s="724">
        <f>+G52</f>
        <v>295.88307622000025</v>
      </c>
      <c r="H40" s="724">
        <f>+H52</f>
        <v>1299.5078478999999</v>
      </c>
      <c r="I40" s="725">
        <f>+I52</f>
        <v>1.68</v>
      </c>
      <c r="J40" s="725">
        <f>+J52</f>
        <v>1.33</v>
      </c>
      <c r="K40" s="136"/>
      <c r="L40" s="136"/>
      <c r="CE40" s="9">
        <v>200</v>
      </c>
      <c r="CF40" s="372">
        <f t="shared" si="0"/>
        <v>200</v>
      </c>
    </row>
    <row r="41" spans="1:84" ht="15.6" hidden="1">
      <c r="A41" s="726" t="s">
        <v>18</v>
      </c>
      <c r="B41" s="724">
        <v>1779.0438476300001</v>
      </c>
      <c r="C41" s="724">
        <v>707.85783872000013</v>
      </c>
      <c r="D41" s="724">
        <v>661.10696098000017</v>
      </c>
      <c r="E41" s="724">
        <v>466.22478698000009</v>
      </c>
      <c r="F41" s="724">
        <f t="shared" ref="F41:F52" si="4">+D41-E41</f>
        <v>194.88217400000008</v>
      </c>
      <c r="G41" s="724">
        <f t="shared" ref="G41:G52" si="5">+C41-D41</f>
        <v>46.750877739999964</v>
      </c>
      <c r="H41" s="727">
        <f t="shared" ref="H41:H52" si="6">+B41-C41</f>
        <v>1071.1860089100001</v>
      </c>
      <c r="I41" s="725">
        <v>2.58</v>
      </c>
      <c r="J41" s="728">
        <v>1.17</v>
      </c>
      <c r="K41" s="134"/>
      <c r="L41" s="134"/>
      <c r="CF41" s="372"/>
    </row>
    <row r="42" spans="1:84" ht="15.6" hidden="1">
      <c r="A42" s="726" t="s">
        <v>19</v>
      </c>
      <c r="B42" s="724">
        <v>1845.7093345899998</v>
      </c>
      <c r="C42" s="724">
        <v>764.2260487399999</v>
      </c>
      <c r="D42" s="724">
        <v>711.21089476999987</v>
      </c>
      <c r="E42" s="724">
        <v>472.40871401999999</v>
      </c>
      <c r="F42" s="724">
        <f t="shared" si="4"/>
        <v>238.80218074999988</v>
      </c>
      <c r="G42" s="724">
        <f t="shared" si="5"/>
        <v>53.015153970000028</v>
      </c>
      <c r="H42" s="727">
        <f t="shared" si="6"/>
        <v>1081.4832858499999</v>
      </c>
      <c r="I42" s="725">
        <v>2.44</v>
      </c>
      <c r="J42" s="728">
        <v>1.19</v>
      </c>
      <c r="K42" s="134"/>
      <c r="L42" s="134"/>
      <c r="CE42" s="9">
        <v>295</v>
      </c>
      <c r="CF42" s="372">
        <f t="shared" si="0"/>
        <v>295</v>
      </c>
    </row>
    <row r="43" spans="1:84" ht="15.6" hidden="1">
      <c r="A43" s="726" t="s">
        <v>20</v>
      </c>
      <c r="B43" s="724">
        <v>1926.5032717600002</v>
      </c>
      <c r="C43" s="724">
        <v>841.32249034000006</v>
      </c>
      <c r="D43" s="729">
        <v>783.16418420000014</v>
      </c>
      <c r="E43" s="724">
        <v>519.53356327000006</v>
      </c>
      <c r="F43" s="724">
        <f t="shared" si="4"/>
        <v>263.63062093000008</v>
      </c>
      <c r="G43" s="724">
        <f t="shared" si="5"/>
        <v>58.158306139999922</v>
      </c>
      <c r="H43" s="727">
        <f t="shared" si="6"/>
        <v>1085.1807814200001</v>
      </c>
      <c r="I43" s="728">
        <v>2.33</v>
      </c>
      <c r="J43" s="728">
        <v>1.18</v>
      </c>
      <c r="K43" s="134"/>
      <c r="L43" s="134"/>
      <c r="CE43" s="9">
        <v>-95</v>
      </c>
      <c r="CF43" s="372">
        <f t="shared" si="0"/>
        <v>-95</v>
      </c>
    </row>
    <row r="44" spans="1:84" ht="15.6" hidden="1">
      <c r="A44" s="726" t="s">
        <v>21</v>
      </c>
      <c r="B44" s="724">
        <v>2055.5574526100004</v>
      </c>
      <c r="C44" s="724">
        <v>915.66259446000004</v>
      </c>
      <c r="D44" s="729">
        <v>848.85440532999996</v>
      </c>
      <c r="E44" s="724">
        <v>564.04256186999999</v>
      </c>
      <c r="F44" s="724">
        <f t="shared" si="4"/>
        <v>284.81184345999998</v>
      </c>
      <c r="G44" s="724">
        <f t="shared" si="5"/>
        <v>66.808189130000073</v>
      </c>
      <c r="H44" s="727">
        <f t="shared" si="6"/>
        <v>1139.8948581500003</v>
      </c>
      <c r="I44" s="725">
        <v>2.4</v>
      </c>
      <c r="J44" s="725">
        <v>1.2350000000000001</v>
      </c>
      <c r="K44" s="136"/>
      <c r="L44" s="136"/>
      <c r="CF44" s="372"/>
    </row>
    <row r="45" spans="1:84" ht="15.6" hidden="1">
      <c r="A45" s="726" t="s">
        <v>22</v>
      </c>
      <c r="B45" s="724">
        <v>2153.3551943900002</v>
      </c>
      <c r="C45" s="724">
        <v>986.21397751000006</v>
      </c>
      <c r="D45" s="729">
        <v>910.18533269</v>
      </c>
      <c r="E45" s="724">
        <v>629.3409680100001</v>
      </c>
      <c r="F45" s="724">
        <f t="shared" si="4"/>
        <v>280.8443646799999</v>
      </c>
      <c r="G45" s="724">
        <f t="shared" si="5"/>
        <v>76.028644820000068</v>
      </c>
      <c r="H45" s="727">
        <f t="shared" si="6"/>
        <v>1167.1412168800002</v>
      </c>
      <c r="I45" s="725">
        <v>2.31</v>
      </c>
      <c r="J45" s="728">
        <v>1.22</v>
      </c>
      <c r="K45" s="134"/>
      <c r="L45" s="134"/>
      <c r="CE45" s="9">
        <v>0</v>
      </c>
      <c r="CF45" s="372">
        <f t="shared" si="0"/>
        <v>0</v>
      </c>
    </row>
    <row r="46" spans="1:84" ht="15.6" hidden="1">
      <c r="A46" s="726" t="s">
        <v>23</v>
      </c>
      <c r="B46" s="724">
        <v>2349.45600582</v>
      </c>
      <c r="C46" s="724">
        <v>1131.2472143800001</v>
      </c>
      <c r="D46" s="729">
        <v>1028.3768966599998</v>
      </c>
      <c r="E46" s="724">
        <v>728.08926222000002</v>
      </c>
      <c r="F46" s="724">
        <f t="shared" si="4"/>
        <v>300.28763443999981</v>
      </c>
      <c r="G46" s="724">
        <f t="shared" si="5"/>
        <v>102.87031772000023</v>
      </c>
      <c r="H46" s="727">
        <f t="shared" si="6"/>
        <v>1218.2087914399999</v>
      </c>
      <c r="I46" s="725">
        <v>2.17</v>
      </c>
      <c r="J46" s="728">
        <v>1.18</v>
      </c>
      <c r="K46" s="134"/>
      <c r="L46" s="134"/>
      <c r="CF46" s="372"/>
    </row>
    <row r="47" spans="1:84" ht="15.6" hidden="1">
      <c r="A47" s="726" t="s">
        <v>24</v>
      </c>
      <c r="B47" s="724">
        <v>2546.10319785</v>
      </c>
      <c r="C47" s="724">
        <v>1293.6081918599998</v>
      </c>
      <c r="D47" s="729">
        <v>1171.8001929499999</v>
      </c>
      <c r="E47" s="724">
        <v>861.72473530999991</v>
      </c>
      <c r="F47" s="724">
        <f t="shared" si="4"/>
        <v>310.07545763999997</v>
      </c>
      <c r="G47" s="724">
        <f t="shared" si="5"/>
        <v>121.80799890999992</v>
      </c>
      <c r="H47" s="727">
        <f t="shared" si="6"/>
        <v>1252.4950059900002</v>
      </c>
      <c r="I47" s="725">
        <v>2.12</v>
      </c>
      <c r="J47" s="728">
        <v>1.21</v>
      </c>
      <c r="K47" s="134"/>
      <c r="L47" s="134"/>
      <c r="CE47" s="9">
        <f>CE48-CE52</f>
        <v>481</v>
      </c>
      <c r="CF47" s="372">
        <f t="shared" si="0"/>
        <v>481</v>
      </c>
    </row>
    <row r="48" spans="1:84" ht="15.6" hidden="1">
      <c r="A48" s="726" t="s">
        <v>25</v>
      </c>
      <c r="B48" s="724">
        <v>2659.6957829799999</v>
      </c>
      <c r="C48" s="724">
        <v>1411.4761434100001</v>
      </c>
      <c r="D48" s="729">
        <v>1268.1629514400001</v>
      </c>
      <c r="E48" s="724">
        <v>915.02635529000008</v>
      </c>
      <c r="F48" s="724">
        <f t="shared" si="4"/>
        <v>353.13659615000006</v>
      </c>
      <c r="G48" s="724">
        <f t="shared" si="5"/>
        <v>143.31319196999993</v>
      </c>
      <c r="H48" s="727">
        <f t="shared" si="6"/>
        <v>1248.2196395699998</v>
      </c>
      <c r="I48" s="725">
        <v>2.06</v>
      </c>
      <c r="J48" s="728">
        <v>1.22</v>
      </c>
      <c r="K48" s="134"/>
      <c r="L48" s="134"/>
      <c r="CE48" s="9">
        <f>CE50+CE51</f>
        <v>965</v>
      </c>
      <c r="CF48" s="372">
        <f t="shared" si="0"/>
        <v>965</v>
      </c>
    </row>
    <row r="49" spans="1:84" ht="15.6" hidden="1">
      <c r="A49" s="726" t="s">
        <v>26</v>
      </c>
      <c r="B49" s="724">
        <v>2798.1588578800006</v>
      </c>
      <c r="C49" s="724">
        <v>1529.3885263800003</v>
      </c>
      <c r="D49" s="729">
        <v>1354.76533591</v>
      </c>
      <c r="E49" s="724">
        <v>996.81828699000005</v>
      </c>
      <c r="F49" s="724">
        <f t="shared" si="4"/>
        <v>357.94704891999993</v>
      </c>
      <c r="G49" s="724">
        <f t="shared" si="5"/>
        <v>174.62319047000028</v>
      </c>
      <c r="H49" s="727">
        <f t="shared" si="6"/>
        <v>1268.7703315000003</v>
      </c>
      <c r="I49" s="725">
        <v>2.12</v>
      </c>
      <c r="J49" s="728">
        <v>1.28</v>
      </c>
      <c r="K49" s="134"/>
      <c r="L49" s="134"/>
      <c r="CF49" s="372"/>
    </row>
    <row r="50" spans="1:84" ht="15.6" hidden="1">
      <c r="A50" s="726" t="s">
        <v>27</v>
      </c>
      <c r="B50" s="724">
        <v>2951.16587265</v>
      </c>
      <c r="C50" s="724">
        <v>1714.3926982600001</v>
      </c>
      <c r="D50" s="729">
        <v>1505.60137822</v>
      </c>
      <c r="E50" s="724">
        <v>1096.2854915800001</v>
      </c>
      <c r="F50" s="724">
        <f t="shared" si="4"/>
        <v>409.31588663999992</v>
      </c>
      <c r="G50" s="724">
        <f t="shared" si="5"/>
        <v>208.79132004000007</v>
      </c>
      <c r="H50" s="727">
        <f t="shared" si="6"/>
        <v>1236.7731743899999</v>
      </c>
      <c r="I50" s="725">
        <v>2.02</v>
      </c>
      <c r="J50" s="728">
        <v>1.29</v>
      </c>
      <c r="K50" s="134"/>
      <c r="L50" s="134"/>
      <c r="CE50" s="9">
        <v>954</v>
      </c>
      <c r="CF50" s="372">
        <f t="shared" si="0"/>
        <v>954</v>
      </c>
    </row>
    <row r="51" spans="1:84" ht="15.6" hidden="1">
      <c r="A51" s="726" t="s">
        <v>28</v>
      </c>
      <c r="B51" s="724">
        <v>3040.6547447599996</v>
      </c>
      <c r="C51" s="724">
        <v>1820.3852246000001</v>
      </c>
      <c r="D51" s="729">
        <v>1593.2180773</v>
      </c>
      <c r="E51" s="724">
        <v>1114.50949109</v>
      </c>
      <c r="F51" s="724">
        <f t="shared" si="4"/>
        <v>478.70858621000002</v>
      </c>
      <c r="G51" s="724">
        <f t="shared" si="5"/>
        <v>227.16714730000012</v>
      </c>
      <c r="H51" s="727">
        <f t="shared" si="6"/>
        <v>1220.2695201599995</v>
      </c>
      <c r="I51" s="725">
        <v>1.97</v>
      </c>
      <c r="J51" s="728">
        <v>1.29</v>
      </c>
      <c r="K51" s="134"/>
      <c r="L51" s="134"/>
      <c r="CE51" s="9">
        <v>11</v>
      </c>
      <c r="CF51" s="372">
        <f t="shared" si="0"/>
        <v>11</v>
      </c>
    </row>
    <row r="52" spans="1:84" ht="15.6" hidden="1">
      <c r="A52" s="726" t="s">
        <v>29</v>
      </c>
      <c r="B52" s="724">
        <v>3434.9590645600001</v>
      </c>
      <c r="C52" s="724">
        <v>2135.4512166600002</v>
      </c>
      <c r="D52" s="729">
        <v>1839.56814044</v>
      </c>
      <c r="E52" s="724">
        <v>1311.3468033600002</v>
      </c>
      <c r="F52" s="724">
        <f t="shared" si="4"/>
        <v>528.22133707999978</v>
      </c>
      <c r="G52" s="724">
        <f t="shared" si="5"/>
        <v>295.88307622000025</v>
      </c>
      <c r="H52" s="727">
        <f t="shared" si="6"/>
        <v>1299.5078478999999</v>
      </c>
      <c r="I52" s="725">
        <v>1.68</v>
      </c>
      <c r="J52" s="728">
        <v>1.33</v>
      </c>
      <c r="K52" s="134"/>
      <c r="L52" s="134"/>
      <c r="CE52" s="9">
        <f>CE54+CE55+CE56+CE57</f>
        <v>484</v>
      </c>
      <c r="CF52" s="372">
        <f t="shared" si="0"/>
        <v>484</v>
      </c>
    </row>
    <row r="53" spans="1:84" ht="15.6">
      <c r="A53" s="723">
        <v>2007</v>
      </c>
      <c r="B53" s="724">
        <v>5897.2552108999998</v>
      </c>
      <c r="C53" s="724">
        <v>4401.6104359399997</v>
      </c>
      <c r="D53" s="724">
        <v>3621.7123201999998</v>
      </c>
      <c r="E53" s="724">
        <v>2713.50601646</v>
      </c>
      <c r="F53" s="724">
        <f>+F65</f>
        <v>908.20630373999984</v>
      </c>
      <c r="G53" s="724">
        <f>+G65</f>
        <v>779.89811573999987</v>
      </c>
      <c r="H53" s="724">
        <f>+H65</f>
        <v>1495.6447749600002</v>
      </c>
      <c r="I53" s="725">
        <f>+I65</f>
        <v>1.7139197892641245</v>
      </c>
      <c r="J53" s="725">
        <f>+J65</f>
        <v>1.3666202297379531</v>
      </c>
      <c r="K53" s="136"/>
      <c r="L53" s="136"/>
      <c r="CF53" s="372"/>
    </row>
    <row r="54" spans="1:84" ht="15.6" hidden="1">
      <c r="A54" s="726" t="s">
        <v>18</v>
      </c>
      <c r="B54" s="729">
        <v>3252.4747547500001</v>
      </c>
      <c r="C54" s="729">
        <v>1950.7451824</v>
      </c>
      <c r="D54" s="729">
        <v>1684.7088636399999</v>
      </c>
      <c r="E54" s="729">
        <v>1210.1969983199999</v>
      </c>
      <c r="F54" s="724">
        <f t="shared" ref="F54:F65" si="7">+D54-E54</f>
        <v>474.51186531999997</v>
      </c>
      <c r="G54" s="724">
        <f t="shared" ref="G54:G65" si="8">+C54-D54</f>
        <v>266.03631876000009</v>
      </c>
      <c r="H54" s="727">
        <f t="shared" ref="H54:H65" si="9">+B54-C54</f>
        <v>1301.7295723500001</v>
      </c>
      <c r="I54" s="725">
        <f>B54/1596.8</f>
        <v>2.0368704626440381</v>
      </c>
      <c r="J54" s="725">
        <f>C54/1460.3</f>
        <v>1.3358523470519756</v>
      </c>
      <c r="K54" s="136"/>
      <c r="L54" s="136"/>
      <c r="CE54" s="9">
        <v>1214</v>
      </c>
      <c r="CF54" s="372">
        <f t="shared" si="0"/>
        <v>1214</v>
      </c>
    </row>
    <row r="55" spans="1:84" ht="15.6" hidden="1">
      <c r="A55" s="726" t="s">
        <v>19</v>
      </c>
      <c r="B55" s="729">
        <v>3348.4689976199998</v>
      </c>
      <c r="C55" s="729">
        <v>2078.7716244099997</v>
      </c>
      <c r="D55" s="729">
        <v>1787.5188286800001</v>
      </c>
      <c r="E55" s="729">
        <v>1287.6298033999999</v>
      </c>
      <c r="F55" s="724">
        <f t="shared" si="7"/>
        <v>499.88902528000017</v>
      </c>
      <c r="G55" s="724">
        <f t="shared" si="8"/>
        <v>291.25279572999966</v>
      </c>
      <c r="H55" s="727">
        <f t="shared" si="9"/>
        <v>1269.69737321</v>
      </c>
      <c r="I55" s="725">
        <f>B55/1698.8</f>
        <v>1.9710789955380268</v>
      </c>
      <c r="J55" s="725">
        <f>C55/1563.7</f>
        <v>1.3293928659013876</v>
      </c>
      <c r="K55" s="136"/>
      <c r="L55" s="136"/>
      <c r="CE55" s="9">
        <v>-745</v>
      </c>
      <c r="CF55" s="372">
        <f t="shared" si="0"/>
        <v>-745</v>
      </c>
    </row>
    <row r="56" spans="1:84" ht="15.6" hidden="1">
      <c r="A56" s="726" t="s">
        <v>20</v>
      </c>
      <c r="B56" s="729">
        <v>3464.4332316299997</v>
      </c>
      <c r="C56" s="729">
        <v>2216.0282588099999</v>
      </c>
      <c r="D56" s="729">
        <v>1874.2666101700001</v>
      </c>
      <c r="E56" s="729">
        <v>1357.2281392</v>
      </c>
      <c r="F56" s="724">
        <f t="shared" si="7"/>
        <v>517.03847097000016</v>
      </c>
      <c r="G56" s="724">
        <f t="shared" si="8"/>
        <v>341.76164863999975</v>
      </c>
      <c r="H56" s="727">
        <f t="shared" si="9"/>
        <v>1248.4049728199998</v>
      </c>
      <c r="I56" s="725">
        <f>B56/1798.4</f>
        <v>1.9263974820006671</v>
      </c>
      <c r="J56" s="725">
        <f>C56/1662.5</f>
        <v>1.3329493286075187</v>
      </c>
      <c r="K56" s="136"/>
      <c r="L56" s="136"/>
      <c r="CE56" s="9">
        <v>0</v>
      </c>
      <c r="CF56" s="372">
        <f>CA56+CB56+CC56+CE56</f>
        <v>0</v>
      </c>
    </row>
    <row r="57" spans="1:84" ht="15.6" hidden="1">
      <c r="A57" s="726" t="s">
        <v>21</v>
      </c>
      <c r="B57" s="729">
        <v>3545.2632317200005</v>
      </c>
      <c r="C57" s="729">
        <v>2340.6354799700002</v>
      </c>
      <c r="D57" s="729">
        <v>1952.6528580300001</v>
      </c>
      <c r="E57" s="729">
        <v>1426.10882416</v>
      </c>
      <c r="F57" s="724">
        <f t="shared" si="7"/>
        <v>526.54403387000002</v>
      </c>
      <c r="G57" s="724">
        <f t="shared" si="8"/>
        <v>387.98262194000017</v>
      </c>
      <c r="H57" s="727">
        <f t="shared" si="9"/>
        <v>1204.6277517500002</v>
      </c>
      <c r="I57" s="725">
        <f>B57/1819.5</f>
        <v>1.9484821279032705</v>
      </c>
      <c r="J57" s="725">
        <f>C57/1685.8</f>
        <v>1.3884419741191127</v>
      </c>
      <c r="K57" s="136"/>
      <c r="L57" s="136"/>
      <c r="CE57" s="9">
        <v>15</v>
      </c>
      <c r="CF57" s="372">
        <f>CA57+CB57+CC57+CE57</f>
        <v>15</v>
      </c>
    </row>
    <row r="58" spans="1:84" ht="15.6" hidden="1">
      <c r="A58" s="726" t="s">
        <v>22</v>
      </c>
      <c r="B58" s="729">
        <v>3784.9686775000009</v>
      </c>
      <c r="C58" s="729">
        <v>2523.2134007700006</v>
      </c>
      <c r="D58" s="729">
        <v>2066.6299545500001</v>
      </c>
      <c r="E58" s="729">
        <v>1534.8437348000002</v>
      </c>
      <c r="F58" s="724">
        <f t="shared" si="7"/>
        <v>531.78621974999987</v>
      </c>
      <c r="G58" s="724">
        <f t="shared" si="8"/>
        <v>456.5834462200005</v>
      </c>
      <c r="H58" s="727">
        <f t="shared" si="9"/>
        <v>1261.7552767300003</v>
      </c>
      <c r="I58" s="725">
        <f>B58/1907.8</f>
        <v>1.9839441647447327</v>
      </c>
      <c r="J58" s="725">
        <f>C58/1779</f>
        <v>1.4183324343844861</v>
      </c>
      <c r="K58" s="136"/>
      <c r="L58" s="136"/>
      <c r="CE58" s="9">
        <v>-372</v>
      </c>
      <c r="CF58" s="372">
        <f>CA58+CB58+CC58+CE58</f>
        <v>-372</v>
      </c>
    </row>
    <row r="59" spans="1:84" ht="15.6" hidden="1">
      <c r="A59" s="726" t="s">
        <v>23</v>
      </c>
      <c r="B59" s="729">
        <v>4041.23745418</v>
      </c>
      <c r="C59" s="729">
        <v>2739.73652227</v>
      </c>
      <c r="D59" s="729">
        <v>2263.82087899</v>
      </c>
      <c r="E59" s="729">
        <v>1722.58105131</v>
      </c>
      <c r="F59" s="724">
        <f t="shared" si="7"/>
        <v>541.23982767999996</v>
      </c>
      <c r="G59" s="724">
        <f t="shared" si="8"/>
        <v>475.91564328000004</v>
      </c>
      <c r="H59" s="727">
        <f t="shared" si="9"/>
        <v>1301.50093191</v>
      </c>
      <c r="I59" s="725">
        <f>B59/2226</f>
        <v>1.8154705544384546</v>
      </c>
      <c r="J59" s="725">
        <f>C59/2032.4</f>
        <v>1.3480301723430426</v>
      </c>
      <c r="K59" s="136"/>
      <c r="L59" s="136"/>
      <c r="CE59" s="9">
        <v>-231</v>
      </c>
      <c r="CF59" s="372">
        <f>CA59+CB59+CC59+CE59</f>
        <v>-231</v>
      </c>
    </row>
    <row r="60" spans="1:84" ht="15.6" hidden="1">
      <c r="A60" s="726" t="s">
        <v>24</v>
      </c>
      <c r="B60" s="729">
        <v>4341.1953782099999</v>
      </c>
      <c r="C60" s="729">
        <v>3024.8366283599998</v>
      </c>
      <c r="D60" s="729">
        <v>2454.6423128800002</v>
      </c>
      <c r="E60" s="729">
        <v>1877.8959955</v>
      </c>
      <c r="F60" s="724">
        <f t="shared" si="7"/>
        <v>576.74631738000016</v>
      </c>
      <c r="G60" s="724">
        <f t="shared" si="8"/>
        <v>570.19431547999966</v>
      </c>
      <c r="H60" s="727">
        <f t="shared" si="9"/>
        <v>1316.3587498500001</v>
      </c>
      <c r="I60" s="725">
        <f>B60/2388.1</f>
        <v>1.8178448884929441</v>
      </c>
      <c r="J60" s="725">
        <f>C60/2245.9</f>
        <v>1.3468260511866066</v>
      </c>
      <c r="K60" s="136"/>
      <c r="L60" s="136"/>
      <c r="CF60" s="372"/>
    </row>
    <row r="61" spans="1:84" ht="15.6" hidden="1">
      <c r="A61" s="726" t="s">
        <v>25</v>
      </c>
      <c r="B61" s="729">
        <v>4636.0965322399998</v>
      </c>
      <c r="C61" s="729">
        <v>3259.80839982</v>
      </c>
      <c r="D61" s="729">
        <v>2631.5413941099996</v>
      </c>
      <c r="E61" s="729">
        <v>1936.2161557699999</v>
      </c>
      <c r="F61" s="724">
        <f t="shared" si="7"/>
        <v>695.32523833999971</v>
      </c>
      <c r="G61" s="724">
        <f t="shared" si="8"/>
        <v>628.26700571000038</v>
      </c>
      <c r="H61" s="727">
        <f t="shared" si="9"/>
        <v>1376.2881324199998</v>
      </c>
      <c r="I61" s="725">
        <f>B61/2541.3</f>
        <v>1.8243011577696453</v>
      </c>
      <c r="J61" s="725">
        <f>C61/2392.3</f>
        <v>1.3626252559545207</v>
      </c>
      <c r="K61" s="136"/>
      <c r="L61" s="136"/>
      <c r="CE61" s="9">
        <f>CE7+CE45-CE47+CE58-CE59</f>
        <v>0</v>
      </c>
      <c r="CF61" s="372">
        <f>CA61+CB61+CC61+CE61</f>
        <v>0</v>
      </c>
    </row>
    <row r="62" spans="1:84" ht="15.6" hidden="1">
      <c r="A62" s="726" t="s">
        <v>26</v>
      </c>
      <c r="B62" s="729">
        <v>4945.0476432100004</v>
      </c>
      <c r="C62" s="729">
        <v>3417.3791418999999</v>
      </c>
      <c r="D62" s="729">
        <v>2765.3386028700002</v>
      </c>
      <c r="E62" s="729">
        <v>2051.98892123</v>
      </c>
      <c r="F62" s="724">
        <f t="shared" si="7"/>
        <v>713.3496816400002</v>
      </c>
      <c r="G62" s="724">
        <f t="shared" si="8"/>
        <v>652.04053902999976</v>
      </c>
      <c r="H62" s="727">
        <f t="shared" si="9"/>
        <v>1527.6685013100005</v>
      </c>
      <c r="I62" s="725">
        <f>B62/2632.9</f>
        <v>1.8781752604390596</v>
      </c>
      <c r="J62" s="725">
        <f>C62/2480.6</f>
        <v>1.3776421599209869</v>
      </c>
      <c r="K62" s="136"/>
      <c r="L62" s="136"/>
    </row>
    <row r="63" spans="1:84" ht="15.6" hidden="1">
      <c r="A63" s="726" t="s">
        <v>27</v>
      </c>
      <c r="B63" s="729">
        <v>5144.8155211899993</v>
      </c>
      <c r="C63" s="729">
        <v>3530.0808482499997</v>
      </c>
      <c r="D63" s="729">
        <v>2831.8089585200005</v>
      </c>
      <c r="E63" s="729">
        <v>2142.5386467900003</v>
      </c>
      <c r="F63" s="724">
        <f t="shared" si="7"/>
        <v>689.27031173000023</v>
      </c>
      <c r="G63" s="724">
        <f t="shared" si="8"/>
        <v>698.2718897299992</v>
      </c>
      <c r="H63" s="727">
        <f t="shared" si="9"/>
        <v>1614.7346729399997</v>
      </c>
      <c r="I63" s="725">
        <f>B63/2690.7</f>
        <v>1.9120732601887984</v>
      </c>
      <c r="J63" s="725">
        <f>C63/2520.5</f>
        <v>1.400547846954969</v>
      </c>
      <c r="K63" s="136"/>
      <c r="L63" s="136"/>
    </row>
    <row r="64" spans="1:84" ht="15.6" hidden="1">
      <c r="A64" s="726" t="s">
        <v>28</v>
      </c>
      <c r="B64" s="729">
        <v>5311.6822035799996</v>
      </c>
      <c r="C64" s="729">
        <v>3769.7125072700001</v>
      </c>
      <c r="D64" s="729">
        <v>3098.6645389199998</v>
      </c>
      <c r="E64" s="729">
        <v>2255.5180723399999</v>
      </c>
      <c r="F64" s="724">
        <f t="shared" si="7"/>
        <v>843.14646657999992</v>
      </c>
      <c r="G64" s="724">
        <f t="shared" si="8"/>
        <v>671.04796835000025</v>
      </c>
      <c r="H64" s="727">
        <f t="shared" si="9"/>
        <v>1541.9696963099996</v>
      </c>
      <c r="I64" s="725">
        <f>B64/2785.1</f>
        <v>1.9071782713654806</v>
      </c>
      <c r="J64" s="725">
        <f>C64/2612.5</f>
        <v>1.4429521558928229</v>
      </c>
      <c r="K64" s="136"/>
      <c r="L64" s="136"/>
    </row>
    <row r="65" spans="1:12" ht="15.6" hidden="1">
      <c r="A65" s="726" t="s">
        <v>29</v>
      </c>
      <c r="B65" s="729">
        <v>5897.2552108999998</v>
      </c>
      <c r="C65" s="729">
        <v>4401.6104359399997</v>
      </c>
      <c r="D65" s="729">
        <v>3621.7123201999998</v>
      </c>
      <c r="E65" s="729">
        <v>2713.50601646</v>
      </c>
      <c r="F65" s="724">
        <f t="shared" si="7"/>
        <v>908.20630373999984</v>
      </c>
      <c r="G65" s="724">
        <f t="shared" si="8"/>
        <v>779.89811573999987</v>
      </c>
      <c r="H65" s="727">
        <f t="shared" si="9"/>
        <v>1495.6447749600002</v>
      </c>
      <c r="I65" s="725">
        <f>B65/3440.8</f>
        <v>1.7139197892641245</v>
      </c>
      <c r="J65" s="725">
        <f>C65/3220.8</f>
        <v>1.3666202297379531</v>
      </c>
      <c r="K65" s="136"/>
      <c r="L65" s="136"/>
    </row>
    <row r="66" spans="1:12" ht="15.6">
      <c r="A66" s="726" t="s">
        <v>114</v>
      </c>
      <c r="B66" s="729">
        <v>8494.2021698699991</v>
      </c>
      <c r="C66" s="729">
        <v>6081.0003026699997</v>
      </c>
      <c r="D66" s="729">
        <v>5104.9499915000006</v>
      </c>
      <c r="E66" s="729">
        <v>4145.6740853499996</v>
      </c>
      <c r="F66" s="729">
        <f>+F78</f>
        <v>959.27590615000099</v>
      </c>
      <c r="G66" s="729">
        <f>+G78</f>
        <v>976.05031116999908</v>
      </c>
      <c r="H66" s="729">
        <f>+H78</f>
        <v>2413.2018671999995</v>
      </c>
      <c r="I66" s="730">
        <f>+I78</f>
        <v>1.7111952637784806</v>
      </c>
      <c r="J66" s="730">
        <f>+J78</f>
        <v>1.2718299003764666</v>
      </c>
      <c r="K66" s="139"/>
      <c r="L66" s="139"/>
    </row>
    <row r="67" spans="1:12" ht="15.6" hidden="1">
      <c r="A67" s="726" t="s">
        <v>18</v>
      </c>
      <c r="B67" s="729">
        <v>5650.3491603600005</v>
      </c>
      <c r="C67" s="729">
        <v>4095.9496440200001</v>
      </c>
      <c r="D67" s="729">
        <v>3269.40837358</v>
      </c>
      <c r="E67" s="729">
        <v>2524.0448842800001</v>
      </c>
      <c r="F67" s="724">
        <f t="shared" ref="F67:F132" si="10">+D67-E67</f>
        <v>745.36348929999986</v>
      </c>
      <c r="G67" s="724">
        <f t="shared" ref="G67:G132" si="11">+C67-D67</f>
        <v>826.54127044000006</v>
      </c>
      <c r="H67" s="727">
        <f t="shared" ref="H67:H78" si="12">+B67-C67</f>
        <v>1554.3995163400004</v>
      </c>
      <c r="I67" s="725">
        <f>B67/3074.5</f>
        <v>1.8378107530850547</v>
      </c>
      <c r="J67" s="725">
        <f>C67/2895.6</f>
        <v>1.4145426315858545</v>
      </c>
      <c r="K67" s="136"/>
      <c r="L67" s="136"/>
    </row>
    <row r="68" spans="1:12" ht="15.6" hidden="1">
      <c r="A68" s="726" t="s">
        <v>19</v>
      </c>
      <c r="B68" s="729">
        <v>6194.9602687000006</v>
      </c>
      <c r="C68" s="729">
        <v>4246.36731977</v>
      </c>
      <c r="D68" s="729">
        <v>3367.0258847700002</v>
      </c>
      <c r="E68" s="729">
        <v>2565.1752142199998</v>
      </c>
      <c r="F68" s="724">
        <f t="shared" si="10"/>
        <v>801.85067055000036</v>
      </c>
      <c r="G68" s="724">
        <f t="shared" si="11"/>
        <v>879.34143499999982</v>
      </c>
      <c r="H68" s="727">
        <f t="shared" si="12"/>
        <v>1948.5929489300006</v>
      </c>
      <c r="I68" s="725">
        <f>B68/3194.3</f>
        <v>1.9393796038881759</v>
      </c>
      <c r="J68" s="725">
        <f>C68/3022</f>
        <v>1.4051513301687624</v>
      </c>
      <c r="K68" s="136"/>
      <c r="L68" s="136"/>
    </row>
    <row r="69" spans="1:12" ht="15.6" hidden="1">
      <c r="A69" s="726" t="s">
        <v>20</v>
      </c>
      <c r="B69" s="729">
        <v>6341.2531672499999</v>
      </c>
      <c r="C69" s="729">
        <v>4428.2279845800003</v>
      </c>
      <c r="D69" s="729">
        <v>3542.3869198499997</v>
      </c>
      <c r="E69" s="729">
        <v>2734.54678031</v>
      </c>
      <c r="F69" s="724">
        <f t="shared" si="10"/>
        <v>807.84013953999965</v>
      </c>
      <c r="G69" s="724">
        <f t="shared" si="11"/>
        <v>885.84106473000065</v>
      </c>
      <c r="H69" s="727">
        <f t="shared" si="12"/>
        <v>1913.0251826699996</v>
      </c>
      <c r="I69" s="725">
        <f>B69/3468</f>
        <v>1.8285043734861592</v>
      </c>
      <c r="J69" s="725">
        <f>C69/3246.4</f>
        <v>1.3640426270884674</v>
      </c>
      <c r="K69" s="136"/>
      <c r="L69" s="136"/>
    </row>
    <row r="70" spans="1:12" ht="15.6" hidden="1">
      <c r="A70" s="726" t="s">
        <v>21</v>
      </c>
      <c r="B70" s="729">
        <v>6549.9193878199994</v>
      </c>
      <c r="C70" s="729">
        <v>4563.1478739799995</v>
      </c>
      <c r="D70" s="729">
        <v>3663.7250187499999</v>
      </c>
      <c r="E70" s="729">
        <v>2867.4752949899998</v>
      </c>
      <c r="F70" s="724">
        <f t="shared" si="10"/>
        <v>796.24972376000005</v>
      </c>
      <c r="G70" s="724">
        <f t="shared" si="11"/>
        <v>899.42285522999964</v>
      </c>
      <c r="H70" s="727">
        <f t="shared" si="12"/>
        <v>1986.7715138399999</v>
      </c>
      <c r="I70" s="725">
        <f>B70/3463.4</f>
        <v>1.8911818986602758</v>
      </c>
      <c r="J70" s="725">
        <f>C70/3291.2</f>
        <v>1.3864693345831307</v>
      </c>
      <c r="K70" s="136"/>
      <c r="L70" s="136"/>
    </row>
    <row r="71" spans="1:12" ht="15.6" hidden="1">
      <c r="A71" s="726" t="s">
        <v>22</v>
      </c>
      <c r="B71" s="729">
        <v>6829.4068000799998</v>
      </c>
      <c r="C71" s="729">
        <v>4598.2767978000002</v>
      </c>
      <c r="D71" s="729">
        <v>3676.01546856</v>
      </c>
      <c r="E71" s="729">
        <v>2971.5302289900001</v>
      </c>
      <c r="F71" s="724">
        <f t="shared" si="10"/>
        <v>704.48523956999998</v>
      </c>
      <c r="G71" s="724">
        <f t="shared" si="11"/>
        <v>922.26132924000012</v>
      </c>
      <c r="H71" s="727">
        <f t="shared" si="12"/>
        <v>2231.1300022799996</v>
      </c>
      <c r="I71" s="725">
        <f>B71/3489.14817723</f>
        <v>1.957327821342858</v>
      </c>
      <c r="J71" s="725">
        <f>C71/3321.22264669</f>
        <v>1.3845132612180453</v>
      </c>
      <c r="K71" s="136"/>
      <c r="L71" s="136"/>
    </row>
    <row r="72" spans="1:12" ht="15.6" hidden="1">
      <c r="A72" s="726" t="s">
        <v>23</v>
      </c>
      <c r="B72" s="729">
        <v>7337.0002905399997</v>
      </c>
      <c r="C72" s="729">
        <v>4933.15039075</v>
      </c>
      <c r="D72" s="729">
        <v>4078.9378283299998</v>
      </c>
      <c r="E72" s="729">
        <v>3193.76416595</v>
      </c>
      <c r="F72" s="724">
        <f t="shared" si="10"/>
        <v>885.17366237999977</v>
      </c>
      <c r="G72" s="724">
        <f t="shared" si="11"/>
        <v>854.21256242000027</v>
      </c>
      <c r="H72" s="727">
        <f t="shared" si="12"/>
        <v>2403.8498997899997</v>
      </c>
      <c r="I72" s="725">
        <f>B72/3959</f>
        <v>1.8532458425208385</v>
      </c>
      <c r="J72" s="725">
        <f>C72/3748.5</f>
        <v>1.3160331841403228</v>
      </c>
      <c r="K72" s="136"/>
      <c r="L72" s="136"/>
    </row>
    <row r="73" spans="1:12" ht="15.6" hidden="1">
      <c r="A73" s="726" t="s">
        <v>24</v>
      </c>
      <c r="B73" s="729">
        <v>7537.3201038000007</v>
      </c>
      <c r="C73" s="729">
        <v>5211.7479659500004</v>
      </c>
      <c r="D73" s="729">
        <v>4282.1702753899999</v>
      </c>
      <c r="E73" s="729">
        <v>3488.2886821000002</v>
      </c>
      <c r="F73" s="724">
        <f t="shared" si="10"/>
        <v>793.88159328999973</v>
      </c>
      <c r="G73" s="724">
        <f t="shared" si="11"/>
        <v>929.57769056000052</v>
      </c>
      <c r="H73" s="727">
        <f t="shared" si="12"/>
        <v>2325.5721378500002</v>
      </c>
      <c r="I73" s="725">
        <f>B73/4072.04521858</f>
        <v>1.8509912584979615</v>
      </c>
      <c r="J73" s="725">
        <f>C73/3872.98985217</f>
        <v>1.3456652779582954</v>
      </c>
      <c r="K73" s="136"/>
      <c r="L73" s="136"/>
    </row>
    <row r="74" spans="1:12" ht="15.6" hidden="1">
      <c r="A74" s="726" t="s">
        <v>25</v>
      </c>
      <c r="B74" s="729">
        <v>7636.6319258300009</v>
      </c>
      <c r="C74" s="729">
        <v>5365.0975741000002</v>
      </c>
      <c r="D74" s="729">
        <v>4403.9727454499998</v>
      </c>
      <c r="E74" s="729">
        <v>3548.55950411</v>
      </c>
      <c r="F74" s="724">
        <f t="shared" si="10"/>
        <v>855.41324133999979</v>
      </c>
      <c r="G74" s="724">
        <f t="shared" si="11"/>
        <v>961.12482865000038</v>
      </c>
      <c r="H74" s="727">
        <f t="shared" si="12"/>
        <v>2271.5343517300007</v>
      </c>
      <c r="I74" s="725">
        <f>B74/4315.17811333</f>
        <v>1.7697141868234154</v>
      </c>
      <c r="J74" s="725">
        <f>C74/4046.66093017</f>
        <v>1.3258085287305286</v>
      </c>
      <c r="K74" s="136"/>
      <c r="L74" s="136"/>
    </row>
    <row r="75" spans="1:12" ht="15.6" hidden="1">
      <c r="A75" s="726" t="s">
        <v>26</v>
      </c>
      <c r="B75" s="729">
        <v>7649.73978162</v>
      </c>
      <c r="C75" s="729">
        <v>5514.4881937399996</v>
      </c>
      <c r="D75" s="729">
        <v>4572.6124263699994</v>
      </c>
      <c r="E75" s="729">
        <v>3632.2613440599998</v>
      </c>
      <c r="F75" s="724">
        <f t="shared" si="10"/>
        <v>940.35108230999958</v>
      </c>
      <c r="G75" s="724">
        <f t="shared" si="11"/>
        <v>941.87576737000018</v>
      </c>
      <c r="H75" s="727">
        <f t="shared" si="12"/>
        <v>2135.2515878800004</v>
      </c>
      <c r="I75" s="725">
        <f>B75/4453.4</f>
        <v>1.7177302244622088</v>
      </c>
      <c r="J75" s="725">
        <f>C75/4172.6</f>
        <v>1.3215952149115657</v>
      </c>
      <c r="K75" s="136"/>
      <c r="L75" s="136"/>
    </row>
    <row r="76" spans="1:12" ht="15.6" hidden="1">
      <c r="A76" s="726" t="s">
        <v>27</v>
      </c>
      <c r="B76" s="729">
        <v>7608.0201146099998</v>
      </c>
      <c r="C76" s="729">
        <v>5443.8339595699999</v>
      </c>
      <c r="D76" s="729">
        <v>4484.6821775400003</v>
      </c>
      <c r="E76" s="729">
        <v>3636.4445339100002</v>
      </c>
      <c r="F76" s="724">
        <f t="shared" si="10"/>
        <v>848.23764363000009</v>
      </c>
      <c r="G76" s="724">
        <f t="shared" si="11"/>
        <v>959.15178202999959</v>
      </c>
      <c r="H76" s="727">
        <f t="shared" si="12"/>
        <v>2164.1861550399999</v>
      </c>
      <c r="I76" s="725">
        <f>B76/4265.6</f>
        <v>1.7835756082637846</v>
      </c>
      <c r="J76" s="725">
        <f>C76/4082</f>
        <v>1.3336192943581577</v>
      </c>
      <c r="K76" s="136"/>
      <c r="L76" s="136"/>
    </row>
    <row r="77" spans="1:12" ht="15.6" hidden="1">
      <c r="A77" s="726" t="s">
        <v>28</v>
      </c>
      <c r="B77" s="729">
        <v>7718.6516730200001</v>
      </c>
      <c r="C77" s="729">
        <v>5512.8204870700001</v>
      </c>
      <c r="D77" s="729">
        <v>4547.8808505199995</v>
      </c>
      <c r="E77" s="729">
        <v>3668.4928589800002</v>
      </c>
      <c r="F77" s="724">
        <f t="shared" si="10"/>
        <v>879.38799153999935</v>
      </c>
      <c r="G77" s="724">
        <f t="shared" si="11"/>
        <v>964.93963655000061</v>
      </c>
      <c r="H77" s="727">
        <f t="shared" si="12"/>
        <v>2205.83118595</v>
      </c>
      <c r="I77" s="725">
        <f>B77/4382.3</f>
        <v>1.7613243440704651</v>
      </c>
      <c r="J77" s="725">
        <f>C77/4212.5</f>
        <v>1.3086814212629081</v>
      </c>
      <c r="K77" s="136"/>
      <c r="L77" s="136"/>
    </row>
    <row r="78" spans="1:12" ht="15.6" hidden="1">
      <c r="A78" s="726" t="s">
        <v>29</v>
      </c>
      <c r="B78" s="729">
        <v>8494.2021698699991</v>
      </c>
      <c r="C78" s="729">
        <v>6081.0003026699997</v>
      </c>
      <c r="D78" s="729">
        <v>5104.9499915000006</v>
      </c>
      <c r="E78" s="729">
        <v>4145.6740853499996</v>
      </c>
      <c r="F78" s="724">
        <f t="shared" si="10"/>
        <v>959.27590615000099</v>
      </c>
      <c r="G78" s="724">
        <f t="shared" si="11"/>
        <v>976.05031116999908</v>
      </c>
      <c r="H78" s="727">
        <f t="shared" si="12"/>
        <v>2413.2018671999995</v>
      </c>
      <c r="I78" s="725">
        <f>B78/4963.9</f>
        <v>1.7111952637784806</v>
      </c>
      <c r="J78" s="725">
        <f>C78/4781.3</f>
        <v>1.2718299003764666</v>
      </c>
      <c r="K78" s="136"/>
      <c r="L78" s="136"/>
    </row>
    <row r="79" spans="1:12" ht="15.6">
      <c r="A79" s="726" t="s">
        <v>43</v>
      </c>
      <c r="B79" s="729">
        <v>8469.18263028</v>
      </c>
      <c r="C79" s="729">
        <v>6169.2249880700001</v>
      </c>
      <c r="D79" s="729">
        <v>5231.2792583800001</v>
      </c>
      <c r="E79" s="729">
        <v>4174.7663068100001</v>
      </c>
      <c r="F79" s="729">
        <f>+F91</f>
        <v>1056.51295157</v>
      </c>
      <c r="G79" s="729">
        <f>+G91</f>
        <v>937.94572969000001</v>
      </c>
      <c r="H79" s="729">
        <f>+H91</f>
        <v>2299.9576422099999</v>
      </c>
      <c r="I79" s="730">
        <f>+I91</f>
        <v>1.7256868059830488</v>
      </c>
      <c r="J79" s="730">
        <f>+J91</f>
        <v>1.2691384628867959</v>
      </c>
      <c r="K79" s="139"/>
      <c r="L79" s="139"/>
    </row>
    <row r="80" spans="1:12" ht="15.6" hidden="1">
      <c r="A80" s="726" t="s">
        <v>18</v>
      </c>
      <c r="B80" s="731">
        <v>8009.2582266299996</v>
      </c>
      <c r="C80" s="731">
        <v>5594.6607752999998</v>
      </c>
      <c r="D80" s="731">
        <v>4685.4993014499996</v>
      </c>
      <c r="E80" s="731">
        <v>3896.0596741599998</v>
      </c>
      <c r="F80" s="727">
        <f t="shared" si="10"/>
        <v>789.43962728999986</v>
      </c>
      <c r="G80" s="727">
        <f t="shared" si="11"/>
        <v>909.16147385000022</v>
      </c>
      <c r="H80" s="727">
        <f t="shared" ref="H80:H91" si="13">+B80-C80</f>
        <v>2414.5974513299998</v>
      </c>
      <c r="I80" s="732">
        <v>1.7990451594655925</v>
      </c>
      <c r="J80" s="732">
        <v>1.301043146556518</v>
      </c>
      <c r="K80" s="49"/>
      <c r="L80" s="49"/>
    </row>
    <row r="81" spans="1:12" ht="15.6" hidden="1">
      <c r="A81" s="726" t="s">
        <v>19</v>
      </c>
      <c r="B81" s="731">
        <v>7328.38921682</v>
      </c>
      <c r="C81" s="731">
        <v>5264.8158648999997</v>
      </c>
      <c r="D81" s="731">
        <v>4486.0894968900002</v>
      </c>
      <c r="E81" s="731">
        <v>3666.8999512700002</v>
      </c>
      <c r="F81" s="727">
        <f t="shared" si="10"/>
        <v>819.18954561999999</v>
      </c>
      <c r="G81" s="727">
        <f t="shared" si="11"/>
        <v>778.72636800999953</v>
      </c>
      <c r="H81" s="727">
        <f t="shared" si="13"/>
        <v>2063.5733519200003</v>
      </c>
      <c r="I81" s="732">
        <v>1.7384663379392344</v>
      </c>
      <c r="J81" s="732">
        <v>1.2754526504594517</v>
      </c>
      <c r="K81" s="49"/>
      <c r="L81" s="49"/>
    </row>
    <row r="82" spans="1:12" ht="15.6" hidden="1">
      <c r="A82" s="726" t="s">
        <v>20</v>
      </c>
      <c r="B82" s="731">
        <v>6397.3836874099998</v>
      </c>
      <c r="C82" s="731">
        <v>4740.8666567799992</v>
      </c>
      <c r="D82" s="731">
        <v>4051.9325383399996</v>
      </c>
      <c r="E82" s="731">
        <v>3304.1378418699996</v>
      </c>
      <c r="F82" s="727">
        <f t="shared" si="10"/>
        <v>747.79469646999996</v>
      </c>
      <c r="G82" s="727">
        <f t="shared" si="11"/>
        <v>688.93411843999957</v>
      </c>
      <c r="H82" s="727">
        <f t="shared" si="13"/>
        <v>1656.5170306300006</v>
      </c>
      <c r="I82" s="732">
        <v>1.7051548590010126</v>
      </c>
      <c r="J82" s="732">
        <v>1.2805974987169444</v>
      </c>
      <c r="K82" s="49"/>
      <c r="L82" s="49"/>
    </row>
    <row r="83" spans="1:12" ht="15.6" hidden="1">
      <c r="A83" s="726" t="s">
        <v>21</v>
      </c>
      <c r="B83" s="731">
        <v>6502.4286633299998</v>
      </c>
      <c r="C83" s="731">
        <v>4732.2624489400005</v>
      </c>
      <c r="D83" s="731">
        <v>4073.9599859900004</v>
      </c>
      <c r="E83" s="731">
        <v>3297.0655940900001</v>
      </c>
      <c r="F83" s="727">
        <f t="shared" si="10"/>
        <v>776.8943919000003</v>
      </c>
      <c r="G83" s="727">
        <f t="shared" si="11"/>
        <v>658.30246295000006</v>
      </c>
      <c r="H83" s="727">
        <f t="shared" si="13"/>
        <v>1770.1662143899994</v>
      </c>
      <c r="I83" s="732">
        <v>1.7375410843598855</v>
      </c>
      <c r="J83" s="732">
        <v>1.2860908794434178</v>
      </c>
      <c r="K83" s="49"/>
      <c r="L83" s="49"/>
    </row>
    <row r="84" spans="1:12" ht="15.6" hidden="1">
      <c r="A84" s="733" t="s">
        <v>22</v>
      </c>
      <c r="B84" s="734">
        <v>6611.9720008499989</v>
      </c>
      <c r="C84" s="734">
        <v>4811.1753836499993</v>
      </c>
      <c r="D84" s="734">
        <v>4138.5047339299999</v>
      </c>
      <c r="E84" s="734">
        <v>3396.6899968799999</v>
      </c>
      <c r="F84" s="727">
        <f t="shared" si="10"/>
        <v>741.81473705000008</v>
      </c>
      <c r="G84" s="727">
        <f t="shared" si="11"/>
        <v>672.67064971999935</v>
      </c>
      <c r="H84" s="727">
        <f t="shared" si="13"/>
        <v>1800.7966171999997</v>
      </c>
      <c r="I84" s="735">
        <v>1.7039041360649401</v>
      </c>
      <c r="J84" s="735">
        <v>1.2593116084282161</v>
      </c>
      <c r="K84" s="491"/>
      <c r="L84" s="491"/>
    </row>
    <row r="85" spans="1:12" ht="15.6" hidden="1">
      <c r="A85" s="726" t="s">
        <v>23</v>
      </c>
      <c r="B85" s="731">
        <v>6693.9261326299993</v>
      </c>
      <c r="C85" s="731">
        <v>4872.0269019699999</v>
      </c>
      <c r="D85" s="731">
        <v>4188.4217330499996</v>
      </c>
      <c r="E85" s="731">
        <v>3486.3568428899998</v>
      </c>
      <c r="F85" s="727">
        <f t="shared" si="10"/>
        <v>702.06489015999978</v>
      </c>
      <c r="G85" s="727">
        <f t="shared" si="11"/>
        <v>683.60516892000032</v>
      </c>
      <c r="H85" s="727">
        <f t="shared" si="13"/>
        <v>1821.8992306599994</v>
      </c>
      <c r="I85" s="732">
        <v>1.7008654671790833</v>
      </c>
      <c r="J85" s="732">
        <v>1.2528033382113193</v>
      </c>
      <c r="K85" s="49"/>
      <c r="L85" s="49"/>
    </row>
    <row r="86" spans="1:12" s="7" customFormat="1" ht="15.6" hidden="1">
      <c r="A86" s="733" t="s">
        <v>24</v>
      </c>
      <c r="B86" s="734">
        <v>7582.3861545300006</v>
      </c>
      <c r="C86" s="734">
        <v>5091.55427401</v>
      </c>
      <c r="D86" s="734">
        <v>4356.1868993100006</v>
      </c>
      <c r="E86" s="734">
        <v>3657.4841615200003</v>
      </c>
      <c r="F86" s="727">
        <f t="shared" si="10"/>
        <v>698.70273779000036</v>
      </c>
      <c r="G86" s="727">
        <f t="shared" si="11"/>
        <v>735.36737469999935</v>
      </c>
      <c r="H86" s="727">
        <f t="shared" si="13"/>
        <v>2490.8318805200006</v>
      </c>
      <c r="I86" s="735">
        <v>1.8149699595471191</v>
      </c>
      <c r="J86" s="735">
        <v>1.233101644426146</v>
      </c>
      <c r="K86" s="491"/>
      <c r="L86" s="491"/>
    </row>
    <row r="87" spans="1:12" s="7" customFormat="1" ht="15.6" hidden="1">
      <c r="A87" s="733" t="s">
        <v>25</v>
      </c>
      <c r="B87" s="734">
        <v>7569.0508901399999</v>
      </c>
      <c r="C87" s="734">
        <v>5333.4637649400001</v>
      </c>
      <c r="D87" s="734">
        <v>4541.0178756200003</v>
      </c>
      <c r="E87" s="734">
        <v>3651.87011497</v>
      </c>
      <c r="F87" s="727">
        <f t="shared" si="10"/>
        <v>889.14776065000024</v>
      </c>
      <c r="G87" s="727">
        <f t="shared" si="11"/>
        <v>792.44588931999988</v>
      </c>
      <c r="H87" s="727">
        <f t="shared" si="13"/>
        <v>2235.5871251999997</v>
      </c>
      <c r="I87" s="735">
        <v>1.7877254753631404</v>
      </c>
      <c r="J87" s="735">
        <v>1.2783949580393097</v>
      </c>
      <c r="K87" s="491"/>
      <c r="L87" s="491"/>
    </row>
    <row r="88" spans="1:12" ht="15.6" hidden="1">
      <c r="A88" s="733" t="s">
        <v>26</v>
      </c>
      <c r="B88" s="727">
        <v>7458.3547354599996</v>
      </c>
      <c r="C88" s="727">
        <v>5222.3727558999999</v>
      </c>
      <c r="D88" s="727">
        <v>4441.7321645299999</v>
      </c>
      <c r="E88" s="727">
        <v>3620.0601578599999</v>
      </c>
      <c r="F88" s="727">
        <f t="shared" si="10"/>
        <v>821.67200666999997</v>
      </c>
      <c r="G88" s="727">
        <f t="shared" si="11"/>
        <v>780.64059137000004</v>
      </c>
      <c r="H88" s="727">
        <f t="shared" si="13"/>
        <v>2235.9819795599997</v>
      </c>
      <c r="I88" s="732">
        <v>1.7840350416470323</v>
      </c>
      <c r="J88" s="732">
        <v>1.2522564558780156</v>
      </c>
      <c r="K88" s="49"/>
      <c r="L88" s="49"/>
    </row>
    <row r="89" spans="1:12" ht="15.6" hidden="1">
      <c r="A89" s="733" t="s">
        <v>27</v>
      </c>
      <c r="B89" s="727">
        <v>7675.6216840100005</v>
      </c>
      <c r="C89" s="727">
        <v>5388.5222151300004</v>
      </c>
      <c r="D89" s="727">
        <v>4530.5438588400002</v>
      </c>
      <c r="E89" s="727">
        <v>3670.3036857800003</v>
      </c>
      <c r="F89" s="727">
        <f t="shared" si="10"/>
        <v>860.24017305999996</v>
      </c>
      <c r="G89" s="727">
        <f t="shared" si="11"/>
        <v>857.97835629000019</v>
      </c>
      <c r="H89" s="727">
        <f t="shared" si="13"/>
        <v>2287.0994688800001</v>
      </c>
      <c r="I89" s="732">
        <v>1.8214389407357163</v>
      </c>
      <c r="J89" s="732">
        <v>1.284982690948653</v>
      </c>
      <c r="K89" s="49"/>
      <c r="L89" s="49"/>
    </row>
    <row r="90" spans="1:12" ht="15.6" hidden="1">
      <c r="A90" s="726" t="s">
        <v>28</v>
      </c>
      <c r="B90" s="731">
        <v>7904.8852866999987</v>
      </c>
      <c r="C90" s="731">
        <v>5575.5593386</v>
      </c>
      <c r="D90" s="731">
        <v>4694.5699221099994</v>
      </c>
      <c r="E90" s="731">
        <v>3805.7037065799996</v>
      </c>
      <c r="F90" s="727">
        <f t="shared" si="10"/>
        <v>888.86621552999986</v>
      </c>
      <c r="G90" s="727">
        <f t="shared" si="11"/>
        <v>880.98941649000062</v>
      </c>
      <c r="H90" s="727">
        <f t="shared" si="13"/>
        <v>2329.3259480999986</v>
      </c>
      <c r="I90" s="732">
        <v>1.81279982466648</v>
      </c>
      <c r="J90" s="732">
        <v>1.2855564752599749</v>
      </c>
      <c r="K90" s="49"/>
      <c r="L90" s="49"/>
    </row>
    <row r="91" spans="1:12" ht="15.6" hidden="1">
      <c r="A91" s="726" t="s">
        <v>29</v>
      </c>
      <c r="B91" s="731">
        <v>8469.18263028</v>
      </c>
      <c r="C91" s="731">
        <v>6169.2249880700001</v>
      </c>
      <c r="D91" s="731">
        <v>5231.2792583800001</v>
      </c>
      <c r="E91" s="731">
        <v>4174.7663068100001</v>
      </c>
      <c r="F91" s="727">
        <f t="shared" si="10"/>
        <v>1056.51295157</v>
      </c>
      <c r="G91" s="727">
        <f t="shared" si="11"/>
        <v>937.94572969000001</v>
      </c>
      <c r="H91" s="727">
        <f t="shared" si="13"/>
        <v>2299.9576422099999</v>
      </c>
      <c r="I91" s="732">
        <v>1.7256868059830488</v>
      </c>
      <c r="J91" s="732">
        <v>1.2691384628867959</v>
      </c>
      <c r="K91" s="49"/>
      <c r="L91" s="49"/>
    </row>
    <row r="92" spans="1:12" ht="15.6">
      <c r="A92" s="733" t="s">
        <v>48</v>
      </c>
      <c r="B92" s="736">
        <v>10527.48910239</v>
      </c>
      <c r="C92" s="736">
        <v>8297.46906709</v>
      </c>
      <c r="D92" s="736">
        <v>6838.3537267299989</v>
      </c>
      <c r="E92" s="736">
        <v>5455.7837350199998</v>
      </c>
      <c r="F92" s="736">
        <v>1382.5699917099992</v>
      </c>
      <c r="G92" s="736">
        <v>1459.115340360001</v>
      </c>
      <c r="H92" s="736">
        <v>2230.0200353</v>
      </c>
      <c r="I92" s="737">
        <v>1.6144200063892737</v>
      </c>
      <c r="J92" s="737">
        <v>1.2970602237978386</v>
      </c>
      <c r="K92" s="493"/>
      <c r="L92" s="493"/>
    </row>
    <row r="93" spans="1:12" ht="15.6" hidden="1">
      <c r="A93" s="733" t="s">
        <v>18</v>
      </c>
      <c r="B93" s="734">
        <v>8143.7706177500004</v>
      </c>
      <c r="C93" s="734">
        <v>5837.6964127600004</v>
      </c>
      <c r="D93" s="734">
        <v>4848.347930580001</v>
      </c>
      <c r="E93" s="734">
        <v>3972.7692841200001</v>
      </c>
      <c r="F93" s="727">
        <f t="shared" si="10"/>
        <v>875.57864646000098</v>
      </c>
      <c r="G93" s="727">
        <f t="shared" si="11"/>
        <v>989.34848217999934</v>
      </c>
      <c r="H93" s="727">
        <f t="shared" ref="H93:H104" si="14">+B93-C93</f>
        <v>2306.07420499</v>
      </c>
      <c r="I93" s="735">
        <v>1.7726129858431543</v>
      </c>
      <c r="J93" s="735">
        <v>1.2804520090473794</v>
      </c>
      <c r="K93" s="491"/>
      <c r="L93" s="491"/>
    </row>
    <row r="94" spans="1:12" ht="15.6" hidden="1">
      <c r="A94" s="733" t="s">
        <v>19</v>
      </c>
      <c r="B94" s="734">
        <v>8132.5567382199988</v>
      </c>
      <c r="C94" s="734">
        <v>5853.1111007499994</v>
      </c>
      <c r="D94" s="734">
        <v>4970.4537853399997</v>
      </c>
      <c r="E94" s="734">
        <v>4083.8688414499998</v>
      </c>
      <c r="F94" s="727">
        <f t="shared" si="10"/>
        <v>886.58494388999998</v>
      </c>
      <c r="G94" s="727">
        <f t="shared" si="11"/>
        <v>882.65731540999968</v>
      </c>
      <c r="H94" s="727">
        <f t="shared" si="14"/>
        <v>2279.4456374699994</v>
      </c>
      <c r="I94" s="735">
        <v>1.7385562403620247</v>
      </c>
      <c r="J94" s="735">
        <v>1.2565393620508165</v>
      </c>
      <c r="K94" s="491"/>
      <c r="L94" s="491"/>
    </row>
    <row r="95" spans="1:12" ht="15.6" hidden="1">
      <c r="A95" s="733" t="s">
        <v>20</v>
      </c>
      <c r="B95" s="734">
        <v>8673.4170052000009</v>
      </c>
      <c r="C95" s="734">
        <v>6182.5589487400002</v>
      </c>
      <c r="D95" s="734">
        <v>5177.4952226300002</v>
      </c>
      <c r="E95" s="734">
        <v>4312.13321894</v>
      </c>
      <c r="F95" s="727">
        <f t="shared" si="10"/>
        <v>865.36200369000017</v>
      </c>
      <c r="G95" s="727">
        <f t="shared" si="11"/>
        <v>1005.0637261100001</v>
      </c>
      <c r="H95" s="727">
        <f t="shared" si="14"/>
        <v>2490.8580564600006</v>
      </c>
      <c r="I95" s="735">
        <v>1.7640777740366431</v>
      </c>
      <c r="J95" s="735">
        <v>1.2612310929447965</v>
      </c>
      <c r="K95" s="491"/>
      <c r="L95" s="491"/>
    </row>
    <row r="96" spans="1:12" ht="15.6" hidden="1">
      <c r="A96" s="733" t="s">
        <v>21</v>
      </c>
      <c r="B96" s="734">
        <v>8735.4667276299988</v>
      </c>
      <c r="C96" s="734">
        <v>6347.7163216399995</v>
      </c>
      <c r="D96" s="734">
        <v>5318.9574413299997</v>
      </c>
      <c r="E96" s="734">
        <v>4434.3171367899995</v>
      </c>
      <c r="F96" s="727">
        <f t="shared" si="10"/>
        <v>884.64030454000022</v>
      </c>
      <c r="G96" s="727">
        <f t="shared" si="11"/>
        <v>1028.7588803099998</v>
      </c>
      <c r="H96" s="727">
        <f t="shared" si="14"/>
        <v>2387.7504059899993</v>
      </c>
      <c r="I96" s="735">
        <v>1.7584212627728233</v>
      </c>
      <c r="J96" s="735">
        <v>1.2807876363030206</v>
      </c>
      <c r="K96" s="491"/>
      <c r="L96" s="491"/>
    </row>
    <row r="97" spans="1:15" ht="15.6" hidden="1">
      <c r="A97" s="733" t="s">
        <v>22</v>
      </c>
      <c r="B97" s="734">
        <v>8929.76618074</v>
      </c>
      <c r="C97" s="734">
        <v>6453.9733412699998</v>
      </c>
      <c r="D97" s="734">
        <v>5415.6387429600009</v>
      </c>
      <c r="E97" s="734">
        <v>4543.4686922600004</v>
      </c>
      <c r="F97" s="727">
        <f t="shared" si="10"/>
        <v>872.1700507000005</v>
      </c>
      <c r="G97" s="727">
        <f t="shared" si="11"/>
        <v>1038.3345983099989</v>
      </c>
      <c r="H97" s="727">
        <f t="shared" si="14"/>
        <v>2475.7928394700002</v>
      </c>
      <c r="I97" s="735">
        <v>1.7689669790696818</v>
      </c>
      <c r="J97" s="735">
        <v>1.2875403278119288</v>
      </c>
      <c r="K97" s="491"/>
      <c r="L97" s="491"/>
    </row>
    <row r="98" spans="1:15" ht="15.6" hidden="1">
      <c r="A98" s="733" t="s">
        <v>23</v>
      </c>
      <c r="B98" s="734">
        <v>9082.4767764299995</v>
      </c>
      <c r="C98" s="734">
        <v>6629.4488834099993</v>
      </c>
      <c r="D98" s="734">
        <v>5522.228011279999</v>
      </c>
      <c r="E98" s="734">
        <v>4587.3126537899989</v>
      </c>
      <c r="F98" s="727">
        <f t="shared" si="10"/>
        <v>934.91535749000013</v>
      </c>
      <c r="G98" s="727">
        <f t="shared" si="11"/>
        <v>1107.2208721300003</v>
      </c>
      <c r="H98" s="727">
        <f t="shared" si="14"/>
        <v>2453.0278930200002</v>
      </c>
      <c r="I98" s="735">
        <v>1.7679447607429613</v>
      </c>
      <c r="J98" s="735">
        <v>1.2957368582073303</v>
      </c>
      <c r="K98" s="491"/>
      <c r="L98" s="491"/>
    </row>
    <row r="99" spans="1:15" ht="15.6" hidden="1">
      <c r="A99" s="733" t="s">
        <v>24</v>
      </c>
      <c r="B99" s="734">
        <v>9054.4651419000002</v>
      </c>
      <c r="C99" s="734">
        <v>6892.0023660900006</v>
      </c>
      <c r="D99" s="734">
        <v>5741.26512447</v>
      </c>
      <c r="E99" s="734">
        <v>4811.4484944200003</v>
      </c>
      <c r="F99" s="727">
        <f t="shared" si="10"/>
        <v>929.81663004999973</v>
      </c>
      <c r="G99" s="727">
        <f t="shared" si="11"/>
        <v>1150.7372416200005</v>
      </c>
      <c r="H99" s="727">
        <f t="shared" si="14"/>
        <v>2162.4627758099996</v>
      </c>
      <c r="I99" s="735">
        <v>1.7046010768477728</v>
      </c>
      <c r="J99" s="735">
        <v>1.3005245876891725</v>
      </c>
      <c r="K99" s="491"/>
      <c r="L99" s="491"/>
    </row>
    <row r="100" spans="1:15" ht="15.6" hidden="1">
      <c r="A100" s="733" t="s">
        <v>25</v>
      </c>
      <c r="B100" s="734">
        <v>9315.0059182199984</v>
      </c>
      <c r="C100" s="734">
        <v>7046.6076046599992</v>
      </c>
      <c r="D100" s="734">
        <v>5790.0133649699992</v>
      </c>
      <c r="E100" s="734">
        <v>4850.8000458299994</v>
      </c>
      <c r="F100" s="727">
        <f t="shared" si="10"/>
        <v>939.21331913999984</v>
      </c>
      <c r="G100" s="727">
        <f t="shared" si="11"/>
        <v>1256.59423969</v>
      </c>
      <c r="H100" s="727">
        <f t="shared" si="14"/>
        <v>2268.3983135599992</v>
      </c>
      <c r="I100" s="735">
        <v>1.7297488067256579</v>
      </c>
      <c r="J100" s="735">
        <v>1.3113717116942596</v>
      </c>
      <c r="K100" s="491"/>
      <c r="L100" s="491"/>
    </row>
    <row r="101" spans="1:15" ht="15.6" hidden="1">
      <c r="A101" s="733" t="s">
        <v>26</v>
      </c>
      <c r="B101" s="734">
        <v>9389.968013579999</v>
      </c>
      <c r="C101" s="734">
        <v>7156.0729733199987</v>
      </c>
      <c r="D101" s="734">
        <v>5884.0097125099992</v>
      </c>
      <c r="E101" s="734">
        <v>4897.4012645999992</v>
      </c>
      <c r="F101" s="727">
        <f t="shared" si="10"/>
        <v>986.60844791</v>
      </c>
      <c r="G101" s="727">
        <f t="shared" si="11"/>
        <v>1272.0632608099995</v>
      </c>
      <c r="H101" s="727">
        <f t="shared" si="14"/>
        <v>2233.8950402600003</v>
      </c>
      <c r="I101" s="735">
        <v>1.7022979460261123</v>
      </c>
      <c r="J101" s="735">
        <v>1.3000133142599655</v>
      </c>
      <c r="K101" s="491"/>
      <c r="L101" s="491"/>
    </row>
    <row r="102" spans="1:15" ht="15.6" hidden="1">
      <c r="A102" s="733" t="s">
        <v>27</v>
      </c>
      <c r="B102" s="734">
        <v>9619.9188194400012</v>
      </c>
      <c r="C102" s="734">
        <v>7314.5376940000006</v>
      </c>
      <c r="D102" s="734">
        <v>5992.1865162500008</v>
      </c>
      <c r="E102" s="734">
        <v>4942.5934275</v>
      </c>
      <c r="F102" s="727">
        <f t="shared" si="10"/>
        <v>1049.5930887500008</v>
      </c>
      <c r="G102" s="727">
        <f t="shared" si="11"/>
        <v>1322.3511777499998</v>
      </c>
      <c r="H102" s="727">
        <f t="shared" si="14"/>
        <v>2305.3811254400007</v>
      </c>
      <c r="I102" s="735">
        <v>1.6993659449658796</v>
      </c>
      <c r="J102" s="735">
        <v>1.2954592707345145</v>
      </c>
      <c r="K102" s="491"/>
      <c r="L102" s="491"/>
    </row>
    <row r="103" spans="1:15" ht="15.6" hidden="1">
      <c r="A103" s="733" t="s">
        <v>28</v>
      </c>
      <c r="B103" s="734">
        <v>9620.7746167400001</v>
      </c>
      <c r="C103" s="734">
        <v>7417.6583926100002</v>
      </c>
      <c r="D103" s="734">
        <v>5946.4804628800011</v>
      </c>
      <c r="E103" s="734">
        <v>4994.3238582200001</v>
      </c>
      <c r="F103" s="727">
        <f t="shared" si="10"/>
        <v>952.15660466000099</v>
      </c>
      <c r="G103" s="727">
        <f t="shared" si="11"/>
        <v>1471.1779297299991</v>
      </c>
      <c r="H103" s="727">
        <f t="shared" si="14"/>
        <v>2203.1162241299999</v>
      </c>
      <c r="I103" s="735">
        <v>1.7110129253076456</v>
      </c>
      <c r="J103" s="735">
        <v>1.3232798627129729</v>
      </c>
      <c r="K103" s="491"/>
      <c r="L103" s="491"/>
    </row>
    <row r="104" spans="1:15" ht="15.6" hidden="1">
      <c r="A104" s="733" t="s">
        <v>29</v>
      </c>
      <c r="B104" s="734">
        <v>10527.48910239</v>
      </c>
      <c r="C104" s="734">
        <v>8297.46906709</v>
      </c>
      <c r="D104" s="734">
        <v>6838.3537267299989</v>
      </c>
      <c r="E104" s="734">
        <v>5455.7837350199998</v>
      </c>
      <c r="F104" s="727">
        <f t="shared" si="10"/>
        <v>1382.5699917099992</v>
      </c>
      <c r="G104" s="727">
        <f t="shared" si="11"/>
        <v>1459.115340360001</v>
      </c>
      <c r="H104" s="727">
        <f t="shared" si="14"/>
        <v>2230.0200353</v>
      </c>
      <c r="I104" s="735">
        <v>1.6144200063892737</v>
      </c>
      <c r="J104" s="735">
        <v>1.2970602237978386</v>
      </c>
      <c r="K104" s="491"/>
      <c r="L104" s="491"/>
    </row>
    <row r="105" spans="1:15" ht="15.6">
      <c r="A105" s="733" t="s">
        <v>1045</v>
      </c>
      <c r="B105" s="738">
        <v>13903.175588120001</v>
      </c>
      <c r="C105" s="738">
        <v>10997.158822920001</v>
      </c>
      <c r="D105" s="738">
        <v>8796.0136600800015</v>
      </c>
      <c r="E105" s="738">
        <v>7158.1555464000012</v>
      </c>
      <c r="F105" s="739">
        <v>1637.8600000000006</v>
      </c>
      <c r="G105" s="739">
        <v>2201.1499999999996</v>
      </c>
      <c r="H105" s="739">
        <v>2906.0167652</v>
      </c>
      <c r="I105" s="740">
        <v>1.6377422401306216</v>
      </c>
      <c r="J105" s="740">
        <v>1.3289385404996497</v>
      </c>
      <c r="K105" s="494"/>
      <c r="L105" s="494"/>
    </row>
    <row r="106" spans="1:15" ht="15.6" hidden="1">
      <c r="A106" s="733" t="s">
        <v>18</v>
      </c>
      <c r="B106" s="734">
        <v>10107.260521460001</v>
      </c>
      <c r="C106" s="734">
        <v>7763.8045956900005</v>
      </c>
      <c r="D106" s="734">
        <v>6294.9026814899998</v>
      </c>
      <c r="E106" s="734">
        <v>5266.8241358200003</v>
      </c>
      <c r="F106" s="727">
        <f t="shared" si="10"/>
        <v>1028.0785456699996</v>
      </c>
      <c r="G106" s="727">
        <f t="shared" si="11"/>
        <v>1468.9019142000006</v>
      </c>
      <c r="H106" s="727">
        <f t="shared" ref="H106:H117" si="15">+B106-C106</f>
        <v>2343.4559257700002</v>
      </c>
      <c r="I106" s="735">
        <v>1.6802706294479797</v>
      </c>
      <c r="J106" s="735">
        <v>1.302515061942485</v>
      </c>
      <c r="K106" s="491"/>
      <c r="L106" s="491"/>
    </row>
    <row r="107" spans="1:15" ht="15.6" hidden="1">
      <c r="A107" s="733" t="s">
        <v>19</v>
      </c>
      <c r="B107" s="734">
        <v>10272.605777700001</v>
      </c>
      <c r="C107" s="734">
        <v>7907.6871624700007</v>
      </c>
      <c r="D107" s="734">
        <v>6481.7030081900002</v>
      </c>
      <c r="E107" s="734">
        <v>5363.0863719600002</v>
      </c>
      <c r="F107" s="727">
        <f t="shared" si="10"/>
        <v>1118.61663623</v>
      </c>
      <c r="G107" s="727">
        <f t="shared" si="11"/>
        <v>1425.9841542800004</v>
      </c>
      <c r="H107" s="727">
        <f t="shared" si="15"/>
        <v>2364.9186152299999</v>
      </c>
      <c r="I107" s="735">
        <v>1.6783976910372174</v>
      </c>
      <c r="J107" s="735">
        <v>1.2964408994156833</v>
      </c>
      <c r="K107" s="491"/>
      <c r="L107" s="491"/>
    </row>
    <row r="108" spans="1:15" ht="15.6" hidden="1">
      <c r="A108" s="733" t="s">
        <v>20</v>
      </c>
      <c r="B108" s="734">
        <v>10757.400264010001</v>
      </c>
      <c r="C108" s="734">
        <v>8115.4929009299995</v>
      </c>
      <c r="D108" s="734">
        <v>6618.4061489300002</v>
      </c>
      <c r="E108" s="734">
        <v>5427.0536122099993</v>
      </c>
      <c r="F108" s="727">
        <f t="shared" si="10"/>
        <v>1191.3525367200009</v>
      </c>
      <c r="G108" s="727">
        <f t="shared" si="11"/>
        <v>1497.0867519999993</v>
      </c>
      <c r="H108" s="727">
        <f t="shared" si="15"/>
        <v>2641.9073630800012</v>
      </c>
      <c r="I108" s="735">
        <v>1.7121601821226011</v>
      </c>
      <c r="J108" s="735">
        <v>1.2945481505147456</v>
      </c>
      <c r="K108" s="491"/>
      <c r="L108" s="491"/>
    </row>
    <row r="109" spans="1:15" ht="15.6" hidden="1">
      <c r="A109" s="726" t="s">
        <v>21</v>
      </c>
      <c r="B109" s="731">
        <v>10760.569371239999</v>
      </c>
      <c r="C109" s="731">
        <v>8176.43909859</v>
      </c>
      <c r="D109" s="731">
        <v>6635.0757591900001</v>
      </c>
      <c r="E109" s="731">
        <v>5457.8029094800004</v>
      </c>
      <c r="F109" s="727">
        <f t="shared" si="10"/>
        <v>1177.2728497099997</v>
      </c>
      <c r="G109" s="727">
        <f t="shared" si="11"/>
        <v>1541.3633393999999</v>
      </c>
      <c r="H109" s="727">
        <f t="shared" si="15"/>
        <v>2584.1302726499989</v>
      </c>
      <c r="I109" s="732">
        <f>B109/6191.62829426</f>
        <v>1.7379223783856135</v>
      </c>
      <c r="J109" s="732">
        <f>C109/6167.31288611</f>
        <v>1.3257701124593413</v>
      </c>
      <c r="K109" s="49"/>
      <c r="L109" s="49"/>
      <c r="O109" s="228"/>
    </row>
    <row r="110" spans="1:15" ht="15.6" hidden="1">
      <c r="A110" s="726" t="s">
        <v>22</v>
      </c>
      <c r="B110" s="731">
        <v>11056.133248170001</v>
      </c>
      <c r="C110" s="731">
        <v>8392.0020107100008</v>
      </c>
      <c r="D110" s="731">
        <v>6809.2636371099998</v>
      </c>
      <c r="E110" s="731">
        <v>5610.2920020700003</v>
      </c>
      <c r="F110" s="727">
        <f t="shared" si="10"/>
        <v>1198.9716350399995</v>
      </c>
      <c r="G110" s="727">
        <f t="shared" si="11"/>
        <v>1582.7383736000011</v>
      </c>
      <c r="H110" s="727">
        <f t="shared" si="15"/>
        <v>2664.1312374600002</v>
      </c>
      <c r="I110" s="732">
        <f>B110/6294.42259615</f>
        <v>1.7564968159164456</v>
      </c>
      <c r="J110" s="732">
        <f>C110/6244.92660615</f>
        <v>1.3438111510302719</v>
      </c>
      <c r="K110" s="49"/>
      <c r="L110" s="49"/>
    </row>
    <row r="111" spans="1:15" ht="15.6" hidden="1">
      <c r="A111" s="726" t="s">
        <v>23</v>
      </c>
      <c r="B111" s="731">
        <v>11412.516171699999</v>
      </c>
      <c r="C111" s="731">
        <v>8735.36012544</v>
      </c>
      <c r="D111" s="731">
        <v>7102.8384054399994</v>
      </c>
      <c r="E111" s="731">
        <v>5851.6340985999996</v>
      </c>
      <c r="F111" s="727">
        <f t="shared" si="10"/>
        <v>1251.2043068399998</v>
      </c>
      <c r="G111" s="727">
        <f t="shared" si="11"/>
        <v>1632.5217200000006</v>
      </c>
      <c r="H111" s="727">
        <f t="shared" si="15"/>
        <v>2677.1560462599991</v>
      </c>
      <c r="I111" s="732">
        <f>B111/6552.35453481</f>
        <v>1.7417427752222401</v>
      </c>
      <c r="J111" s="732">
        <f>C111/6497.69278658</f>
        <v>1.3443787529446702</v>
      </c>
      <c r="K111" s="49"/>
      <c r="L111" s="49"/>
    </row>
    <row r="112" spans="1:15" ht="15.6" hidden="1">
      <c r="A112" s="726" t="s">
        <v>24</v>
      </c>
      <c r="B112" s="731">
        <v>11921.22770354</v>
      </c>
      <c r="C112" s="731">
        <v>9351.3794538900001</v>
      </c>
      <c r="D112" s="731">
        <v>7660.5257831799991</v>
      </c>
      <c r="E112" s="731">
        <v>6198.9877103499994</v>
      </c>
      <c r="F112" s="727">
        <f t="shared" si="10"/>
        <v>1461.5380728299997</v>
      </c>
      <c r="G112" s="727">
        <f t="shared" si="11"/>
        <v>1690.8536707100011</v>
      </c>
      <c r="H112" s="727">
        <f t="shared" si="15"/>
        <v>2569.8482496500001</v>
      </c>
      <c r="I112" s="732">
        <f>B112/6940.64675124</f>
        <v>1.7175960873401575</v>
      </c>
      <c r="J112" s="732">
        <f>C112/6858.11207583</f>
        <v>1.3635501068649791</v>
      </c>
      <c r="K112" s="49"/>
      <c r="L112" s="49"/>
    </row>
    <row r="113" spans="1:12" ht="15.6" hidden="1">
      <c r="A113" s="726" t="s">
        <v>25</v>
      </c>
      <c r="B113" s="731">
        <v>12336.246017520003</v>
      </c>
      <c r="C113" s="731">
        <v>9569.8319123600013</v>
      </c>
      <c r="D113" s="731">
        <v>7870.5156765500005</v>
      </c>
      <c r="E113" s="731">
        <v>6493.7353910200009</v>
      </c>
      <c r="F113" s="727">
        <f t="shared" si="10"/>
        <v>1376.7802855299997</v>
      </c>
      <c r="G113" s="727">
        <f t="shared" si="11"/>
        <v>1699.3162358100008</v>
      </c>
      <c r="H113" s="727">
        <f t="shared" si="15"/>
        <v>2766.4141051600018</v>
      </c>
      <c r="I113" s="732">
        <f>B113/7202.82493406</f>
        <v>1.7126955230003709</v>
      </c>
      <c r="J113" s="732">
        <f>C113/7119.32928233</f>
        <v>1.3442041423919089</v>
      </c>
      <c r="K113" s="49"/>
      <c r="L113" s="49"/>
    </row>
    <row r="114" spans="1:12" ht="15.6" hidden="1">
      <c r="A114" s="726" t="s">
        <v>26</v>
      </c>
      <c r="B114" s="731">
        <v>12652.172385250002</v>
      </c>
      <c r="C114" s="731">
        <v>9630.2770908400016</v>
      </c>
      <c r="D114" s="731">
        <v>7798.2984794500007</v>
      </c>
      <c r="E114" s="731">
        <v>6465.9048142400006</v>
      </c>
      <c r="F114" s="727">
        <f t="shared" si="10"/>
        <v>1332.3936652100001</v>
      </c>
      <c r="G114" s="727">
        <f t="shared" si="11"/>
        <v>1831.9786113900009</v>
      </c>
      <c r="H114" s="727">
        <f t="shared" si="15"/>
        <v>3021.8952944100001</v>
      </c>
      <c r="I114" s="732">
        <f>B114/7281.48469652</f>
        <v>1.7375814016744118</v>
      </c>
      <c r="J114" s="732">
        <f>C114/7206.52797317</f>
        <v>1.3363268867745539</v>
      </c>
      <c r="K114" s="49"/>
      <c r="L114" s="49"/>
    </row>
    <row r="115" spans="1:12" ht="15.6" hidden="1">
      <c r="A115" s="726" t="s">
        <v>27</v>
      </c>
      <c r="B115" s="731">
        <v>12652.22116963</v>
      </c>
      <c r="C115" s="731">
        <v>9748.6448836399995</v>
      </c>
      <c r="D115" s="731">
        <v>7825.4983056599995</v>
      </c>
      <c r="E115" s="731">
        <v>6505.2744384799998</v>
      </c>
      <c r="F115" s="727">
        <f t="shared" si="10"/>
        <v>1320.2238671799996</v>
      </c>
      <c r="G115" s="727">
        <f t="shared" si="11"/>
        <v>1923.1465779800001</v>
      </c>
      <c r="H115" s="727">
        <f t="shared" si="15"/>
        <v>2903.5762859900005</v>
      </c>
      <c r="I115" s="732">
        <f>B115/7270.39415221</f>
        <v>1.7402386864794768</v>
      </c>
      <c r="J115" s="732">
        <f>C115/7189.74913467</f>
        <v>1.3559089060048894</v>
      </c>
      <c r="K115" s="49"/>
      <c r="L115" s="49"/>
    </row>
    <row r="116" spans="1:12" ht="15.6" hidden="1">
      <c r="A116" s="726" t="s">
        <v>28</v>
      </c>
      <c r="B116" s="731">
        <v>12830.739520470001</v>
      </c>
      <c r="C116" s="731">
        <v>9991.944854450001</v>
      </c>
      <c r="D116" s="731">
        <v>8022.57158936</v>
      </c>
      <c r="E116" s="731">
        <v>6529.3823573</v>
      </c>
      <c r="F116" s="727">
        <f t="shared" si="10"/>
        <v>1493.18923206</v>
      </c>
      <c r="G116" s="727">
        <f t="shared" si="11"/>
        <v>1969.373265090001</v>
      </c>
      <c r="H116" s="727">
        <f t="shared" si="15"/>
        <v>2838.7946660199996</v>
      </c>
      <c r="I116" s="732">
        <f>B116/7494.35987203</f>
        <v>1.7120527622854245</v>
      </c>
      <c r="J116" s="732">
        <f>C116/7417.40260057</f>
        <v>1.3470948514621759</v>
      </c>
      <c r="K116" s="49"/>
      <c r="L116" s="49"/>
    </row>
    <row r="117" spans="1:12" ht="15.6" hidden="1">
      <c r="A117" s="726" t="s">
        <v>29</v>
      </c>
      <c r="B117" s="731">
        <v>13903.175588120001</v>
      </c>
      <c r="C117" s="731">
        <v>10997.158822920001</v>
      </c>
      <c r="D117" s="731">
        <v>8796.0136600800015</v>
      </c>
      <c r="E117" s="731">
        <v>7158.1555464000012</v>
      </c>
      <c r="F117" s="727">
        <f t="shared" si="10"/>
        <v>1637.8581136800003</v>
      </c>
      <c r="G117" s="727">
        <f t="shared" si="11"/>
        <v>2201.1451628399991</v>
      </c>
      <c r="H117" s="727">
        <f t="shared" si="15"/>
        <v>2906.0167652</v>
      </c>
      <c r="I117" s="732">
        <f>B117/8489.40062686</f>
        <v>1.6377099160724151</v>
      </c>
      <c r="J117" s="732">
        <f>C117/8275.34883281</f>
        <v>1.3289057712369301</v>
      </c>
      <c r="K117" s="49"/>
      <c r="L117" s="49"/>
    </row>
    <row r="118" spans="1:12" ht="15.6">
      <c r="A118" s="733" t="s">
        <v>1327</v>
      </c>
      <c r="B118" s="736">
        <v>16775.301806390002</v>
      </c>
      <c r="C118" s="736">
        <v>13806.376126880001</v>
      </c>
      <c r="D118" s="736">
        <v>11122.107094140001</v>
      </c>
      <c r="E118" s="736">
        <v>9256.6355256300012</v>
      </c>
      <c r="F118" s="741">
        <f>+D118-E118</f>
        <v>1865.47156851</v>
      </c>
      <c r="G118" s="741">
        <f>+C118-D118</f>
        <v>2684.2690327399996</v>
      </c>
      <c r="H118" s="741">
        <v>2968.92567951</v>
      </c>
      <c r="I118" s="742">
        <f>B118/10660.29095014</f>
        <v>1.5736251369546057</v>
      </c>
      <c r="J118" s="742">
        <f>C118/10514.97205168</f>
        <v>1.3130207155114715</v>
      </c>
      <c r="K118" s="495"/>
      <c r="L118" s="495"/>
    </row>
    <row r="119" spans="1:12" ht="15.6" hidden="1">
      <c r="A119" s="733" t="s">
        <v>18</v>
      </c>
      <c r="B119" s="734">
        <v>13474.6267448</v>
      </c>
      <c r="C119" s="734">
        <v>10550.646729730001</v>
      </c>
      <c r="D119" s="734">
        <v>8326.303340020002</v>
      </c>
      <c r="E119" s="734">
        <v>6810.7901250100012</v>
      </c>
      <c r="F119" s="727">
        <f t="shared" si="10"/>
        <v>1515.5132150100007</v>
      </c>
      <c r="G119" s="727">
        <f t="shared" si="11"/>
        <v>2224.3433897099985</v>
      </c>
      <c r="H119" s="727">
        <f t="shared" ref="H119:H130" si="16">+B119-C119</f>
        <v>2923.9800150699994</v>
      </c>
      <c r="I119" s="735">
        <f>B119/7686.68382912</f>
        <v>1.7529830866404486</v>
      </c>
      <c r="J119" s="735">
        <f>C119/7601.48872794</f>
        <v>1.3879711076792218</v>
      </c>
      <c r="K119" s="491"/>
      <c r="L119" s="491"/>
    </row>
    <row r="120" spans="1:12" ht="15.6" hidden="1">
      <c r="A120" s="733" t="s">
        <v>19</v>
      </c>
      <c r="B120" s="734">
        <v>13799.16187616</v>
      </c>
      <c r="C120" s="734">
        <v>10694.32494869</v>
      </c>
      <c r="D120" s="734">
        <v>8375.6163805699998</v>
      </c>
      <c r="E120" s="734">
        <v>6911.1925890399998</v>
      </c>
      <c r="F120" s="727">
        <f t="shared" si="10"/>
        <v>1464.42379153</v>
      </c>
      <c r="G120" s="727">
        <f t="shared" si="11"/>
        <v>2318.7085681200006</v>
      </c>
      <c r="H120" s="727">
        <f t="shared" si="16"/>
        <v>3104.8369274699999</v>
      </c>
      <c r="I120" s="735">
        <f>B120/7908.65826857</f>
        <v>1.7448170609418796</v>
      </c>
      <c r="J120" s="735">
        <f>C120/7825.1689925</f>
        <v>1.366657379404832</v>
      </c>
      <c r="K120" s="491"/>
      <c r="L120" s="491"/>
    </row>
    <row r="121" spans="1:12" ht="15.6">
      <c r="A121" s="733" t="s">
        <v>20</v>
      </c>
      <c r="B121" s="734">
        <v>14319.88283205</v>
      </c>
      <c r="C121" s="734">
        <v>11263.437944789999</v>
      </c>
      <c r="D121" s="734">
        <v>9009.9064602899998</v>
      </c>
      <c r="E121" s="734">
        <v>7241.3228480300004</v>
      </c>
      <c r="F121" s="727">
        <f t="shared" si="10"/>
        <v>1768.5836122599994</v>
      </c>
      <c r="G121" s="727">
        <f t="shared" si="11"/>
        <v>2253.5314844999994</v>
      </c>
      <c r="H121" s="727">
        <f t="shared" si="16"/>
        <v>3056.4448872600005</v>
      </c>
      <c r="I121" s="735">
        <f>B121/8468.33373691</f>
        <v>1.6909917909394019</v>
      </c>
      <c r="J121" s="735">
        <f>C121/8347.67178633</f>
        <v>1.349290944001273</v>
      </c>
      <c r="K121" s="491"/>
      <c r="L121" s="491"/>
    </row>
    <row r="122" spans="1:12" ht="18.75" hidden="1" customHeight="1">
      <c r="A122" s="733" t="s">
        <v>21</v>
      </c>
      <c r="B122" s="734">
        <v>14346.201608679999</v>
      </c>
      <c r="C122" s="734">
        <v>11202.396400419999</v>
      </c>
      <c r="D122" s="734">
        <v>8987.9618849499984</v>
      </c>
      <c r="E122" s="734">
        <v>7312.7794083499994</v>
      </c>
      <c r="F122" s="727">
        <f t="shared" si="10"/>
        <v>1675.1824765999991</v>
      </c>
      <c r="G122" s="727">
        <f t="shared" si="11"/>
        <v>2214.4345154700004</v>
      </c>
      <c r="H122" s="727">
        <f t="shared" si="16"/>
        <v>3143.8052082600007</v>
      </c>
      <c r="I122" s="735">
        <f>B122/8223.02870273</f>
        <v>1.7446371802055294</v>
      </c>
      <c r="J122" s="735">
        <f>C122/8145.87800788</f>
        <v>1.3752227064514402</v>
      </c>
      <c r="K122" s="491"/>
      <c r="L122" s="491"/>
    </row>
    <row r="123" spans="1:12" ht="15.6" hidden="1">
      <c r="A123" s="733" t="s">
        <v>22</v>
      </c>
      <c r="B123" s="734">
        <v>14579.48424774</v>
      </c>
      <c r="C123" s="734">
        <v>11456.70347266</v>
      </c>
      <c r="D123" s="734">
        <v>9210.4648230599996</v>
      </c>
      <c r="E123" s="734">
        <v>7509.9198136299992</v>
      </c>
      <c r="F123" s="727">
        <f t="shared" si="10"/>
        <v>1700.5450094300004</v>
      </c>
      <c r="G123" s="727">
        <f t="shared" si="11"/>
        <v>2246.2386495999999</v>
      </c>
      <c r="H123" s="727">
        <f t="shared" si="16"/>
        <v>3122.7807750800002</v>
      </c>
      <c r="I123" s="735">
        <f>B123/8457.87975694</f>
        <v>1.7237753038256427</v>
      </c>
      <c r="J123" s="735">
        <f>C123/8373.10387126</f>
        <v>1.3682743757645484</v>
      </c>
      <c r="K123" s="491"/>
      <c r="L123" s="491"/>
    </row>
    <row r="124" spans="1:12" ht="15.6">
      <c r="A124" s="733" t="s">
        <v>23</v>
      </c>
      <c r="B124" s="734">
        <v>14527.482267830001</v>
      </c>
      <c r="C124" s="734">
        <v>11753.663751780001</v>
      </c>
      <c r="D124" s="734">
        <v>9475.3794250899991</v>
      </c>
      <c r="E124" s="734">
        <v>7751.8143008900006</v>
      </c>
      <c r="F124" s="727">
        <f t="shared" si="10"/>
        <v>1723.5651241999985</v>
      </c>
      <c r="G124" s="727">
        <f t="shared" si="11"/>
        <v>2278.2843266900018</v>
      </c>
      <c r="H124" s="727">
        <f t="shared" si="16"/>
        <v>2773.8185160499997</v>
      </c>
      <c r="I124" s="735">
        <f>B124/8730.4</f>
        <v>1.6640110725545223</v>
      </c>
      <c r="J124" s="735">
        <f>C124/8654.4</f>
        <v>1.3581142253397118</v>
      </c>
      <c r="K124" s="491"/>
      <c r="L124" s="491"/>
    </row>
    <row r="125" spans="1:12" ht="15.6" hidden="1">
      <c r="A125" s="733" t="s">
        <v>24</v>
      </c>
      <c r="B125" s="734">
        <v>14703.043142640003</v>
      </c>
      <c r="C125" s="734">
        <v>11971.003045320002</v>
      </c>
      <c r="D125" s="734">
        <v>9688.9205505299997</v>
      </c>
      <c r="E125" s="734">
        <v>8012.34845881</v>
      </c>
      <c r="F125" s="727">
        <f t="shared" si="10"/>
        <v>1676.5720917199997</v>
      </c>
      <c r="G125" s="727">
        <f t="shared" si="11"/>
        <v>2282.0824947900019</v>
      </c>
      <c r="H125" s="727">
        <f t="shared" si="16"/>
        <v>2732.0400973200012</v>
      </c>
      <c r="I125" s="735">
        <f>B125/9039.62873754</f>
        <v>1.6265096244031385</v>
      </c>
      <c r="J125" s="735">
        <f>C125/8940.15190669</f>
        <v>1.339015619674425</v>
      </c>
      <c r="K125" s="491"/>
      <c r="L125" s="491"/>
    </row>
    <row r="126" spans="1:12" ht="15.6" hidden="1">
      <c r="A126" s="733" t="s">
        <v>25</v>
      </c>
      <c r="B126" s="734">
        <v>15002.992194119999</v>
      </c>
      <c r="C126" s="734">
        <v>12218.2895424</v>
      </c>
      <c r="D126" s="734">
        <v>9931.3003141499994</v>
      </c>
      <c r="E126" s="734">
        <v>8134.5739681499999</v>
      </c>
      <c r="F126" s="727">
        <f t="shared" si="10"/>
        <v>1796.7263459999995</v>
      </c>
      <c r="G126" s="727">
        <f t="shared" si="11"/>
        <v>2286.9892282500005</v>
      </c>
      <c r="H126" s="727">
        <f t="shared" si="16"/>
        <v>2784.7026517199993</v>
      </c>
      <c r="I126" s="735">
        <f>B126/9195.7436029</f>
        <v>1.6315148444752858</v>
      </c>
      <c r="J126" s="735">
        <f>C126/9076.35693192</f>
        <v>1.3461667091815614</v>
      </c>
      <c r="K126" s="491"/>
      <c r="L126" s="491"/>
    </row>
    <row r="127" spans="1:12" ht="15.6">
      <c r="A127" s="733" t="s">
        <v>26</v>
      </c>
      <c r="B127" s="734">
        <v>15343.330298140001</v>
      </c>
      <c r="C127" s="734">
        <v>12402.361989680001</v>
      </c>
      <c r="D127" s="734">
        <v>10069.71359757</v>
      </c>
      <c r="E127" s="734">
        <v>8315.4327345600013</v>
      </c>
      <c r="F127" s="727">
        <f t="shared" si="10"/>
        <v>1754.2808630099989</v>
      </c>
      <c r="G127" s="727">
        <f t="shared" si="11"/>
        <v>2332.6483921100007</v>
      </c>
      <c r="H127" s="727">
        <f t="shared" si="16"/>
        <v>2940.9683084600001</v>
      </c>
      <c r="I127" s="735">
        <f>B127/9399.71039137</f>
        <v>1.6323194714836022</v>
      </c>
      <c r="J127" s="735">
        <f>C127/9299.77625118</f>
        <v>1.3336193962845431</v>
      </c>
      <c r="K127" s="491"/>
      <c r="L127" s="491"/>
    </row>
    <row r="128" spans="1:12" ht="15.6" hidden="1">
      <c r="A128" s="733" t="s">
        <v>27</v>
      </c>
      <c r="B128" s="734">
        <v>15606.571210440001</v>
      </c>
      <c r="C128" s="734">
        <v>12563.57153646</v>
      </c>
      <c r="D128" s="734">
        <v>10114.95929513</v>
      </c>
      <c r="E128" s="734">
        <v>8415.5411511500006</v>
      </c>
      <c r="F128" s="727">
        <f t="shared" si="10"/>
        <v>1699.4181439799995</v>
      </c>
      <c r="G128" s="727">
        <f t="shared" si="11"/>
        <v>2448.61224133</v>
      </c>
      <c r="H128" s="727">
        <f t="shared" si="16"/>
        <v>3042.9996739800008</v>
      </c>
      <c r="I128" s="735">
        <f>B128/9365.06754874</f>
        <v>1.6664664861429375</v>
      </c>
      <c r="J128" s="735">
        <f>C128/9291.34120768</f>
        <v>1.3521806223277273</v>
      </c>
      <c r="K128" s="491"/>
      <c r="L128" s="491"/>
    </row>
    <row r="129" spans="1:16" ht="15.6" hidden="1">
      <c r="A129" s="733" t="s">
        <v>28</v>
      </c>
      <c r="B129" s="734">
        <v>15787.743941799999</v>
      </c>
      <c r="C129" s="734">
        <v>12649.589319520001</v>
      </c>
      <c r="D129" s="734">
        <v>10122.484978250002</v>
      </c>
      <c r="E129" s="734">
        <v>8383.5896026300015</v>
      </c>
      <c r="F129" s="727">
        <f t="shared" si="10"/>
        <v>1738.8953756200008</v>
      </c>
      <c r="G129" s="727">
        <f t="shared" si="11"/>
        <v>2527.1043412699983</v>
      </c>
      <c r="H129" s="727">
        <f t="shared" si="16"/>
        <v>3138.1546222799989</v>
      </c>
      <c r="I129" s="735">
        <f>B129/9427.26449336</f>
        <v>1.6746898268230344</v>
      </c>
      <c r="J129" s="735">
        <f>C129/9345.97705817</f>
        <v>1.3534796031263605</v>
      </c>
      <c r="K129" s="491"/>
      <c r="L129" s="491"/>
    </row>
    <row r="130" spans="1:16" ht="15" customHeight="1">
      <c r="A130" s="733" t="s">
        <v>29</v>
      </c>
      <c r="B130" s="734">
        <v>16775.301806390002</v>
      </c>
      <c r="C130" s="734">
        <v>13806.376126880001</v>
      </c>
      <c r="D130" s="734">
        <v>11122.107094140001</v>
      </c>
      <c r="E130" s="734">
        <v>9256.6355256300012</v>
      </c>
      <c r="F130" s="727">
        <f t="shared" si="10"/>
        <v>1865.47156851</v>
      </c>
      <c r="G130" s="727">
        <f t="shared" si="11"/>
        <v>2684.2690327399996</v>
      </c>
      <c r="H130" s="727">
        <f t="shared" si="16"/>
        <v>2968.9256795100009</v>
      </c>
      <c r="I130" s="735">
        <f>B130/10660.29095014</f>
        <v>1.5736251369546057</v>
      </c>
      <c r="J130" s="735">
        <f>C130/10514.97205168</f>
        <v>1.3130207155114715</v>
      </c>
      <c r="K130" s="491"/>
      <c r="L130" s="491"/>
    </row>
    <row r="131" spans="1:16" ht="15.6">
      <c r="A131" s="733" t="s">
        <v>1449</v>
      </c>
      <c r="B131" s="736">
        <v>19289.435054590002</v>
      </c>
      <c r="C131" s="736">
        <v>16434.781617190001</v>
      </c>
      <c r="D131" s="736">
        <v>12736.891463010001</v>
      </c>
      <c r="E131" s="736">
        <v>10458.65191457</v>
      </c>
      <c r="F131" s="741">
        <f>+D131-E131</f>
        <v>2278.2395484400004</v>
      </c>
      <c r="G131" s="741">
        <f>+C131-D131</f>
        <v>3697.8901541800005</v>
      </c>
      <c r="H131" s="741">
        <v>2854.6534373999998</v>
      </c>
      <c r="I131" s="742">
        <f>B131/11793.1140687</f>
        <v>1.6356523766513817</v>
      </c>
      <c r="J131" s="742">
        <f>C131/11641.99818107</f>
        <v>1.4116804831590777</v>
      </c>
      <c r="K131" s="495"/>
      <c r="L131" s="495"/>
      <c r="P131" s="1092"/>
    </row>
    <row r="132" spans="1:16" ht="15.6">
      <c r="A132" s="733" t="s">
        <v>18</v>
      </c>
      <c r="B132" s="734">
        <v>16619.294003679996</v>
      </c>
      <c r="C132" s="743">
        <v>13685.938089679998</v>
      </c>
      <c r="D132" s="743">
        <v>10644.165181889997</v>
      </c>
      <c r="E132" s="734">
        <v>8817.6326269999972</v>
      </c>
      <c r="F132" s="727">
        <f t="shared" si="10"/>
        <v>1826.53255489</v>
      </c>
      <c r="G132" s="727">
        <f t="shared" si="11"/>
        <v>3041.7729077900003</v>
      </c>
      <c r="H132" s="727">
        <f t="shared" ref="H132:H143" si="17">+B132-C132</f>
        <v>2933.3559139999979</v>
      </c>
      <c r="I132" s="735">
        <v>1.6721464700455222</v>
      </c>
      <c r="J132" s="735">
        <v>1.3904910200478435</v>
      </c>
      <c r="K132" s="491"/>
      <c r="L132" s="491"/>
    </row>
    <row r="133" spans="1:16" ht="15.6">
      <c r="A133" s="733" t="s">
        <v>19</v>
      </c>
      <c r="B133" s="734">
        <v>16765.07061757</v>
      </c>
      <c r="C133" s="743">
        <v>13905.86568132</v>
      </c>
      <c r="D133" s="743">
        <v>10857.353180279999</v>
      </c>
      <c r="E133" s="734">
        <v>8857.5871575799993</v>
      </c>
      <c r="F133" s="727">
        <f t="shared" ref="F133:F143" si="18">+D133-E133</f>
        <v>1999.7660226999997</v>
      </c>
      <c r="G133" s="727">
        <f t="shared" ref="G133:G143" si="19">+C133-D133</f>
        <v>3048.5125010400006</v>
      </c>
      <c r="H133" s="727">
        <f t="shared" si="17"/>
        <v>2859.2049362500002</v>
      </c>
      <c r="I133" s="735">
        <v>1.6571170565070443</v>
      </c>
      <c r="J133" s="735">
        <v>1.3847324051629002</v>
      </c>
      <c r="K133" s="491"/>
      <c r="L133" s="491"/>
    </row>
    <row r="134" spans="1:16" ht="15.6">
      <c r="A134" s="733" t="s">
        <v>20</v>
      </c>
      <c r="B134" s="734">
        <v>17445.146761240001</v>
      </c>
      <c r="C134" s="743">
        <v>14184.51769676</v>
      </c>
      <c r="D134" s="743">
        <v>11100.924572399999</v>
      </c>
      <c r="E134" s="734">
        <v>8999.1675183099997</v>
      </c>
      <c r="F134" s="727">
        <f t="shared" si="18"/>
        <v>2101.7570540899997</v>
      </c>
      <c r="G134" s="727">
        <f t="shared" si="19"/>
        <v>3083.5931243600007</v>
      </c>
      <c r="H134" s="727">
        <f t="shared" si="17"/>
        <v>3260.629064480001</v>
      </c>
      <c r="I134" s="735">
        <v>1.6967448825795475</v>
      </c>
      <c r="J134" s="735">
        <v>1.3911580330283637</v>
      </c>
      <c r="K134" s="491"/>
      <c r="L134" s="491"/>
    </row>
    <row r="135" spans="1:16" ht="15.6">
      <c r="A135" s="733" t="s">
        <v>21</v>
      </c>
      <c r="B135" s="734">
        <v>17480.375318070004</v>
      </c>
      <c r="C135" s="743">
        <v>14369.789669550002</v>
      </c>
      <c r="D135" s="743">
        <v>11226.771211430001</v>
      </c>
      <c r="E135" s="734">
        <v>8983.8684096800007</v>
      </c>
      <c r="F135" s="727">
        <f t="shared" si="18"/>
        <v>2242.9028017500004</v>
      </c>
      <c r="G135" s="727">
        <f t="shared" si="19"/>
        <v>3143.018458120001</v>
      </c>
      <c r="H135" s="727">
        <f t="shared" si="17"/>
        <v>3110.585648520002</v>
      </c>
      <c r="I135" s="735">
        <v>1.7152550949082357</v>
      </c>
      <c r="J135" s="735">
        <v>1.4235192453333125</v>
      </c>
      <c r="K135" s="491"/>
      <c r="L135" s="491"/>
    </row>
    <row r="136" spans="1:16" ht="15.6">
      <c r="A136" s="733" t="s">
        <v>22</v>
      </c>
      <c r="B136" s="734">
        <v>17633.851825450001</v>
      </c>
      <c r="C136" s="743">
        <v>14515.321340959999</v>
      </c>
      <c r="D136" s="743">
        <v>11292.06201098</v>
      </c>
      <c r="E136" s="734">
        <v>9098.2413375800006</v>
      </c>
      <c r="F136" s="727">
        <f t="shared" si="18"/>
        <v>2193.8206733999996</v>
      </c>
      <c r="G136" s="727">
        <f t="shared" si="19"/>
        <v>3223.2593299799992</v>
      </c>
      <c r="H136" s="727">
        <f t="shared" si="17"/>
        <v>3118.530484490002</v>
      </c>
      <c r="I136" s="735">
        <v>1.7285712322473208</v>
      </c>
      <c r="J136" s="735">
        <v>1.4338973268459452</v>
      </c>
      <c r="K136" s="491"/>
      <c r="L136" s="491"/>
    </row>
    <row r="137" spans="1:16" ht="15.6">
      <c r="A137" s="733" t="s">
        <v>23</v>
      </c>
      <c r="B137" s="734">
        <v>17506.27939122</v>
      </c>
      <c r="C137" s="743">
        <v>14682.522197119999</v>
      </c>
      <c r="D137" s="743">
        <v>11470.314637539999</v>
      </c>
      <c r="E137" s="734">
        <v>9219.7418899999993</v>
      </c>
      <c r="F137" s="727">
        <f t="shared" si="18"/>
        <v>2250.5727475399999</v>
      </c>
      <c r="G137" s="727">
        <f t="shared" si="19"/>
        <v>3212.2075595799997</v>
      </c>
      <c r="H137" s="727">
        <f t="shared" si="17"/>
        <v>2823.7571941000006</v>
      </c>
      <c r="I137" s="735">
        <v>1.6944744665427538</v>
      </c>
      <c r="J137" s="735">
        <v>1.4301251335412597</v>
      </c>
      <c r="K137" s="491"/>
      <c r="L137" s="491"/>
    </row>
    <row r="138" spans="1:16" ht="15.6">
      <c r="A138" s="733" t="s">
        <v>24</v>
      </c>
      <c r="B138" s="734">
        <v>17954.123068069999</v>
      </c>
      <c r="C138" s="743">
        <v>14916.31385235</v>
      </c>
      <c r="D138" s="743">
        <v>11630.12138758</v>
      </c>
      <c r="E138" s="734">
        <v>9455.0916630200009</v>
      </c>
      <c r="F138" s="727">
        <f t="shared" si="18"/>
        <v>2175.0297245599995</v>
      </c>
      <c r="G138" s="727">
        <f t="shared" si="19"/>
        <v>3286.1924647699998</v>
      </c>
      <c r="H138" s="727">
        <f t="shared" si="17"/>
        <v>3037.809215719999</v>
      </c>
      <c r="I138" s="735">
        <v>1.7051700634523843</v>
      </c>
      <c r="J138" s="735">
        <v>1.4304087105605003</v>
      </c>
      <c r="K138" s="491"/>
      <c r="L138" s="491"/>
    </row>
    <row r="139" spans="1:16" ht="15.6">
      <c r="A139" s="733" t="s">
        <v>25</v>
      </c>
      <c r="B139" s="734">
        <v>18002.774504569999</v>
      </c>
      <c r="C139" s="743">
        <v>15163.179898129998</v>
      </c>
      <c r="D139" s="743">
        <v>11796.888803509999</v>
      </c>
      <c r="E139" s="734">
        <v>9516.862094189999</v>
      </c>
      <c r="F139" s="727">
        <f t="shared" si="18"/>
        <v>2280.02670932</v>
      </c>
      <c r="G139" s="727">
        <f t="shared" si="19"/>
        <v>3366.2910946199991</v>
      </c>
      <c r="H139" s="727">
        <f t="shared" si="17"/>
        <v>2839.5946064400014</v>
      </c>
      <c r="I139" s="735">
        <v>1.6842434995282807</v>
      </c>
      <c r="J139" s="735">
        <v>1.4281949480694616</v>
      </c>
      <c r="K139" s="491"/>
      <c r="L139" s="491"/>
    </row>
    <row r="140" spans="1:16" ht="15.6">
      <c r="A140" s="733" t="s">
        <v>26</v>
      </c>
      <c r="B140" s="734">
        <v>18210.15378384</v>
      </c>
      <c r="C140" s="743">
        <v>15264.929494110002</v>
      </c>
      <c r="D140" s="743">
        <v>11817.306639800001</v>
      </c>
      <c r="E140" s="734">
        <v>9559.9543512400014</v>
      </c>
      <c r="F140" s="727">
        <f t="shared" si="18"/>
        <v>2257.3522885599996</v>
      </c>
      <c r="G140" s="727">
        <f t="shared" si="19"/>
        <v>3447.6228543100005</v>
      </c>
      <c r="H140" s="727">
        <f t="shared" si="17"/>
        <v>2945.2242897299984</v>
      </c>
      <c r="I140" s="735">
        <v>1.7022428598223125</v>
      </c>
      <c r="J140" s="735">
        <v>1.4378567166476752</v>
      </c>
      <c r="K140" s="491"/>
      <c r="L140" s="491"/>
    </row>
    <row r="141" spans="1:16" ht="15.6">
      <c r="A141" s="733" t="s">
        <v>27</v>
      </c>
      <c r="B141" s="734">
        <v>18449.53917059</v>
      </c>
      <c r="C141" s="743">
        <v>15495.52054265</v>
      </c>
      <c r="D141" s="743">
        <v>11932.93009342</v>
      </c>
      <c r="E141" s="734">
        <v>9724.3504852099995</v>
      </c>
      <c r="F141" s="727">
        <f t="shared" si="18"/>
        <v>2208.5796082100005</v>
      </c>
      <c r="G141" s="727">
        <f t="shared" si="19"/>
        <v>3562.5904492299996</v>
      </c>
      <c r="H141" s="727">
        <f t="shared" si="17"/>
        <v>2954.0186279400004</v>
      </c>
      <c r="I141" s="735">
        <v>1.704568537878717</v>
      </c>
      <c r="J141" s="735">
        <v>1.443778575123204</v>
      </c>
      <c r="K141" s="491"/>
      <c r="L141" s="491"/>
    </row>
    <row r="142" spans="1:16" ht="15.6">
      <c r="A142" s="733" t="s">
        <v>28</v>
      </c>
      <c r="B142" s="734">
        <v>18856.381558270001</v>
      </c>
      <c r="C142" s="743">
        <v>15673.90127194</v>
      </c>
      <c r="D142" s="743">
        <v>12078.14012874</v>
      </c>
      <c r="E142" s="734">
        <v>9849.35826094</v>
      </c>
      <c r="F142" s="727">
        <f t="shared" si="18"/>
        <v>2228.7818678000003</v>
      </c>
      <c r="G142" s="727">
        <f t="shared" si="19"/>
        <v>3595.7611431999994</v>
      </c>
      <c r="H142" s="727">
        <f t="shared" si="17"/>
        <v>3182.480286330001</v>
      </c>
      <c r="I142" s="735">
        <v>1.7299629583019163</v>
      </c>
      <c r="J142" s="735">
        <v>1.4523588556446883</v>
      </c>
      <c r="K142" s="491"/>
      <c r="L142" s="491"/>
    </row>
    <row r="143" spans="1:16" ht="15.6">
      <c r="A143" s="733" t="s">
        <v>29</v>
      </c>
      <c r="B143" s="734">
        <v>19289.435054590002</v>
      </c>
      <c r="C143" s="734">
        <v>16434.781617190001</v>
      </c>
      <c r="D143" s="734">
        <v>12736.891463010001</v>
      </c>
      <c r="E143" s="734">
        <v>10458.65191457</v>
      </c>
      <c r="F143" s="727">
        <f t="shared" si="18"/>
        <v>2278.2395484400004</v>
      </c>
      <c r="G143" s="727">
        <f t="shared" si="19"/>
        <v>3697.8901541800005</v>
      </c>
      <c r="H143" s="727">
        <f t="shared" si="17"/>
        <v>2854.6534374000003</v>
      </c>
      <c r="I143" s="735">
        <f>B143/11793.1140687</f>
        <v>1.6356523766513817</v>
      </c>
      <c r="J143" s="735">
        <f>C143/11641.99818107</f>
        <v>1.4116804831590777</v>
      </c>
      <c r="K143" s="491"/>
      <c r="L143" s="491"/>
    </row>
    <row r="144" spans="1:16" ht="15.6">
      <c r="A144" s="733" t="s">
        <v>1660</v>
      </c>
      <c r="B144" s="736">
        <v>21566.356923940002</v>
      </c>
      <c r="C144" s="736">
        <v>17435.832346269999</v>
      </c>
      <c r="D144" s="736">
        <v>12830.41682493</v>
      </c>
      <c r="E144" s="736">
        <v>10152.446650559999</v>
      </c>
      <c r="F144" s="741">
        <v>2677.9699999999993</v>
      </c>
      <c r="G144" s="741">
        <v>4605.4100000000017</v>
      </c>
      <c r="H144" s="744">
        <v>4130.5245776700003</v>
      </c>
      <c r="I144" s="742">
        <v>1.8173476654002096</v>
      </c>
      <c r="J144" s="742">
        <v>1.5106615595438837</v>
      </c>
      <c r="K144" s="495"/>
      <c r="L144" s="495"/>
    </row>
    <row r="145" spans="1:12" ht="15.6">
      <c r="A145" s="733" t="s">
        <v>18</v>
      </c>
      <c r="B145" s="734">
        <v>19044.850621850001</v>
      </c>
      <c r="C145" s="734">
        <v>15982.879134549999</v>
      </c>
      <c r="D145" s="734">
        <v>12277.29921642</v>
      </c>
      <c r="E145" s="734">
        <v>9911.72793533</v>
      </c>
      <c r="F145" s="727">
        <f t="shared" ref="F145:F156" si="20">+D145-E145</f>
        <v>2365.5712810900004</v>
      </c>
      <c r="G145" s="727">
        <f t="shared" ref="G145:G156" si="21">+C145-D145</f>
        <v>3705.579918129999</v>
      </c>
      <c r="H145" s="727">
        <f t="shared" ref="H145:H156" si="22">+B145-C145</f>
        <v>3061.9714873000012</v>
      </c>
      <c r="I145" s="735">
        <f>B145/11142.59848311</f>
        <v>1.709192936523583</v>
      </c>
      <c r="J145" s="735">
        <f>C145/11038.06426639</f>
        <v>1.4479784452076943</v>
      </c>
      <c r="K145" s="491"/>
      <c r="L145" s="491"/>
    </row>
    <row r="146" spans="1:12" ht="15.6">
      <c r="A146" s="733" t="s">
        <v>19</v>
      </c>
      <c r="B146" s="734">
        <v>19273.559708530003</v>
      </c>
      <c r="C146" s="734">
        <v>16124.661814100004</v>
      </c>
      <c r="D146" s="734">
        <v>12351.349887760003</v>
      </c>
      <c r="E146" s="734">
        <v>9956.127637800002</v>
      </c>
      <c r="F146" s="727">
        <f t="shared" si="20"/>
        <v>2395.2222499600011</v>
      </c>
      <c r="G146" s="727">
        <f t="shared" si="21"/>
        <v>3773.3119263400004</v>
      </c>
      <c r="H146" s="727">
        <f t="shared" si="22"/>
        <v>3148.8978944299997</v>
      </c>
      <c r="I146" s="735">
        <f>B146/11244.6306704</f>
        <v>1.714023365770927</v>
      </c>
      <c r="J146" s="735">
        <f>C146/11136.51575325</f>
        <v>1.4479090382819508</v>
      </c>
      <c r="K146" s="491"/>
      <c r="L146" s="491"/>
    </row>
    <row r="147" spans="1:12" ht="15.6">
      <c r="A147" s="733" t="s">
        <v>20</v>
      </c>
      <c r="B147" s="734">
        <v>19377.016950549998</v>
      </c>
      <c r="C147" s="734">
        <v>16132.314188839999</v>
      </c>
      <c r="D147" s="734">
        <v>12300.490689139999</v>
      </c>
      <c r="E147" s="734">
        <v>9953.6108843599995</v>
      </c>
      <c r="F147" s="727">
        <f t="shared" si="20"/>
        <v>2346.8798047799992</v>
      </c>
      <c r="G147" s="727">
        <f t="shared" si="21"/>
        <v>3831.8234997</v>
      </c>
      <c r="H147" s="727">
        <f t="shared" si="22"/>
        <v>3244.7027617099993</v>
      </c>
      <c r="I147" s="735">
        <f>B147/11205.61089896</f>
        <v>1.7292245041587506</v>
      </c>
      <c r="J147" s="735">
        <f>C147/11107.08954202</f>
        <v>1.4524339727170401</v>
      </c>
      <c r="K147" s="491"/>
      <c r="L147" s="491"/>
    </row>
    <row r="148" spans="1:12" ht="15.6">
      <c r="A148" s="733" t="s">
        <v>21</v>
      </c>
      <c r="B148" s="734">
        <v>19792.55909183</v>
      </c>
      <c r="C148" s="734">
        <v>16489.676849340001</v>
      </c>
      <c r="D148" s="734">
        <v>12437.767307470001</v>
      </c>
      <c r="E148" s="734">
        <v>10050.696633380001</v>
      </c>
      <c r="F148" s="727">
        <f t="shared" si="20"/>
        <v>2387.0706740900005</v>
      </c>
      <c r="G148" s="727">
        <f t="shared" si="21"/>
        <v>4051.9095418699999</v>
      </c>
      <c r="H148" s="727">
        <f t="shared" si="22"/>
        <v>3302.882242489999</v>
      </c>
      <c r="I148" s="735">
        <f>B148/11229.34687211</f>
        <v>1.7625743791910284</v>
      </c>
      <c r="J148" s="735">
        <f>C148/11105.02279736</f>
        <v>1.4848845563162731</v>
      </c>
      <c r="K148" s="491"/>
      <c r="L148" s="491"/>
    </row>
    <row r="149" spans="1:12" ht="15.6">
      <c r="A149" s="733" t="s">
        <v>22</v>
      </c>
      <c r="B149" s="734">
        <v>19968.561496670001</v>
      </c>
      <c r="C149" s="734">
        <v>16695.74778433</v>
      </c>
      <c r="D149" s="734">
        <v>12545.777494470001</v>
      </c>
      <c r="E149" s="734">
        <v>10207.237598310001</v>
      </c>
      <c r="F149" s="727">
        <f t="shared" si="20"/>
        <v>2338.5398961600004</v>
      </c>
      <c r="G149" s="727">
        <f t="shared" si="21"/>
        <v>4149.970289859999</v>
      </c>
      <c r="H149" s="727">
        <f t="shared" si="22"/>
        <v>3272.8137123400011</v>
      </c>
      <c r="I149" s="735">
        <f>B149/11366.36131737</f>
        <v>1.7568121353096682</v>
      </c>
      <c r="J149" s="735">
        <f>C149/11272.23210588</f>
        <v>1.4811394608899953</v>
      </c>
      <c r="K149" s="491"/>
      <c r="L149" s="491"/>
    </row>
    <row r="150" spans="1:12" ht="15.6">
      <c r="A150" s="733" t="s">
        <v>23</v>
      </c>
      <c r="B150" s="734">
        <v>20569.24647337</v>
      </c>
      <c r="C150" s="734">
        <v>17005.082993600001</v>
      </c>
      <c r="D150" s="734">
        <v>12710.57592689</v>
      </c>
      <c r="E150" s="734">
        <v>10335.523382650001</v>
      </c>
      <c r="F150" s="727">
        <f t="shared" si="20"/>
        <v>2375.0525442399994</v>
      </c>
      <c r="G150" s="727">
        <f t="shared" si="21"/>
        <v>4294.5070667100008</v>
      </c>
      <c r="H150" s="727">
        <f t="shared" si="22"/>
        <v>3564.163479769999</v>
      </c>
      <c r="I150" s="735">
        <f>B150/11858.05569204</f>
        <v>1.7346221849149852</v>
      </c>
      <c r="J150" s="735">
        <f>C150/11485.24218352</f>
        <v>1.4806029095320548</v>
      </c>
      <c r="K150" s="491"/>
      <c r="L150" s="491"/>
    </row>
    <row r="151" spans="1:12" ht="15.6">
      <c r="A151" s="733" t="s">
        <v>24</v>
      </c>
      <c r="B151" s="734">
        <v>21225.399707740002</v>
      </c>
      <c r="C151" s="734">
        <v>17435.081794850001</v>
      </c>
      <c r="D151" s="734">
        <v>13036.8409484</v>
      </c>
      <c r="E151" s="734">
        <v>10508.858571300001</v>
      </c>
      <c r="F151" s="727">
        <f t="shared" si="20"/>
        <v>2527.9823770999992</v>
      </c>
      <c r="G151" s="727">
        <f t="shared" si="21"/>
        <v>4398.2408464500004</v>
      </c>
      <c r="H151" s="727">
        <f t="shared" si="22"/>
        <v>3790.317912890001</v>
      </c>
      <c r="I151" s="735">
        <f>B151/11580.61769406</f>
        <v>1.8328383052164015</v>
      </c>
      <c r="J151" s="735">
        <f>C151/11736.47385006</f>
        <v>1.4855468531343312</v>
      </c>
      <c r="K151" s="491"/>
      <c r="L151" s="491"/>
    </row>
    <row r="152" spans="1:12" ht="15.6">
      <c r="A152" s="733" t="s">
        <v>25</v>
      </c>
      <c r="B152" s="734">
        <v>21306.395630089995</v>
      </c>
      <c r="C152" s="734">
        <v>17452.391032289997</v>
      </c>
      <c r="D152" s="734">
        <v>13000.9073837</v>
      </c>
      <c r="E152" s="734">
        <v>10488.02765717</v>
      </c>
      <c r="F152" s="727">
        <f t="shared" si="20"/>
        <v>2512.87972653</v>
      </c>
      <c r="G152" s="727">
        <f t="shared" si="21"/>
        <v>4451.4836485899978</v>
      </c>
      <c r="H152" s="727">
        <f t="shared" si="22"/>
        <v>3854.004597799998</v>
      </c>
      <c r="I152" s="735">
        <f>B152/11863.35000979</f>
        <v>1.7959847439810261</v>
      </c>
      <c r="J152" s="735">
        <f>C152/11743.63784422</f>
        <v>1.486114546769657</v>
      </c>
      <c r="K152" s="491"/>
      <c r="L152" s="491"/>
    </row>
    <row r="153" spans="1:12" ht="15.6">
      <c r="A153" s="733" t="s">
        <v>26</v>
      </c>
      <c r="B153" s="734">
        <v>21133.128281450001</v>
      </c>
      <c r="C153" s="734">
        <v>17367.805316220001</v>
      </c>
      <c r="D153" s="734">
        <v>12834.779973070001</v>
      </c>
      <c r="E153" s="734">
        <v>10389.98032319</v>
      </c>
      <c r="F153" s="727">
        <f t="shared" si="20"/>
        <v>2444.7996498800003</v>
      </c>
      <c r="G153" s="727">
        <f t="shared" si="21"/>
        <v>4533.0253431500005</v>
      </c>
      <c r="H153" s="727">
        <f t="shared" si="22"/>
        <v>3765.3229652299997</v>
      </c>
      <c r="I153" s="735">
        <f>B153/11646.15601325</f>
        <v>1.8146011660333707</v>
      </c>
      <c r="J153" s="735">
        <f>C153/11546.46619261</f>
        <v>1.5041662987188054</v>
      </c>
      <c r="K153" s="491"/>
      <c r="L153" s="491"/>
    </row>
    <row r="154" spans="1:12" ht="15.6">
      <c r="A154" s="733" t="s">
        <v>27</v>
      </c>
      <c r="B154" s="734">
        <v>21372.113561850001</v>
      </c>
      <c r="C154" s="734">
        <v>17370.041469</v>
      </c>
      <c r="D154" s="734">
        <v>12680.79816133</v>
      </c>
      <c r="E154" s="734">
        <v>10306.39262545</v>
      </c>
      <c r="F154" s="727">
        <f t="shared" si="20"/>
        <v>2374.4055358799997</v>
      </c>
      <c r="G154" s="727">
        <f t="shared" si="21"/>
        <v>4689.2433076699999</v>
      </c>
      <c r="H154" s="727">
        <f t="shared" si="22"/>
        <v>4002.0720928500014</v>
      </c>
      <c r="I154" s="735">
        <f>B154/11587.41070091</f>
        <v>1.8444253089408122</v>
      </c>
      <c r="J154" s="735">
        <f>C154/11478.00247364</f>
        <v>1.5133331351767403</v>
      </c>
      <c r="K154" s="491"/>
      <c r="L154" s="491"/>
    </row>
    <row r="155" spans="1:12" ht="15.6">
      <c r="A155" s="733" t="s">
        <v>28</v>
      </c>
      <c r="B155" s="734">
        <v>21689.759412079999</v>
      </c>
      <c r="C155" s="734">
        <v>17525.152211060002</v>
      </c>
      <c r="D155" s="734">
        <v>12775.71631613</v>
      </c>
      <c r="E155" s="734">
        <v>10318.27858138</v>
      </c>
      <c r="F155" s="727">
        <f t="shared" si="20"/>
        <v>2457.4377347499994</v>
      </c>
      <c r="G155" s="727">
        <f t="shared" si="21"/>
        <v>4749.4358949300022</v>
      </c>
      <c r="H155" s="727">
        <f t="shared" si="22"/>
        <v>4164.6072010199969</v>
      </c>
      <c r="I155" s="735">
        <f>B155/11519.6732897</f>
        <v>1.8828450136231991</v>
      </c>
      <c r="J155" s="735">
        <f>C155/11601.09950925</f>
        <v>1.5106457967269851</v>
      </c>
      <c r="K155" s="491"/>
      <c r="L155" s="491"/>
    </row>
    <row r="156" spans="1:12" ht="15.6">
      <c r="A156" s="733" t="s">
        <v>29</v>
      </c>
      <c r="B156" s="734">
        <v>21566.356923940002</v>
      </c>
      <c r="C156" s="734">
        <v>17435.832346269999</v>
      </c>
      <c r="D156" s="734">
        <v>12830.41682493</v>
      </c>
      <c r="E156" s="734">
        <v>10152.446650559999</v>
      </c>
      <c r="F156" s="727">
        <f t="shared" si="20"/>
        <v>2677.9701743700007</v>
      </c>
      <c r="G156" s="727">
        <f t="shared" si="21"/>
        <v>4605.415521339999</v>
      </c>
      <c r="H156" s="727">
        <f t="shared" si="22"/>
        <v>4130.5245776700031</v>
      </c>
      <c r="I156" s="735">
        <v>1.8173476654002096</v>
      </c>
      <c r="J156" s="735">
        <v>1.5106615595438837</v>
      </c>
      <c r="K156" s="491"/>
      <c r="L156" s="491"/>
    </row>
    <row r="157" spans="1:12" ht="15.6">
      <c r="A157" s="733" t="s">
        <v>1855</v>
      </c>
      <c r="B157" s="736">
        <v>21286.906692420001</v>
      </c>
      <c r="C157" s="736">
        <v>8678.2990421600007</v>
      </c>
      <c r="D157" s="736">
        <v>6897.1760663599998</v>
      </c>
      <c r="E157" s="737">
        <v>4775.9298388499992</v>
      </c>
      <c r="F157" s="741">
        <v>2121.2462275099997</v>
      </c>
      <c r="G157" s="741">
        <v>1781.1229757999999</v>
      </c>
      <c r="H157" s="744">
        <v>12608.607650260003</v>
      </c>
      <c r="I157" s="744">
        <v>2.8196678929672037</v>
      </c>
      <c r="J157" s="744">
        <v>1.2479435709648579</v>
      </c>
      <c r="K157" s="496"/>
      <c r="L157" s="496"/>
    </row>
    <row r="158" spans="1:12" ht="15.6">
      <c r="A158" s="733" t="s">
        <v>18</v>
      </c>
      <c r="B158" s="734">
        <v>20568.496779610003</v>
      </c>
      <c r="C158" s="734">
        <v>16236.448099690002</v>
      </c>
      <c r="D158" s="734">
        <v>11753.456382330001</v>
      </c>
      <c r="E158" s="734">
        <v>9347.9318318300011</v>
      </c>
      <c r="F158" s="727">
        <f t="shared" ref="F158:F169" si="23">+D158-E158</f>
        <v>2405.5245505000003</v>
      </c>
      <c r="G158" s="727">
        <f t="shared" ref="G158:G169" si="24">+C158-D158</f>
        <v>4482.9917173600006</v>
      </c>
      <c r="H158" s="727">
        <f t="shared" ref="H158:H169" si="25">+B158-C158</f>
        <v>4332.0486799200007</v>
      </c>
      <c r="I158" s="745">
        <f>B158/10760.3</f>
        <v>1.9115170375928183</v>
      </c>
      <c r="J158" s="745">
        <f>C158/10551</f>
        <v>1.5388539569415223</v>
      </c>
      <c r="K158" s="497"/>
      <c r="L158" s="497"/>
    </row>
    <row r="159" spans="1:12" ht="15.6">
      <c r="A159" s="733" t="s">
        <v>19</v>
      </c>
      <c r="B159" s="734">
        <v>20106.168512470002</v>
      </c>
      <c r="C159" s="734">
        <v>13607.043731040001</v>
      </c>
      <c r="D159" s="734">
        <v>10108.17085468</v>
      </c>
      <c r="E159" s="734">
        <v>7957.7273295299992</v>
      </c>
      <c r="F159" s="727">
        <f t="shared" si="23"/>
        <v>2150.4435251500008</v>
      </c>
      <c r="G159" s="727">
        <f t="shared" si="24"/>
        <v>3498.8728763600011</v>
      </c>
      <c r="H159" s="727">
        <f t="shared" si="25"/>
        <v>6499.1247814300004</v>
      </c>
      <c r="I159" s="745">
        <f>B159/9736.1</f>
        <v>2.065115242496482</v>
      </c>
      <c r="J159" s="745">
        <f>C159/9109.9</f>
        <v>1.4936545660259719</v>
      </c>
      <c r="K159" s="497"/>
      <c r="L159" s="497"/>
    </row>
    <row r="160" spans="1:12" ht="15.6">
      <c r="A160" s="733" t="s">
        <v>20</v>
      </c>
      <c r="B160" s="734">
        <v>19507.388854750003</v>
      </c>
      <c r="C160" s="734">
        <v>12493.102293259999</v>
      </c>
      <c r="D160" s="734">
        <v>9292.7423492199996</v>
      </c>
      <c r="E160" s="734">
        <v>7396.5971371999995</v>
      </c>
      <c r="F160" s="727">
        <f t="shared" si="23"/>
        <v>1896.1452120200001</v>
      </c>
      <c r="G160" s="727">
        <f t="shared" si="24"/>
        <v>3200.3599440399994</v>
      </c>
      <c r="H160" s="727">
        <f t="shared" si="25"/>
        <v>7014.2865614900038</v>
      </c>
      <c r="I160" s="745">
        <f>B160/8919.2</f>
        <v>2.1871231561967441</v>
      </c>
      <c r="J160" s="745">
        <f>C160/8339.4</f>
        <v>1.4980816717341774</v>
      </c>
      <c r="K160" s="497"/>
      <c r="L160" s="497"/>
    </row>
    <row r="161" spans="1:12" ht="15.6">
      <c r="A161" s="733" t="s">
        <v>21</v>
      </c>
      <c r="B161" s="734">
        <v>18982.881093129996</v>
      </c>
      <c r="C161" s="734">
        <v>11004.003724679998</v>
      </c>
      <c r="D161" s="734">
        <v>8267.5681553599989</v>
      </c>
      <c r="E161" s="734">
        <v>6420.892682409999</v>
      </c>
      <c r="F161" s="727">
        <f t="shared" si="23"/>
        <v>1846.6754729499999</v>
      </c>
      <c r="G161" s="727">
        <f t="shared" si="24"/>
        <v>2736.4355693199996</v>
      </c>
      <c r="H161" s="727">
        <f t="shared" si="25"/>
        <v>7978.8773684499974</v>
      </c>
      <c r="I161" s="745">
        <v>2.4119946125892611</v>
      </c>
      <c r="J161" s="745">
        <v>1.4832987356104925</v>
      </c>
      <c r="K161" s="497"/>
      <c r="L161" s="497"/>
    </row>
    <row r="162" spans="1:12" ht="15.6">
      <c r="A162" s="733" t="s">
        <v>22</v>
      </c>
      <c r="B162" s="734">
        <v>18966.810181410001</v>
      </c>
      <c r="C162" s="734">
        <v>11051.433248939999</v>
      </c>
      <c r="D162" s="734">
        <v>8363.1685384399989</v>
      </c>
      <c r="E162" s="734">
        <v>6492.6838619899991</v>
      </c>
      <c r="F162" s="727">
        <f t="shared" si="23"/>
        <v>1870.4846764499998</v>
      </c>
      <c r="G162" s="727">
        <f t="shared" si="24"/>
        <v>2688.2647104999996</v>
      </c>
      <c r="H162" s="727">
        <f t="shared" si="25"/>
        <v>7915.3769324700024</v>
      </c>
      <c r="I162" s="745">
        <v>2.3756917218833373</v>
      </c>
      <c r="J162" s="745">
        <v>1.4546527055664513</v>
      </c>
      <c r="K162" s="497"/>
      <c r="L162" s="497"/>
    </row>
    <row r="163" spans="1:12" ht="15.6">
      <c r="A163" s="733" t="s">
        <v>23</v>
      </c>
      <c r="B163" s="734">
        <v>18849.36270107</v>
      </c>
      <c r="C163" s="734">
        <v>10991.807172729999</v>
      </c>
      <c r="D163" s="734">
        <v>8300.96849974</v>
      </c>
      <c r="E163" s="734">
        <v>6355.5817395400009</v>
      </c>
      <c r="F163" s="727">
        <f t="shared" si="23"/>
        <v>1945.3867601999991</v>
      </c>
      <c r="G163" s="727">
        <f t="shared" si="24"/>
        <v>2690.8386729899994</v>
      </c>
      <c r="H163" s="727">
        <f t="shared" si="25"/>
        <v>7857.5555283400008</v>
      </c>
      <c r="I163" s="745">
        <f>B163/7805.95695412</f>
        <v>2.4147407949926332</v>
      </c>
      <c r="J163" s="745">
        <f>C163/7487.04742452</f>
        <v>1.4681097299760582</v>
      </c>
      <c r="K163" s="497"/>
      <c r="L163" s="497"/>
    </row>
    <row r="164" spans="1:12" ht="15.6">
      <c r="A164" s="733" t="s">
        <v>24</v>
      </c>
      <c r="B164" s="734">
        <v>18855.395081499999</v>
      </c>
      <c r="C164" s="734">
        <v>10853.4799398</v>
      </c>
      <c r="D164" s="734">
        <v>8213.610996129999</v>
      </c>
      <c r="E164" s="734">
        <v>6374.5305801599998</v>
      </c>
      <c r="F164" s="727">
        <f t="shared" si="23"/>
        <v>1839.0804159699992</v>
      </c>
      <c r="G164" s="727">
        <f t="shared" si="24"/>
        <v>2639.8689436700006</v>
      </c>
      <c r="H164" s="727">
        <f t="shared" si="25"/>
        <v>8001.9151416999994</v>
      </c>
      <c r="I164" s="745">
        <v>2.4193974489098391</v>
      </c>
      <c r="J164" s="745">
        <v>1.4534360945013147</v>
      </c>
      <c r="K164" s="497"/>
      <c r="L164" s="497"/>
    </row>
    <row r="165" spans="1:12" ht="15.6">
      <c r="A165" s="733" t="s">
        <v>25</v>
      </c>
      <c r="B165" s="734">
        <v>17734.26952061</v>
      </c>
      <c r="C165" s="734">
        <v>9545.6573157900002</v>
      </c>
      <c r="D165" s="734">
        <v>7089.4702486599999</v>
      </c>
      <c r="E165" s="734">
        <v>5502.7975276999996</v>
      </c>
      <c r="F165" s="727">
        <f t="shared" si="23"/>
        <v>1586.6727209600003</v>
      </c>
      <c r="G165" s="727">
        <f t="shared" si="24"/>
        <v>2456.1870671300003</v>
      </c>
      <c r="H165" s="727">
        <f t="shared" si="25"/>
        <v>8188.6122048199995</v>
      </c>
      <c r="I165" s="745">
        <v>2.5753044431594585</v>
      </c>
      <c r="J165" s="745">
        <v>1.5027635663937096</v>
      </c>
      <c r="K165" s="497"/>
      <c r="L165" s="497"/>
    </row>
    <row r="166" spans="1:12" ht="15.6">
      <c r="A166" s="733" t="s">
        <v>26</v>
      </c>
      <c r="B166" s="734">
        <v>17684.024126320001</v>
      </c>
      <c r="C166" s="734">
        <v>9368.9163284799997</v>
      </c>
      <c r="D166" s="734">
        <v>7189.0388596799994</v>
      </c>
      <c r="E166" s="734">
        <v>5456.9277923699992</v>
      </c>
      <c r="F166" s="727">
        <f t="shared" si="23"/>
        <v>1732.1110673100002</v>
      </c>
      <c r="G166" s="727">
        <f t="shared" si="24"/>
        <v>2179.8774688000003</v>
      </c>
      <c r="H166" s="727">
        <f t="shared" si="25"/>
        <v>8315.1077978400008</v>
      </c>
      <c r="I166" s="745">
        <v>2.3787092797675209</v>
      </c>
      <c r="J166" s="745">
        <v>1.3288404247504946</v>
      </c>
      <c r="K166" s="497"/>
      <c r="L166" s="497"/>
    </row>
    <row r="167" spans="1:12" ht="15.6">
      <c r="A167" s="733" t="s">
        <v>27</v>
      </c>
      <c r="B167" s="734">
        <v>17369.486130060002</v>
      </c>
      <c r="C167" s="734">
        <v>9363.6434162200003</v>
      </c>
      <c r="D167" s="734">
        <v>7214.6952885000001</v>
      </c>
      <c r="E167" s="734">
        <v>5429.3218914600002</v>
      </c>
      <c r="F167" s="727">
        <f t="shared" si="23"/>
        <v>1785.3733970399999</v>
      </c>
      <c r="G167" s="727">
        <f t="shared" si="24"/>
        <v>2148.9481277200002</v>
      </c>
      <c r="H167" s="727">
        <f t="shared" si="25"/>
        <v>8005.842713840002</v>
      </c>
      <c r="I167" s="745">
        <v>2.3614700728936815</v>
      </c>
      <c r="J167" s="745">
        <v>1.3270714194309137</v>
      </c>
      <c r="K167" s="497"/>
      <c r="L167" s="497"/>
    </row>
    <row r="168" spans="1:12" ht="15.6">
      <c r="A168" s="733" t="s">
        <v>28</v>
      </c>
      <c r="B168" s="734">
        <v>17444.479127290004</v>
      </c>
      <c r="C168" s="734">
        <v>9050.0356780599996</v>
      </c>
      <c r="D168" s="734">
        <v>6980.3385701999996</v>
      </c>
      <c r="E168" s="734">
        <v>5176.8949734799999</v>
      </c>
      <c r="F168" s="727">
        <f t="shared" si="23"/>
        <v>1803.4435967199997</v>
      </c>
      <c r="G168" s="727">
        <f t="shared" si="24"/>
        <v>2069.69710786</v>
      </c>
      <c r="H168" s="727">
        <f t="shared" si="25"/>
        <v>8394.4434492300043</v>
      </c>
      <c r="I168" s="745">
        <v>2.4912826591881054</v>
      </c>
      <c r="J168" s="745">
        <v>1.3446145268688459</v>
      </c>
      <c r="K168" s="497"/>
      <c r="L168" s="497"/>
    </row>
    <row r="169" spans="1:12" ht="15.6">
      <c r="A169" s="733" t="s">
        <v>29</v>
      </c>
      <c r="B169" s="734">
        <v>21286.906692420001</v>
      </c>
      <c r="C169" s="734">
        <v>8678.2990421600007</v>
      </c>
      <c r="D169" s="734">
        <v>6897.1760663599998</v>
      </c>
      <c r="E169" s="734">
        <v>4775.9298388499992</v>
      </c>
      <c r="F169" s="727">
        <f t="shared" si="23"/>
        <v>2121.2462275100006</v>
      </c>
      <c r="G169" s="727">
        <f t="shared" si="24"/>
        <v>1781.1229758000009</v>
      </c>
      <c r="H169" s="727">
        <f t="shared" si="25"/>
        <v>12608.607650260001</v>
      </c>
      <c r="I169" s="745">
        <v>2.8196678929672037</v>
      </c>
      <c r="J169" s="745">
        <v>1.2479435709648579</v>
      </c>
      <c r="K169" s="497"/>
      <c r="L169" s="497"/>
    </row>
    <row r="170" spans="1:12" ht="15.6">
      <c r="A170" s="733" t="s">
        <v>1879</v>
      </c>
      <c r="B170" s="736">
        <v>20889.60021746</v>
      </c>
      <c r="C170" s="736">
        <v>11546.345588359998</v>
      </c>
      <c r="D170" s="736">
        <v>8960.3194293800007</v>
      </c>
      <c r="E170" s="736">
        <v>6376.8612587300004</v>
      </c>
      <c r="F170" s="741">
        <v>2583.4581706500003</v>
      </c>
      <c r="G170" s="741">
        <v>2586.0261589799975</v>
      </c>
      <c r="H170" s="744">
        <v>9343.2546291000017</v>
      </c>
      <c r="I170" s="746">
        <v>2.262545171702131</v>
      </c>
      <c r="J170" s="746">
        <v>1.4689103140166848</v>
      </c>
      <c r="K170" s="498"/>
      <c r="L170" s="498"/>
    </row>
    <row r="171" spans="1:12" ht="15.6">
      <c r="A171" s="733" t="s">
        <v>18</v>
      </c>
      <c r="B171" s="734">
        <v>19930.189747889999</v>
      </c>
      <c r="C171" s="734">
        <v>8001.7370589800003</v>
      </c>
      <c r="D171" s="734">
        <v>6273.7305376800005</v>
      </c>
      <c r="E171" s="734">
        <v>4485.0199975200003</v>
      </c>
      <c r="F171" s="727">
        <f t="shared" ref="F171:F182" si="26">+D171-E171</f>
        <v>1788.7105401600002</v>
      </c>
      <c r="G171" s="727">
        <f t="shared" ref="G171:G182" si="27">+C171-D171</f>
        <v>1728.0065212999998</v>
      </c>
      <c r="H171" s="727">
        <f t="shared" ref="H171:H182" si="28">+B171-C171</f>
        <v>11928.452688909998</v>
      </c>
      <c r="I171" s="745">
        <v>2.9878829273078433</v>
      </c>
      <c r="J171" s="745">
        <v>1.3714792706997698</v>
      </c>
      <c r="K171" s="497"/>
      <c r="L171" s="497"/>
    </row>
    <row r="172" spans="1:12" ht="15.6">
      <c r="A172" s="733" t="s">
        <v>19</v>
      </c>
      <c r="B172" s="734">
        <v>19598.843331969998</v>
      </c>
      <c r="C172" s="734">
        <v>8686.374386129999</v>
      </c>
      <c r="D172" s="734">
        <v>6793.208220819999</v>
      </c>
      <c r="E172" s="734">
        <v>4960.2093008299989</v>
      </c>
      <c r="F172" s="727">
        <f t="shared" si="26"/>
        <v>1832.9989199900001</v>
      </c>
      <c r="G172" s="727">
        <f t="shared" si="27"/>
        <v>1893.16616531</v>
      </c>
      <c r="H172" s="727">
        <f t="shared" si="28"/>
        <v>10912.468945839999</v>
      </c>
      <c r="I172" s="745">
        <v>2.6780210558047215</v>
      </c>
      <c r="J172" s="745">
        <v>1.3596791234265759</v>
      </c>
      <c r="K172" s="497"/>
      <c r="L172" s="497"/>
    </row>
    <row r="173" spans="1:12" ht="15.6">
      <c r="A173" s="733" t="s">
        <v>20</v>
      </c>
      <c r="B173" s="734">
        <v>20635.115918739997</v>
      </c>
      <c r="C173" s="734">
        <v>8943.0222277999983</v>
      </c>
      <c r="D173" s="734">
        <v>7054.626238339999</v>
      </c>
      <c r="E173" s="734">
        <v>5034.9219722600001</v>
      </c>
      <c r="F173" s="727">
        <f t="shared" si="26"/>
        <v>2019.7042660799989</v>
      </c>
      <c r="G173" s="727">
        <f t="shared" si="27"/>
        <v>1888.3959894599993</v>
      </c>
      <c r="H173" s="727">
        <f t="shared" si="28"/>
        <v>11692.093690939999</v>
      </c>
      <c r="I173" s="745">
        <v>2.7878086780290015</v>
      </c>
      <c r="J173" s="745">
        <v>1.3683115610931937</v>
      </c>
      <c r="K173" s="497"/>
      <c r="L173" s="497"/>
    </row>
    <row r="174" spans="1:12" ht="15.6">
      <c r="A174" s="733" t="s">
        <v>21</v>
      </c>
      <c r="B174" s="734">
        <v>20565.732357829998</v>
      </c>
      <c r="C174" s="734">
        <v>9205.7599008200013</v>
      </c>
      <c r="D174" s="734">
        <v>7413.6629222600004</v>
      </c>
      <c r="E174" s="734">
        <v>5303.4540515999997</v>
      </c>
      <c r="F174" s="727">
        <f t="shared" si="26"/>
        <v>2110.2088706600007</v>
      </c>
      <c r="G174" s="727">
        <f t="shared" si="27"/>
        <v>1792.0969785600009</v>
      </c>
      <c r="H174" s="727">
        <f t="shared" si="28"/>
        <v>11359.972457009997</v>
      </c>
      <c r="I174" s="745">
        <v>2.7521133958944479</v>
      </c>
      <c r="J174" s="745">
        <v>1.3686679392563545</v>
      </c>
      <c r="K174" s="497"/>
      <c r="L174" s="497"/>
    </row>
    <row r="175" spans="1:12" ht="15.6">
      <c r="A175" s="733" t="s">
        <v>22</v>
      </c>
      <c r="B175" s="734">
        <v>20629.738338640003</v>
      </c>
      <c r="C175" s="734">
        <v>9600.7096369200008</v>
      </c>
      <c r="D175" s="734">
        <v>7747.2930034299998</v>
      </c>
      <c r="E175" s="734">
        <v>5578.3520348499997</v>
      </c>
      <c r="F175" s="727">
        <f t="shared" si="26"/>
        <v>2168.9409685800001</v>
      </c>
      <c r="G175" s="727">
        <f t="shared" si="27"/>
        <v>1853.416633490001</v>
      </c>
      <c r="H175" s="727">
        <f t="shared" si="28"/>
        <v>11029.028701720003</v>
      </c>
      <c r="I175" s="745">
        <v>2.47252751042195</v>
      </c>
      <c r="J175" s="745">
        <v>1.2563698599189137</v>
      </c>
      <c r="K175" s="497"/>
      <c r="L175" s="497"/>
    </row>
    <row r="176" spans="1:12" ht="15.6">
      <c r="A176" s="733" t="s">
        <v>23</v>
      </c>
      <c r="B176" s="734">
        <v>20851.484831909998</v>
      </c>
      <c r="C176" s="734">
        <v>9806.5437926799987</v>
      </c>
      <c r="D176" s="734">
        <v>8017.5761419299988</v>
      </c>
      <c r="E176" s="734">
        <v>5670.8826329499989</v>
      </c>
      <c r="F176" s="727">
        <f t="shared" si="26"/>
        <v>2346.6935089799999</v>
      </c>
      <c r="G176" s="727">
        <f t="shared" si="27"/>
        <v>1788.9676507499998</v>
      </c>
      <c r="H176" s="727">
        <f t="shared" si="28"/>
        <v>11044.94103923</v>
      </c>
      <c r="I176" s="745">
        <v>2.5007872009271188</v>
      </c>
      <c r="J176" s="745">
        <v>1.2753408603448557</v>
      </c>
      <c r="K176" s="497"/>
      <c r="L176" s="497"/>
    </row>
    <row r="177" spans="1:12" ht="15.6">
      <c r="A177" s="733" t="s">
        <v>24</v>
      </c>
      <c r="B177" s="734">
        <v>21101.894291910001</v>
      </c>
      <c r="C177" s="734">
        <v>10096.59923992</v>
      </c>
      <c r="D177" s="734">
        <v>8401.8279695199999</v>
      </c>
      <c r="E177" s="734">
        <v>5839.5343421199996</v>
      </c>
      <c r="F177" s="727">
        <f t="shared" si="26"/>
        <v>2562.2936274000003</v>
      </c>
      <c r="G177" s="727">
        <f t="shared" si="27"/>
        <v>1694.7712704000005</v>
      </c>
      <c r="H177" s="727">
        <f t="shared" si="28"/>
        <v>11005.295051990001</v>
      </c>
      <c r="I177" s="745">
        <v>2.4470903231284145</v>
      </c>
      <c r="J177" s="745">
        <v>1.3218688157223337</v>
      </c>
      <c r="K177" s="497"/>
      <c r="L177" s="497"/>
    </row>
    <row r="178" spans="1:12" ht="15.6">
      <c r="A178" s="733" t="s">
        <v>25</v>
      </c>
      <c r="B178" s="734">
        <v>21154.054504629999</v>
      </c>
      <c r="C178" s="734">
        <v>9861.4011032899998</v>
      </c>
      <c r="D178" s="734">
        <v>8159.2362568600001</v>
      </c>
      <c r="E178" s="734">
        <v>5763.4195158299999</v>
      </c>
      <c r="F178" s="727">
        <f t="shared" si="26"/>
        <v>2395.8167410300002</v>
      </c>
      <c r="G178" s="727">
        <f t="shared" si="27"/>
        <v>1702.1648464299997</v>
      </c>
      <c r="H178" s="727">
        <f t="shared" si="28"/>
        <v>11292.65340134</v>
      </c>
      <c r="I178" s="745">
        <v>2.4952033745273718</v>
      </c>
      <c r="J178" s="745">
        <v>1.3304324530075842</v>
      </c>
      <c r="K178" s="497"/>
      <c r="L178" s="497"/>
    </row>
    <row r="179" spans="1:12" ht="15.6">
      <c r="A179" s="733" t="s">
        <v>26</v>
      </c>
      <c r="B179" s="734">
        <v>20134.15021711</v>
      </c>
      <c r="C179" s="734">
        <v>9966.4070786499997</v>
      </c>
      <c r="D179" s="734">
        <v>8346.1160196000001</v>
      </c>
      <c r="E179" s="734">
        <v>5682.6459268299996</v>
      </c>
      <c r="F179" s="727">
        <f t="shared" si="26"/>
        <v>2663.4700927700005</v>
      </c>
      <c r="G179" s="727">
        <f t="shared" si="27"/>
        <v>1620.2910590499996</v>
      </c>
      <c r="H179" s="727">
        <f t="shared" si="28"/>
        <v>10167.74313846</v>
      </c>
      <c r="I179" s="745">
        <v>2.5211986642150226</v>
      </c>
      <c r="J179" s="745">
        <v>1.4634288701292566</v>
      </c>
      <c r="K179" s="497"/>
      <c r="L179" s="497"/>
    </row>
    <row r="180" spans="1:12" ht="15.6">
      <c r="A180" s="733" t="s">
        <v>27</v>
      </c>
      <c r="B180" s="734">
        <v>20122.583980270003</v>
      </c>
      <c r="C180" s="734">
        <v>10679.031813640002</v>
      </c>
      <c r="D180" s="734">
        <v>8157.7111382000003</v>
      </c>
      <c r="E180" s="734">
        <v>5742.2880397099998</v>
      </c>
      <c r="F180" s="727">
        <f t="shared" si="26"/>
        <v>2415.4230984900005</v>
      </c>
      <c r="G180" s="727">
        <f t="shared" si="27"/>
        <v>2521.3206754400017</v>
      </c>
      <c r="H180" s="727">
        <f t="shared" si="28"/>
        <v>9443.552166630001</v>
      </c>
      <c r="I180" s="745">
        <v>2.2885179294587275</v>
      </c>
      <c r="J180" s="745">
        <v>1.4336371573397666</v>
      </c>
      <c r="K180" s="497"/>
      <c r="L180" s="497"/>
    </row>
    <row r="181" spans="1:12" ht="15.6">
      <c r="A181" s="733" t="s">
        <v>28</v>
      </c>
      <c r="B181" s="734">
        <v>20271.875552699999</v>
      </c>
      <c r="C181" s="734">
        <v>10942.423036389999</v>
      </c>
      <c r="D181" s="734">
        <v>8387.0036374700012</v>
      </c>
      <c r="E181" s="734">
        <v>5833.5362335000009</v>
      </c>
      <c r="F181" s="727">
        <f t="shared" si="26"/>
        <v>2553.4674039700003</v>
      </c>
      <c r="G181" s="727">
        <f t="shared" si="27"/>
        <v>2555.4193989199975</v>
      </c>
      <c r="H181" s="727">
        <f t="shared" si="28"/>
        <v>9329.4525163100006</v>
      </c>
      <c r="I181" s="745">
        <v>2.2385593349535338</v>
      </c>
      <c r="J181" s="745">
        <v>1.420685206397639</v>
      </c>
      <c r="K181" s="497"/>
      <c r="L181" s="497"/>
    </row>
    <row r="182" spans="1:12" ht="15.6">
      <c r="A182" s="733" t="s">
        <v>29</v>
      </c>
      <c r="B182" s="734">
        <v>20889.60021746</v>
      </c>
      <c r="C182" s="734">
        <v>11546.345588359998</v>
      </c>
      <c r="D182" s="734">
        <v>8960.3194293800007</v>
      </c>
      <c r="E182" s="734">
        <v>6376.8612587300004</v>
      </c>
      <c r="F182" s="727">
        <f t="shared" si="26"/>
        <v>2583.4581706500003</v>
      </c>
      <c r="G182" s="727">
        <f t="shared" si="27"/>
        <v>2586.0261589799975</v>
      </c>
      <c r="H182" s="727">
        <f t="shared" si="28"/>
        <v>9343.2546291000017</v>
      </c>
      <c r="I182" s="735">
        <v>2.262545171702131</v>
      </c>
      <c r="J182" s="735">
        <v>1.4689103140166848</v>
      </c>
      <c r="K182" s="491"/>
      <c r="L182" s="491"/>
    </row>
    <row r="183" spans="1:12" ht="15.6">
      <c r="A183" s="733" t="s">
        <v>1942</v>
      </c>
      <c r="B183" s="736">
        <v>22772.070451020001</v>
      </c>
      <c r="C183" s="736">
        <v>12466.432601679999</v>
      </c>
      <c r="D183" s="736">
        <v>10544.24328447</v>
      </c>
      <c r="E183" s="736">
        <v>7490.3292875799998</v>
      </c>
      <c r="F183" s="741">
        <v>3053.9139968899999</v>
      </c>
      <c r="G183" s="741">
        <v>1922.1893172100008</v>
      </c>
      <c r="H183" s="744">
        <v>10305.637849340001</v>
      </c>
      <c r="I183" s="746">
        <v>2.3065899360824305</v>
      </c>
      <c r="J183" s="746">
        <v>1.4592220802503841</v>
      </c>
      <c r="K183" s="498"/>
      <c r="L183" s="498"/>
    </row>
    <row r="184" spans="1:12" ht="15.6">
      <c r="A184" s="733" t="s">
        <v>18</v>
      </c>
      <c r="B184" s="734">
        <v>21034.853885190001</v>
      </c>
      <c r="C184" s="734">
        <v>10749.334211820002</v>
      </c>
      <c r="D184" s="734">
        <v>8185.5091272900008</v>
      </c>
      <c r="E184" s="734">
        <v>5922.8646124000006</v>
      </c>
      <c r="F184" s="727">
        <f t="shared" ref="F184:F195" si="29">+D184-E184</f>
        <v>2262.6445148900002</v>
      </c>
      <c r="G184" s="727">
        <f t="shared" ref="G184:G195" si="30">+C184-D184</f>
        <v>2563.8250845300008</v>
      </c>
      <c r="H184" s="727">
        <f t="shared" ref="H184:H195" si="31">+B184-C184</f>
        <v>10285.51967337</v>
      </c>
      <c r="I184" s="745">
        <v>2.4089769238370815</v>
      </c>
      <c r="J184" s="745">
        <v>1.4661510320916127</v>
      </c>
      <c r="K184" s="497"/>
      <c r="L184" s="497"/>
    </row>
    <row r="185" spans="1:12" ht="15.6">
      <c r="A185" s="733" t="s">
        <v>19</v>
      </c>
      <c r="B185" s="734">
        <v>20151.20437938</v>
      </c>
      <c r="C185" s="734">
        <v>10764.027273760001</v>
      </c>
      <c r="D185" s="734">
        <v>8240.1815955700004</v>
      </c>
      <c r="E185" s="734">
        <v>5993.1957093400006</v>
      </c>
      <c r="F185" s="727">
        <f t="shared" si="29"/>
        <v>2246.9858862299998</v>
      </c>
      <c r="G185" s="727">
        <f t="shared" si="30"/>
        <v>2523.8456781900004</v>
      </c>
      <c r="H185" s="727">
        <f t="shared" si="31"/>
        <v>9387.1771056199996</v>
      </c>
      <c r="I185" s="745">
        <v>2.4172510694987022</v>
      </c>
      <c r="J185" s="745">
        <v>1.5405878914650819</v>
      </c>
      <c r="K185" s="497"/>
      <c r="L185" s="497"/>
    </row>
    <row r="186" spans="1:12" ht="15.6">
      <c r="A186" s="733" t="s">
        <v>20</v>
      </c>
      <c r="B186" s="734">
        <v>19902.926428369996</v>
      </c>
      <c r="C186" s="734">
        <v>10981.98176076</v>
      </c>
      <c r="D186" s="734">
        <v>8410.8354666600007</v>
      </c>
      <c r="E186" s="734">
        <v>6145.2257449200006</v>
      </c>
      <c r="F186" s="727">
        <f t="shared" si="29"/>
        <v>2265.6097217400002</v>
      </c>
      <c r="G186" s="727">
        <f t="shared" si="30"/>
        <v>2571.1462940999991</v>
      </c>
      <c r="H186" s="727">
        <f t="shared" si="31"/>
        <v>8920.944667609996</v>
      </c>
      <c r="I186" s="745">
        <v>2.0824738253519901</v>
      </c>
      <c r="J186" s="745">
        <v>1.5090247374514991</v>
      </c>
      <c r="K186" s="497"/>
      <c r="L186" s="497"/>
    </row>
    <row r="187" spans="1:12" ht="15.6">
      <c r="A187" s="733" t="s">
        <v>21</v>
      </c>
      <c r="B187" s="734">
        <v>21081.806728429998</v>
      </c>
      <c r="C187" s="734">
        <v>11610.051899549999</v>
      </c>
      <c r="D187" s="734">
        <v>8955.4247405699989</v>
      </c>
      <c r="E187" s="734">
        <v>6348.5955752299997</v>
      </c>
      <c r="F187" s="727">
        <f t="shared" si="29"/>
        <v>2606.8291653399992</v>
      </c>
      <c r="G187" s="727">
        <f t="shared" si="30"/>
        <v>2654.6271589799999</v>
      </c>
      <c r="H187" s="727">
        <f t="shared" si="31"/>
        <v>9471.754828879999</v>
      </c>
      <c r="I187" s="745">
        <v>2.034185510256131</v>
      </c>
      <c r="J187" s="745">
        <v>1.5220074193648607</v>
      </c>
      <c r="K187" s="497"/>
      <c r="L187" s="497"/>
    </row>
    <row r="188" spans="1:12" ht="15.6">
      <c r="A188" s="733" t="s">
        <v>22</v>
      </c>
      <c r="B188" s="734">
        <v>20856.365933829999</v>
      </c>
      <c r="C188" s="734">
        <v>11568.538726760002</v>
      </c>
      <c r="D188" s="734">
        <v>8930.5077434800005</v>
      </c>
      <c r="E188" s="734">
        <v>6538.2719209699999</v>
      </c>
      <c r="F188" s="727">
        <f t="shared" si="29"/>
        <v>2392.2358225100006</v>
      </c>
      <c r="G188" s="727">
        <f t="shared" si="30"/>
        <v>2638.0309832800012</v>
      </c>
      <c r="H188" s="727">
        <f t="shared" si="31"/>
        <v>9287.8272070699968</v>
      </c>
      <c r="I188" s="745">
        <v>2.0674356756591137</v>
      </c>
      <c r="J188" s="745">
        <v>1.4853028431212567</v>
      </c>
      <c r="K188" s="497"/>
      <c r="L188" s="497"/>
    </row>
    <row r="189" spans="1:12" ht="15.6">
      <c r="A189" s="733" t="s">
        <v>23</v>
      </c>
      <c r="B189" s="734">
        <v>20973.00448946</v>
      </c>
      <c r="C189" s="734">
        <v>11435.887373869999</v>
      </c>
      <c r="D189" s="734">
        <v>9263.3680122499991</v>
      </c>
      <c r="E189" s="734">
        <v>6774.4474925899995</v>
      </c>
      <c r="F189" s="727">
        <f t="shared" si="29"/>
        <v>2488.9205196599996</v>
      </c>
      <c r="G189" s="727">
        <f t="shared" si="30"/>
        <v>2172.5193616199995</v>
      </c>
      <c r="H189" s="727">
        <f t="shared" si="31"/>
        <v>9537.117115590001</v>
      </c>
      <c r="I189" s="745">
        <v>1.9925232048959938</v>
      </c>
      <c r="J189" s="745">
        <v>1.382067948352103</v>
      </c>
      <c r="K189" s="497"/>
      <c r="L189" s="497"/>
    </row>
    <row r="190" spans="1:12" ht="15.6">
      <c r="A190" s="733" t="s">
        <v>24</v>
      </c>
      <c r="B190" s="734">
        <v>20824.384832039999</v>
      </c>
      <c r="C190" s="734">
        <v>11338.46891634</v>
      </c>
      <c r="D190" s="734">
        <v>9288.6927007600007</v>
      </c>
      <c r="E190" s="734">
        <v>6937.0088353600004</v>
      </c>
      <c r="F190" s="727">
        <f t="shared" si="29"/>
        <v>2351.6838654000003</v>
      </c>
      <c r="G190" s="727">
        <f t="shared" si="30"/>
        <v>2049.7762155799992</v>
      </c>
      <c r="H190" s="727">
        <f t="shared" si="31"/>
        <v>9485.9159156999995</v>
      </c>
      <c r="I190" s="745">
        <v>1.9429022912479734</v>
      </c>
      <c r="J190" s="745">
        <v>1.3606945351379982</v>
      </c>
      <c r="K190" s="497"/>
      <c r="L190" s="497"/>
    </row>
    <row r="191" spans="1:12" ht="15.6">
      <c r="A191" s="733" t="s">
        <v>25</v>
      </c>
      <c r="B191" s="734">
        <v>20556.303320810002</v>
      </c>
      <c r="C191" s="734">
        <v>11137.54601199</v>
      </c>
      <c r="D191" s="734">
        <v>9402.3546518900002</v>
      </c>
      <c r="E191" s="734">
        <v>7001.1362198799998</v>
      </c>
      <c r="F191" s="727">
        <f t="shared" si="29"/>
        <v>2401.2184320100005</v>
      </c>
      <c r="G191" s="727">
        <f t="shared" si="30"/>
        <v>1735.1913600999997</v>
      </c>
      <c r="H191" s="727">
        <f t="shared" si="31"/>
        <v>9418.7573088200024</v>
      </c>
      <c r="I191" s="745">
        <v>1.9282495713049725</v>
      </c>
      <c r="J191" s="745">
        <v>1.3151827535940901</v>
      </c>
      <c r="K191" s="497"/>
      <c r="L191" s="497"/>
    </row>
    <row r="192" spans="1:12" ht="15.6">
      <c r="A192" s="733" t="s">
        <v>26</v>
      </c>
      <c r="B192" s="734">
        <v>21133.719188669998</v>
      </c>
      <c r="C192" s="734">
        <v>11464.497166829999</v>
      </c>
      <c r="D192" s="734">
        <v>9800.7255201099979</v>
      </c>
      <c r="E192" s="734">
        <v>7092.301789789999</v>
      </c>
      <c r="F192" s="727">
        <f t="shared" si="29"/>
        <v>2708.4237303199989</v>
      </c>
      <c r="G192" s="727">
        <f t="shared" si="30"/>
        <v>1663.7716467200007</v>
      </c>
      <c r="H192" s="727">
        <f t="shared" si="31"/>
        <v>9669.2220218399998</v>
      </c>
      <c r="I192" s="745">
        <v>2.106573574853837</v>
      </c>
      <c r="J192" s="745">
        <v>1.3221347625558166</v>
      </c>
      <c r="K192" s="497"/>
      <c r="L192" s="497"/>
    </row>
    <row r="193" spans="1:12" ht="15.6">
      <c r="A193" s="733" t="s">
        <v>27</v>
      </c>
      <c r="B193" s="734">
        <v>21449.6211415</v>
      </c>
      <c r="C193" s="734">
        <v>11546.72964532</v>
      </c>
      <c r="D193" s="734">
        <v>9718.6465609300012</v>
      </c>
      <c r="E193" s="734">
        <v>7089.7548597200011</v>
      </c>
      <c r="F193" s="727">
        <f t="shared" si="29"/>
        <v>2628.8917012100001</v>
      </c>
      <c r="G193" s="727">
        <f t="shared" si="30"/>
        <v>1828.0830843899985</v>
      </c>
      <c r="H193" s="727">
        <f t="shared" si="31"/>
        <v>9902.8914961800001</v>
      </c>
      <c r="I193" s="745">
        <v>2.1822695257357738</v>
      </c>
      <c r="J193" s="745">
        <v>1.3533998491635806</v>
      </c>
      <c r="K193" s="497"/>
      <c r="L193" s="497"/>
    </row>
    <row r="194" spans="1:12" ht="15.6">
      <c r="A194" s="733" t="s">
        <v>28</v>
      </c>
      <c r="B194" s="734">
        <v>21517.920473049999</v>
      </c>
      <c r="C194" s="734">
        <v>12044.713739800001</v>
      </c>
      <c r="D194" s="734">
        <v>10104.986625630001</v>
      </c>
      <c r="E194" s="734">
        <v>7149.3576378600001</v>
      </c>
      <c r="F194" s="727">
        <f t="shared" si="29"/>
        <v>2955.628987770001</v>
      </c>
      <c r="G194" s="727">
        <f t="shared" si="30"/>
        <v>1939.7271141700003</v>
      </c>
      <c r="H194" s="727">
        <f t="shared" si="31"/>
        <v>9473.2067332499973</v>
      </c>
      <c r="I194" s="745">
        <v>2.1513750775375038</v>
      </c>
      <c r="J194" s="745">
        <v>1.3865469921193967</v>
      </c>
      <c r="K194" s="497"/>
      <c r="L194" s="497"/>
    </row>
    <row r="195" spans="1:12" ht="15.6">
      <c r="A195" s="733" t="s">
        <v>29</v>
      </c>
      <c r="B195" s="734">
        <v>22772.070451020001</v>
      </c>
      <c r="C195" s="734">
        <v>12466.432601679999</v>
      </c>
      <c r="D195" s="734">
        <v>10544.24328447</v>
      </c>
      <c r="E195" s="734">
        <v>7490.3292875799998</v>
      </c>
      <c r="F195" s="727">
        <f t="shared" si="29"/>
        <v>3053.9139968899999</v>
      </c>
      <c r="G195" s="727">
        <f t="shared" si="30"/>
        <v>1922.189317209999</v>
      </c>
      <c r="H195" s="727">
        <f t="shared" si="31"/>
        <v>10305.637849340003</v>
      </c>
      <c r="I195" s="745">
        <v>2.3065899360824305</v>
      </c>
      <c r="J195" s="745">
        <v>1.4592220802503841</v>
      </c>
      <c r="K195" s="497"/>
      <c r="L195" s="497"/>
    </row>
    <row r="196" spans="1:12" ht="15.6">
      <c r="A196" s="733" t="s">
        <v>2078</v>
      </c>
      <c r="B196" s="736">
        <v>24060.393174919998</v>
      </c>
      <c r="C196" s="736">
        <v>14643.622398929998</v>
      </c>
      <c r="D196" s="736">
        <v>12274.634531</v>
      </c>
      <c r="E196" s="736">
        <v>7601.3712782100001</v>
      </c>
      <c r="F196" s="741">
        <v>4673.2632527899996</v>
      </c>
      <c r="G196" s="741">
        <v>2368.98786793</v>
      </c>
      <c r="H196" s="744">
        <v>9416.7707759899986</v>
      </c>
      <c r="I196" s="746">
        <v>2.3317880221202123</v>
      </c>
      <c r="J196" s="746">
        <v>1.5340501015947468</v>
      </c>
      <c r="K196" s="498"/>
      <c r="L196" s="498"/>
    </row>
    <row r="197" spans="1:12" ht="15.6">
      <c r="A197" s="733" t="s">
        <v>18</v>
      </c>
      <c r="B197" s="734">
        <v>22755.398773780002</v>
      </c>
      <c r="C197" s="734">
        <v>12272.674945000001</v>
      </c>
      <c r="D197" s="734">
        <v>10192.185682630001</v>
      </c>
      <c r="E197" s="734">
        <v>7381.4869843100005</v>
      </c>
      <c r="F197" s="727">
        <f t="shared" ref="F197:F208" si="32">+D197-E197</f>
        <v>2810.6986983200004</v>
      </c>
      <c r="G197" s="727">
        <f t="shared" ref="G197:G208" si="33">+C197-D197</f>
        <v>2080.4892623699998</v>
      </c>
      <c r="H197" s="727">
        <f t="shared" ref="H197:H208" si="34">+B197-C197</f>
        <v>10482.723828780001</v>
      </c>
      <c r="I197" s="735">
        <v>2.3150370821495443</v>
      </c>
      <c r="J197" s="735">
        <v>1.4007406890111056</v>
      </c>
      <c r="K197" s="491"/>
      <c r="L197" s="491"/>
    </row>
    <row r="198" spans="1:12" ht="15.6">
      <c r="A198" s="733" t="s">
        <v>19</v>
      </c>
      <c r="B198" s="734">
        <v>22868.076868089996</v>
      </c>
      <c r="C198" s="734">
        <v>12744.878943899997</v>
      </c>
      <c r="D198" s="734">
        <v>10434.352877309999</v>
      </c>
      <c r="E198" s="734">
        <v>7311.6928763799997</v>
      </c>
      <c r="F198" s="727">
        <f t="shared" si="32"/>
        <v>3122.6600009299991</v>
      </c>
      <c r="G198" s="727">
        <f t="shared" si="33"/>
        <v>2310.5260665899987</v>
      </c>
      <c r="H198" s="727">
        <f t="shared" si="34"/>
        <v>10123.197924189999</v>
      </c>
      <c r="I198" s="735">
        <v>2.2313578249150234</v>
      </c>
      <c r="J198" s="735">
        <v>1.3882469556047923</v>
      </c>
      <c r="K198" s="491"/>
      <c r="L198" s="491"/>
    </row>
    <row r="199" spans="1:12" ht="15.6">
      <c r="A199" s="733" t="s">
        <v>20</v>
      </c>
      <c r="B199" s="734">
        <v>22459.499555119997</v>
      </c>
      <c r="C199" s="734">
        <v>13005.875008679997</v>
      </c>
      <c r="D199" s="734">
        <v>10691.735644159999</v>
      </c>
      <c r="E199" s="734">
        <v>7404.1666002099992</v>
      </c>
      <c r="F199" s="727">
        <f t="shared" si="32"/>
        <v>3287.5690439499995</v>
      </c>
      <c r="G199" s="727">
        <f t="shared" si="33"/>
        <v>2314.1393645199987</v>
      </c>
      <c r="H199" s="727">
        <f t="shared" si="34"/>
        <v>9453.6245464399999</v>
      </c>
      <c r="I199" s="735">
        <v>2.0828661476866839</v>
      </c>
      <c r="J199" s="735">
        <v>1.3732244123154893</v>
      </c>
      <c r="K199" s="491"/>
      <c r="L199" s="491"/>
    </row>
    <row r="200" spans="1:12" ht="15.6">
      <c r="A200" s="733" t="s">
        <v>21</v>
      </c>
      <c r="B200" s="734">
        <v>22119.981322159998</v>
      </c>
      <c r="C200" s="734">
        <v>12425.141375929999</v>
      </c>
      <c r="D200" s="734">
        <v>10201.029013769999</v>
      </c>
      <c r="E200" s="734">
        <v>6919.2920401500005</v>
      </c>
      <c r="F200" s="727">
        <f t="shared" si="32"/>
        <v>3281.7369736199989</v>
      </c>
      <c r="G200" s="727">
        <f t="shared" si="33"/>
        <v>2224.11236216</v>
      </c>
      <c r="H200" s="727">
        <f t="shared" si="34"/>
        <v>9694.8399462299985</v>
      </c>
      <c r="I200" s="735">
        <v>2.2841092447779472</v>
      </c>
      <c r="J200" s="735">
        <v>1.4769025049507249</v>
      </c>
      <c r="K200" s="491"/>
      <c r="L200" s="491"/>
    </row>
    <row r="201" spans="1:12" ht="15.6">
      <c r="A201" s="733" t="s">
        <v>22</v>
      </c>
      <c r="B201" s="734">
        <v>22145.141300539995</v>
      </c>
      <c r="C201" s="734">
        <v>12599.049581419999</v>
      </c>
      <c r="D201" s="734">
        <v>10273.594519849999</v>
      </c>
      <c r="E201" s="734">
        <v>7053.4999614500002</v>
      </c>
      <c r="F201" s="727">
        <f t="shared" si="32"/>
        <v>3220.0945583999992</v>
      </c>
      <c r="G201" s="727">
        <f t="shared" si="33"/>
        <v>2325.4550615699991</v>
      </c>
      <c r="H201" s="727">
        <f t="shared" si="34"/>
        <v>9546.0917191199969</v>
      </c>
      <c r="I201" s="735">
        <v>2.2756056923075918</v>
      </c>
      <c r="J201" s="735">
        <v>1.4991005186655266</v>
      </c>
      <c r="K201" s="491"/>
      <c r="L201" s="491"/>
    </row>
    <row r="202" spans="1:12" ht="15.6">
      <c r="A202" s="733" t="s">
        <v>23</v>
      </c>
      <c r="B202" s="734">
        <v>22683.611646019999</v>
      </c>
      <c r="C202" s="734">
        <v>12984.69515177</v>
      </c>
      <c r="D202" s="734">
        <v>10656.116442300001</v>
      </c>
      <c r="E202" s="734">
        <v>7173.8074000100005</v>
      </c>
      <c r="F202" s="727">
        <f t="shared" si="32"/>
        <v>3482.3090422900004</v>
      </c>
      <c r="G202" s="727">
        <f t="shared" si="33"/>
        <v>2328.578709469999</v>
      </c>
      <c r="H202" s="727">
        <f t="shared" si="34"/>
        <v>9698.9164942499992</v>
      </c>
      <c r="I202" s="735">
        <v>2.34469256690587</v>
      </c>
      <c r="J202" s="735">
        <v>1.5119518138610506</v>
      </c>
      <c r="K202" s="491"/>
      <c r="L202" s="491"/>
    </row>
    <row r="203" spans="1:12" ht="15.6">
      <c r="A203" s="733" t="s">
        <v>24</v>
      </c>
      <c r="B203" s="734">
        <v>22727.974726500001</v>
      </c>
      <c r="C203" s="734">
        <v>13347.24488812</v>
      </c>
      <c r="D203" s="734">
        <v>11036.893226119999</v>
      </c>
      <c r="E203" s="734">
        <v>7381.3978546199996</v>
      </c>
      <c r="F203" s="727">
        <f t="shared" si="32"/>
        <v>3655.4953714999992</v>
      </c>
      <c r="G203" s="727">
        <f t="shared" si="33"/>
        <v>2310.3516620000009</v>
      </c>
      <c r="H203" s="727">
        <f t="shared" si="34"/>
        <v>9380.7298383800007</v>
      </c>
      <c r="I203" s="735">
        <v>2.2549707379965773</v>
      </c>
      <c r="J203" s="735">
        <v>1.5015704475293923</v>
      </c>
      <c r="K203" s="491"/>
      <c r="L203" s="491"/>
    </row>
    <row r="204" spans="1:12" ht="15.6">
      <c r="A204" s="733" t="s">
        <v>25</v>
      </c>
      <c r="B204" s="734">
        <v>22431.606406850002</v>
      </c>
      <c r="C204" s="734">
        <v>12875.444561079999</v>
      </c>
      <c r="D204" s="734">
        <v>10601.76435963</v>
      </c>
      <c r="E204" s="734">
        <v>6905.6102707400005</v>
      </c>
      <c r="F204" s="727">
        <f t="shared" si="32"/>
        <v>3696.1540888899999</v>
      </c>
      <c r="G204" s="727">
        <f t="shared" si="33"/>
        <v>2273.680201449999</v>
      </c>
      <c r="H204" s="727">
        <f t="shared" si="34"/>
        <v>9556.1618457700024</v>
      </c>
      <c r="I204" s="735">
        <v>2.4044091540138477</v>
      </c>
      <c r="J204" s="735">
        <v>1.5478603104340489</v>
      </c>
      <c r="K204" s="491"/>
      <c r="L204" s="491"/>
    </row>
    <row r="205" spans="1:12" ht="15.6">
      <c r="A205" s="733" t="s">
        <v>26</v>
      </c>
      <c r="B205" s="734">
        <v>23146.36330343</v>
      </c>
      <c r="C205" s="734">
        <v>13498.862857830001</v>
      </c>
      <c r="D205" s="734">
        <v>11108.12272182</v>
      </c>
      <c r="E205" s="734">
        <v>6878.3513826299995</v>
      </c>
      <c r="F205" s="727">
        <f t="shared" si="32"/>
        <v>4229.7713391900006</v>
      </c>
      <c r="G205" s="727">
        <f t="shared" si="33"/>
        <v>2390.7401360100012</v>
      </c>
      <c r="H205" s="727">
        <f t="shared" si="34"/>
        <v>9647.5004455999988</v>
      </c>
      <c r="I205" s="735">
        <v>2.3730051004904116</v>
      </c>
      <c r="J205" s="735">
        <v>1.5216060131577962</v>
      </c>
      <c r="K205" s="491"/>
      <c r="L205" s="491"/>
    </row>
    <row r="206" spans="1:12" ht="15.6">
      <c r="A206" s="733" t="s">
        <v>27</v>
      </c>
      <c r="B206" s="734">
        <v>23590.695212070001</v>
      </c>
      <c r="C206" s="734">
        <v>13995.88495462</v>
      </c>
      <c r="D206" s="734">
        <v>11613.439098450001</v>
      </c>
      <c r="E206" s="734">
        <v>7122.6943297500002</v>
      </c>
      <c r="F206" s="727">
        <f t="shared" si="32"/>
        <v>4490.7447687000003</v>
      </c>
      <c r="G206" s="727">
        <f t="shared" si="33"/>
        <v>2382.4458561699994</v>
      </c>
      <c r="H206" s="727">
        <f t="shared" si="34"/>
        <v>9594.8102574500008</v>
      </c>
      <c r="I206" s="735">
        <v>2.3451149046040904</v>
      </c>
      <c r="J206" s="735">
        <v>1.5290507880555482</v>
      </c>
      <c r="K206" s="491"/>
      <c r="L206" s="491"/>
    </row>
    <row r="207" spans="1:12" ht="15.6">
      <c r="A207" s="733" t="s">
        <v>28</v>
      </c>
      <c r="B207" s="734">
        <v>23727.532675800001</v>
      </c>
      <c r="C207" s="734">
        <v>14130.015342300001</v>
      </c>
      <c r="D207" s="734">
        <v>11747.181728110001</v>
      </c>
      <c r="E207" s="734">
        <v>7309.0843174500005</v>
      </c>
      <c r="F207" s="727">
        <f t="shared" si="32"/>
        <v>4438.0974106600006</v>
      </c>
      <c r="G207" s="727">
        <f t="shared" si="33"/>
        <v>2382.8336141899999</v>
      </c>
      <c r="H207" s="727">
        <f t="shared" si="34"/>
        <v>9597.5173334999999</v>
      </c>
      <c r="I207" s="735">
        <v>2.441940283510565</v>
      </c>
      <c r="J207" s="735">
        <v>1.5725948284615536</v>
      </c>
      <c r="K207" s="491"/>
      <c r="L207" s="491"/>
    </row>
    <row r="208" spans="1:12" ht="15.6">
      <c r="A208" s="733" t="s">
        <v>29</v>
      </c>
      <c r="B208" s="734">
        <v>24060.393174919998</v>
      </c>
      <c r="C208" s="734">
        <v>14643.622398929998</v>
      </c>
      <c r="D208" s="734">
        <v>12274.634531</v>
      </c>
      <c r="E208" s="734">
        <v>7601.3712782100001</v>
      </c>
      <c r="F208" s="727">
        <f t="shared" si="32"/>
        <v>4673.2632527899996</v>
      </c>
      <c r="G208" s="727">
        <f t="shared" si="33"/>
        <v>2368.9878679299982</v>
      </c>
      <c r="H208" s="727">
        <f t="shared" si="34"/>
        <v>9416.7707759900004</v>
      </c>
      <c r="I208" s="735">
        <v>2.3317880221202123</v>
      </c>
      <c r="J208" s="735">
        <v>1.5340501015947468</v>
      </c>
      <c r="K208" s="491"/>
      <c r="L208" s="491"/>
    </row>
    <row r="209" spans="1:12" ht="15.6">
      <c r="A209" s="733" t="s">
        <v>2171</v>
      </c>
      <c r="B209" s="736">
        <v>28866.306171830001</v>
      </c>
      <c r="C209" s="736">
        <v>18238.611014260001</v>
      </c>
      <c r="D209" s="736">
        <v>15397.917067630002</v>
      </c>
      <c r="E209" s="736">
        <v>9501.0686436600008</v>
      </c>
      <c r="F209" s="741">
        <v>5896.848423970001</v>
      </c>
      <c r="G209" s="741">
        <v>2840.6939466299991</v>
      </c>
      <c r="H209" s="744">
        <v>10627.69515757</v>
      </c>
      <c r="I209" s="746">
        <v>2.1992912794402542</v>
      </c>
      <c r="J209" s="746">
        <v>1.5008104487377483</v>
      </c>
      <c r="K209" s="498"/>
      <c r="L209" s="498"/>
    </row>
    <row r="210" spans="1:12" ht="15.6">
      <c r="A210" s="733" t="s">
        <v>18</v>
      </c>
      <c r="B210" s="734">
        <v>23679.267339400001</v>
      </c>
      <c r="C210" s="734">
        <v>13961.6501642</v>
      </c>
      <c r="D210" s="734">
        <v>11567.361000409999</v>
      </c>
      <c r="E210" s="734">
        <v>7294.8560352599998</v>
      </c>
      <c r="F210" s="727">
        <f t="shared" ref="F210:F221" si="35">+D210-E210</f>
        <v>4272.5049651499994</v>
      </c>
      <c r="G210" s="727">
        <f t="shared" ref="G210:G221" si="36">+C210-D210</f>
        <v>2394.2891637900011</v>
      </c>
      <c r="H210" s="727">
        <f t="shared" ref="H210:H221" si="37">+B210-C210</f>
        <v>9717.6171752000009</v>
      </c>
      <c r="I210" s="735">
        <v>2.5306703327695192</v>
      </c>
      <c r="J210" s="735">
        <v>1.603087063816204</v>
      </c>
      <c r="K210" s="491"/>
      <c r="L210" s="491"/>
    </row>
    <row r="211" spans="1:12" ht="15.6">
      <c r="A211" s="733" t="s">
        <v>19</v>
      </c>
      <c r="B211" s="734">
        <v>24560.268819559999</v>
      </c>
      <c r="C211" s="734">
        <v>14392.6817524</v>
      </c>
      <c r="D211" s="734">
        <v>11963.61943205</v>
      </c>
      <c r="E211" s="734">
        <v>7328.5128599899999</v>
      </c>
      <c r="F211" s="727">
        <f t="shared" si="35"/>
        <v>4635.10657206</v>
      </c>
      <c r="G211" s="727">
        <f t="shared" si="36"/>
        <v>2429.0623203499999</v>
      </c>
      <c r="H211" s="727">
        <f t="shared" si="37"/>
        <v>10167.587067159999</v>
      </c>
      <c r="I211" s="735">
        <v>2.5122206203266186</v>
      </c>
      <c r="J211" s="735">
        <v>1.5966779653159484</v>
      </c>
      <c r="K211" s="491"/>
      <c r="L211" s="491"/>
    </row>
    <row r="212" spans="1:12" ht="15.6">
      <c r="A212" s="733" t="s">
        <v>20</v>
      </c>
      <c r="B212" s="734">
        <v>24198.718659370003</v>
      </c>
      <c r="C212" s="734">
        <v>14293.507187650001</v>
      </c>
      <c r="D212" s="734">
        <v>11726.32872705</v>
      </c>
      <c r="E212" s="734">
        <v>7535.0246510699999</v>
      </c>
      <c r="F212" s="727">
        <f t="shared" si="35"/>
        <v>4191.3040759800006</v>
      </c>
      <c r="G212" s="727">
        <f t="shared" si="36"/>
        <v>2567.1784606000001</v>
      </c>
      <c r="H212" s="727">
        <f t="shared" si="37"/>
        <v>9905.211471720002</v>
      </c>
      <c r="I212" s="735">
        <v>2.4857761235516596</v>
      </c>
      <c r="J212" s="735">
        <v>1.5977085495342764</v>
      </c>
      <c r="K212" s="491"/>
      <c r="L212" s="491"/>
    </row>
    <row r="213" spans="1:12" ht="15.6">
      <c r="A213" s="733" t="s">
        <v>21</v>
      </c>
      <c r="B213" s="734">
        <v>24473.375013390003</v>
      </c>
      <c r="C213" s="734">
        <v>14965.257296850001</v>
      </c>
      <c r="D213" s="734">
        <v>12340.278256290001</v>
      </c>
      <c r="E213" s="734">
        <v>7780.8048372400017</v>
      </c>
      <c r="F213" s="727">
        <f t="shared" si="35"/>
        <v>4559.4734190499994</v>
      </c>
      <c r="G213" s="727">
        <f t="shared" si="36"/>
        <v>2624.9790405599997</v>
      </c>
      <c r="H213" s="727">
        <f t="shared" si="37"/>
        <v>9508.1177165400022</v>
      </c>
      <c r="I213" s="735">
        <v>2.4443112656844637</v>
      </c>
      <c r="J213" s="735">
        <v>1.5761074559317214</v>
      </c>
      <c r="K213" s="491"/>
      <c r="L213" s="491"/>
    </row>
    <row r="214" spans="1:12" ht="15.6">
      <c r="A214" s="733" t="s">
        <v>22</v>
      </c>
      <c r="B214" s="734">
        <v>24834.027645559996</v>
      </c>
      <c r="C214" s="734">
        <v>15491.786150549997</v>
      </c>
      <c r="D214" s="734">
        <v>12917.208396639999</v>
      </c>
      <c r="E214" s="734">
        <v>8151.1907722199985</v>
      </c>
      <c r="F214" s="727">
        <f t="shared" si="35"/>
        <v>4766.0176244200002</v>
      </c>
      <c r="G214" s="727">
        <f t="shared" si="36"/>
        <v>2574.5777539099981</v>
      </c>
      <c r="H214" s="727">
        <f t="shared" si="37"/>
        <v>9342.2414950099992</v>
      </c>
      <c r="I214" s="735">
        <v>2.2381148634724717</v>
      </c>
      <c r="J214" s="735">
        <v>1.5229248548481431</v>
      </c>
      <c r="K214" s="491"/>
      <c r="L214" s="491"/>
    </row>
    <row r="215" spans="1:12" ht="15.6">
      <c r="A215" s="733" t="s">
        <v>23</v>
      </c>
      <c r="B215" s="734">
        <v>25284.16737019</v>
      </c>
      <c r="C215" s="734">
        <v>15834.294932270001</v>
      </c>
      <c r="D215" s="734">
        <v>13250.512669520002</v>
      </c>
      <c r="E215" s="734">
        <v>8376.2610829100013</v>
      </c>
      <c r="F215" s="727">
        <f t="shared" si="35"/>
        <v>4874.2515866100002</v>
      </c>
      <c r="G215" s="727">
        <f t="shared" si="36"/>
        <v>2583.7822627499991</v>
      </c>
      <c r="H215" s="727">
        <f t="shared" si="37"/>
        <v>9449.8724379199994</v>
      </c>
      <c r="I215" s="735">
        <v>2.2463609049912932</v>
      </c>
      <c r="J215" s="735">
        <v>1.5259167469659474</v>
      </c>
      <c r="K215" s="491"/>
      <c r="L215" s="491"/>
    </row>
    <row r="216" spans="1:12" ht="15.6">
      <c r="A216" s="733" t="s">
        <v>24</v>
      </c>
      <c r="B216" s="734">
        <v>25642.276847279998</v>
      </c>
      <c r="C216" s="734">
        <v>16182.182113769999</v>
      </c>
      <c r="D216" s="734">
        <v>13520.414786329999</v>
      </c>
      <c r="E216" s="734">
        <v>8576.7865155399995</v>
      </c>
      <c r="F216" s="727">
        <f t="shared" si="35"/>
        <v>4943.6282707899991</v>
      </c>
      <c r="G216" s="727">
        <f t="shared" si="36"/>
        <v>2661.7673274400004</v>
      </c>
      <c r="H216" s="727">
        <f t="shared" si="37"/>
        <v>9460.0947335099991</v>
      </c>
      <c r="I216" s="735">
        <v>2.197649369454779</v>
      </c>
      <c r="J216" s="735">
        <v>1.5303337374139589</v>
      </c>
      <c r="K216" s="491"/>
      <c r="L216" s="491"/>
    </row>
    <row r="217" spans="1:12" ht="15.6">
      <c r="A217" s="733" t="s">
        <v>25</v>
      </c>
      <c r="B217" s="734">
        <v>25482.677890749997</v>
      </c>
      <c r="C217" s="734">
        <v>15948.621320619997</v>
      </c>
      <c r="D217" s="734">
        <v>13227.429159179999</v>
      </c>
      <c r="E217" s="734">
        <v>8542.6512433400003</v>
      </c>
      <c r="F217" s="727">
        <f t="shared" si="35"/>
        <v>4684.777915839999</v>
      </c>
      <c r="G217" s="727">
        <f t="shared" si="36"/>
        <v>2721.192161439998</v>
      </c>
      <c r="H217" s="727">
        <f t="shared" si="37"/>
        <v>9534.0565701300002</v>
      </c>
      <c r="I217" s="735">
        <v>2.2319995793011782</v>
      </c>
      <c r="J217" s="735">
        <v>1.5701098726516163</v>
      </c>
      <c r="K217" s="491"/>
      <c r="L217" s="491"/>
    </row>
    <row r="218" spans="1:12" ht="15.6">
      <c r="A218" s="733" t="s">
        <v>26</v>
      </c>
      <c r="B218" s="734">
        <v>26550.637924399998</v>
      </c>
      <c r="C218" s="734">
        <v>16217.44025041</v>
      </c>
      <c r="D218" s="734">
        <v>13485.831445190001</v>
      </c>
      <c r="E218" s="734">
        <v>8578.7292310600005</v>
      </c>
      <c r="F218" s="727">
        <f t="shared" si="35"/>
        <v>4907.10221413</v>
      </c>
      <c r="G218" s="727">
        <f t="shared" si="36"/>
        <v>2731.6088052199993</v>
      </c>
      <c r="H218" s="727">
        <f t="shared" si="37"/>
        <v>10333.197673989998</v>
      </c>
      <c r="I218" s="735">
        <v>2.3090997244698142</v>
      </c>
      <c r="J218" s="735">
        <v>1.5872582056026474</v>
      </c>
      <c r="K218" s="491"/>
      <c r="L218" s="491"/>
    </row>
    <row r="219" spans="1:12" ht="15.6">
      <c r="A219" s="733" t="s">
        <v>27</v>
      </c>
      <c r="B219" s="734">
        <v>26446.939961569999</v>
      </c>
      <c r="C219" s="734">
        <v>16339.016886419999</v>
      </c>
      <c r="D219" s="734">
        <v>13579.861621929998</v>
      </c>
      <c r="E219" s="734">
        <v>8693.8154654499995</v>
      </c>
      <c r="F219" s="727">
        <f t="shared" si="35"/>
        <v>4886.0461564799989</v>
      </c>
      <c r="G219" s="727">
        <f t="shared" si="36"/>
        <v>2759.1552644900003</v>
      </c>
      <c r="H219" s="727">
        <f t="shared" si="37"/>
        <v>10107.92307515</v>
      </c>
      <c r="I219" s="735">
        <v>2.3143274440820094</v>
      </c>
      <c r="J219" s="735">
        <v>1.5864919550818222</v>
      </c>
      <c r="K219" s="491"/>
      <c r="L219" s="491"/>
    </row>
    <row r="220" spans="1:12" ht="15.6">
      <c r="A220" s="733" t="s">
        <v>28</v>
      </c>
      <c r="B220" s="734">
        <v>26742.157281190001</v>
      </c>
      <c r="C220" s="734">
        <v>16663.40605034</v>
      </c>
      <c r="D220" s="734">
        <v>13917.7641602</v>
      </c>
      <c r="E220" s="734">
        <v>8827.3702125399996</v>
      </c>
      <c r="F220" s="727">
        <f t="shared" si="35"/>
        <v>5090.3939476600008</v>
      </c>
      <c r="G220" s="727">
        <f t="shared" si="36"/>
        <v>2745.6418901399993</v>
      </c>
      <c r="H220" s="727">
        <f t="shared" si="37"/>
        <v>10078.751230850001</v>
      </c>
      <c r="I220" s="735">
        <v>2.3008386210842198</v>
      </c>
      <c r="J220" s="735">
        <v>1.561043922510676</v>
      </c>
      <c r="K220" s="491"/>
      <c r="L220" s="491"/>
    </row>
    <row r="221" spans="1:12" ht="15.6">
      <c r="A221" s="733" t="s">
        <v>29</v>
      </c>
      <c r="B221" s="734">
        <v>28866.306171830001</v>
      </c>
      <c r="C221" s="734">
        <v>18238.611014260001</v>
      </c>
      <c r="D221" s="734">
        <v>15397.917067630002</v>
      </c>
      <c r="E221" s="734">
        <v>9501.0686436600008</v>
      </c>
      <c r="F221" s="727">
        <f t="shared" si="35"/>
        <v>5896.848423970001</v>
      </c>
      <c r="G221" s="727">
        <f t="shared" si="36"/>
        <v>2840.6939466299991</v>
      </c>
      <c r="H221" s="727">
        <f t="shared" si="37"/>
        <v>10627.69515757</v>
      </c>
      <c r="I221" s="735">
        <v>2.1992912794402542</v>
      </c>
      <c r="J221" s="735">
        <v>1.5008104487377483</v>
      </c>
      <c r="K221" s="491"/>
      <c r="L221" s="491"/>
    </row>
    <row r="222" spans="1:12" ht="15.6">
      <c r="A222" s="733" t="s">
        <v>2407</v>
      </c>
      <c r="B222" s="736">
        <v>29185.8075723</v>
      </c>
      <c r="C222" s="736">
        <v>20305.478031890001</v>
      </c>
      <c r="D222" s="736">
        <v>17864.586730620002</v>
      </c>
      <c r="E222" s="736">
        <v>10773.38561295</v>
      </c>
      <c r="F222" s="741">
        <v>7091.2011176700016</v>
      </c>
      <c r="G222" s="741">
        <v>2440.8913012699995</v>
      </c>
      <c r="H222" s="744">
        <v>8880.329540409999</v>
      </c>
      <c r="I222" s="742">
        <v>1.9388848083418642</v>
      </c>
      <c r="J222" s="742">
        <v>1.4969939642453578</v>
      </c>
      <c r="K222" s="491"/>
      <c r="L222" s="491"/>
    </row>
    <row r="223" spans="1:12" ht="15.6">
      <c r="A223" s="733" t="s">
        <v>18</v>
      </c>
      <c r="B223" s="734">
        <v>28530.438004700001</v>
      </c>
      <c r="C223" s="734">
        <v>17946.084792710004</v>
      </c>
      <c r="D223" s="734">
        <v>15095.747673960002</v>
      </c>
      <c r="E223" s="734">
        <v>9266.6770643600012</v>
      </c>
      <c r="F223" s="727">
        <f t="shared" ref="F223:F234" si="38">+D223-E223</f>
        <v>5829.0706096000013</v>
      </c>
      <c r="G223" s="727">
        <f t="shared" ref="G223:G236" si="39">+C223-D223</f>
        <v>2850.3371187500015</v>
      </c>
      <c r="H223" s="727">
        <f t="shared" ref="H223:H234" si="40">+B223-C223</f>
        <v>10584.353211989997</v>
      </c>
      <c r="I223" s="735">
        <v>2.2638129305686601</v>
      </c>
      <c r="J223" s="735">
        <v>1.5546611956911813</v>
      </c>
      <c r="K223" s="491"/>
      <c r="L223" s="491"/>
    </row>
    <row r="224" spans="1:12" ht="15.6">
      <c r="A224" s="733" t="s">
        <v>19</v>
      </c>
      <c r="B224" s="734">
        <v>28616.692781510006</v>
      </c>
      <c r="C224" s="734">
        <v>18299.369793800004</v>
      </c>
      <c r="D224" s="734">
        <v>15398.179885100002</v>
      </c>
      <c r="E224" s="734">
        <v>9579.1853838200004</v>
      </c>
      <c r="F224" s="727">
        <f t="shared" si="38"/>
        <v>5818.9945012800017</v>
      </c>
      <c r="G224" s="727">
        <f t="shared" si="39"/>
        <v>2901.189908700002</v>
      </c>
      <c r="H224" s="727">
        <f t="shared" si="40"/>
        <v>10317.322987710002</v>
      </c>
      <c r="I224" s="735">
        <v>2.1438208591158481</v>
      </c>
      <c r="J224" s="735">
        <v>1.5108030045842273</v>
      </c>
      <c r="K224" s="491"/>
      <c r="L224" s="491"/>
    </row>
    <row r="225" spans="1:14" ht="15.6">
      <c r="A225" s="733" t="s">
        <v>20</v>
      </c>
      <c r="B225" s="734">
        <v>26721.191360860001</v>
      </c>
      <c r="C225" s="734">
        <v>16442.773718979999</v>
      </c>
      <c r="D225" s="734">
        <v>13835.413800359998</v>
      </c>
      <c r="E225" s="734">
        <v>8530.7902558099995</v>
      </c>
      <c r="F225" s="727">
        <f t="shared" si="38"/>
        <v>5304.6235445499988</v>
      </c>
      <c r="G225" s="727">
        <f t="shared" si="39"/>
        <v>2607.3599186200008</v>
      </c>
      <c r="H225" s="727">
        <f t="shared" si="40"/>
        <v>10278.417641880002</v>
      </c>
      <c r="I225" s="735">
        <v>2.3520642532752709</v>
      </c>
      <c r="J225" s="735">
        <v>1.6333505236649228</v>
      </c>
      <c r="K225" s="491"/>
      <c r="L225" s="491"/>
    </row>
    <row r="226" spans="1:14" ht="15.6">
      <c r="A226" s="733" t="s">
        <v>21</v>
      </c>
      <c r="B226" s="734">
        <v>26291.803887550002</v>
      </c>
      <c r="C226" s="734">
        <v>16484.154980580002</v>
      </c>
      <c r="D226" s="734">
        <v>14104.232106200001</v>
      </c>
      <c r="E226" s="734">
        <v>8705.0063684699999</v>
      </c>
      <c r="F226" s="727">
        <f t="shared" si="38"/>
        <v>5399.2257377300011</v>
      </c>
      <c r="G226" s="727">
        <f t="shared" si="39"/>
        <v>2379.9228743800013</v>
      </c>
      <c r="H226" s="727">
        <f t="shared" si="40"/>
        <v>9807.6489069700001</v>
      </c>
      <c r="I226" s="735">
        <v>2.2330596959186444</v>
      </c>
      <c r="J226" s="735">
        <v>1.6376545618552376</v>
      </c>
      <c r="K226" s="491"/>
      <c r="L226" s="286"/>
    </row>
    <row r="227" spans="1:14" ht="15.6">
      <c r="A227" s="733" t="s">
        <v>22</v>
      </c>
      <c r="B227" s="734">
        <v>26630.223010220001</v>
      </c>
      <c r="C227" s="734">
        <v>17021.310660290001</v>
      </c>
      <c r="D227" s="734">
        <v>14796.009574129999</v>
      </c>
      <c r="E227" s="734">
        <v>9009.7746494900002</v>
      </c>
      <c r="F227" s="727">
        <f t="shared" si="38"/>
        <v>5786.234924639999</v>
      </c>
      <c r="G227" s="727">
        <f t="shared" si="39"/>
        <v>2225.3010861600014</v>
      </c>
      <c r="H227" s="727">
        <f t="shared" si="40"/>
        <v>9608.9123499300003</v>
      </c>
      <c r="I227" s="735">
        <v>2.1336901129701085</v>
      </c>
      <c r="J227" s="735">
        <v>1.5585558174618896</v>
      </c>
      <c r="K227" s="491"/>
      <c r="L227" s="491"/>
    </row>
    <row r="228" spans="1:14" ht="15.6">
      <c r="A228" s="733" t="s">
        <v>23</v>
      </c>
      <c r="B228" s="734">
        <v>26213.509605029998</v>
      </c>
      <c r="C228" s="734">
        <v>17169.070671429996</v>
      </c>
      <c r="D228" s="734">
        <v>14942.896773009998</v>
      </c>
      <c r="E228" s="734">
        <v>9246.6252634299999</v>
      </c>
      <c r="F228" s="727">
        <f t="shared" si="38"/>
        <v>5696.2715095799977</v>
      </c>
      <c r="G228" s="727">
        <f t="shared" si="39"/>
        <v>2226.1738984199983</v>
      </c>
      <c r="H228" s="727">
        <f t="shared" si="40"/>
        <v>9044.4389336000022</v>
      </c>
      <c r="I228" s="735">
        <v>2.0551999569262764</v>
      </c>
      <c r="J228" s="735">
        <v>1.5258989557921698</v>
      </c>
      <c r="K228" s="491"/>
      <c r="L228" s="491"/>
    </row>
    <row r="229" spans="1:14" ht="15.6">
      <c r="A229" s="733" t="s">
        <v>24</v>
      </c>
      <c r="B229" s="734">
        <v>26711.806260920002</v>
      </c>
      <c r="C229" s="734">
        <v>17927.599440490001</v>
      </c>
      <c r="D229" s="734">
        <v>15575.276604620001</v>
      </c>
      <c r="E229" s="734">
        <v>9722.9362969900012</v>
      </c>
      <c r="F229" s="727">
        <f t="shared" si="38"/>
        <v>5852.3403076300001</v>
      </c>
      <c r="G229" s="727">
        <f t="shared" si="39"/>
        <v>2352.3228358699998</v>
      </c>
      <c r="H229" s="727">
        <f t="shared" si="40"/>
        <v>8784.2068204300012</v>
      </c>
      <c r="I229" s="735">
        <v>2.0915744484160306</v>
      </c>
      <c r="J229" s="735">
        <v>1.5353000314638554</v>
      </c>
      <c r="K229" s="491"/>
      <c r="L229" s="491"/>
    </row>
    <row r="230" spans="1:14" ht="15.6">
      <c r="A230" s="733" t="s">
        <v>25</v>
      </c>
      <c r="B230" s="734">
        <v>26923.408240420002</v>
      </c>
      <c r="C230" s="734">
        <v>18109.264225810002</v>
      </c>
      <c r="D230" s="734">
        <v>15699.041465110004</v>
      </c>
      <c r="E230" s="734">
        <v>9848.237784490002</v>
      </c>
      <c r="F230" s="727">
        <f t="shared" si="38"/>
        <v>5850.8036806200016</v>
      </c>
      <c r="G230" s="727">
        <f t="shared" si="39"/>
        <v>2410.2227606999986</v>
      </c>
      <c r="H230" s="727">
        <f t="shared" si="40"/>
        <v>8814.1440146099994</v>
      </c>
      <c r="I230" s="735">
        <v>2.0690048507223282</v>
      </c>
      <c r="J230" s="735">
        <v>1.5208297765165963</v>
      </c>
      <c r="K230" s="491"/>
      <c r="L230" s="491"/>
    </row>
    <row r="231" spans="1:14" ht="15.6">
      <c r="A231" s="733" t="s">
        <v>26</v>
      </c>
      <c r="B231" s="734">
        <v>26783.275633080004</v>
      </c>
      <c r="C231" s="734">
        <v>18427.776442160004</v>
      </c>
      <c r="D231" s="734">
        <v>15925.502069640002</v>
      </c>
      <c r="E231" s="734">
        <v>9865.6260706300018</v>
      </c>
      <c r="F231" s="727">
        <f t="shared" si="38"/>
        <v>6059.8759990100007</v>
      </c>
      <c r="G231" s="727">
        <f t="shared" si="39"/>
        <v>2502.2743725200016</v>
      </c>
      <c r="H231" s="727">
        <f t="shared" si="40"/>
        <v>8355.4991909199998</v>
      </c>
      <c r="I231" s="735">
        <v>2.023883822216888</v>
      </c>
      <c r="J231" s="735">
        <v>1.5067565256926374</v>
      </c>
      <c r="K231" s="491"/>
      <c r="L231" s="286"/>
    </row>
    <row r="232" spans="1:14" ht="15.6">
      <c r="A232" s="733" t="s">
        <v>27</v>
      </c>
      <c r="B232" s="734">
        <v>26947.879233219999</v>
      </c>
      <c r="C232" s="734">
        <v>18573.567093120004</v>
      </c>
      <c r="D232" s="734">
        <v>16171.274612620004</v>
      </c>
      <c r="E232" s="734">
        <v>9988.0682326200022</v>
      </c>
      <c r="F232" s="727">
        <f t="shared" si="38"/>
        <v>6183.2063800000014</v>
      </c>
      <c r="G232" s="727">
        <f t="shared" si="39"/>
        <v>2402.2924805000002</v>
      </c>
      <c r="H232" s="727">
        <f t="shared" si="40"/>
        <v>8374.3121400999953</v>
      </c>
      <c r="I232" s="735">
        <v>1.9994604234339151</v>
      </c>
      <c r="J232" s="735">
        <v>1.5345475901124233</v>
      </c>
      <c r="K232" s="491"/>
      <c r="L232" s="491"/>
    </row>
    <row r="233" spans="1:14" ht="15.6">
      <c r="A233" s="733" t="s">
        <v>28</v>
      </c>
      <c r="B233" s="734">
        <v>27147.102955900002</v>
      </c>
      <c r="C233" s="734">
        <v>18613.844544650001</v>
      </c>
      <c r="D233" s="734">
        <v>16232.407969469999</v>
      </c>
      <c r="E233" s="734">
        <v>10164.55864732</v>
      </c>
      <c r="F233" s="727">
        <f t="shared" si="38"/>
        <v>6067.8493221499994</v>
      </c>
      <c r="G233" s="727">
        <f t="shared" si="39"/>
        <v>2381.4365751800015</v>
      </c>
      <c r="H233" s="727">
        <f t="shared" si="40"/>
        <v>8533.2584112500008</v>
      </c>
      <c r="I233" s="735">
        <v>2.0501932399120681</v>
      </c>
      <c r="J233" s="735">
        <v>1.5769595944058536</v>
      </c>
      <c r="K233" s="491"/>
      <c r="L233" s="491"/>
    </row>
    <row r="234" spans="1:14" ht="15.6">
      <c r="A234" s="733" t="s">
        <v>29</v>
      </c>
      <c r="B234" s="734">
        <v>29185.8075723</v>
      </c>
      <c r="C234" s="734">
        <v>20305.478031890001</v>
      </c>
      <c r="D234" s="734">
        <v>17864.586730620002</v>
      </c>
      <c r="E234" s="734">
        <v>10773.38561295</v>
      </c>
      <c r="F234" s="727">
        <f t="shared" si="38"/>
        <v>7091.2011176700016</v>
      </c>
      <c r="G234" s="727">
        <f t="shared" si="39"/>
        <v>2440.8913012699995</v>
      </c>
      <c r="H234" s="727">
        <f t="shared" si="40"/>
        <v>8880.329540409999</v>
      </c>
      <c r="I234" s="735">
        <v>1.9388848083418642</v>
      </c>
      <c r="J234" s="735">
        <v>1.4969939642453578</v>
      </c>
      <c r="K234" s="491"/>
      <c r="L234" s="491"/>
    </row>
    <row r="235" spans="1:14" ht="15.6">
      <c r="A235" s="733" t="s">
        <v>2583</v>
      </c>
      <c r="B235" s="736">
        <v>34646.641486510001</v>
      </c>
      <c r="C235" s="736">
        <v>23874.89363441</v>
      </c>
      <c r="D235" s="736">
        <v>20572.53776404</v>
      </c>
      <c r="E235" s="736">
        <v>10940.841220230001</v>
      </c>
      <c r="F235" s="741">
        <v>9631.6965438099996</v>
      </c>
      <c r="G235" s="741">
        <v>3302.35587037</v>
      </c>
      <c r="H235" s="744">
        <v>10771.747852100001</v>
      </c>
      <c r="I235" s="742">
        <v>1.7532477398525235</v>
      </c>
      <c r="J235" s="742">
        <v>1.3310004789895935</v>
      </c>
      <c r="K235" s="491"/>
      <c r="L235" s="492"/>
      <c r="M235" s="8"/>
      <c r="N235" s="8"/>
    </row>
    <row r="236" spans="1:14" ht="15.6">
      <c r="A236" s="733" t="s">
        <v>18</v>
      </c>
      <c r="B236" s="734">
        <v>28112.278405040001</v>
      </c>
      <c r="C236" s="734">
        <v>19488.342999029999</v>
      </c>
      <c r="D236" s="734">
        <v>16944.07643614</v>
      </c>
      <c r="E236" s="734">
        <v>10329.90163409</v>
      </c>
      <c r="F236" s="727">
        <f t="shared" ref="F236" si="41">+D236-E236</f>
        <v>6614.1748020499999</v>
      </c>
      <c r="G236" s="727">
        <f t="shared" si="39"/>
        <v>2544.2665628899995</v>
      </c>
      <c r="H236" s="727">
        <f t="shared" ref="H236:H241" si="42">+B236-C236</f>
        <v>8623.9354060100013</v>
      </c>
      <c r="I236" s="735">
        <v>1.9924689886539917</v>
      </c>
      <c r="J236" s="735">
        <v>1.5246658343751338</v>
      </c>
      <c r="K236" s="491">
        <f>B236/M236</f>
        <v>1.9924689886539917</v>
      </c>
      <c r="L236" s="492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733" t="s">
        <v>19</v>
      </c>
      <c r="B237" s="734">
        <v>28578.033526200001</v>
      </c>
      <c r="C237" s="734">
        <v>19587.868783220001</v>
      </c>
      <c r="D237" s="734">
        <v>16988.62193601</v>
      </c>
      <c r="E237" s="734">
        <v>10457.955805019999</v>
      </c>
      <c r="F237" s="727">
        <f t="shared" ref="F237" si="43">+D237-E237</f>
        <v>6530.666130990001</v>
      </c>
      <c r="G237" s="727">
        <f t="shared" ref="G237" si="44">+C237-D237</f>
        <v>2599.2468472100009</v>
      </c>
      <c r="H237" s="727">
        <f t="shared" si="42"/>
        <v>8990.1647429799996</v>
      </c>
      <c r="I237" s="735">
        <f t="shared" ref="I237:J239" si="45">B237/M237</f>
        <v>2.0198668428621835</v>
      </c>
      <c r="J237" s="735">
        <f t="shared" si="45"/>
        <v>1.5228077324598714</v>
      </c>
      <c r="K237" s="491"/>
      <c r="L237" s="491"/>
      <c r="M237" s="8">
        <f>'2.5'!B230</f>
        <v>14148.474008169998</v>
      </c>
      <c r="N237" s="8">
        <f>'2.5'!C230</f>
        <v>12862.995351079999</v>
      </c>
    </row>
    <row r="238" spans="1:14" ht="15.6">
      <c r="A238" s="733" t="s">
        <v>20</v>
      </c>
      <c r="B238" s="734">
        <v>29299.494618340002</v>
      </c>
      <c r="C238" s="734">
        <v>20319.899299190001</v>
      </c>
      <c r="D238" s="734">
        <v>17633.320740970001</v>
      </c>
      <c r="E238" s="734">
        <v>10589.623156830001</v>
      </c>
      <c r="F238" s="727">
        <f t="shared" ref="F238" si="46">+D238-E238</f>
        <v>7043.6975841399999</v>
      </c>
      <c r="G238" s="727">
        <f t="shared" ref="G238" si="47">+C238-D238</f>
        <v>2686.5785582200006</v>
      </c>
      <c r="H238" s="727">
        <f t="shared" si="42"/>
        <v>8979.5953191500012</v>
      </c>
      <c r="I238" s="735">
        <f t="shared" si="45"/>
        <v>1.976891666496343</v>
      </c>
      <c r="J238" s="735">
        <f t="shared" si="45"/>
        <v>1.5260945671909625</v>
      </c>
      <c r="K238" s="491"/>
      <c r="L238" s="491"/>
      <c r="M238" s="8">
        <f>'2.5'!B231</f>
        <v>14820.991516580003</v>
      </c>
      <c r="N238" s="8">
        <f>'2.5'!C231</f>
        <v>13314.967326430002</v>
      </c>
    </row>
    <row r="239" spans="1:14" ht="15.6">
      <c r="A239" s="733" t="s">
        <v>21</v>
      </c>
      <c r="B239" s="734">
        <v>29753.875841000001</v>
      </c>
      <c r="C239" s="734">
        <v>20889.349868739999</v>
      </c>
      <c r="D239" s="734">
        <v>18075.243998049998</v>
      </c>
      <c r="E239" s="734">
        <v>10555.483952099999</v>
      </c>
      <c r="F239" s="727">
        <f t="shared" ref="F239" si="48">+D239-E239</f>
        <v>7519.760045949999</v>
      </c>
      <c r="G239" s="727">
        <f t="shared" ref="G239" si="49">+C239-D239</f>
        <v>2814.1058706900003</v>
      </c>
      <c r="H239" s="727">
        <f t="shared" si="42"/>
        <v>8864.5259722600022</v>
      </c>
      <c r="I239" s="735">
        <f t="shared" si="45"/>
        <v>2.0250624189859265</v>
      </c>
      <c r="J239" s="735">
        <f t="shared" si="45"/>
        <v>1.5728055932403093</v>
      </c>
      <c r="K239" s="491"/>
      <c r="L239" s="491"/>
      <c r="M239" s="8">
        <f>'2.5'!B232</f>
        <v>14692.819125990001</v>
      </c>
      <c r="N239" s="8">
        <f>'2.5'!C232</f>
        <v>13281.584169410002</v>
      </c>
    </row>
    <row r="240" spans="1:14" ht="15.6">
      <c r="A240" s="733" t="s">
        <v>22</v>
      </c>
      <c r="B240" s="734">
        <v>30456.969707119999</v>
      </c>
      <c r="C240" s="734">
        <v>21612.49612172</v>
      </c>
      <c r="D240" s="734">
        <v>18735.663815849999</v>
      </c>
      <c r="E240" s="734">
        <v>10654.934174459999</v>
      </c>
      <c r="F240" s="727">
        <f t="shared" ref="F240:F241" si="50">+D240-E240</f>
        <v>8080.7296413900003</v>
      </c>
      <c r="G240" s="727">
        <f t="shared" ref="G240" si="51">+C240-D240</f>
        <v>2876.8323058700007</v>
      </c>
      <c r="H240" s="727">
        <f t="shared" si="42"/>
        <v>8844.4735853999991</v>
      </c>
      <c r="I240" s="735">
        <f t="shared" ref="I240" si="52">B240/M240</f>
        <v>2.0050741705146065</v>
      </c>
      <c r="J240" s="735">
        <f t="shared" ref="J240" si="53">C240/N240</f>
        <v>1.5597071535724181</v>
      </c>
      <c r="K240" s="491"/>
      <c r="L240" s="491"/>
      <c r="M240" s="8">
        <f>'2.5'!B233</f>
        <v>15189.946663819999</v>
      </c>
      <c r="N240" s="8">
        <f>'2.5'!C233</f>
        <v>13856.76540126</v>
      </c>
    </row>
    <row r="241" spans="1:14" ht="15.6">
      <c r="A241" s="733" t="s">
        <v>23</v>
      </c>
      <c r="B241" s="734">
        <v>30293.936078300005</v>
      </c>
      <c r="C241" s="734">
        <v>21480.734456599999</v>
      </c>
      <c r="D241" s="734">
        <v>18542.401700269998</v>
      </c>
      <c r="E241" s="734">
        <v>10737.548461589999</v>
      </c>
      <c r="F241" s="727">
        <f t="shared" si="50"/>
        <v>7804.8532386799998</v>
      </c>
      <c r="G241" s="727">
        <f t="shared" ref="G241" si="54">+C241-D241</f>
        <v>2938.3327563300008</v>
      </c>
      <c r="H241" s="727">
        <f t="shared" si="42"/>
        <v>8813.2016217000055</v>
      </c>
      <c r="I241" s="735">
        <f t="shared" ref="I241" si="55">B241/M241</f>
        <v>1.9953953990807178</v>
      </c>
      <c r="J241" s="735">
        <f t="shared" ref="J241" si="56">C241/N241</f>
        <v>1.5562392057055507</v>
      </c>
      <c r="K241" s="491"/>
      <c r="L241" s="491"/>
      <c r="M241" s="8">
        <f>'2.5'!B234</f>
        <v>15181.921383729999</v>
      </c>
      <c r="N241" s="8">
        <f>'2.5'!C234</f>
        <v>13802.977317270001</v>
      </c>
    </row>
    <row r="242" spans="1:14" ht="15.6">
      <c r="A242" s="733" t="s">
        <v>24</v>
      </c>
      <c r="B242" s="734">
        <v>31507.316668150001</v>
      </c>
      <c r="C242" s="734">
        <v>21840.937861350001</v>
      </c>
      <c r="D242" s="734">
        <v>18791.42961444</v>
      </c>
      <c r="E242" s="734">
        <v>11049.627339399998</v>
      </c>
      <c r="F242" s="727">
        <f t="shared" ref="F242" si="57">+D242-E242</f>
        <v>7741.8022750400014</v>
      </c>
      <c r="G242" s="727">
        <f t="shared" ref="G242" si="58">+C242-D242</f>
        <v>3049.5082469100016</v>
      </c>
      <c r="H242" s="727">
        <f t="shared" ref="H242" si="59">+B242-C242</f>
        <v>9666.3788067999994</v>
      </c>
      <c r="I242" s="735">
        <f t="shared" ref="I242" si="60">B242/M242</f>
        <v>2.0140423193477539</v>
      </c>
      <c r="J242" s="735">
        <f t="shared" ref="J242" si="61">C242/N242</f>
        <v>1.5366458412827888</v>
      </c>
      <c r="K242" s="491"/>
      <c r="L242" s="491"/>
      <c r="M242" s="8">
        <f>'2.5'!B235</f>
        <v>15643.82057193</v>
      </c>
      <c r="N242" s="8">
        <f>'2.5'!C235</f>
        <v>14213.38429102</v>
      </c>
    </row>
    <row r="243" spans="1:14" ht="15.6">
      <c r="A243" s="733" t="s">
        <v>25</v>
      </c>
      <c r="B243" s="734">
        <v>31289.157555910002</v>
      </c>
      <c r="C243" s="734">
        <v>21946.90603559</v>
      </c>
      <c r="D243" s="734">
        <v>18944.11376144</v>
      </c>
      <c r="E243" s="734">
        <v>10989.504211420001</v>
      </c>
      <c r="F243" s="727">
        <f t="shared" ref="F243" si="62">+D243-E243</f>
        <v>7954.609550019999</v>
      </c>
      <c r="G243" s="727">
        <f t="shared" ref="G243" si="63">+C243-D243</f>
        <v>3002.7922741500006</v>
      </c>
      <c r="H243" s="727">
        <f t="shared" ref="H243" si="64">+B243-C243</f>
        <v>9342.2515203200019</v>
      </c>
      <c r="I243" s="735">
        <f t="shared" ref="I243" si="65">B243/M243</f>
        <v>2.0238485040374763</v>
      </c>
      <c r="J243" s="735">
        <f t="shared" ref="J243" si="66">C243/N243</f>
        <v>1.548574106929232</v>
      </c>
      <c r="K243" s="491"/>
      <c r="L243" s="491"/>
      <c r="M243" s="8">
        <f>'2.5'!B236</f>
        <v>15460.227133350001</v>
      </c>
      <c r="N243" s="8">
        <f>'2.5'!C236</f>
        <v>14172.33178405</v>
      </c>
    </row>
    <row r="244" spans="1:14" ht="15.6">
      <c r="A244" s="733" t="s">
        <v>26</v>
      </c>
      <c r="B244" s="734">
        <v>32212.136309789996</v>
      </c>
      <c r="C244" s="734">
        <v>22407.213064970001</v>
      </c>
      <c r="D244" s="734">
        <v>19265.41110012</v>
      </c>
      <c r="E244" s="734">
        <v>11039.448140099999</v>
      </c>
      <c r="F244" s="727">
        <f t="shared" ref="F244:F245" si="67">+D244-E244</f>
        <v>8225.9629600200005</v>
      </c>
      <c r="G244" s="727">
        <f t="shared" ref="G244:G245" si="68">+C244-D244</f>
        <v>3141.8019648500012</v>
      </c>
      <c r="H244" s="727">
        <f t="shared" ref="H244:H245" si="69">+B244-C244</f>
        <v>9804.9232448199946</v>
      </c>
      <c r="I244" s="735">
        <f t="shared" ref="I244:I245" si="70">B244/M244</f>
        <v>2.0485030504744803</v>
      </c>
      <c r="J244" s="735">
        <f t="shared" ref="J244:J245" si="71">C244/N244</f>
        <v>1.5454591902739705</v>
      </c>
      <c r="K244" s="491"/>
      <c r="L244" s="491"/>
      <c r="M244" s="8">
        <f>'2.5'!B237</f>
        <v>15724.71971781</v>
      </c>
      <c r="N244" s="8">
        <f>'2.5'!C237</f>
        <v>14498.74134884</v>
      </c>
    </row>
    <row r="245" spans="1:14" ht="15.6">
      <c r="A245" s="733" t="s">
        <v>27</v>
      </c>
      <c r="B245" s="734">
        <v>32462.807922790002</v>
      </c>
      <c r="C245" s="734">
        <v>22578.347080030002</v>
      </c>
      <c r="D245" s="734">
        <v>19392.333370760003</v>
      </c>
      <c r="E245" s="734">
        <v>11080.009622400003</v>
      </c>
      <c r="F245" s="727">
        <f t="shared" si="67"/>
        <v>8312.3237483600005</v>
      </c>
      <c r="G245" s="727">
        <f t="shared" si="68"/>
        <v>3186.0137092699988</v>
      </c>
      <c r="H245" s="727">
        <f t="shared" si="69"/>
        <v>9884.4608427599997</v>
      </c>
      <c r="I245" s="735">
        <f t="shared" si="70"/>
        <v>2.0206181700188752</v>
      </c>
      <c r="J245" s="735">
        <f t="shared" si="71"/>
        <v>1.5442163025354065</v>
      </c>
      <c r="K245" s="491"/>
      <c r="L245" s="491"/>
      <c r="M245" s="8">
        <f>'2.5'!B238</f>
        <v>16065.780464840003</v>
      </c>
      <c r="N245" s="8">
        <f>'2.5'!C238</f>
        <v>14621.233465130003</v>
      </c>
    </row>
    <row r="246" spans="1:14" ht="15.6">
      <c r="A246" s="733" t="s">
        <v>28</v>
      </c>
      <c r="B246" s="734">
        <v>33031.295621280005</v>
      </c>
      <c r="C246" s="734">
        <v>22743.669427119996</v>
      </c>
      <c r="D246" s="734">
        <v>19513.868746059998</v>
      </c>
      <c r="E246" s="734">
        <v>10852.38754025</v>
      </c>
      <c r="F246" s="727">
        <f t="shared" ref="F246" si="72">+D246-E246</f>
        <v>8661.4812058099978</v>
      </c>
      <c r="G246" s="727">
        <f t="shared" ref="G246" si="73">+C246-D246</f>
        <v>3229.8006810599982</v>
      </c>
      <c r="H246" s="727">
        <f t="shared" ref="H246" si="74">+B246-C246</f>
        <v>10287.62619416001</v>
      </c>
      <c r="I246" s="735">
        <f t="shared" ref="I246" si="75">B246/M246</f>
        <v>2.1328178779332885</v>
      </c>
      <c r="J246" s="735">
        <f t="shared" ref="J246" si="76">C246/N246</f>
        <v>1.5927940635499249</v>
      </c>
      <c r="K246" s="491"/>
      <c r="L246" s="491"/>
      <c r="M246" s="8">
        <f>'2.5'!B239</f>
        <v>15487.161826160002</v>
      </c>
      <c r="N246" s="8">
        <f>'2.5'!C239</f>
        <v>14279.102331930002</v>
      </c>
    </row>
    <row r="247" spans="1:14" ht="15.6">
      <c r="A247" s="733" t="s">
        <v>29</v>
      </c>
      <c r="B247" s="734">
        <v>34646.641486510001</v>
      </c>
      <c r="C247" s="734">
        <v>23874.89363441</v>
      </c>
      <c r="D247" s="734">
        <v>20572.53776404</v>
      </c>
      <c r="E247" s="734">
        <v>10940.841220230001</v>
      </c>
      <c r="F247" s="727">
        <f t="shared" ref="F247:F273" si="77">+D247-E247</f>
        <v>9631.6965438099996</v>
      </c>
      <c r="G247" s="727">
        <f t="shared" ref="G247:G273" si="78">+C247-D247</f>
        <v>3302.35587037</v>
      </c>
      <c r="H247" s="727">
        <f t="shared" ref="H247:H260" si="79">+B247-C247</f>
        <v>10771.747852100001</v>
      </c>
      <c r="I247" s="735">
        <f t="shared" ref="I247" si="80">B247/M247</f>
        <v>1.7532477398525235</v>
      </c>
      <c r="J247" s="735">
        <f t="shared" ref="J247" si="81">C247/N247</f>
        <v>1.3310004789895935</v>
      </c>
      <c r="K247" s="491"/>
      <c r="L247" s="491"/>
      <c r="M247" s="8">
        <f>'2.5'!B240</f>
        <v>19761.4066164</v>
      </c>
      <c r="N247" s="8">
        <f>'2.5'!C240</f>
        <v>17937.554502260002</v>
      </c>
    </row>
    <row r="248" spans="1:14" ht="15.6">
      <c r="A248" s="733" t="s">
        <v>2892</v>
      </c>
      <c r="B248" s="736">
        <v>42824.929994710001</v>
      </c>
      <c r="C248" s="736">
        <v>29565.60384879</v>
      </c>
      <c r="D248" s="736">
        <v>25365.805405030005</v>
      </c>
      <c r="E248" s="736">
        <v>13297.493267379999</v>
      </c>
      <c r="F248" s="1533">
        <f t="shared" si="77"/>
        <v>12068.312137650006</v>
      </c>
      <c r="G248" s="1533">
        <f t="shared" si="78"/>
        <v>4199.7984437599953</v>
      </c>
      <c r="H248" s="1533">
        <f t="shared" si="79"/>
        <v>13259.32614592</v>
      </c>
      <c r="I248" s="742">
        <v>2.0490141781273299</v>
      </c>
      <c r="J248" s="742">
        <v>1.6933069359993795</v>
      </c>
      <c r="K248" s="491"/>
      <c r="L248" s="491"/>
      <c r="M248" s="8"/>
      <c r="N248" s="8"/>
    </row>
    <row r="249" spans="1:14" ht="15.6">
      <c r="A249" s="733" t="s">
        <v>18</v>
      </c>
      <c r="B249" s="734">
        <v>34647.601212809997</v>
      </c>
      <c r="C249" s="734">
        <v>23113.733211639999</v>
      </c>
      <c r="D249" s="734">
        <v>19761.854880719999</v>
      </c>
      <c r="E249" s="734">
        <v>10284.268519800002</v>
      </c>
      <c r="F249" s="727">
        <f t="shared" si="77"/>
        <v>9477.5863609199969</v>
      </c>
      <c r="G249" s="727">
        <f t="shared" si="78"/>
        <v>3351.8783309200007</v>
      </c>
      <c r="H249" s="727">
        <f t="shared" si="79"/>
        <v>11533.868001169998</v>
      </c>
      <c r="I249" s="735">
        <f t="shared" ref="I249:J260" si="82">B249/M249</f>
        <v>2.2467501489451283</v>
      </c>
      <c r="J249" s="735">
        <f t="shared" si="82"/>
        <v>1.6457792395193094</v>
      </c>
      <c r="K249" s="491"/>
      <c r="L249" s="491"/>
      <c r="M249" s="8">
        <f>'2.5'!B242</f>
        <v>15421.207929630002</v>
      </c>
      <c r="N249" s="8">
        <f>'2.5'!C242</f>
        <v>14044.248861950002</v>
      </c>
    </row>
    <row r="250" spans="1:14" ht="15.6">
      <c r="A250" s="733" t="s">
        <v>19</v>
      </c>
      <c r="B250" s="734">
        <v>33884.104274700003</v>
      </c>
      <c r="C250" s="734">
        <v>23010.41155588</v>
      </c>
      <c r="D250" s="734">
        <v>19632.115868050001</v>
      </c>
      <c r="E250" s="734">
        <v>10482.60273024</v>
      </c>
      <c r="F250" s="727">
        <f t="shared" si="77"/>
        <v>9149.5131378100014</v>
      </c>
      <c r="G250" s="727">
        <f t="shared" si="78"/>
        <v>3378.2956878299992</v>
      </c>
      <c r="H250" s="727">
        <f t="shared" si="79"/>
        <v>10873.692718820002</v>
      </c>
      <c r="I250" s="735">
        <f t="shared" si="82"/>
        <v>2.2047240010252094</v>
      </c>
      <c r="J250" s="735">
        <f t="shared" si="82"/>
        <v>1.6500096878626571</v>
      </c>
      <c r="K250" s="491"/>
      <c r="L250" s="491"/>
      <c r="M250" s="8">
        <v>15368.86442881</v>
      </c>
      <c r="N250" s="8">
        <v>13945.622092490001</v>
      </c>
    </row>
    <row r="251" spans="1:14" ht="15.6">
      <c r="A251" s="733" t="s">
        <v>20</v>
      </c>
      <c r="B251" s="734">
        <v>34910.528772350001</v>
      </c>
      <c r="C251" s="734">
        <v>23597.133387610003</v>
      </c>
      <c r="D251" s="734">
        <v>20249.671750380003</v>
      </c>
      <c r="E251" s="734">
        <v>10525.19638263</v>
      </c>
      <c r="F251" s="727">
        <f t="shared" si="77"/>
        <v>9724.475367750003</v>
      </c>
      <c r="G251" s="727">
        <f t="shared" si="78"/>
        <v>3347.4616372300006</v>
      </c>
      <c r="H251" s="727">
        <f t="shared" si="79"/>
        <v>11313.395384739997</v>
      </c>
      <c r="I251" s="735">
        <f t="shared" si="82"/>
        <v>2.1281763781096026</v>
      </c>
      <c r="J251" s="735">
        <f t="shared" si="82"/>
        <v>1.6433020761461905</v>
      </c>
      <c r="K251" s="491"/>
      <c r="L251" s="491"/>
      <c r="M251" s="8">
        <v>16403.964037680002</v>
      </c>
      <c r="N251" s="8">
        <v>14359.583505760002</v>
      </c>
    </row>
    <row r="252" spans="1:14" ht="15.6">
      <c r="A252" s="733" t="s">
        <v>21</v>
      </c>
      <c r="B252" s="734">
        <v>35638.818680690005</v>
      </c>
      <c r="C252" s="734">
        <v>24214.973517330007</v>
      </c>
      <c r="D252" s="734">
        <v>20796.869242420005</v>
      </c>
      <c r="E252" s="734">
        <v>10835.501029360003</v>
      </c>
      <c r="F252" s="727">
        <f t="shared" si="77"/>
        <v>9961.3682130600027</v>
      </c>
      <c r="G252" s="727">
        <f t="shared" si="78"/>
        <v>3418.1042749100015</v>
      </c>
      <c r="H252" s="727">
        <f t="shared" si="79"/>
        <v>11423.845163359998</v>
      </c>
      <c r="I252" s="735">
        <f t="shared" si="82"/>
        <v>2.2256465414616131</v>
      </c>
      <c r="J252" s="735">
        <f t="shared" si="82"/>
        <v>1.6625984899654147</v>
      </c>
      <c r="K252" s="491"/>
      <c r="L252" s="491"/>
      <c r="M252" s="8">
        <v>16012.793593580001</v>
      </c>
      <c r="N252" s="8">
        <v>14564.534771010003</v>
      </c>
    </row>
    <row r="253" spans="1:14" ht="15.6">
      <c r="A253" s="733" t="s">
        <v>22</v>
      </c>
      <c r="B253" s="734">
        <v>37001.113740070003</v>
      </c>
      <c r="C253" s="734">
        <v>25371.124111100002</v>
      </c>
      <c r="D253" s="734">
        <v>21888.373005880003</v>
      </c>
      <c r="E253" s="734">
        <v>11252.010695250001</v>
      </c>
      <c r="F253" s="727">
        <f t="shared" si="77"/>
        <v>10636.362310630002</v>
      </c>
      <c r="G253" s="727">
        <f t="shared" si="78"/>
        <v>3482.7511052199989</v>
      </c>
      <c r="H253" s="727">
        <f t="shared" si="79"/>
        <v>11629.989628970001</v>
      </c>
      <c r="I253" s="735">
        <f t="shared" si="82"/>
        <v>2.1733384371024034</v>
      </c>
      <c r="J253" s="735">
        <f t="shared" si="82"/>
        <v>1.7046378256910242</v>
      </c>
      <c r="K253" s="491"/>
      <c r="L253" s="491"/>
      <c r="M253" s="8">
        <v>17025.012353530001</v>
      </c>
      <c r="N253" s="8">
        <v>14883.586254350002</v>
      </c>
    </row>
    <row r="254" spans="1:14" ht="15.6">
      <c r="A254" s="733" t="s">
        <v>23</v>
      </c>
      <c r="B254" s="734">
        <v>38290.368884790005</v>
      </c>
      <c r="C254" s="734">
        <v>26164.281564559999</v>
      </c>
      <c r="D254" s="734">
        <v>22549.767804349998</v>
      </c>
      <c r="E254" s="734">
        <v>11712.44285928</v>
      </c>
      <c r="F254" s="727">
        <f t="shared" si="77"/>
        <v>10837.324945069999</v>
      </c>
      <c r="G254" s="727">
        <f t="shared" si="78"/>
        <v>3614.5137602100003</v>
      </c>
      <c r="H254" s="727">
        <f t="shared" si="79"/>
        <v>12126.087320230006</v>
      </c>
      <c r="I254" s="735">
        <f t="shared" si="82"/>
        <v>2.1841757840658316</v>
      </c>
      <c r="J254" s="735">
        <f t="shared" si="82"/>
        <v>1.671538241068693</v>
      </c>
      <c r="K254" s="491"/>
      <c r="L254" s="491"/>
      <c r="M254" s="8">
        <v>17530.809179430002</v>
      </c>
      <c r="N254" s="8">
        <v>15652.816622270002</v>
      </c>
    </row>
    <row r="255" spans="1:14" ht="15.6">
      <c r="A255" s="733" t="s">
        <v>24</v>
      </c>
      <c r="B255" s="734">
        <v>38257.376641509996</v>
      </c>
      <c r="C255" s="734">
        <v>26265.92058921</v>
      </c>
      <c r="D255" s="734">
        <v>22448.756854389998</v>
      </c>
      <c r="E255" s="734">
        <v>12146.521917949998</v>
      </c>
      <c r="F255" s="727">
        <f t="shared" si="77"/>
        <v>10302.23493644</v>
      </c>
      <c r="G255" s="727">
        <f t="shared" si="78"/>
        <v>3817.163734820002</v>
      </c>
      <c r="H255" s="727">
        <f t="shared" si="79"/>
        <v>11991.456052299996</v>
      </c>
      <c r="I255" s="735">
        <f t="shared" si="82"/>
        <v>2.1236399188992197</v>
      </c>
      <c r="J255" s="735">
        <f t="shared" si="82"/>
        <v>1.6293552760477843</v>
      </c>
      <c r="K255" s="491"/>
      <c r="L255" s="491"/>
      <c r="M255" s="8">
        <v>18015.001649310001</v>
      </c>
      <c r="N255" s="8">
        <v>16120.4379274</v>
      </c>
    </row>
    <row r="256" spans="1:14" ht="15.6">
      <c r="A256" s="733" t="s">
        <v>25</v>
      </c>
      <c r="B256" s="734">
        <v>39064.86572604</v>
      </c>
      <c r="C256" s="734">
        <v>26973.767824449998</v>
      </c>
      <c r="D256" s="734">
        <v>23066.441070699999</v>
      </c>
      <c r="E256" s="734">
        <v>12169.26614639</v>
      </c>
      <c r="F256" s="727">
        <f t="shared" si="77"/>
        <v>10897.174924309998</v>
      </c>
      <c r="G256" s="727">
        <f t="shared" si="78"/>
        <v>3907.3267537499996</v>
      </c>
      <c r="H256" s="727">
        <f t="shared" si="79"/>
        <v>12091.097901590001</v>
      </c>
      <c r="I256" s="735">
        <f t="shared" si="82"/>
        <v>2.187857240117987</v>
      </c>
      <c r="J256" s="735">
        <f t="shared" si="82"/>
        <v>1.6645512440632049</v>
      </c>
      <c r="K256" s="491"/>
      <c r="L256" s="491"/>
      <c r="M256" s="8">
        <v>17855.30838563</v>
      </c>
      <c r="N256" s="8">
        <v>16204.82873126</v>
      </c>
    </row>
    <row r="257" spans="1:14" ht="15.6">
      <c r="A257" s="733" t="s">
        <v>26</v>
      </c>
      <c r="B257" s="734">
        <v>40150.421797239993</v>
      </c>
      <c r="C257" s="734">
        <v>27698.745064009996</v>
      </c>
      <c r="D257" s="734">
        <v>23717.158577019996</v>
      </c>
      <c r="E257" s="734">
        <v>12301.510788199999</v>
      </c>
      <c r="F257" s="727">
        <f t="shared" si="77"/>
        <v>11415.647788819997</v>
      </c>
      <c r="G257" s="727">
        <f t="shared" si="78"/>
        <v>3981.5864869899997</v>
      </c>
      <c r="H257" s="727">
        <f t="shared" si="79"/>
        <v>12451.676733229997</v>
      </c>
      <c r="I257" s="735">
        <f t="shared" si="82"/>
        <v>2.267963316655409</v>
      </c>
      <c r="J257" s="735">
        <f t="shared" si="82"/>
        <v>1.7156394006916751</v>
      </c>
      <c r="K257" s="491"/>
      <c r="L257" s="491"/>
      <c r="M257" s="8">
        <v>17703.294185750001</v>
      </c>
      <c r="N257" s="8">
        <v>16144.852498050001</v>
      </c>
    </row>
    <row r="258" spans="1:14" ht="15.6">
      <c r="A258" s="733" t="s">
        <v>27</v>
      </c>
      <c r="B258" s="734">
        <v>41178.167727560001</v>
      </c>
      <c r="C258" s="734">
        <v>28702.123430259999</v>
      </c>
      <c r="D258" s="734">
        <v>24636.848113879998</v>
      </c>
      <c r="E258" s="734">
        <v>12542.762842100001</v>
      </c>
      <c r="F258" s="727">
        <f t="shared" si="77"/>
        <v>12094.085271779997</v>
      </c>
      <c r="G258" s="727">
        <f t="shared" si="78"/>
        <v>4065.2753163800007</v>
      </c>
      <c r="H258" s="727">
        <f t="shared" si="79"/>
        <v>12476.044297300003</v>
      </c>
      <c r="I258" s="735">
        <f t="shared" si="82"/>
        <v>2.2369198643052428</v>
      </c>
      <c r="J258" s="735">
        <f t="shared" si="82"/>
        <v>1.7216808802677508</v>
      </c>
      <c r="K258" s="491"/>
      <c r="L258" s="491"/>
      <c r="M258" s="8">
        <v>18408.423289830003</v>
      </c>
      <c r="N258" s="8">
        <v>16670.989240350005</v>
      </c>
    </row>
    <row r="259" spans="1:14" ht="15.6">
      <c r="A259" s="733" t="s">
        <v>28</v>
      </c>
      <c r="B259" s="734">
        <v>41732.480991759992</v>
      </c>
      <c r="C259" s="734">
        <v>28664.181435909999</v>
      </c>
      <c r="D259" s="734">
        <v>24532.729245579998</v>
      </c>
      <c r="E259" s="734">
        <v>12726.75383118</v>
      </c>
      <c r="F259" s="727">
        <f t="shared" si="77"/>
        <v>11805.975414399998</v>
      </c>
      <c r="G259" s="727">
        <f t="shared" si="78"/>
        <v>4131.452190330001</v>
      </c>
      <c r="H259" s="727">
        <f t="shared" si="79"/>
        <v>13068.299555849993</v>
      </c>
      <c r="I259" s="735">
        <v>2.2253080805295489</v>
      </c>
      <c r="J259" s="735">
        <v>1.7155785355340376</v>
      </c>
      <c r="K259" s="491"/>
      <c r="L259" s="491"/>
      <c r="M259" s="8">
        <v>18753.574553070001</v>
      </c>
      <c r="N259" s="8">
        <v>16708.172107660001</v>
      </c>
    </row>
    <row r="260" spans="1:14" ht="15.6">
      <c r="A260" s="733" t="s">
        <v>29</v>
      </c>
      <c r="B260" s="734">
        <v>42824.929994710001</v>
      </c>
      <c r="C260" s="734">
        <v>29565.603848790008</v>
      </c>
      <c r="D260" s="734">
        <v>25365.805405030005</v>
      </c>
      <c r="E260" s="734">
        <v>13297.493267379999</v>
      </c>
      <c r="F260" s="727">
        <f t="shared" si="77"/>
        <v>12068.312137650006</v>
      </c>
      <c r="G260" s="727">
        <f t="shared" si="78"/>
        <v>4199.7984437600026</v>
      </c>
      <c r="H260" s="727">
        <f t="shared" si="79"/>
        <v>13259.326145919993</v>
      </c>
      <c r="I260" s="735">
        <f>B260/M260</f>
        <v>2.0490141781273317</v>
      </c>
      <c r="J260" s="735">
        <f t="shared" si="82"/>
        <v>1.6933069359993795</v>
      </c>
      <c r="K260" s="491"/>
      <c r="L260" s="491"/>
      <c r="M260" s="8">
        <v>20900.260452980005</v>
      </c>
      <c r="N260" s="8">
        <v>17460.274460720004</v>
      </c>
    </row>
    <row r="261" spans="1:14" ht="15.6">
      <c r="A261" s="733" t="s">
        <v>3605</v>
      </c>
      <c r="B261" s="736">
        <v>45073.454435480002</v>
      </c>
      <c r="C261" s="736">
        <v>35371.828297100001</v>
      </c>
      <c r="D261" s="736">
        <v>29678.599827820002</v>
      </c>
      <c r="E261" s="736">
        <v>15873.293199200001</v>
      </c>
      <c r="F261" s="1533">
        <v>13805.306628620001</v>
      </c>
      <c r="G261" s="1533">
        <v>5693.2284692799985</v>
      </c>
      <c r="H261" s="1533">
        <v>9701.6261383800011</v>
      </c>
      <c r="I261" s="742">
        <v>1.8871316124945883</v>
      </c>
      <c r="J261" s="742">
        <v>1.6944433069209934</v>
      </c>
      <c r="K261" s="491"/>
      <c r="L261" s="491"/>
      <c r="M261" s="8"/>
      <c r="N261" s="8"/>
    </row>
    <row r="262" spans="1:14" ht="15.6">
      <c r="A262" s="733" t="s">
        <v>18</v>
      </c>
      <c r="B262" s="734">
        <v>42014.817824240003</v>
      </c>
      <c r="C262" s="734">
        <v>28914.779509910004</v>
      </c>
      <c r="D262" s="734">
        <v>24707.252560940004</v>
      </c>
      <c r="E262" s="734">
        <v>13257.987665800001</v>
      </c>
      <c r="F262" s="727">
        <f t="shared" si="77"/>
        <v>11449.264895140002</v>
      </c>
      <c r="G262" s="727">
        <f t="shared" si="78"/>
        <v>4207.5269489700004</v>
      </c>
      <c r="H262" s="727">
        <f t="shared" ref="H262:H273" si="83">+B262-C262</f>
        <v>13100.038314329999</v>
      </c>
      <c r="I262" s="735">
        <f t="shared" ref="I262:I268" si="84">B262/M262</f>
        <v>2.2556153508226053</v>
      </c>
      <c r="J262" s="735">
        <f t="shared" ref="J262:J268" si="85">C262/N262</f>
        <v>1.7124655404975042</v>
      </c>
      <c r="K262" s="491"/>
      <c r="L262" s="491"/>
      <c r="M262" s="8">
        <v>18626.765334310003</v>
      </c>
      <c r="N262" s="8">
        <v>16884.882542810003</v>
      </c>
    </row>
    <row r="263" spans="1:14" ht="15.6">
      <c r="A263" s="733" t="s">
        <v>19</v>
      </c>
      <c r="B263" s="734">
        <v>41733.000310439995</v>
      </c>
      <c r="C263" s="734">
        <v>29018.297662320001</v>
      </c>
      <c r="D263" s="734">
        <v>24680.764874619999</v>
      </c>
      <c r="E263" s="734">
        <v>13578.954223320001</v>
      </c>
      <c r="F263" s="727">
        <f t="shared" si="77"/>
        <v>11101.810651299998</v>
      </c>
      <c r="G263" s="727">
        <f t="shared" si="78"/>
        <v>4337.5327877000018</v>
      </c>
      <c r="H263" s="727">
        <f t="shared" si="83"/>
        <v>12714.702648119994</v>
      </c>
      <c r="I263" s="735">
        <f t="shared" si="84"/>
        <v>2.2067316166683244</v>
      </c>
      <c r="J263" s="735">
        <f t="shared" si="85"/>
        <v>1.682348336571837</v>
      </c>
      <c r="K263" s="491"/>
      <c r="L263" s="491"/>
      <c r="M263" s="8">
        <v>18911.679152650006</v>
      </c>
      <c r="N263" s="8">
        <v>17248.685680310005</v>
      </c>
    </row>
    <row r="264" spans="1:14" ht="15.6">
      <c r="A264" s="733" t="s">
        <v>20</v>
      </c>
      <c r="B264" s="734">
        <v>41078.253379200003</v>
      </c>
      <c r="C264" s="734">
        <v>29693.952624060003</v>
      </c>
      <c r="D264" s="734">
        <v>25305.375001060002</v>
      </c>
      <c r="E264" s="734">
        <v>13688.942531370001</v>
      </c>
      <c r="F264" s="727">
        <f t="shared" si="77"/>
        <v>11616.43246969</v>
      </c>
      <c r="G264" s="727">
        <f t="shared" si="78"/>
        <v>4388.577623000001</v>
      </c>
      <c r="H264" s="727">
        <f t="shared" si="83"/>
        <v>11384.300755140001</v>
      </c>
      <c r="I264" s="735">
        <f t="shared" si="84"/>
        <v>2.1132540677791014</v>
      </c>
      <c r="J264" s="735">
        <f t="shared" si="85"/>
        <v>1.6786724976993797</v>
      </c>
      <c r="K264" s="491"/>
      <c r="L264" s="491"/>
      <c r="M264" s="8">
        <v>19438.388410329997</v>
      </c>
      <c r="N264" s="8">
        <v>17688.949252909999</v>
      </c>
    </row>
    <row r="265" spans="1:14" ht="15.6">
      <c r="A265" s="733" t="s">
        <v>21</v>
      </c>
      <c r="B265" s="734">
        <v>41177.46987157</v>
      </c>
      <c r="C265" s="734">
        <v>30189.143619710001</v>
      </c>
      <c r="D265" s="734">
        <v>25721.310296610001</v>
      </c>
      <c r="E265" s="734">
        <v>13905.476173270001</v>
      </c>
      <c r="F265" s="727">
        <f t="shared" si="77"/>
        <v>11815.834123340001</v>
      </c>
      <c r="G265" s="727">
        <f t="shared" si="78"/>
        <v>4467.8333230999997</v>
      </c>
      <c r="H265" s="727">
        <f t="shared" si="83"/>
        <v>10988.326251859999</v>
      </c>
      <c r="I265" s="735">
        <f t="shared" si="84"/>
        <v>2.1644215064055374</v>
      </c>
      <c r="J265" s="735">
        <f t="shared" si="85"/>
        <v>1.714323418429949</v>
      </c>
      <c r="K265" s="491"/>
      <c r="L265" s="491"/>
      <c r="M265" s="8">
        <v>19024.700017860003</v>
      </c>
      <c r="N265" s="8">
        <v>17609.946463520002</v>
      </c>
    </row>
    <row r="266" spans="1:14" ht="15.6">
      <c r="A266" s="733" t="s">
        <v>22</v>
      </c>
      <c r="B266" s="734">
        <v>41371.81975563</v>
      </c>
      <c r="C266" s="734">
        <v>30368.844427370001</v>
      </c>
      <c r="D266" s="734">
        <v>25737.90202809</v>
      </c>
      <c r="E266" s="734">
        <v>13978.7521244</v>
      </c>
      <c r="F266" s="727">
        <f t="shared" si="77"/>
        <v>11759.14990369</v>
      </c>
      <c r="G266" s="727">
        <f t="shared" si="78"/>
        <v>4630.9423992800002</v>
      </c>
      <c r="H266" s="727">
        <f t="shared" si="83"/>
        <v>11002.97532826</v>
      </c>
      <c r="I266" s="735">
        <f t="shared" si="84"/>
        <v>2.1641647968905686</v>
      </c>
      <c r="J266" s="735">
        <f t="shared" si="85"/>
        <v>1.7503185495165405</v>
      </c>
      <c r="K266" s="491"/>
      <c r="L266" s="491"/>
      <c r="M266" s="8">
        <v>19116.760338709999</v>
      </c>
      <c r="N266" s="8">
        <v>17350.46711112</v>
      </c>
    </row>
    <row r="267" spans="1:14" ht="15.6">
      <c r="A267" s="733" t="s">
        <v>23</v>
      </c>
      <c r="B267" s="734">
        <v>41239.938644500005</v>
      </c>
      <c r="C267" s="734">
        <v>31403.953318120006</v>
      </c>
      <c r="D267" s="734">
        <v>26609.587875230005</v>
      </c>
      <c r="E267" s="734">
        <v>14534.687712530002</v>
      </c>
      <c r="F267" s="727">
        <f t="shared" si="77"/>
        <v>12074.900162700003</v>
      </c>
      <c r="G267" s="727">
        <f t="shared" si="78"/>
        <v>4794.3654428900008</v>
      </c>
      <c r="H267" s="727">
        <f t="shared" si="83"/>
        <v>9835.9853263799996</v>
      </c>
      <c r="I267" s="735">
        <f t="shared" si="84"/>
        <v>2.0657738527494414</v>
      </c>
      <c r="J267" s="735">
        <f t="shared" si="85"/>
        <v>1.7065771694203946</v>
      </c>
      <c r="K267" s="491"/>
      <c r="L267" s="491"/>
      <c r="M267" s="8">
        <v>19963.433359180006</v>
      </c>
      <c r="N267" s="8">
        <v>18401.718879660006</v>
      </c>
    </row>
    <row r="268" spans="1:14" ht="15.6">
      <c r="A268" s="733" t="s">
        <v>24</v>
      </c>
      <c r="B268" s="734">
        <v>41070.580024740004</v>
      </c>
      <c r="C268" s="734">
        <v>31713.095934370001</v>
      </c>
      <c r="D268" s="734">
        <v>26824.884184800001</v>
      </c>
      <c r="E268" s="734">
        <v>14725.274609399999</v>
      </c>
      <c r="F268" s="727">
        <f t="shared" si="77"/>
        <v>12099.609575400002</v>
      </c>
      <c r="G268" s="727">
        <f t="shared" si="78"/>
        <v>4888.2117495700004</v>
      </c>
      <c r="H268" s="727">
        <f t="shared" si="83"/>
        <v>9357.4840903700024</v>
      </c>
      <c r="I268" s="735">
        <f t="shared" si="84"/>
        <v>2.0989970578423991</v>
      </c>
      <c r="J268" s="735">
        <f t="shared" si="85"/>
        <v>1.7365008078276136</v>
      </c>
      <c r="K268" s="491"/>
      <c r="L268" s="491"/>
      <c r="M268" s="8">
        <v>19566.763979630003</v>
      </c>
      <c r="N268" s="8">
        <v>18262.643928190002</v>
      </c>
    </row>
    <row r="269" spans="1:14" ht="15.6">
      <c r="A269" s="733" t="s">
        <v>25</v>
      </c>
      <c r="B269" s="734">
        <v>41110.302735789999</v>
      </c>
      <c r="C269" s="734">
        <v>32027.483827460001</v>
      </c>
      <c r="D269" s="734">
        <v>26955.835413550001</v>
      </c>
      <c r="E269" s="734">
        <v>14604.80832387</v>
      </c>
      <c r="F269" s="727">
        <f t="shared" si="77"/>
        <v>12351.027089680001</v>
      </c>
      <c r="G269" s="727">
        <f t="shared" si="78"/>
        <v>5071.6484139099994</v>
      </c>
      <c r="H269" s="727">
        <f t="shared" si="83"/>
        <v>9082.8189083299985</v>
      </c>
      <c r="I269" s="735">
        <f t="shared" ref="I269" si="86">B269/M269</f>
        <v>2.0745403378096845</v>
      </c>
      <c r="J269" s="735">
        <f t="shared" ref="J269" si="87">C269/N269</f>
        <v>1.767826101846276</v>
      </c>
      <c r="K269" s="491"/>
      <c r="L269" s="491"/>
      <c r="M269" s="8">
        <v>19816.583937430001</v>
      </c>
      <c r="N269" s="8">
        <v>18116.87461454</v>
      </c>
    </row>
    <row r="270" spans="1:14" ht="15.6">
      <c r="A270" s="733" t="s">
        <v>26</v>
      </c>
      <c r="B270" s="734">
        <v>42024.068608210007</v>
      </c>
      <c r="C270" s="734">
        <v>33180.734471010008</v>
      </c>
      <c r="D270" s="734">
        <v>27879.462798890003</v>
      </c>
      <c r="E270" s="734">
        <v>14741.89901487</v>
      </c>
      <c r="F270" s="727">
        <f t="shared" si="77"/>
        <v>13137.563784020003</v>
      </c>
      <c r="G270" s="727">
        <f t="shared" si="78"/>
        <v>5301.271672120005</v>
      </c>
      <c r="H270" s="727">
        <f t="shared" si="83"/>
        <v>8843.3341371999995</v>
      </c>
      <c r="I270" s="735">
        <f t="shared" ref="I270:I271" si="88">B270/M270</f>
        <v>2.1625646022911087</v>
      </c>
      <c r="J270" s="735">
        <f t="shared" ref="J270:J271" si="89">C270/N270</f>
        <v>1.8540681909888546</v>
      </c>
      <c r="K270" s="491"/>
      <c r="L270" s="491"/>
      <c r="M270" s="8">
        <v>19432.514785309999</v>
      </c>
      <c r="N270" s="8">
        <v>17896.178054439999</v>
      </c>
    </row>
    <row r="271" spans="1:14" ht="15.6">
      <c r="A271" s="733" t="s">
        <v>27</v>
      </c>
      <c r="B271" s="734">
        <v>42894.20957888</v>
      </c>
      <c r="C271" s="734">
        <v>33433.65352688</v>
      </c>
      <c r="D271" s="734">
        <v>28076.588598260001</v>
      </c>
      <c r="E271" s="734">
        <v>14941.352366700001</v>
      </c>
      <c r="F271" s="727">
        <f t="shared" si="77"/>
        <v>13135.23623156</v>
      </c>
      <c r="G271" s="727">
        <f t="shared" si="78"/>
        <v>5357.0649286199987</v>
      </c>
      <c r="H271" s="727">
        <f t="shared" si="83"/>
        <v>9460.5560519999999</v>
      </c>
      <c r="I271" s="735">
        <f t="shared" si="88"/>
        <v>2.1495165904679179</v>
      </c>
      <c r="J271" s="735">
        <f t="shared" si="89"/>
        <v>1.8168498246545146</v>
      </c>
      <c r="K271" s="491"/>
      <c r="L271" s="491"/>
      <c r="M271" s="8">
        <v>19955.28193134</v>
      </c>
      <c r="N271" s="8">
        <v>18401.99067264</v>
      </c>
    </row>
    <row r="272" spans="1:14" ht="15.6">
      <c r="A272" s="733" t="s">
        <v>28</v>
      </c>
      <c r="B272" s="734">
        <v>43361.764667709998</v>
      </c>
      <c r="C272" s="734">
        <v>34199.027360200002</v>
      </c>
      <c r="D272" s="734">
        <v>28673.838069500001</v>
      </c>
      <c r="E272" s="734">
        <v>15117.740253280002</v>
      </c>
      <c r="F272" s="727">
        <f t="shared" si="77"/>
        <v>13556.097816219999</v>
      </c>
      <c r="G272" s="727">
        <f t="shared" si="78"/>
        <v>5525.1892907000001</v>
      </c>
      <c r="H272" s="727">
        <f t="shared" si="83"/>
        <v>9162.7373075099968</v>
      </c>
      <c r="I272" s="735">
        <f t="shared" ref="I272:I273" si="90">B272/M272</f>
        <v>2.1952577683464227</v>
      </c>
      <c r="J272" s="735">
        <f t="shared" ref="J272:J273" si="91">C272/N272</f>
        <v>1.8652951097690866</v>
      </c>
      <c r="K272" s="491"/>
      <c r="L272" s="491"/>
      <c r="M272" s="8">
        <v>19752.470663329997</v>
      </c>
      <c r="N272" s="8">
        <v>18334.378930759998</v>
      </c>
    </row>
    <row r="273" spans="1:14" ht="15.6">
      <c r="A273" s="733" t="s">
        <v>29</v>
      </c>
      <c r="B273" s="734">
        <v>45073.454435480002</v>
      </c>
      <c r="C273" s="734">
        <v>35371.828297100001</v>
      </c>
      <c r="D273" s="734">
        <v>29678.599827820002</v>
      </c>
      <c r="E273" s="734">
        <v>15873.293199200001</v>
      </c>
      <c r="F273" s="727">
        <f t="shared" si="77"/>
        <v>13805.306628620001</v>
      </c>
      <c r="G273" s="727">
        <f t="shared" si="78"/>
        <v>5693.2284692799985</v>
      </c>
      <c r="H273" s="727">
        <f t="shared" si="83"/>
        <v>9701.6261383800011</v>
      </c>
      <c r="I273" s="735">
        <f t="shared" si="90"/>
        <v>1.8871316124945883</v>
      </c>
      <c r="J273" s="735">
        <f t="shared" si="91"/>
        <v>1.6944433069209934</v>
      </c>
      <c r="K273" s="491"/>
      <c r="L273" s="491"/>
      <c r="M273" s="8">
        <v>23884.63747682</v>
      </c>
      <c r="N273" s="8">
        <v>20875.191369710003</v>
      </c>
    </row>
    <row r="274" spans="1:14" ht="15.6">
      <c r="A274" s="733" t="s">
        <v>4086</v>
      </c>
      <c r="B274" s="734"/>
      <c r="C274" s="734"/>
      <c r="D274" s="734"/>
      <c r="E274" s="734"/>
      <c r="F274" s="727"/>
      <c r="G274" s="727"/>
      <c r="H274" s="727"/>
      <c r="I274" s="735"/>
      <c r="J274" s="735"/>
      <c r="K274" s="491"/>
      <c r="L274" s="491"/>
      <c r="M274" s="8"/>
      <c r="N274" s="8"/>
    </row>
    <row r="275" spans="1:14" ht="15.6">
      <c r="A275" s="733" t="s">
        <v>18</v>
      </c>
      <c r="B275" s="734">
        <v>44898.660742440006</v>
      </c>
      <c r="C275" s="734">
        <v>34235.278261960004</v>
      </c>
      <c r="D275" s="734">
        <v>28785.707060780001</v>
      </c>
      <c r="E275" s="734">
        <v>15416.519995090002</v>
      </c>
      <c r="F275" s="727">
        <f t="shared" ref="F275:F276" si="92">+D275-E275</f>
        <v>13369.187065689999</v>
      </c>
      <c r="G275" s="727">
        <f t="shared" ref="G275:G276" si="93">+C275-D275</f>
        <v>5449.5712011800024</v>
      </c>
      <c r="H275" s="727">
        <f t="shared" ref="H275:H276" si="94">+B275-C275</f>
        <v>10663.382480480002</v>
      </c>
      <c r="I275" s="735">
        <f t="shared" ref="I275:I276" si="95">B275/M275</f>
        <v>1.9708098549605919</v>
      </c>
      <c r="J275" s="735">
        <f t="shared" ref="J275:J276" si="96">C275/N275</f>
        <v>1.6888678265984305</v>
      </c>
      <c r="K275" s="491"/>
      <c r="L275" s="491"/>
      <c r="M275" s="8">
        <v>22781.832874150001</v>
      </c>
      <c r="N275" s="8">
        <v>20271.14124787</v>
      </c>
    </row>
    <row r="276" spans="1:14" ht="15.6">
      <c r="A276" s="747" t="s">
        <v>19</v>
      </c>
      <c r="B276" s="748">
        <v>44762.603155069999</v>
      </c>
      <c r="C276" s="748">
        <v>34263.958200839996</v>
      </c>
      <c r="D276" s="748">
        <v>28643.007836739998</v>
      </c>
      <c r="E276" s="748">
        <v>15245.458378809999</v>
      </c>
      <c r="F276" s="749">
        <f t="shared" si="92"/>
        <v>13397.549457929999</v>
      </c>
      <c r="G276" s="749">
        <f t="shared" si="93"/>
        <v>5620.9503640999974</v>
      </c>
      <c r="H276" s="749">
        <f t="shared" si="94"/>
        <v>10498.644954230003</v>
      </c>
      <c r="I276" s="750">
        <f t="shared" si="95"/>
        <v>1.9436302872303235</v>
      </c>
      <c r="J276" s="750">
        <f t="shared" si="96"/>
        <v>1.7019855455115509</v>
      </c>
      <c r="K276" s="491"/>
      <c r="L276" s="491"/>
      <c r="M276" s="8">
        <v>23030.41038677</v>
      </c>
      <c r="N276" s="8">
        <v>20131.75628383</v>
      </c>
    </row>
    <row r="277" spans="1:14" s="884" customFormat="1" ht="20.25" customHeight="1">
      <c r="A277" s="2253" t="s">
        <v>2862</v>
      </c>
      <c r="B277" s="2253"/>
      <c r="C277" s="2253"/>
      <c r="D277" s="2253"/>
      <c r="E277" s="2253"/>
      <c r="F277" s="2253"/>
      <c r="G277" s="2253"/>
      <c r="H277" s="2253"/>
      <c r="I277" s="2253"/>
      <c r="J277" s="2253"/>
      <c r="K277" s="883"/>
      <c r="L277" s="883"/>
    </row>
    <row r="278" spans="1:14" s="884" customFormat="1" ht="20.25" customHeight="1">
      <c r="A278" s="2253" t="s">
        <v>2863</v>
      </c>
      <c r="B278" s="2253"/>
      <c r="C278" s="2253"/>
      <c r="D278" s="2253"/>
      <c r="E278" s="2253"/>
      <c r="F278" s="2253"/>
      <c r="G278" s="2253"/>
      <c r="H278" s="2253"/>
      <c r="I278" s="2253"/>
      <c r="J278" s="2253"/>
      <c r="K278" s="885"/>
      <c r="L278" s="885"/>
    </row>
    <row r="279" spans="1:14" ht="12.9" customHeight="1">
      <c r="H279" s="8"/>
    </row>
    <row r="280" spans="1:14" ht="12.9" customHeight="1">
      <c r="C280" s="9" t="s">
        <v>1870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77:J277"/>
    <mergeCell ref="G13:G15"/>
    <mergeCell ref="E9:E10"/>
    <mergeCell ref="F14:F15"/>
    <mergeCell ref="A278:J278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0"/>
  <sheetViews>
    <sheetView showGridLines="0" view="pageBreakPreview" zoomScale="115" zoomScaleSheetLayoutView="115" workbookViewId="0">
      <pane ySplit="32" topLeftCell="A254" activePane="bottomLeft" state="frozen"/>
      <selection activeCell="G291" sqref="G291"/>
      <selection pane="bottomLeft" activeCell="J282" sqref="J282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266" t="s">
        <v>2864</v>
      </c>
      <c r="B2" s="2266"/>
      <c r="C2" s="2266"/>
      <c r="D2" s="2266"/>
      <c r="E2" s="2266"/>
      <c r="F2" s="2266"/>
      <c r="G2" s="2266"/>
    </row>
    <row r="3" spans="1:80" s="183" customFormat="1" ht="19.5" customHeight="1">
      <c r="A3" s="2267" t="s">
        <v>2795</v>
      </c>
      <c r="B3" s="2267"/>
      <c r="C3" s="2267"/>
      <c r="D3" s="2267"/>
      <c r="E3" s="2267"/>
      <c r="F3" s="2267"/>
      <c r="G3" s="2267"/>
    </row>
    <row r="4" spans="1:80" s="183" customFormat="1" ht="12" customHeight="1">
      <c r="A4" s="619"/>
      <c r="B4" s="619"/>
      <c r="C4" s="619"/>
      <c r="D4" s="619"/>
      <c r="E4" s="619"/>
      <c r="F4" s="619"/>
      <c r="G4" s="619"/>
    </row>
    <row r="5" spans="1:80" s="183" customFormat="1" ht="12" customHeight="1">
      <c r="A5" s="2239" t="s">
        <v>8</v>
      </c>
      <c r="B5" s="2239"/>
      <c r="C5" s="2239"/>
      <c r="D5" s="2239"/>
      <c r="E5" s="2239"/>
      <c r="F5" s="2239"/>
      <c r="G5" s="2239"/>
    </row>
    <row r="6" spans="1:80" s="42" customFormat="1" ht="12.75" customHeight="1">
      <c r="A6" s="2219" t="s">
        <v>182</v>
      </c>
      <c r="B6" s="2219" t="s">
        <v>136</v>
      </c>
      <c r="C6" s="2219" t="s">
        <v>2831</v>
      </c>
      <c r="D6" s="2219" t="s">
        <v>138</v>
      </c>
      <c r="E6" s="2219" t="s">
        <v>1895</v>
      </c>
      <c r="F6" s="1435" t="s">
        <v>144</v>
      </c>
      <c r="G6" s="2219" t="s">
        <v>137</v>
      </c>
      <c r="H6" s="13"/>
      <c r="CA6" s="45" t="s">
        <v>2089</v>
      </c>
      <c r="CB6" s="367" t="s">
        <v>2090</v>
      </c>
    </row>
    <row r="7" spans="1:80" s="42" customFormat="1" ht="36" customHeight="1">
      <c r="A7" s="2220"/>
      <c r="B7" s="2220"/>
      <c r="C7" s="2220"/>
      <c r="D7" s="2220"/>
      <c r="E7" s="2220"/>
      <c r="F7" s="643" t="s">
        <v>139</v>
      </c>
      <c r="G7" s="2220"/>
      <c r="H7" s="13"/>
      <c r="BW7" s="42">
        <f>BW8+BW20+BW30+BW38</f>
        <v>0</v>
      </c>
      <c r="CA7" s="42">
        <f>CA8+CA20+CA30+CA38</f>
        <v>622</v>
      </c>
      <c r="CB7" s="368">
        <f>BW7+BX7+BY7+CA7</f>
        <v>622</v>
      </c>
    </row>
    <row r="8" spans="1:80" s="184" customFormat="1" ht="12" customHeight="1">
      <c r="A8" s="2223" t="s">
        <v>304</v>
      </c>
      <c r="B8" s="2268" t="s">
        <v>2832</v>
      </c>
      <c r="C8" s="2268" t="s">
        <v>2833</v>
      </c>
      <c r="D8" s="2223" t="s">
        <v>141</v>
      </c>
      <c r="E8" s="2261" t="s">
        <v>1894</v>
      </c>
      <c r="F8" s="1436" t="s">
        <v>149</v>
      </c>
      <c r="G8" s="2223" t="s">
        <v>140</v>
      </c>
      <c r="H8" s="2262"/>
      <c r="I8" s="2260"/>
      <c r="CA8" s="184">
        <f>CA10+CA15</f>
        <v>1713</v>
      </c>
      <c r="CB8" s="369">
        <f>BW8+BX8+BY8+CA8</f>
        <v>1713</v>
      </c>
    </row>
    <row r="9" spans="1:80" s="184" customFormat="1" ht="36" customHeight="1">
      <c r="A9" s="2224"/>
      <c r="B9" s="2224"/>
      <c r="C9" s="2224"/>
      <c r="D9" s="2224"/>
      <c r="E9" s="2244"/>
      <c r="F9" s="644" t="s">
        <v>142</v>
      </c>
      <c r="G9" s="2224"/>
      <c r="H9" s="2262"/>
      <c r="I9" s="2260"/>
      <c r="CB9" s="369"/>
    </row>
    <row r="10" spans="1:80" hidden="1">
      <c r="A10" s="118">
        <v>1995</v>
      </c>
      <c r="B10" s="519">
        <v>180.12</v>
      </c>
      <c r="C10" s="519">
        <v>147.26</v>
      </c>
      <c r="D10" s="519">
        <v>121.28</v>
      </c>
      <c r="E10" s="519">
        <v>58.84</v>
      </c>
      <c r="F10" s="519">
        <v>9.6199999999999992</v>
      </c>
      <c r="G10" s="520">
        <f t="shared" ref="G10:G32" si="0">D10*100/B10</f>
        <v>67.332889184987778</v>
      </c>
      <c r="H10" s="128"/>
      <c r="CA10" s="18">
        <f>CA12+CA13</f>
        <v>4361</v>
      </c>
      <c r="CB10" s="370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70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70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70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70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70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70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70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70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70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70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70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70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70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70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70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70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70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70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70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70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70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70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70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70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70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70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70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70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70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70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70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70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70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70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70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70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70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70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70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70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70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70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70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70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70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70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70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70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70"/>
    </row>
    <row r="60" spans="1:80" ht="12.75" hidden="1" customHeight="1">
      <c r="A60" s="40" t="s">
        <v>18</v>
      </c>
      <c r="B60" s="751">
        <v>3074.5</v>
      </c>
      <c r="C60" s="751">
        <v>2895.6</v>
      </c>
      <c r="D60" s="751">
        <v>2701.5</v>
      </c>
      <c r="E60" s="751">
        <v>372.3</v>
      </c>
      <c r="F60" s="751">
        <f t="shared" si="4"/>
        <v>342.6</v>
      </c>
      <c r="G60" s="751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70">
        <f>BW60+BX60+BY60+CA60</f>
        <v>0</v>
      </c>
    </row>
    <row r="61" spans="1:80" ht="13.8" hidden="1">
      <c r="A61" s="40" t="s">
        <v>19</v>
      </c>
      <c r="B61" s="751">
        <v>3194.3</v>
      </c>
      <c r="C61" s="751">
        <v>3022</v>
      </c>
      <c r="D61" s="751">
        <v>2735.7</v>
      </c>
      <c r="E61" s="751">
        <v>457.5</v>
      </c>
      <c r="F61" s="751">
        <f t="shared" si="4"/>
        <v>333.6</v>
      </c>
      <c r="G61" s="751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51">
        <v>3468</v>
      </c>
      <c r="C62" s="751">
        <v>3246.4</v>
      </c>
      <c r="D62" s="751">
        <v>2949.2</v>
      </c>
      <c r="E62" s="751">
        <v>518</v>
      </c>
      <c r="F62" s="751">
        <f t="shared" si="4"/>
        <v>378.7</v>
      </c>
      <c r="G62" s="751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51">
        <v>3463.4</v>
      </c>
      <c r="C63" s="751">
        <v>3291.2</v>
      </c>
      <c r="D63" s="751">
        <v>3070</v>
      </c>
      <c r="E63" s="751">
        <v>390.8</v>
      </c>
      <c r="F63" s="751">
        <f t="shared" si="4"/>
        <v>341.79999999999995</v>
      </c>
      <c r="G63" s="751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51">
        <v>3489.1</v>
      </c>
      <c r="C64" s="751">
        <v>3321.2</v>
      </c>
      <c r="D64" s="751">
        <v>3160.8</v>
      </c>
      <c r="E64" s="751">
        <v>327.53356411000004</v>
      </c>
      <c r="F64" s="751">
        <v>337.7664934</v>
      </c>
      <c r="G64" s="751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51">
        <v>3959</v>
      </c>
      <c r="C65" s="751">
        <v>3748.5</v>
      </c>
      <c r="D65" s="751">
        <v>3412</v>
      </c>
      <c r="E65" s="751">
        <v>546</v>
      </c>
      <c r="F65" s="751">
        <f t="shared" si="4"/>
        <v>379.8</v>
      </c>
      <c r="G65" s="751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51">
        <v>4072</v>
      </c>
      <c r="C66" s="751">
        <v>3873</v>
      </c>
      <c r="D66" s="751">
        <v>3690.2</v>
      </c>
      <c r="E66" s="751">
        <v>380.5</v>
      </c>
      <c r="F66" s="751">
        <f t="shared" si="4"/>
        <v>364.8</v>
      </c>
      <c r="G66" s="751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51">
        <v>4315.2</v>
      </c>
      <c r="C67" s="751">
        <v>4046.7</v>
      </c>
      <c r="D67" s="751">
        <v>3760.3</v>
      </c>
      <c r="E67" s="751">
        <v>552.79999999999995</v>
      </c>
      <c r="F67" s="751">
        <f t="shared" si="4"/>
        <v>476.90000000000003</v>
      </c>
      <c r="G67" s="751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51">
        <v>4453.3999999999996</v>
      </c>
      <c r="C68" s="751">
        <v>4172.6000000000004</v>
      </c>
      <c r="D68" s="751">
        <v>3857.1</v>
      </c>
      <c r="E68" s="751">
        <v>595</v>
      </c>
      <c r="F68" s="751">
        <v>489.63989670000001</v>
      </c>
      <c r="G68" s="751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51">
        <v>4265.6000000000004</v>
      </c>
      <c r="C69" s="751">
        <v>4082</v>
      </c>
      <c r="D69" s="751">
        <v>3858.9</v>
      </c>
      <c r="E69" s="751">
        <v>405.4</v>
      </c>
      <c r="F69" s="751">
        <v>311.68815119999999</v>
      </c>
      <c r="G69" s="751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51">
        <v>4382.3</v>
      </c>
      <c r="C70" s="751">
        <v>4212.5</v>
      </c>
      <c r="D70" s="751">
        <v>3938.5</v>
      </c>
      <c r="E70" s="751">
        <v>443.4</v>
      </c>
      <c r="F70" s="751">
        <v>303.2587906</v>
      </c>
      <c r="G70" s="751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51">
        <v>4963.8999999999996</v>
      </c>
      <c r="C71" s="751">
        <v>4781.3</v>
      </c>
      <c r="D71" s="751">
        <v>4425.8</v>
      </c>
      <c r="E71" s="751">
        <v>537.5</v>
      </c>
      <c r="F71" s="751">
        <v>223.90902680000002</v>
      </c>
      <c r="G71" s="751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7">
        <v>4907.7</v>
      </c>
      <c r="C72" s="567">
        <v>4861</v>
      </c>
      <c r="D72" s="567">
        <v>4512.7</v>
      </c>
      <c r="E72" s="567">
        <v>392</v>
      </c>
      <c r="F72" s="567">
        <v>20.399999999999999</v>
      </c>
      <c r="G72" s="567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7">
        <v>4452</v>
      </c>
      <c r="C73" s="567">
        <v>4300.2</v>
      </c>
      <c r="D73" s="567">
        <v>4134.8</v>
      </c>
      <c r="E73" s="567">
        <v>316.10000000000002</v>
      </c>
      <c r="F73" s="567">
        <v>206.76007239999998</v>
      </c>
      <c r="G73" s="567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7">
        <v>4215.3999999999996</v>
      </c>
      <c r="C74" s="567">
        <v>4127.8</v>
      </c>
      <c r="D74" s="567">
        <v>3926</v>
      </c>
      <c r="E74" s="567">
        <v>285.7</v>
      </c>
      <c r="F74" s="567">
        <f t="shared" si="4"/>
        <v>102.80000000000001</v>
      </c>
      <c r="G74" s="567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7">
        <v>3751.8</v>
      </c>
      <c r="C75" s="567">
        <v>3702.1</v>
      </c>
      <c r="D75" s="567">
        <v>3571.6</v>
      </c>
      <c r="E75" s="567">
        <v>178</v>
      </c>
      <c r="F75" s="567">
        <f t="shared" si="4"/>
        <v>17.600000000000001</v>
      </c>
      <c r="G75" s="567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7">
        <v>3742.3</v>
      </c>
      <c r="C76" s="567">
        <v>3679.6</v>
      </c>
      <c r="D76" s="567">
        <v>3528.8</v>
      </c>
      <c r="E76" s="567">
        <v>211.9</v>
      </c>
      <c r="F76" s="567">
        <f t="shared" si="4"/>
        <v>16.8</v>
      </c>
      <c r="G76" s="567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7">
        <v>3880.5</v>
      </c>
      <c r="C77" s="567">
        <v>3820.5</v>
      </c>
      <c r="D77" s="567">
        <v>3633</v>
      </c>
      <c r="E77" s="567">
        <v>243.4</v>
      </c>
      <c r="F77" s="567">
        <f t="shared" si="4"/>
        <v>12.4</v>
      </c>
      <c r="G77" s="567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7">
        <v>3935.6</v>
      </c>
      <c r="C78" s="567">
        <v>3888.9</v>
      </c>
      <c r="D78" s="567">
        <v>3726.1</v>
      </c>
      <c r="E78" s="567">
        <v>205.5</v>
      </c>
      <c r="F78" s="567">
        <f t="shared" si="4"/>
        <v>12.1</v>
      </c>
      <c r="G78" s="567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7">
        <v>4177.7</v>
      </c>
      <c r="C79" s="567">
        <v>4129.1000000000004</v>
      </c>
      <c r="D79" s="567">
        <v>3868.9</v>
      </c>
      <c r="E79" s="567">
        <v>304</v>
      </c>
      <c r="F79" s="567">
        <f t="shared" si="4"/>
        <v>12.100000000000001</v>
      </c>
      <c r="G79" s="567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7">
        <v>4233.8999999999996</v>
      </c>
      <c r="C80" s="567">
        <v>4172</v>
      </c>
      <c r="D80" s="567">
        <v>3890.9</v>
      </c>
      <c r="E80" s="567">
        <v>337.5</v>
      </c>
      <c r="F80" s="567">
        <f t="shared" si="4"/>
        <v>12.2</v>
      </c>
      <c r="G80" s="567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7">
        <v>4180.6000000000004</v>
      </c>
      <c r="C81" s="567">
        <v>4170.3999999999996</v>
      </c>
      <c r="D81" s="567">
        <v>3887.6</v>
      </c>
      <c r="E81" s="567">
        <v>290.3</v>
      </c>
      <c r="F81" s="567">
        <f t="shared" si="4"/>
        <v>13.9</v>
      </c>
      <c r="G81" s="567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7">
        <v>4214</v>
      </c>
      <c r="C82" s="567">
        <v>4193.5</v>
      </c>
      <c r="D82" s="567">
        <v>3920.6</v>
      </c>
      <c r="E82" s="567">
        <v>289</v>
      </c>
      <c r="F82" s="567">
        <f t="shared" si="4"/>
        <v>13.8</v>
      </c>
      <c r="G82" s="567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7">
        <v>4360.6000000000004</v>
      </c>
      <c r="C83" s="567">
        <v>4337.1000000000004</v>
      </c>
      <c r="D83" s="567">
        <v>4106.2</v>
      </c>
      <c r="E83" s="567">
        <v>248.5</v>
      </c>
      <c r="F83" s="567">
        <f t="shared" si="4"/>
        <v>17.899999999999999</v>
      </c>
      <c r="G83" s="567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7">
        <v>4907.7</v>
      </c>
      <c r="C84" s="567">
        <v>4861</v>
      </c>
      <c r="D84" s="567">
        <v>4512.7</v>
      </c>
      <c r="E84" s="567">
        <v>392</v>
      </c>
      <c r="F84" s="567">
        <f t="shared" si="4"/>
        <v>20.399999999999999</v>
      </c>
      <c r="G84" s="567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7">
        <v>6520.9</v>
      </c>
      <c r="C85" s="567">
        <v>6397.1</v>
      </c>
      <c r="D85" s="567">
        <v>5793.2</v>
      </c>
      <c r="E85" s="567">
        <v>725.5</v>
      </c>
      <c r="F85" s="567">
        <v>20.9</v>
      </c>
      <c r="G85" s="567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7">
        <v>4594.2</v>
      </c>
      <c r="C86" s="567">
        <v>4559.1000000000004</v>
      </c>
      <c r="D86" s="567">
        <v>4256.1000000000004</v>
      </c>
      <c r="E86" s="567">
        <v>335.5</v>
      </c>
      <c r="F86" s="567">
        <v>13.4</v>
      </c>
      <c r="G86" s="567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7">
        <v>4677.8</v>
      </c>
      <c r="C87" s="567">
        <v>4658.1000000000004</v>
      </c>
      <c r="D87" s="567">
        <v>4359.1000000000004</v>
      </c>
      <c r="E87" s="567">
        <v>311.8</v>
      </c>
      <c r="F87" s="567">
        <v>14.4</v>
      </c>
      <c r="G87" s="567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7">
        <v>4916.7</v>
      </c>
      <c r="C88" s="567">
        <v>4902</v>
      </c>
      <c r="D88" s="567">
        <v>4608.1000000000004</v>
      </c>
      <c r="E88" s="567">
        <v>301.39999999999998</v>
      </c>
      <c r="F88" s="567">
        <v>15.3</v>
      </c>
      <c r="G88" s="567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7">
        <v>4967.8</v>
      </c>
      <c r="C89" s="567">
        <v>4956.1000000000004</v>
      </c>
      <c r="D89" s="567">
        <v>4704.1000000000004</v>
      </c>
      <c r="E89" s="567">
        <v>254.4</v>
      </c>
      <c r="F89" s="567">
        <v>13.4</v>
      </c>
      <c r="G89" s="567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7">
        <v>5048</v>
      </c>
      <c r="C90" s="567">
        <v>5012.6000000000004</v>
      </c>
      <c r="D90" s="567">
        <v>4803.5</v>
      </c>
      <c r="E90" s="567">
        <v>235.3</v>
      </c>
      <c r="F90" s="567">
        <v>12.9</v>
      </c>
      <c r="G90" s="567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7">
        <v>5137.3</v>
      </c>
      <c r="C91" s="567">
        <v>5116.3999999999996</v>
      </c>
      <c r="D91" s="567">
        <v>4855.2</v>
      </c>
      <c r="E91" s="567">
        <v>275.8</v>
      </c>
      <c r="F91" s="567">
        <v>13</v>
      </c>
      <c r="G91" s="567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7">
        <v>5311.8</v>
      </c>
      <c r="C92" s="567">
        <v>5299.4</v>
      </c>
      <c r="D92" s="567">
        <v>5086.6000000000004</v>
      </c>
      <c r="E92" s="567">
        <v>220.1</v>
      </c>
      <c r="F92" s="567">
        <v>14.399999999999999</v>
      </c>
      <c r="G92" s="567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7">
        <v>5385.2</v>
      </c>
      <c r="C93" s="567">
        <v>5373.5</v>
      </c>
      <c r="D93" s="567">
        <v>5131.8999999999996</v>
      </c>
      <c r="E93" s="567">
        <v>249</v>
      </c>
      <c r="F93" s="567">
        <v>13.2</v>
      </c>
      <c r="G93" s="567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7">
        <v>5516.1</v>
      </c>
      <c r="C94" s="567">
        <v>5504.6</v>
      </c>
      <c r="D94" s="567">
        <v>5197.8</v>
      </c>
      <c r="E94" s="567">
        <v>314.8</v>
      </c>
      <c r="F94" s="567">
        <v>13.6</v>
      </c>
      <c r="G94" s="567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7">
        <v>5660.9</v>
      </c>
      <c r="C95" s="567">
        <v>5646.3</v>
      </c>
      <c r="D95" s="567">
        <v>5251.3</v>
      </c>
      <c r="E95" s="567">
        <v>405.8</v>
      </c>
      <c r="F95" s="567">
        <v>14.8</v>
      </c>
      <c r="G95" s="567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7">
        <v>5622.9</v>
      </c>
      <c r="C96" s="567">
        <v>5605.5</v>
      </c>
      <c r="D96" s="567">
        <v>5292.6</v>
      </c>
      <c r="E96" s="567">
        <v>328.8</v>
      </c>
      <c r="F96" s="567">
        <v>15</v>
      </c>
      <c r="G96" s="567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7">
        <v>6520.9</v>
      </c>
      <c r="C97" s="567">
        <v>6397.1</v>
      </c>
      <c r="D97" s="567">
        <v>5793.2</v>
      </c>
      <c r="E97" s="567">
        <v>725.5</v>
      </c>
      <c r="F97" s="567">
        <v>20.9</v>
      </c>
      <c r="G97" s="567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7">
        <v>8489.4</v>
      </c>
      <c r="C98" s="567">
        <v>8275.2999999999993</v>
      </c>
      <c r="D98" s="567">
        <v>7658.5</v>
      </c>
      <c r="E98" s="567">
        <v>826.4</v>
      </c>
      <c r="F98" s="567">
        <v>100.8</v>
      </c>
      <c r="G98" s="567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51">
        <v>6015.5754722599995</v>
      </c>
      <c r="C99" s="751">
        <v>5960.9435422899996</v>
      </c>
      <c r="D99" s="751">
        <v>5563.5</v>
      </c>
      <c r="E99" s="751">
        <v>449.8</v>
      </c>
      <c r="F99" s="751">
        <v>20.896174600000002</v>
      </c>
      <c r="G99" s="751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51">
        <v>6120.5</v>
      </c>
      <c r="C100" s="751">
        <v>6099.5</v>
      </c>
      <c r="D100" s="751">
        <v>5685.1</v>
      </c>
      <c r="E100" s="751">
        <v>431.4</v>
      </c>
      <c r="F100" s="751">
        <v>18.7</v>
      </c>
      <c r="G100" s="751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51">
        <v>6282.9</v>
      </c>
      <c r="C101" s="751">
        <v>6269</v>
      </c>
      <c r="D101" s="751">
        <v>5749.7</v>
      </c>
      <c r="E101" s="751">
        <v>527.6</v>
      </c>
      <c r="F101" s="751">
        <v>18.8</v>
      </c>
      <c r="G101" s="751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51">
        <v>6191.6</v>
      </c>
      <c r="C102" s="751">
        <v>6167.3</v>
      </c>
      <c r="D102" s="751">
        <v>5769.5</v>
      </c>
      <c r="E102" s="751">
        <v>414.3</v>
      </c>
      <c r="F102" s="751">
        <v>25.9</v>
      </c>
      <c r="G102" s="751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51">
        <v>6294.4</v>
      </c>
      <c r="C103" s="751">
        <v>6244.9</v>
      </c>
      <c r="D103" s="751">
        <v>5949.5</v>
      </c>
      <c r="E103" s="751">
        <v>337.1</v>
      </c>
      <c r="F103" s="751">
        <v>75.3</v>
      </c>
      <c r="G103" s="751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51">
        <v>6552.4</v>
      </c>
      <c r="C104" s="751">
        <v>6497.7</v>
      </c>
      <c r="D104" s="751">
        <v>6198.3</v>
      </c>
      <c r="E104" s="751">
        <v>344.2</v>
      </c>
      <c r="F104" s="751">
        <v>76.599999999999994</v>
      </c>
      <c r="G104" s="751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51">
        <v>6940.6</v>
      </c>
      <c r="C105" s="751">
        <v>6858.1</v>
      </c>
      <c r="D105" s="751">
        <v>6521.2</v>
      </c>
      <c r="E105" s="751">
        <v>408.5</v>
      </c>
      <c r="F105" s="751">
        <v>95</v>
      </c>
      <c r="G105" s="751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51">
        <v>7202.8</v>
      </c>
      <c r="C106" s="751">
        <v>7119.3</v>
      </c>
      <c r="D106" s="751">
        <v>6883.8</v>
      </c>
      <c r="E106" s="751">
        <v>307.3</v>
      </c>
      <c r="F106" s="751">
        <v>95.1</v>
      </c>
      <c r="G106" s="751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51">
        <v>7281.5</v>
      </c>
      <c r="C107" s="751">
        <v>7206.5</v>
      </c>
      <c r="D107" s="751">
        <v>6818.6</v>
      </c>
      <c r="E107" s="751">
        <v>451.2</v>
      </c>
      <c r="F107" s="751">
        <v>96.5</v>
      </c>
      <c r="G107" s="751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51">
        <v>7270.4</v>
      </c>
      <c r="C108" s="751">
        <v>7189.7</v>
      </c>
      <c r="D108" s="751">
        <v>6849.3</v>
      </c>
      <c r="E108" s="751">
        <v>409.6</v>
      </c>
      <c r="F108" s="751">
        <v>108.1</v>
      </c>
      <c r="G108" s="751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51">
        <v>7494.4</v>
      </c>
      <c r="C109" s="751">
        <v>7417.4</v>
      </c>
      <c r="D109" s="751">
        <v>6937.2</v>
      </c>
      <c r="E109" s="751">
        <v>542.9</v>
      </c>
      <c r="F109" s="751">
        <v>101.19999999999999</v>
      </c>
      <c r="G109" s="751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51">
        <v>8489.4</v>
      </c>
      <c r="C110" s="751">
        <v>8275.2999999999993</v>
      </c>
      <c r="D110" s="751">
        <v>7658.5</v>
      </c>
      <c r="E110" s="751">
        <v>826.4</v>
      </c>
      <c r="F110" s="751">
        <v>100.8</v>
      </c>
      <c r="G110" s="751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52">
        <v>10660.3</v>
      </c>
      <c r="C111" s="752">
        <v>10515</v>
      </c>
      <c r="D111" s="752">
        <v>9777.5</v>
      </c>
      <c r="E111" s="752">
        <v>868.6</v>
      </c>
      <c r="F111" s="752">
        <v>106.3496748</v>
      </c>
      <c r="G111" s="752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51">
        <v>7686.7</v>
      </c>
      <c r="C112" s="751">
        <v>7601.5</v>
      </c>
      <c r="D112" s="751">
        <v>7222.3</v>
      </c>
      <c r="E112" s="751">
        <v>459.4</v>
      </c>
      <c r="F112" s="751">
        <v>106.4</v>
      </c>
      <c r="G112" s="751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51">
        <v>7908.7</v>
      </c>
      <c r="C113" s="751">
        <v>7825.2</v>
      </c>
      <c r="D113" s="751">
        <v>7323.9</v>
      </c>
      <c r="E113" s="751">
        <v>571.9</v>
      </c>
      <c r="F113" s="751">
        <v>158.39999999999998</v>
      </c>
      <c r="G113" s="751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51">
        <v>8468.2999999999993</v>
      </c>
      <c r="C114" s="751">
        <v>8347.7000000000007</v>
      </c>
      <c r="D114" s="751">
        <v>7650.1</v>
      </c>
      <c r="E114" s="751">
        <v>805.1</v>
      </c>
      <c r="F114" s="751">
        <v>163.5</v>
      </c>
      <c r="G114" s="751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53">
        <v>8223</v>
      </c>
      <c r="C115" s="753">
        <v>8145.9</v>
      </c>
      <c r="D115" s="753">
        <v>7710.8</v>
      </c>
      <c r="E115" s="753">
        <v>496.6</v>
      </c>
      <c r="F115" s="753">
        <v>132.69652170000001</v>
      </c>
      <c r="G115" s="753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53">
        <v>8457.9</v>
      </c>
      <c r="C116" s="753">
        <v>8373.1</v>
      </c>
      <c r="D116" s="753">
        <v>7971.9</v>
      </c>
      <c r="E116" s="753">
        <v>470.1</v>
      </c>
      <c r="F116" s="753">
        <v>131.5</v>
      </c>
      <c r="G116" s="753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53">
        <v>8730.4</v>
      </c>
      <c r="C117" s="753">
        <v>8654.4</v>
      </c>
      <c r="D117" s="753">
        <v>8183.9</v>
      </c>
      <c r="E117" s="753">
        <v>527.79999999999995</v>
      </c>
      <c r="F117" s="753">
        <v>138.5</v>
      </c>
      <c r="G117" s="753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53">
        <v>9039.6</v>
      </c>
      <c r="C118" s="753">
        <v>8940.2000000000007</v>
      </c>
      <c r="D118" s="753">
        <v>8458.1</v>
      </c>
      <c r="E118" s="753">
        <v>563.70000000000005</v>
      </c>
      <c r="F118" s="753">
        <v>138</v>
      </c>
      <c r="G118" s="753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53">
        <v>9195.7000000000007</v>
      </c>
      <c r="C119" s="753">
        <v>9076.4</v>
      </c>
      <c r="D119" s="753">
        <v>8617.5</v>
      </c>
      <c r="E119" s="753">
        <v>560.5</v>
      </c>
      <c r="F119" s="753">
        <v>138.4</v>
      </c>
      <c r="G119" s="753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53">
        <v>9399.7000000000007</v>
      </c>
      <c r="C120" s="753">
        <v>9299.7999999999993</v>
      </c>
      <c r="D120" s="753">
        <v>8793.7000000000007</v>
      </c>
      <c r="E120" s="753">
        <v>589.9</v>
      </c>
      <c r="F120" s="753">
        <v>146.10000000000002</v>
      </c>
      <c r="G120" s="753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53">
        <v>9365.1</v>
      </c>
      <c r="C121" s="753">
        <v>9291.2999999999993</v>
      </c>
      <c r="D121" s="753">
        <v>8887.5</v>
      </c>
      <c r="E121" s="753">
        <v>458.8</v>
      </c>
      <c r="F121" s="753">
        <v>130.19999999999999</v>
      </c>
      <c r="G121" s="753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53">
        <v>9427.2999999999993</v>
      </c>
      <c r="C122" s="753">
        <v>9346</v>
      </c>
      <c r="D122" s="753">
        <v>8826.2999999999993</v>
      </c>
      <c r="E122" s="753">
        <v>579</v>
      </c>
      <c r="F122" s="753">
        <v>125.19999999999999</v>
      </c>
      <c r="G122" s="753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53">
        <v>10660.3</v>
      </c>
      <c r="C123" s="753">
        <v>10515</v>
      </c>
      <c r="D123" s="753">
        <v>9777.5</v>
      </c>
      <c r="E123" s="753">
        <v>868.6</v>
      </c>
      <c r="F123" s="753">
        <v>106.3496748</v>
      </c>
      <c r="G123" s="753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7">
        <v>11793.1</v>
      </c>
      <c r="C124" s="567">
        <v>11642</v>
      </c>
      <c r="D124" s="567">
        <v>11033.3</v>
      </c>
      <c r="E124" s="567">
        <v>749.2</v>
      </c>
      <c r="F124" s="567">
        <v>157</v>
      </c>
      <c r="G124" s="567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51">
        <v>9938.8954381399981</v>
      </c>
      <c r="C125" s="751">
        <v>9842.5224666099984</v>
      </c>
      <c r="D125" s="751">
        <v>9360.6</v>
      </c>
      <c r="E125" s="751">
        <v>563.20000000000005</v>
      </c>
      <c r="F125" s="751">
        <v>127.2</v>
      </c>
      <c r="G125" s="751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51">
        <v>10117.00896714</v>
      </c>
      <c r="C126" s="751">
        <v>10042.278477350001</v>
      </c>
      <c r="D126" s="751">
        <v>9440.7999999999993</v>
      </c>
      <c r="E126" s="751">
        <v>656.56517364000001</v>
      </c>
      <c r="F126" s="751">
        <v>132.5</v>
      </c>
      <c r="G126" s="751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51">
        <v>10281.538850699999</v>
      </c>
      <c r="C127" s="751">
        <v>10196.195094999999</v>
      </c>
      <c r="D127" s="751">
        <v>9604.7000000000007</v>
      </c>
      <c r="E127" s="751">
        <v>656.57494804999988</v>
      </c>
      <c r="F127" s="751">
        <v>136.5</v>
      </c>
      <c r="G127" s="751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51">
        <v>10191.12480883</v>
      </c>
      <c r="C128" s="751">
        <v>10094.551942800001</v>
      </c>
      <c r="D128" s="751">
        <v>9518.6</v>
      </c>
      <c r="E128" s="751">
        <v>646.5</v>
      </c>
      <c r="F128" s="751">
        <v>169.5</v>
      </c>
      <c r="G128" s="751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51">
        <v>10201.401611349998</v>
      </c>
      <c r="C129" s="751">
        <v>10122.983837369999</v>
      </c>
      <c r="D129" s="751">
        <v>9608.4</v>
      </c>
      <c r="E129" s="751">
        <v>558.6</v>
      </c>
      <c r="F129" s="751">
        <v>137.30000000000001</v>
      </c>
      <c r="G129" s="751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51">
        <v>10331.388455559998</v>
      </c>
      <c r="C130" s="751">
        <v>10266.594539619999</v>
      </c>
      <c r="D130" s="751">
        <v>9765.2000000000007</v>
      </c>
      <c r="E130" s="751">
        <v>539.29999999999995</v>
      </c>
      <c r="F130" s="751">
        <v>140.9</v>
      </c>
      <c r="G130" s="751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51">
        <v>10529.225237050001</v>
      </c>
      <c r="C131" s="751">
        <v>10428.005373100001</v>
      </c>
      <c r="D131" s="751">
        <v>9924.7999999999993</v>
      </c>
      <c r="E131" s="751">
        <v>579.79999999999995</v>
      </c>
      <c r="F131" s="751">
        <v>142.1</v>
      </c>
      <c r="G131" s="751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51">
        <v>10688.93542118</v>
      </c>
      <c r="C132" s="751">
        <v>10617.02397176</v>
      </c>
      <c r="D132" s="751">
        <v>10105.200000000001</v>
      </c>
      <c r="E132" s="751">
        <v>561</v>
      </c>
      <c r="F132" s="751">
        <v>139.39999999999998</v>
      </c>
      <c r="G132" s="751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51">
        <v>10697.737923710001</v>
      </c>
      <c r="C133" s="751">
        <v>10616.446083440002</v>
      </c>
      <c r="D133" s="751">
        <v>10137.6</v>
      </c>
      <c r="E133" s="751">
        <v>536.79999999999995</v>
      </c>
      <c r="F133" s="751">
        <v>152.6</v>
      </c>
      <c r="G133" s="751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51">
        <v>10823.582633259999</v>
      </c>
      <c r="C134" s="751">
        <v>10732.614357859999</v>
      </c>
      <c r="D134" s="751">
        <v>10216.5</v>
      </c>
      <c r="E134" s="751">
        <v>582</v>
      </c>
      <c r="F134" s="751">
        <v>162.30000000000001</v>
      </c>
      <c r="G134" s="751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51">
        <v>10899.871209200001</v>
      </c>
      <c r="C135" s="751">
        <v>10792.02597456</v>
      </c>
      <c r="D135" s="751">
        <v>10372.799999999999</v>
      </c>
      <c r="E135" s="751">
        <v>500.3</v>
      </c>
      <c r="F135" s="751">
        <v>143.69999999999999</v>
      </c>
      <c r="G135" s="751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51">
        <v>11793.1</v>
      </c>
      <c r="C136" s="751">
        <v>11642</v>
      </c>
      <c r="D136" s="751">
        <v>11033.3</v>
      </c>
      <c r="E136" s="751">
        <v>749.2</v>
      </c>
      <c r="F136" s="751">
        <v>157</v>
      </c>
      <c r="G136" s="751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7">
        <v>11866.9</v>
      </c>
      <c r="C137" s="567">
        <v>11541.9</v>
      </c>
      <c r="D137" s="567">
        <v>10845.9</v>
      </c>
      <c r="E137" s="567">
        <v>1013.1</v>
      </c>
      <c r="F137" s="567">
        <v>228</v>
      </c>
      <c r="G137" s="567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51">
        <v>11142.6</v>
      </c>
      <c r="C138" s="751">
        <v>11038.1</v>
      </c>
      <c r="D138" s="751">
        <v>10530.2</v>
      </c>
      <c r="E138" s="751">
        <v>598.4</v>
      </c>
      <c r="F138" s="751">
        <v>162</v>
      </c>
      <c r="G138" s="751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51">
        <v>11244.6</v>
      </c>
      <c r="C139" s="751">
        <v>11136.5</v>
      </c>
      <c r="D139" s="751">
        <v>10617.8</v>
      </c>
      <c r="E139" s="751">
        <v>617.70000000000005</v>
      </c>
      <c r="F139" s="751">
        <v>158.30000000000001</v>
      </c>
      <c r="G139" s="751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51">
        <v>11205.6</v>
      </c>
      <c r="C140" s="751">
        <v>11107.1</v>
      </c>
      <c r="D140" s="751">
        <v>10676.7</v>
      </c>
      <c r="E140" s="751">
        <v>519.4</v>
      </c>
      <c r="F140" s="751">
        <v>165.1</v>
      </c>
      <c r="G140" s="751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51">
        <v>11229.3</v>
      </c>
      <c r="C141" s="751">
        <v>11105</v>
      </c>
      <c r="D141" s="751">
        <v>10607.4</v>
      </c>
      <c r="E141" s="751">
        <v>612.29999999999995</v>
      </c>
      <c r="F141" s="751">
        <v>170.3</v>
      </c>
      <c r="G141" s="751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51">
        <v>11366.4</v>
      </c>
      <c r="C142" s="751">
        <v>11272.2</v>
      </c>
      <c r="D142" s="751">
        <v>10750.5</v>
      </c>
      <c r="E142" s="751">
        <v>599.9</v>
      </c>
      <c r="F142" s="751">
        <v>179.2</v>
      </c>
      <c r="G142" s="751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51">
        <v>11580.6</v>
      </c>
      <c r="C143" s="751">
        <v>11485.2</v>
      </c>
      <c r="D143" s="751">
        <v>10905.9</v>
      </c>
      <c r="E143" s="751">
        <v>663.3</v>
      </c>
      <c r="F143" s="751">
        <v>133.19999999999999</v>
      </c>
      <c r="G143" s="751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51">
        <v>11858.1</v>
      </c>
      <c r="C144" s="751">
        <v>11736.5</v>
      </c>
      <c r="D144" s="751">
        <v>11144.4</v>
      </c>
      <c r="E144" s="751">
        <v>702.1</v>
      </c>
      <c r="F144" s="751">
        <v>190.5</v>
      </c>
      <c r="G144" s="751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51">
        <v>11863.4</v>
      </c>
      <c r="C145" s="751">
        <v>11743.6</v>
      </c>
      <c r="D145" s="751">
        <v>11134.4</v>
      </c>
      <c r="E145" s="751">
        <v>716</v>
      </c>
      <c r="F145" s="751">
        <v>183.4</v>
      </c>
      <c r="G145" s="751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51">
        <v>11646.2</v>
      </c>
      <c r="C146" s="751">
        <v>11546.5</v>
      </c>
      <c r="D146" s="751">
        <v>11042.3</v>
      </c>
      <c r="E146" s="751">
        <v>593.20000000000005</v>
      </c>
      <c r="F146" s="751">
        <v>118.5</v>
      </c>
      <c r="G146" s="751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51">
        <v>11587.4</v>
      </c>
      <c r="C147" s="751">
        <v>11478</v>
      </c>
      <c r="D147" s="751">
        <v>10993.9</v>
      </c>
      <c r="E147" s="751">
        <v>564.5</v>
      </c>
      <c r="F147" s="751">
        <v>130</v>
      </c>
      <c r="G147" s="751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51">
        <v>11601.1</v>
      </c>
      <c r="C148" s="751">
        <v>11519.7</v>
      </c>
      <c r="D148" s="751">
        <v>10955.7</v>
      </c>
      <c r="E148" s="751">
        <v>627.70000000000005</v>
      </c>
      <c r="F148" s="751">
        <v>115.10000000000001</v>
      </c>
      <c r="G148" s="751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51">
        <v>11866.9</v>
      </c>
      <c r="C149" s="751">
        <v>11541.9</v>
      </c>
      <c r="D149" s="751">
        <v>10845.9</v>
      </c>
      <c r="E149" s="751">
        <v>1013.1</v>
      </c>
      <c r="F149" s="751">
        <v>228</v>
      </c>
      <c r="G149" s="751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7">
        <v>7560.6734860699999</v>
      </c>
      <c r="C150" s="567">
        <v>6901.8423380799995</v>
      </c>
      <c r="D150" s="567">
        <v>5416.7508947899996</v>
      </c>
      <c r="E150" s="567">
        <v>2137.2468294</v>
      </c>
      <c r="F150" s="567">
        <v>47.384</v>
      </c>
      <c r="G150" s="567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51">
        <v>10760.302754689999</v>
      </c>
      <c r="C151" s="751">
        <v>10550.98263348</v>
      </c>
      <c r="D151" s="751">
        <v>10145.295551970001</v>
      </c>
      <c r="E151" s="751">
        <v>604.54437906999999</v>
      </c>
      <c r="F151" s="751">
        <f>H151+I151</f>
        <v>142.011</v>
      </c>
      <c r="G151" s="751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51">
        <v>9736.0533009599985</v>
      </c>
      <c r="C152" s="751">
        <v>9109.8742473199982</v>
      </c>
      <c r="D152" s="751">
        <v>8701.1223736899992</v>
      </c>
      <c r="E152" s="751">
        <v>1028.4111744900001</v>
      </c>
      <c r="F152" s="751">
        <v>155.14499999999998</v>
      </c>
      <c r="G152" s="751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51">
        <v>8919.1828803299995</v>
      </c>
      <c r="C153" s="751">
        <v>8339.4258388500002</v>
      </c>
      <c r="D153" s="751">
        <v>8055.4742089399997</v>
      </c>
      <c r="E153" s="751">
        <v>859.38671832</v>
      </c>
      <c r="F153" s="751">
        <v>165.524</v>
      </c>
      <c r="G153" s="751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51">
        <v>7870.1980502399992</v>
      </c>
      <c r="C154" s="751">
        <v>7418.6134919299993</v>
      </c>
      <c r="D154" s="751">
        <v>7008.894394599999</v>
      </c>
      <c r="E154" s="751">
        <v>858.33738232999997</v>
      </c>
      <c r="F154" s="751">
        <v>60.143999999999998</v>
      </c>
      <c r="G154" s="751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51">
        <v>7983.6680595399994</v>
      </c>
      <c r="C155" s="751">
        <v>7597.2826965399991</v>
      </c>
      <c r="D155" s="751">
        <v>7129.4125273699992</v>
      </c>
      <c r="E155" s="751">
        <v>849.22445685999992</v>
      </c>
      <c r="F155" s="751">
        <v>49.918999999999997</v>
      </c>
      <c r="G155" s="751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51">
        <v>7805.9569541199999</v>
      </c>
      <c r="C156" s="751">
        <v>7487.0474245200003</v>
      </c>
      <c r="D156" s="751">
        <v>7084.4067262200006</v>
      </c>
      <c r="E156" s="751">
        <v>718.32223518000001</v>
      </c>
      <c r="F156" s="751">
        <v>62.841000000000001</v>
      </c>
      <c r="G156" s="751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51">
        <v>7793.4260408499986</v>
      </c>
      <c r="C157" s="751">
        <v>7467.4627806899989</v>
      </c>
      <c r="D157" s="751">
        <v>7013.6752276299994</v>
      </c>
      <c r="E157" s="751">
        <v>777.81922059999999</v>
      </c>
      <c r="F157" s="751">
        <v>47.674000000000007</v>
      </c>
      <c r="G157" s="751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51">
        <v>6886.2807920499999</v>
      </c>
      <c r="C158" s="751">
        <v>6352.0686349199996</v>
      </c>
      <c r="D158" s="751">
        <v>6118.5081162399993</v>
      </c>
      <c r="E158" s="751">
        <v>762.70378588000005</v>
      </c>
      <c r="F158" s="751">
        <v>57.058000000000007</v>
      </c>
      <c r="G158" s="751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51">
        <v>7434.2946894699999</v>
      </c>
      <c r="C159" s="751">
        <v>7050.4451382899997</v>
      </c>
      <c r="D159" s="751">
        <v>6050.0254289899995</v>
      </c>
      <c r="E159" s="751">
        <v>1378.93386349</v>
      </c>
      <c r="F159" s="751">
        <v>47.332999999999998</v>
      </c>
      <c r="G159" s="751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51">
        <v>7355.3705613900001</v>
      </c>
      <c r="C160" s="751">
        <v>7055.8749215899998</v>
      </c>
      <c r="D160" s="751">
        <v>5994.91554851</v>
      </c>
      <c r="E160" s="751">
        <v>1349.7270262899999</v>
      </c>
      <c r="F160" s="751">
        <v>45.860999999999997</v>
      </c>
      <c r="G160" s="751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51">
        <v>7002.2079040099998</v>
      </c>
      <c r="C161" s="751">
        <v>6730.5800266299993</v>
      </c>
      <c r="D161" s="751">
        <v>5738.1171962999997</v>
      </c>
      <c r="E161" s="751">
        <v>1257.7269561000001</v>
      </c>
      <c r="F161" s="751">
        <v>43.741</v>
      </c>
      <c r="G161" s="751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51">
        <v>7560.6734860699999</v>
      </c>
      <c r="C162" s="751">
        <v>6901.8423380799995</v>
      </c>
      <c r="D162" s="751">
        <v>5416.7508947899996</v>
      </c>
      <c r="E162" s="751">
        <v>2137.2468294</v>
      </c>
      <c r="F162" s="751">
        <v>47.384</v>
      </c>
      <c r="G162" s="751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1879</v>
      </c>
      <c r="B163" s="567">
        <v>9232.7881355600002</v>
      </c>
      <c r="C163" s="567">
        <v>7860.4837056300003</v>
      </c>
      <c r="D163" s="567">
        <v>6960.7782469500007</v>
      </c>
      <c r="E163" s="567">
        <v>2258.6808959700002</v>
      </c>
      <c r="F163" s="567">
        <v>147.708</v>
      </c>
      <c r="G163" s="567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51">
        <v>6681.8523943</v>
      </c>
      <c r="C164" s="751">
        <v>5786.8521675800002</v>
      </c>
      <c r="D164" s="751">
        <v>4954.6986693200006</v>
      </c>
      <c r="E164" s="751" t="e">
        <f>#REF!+F164</f>
        <v>#REF!</v>
      </c>
      <c r="F164" s="751">
        <v>96.173000000000002</v>
      </c>
      <c r="G164" s="751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51">
        <v>7318.4052416199993</v>
      </c>
      <c r="C165" s="751">
        <v>6388.5472950699987</v>
      </c>
      <c r="D165" s="751">
        <v>5499.0821602699989</v>
      </c>
      <c r="E165" s="751">
        <v>1808.3294815499999</v>
      </c>
      <c r="F165" s="751">
        <v>113.24299999999999</v>
      </c>
      <c r="G165" s="751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51">
        <v>7401.9125061799996</v>
      </c>
      <c r="C166" s="751">
        <v>6535.8084241099996</v>
      </c>
      <c r="D166" s="751">
        <v>5613.5217606599999</v>
      </c>
      <c r="E166" s="751">
        <v>1782.0518773700001</v>
      </c>
      <c r="F166" s="751">
        <v>106.666</v>
      </c>
      <c r="G166" s="751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51">
        <v>7472.7052993199995</v>
      </c>
      <c r="C167" s="751">
        <v>6726.0725825299996</v>
      </c>
      <c r="D167" s="751">
        <v>5834.5716874399996</v>
      </c>
      <c r="E167" s="751">
        <v>1630.6017532400001</v>
      </c>
      <c r="F167" s="751">
        <v>107.657</v>
      </c>
      <c r="G167" s="751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51">
        <v>8343.5829335300004</v>
      </c>
      <c r="C168" s="751">
        <v>7641.6268355399998</v>
      </c>
      <c r="D168" s="751">
        <v>6244.3332581199993</v>
      </c>
      <c r="E168" s="751">
        <v>2077.6348501800003</v>
      </c>
      <c r="F168" s="751">
        <v>107.991</v>
      </c>
      <c r="G168" s="751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51">
        <v>8337.9684701599999</v>
      </c>
      <c r="C169" s="751">
        <v>7689.3512139399991</v>
      </c>
      <c r="D169" s="751">
        <v>6306.9578185899991</v>
      </c>
      <c r="E169" s="751">
        <v>2013.95926156</v>
      </c>
      <c r="F169" s="751">
        <v>142.97900000000001</v>
      </c>
      <c r="G169" s="751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51">
        <v>8623.2592612000008</v>
      </c>
      <c r="C170" s="751">
        <v>7638.1249938200008</v>
      </c>
      <c r="D170" s="751">
        <v>6442.4021686999995</v>
      </c>
      <c r="E170" s="751">
        <v>2170.0318542699997</v>
      </c>
      <c r="F170" s="751">
        <v>131.10400000000001</v>
      </c>
      <c r="G170" s="751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51">
        <v>8477.8879030800017</v>
      </c>
      <c r="C171" s="751">
        <v>7412.1772067400007</v>
      </c>
      <c r="D171" s="751">
        <v>6326.0632323700002</v>
      </c>
      <c r="E171" s="751">
        <v>2137.3321767799998</v>
      </c>
      <c r="F171" s="751">
        <v>158.75299999999999</v>
      </c>
      <c r="G171" s="751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51">
        <v>7985.9435525199997</v>
      </c>
      <c r="C172" s="751">
        <v>6810.3119202299995</v>
      </c>
      <c r="D172" s="751">
        <v>6194.0429283099993</v>
      </c>
      <c r="E172" s="751">
        <v>1776.30157564</v>
      </c>
      <c r="F172" s="751">
        <v>161.87100000000001</v>
      </c>
      <c r="G172" s="751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51">
        <v>8792.8452389400009</v>
      </c>
      <c r="C173" s="751">
        <v>7448.9083649700005</v>
      </c>
      <c r="D173" s="751">
        <v>6290.8613980099999</v>
      </c>
      <c r="E173" s="751">
        <v>2483.9888501599999</v>
      </c>
      <c r="F173" s="751">
        <v>157.56700000000001</v>
      </c>
      <c r="G173" s="751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51">
        <v>9055.768697380001</v>
      </c>
      <c r="C174" s="751">
        <v>7702.215091080001</v>
      </c>
      <c r="D174" s="751">
        <v>6332.203030820001</v>
      </c>
      <c r="E174" s="751">
        <v>2715.4917962</v>
      </c>
      <c r="F174" s="751">
        <v>146.97800000000001</v>
      </c>
      <c r="G174" s="751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51">
        <v>9232.7881355600002</v>
      </c>
      <c r="C175" s="751">
        <v>7860.4837056300003</v>
      </c>
      <c r="D175" s="751">
        <v>6960.7782469500007</v>
      </c>
      <c r="E175" s="751">
        <v>2258.6808959700002</v>
      </c>
      <c r="F175" s="751">
        <v>147.708</v>
      </c>
      <c r="G175" s="751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1942</v>
      </c>
      <c r="B176" s="567">
        <v>9872.6132871700011</v>
      </c>
      <c r="C176" s="567">
        <v>8543.2044720300019</v>
      </c>
      <c r="D176" s="567">
        <v>8140.2378426499999</v>
      </c>
      <c r="E176" s="567">
        <v>1695.8362965299998</v>
      </c>
      <c r="F176" s="567">
        <v>141.2157501867097</v>
      </c>
      <c r="G176" s="567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51">
        <v>8731.8619273800032</v>
      </c>
      <c r="C177" s="751">
        <v>7331.6690958400013</v>
      </c>
      <c r="D177" s="751">
        <v>6541.0499213400008</v>
      </c>
      <c r="E177" s="751">
        <v>2174.3222042200005</v>
      </c>
      <c r="F177" s="751">
        <v>148.02500000000001</v>
      </c>
      <c r="G177" s="751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51">
        <v>8336.4134713400017</v>
      </c>
      <c r="C178" s="751">
        <v>6986.960843580001</v>
      </c>
      <c r="D178" s="751">
        <v>6534.3201266200003</v>
      </c>
      <c r="E178" s="751">
        <v>1773.6741264200002</v>
      </c>
      <c r="F178" s="751">
        <v>148.86099999999999</v>
      </c>
      <c r="G178" s="751">
        <v>78.382869912637247</v>
      </c>
    </row>
    <row r="179" spans="1:14" ht="16.5" customHeight="1">
      <c r="A179" s="40" t="s">
        <v>20</v>
      </c>
      <c r="B179" s="751">
        <v>9557.3477016000015</v>
      </c>
      <c r="C179" s="751">
        <v>7277.5359397400016</v>
      </c>
      <c r="D179" s="751">
        <v>6661.8412195800011</v>
      </c>
      <c r="E179" s="751">
        <v>2860.2395714900003</v>
      </c>
      <c r="F179" s="751">
        <v>140.74600000000001</v>
      </c>
      <c r="G179" s="751">
        <v>69.703870023110468</v>
      </c>
    </row>
    <row r="180" spans="1:14" ht="16.5" customHeight="1">
      <c r="A180" s="40" t="s">
        <v>21</v>
      </c>
      <c r="B180" s="751">
        <v>10363.75818338</v>
      </c>
      <c r="C180" s="751">
        <v>7628.1178079899992</v>
      </c>
      <c r="D180" s="751">
        <v>6829.6581519900001</v>
      </c>
      <c r="E180" s="751">
        <v>3489.47142386</v>
      </c>
      <c r="F180" s="751">
        <v>138.239</v>
      </c>
      <c r="G180" s="751">
        <v>65.899435621167683</v>
      </c>
    </row>
    <row r="181" spans="1:14" ht="16.5" customHeight="1">
      <c r="A181" s="40" t="s">
        <v>22</v>
      </c>
      <c r="B181" s="751">
        <v>10088.03619836</v>
      </c>
      <c r="C181" s="751">
        <v>7788.6733876100006</v>
      </c>
      <c r="D181" s="751">
        <v>7056.81023448</v>
      </c>
      <c r="E181" s="751">
        <v>2983.8352472299998</v>
      </c>
      <c r="F181" s="751">
        <v>137.00684827213797</v>
      </c>
      <c r="G181" s="751">
        <v>69.95226916044588</v>
      </c>
    </row>
    <row r="182" spans="1:14" ht="16.5" customHeight="1">
      <c r="A182" s="40" t="s">
        <v>23</v>
      </c>
      <c r="B182" s="751">
        <v>10525.852064319999</v>
      </c>
      <c r="C182" s="751">
        <v>8274.47549703</v>
      </c>
      <c r="D182" s="751">
        <v>7353.0761847999993</v>
      </c>
      <c r="E182" s="751">
        <v>3139.8698383400001</v>
      </c>
      <c r="F182" s="751">
        <v>138.15100000000001</v>
      </c>
      <c r="G182" s="751">
        <v>69.857301241436645</v>
      </c>
    </row>
    <row r="183" spans="1:14" ht="16.5" customHeight="1">
      <c r="A183" s="40" t="s">
        <v>24</v>
      </c>
      <c r="B183" s="751">
        <v>10718.18429874</v>
      </c>
      <c r="C183" s="751">
        <v>8332.8540120800008</v>
      </c>
      <c r="D183" s="751">
        <v>7479.6131373600001</v>
      </c>
      <c r="E183" s="751">
        <v>3211.5021038199998</v>
      </c>
      <c r="F183" s="751">
        <v>142.83823538386901</v>
      </c>
      <c r="G183" s="751">
        <v>69.7843303388549</v>
      </c>
    </row>
    <row r="184" spans="1:14" ht="16.5" customHeight="1">
      <c r="A184" s="40" t="s">
        <v>25</v>
      </c>
      <c r="B184" s="751">
        <v>10660.60308101</v>
      </c>
      <c r="C184" s="751">
        <v>8468.4398282700004</v>
      </c>
      <c r="D184" s="751">
        <v>7592.91862124</v>
      </c>
      <c r="E184" s="751">
        <v>3028.5269764900004</v>
      </c>
      <c r="F184" s="751">
        <v>140.70274900000001</v>
      </c>
      <c r="G184" s="751">
        <v>71.224100208415564</v>
      </c>
    </row>
    <row r="185" spans="1:14" ht="16.5" customHeight="1">
      <c r="A185" s="40" t="s">
        <v>26</v>
      </c>
      <c r="B185" s="751">
        <v>10032.272046389999</v>
      </c>
      <c r="C185" s="751">
        <v>8671.2016743799995</v>
      </c>
      <c r="D185" s="751">
        <v>7707.8299925699994</v>
      </c>
      <c r="E185" s="751">
        <v>2280.6612982499996</v>
      </c>
      <c r="F185" s="751">
        <v>141.25235585309144</v>
      </c>
      <c r="G185" s="751">
        <v>76.830352655195156</v>
      </c>
    </row>
    <row r="186" spans="1:14" ht="16.5" customHeight="1">
      <c r="A186" s="40" t="s">
        <v>27</v>
      </c>
      <c r="B186" s="751">
        <v>9829.0430620700008</v>
      </c>
      <c r="C186" s="751">
        <v>8531.6469131100021</v>
      </c>
      <c r="D186" s="751">
        <v>7674.4135468400009</v>
      </c>
      <c r="E186" s="751">
        <v>2105.2069556199999</v>
      </c>
      <c r="F186" s="751">
        <v>140.15816288294369</v>
      </c>
      <c r="G186" s="751">
        <v>78.078949276917371</v>
      </c>
    </row>
    <row r="187" spans="1:14" ht="16.5" customHeight="1">
      <c r="A187" s="40" t="s">
        <v>28</v>
      </c>
      <c r="B187" s="751">
        <v>10001.93815468</v>
      </c>
      <c r="C187" s="751">
        <v>8686.8413463500001</v>
      </c>
      <c r="D187" s="751">
        <v>7759.3969475900003</v>
      </c>
      <c r="E187" s="751">
        <v>2185.5135100500001</v>
      </c>
      <c r="F187" s="751">
        <v>140.7947161531005</v>
      </c>
      <c r="G187" s="751">
        <v>77.578933478600902</v>
      </c>
    </row>
    <row r="188" spans="1:14" ht="16.5" customHeight="1">
      <c r="A188" s="40">
        <v>12</v>
      </c>
      <c r="B188" s="751">
        <v>9872.6132871700011</v>
      </c>
      <c r="C188" s="751">
        <v>8543.2044720300019</v>
      </c>
      <c r="D188" s="751">
        <v>8140.2378426499999</v>
      </c>
      <c r="E188" s="751">
        <v>1695.8362965299998</v>
      </c>
      <c r="F188" s="751">
        <v>141.2157501867097</v>
      </c>
      <c r="G188" s="751">
        <v>82.452716478104975</v>
      </c>
    </row>
    <row r="189" spans="1:14" ht="16.5" customHeight="1">
      <c r="A189" s="40" t="s">
        <v>2078</v>
      </c>
      <c r="B189" s="567">
        <v>10643.679051069999</v>
      </c>
      <c r="C189" s="567">
        <v>9545.7262990999989</v>
      </c>
      <c r="D189" s="567">
        <v>8364.1285379000001</v>
      </c>
      <c r="E189" s="567">
        <v>2243.7929073199989</v>
      </c>
      <c r="F189" s="567">
        <v>163.017611837608</v>
      </c>
      <c r="G189" s="567">
        <v>78.583058524854351</v>
      </c>
    </row>
    <row r="190" spans="1:14" ht="16.5" customHeight="1">
      <c r="A190" s="40" t="s">
        <v>18</v>
      </c>
      <c r="B190" s="751">
        <v>9829.3884574200001</v>
      </c>
      <c r="C190" s="751">
        <v>8761.5609664799995</v>
      </c>
      <c r="D190" s="751">
        <v>7956.3312852000008</v>
      </c>
      <c r="E190" s="751">
        <v>1818.9565012399999</v>
      </c>
      <c r="F190" s="751">
        <v>140.46836647361417</v>
      </c>
      <c r="G190" s="751">
        <v>80.94431631902728</v>
      </c>
    </row>
    <row r="191" spans="1:14" ht="16.5" customHeight="1">
      <c r="A191" s="40" t="s">
        <v>19</v>
      </c>
      <c r="B191" s="751">
        <v>10248.502778329999</v>
      </c>
      <c r="C191" s="751">
        <v>9180.5560188300005</v>
      </c>
      <c r="D191" s="751">
        <v>7929.4931649499995</v>
      </c>
      <c r="E191" s="751">
        <v>2246.3193468099998</v>
      </c>
      <c r="F191" s="751">
        <v>153.68657266541052</v>
      </c>
      <c r="G191" s="751">
        <v>77.372210716638122</v>
      </c>
    </row>
    <row r="192" spans="1:14" ht="16.5" customHeight="1">
      <c r="A192" s="40" t="s">
        <v>20</v>
      </c>
      <c r="B192" s="751">
        <v>10782.977859649998</v>
      </c>
      <c r="C192" s="751">
        <v>9471.0484987299988</v>
      </c>
      <c r="D192" s="751">
        <v>8110.534068599999</v>
      </c>
      <c r="E192" s="751">
        <v>2619.45378919</v>
      </c>
      <c r="F192" s="751">
        <v>154.49193097762225</v>
      </c>
      <c r="G192" s="751">
        <v>75.216087561022377</v>
      </c>
    </row>
    <row r="193" spans="1:7" ht="16.5" customHeight="1">
      <c r="A193" s="40" t="s">
        <v>21</v>
      </c>
      <c r="B193" s="751">
        <v>9684.2921908099997</v>
      </c>
      <c r="C193" s="751">
        <v>8412.9733237500004</v>
      </c>
      <c r="D193" s="751">
        <v>7551.3492722800002</v>
      </c>
      <c r="E193" s="751">
        <v>2104.8133344799999</v>
      </c>
      <c r="F193" s="751">
        <v>149.76033902622069</v>
      </c>
      <c r="G193" s="751">
        <v>77.975231679253994</v>
      </c>
    </row>
    <row r="194" spans="1:7" ht="16.5" customHeight="1">
      <c r="A194" s="40" t="s">
        <v>22</v>
      </c>
      <c r="B194" s="751">
        <v>9731.5376101399997</v>
      </c>
      <c r="C194" s="751">
        <v>8404.4068456700006</v>
      </c>
      <c r="D194" s="751">
        <v>7678.6819718500001</v>
      </c>
      <c r="E194" s="751">
        <v>2035.3780335399999</v>
      </c>
      <c r="F194" s="751">
        <v>147.73451496350054</v>
      </c>
      <c r="G194" s="751">
        <v>78.905125576959406</v>
      </c>
    </row>
    <row r="195" spans="1:7" ht="16.5" customHeight="1">
      <c r="A195" s="40" t="s">
        <v>23</v>
      </c>
      <c r="B195" s="751">
        <v>9674.4502738600004</v>
      </c>
      <c r="C195" s="751">
        <v>8588.03503705</v>
      </c>
      <c r="D195" s="751">
        <v>7814.48978317</v>
      </c>
      <c r="E195" s="751">
        <v>1842.0459014399999</v>
      </c>
      <c r="F195" s="751">
        <v>159.41554756833455</v>
      </c>
      <c r="G195" s="751">
        <v>80.774509785682156</v>
      </c>
    </row>
    <row r="196" spans="1:7" ht="16.5" customHeight="1">
      <c r="A196" s="40" t="s">
        <v>24</v>
      </c>
      <c r="B196" s="751">
        <v>10079.05528153</v>
      </c>
      <c r="C196" s="751">
        <v>8888.8569364699997</v>
      </c>
      <c r="D196" s="751">
        <v>7987.6448758400002</v>
      </c>
      <c r="E196" s="751">
        <v>2061.8677719799998</v>
      </c>
      <c r="F196" s="751">
        <v>149.44588546282597</v>
      </c>
      <c r="G196" s="751">
        <v>79.249936156987488</v>
      </c>
    </row>
    <row r="197" spans="1:7" ht="16.5" customHeight="1">
      <c r="A197" s="40" t="s">
        <v>25</v>
      </c>
      <c r="B197" s="751">
        <v>9329.3632530899995</v>
      </c>
      <c r="C197" s="751">
        <v>8318.2212724799992</v>
      </c>
      <c r="D197" s="751">
        <v>7509.5632074200003</v>
      </c>
      <c r="E197" s="751">
        <v>1789.4469795599998</v>
      </c>
      <c r="F197" s="751">
        <v>150.80149693818748</v>
      </c>
      <c r="G197" s="751">
        <v>80.493845117808448</v>
      </c>
    </row>
    <row r="198" spans="1:7" ht="16.5" customHeight="1">
      <c r="A198" s="40" t="s">
        <v>26</v>
      </c>
      <c r="B198" s="751">
        <v>9754.0301530100005</v>
      </c>
      <c r="C198" s="751">
        <v>8871.45735565</v>
      </c>
      <c r="D198" s="751">
        <v>7527.0656247799998</v>
      </c>
      <c r="E198" s="751">
        <v>2185.9205062000001</v>
      </c>
      <c r="F198" s="751">
        <v>152.61537979909329</v>
      </c>
      <c r="G198" s="751">
        <v>77.168775436450943</v>
      </c>
    </row>
    <row r="199" spans="1:7" ht="16.5" customHeight="1">
      <c r="A199" s="40" t="s">
        <v>27</v>
      </c>
      <c r="B199" s="751">
        <v>10059.50504419</v>
      </c>
      <c r="C199" s="751">
        <v>9153.3159421199998</v>
      </c>
      <c r="D199" s="751">
        <v>7758.5337813200003</v>
      </c>
      <c r="E199" s="751">
        <v>2267.9817767200002</v>
      </c>
      <c r="F199" s="751">
        <v>154.84192493417629</v>
      </c>
      <c r="G199" s="751">
        <v>77.126396847934814</v>
      </c>
    </row>
    <row r="200" spans="1:7" ht="16.5" customHeight="1">
      <c r="A200" s="40" t="s">
        <v>28</v>
      </c>
      <c r="B200" s="751">
        <v>9716.6719579600012</v>
      </c>
      <c r="C200" s="751">
        <v>8985.1594870900008</v>
      </c>
      <c r="D200" s="751">
        <v>7934.6306639300001</v>
      </c>
      <c r="E200" s="751">
        <v>1750.8256915300001</v>
      </c>
      <c r="F200" s="751">
        <v>159.31187833541691</v>
      </c>
      <c r="G200" s="751">
        <v>81.659962364272943</v>
      </c>
    </row>
    <row r="201" spans="1:7" ht="16.5" customHeight="1">
      <c r="A201" s="40" t="s">
        <v>29</v>
      </c>
      <c r="B201" s="751">
        <v>10643.679051069999</v>
      </c>
      <c r="C201" s="751">
        <v>9545.7262990999989</v>
      </c>
      <c r="D201" s="751">
        <v>8364.1285379000001</v>
      </c>
      <c r="E201" s="751">
        <v>2243.7929073199989</v>
      </c>
      <c r="F201" s="751">
        <v>163.017611837608</v>
      </c>
      <c r="G201" s="751">
        <v>78.583058524854351</v>
      </c>
    </row>
    <row r="202" spans="1:7" ht="16.5" customHeight="1">
      <c r="A202" s="40" t="s">
        <v>2171</v>
      </c>
      <c r="B202" s="567">
        <v>13125.27651143</v>
      </c>
      <c r="C202" s="567">
        <v>12152.50801965</v>
      </c>
      <c r="D202" s="567">
        <v>10405.51348281</v>
      </c>
      <c r="E202" s="567">
        <v>2708.6334206199999</v>
      </c>
      <c r="F202" s="567">
        <v>165.4383144547688</v>
      </c>
      <c r="G202" s="567">
        <v>79.27843252481938</v>
      </c>
    </row>
    <row r="203" spans="1:7" ht="16.5" customHeight="1">
      <c r="A203" s="40" t="s">
        <v>18</v>
      </c>
      <c r="B203" s="751">
        <v>9356.9150563700023</v>
      </c>
      <c r="C203" s="751">
        <v>8709.2276391800006</v>
      </c>
      <c r="D203" s="751">
        <v>7911.3744766899999</v>
      </c>
      <c r="E203" s="751">
        <v>1413.0709157000001</v>
      </c>
      <c r="F203" s="751">
        <v>159.6117144008999</v>
      </c>
      <c r="G203" s="751">
        <v>84.551098615607216</v>
      </c>
    </row>
    <row r="204" spans="1:7" ht="16.5" customHeight="1">
      <c r="A204" s="40" t="s">
        <v>19</v>
      </c>
      <c r="B204" s="751">
        <v>9776.3184573999988</v>
      </c>
      <c r="C204" s="751">
        <v>9014.1419027799984</v>
      </c>
      <c r="D204" s="751">
        <v>7959.1588936999997</v>
      </c>
      <c r="E204" s="751">
        <v>1786.8729093299999</v>
      </c>
      <c r="F204" s="751">
        <v>161.61597564477981</v>
      </c>
      <c r="G204" s="751">
        <v>81.412639414129004</v>
      </c>
    </row>
    <row r="205" spans="1:7" ht="16.5" customHeight="1">
      <c r="A205" s="40" t="s">
        <v>20</v>
      </c>
      <c r="B205" s="751">
        <v>9734.8745247399984</v>
      </c>
      <c r="C205" s="751">
        <v>8946.2544290799979</v>
      </c>
      <c r="D205" s="751">
        <v>8219.8755523500004</v>
      </c>
      <c r="E205" s="751">
        <v>1499.6320815899999</v>
      </c>
      <c r="F205" s="751">
        <v>163.33456210392248</v>
      </c>
      <c r="G205" s="751">
        <v>84.43740627021117</v>
      </c>
    </row>
    <row r="206" spans="1:7" ht="16.5" customHeight="1">
      <c r="A206" s="40" t="s">
        <v>21</v>
      </c>
      <c r="B206" s="751">
        <v>10012.380729480003</v>
      </c>
      <c r="C206" s="751">
        <v>9495.0742352800025</v>
      </c>
      <c r="D206" s="751">
        <v>8458.1571194600019</v>
      </c>
      <c r="E206" s="751">
        <v>1535.01309066</v>
      </c>
      <c r="F206" s="751">
        <v>165.86800707884674</v>
      </c>
      <c r="G206" s="751">
        <v>84.476982527803656</v>
      </c>
    </row>
    <row r="207" spans="1:7" ht="16.5" customHeight="1">
      <c r="A207" s="40" t="s">
        <v>22</v>
      </c>
      <c r="B207" s="751">
        <v>11095.957607389997</v>
      </c>
      <c r="C207" s="751">
        <v>10172.390385009998</v>
      </c>
      <c r="D207" s="751">
        <v>8845.1120775999989</v>
      </c>
      <c r="E207" s="751">
        <v>2231.4921068499998</v>
      </c>
      <c r="F207" s="751">
        <v>158.2584940534247</v>
      </c>
      <c r="G207" s="751">
        <v>79.714724862584944</v>
      </c>
    </row>
    <row r="208" spans="1:7" ht="16.5" customHeight="1">
      <c r="A208" s="40" t="s">
        <v>23</v>
      </c>
      <c r="B208" s="751">
        <v>11255.612272279999</v>
      </c>
      <c r="C208" s="751">
        <v>10376.906186889999</v>
      </c>
      <c r="D208" s="751">
        <v>9173.2529824800004</v>
      </c>
      <c r="E208" s="751">
        <v>2064.13566107</v>
      </c>
      <c r="F208" s="751">
        <v>156.65462258831155</v>
      </c>
      <c r="G208" s="751">
        <v>81.499369030964445</v>
      </c>
    </row>
    <row r="209" spans="1:10" ht="16.5" customHeight="1">
      <c r="A209" s="40" t="s">
        <v>24</v>
      </c>
      <c r="B209" s="751">
        <v>11668.047325330002</v>
      </c>
      <c r="C209" s="751">
        <v>10574.283058750001</v>
      </c>
      <c r="D209" s="751">
        <v>9310.1083104600002</v>
      </c>
      <c r="E209" s="751">
        <v>2303.5408484300001</v>
      </c>
      <c r="F209" s="751">
        <v>157.57632796849248</v>
      </c>
      <c r="G209" s="751">
        <v>79.791485677717603</v>
      </c>
    </row>
    <row r="210" spans="1:10" ht="16.5" customHeight="1">
      <c r="A210" s="40" t="s">
        <v>25</v>
      </c>
      <c r="B210" s="751">
        <v>11416.972533090004</v>
      </c>
      <c r="C210" s="751">
        <v>10157.646670730002</v>
      </c>
      <c r="D210" s="751">
        <v>9288.3708442200004</v>
      </c>
      <c r="E210" s="751">
        <v>2106.5311865100002</v>
      </c>
      <c r="F210" s="751">
        <v>157.78640039095245</v>
      </c>
      <c r="G210" s="751">
        <v>81.35581317463415</v>
      </c>
      <c r="I210" s="80"/>
    </row>
    <row r="211" spans="1:10" ht="16.5" customHeight="1">
      <c r="A211" s="40" t="s">
        <v>26</v>
      </c>
      <c r="B211" s="751">
        <v>11498.2638658</v>
      </c>
      <c r="C211" s="751">
        <v>10217.26660046</v>
      </c>
      <c r="D211" s="751">
        <v>9352.5613155999999</v>
      </c>
      <c r="E211" s="751">
        <v>2132.1918944399999</v>
      </c>
      <c r="F211" s="751">
        <v>159.77926480621088</v>
      </c>
      <c r="G211" s="751">
        <v>81.338899722225932</v>
      </c>
      <c r="I211" s="80"/>
    </row>
    <row r="212" spans="1:10" ht="16.5" customHeight="1">
      <c r="A212" s="40" t="s">
        <v>27</v>
      </c>
      <c r="B212" s="751">
        <v>11427.484053389999</v>
      </c>
      <c r="C212" s="751">
        <v>10298.833747049997</v>
      </c>
      <c r="D212" s="751">
        <v>9437.2516326299992</v>
      </c>
      <c r="E212" s="751">
        <v>1973.9158790399997</v>
      </c>
      <c r="F212" s="751">
        <v>163.27522512867449</v>
      </c>
      <c r="G212" s="751">
        <v>82.583809249161973</v>
      </c>
      <c r="I212" s="80"/>
    </row>
    <row r="213" spans="1:10" ht="16.5" customHeight="1">
      <c r="A213" s="40" t="s">
        <v>28</v>
      </c>
      <c r="B213" s="751">
        <v>11622.7870291</v>
      </c>
      <c r="C213" s="751">
        <v>10674.527353169999</v>
      </c>
      <c r="D213" s="751">
        <v>9614.2540054299989</v>
      </c>
      <c r="E213" s="751">
        <v>1993.04973537</v>
      </c>
      <c r="F213" s="751">
        <v>166.58173254854398</v>
      </c>
      <c r="G213" s="751">
        <v>82.719006907368836</v>
      </c>
      <c r="I213" s="80"/>
    </row>
    <row r="214" spans="1:10" ht="16.5" customHeight="1">
      <c r="A214" s="40">
        <v>12</v>
      </c>
      <c r="B214" s="751">
        <v>13125.27651143</v>
      </c>
      <c r="C214" s="751">
        <v>12152.50801965</v>
      </c>
      <c r="D214" s="751">
        <v>10405.51348281</v>
      </c>
      <c r="E214" s="751">
        <v>2708.6334206199999</v>
      </c>
      <c r="F214" s="751">
        <v>165.4383144547688</v>
      </c>
      <c r="G214" s="751">
        <v>79.27843252481938</v>
      </c>
    </row>
    <row r="215" spans="1:10" ht="16.5" customHeight="1">
      <c r="A215" s="40" t="s">
        <v>2407</v>
      </c>
      <c r="B215" s="567">
        <v>15052.883723020001</v>
      </c>
      <c r="C215" s="567">
        <v>13564.16827113</v>
      </c>
      <c r="D215" s="567">
        <v>11839.66407006</v>
      </c>
      <c r="E215" s="567">
        <v>3204.1532509600002</v>
      </c>
      <c r="F215" s="567">
        <v>149.52766110788184</v>
      </c>
      <c r="G215" s="567">
        <v>78.653793438621307</v>
      </c>
    </row>
    <row r="216" spans="1:10" ht="16.5" customHeight="1">
      <c r="A216" s="40" t="s">
        <v>18</v>
      </c>
      <c r="B216" s="751">
        <v>12602.824915190002</v>
      </c>
      <c r="C216" s="751">
        <v>11543.405625900001</v>
      </c>
      <c r="D216" s="751">
        <v>10040.935631120001</v>
      </c>
      <c r="E216" s="751">
        <v>2549.6886860999998</v>
      </c>
      <c r="F216" s="751">
        <v>164.7211627116138</v>
      </c>
      <c r="G216" s="751">
        <v>79.67210287129997</v>
      </c>
    </row>
    <row r="217" spans="1:10" ht="16.5" customHeight="1">
      <c r="A217" s="40" t="s">
        <v>19</v>
      </c>
      <c r="B217" s="751">
        <v>13348.45337465</v>
      </c>
      <c r="C217" s="751">
        <v>12112.34670455</v>
      </c>
      <c r="D217" s="751">
        <v>10367.48460813</v>
      </c>
      <c r="E217" s="751">
        <v>2968.1072119600003</v>
      </c>
      <c r="F217" s="751">
        <v>174.09087354200835</v>
      </c>
      <c r="G217" s="751">
        <v>77.668058741688029</v>
      </c>
    </row>
    <row r="218" spans="1:10" ht="16.5" customHeight="1">
      <c r="A218" s="40" t="s">
        <v>20</v>
      </c>
      <c r="B218" s="751">
        <v>11360.740389489998</v>
      </c>
      <c r="C218" s="751">
        <v>10066.898366729998</v>
      </c>
      <c r="D218" s="751">
        <v>9463.6018108600001</v>
      </c>
      <c r="E218" s="751">
        <v>1887.2892455899998</v>
      </c>
      <c r="F218" s="751">
        <v>173.64494497250675</v>
      </c>
      <c r="G218" s="751">
        <v>83.300924820136984</v>
      </c>
    </row>
    <row r="219" spans="1:10" ht="16.5" customHeight="1">
      <c r="A219" s="40" t="s">
        <v>21</v>
      </c>
      <c r="B219" s="751">
        <v>11773.892088780001</v>
      </c>
      <c r="C219" s="751">
        <v>10065.709438690001</v>
      </c>
      <c r="D219" s="751">
        <v>9473.3341701200006</v>
      </c>
      <c r="E219" s="751">
        <v>2290.3877324099999</v>
      </c>
      <c r="F219" s="751">
        <v>169.5350255895755</v>
      </c>
      <c r="G219" s="751">
        <v>80.460514659784167</v>
      </c>
      <c r="J219" s="483"/>
    </row>
    <row r="220" spans="1:10" ht="16.5" customHeight="1">
      <c r="A220" s="40" t="s">
        <v>22</v>
      </c>
      <c r="B220" s="751">
        <v>12480.829736399999</v>
      </c>
      <c r="C220" s="751">
        <v>10921.206972239999</v>
      </c>
      <c r="D220" s="751">
        <v>9940.6719927200011</v>
      </c>
      <c r="E220" s="751">
        <v>2531.1583994600001</v>
      </c>
      <c r="F220" s="751">
        <v>162.5292504852622</v>
      </c>
      <c r="G220" s="751">
        <v>79.64752506580794</v>
      </c>
      <c r="J220" s="483"/>
    </row>
    <row r="221" spans="1:10" ht="16.5" customHeight="1">
      <c r="A221" s="40" t="s">
        <v>23</v>
      </c>
      <c r="B221" s="751">
        <v>12754.724676150001</v>
      </c>
      <c r="C221" s="751">
        <v>11251.77431065</v>
      </c>
      <c r="D221" s="751">
        <v>10052.3843689</v>
      </c>
      <c r="E221" s="751">
        <v>2692.28600525</v>
      </c>
      <c r="F221" s="751">
        <v>156.68651731872654</v>
      </c>
      <c r="G221" s="751">
        <v>78.813025166250014</v>
      </c>
      <c r="J221" s="483"/>
    </row>
    <row r="222" spans="1:10" ht="16.5" customHeight="1">
      <c r="A222" s="40" t="s">
        <v>24</v>
      </c>
      <c r="B222" s="751">
        <v>12771.147726130002</v>
      </c>
      <c r="C222" s="751">
        <v>11676.935499960002</v>
      </c>
      <c r="D222" s="751">
        <v>10609.281695860001</v>
      </c>
      <c r="E222" s="751">
        <v>2151.6520358400003</v>
      </c>
      <c r="F222" s="751">
        <v>153.58201855584841</v>
      </c>
      <c r="G222" s="751">
        <v>83.072265103888938</v>
      </c>
      <c r="J222" s="483"/>
    </row>
    <row r="223" spans="1:10" ht="16.5" customHeight="1">
      <c r="A223" s="40" t="s">
        <v>25</v>
      </c>
      <c r="B223" s="751">
        <v>13012.733262090003</v>
      </c>
      <c r="C223" s="751">
        <v>11907.489257140003</v>
      </c>
      <c r="D223" s="751">
        <v>10641.862170380002</v>
      </c>
      <c r="E223" s="751">
        <v>2359.4649310699997</v>
      </c>
      <c r="F223" s="751">
        <v>152.66862463508733</v>
      </c>
      <c r="G223" s="751">
        <v>81.780375852188868</v>
      </c>
    </row>
    <row r="224" spans="1:10" ht="16.5" customHeight="1">
      <c r="A224" s="40" t="s">
        <v>26</v>
      </c>
      <c r="B224" s="751">
        <v>13233.603302260002</v>
      </c>
      <c r="C224" s="751">
        <v>12230.095657750002</v>
      </c>
      <c r="D224" s="751">
        <v>10612.487131270002</v>
      </c>
      <c r="E224" s="751">
        <v>2614.22845917</v>
      </c>
      <c r="F224" s="751">
        <v>153.23695998721689</v>
      </c>
      <c r="G224" s="751">
        <v>80.193480859877582</v>
      </c>
    </row>
    <row r="225" spans="1:7" ht="16.5" customHeight="1">
      <c r="A225" s="40" t="s">
        <v>27</v>
      </c>
      <c r="B225" s="751">
        <v>13477.575708620003</v>
      </c>
      <c r="C225" s="751">
        <v>12103.611000920002</v>
      </c>
      <c r="D225" s="751">
        <v>10783.850074320002</v>
      </c>
      <c r="E225" s="751">
        <v>2687.0647423400001</v>
      </c>
      <c r="F225" s="751">
        <v>149.07101182211034</v>
      </c>
      <c r="G225" s="751">
        <v>80.013277665528946</v>
      </c>
    </row>
    <row r="226" spans="1:7" ht="16.5" customHeight="1">
      <c r="A226" s="40" t="s">
        <v>28</v>
      </c>
      <c r="B226" s="751">
        <v>13241.241082749999</v>
      </c>
      <c r="C226" s="751">
        <v>11803.62807689</v>
      </c>
      <c r="D226" s="751">
        <v>10971.98495951</v>
      </c>
      <c r="E226" s="751">
        <v>2262.7301307999996</v>
      </c>
      <c r="F226" s="751">
        <v>148.60350487718406</v>
      </c>
      <c r="G226" s="751">
        <v>82.862209750139911</v>
      </c>
    </row>
    <row r="227" spans="1:7" ht="16.5" customHeight="1">
      <c r="A227" s="40" t="s">
        <v>29</v>
      </c>
      <c r="B227" s="751">
        <v>15052.883723020001</v>
      </c>
      <c r="C227" s="751">
        <v>13564.16827113</v>
      </c>
      <c r="D227" s="751">
        <v>11839.66407006</v>
      </c>
      <c r="E227" s="751">
        <v>3204.1532509600002</v>
      </c>
      <c r="F227" s="751">
        <v>149.52766110788184</v>
      </c>
      <c r="G227" s="751">
        <v>78.653793438621307</v>
      </c>
    </row>
    <row r="228" spans="1:7" ht="16.5" customHeight="1">
      <c r="A228" s="40" t="s">
        <v>2583</v>
      </c>
      <c r="B228" s="567">
        <v>19761.4066164</v>
      </c>
      <c r="C228" s="567">
        <v>17937.554502260002</v>
      </c>
      <c r="D228" s="567">
        <v>12310.017773940001</v>
      </c>
      <c r="E228" s="567">
        <v>7439.9792620400003</v>
      </c>
      <c r="F228" s="567">
        <v>173.39153088557433</v>
      </c>
      <c r="G228" s="567">
        <v>62.293226453444419</v>
      </c>
    </row>
    <row r="229" spans="1:7" ht="16.5" customHeight="1">
      <c r="A229" s="40" t="s">
        <v>18</v>
      </c>
      <c r="B229" s="751">
        <v>14109.267730200003</v>
      </c>
      <c r="C229" s="751">
        <v>12782.042175830002</v>
      </c>
      <c r="D229" s="751">
        <v>11314.13291088</v>
      </c>
      <c r="E229" s="751">
        <v>2787.8754556599997</v>
      </c>
      <c r="F229" s="751">
        <v>152.9551540279295</v>
      </c>
      <c r="G229" s="751">
        <v>80.189370045497171</v>
      </c>
    </row>
    <row r="230" spans="1:7" ht="16.5" customHeight="1">
      <c r="A230" s="40" t="s">
        <v>19</v>
      </c>
      <c r="B230" s="751">
        <v>14148.474008169998</v>
      </c>
      <c r="C230" s="751">
        <v>12862.995351079999</v>
      </c>
      <c r="D230" s="751">
        <v>11438.49952788</v>
      </c>
      <c r="E230" s="751">
        <v>2702.3212306199998</v>
      </c>
      <c r="F230" s="751">
        <v>156.20408505218728</v>
      </c>
      <c r="G230" s="751">
        <v>80.84617126394599</v>
      </c>
    </row>
    <row r="231" spans="1:7" ht="16.5" customHeight="1">
      <c r="A231" s="40" t="s">
        <v>20</v>
      </c>
      <c r="B231" s="751">
        <v>14820.991516580003</v>
      </c>
      <c r="C231" s="751">
        <v>13314.967326430002</v>
      </c>
      <c r="D231" s="751">
        <v>11830.953342660001</v>
      </c>
      <c r="E231" s="751">
        <v>2982.0545731999996</v>
      </c>
      <c r="F231" s="751">
        <v>156.96800918120084</v>
      </c>
      <c r="G231" s="751">
        <v>79.825653563224208</v>
      </c>
    </row>
    <row r="232" spans="1:7" ht="16.5" customHeight="1">
      <c r="A232" s="40" t="s">
        <v>21</v>
      </c>
      <c r="B232" s="751">
        <v>14692.819125990001</v>
      </c>
      <c r="C232" s="751">
        <v>13281.584169410002</v>
      </c>
      <c r="D232" s="751">
        <v>11514.10853698</v>
      </c>
      <c r="E232" s="751">
        <v>3170.9302331899999</v>
      </c>
      <c r="F232" s="751">
        <v>159.82384179160266</v>
      </c>
      <c r="G232" s="751">
        <v>78.365550125181855</v>
      </c>
    </row>
    <row r="233" spans="1:7" ht="16.5" customHeight="1">
      <c r="A233" s="40" t="s">
        <v>22</v>
      </c>
      <c r="B233" s="751">
        <v>15189.946663819999</v>
      </c>
      <c r="C233" s="751">
        <v>13856.76540126</v>
      </c>
      <c r="D233" s="751">
        <v>11635.154521029999</v>
      </c>
      <c r="E233" s="751">
        <v>3544.6463539799997</v>
      </c>
      <c r="F233" s="751">
        <v>161.19940037686155</v>
      </c>
      <c r="G233" s="751">
        <v>76.597731239853914</v>
      </c>
    </row>
    <row r="234" spans="1:7" ht="16.5" customHeight="1">
      <c r="A234" s="40" t="s">
        <v>23</v>
      </c>
      <c r="B234" s="751">
        <v>15181.921383729999</v>
      </c>
      <c r="C234" s="751">
        <v>13802.977317270001</v>
      </c>
      <c r="D234" s="751">
        <v>11741.455830019999</v>
      </c>
      <c r="E234" s="751">
        <v>3431.8950112000002</v>
      </c>
      <c r="F234" s="751">
        <v>163.20072939339002</v>
      </c>
      <c r="G234" s="751">
        <v>77.338404891247549</v>
      </c>
    </row>
    <row r="235" spans="1:7" ht="16.5" customHeight="1">
      <c r="A235" s="40" t="s">
        <v>24</v>
      </c>
      <c r="B235" s="751">
        <v>15643.82057193</v>
      </c>
      <c r="C235" s="751">
        <v>14213.38429102</v>
      </c>
      <c r="D235" s="751">
        <v>12077.340058829999</v>
      </c>
      <c r="E235" s="751">
        <v>3557.9547095999997</v>
      </c>
      <c r="F235" s="751">
        <v>158.94110958244659</v>
      </c>
      <c r="G235" s="751">
        <v>77.20198530338935</v>
      </c>
    </row>
    <row r="236" spans="1:7" ht="16.5" customHeight="1">
      <c r="A236" s="40" t="s">
        <v>25</v>
      </c>
      <c r="B236" s="751">
        <v>15460.227133350001</v>
      </c>
      <c r="C236" s="751">
        <v>14172.33178405</v>
      </c>
      <c r="D236" s="751">
        <v>11981.43251855</v>
      </c>
      <c r="E236" s="751">
        <v>3469.5785761099996</v>
      </c>
      <c r="F236" s="751">
        <v>161.10042285753255</v>
      </c>
      <c r="G236" s="751">
        <v>77.498424927433788</v>
      </c>
    </row>
    <row r="237" spans="1:7" ht="16.5" customHeight="1">
      <c r="A237" s="40" t="s">
        <v>26</v>
      </c>
      <c r="B237" s="751">
        <v>15724.71971781</v>
      </c>
      <c r="C237" s="751">
        <v>14498.74134884</v>
      </c>
      <c r="D237" s="751">
        <v>12095.8236449</v>
      </c>
      <c r="E237" s="751">
        <v>3618.6972815199997</v>
      </c>
      <c r="F237" s="751">
        <v>164.86249422723412</v>
      </c>
      <c r="G237" s="751">
        <v>76.922348136991786</v>
      </c>
    </row>
    <row r="238" spans="1:7" ht="16.5" customHeight="1">
      <c r="A238" s="40" t="s">
        <v>27</v>
      </c>
      <c r="B238" s="751">
        <v>16065.780464840003</v>
      </c>
      <c r="C238" s="751">
        <v>14621.233465130003</v>
      </c>
      <c r="D238" s="751">
        <v>12177.918018450002</v>
      </c>
      <c r="E238" s="751">
        <v>3877.0886390699998</v>
      </c>
      <c r="F238" s="751">
        <v>165.64286091030823</v>
      </c>
      <c r="G238" s="751">
        <v>75.800351219172967</v>
      </c>
    </row>
    <row r="239" spans="1:7" ht="16.5" customHeight="1">
      <c r="A239" s="40" t="s">
        <v>28</v>
      </c>
      <c r="B239" s="751">
        <v>15487.161826160002</v>
      </c>
      <c r="C239" s="751">
        <v>14279.102331930002</v>
      </c>
      <c r="D239" s="751">
        <v>12004.699261040001</v>
      </c>
      <c r="E239" s="751">
        <v>3471.4287422500001</v>
      </c>
      <c r="F239" s="751">
        <v>169.39934763071784</v>
      </c>
      <c r="G239" s="751">
        <v>77.513875013318255</v>
      </c>
    </row>
    <row r="240" spans="1:7" ht="16.5" customHeight="1">
      <c r="A240" s="40" t="s">
        <v>29</v>
      </c>
      <c r="B240" s="751">
        <v>19761.4066164</v>
      </c>
      <c r="C240" s="751">
        <v>17937.554502260002</v>
      </c>
      <c r="D240" s="751">
        <v>12310.017773940001</v>
      </c>
      <c r="E240" s="751">
        <v>7439.9792620400003</v>
      </c>
      <c r="F240" s="751">
        <v>173.39153088557433</v>
      </c>
      <c r="G240" s="751">
        <v>62.293226453444419</v>
      </c>
    </row>
    <row r="241" spans="1:7" ht="16.5" customHeight="1">
      <c r="A241" s="40" t="s">
        <v>2892</v>
      </c>
      <c r="B241" s="567">
        <v>20900.260452980005</v>
      </c>
      <c r="C241" s="567">
        <v>17460.274460720004</v>
      </c>
      <c r="D241" s="567">
        <v>14714.36026879</v>
      </c>
      <c r="E241" s="567">
        <v>6169.71829867</v>
      </c>
      <c r="F241" s="567">
        <v>1389.205508179517</v>
      </c>
      <c r="G241" s="567">
        <v>70.402760300013369</v>
      </c>
    </row>
    <row r="242" spans="1:7" ht="16.5" customHeight="1">
      <c r="A242" s="40" t="s">
        <v>18</v>
      </c>
      <c r="B242" s="751">
        <v>15421.207929630002</v>
      </c>
      <c r="C242" s="751">
        <v>14044.248861950002</v>
      </c>
      <c r="D242" s="751">
        <v>11529.014941610001</v>
      </c>
      <c r="E242" s="751">
        <v>3835.7482910799999</v>
      </c>
      <c r="F242" s="751">
        <v>178.5376978326492</v>
      </c>
      <c r="G242" s="751">
        <v>74.760777458025061</v>
      </c>
    </row>
    <row r="243" spans="1:7" ht="16.5" customHeight="1">
      <c r="A243" s="40" t="s">
        <v>19</v>
      </c>
      <c r="B243" s="751">
        <v>15368.86442881</v>
      </c>
      <c r="C243" s="751">
        <v>13945.622092490001</v>
      </c>
      <c r="D243" s="751">
        <v>11565.98536855</v>
      </c>
      <c r="E243" s="751">
        <v>3782.0278936800005</v>
      </c>
      <c r="F243" s="751">
        <v>191.82273775979021</v>
      </c>
      <c r="G243" s="751">
        <v>75.255952852760942</v>
      </c>
    </row>
    <row r="244" spans="1:7" ht="16.5" customHeight="1">
      <c r="A244" s="40" t="s">
        <v>20</v>
      </c>
      <c r="B244" s="751">
        <v>16403.964037680002</v>
      </c>
      <c r="C244" s="751">
        <v>14359.583505760002</v>
      </c>
      <c r="D244" s="751">
        <v>11795.90849792</v>
      </c>
      <c r="E244" s="751">
        <v>4604.3213858199997</v>
      </c>
      <c r="F244" s="751">
        <v>184.64707187759799</v>
      </c>
      <c r="G244" s="751">
        <v>71.908890258627295</v>
      </c>
    </row>
    <row r="245" spans="1:7" ht="16.5" customHeight="1">
      <c r="A245" s="40" t="s">
        <v>21</v>
      </c>
      <c r="B245" s="751">
        <v>16012.793593580001</v>
      </c>
      <c r="C245" s="751">
        <v>14564.534771010003</v>
      </c>
      <c r="D245" s="751">
        <v>12020.648122730003</v>
      </c>
      <c r="E245" s="751">
        <v>3963.5902128100001</v>
      </c>
      <c r="F245" s="751">
        <v>193.6113773057657</v>
      </c>
      <c r="G245" s="751">
        <v>75.069025604310752</v>
      </c>
    </row>
    <row r="246" spans="1:7" ht="16.5" customHeight="1">
      <c r="A246" s="40" t="s">
        <v>22</v>
      </c>
      <c r="B246" s="751">
        <v>17025.012353530001</v>
      </c>
      <c r="C246" s="751">
        <v>14883.586254350002</v>
      </c>
      <c r="D246" s="751">
        <v>12461.379267320001</v>
      </c>
      <c r="E246" s="751">
        <v>4558.9773872099995</v>
      </c>
      <c r="F246" s="751">
        <v>198.48528042736314</v>
      </c>
      <c r="G246" s="751">
        <v>73.194538767757379</v>
      </c>
    </row>
    <row r="247" spans="1:7" ht="16.5" customHeight="1">
      <c r="A247" s="40" t="s">
        <v>23</v>
      </c>
      <c r="B247" s="751">
        <v>17530.809179430002</v>
      </c>
      <c r="C247" s="751">
        <v>15652.816622270002</v>
      </c>
      <c r="D247" s="751">
        <v>12893.752526169999</v>
      </c>
      <c r="E247" s="751">
        <v>4631.34538763</v>
      </c>
      <c r="F247" s="751">
        <v>198.23356646009154</v>
      </c>
      <c r="G247" s="751">
        <v>73.54910086694143</v>
      </c>
    </row>
    <row r="248" spans="1:7" ht="16.5" customHeight="1">
      <c r="A248" s="40" t="s">
        <v>24</v>
      </c>
      <c r="B248" s="751">
        <v>18015.001649310001</v>
      </c>
      <c r="C248" s="751">
        <v>16120.4379274</v>
      </c>
      <c r="D248" s="751">
        <v>13464.984708779999</v>
      </c>
      <c r="E248" s="751">
        <v>4542.1376098800001</v>
      </c>
      <c r="F248" s="751">
        <v>204.9784498108892</v>
      </c>
      <c r="G248" s="751">
        <v>74.743177774261966</v>
      </c>
    </row>
    <row r="249" spans="1:7" ht="16.5" customHeight="1">
      <c r="A249" s="40" t="s">
        <v>25</v>
      </c>
      <c r="B249" s="751">
        <v>17855.30838563</v>
      </c>
      <c r="C249" s="751">
        <v>16204.82873126</v>
      </c>
      <c r="D249" s="751">
        <v>13515.038482440001</v>
      </c>
      <c r="E249" s="751">
        <v>4333.93185481</v>
      </c>
      <c r="F249" s="751">
        <v>210.14611978827659</v>
      </c>
      <c r="G249" s="751">
        <v>75.691991370571557</v>
      </c>
    </row>
    <row r="250" spans="1:7" ht="16.5" customHeight="1">
      <c r="A250" s="40" t="s">
        <v>26</v>
      </c>
      <c r="B250" s="751">
        <v>17703.294185750001</v>
      </c>
      <c r="C250" s="751">
        <v>16144.852498050001</v>
      </c>
      <c r="D250" s="751">
        <v>13665.33717644</v>
      </c>
      <c r="E250" s="751">
        <v>4031.4677946799998</v>
      </c>
      <c r="F250" s="751">
        <v>1274.213578516597</v>
      </c>
      <c r="G250" s="751">
        <v>77.19092860943195</v>
      </c>
    </row>
    <row r="251" spans="1:7" ht="16.5" customHeight="1">
      <c r="A251" s="40" t="s">
        <v>27</v>
      </c>
      <c r="B251" s="751">
        <v>18408.423289830003</v>
      </c>
      <c r="C251" s="751">
        <v>16670.989240350005</v>
      </c>
      <c r="D251" s="751">
        <v>13943.88260565</v>
      </c>
      <c r="E251" s="751">
        <v>4333.1703876499996</v>
      </c>
      <c r="F251" s="751">
        <v>1306.0471953716381</v>
      </c>
      <c r="G251" s="751">
        <v>75.747294518990657</v>
      </c>
    </row>
    <row r="252" spans="1:7" ht="16.5" customHeight="1">
      <c r="A252" s="40" t="s">
        <v>28</v>
      </c>
      <c r="B252" s="751">
        <v>18753.574553070001</v>
      </c>
      <c r="C252" s="751">
        <v>16708.172107660001</v>
      </c>
      <c r="D252" s="751">
        <v>14163.746711739999</v>
      </c>
      <c r="E252" s="751">
        <v>4589.7315069099996</v>
      </c>
      <c r="F252" s="751">
        <v>1341.5602575064609</v>
      </c>
      <c r="G252" s="751">
        <v>75.525584051502136</v>
      </c>
    </row>
    <row r="253" spans="1:7" ht="16.5" customHeight="1">
      <c r="A253" s="40" t="s">
        <v>29</v>
      </c>
      <c r="B253" s="751">
        <v>20900.260452980005</v>
      </c>
      <c r="C253" s="751">
        <v>17460.274460720004</v>
      </c>
      <c r="D253" s="751">
        <v>14714.36026879</v>
      </c>
      <c r="E253" s="751">
        <v>6169.71829867</v>
      </c>
      <c r="F253" s="751">
        <v>1389.205508179517</v>
      </c>
      <c r="G253" s="751">
        <v>70.402760300013369</v>
      </c>
    </row>
    <row r="254" spans="1:7" ht="16.5" customHeight="1">
      <c r="A254" s="40" t="s">
        <v>3605</v>
      </c>
      <c r="B254" s="567">
        <v>23884.63747682</v>
      </c>
      <c r="C254" s="567">
        <v>20875.191369710003</v>
      </c>
      <c r="D254" s="567">
        <v>17318.194900760001</v>
      </c>
      <c r="E254" s="567">
        <v>6521.1069867400001</v>
      </c>
      <c r="F254" s="567">
        <v>5050.8181405949999</v>
      </c>
      <c r="G254" s="567">
        <v>72.507673258877304</v>
      </c>
    </row>
    <row r="255" spans="1:7" ht="16.5" customHeight="1">
      <c r="A255" s="40" t="s">
        <v>18</v>
      </c>
      <c r="B255" s="751">
        <v>18626.765334310003</v>
      </c>
      <c r="C255" s="751">
        <v>16884.882542810003</v>
      </c>
      <c r="D255" s="751">
        <v>14557.325995390001</v>
      </c>
      <c r="E255" s="751">
        <v>4067.41749875</v>
      </c>
      <c r="F255" s="751">
        <v>1419.2240900694069</v>
      </c>
      <c r="G255" s="751">
        <v>78.152732018241494</v>
      </c>
    </row>
    <row r="256" spans="1:7" ht="16.5" customHeight="1">
      <c r="A256" s="40" t="s">
        <v>19</v>
      </c>
      <c r="B256" s="751">
        <v>18911.679152650006</v>
      </c>
      <c r="C256" s="751">
        <v>17248.685680310005</v>
      </c>
      <c r="D256" s="751">
        <v>14830.11180986</v>
      </c>
      <c r="E256" s="751">
        <v>4080.7872985399999</v>
      </c>
      <c r="F256" s="751">
        <v>2389.41453967394</v>
      </c>
      <c r="G256" s="751">
        <v>78.417742233015446</v>
      </c>
    </row>
    <row r="257" spans="1:14" ht="16.5" customHeight="1">
      <c r="A257" s="40" t="s">
        <v>20</v>
      </c>
      <c r="B257" s="751">
        <v>19438.388410329997</v>
      </c>
      <c r="C257" s="751">
        <v>17688.949252909999</v>
      </c>
      <c r="D257" s="751">
        <v>15169.034821840001</v>
      </c>
      <c r="E257" s="751">
        <v>4269.2131986900004</v>
      </c>
      <c r="F257" s="751">
        <v>2351.5082657693501</v>
      </c>
      <c r="G257" s="751">
        <v>78.03648379501891</v>
      </c>
    </row>
    <row r="258" spans="1:14" ht="16.5" customHeight="1">
      <c r="A258" s="40" t="s">
        <v>21</v>
      </c>
      <c r="B258" s="751">
        <v>19024.700017860003</v>
      </c>
      <c r="C258" s="751">
        <v>17609.946463520002</v>
      </c>
      <c r="D258" s="751">
        <v>15238.47677551</v>
      </c>
      <c r="E258" s="751">
        <v>3784.1730545600003</v>
      </c>
      <c r="F258" s="751">
        <v>2239.5127650115201</v>
      </c>
      <c r="G258" s="751">
        <v>80.098381373711149</v>
      </c>
    </row>
    <row r="259" spans="1:14" ht="16.5" customHeight="1">
      <c r="A259" s="40" t="s">
        <v>22</v>
      </c>
      <c r="B259" s="751">
        <v>19116.760338709999</v>
      </c>
      <c r="C259" s="751">
        <v>17350.46711112</v>
      </c>
      <c r="D259" s="751">
        <v>15305.46074851</v>
      </c>
      <c r="E259" s="751">
        <v>3811.11845257</v>
      </c>
      <c r="F259" s="751">
        <v>2176.1299757623301</v>
      </c>
      <c r="G259" s="751">
        <v>80.063046652928918</v>
      </c>
    </row>
    <row r="260" spans="1:14" ht="16.5" customHeight="1">
      <c r="A260" s="40" t="s">
        <v>23</v>
      </c>
      <c r="B260" s="751">
        <v>19963.433359180006</v>
      </c>
      <c r="C260" s="751">
        <v>18401.718879660006</v>
      </c>
      <c r="D260" s="751">
        <v>15889.566620790001</v>
      </c>
      <c r="E260" s="751">
        <v>4066.0664921500002</v>
      </c>
      <c r="F260" s="751">
        <v>2316.7980048165</v>
      </c>
      <c r="G260" s="751">
        <v>79.59335618731798</v>
      </c>
    </row>
    <row r="261" spans="1:14" ht="16.5" customHeight="1">
      <c r="A261" s="40" t="s">
        <v>24</v>
      </c>
      <c r="B261" s="751">
        <v>19566.763979630003</v>
      </c>
      <c r="C261" s="751">
        <v>18262.643928190002</v>
      </c>
      <c r="D261" s="751">
        <v>16085.4533386</v>
      </c>
      <c r="E261" s="751">
        <v>3475.1345437600003</v>
      </c>
      <c r="F261" s="751">
        <v>2199.14351224136</v>
      </c>
      <c r="G261" s="751">
        <v>82.208040917475046</v>
      </c>
    </row>
    <row r="262" spans="1:14" ht="16.5" customHeight="1">
      <c r="A262" s="40" t="s">
        <v>25</v>
      </c>
      <c r="B262" s="751">
        <v>19816.583937430001</v>
      </c>
      <c r="C262" s="751">
        <v>18116.87461454</v>
      </c>
      <c r="D262" s="751">
        <v>15972.20565749</v>
      </c>
      <c r="E262" s="751">
        <v>3844.1914986400002</v>
      </c>
      <c r="F262" s="751">
        <v>2784.4137929198</v>
      </c>
      <c r="G262" s="751">
        <v>80.600196824647185</v>
      </c>
    </row>
    <row r="263" spans="1:14" ht="16.5" customHeight="1">
      <c r="A263" s="40" t="s">
        <v>26</v>
      </c>
      <c r="B263" s="751">
        <v>19432.514785309999</v>
      </c>
      <c r="C263" s="751">
        <v>17896.178054439999</v>
      </c>
      <c r="D263" s="751">
        <v>16157.726185949999</v>
      </c>
      <c r="E263" s="751">
        <v>3274.6107595899998</v>
      </c>
      <c r="F263" s="751">
        <v>2616.19069868222</v>
      </c>
      <c r="G263" s="751">
        <v>83.147890864667829</v>
      </c>
    </row>
    <row r="264" spans="1:14" ht="16.5" customHeight="1">
      <c r="A264" s="40" t="s">
        <v>27</v>
      </c>
      <c r="B264" s="751">
        <v>19955.28193134</v>
      </c>
      <c r="C264" s="751">
        <v>18401.99067264</v>
      </c>
      <c r="D264" s="751">
        <v>16343.182953660002</v>
      </c>
      <c r="E264" s="751">
        <v>3610.0158578699998</v>
      </c>
      <c r="F264" s="751">
        <v>2672.0249588786301</v>
      </c>
      <c r="G264" s="751">
        <v>81.899033097562224</v>
      </c>
    </row>
    <row r="265" spans="1:14" ht="16.5" customHeight="1">
      <c r="A265" s="40" t="s">
        <v>28</v>
      </c>
      <c r="B265" s="751">
        <v>19752.470663329997</v>
      </c>
      <c r="C265" s="751">
        <v>18334.378930759998</v>
      </c>
      <c r="D265" s="751">
        <v>16413.280041770002</v>
      </c>
      <c r="E265" s="751">
        <v>3338.6126003300005</v>
      </c>
      <c r="F265" s="751">
        <v>2711.91871579285</v>
      </c>
      <c r="G265" s="751">
        <v>83.09482049878892</v>
      </c>
    </row>
    <row r="266" spans="1:14" ht="16.5" customHeight="1">
      <c r="A266" s="40" t="s">
        <v>29</v>
      </c>
      <c r="B266" s="751">
        <v>23884.63747682</v>
      </c>
      <c r="C266" s="751">
        <v>20875.191369710003</v>
      </c>
      <c r="D266" s="751">
        <v>17318.194900760001</v>
      </c>
      <c r="E266" s="751">
        <v>6521.1069867400001</v>
      </c>
      <c r="F266" s="751">
        <v>5050.8181405949999</v>
      </c>
      <c r="G266" s="751">
        <v>72.507673258877304</v>
      </c>
    </row>
    <row r="267" spans="1:14" ht="16.5" customHeight="1">
      <c r="A267" s="40" t="s">
        <v>4086</v>
      </c>
      <c r="B267" s="751"/>
      <c r="C267" s="751"/>
      <c r="D267" s="751"/>
      <c r="E267" s="751"/>
      <c r="F267" s="751"/>
      <c r="G267" s="751"/>
    </row>
    <row r="268" spans="1:14" ht="16.5" customHeight="1">
      <c r="A268" s="40" t="s">
        <v>18</v>
      </c>
      <c r="B268" s="751">
        <v>22781.832874150001</v>
      </c>
      <c r="C268" s="751">
        <v>20271.14124787</v>
      </c>
      <c r="D268" s="751">
        <v>16986.574990470002</v>
      </c>
      <c r="E268" s="751">
        <v>5793.1886132899999</v>
      </c>
      <c r="F268" s="751">
        <v>4951.9881789248993</v>
      </c>
      <c r="G268" s="751">
        <v>74.561933117085857</v>
      </c>
    </row>
    <row r="269" spans="1:14" ht="16.5" customHeight="1">
      <c r="A269" s="711" t="s">
        <v>19</v>
      </c>
      <c r="B269" s="754">
        <v>23030.41038677</v>
      </c>
      <c r="C269" s="754">
        <v>20131.75628383</v>
      </c>
      <c r="D269" s="754">
        <v>16703.03475816</v>
      </c>
      <c r="E269" s="754">
        <v>6327.2044594399995</v>
      </c>
      <c r="F269" s="754">
        <v>5134.7011849339597</v>
      </c>
      <c r="G269" s="754">
        <v>72.525997051946547</v>
      </c>
    </row>
    <row r="270" spans="1:14" s="876" customFormat="1" ht="27" customHeight="1">
      <c r="A270" s="2263" t="s">
        <v>2758</v>
      </c>
      <c r="B270" s="2264"/>
      <c r="C270" s="2264"/>
      <c r="D270" s="2264"/>
      <c r="E270" s="2264"/>
      <c r="F270" s="2264"/>
      <c r="G270" s="2265"/>
      <c r="H270" s="886"/>
      <c r="I270" s="886"/>
      <c r="J270" s="886"/>
      <c r="K270" s="886"/>
      <c r="L270" s="886"/>
      <c r="M270" s="886"/>
      <c r="N270" s="886"/>
    </row>
  </sheetData>
  <mergeCells count="18">
    <mergeCell ref="A270:G27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5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74"/>
  <sheetViews>
    <sheetView showGridLines="0" view="pageBreakPreview" zoomScaleSheetLayoutView="100" workbookViewId="0">
      <pane ySplit="17" topLeftCell="A249" activePane="bottomLeft" state="frozen"/>
      <selection activeCell="G291" sqref="G291"/>
      <selection pane="bottomLeft" activeCell="J280" sqref="J280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92" customFormat="1" ht="27" customHeight="1">
      <c r="A2" s="2275" t="s">
        <v>2797</v>
      </c>
      <c r="B2" s="2275"/>
      <c r="C2" s="2275"/>
      <c r="D2" s="2275"/>
      <c r="E2" s="2275"/>
      <c r="F2" s="2275"/>
      <c r="G2" s="2275"/>
      <c r="H2" s="2275"/>
      <c r="I2" s="2275"/>
      <c r="J2" s="2275"/>
      <c r="K2" s="2275"/>
      <c r="L2" s="2275"/>
    </row>
    <row r="3" spans="1:82" s="392" customFormat="1" ht="27" customHeight="1">
      <c r="A3" s="2276" t="s">
        <v>2796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</row>
    <row r="4" spans="1:82" s="392" customFormat="1" ht="13.5" customHeight="1">
      <c r="A4" s="620"/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</row>
    <row r="5" spans="1:82" s="392" customFormat="1" ht="13.5" customHeigh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1:82" s="143" customFormat="1" ht="15.6" customHeight="1">
      <c r="A6" s="2256" t="s">
        <v>182</v>
      </c>
      <c r="B6" s="2273" t="s">
        <v>151</v>
      </c>
      <c r="C6" s="2256" t="s">
        <v>152</v>
      </c>
      <c r="D6" s="2256"/>
      <c r="E6" s="2256" t="s">
        <v>153</v>
      </c>
      <c r="F6" s="2256"/>
      <c r="G6" s="2256"/>
      <c r="H6" s="2256"/>
      <c r="I6" s="2256"/>
      <c r="J6" s="2256"/>
      <c r="K6" s="2256" t="s">
        <v>154</v>
      </c>
      <c r="L6" s="2256"/>
    </row>
    <row r="7" spans="1:82" s="143" customFormat="1" ht="39" customHeight="1">
      <c r="A7" s="2256"/>
      <c r="B7" s="2274"/>
      <c r="C7" s="2256"/>
      <c r="D7" s="2256"/>
      <c r="E7" s="2256" t="s">
        <v>155</v>
      </c>
      <c r="F7" s="2256"/>
      <c r="G7" s="2256" t="s">
        <v>156</v>
      </c>
      <c r="H7" s="2256"/>
      <c r="I7" s="2256" t="s">
        <v>157</v>
      </c>
      <c r="J7" s="2256"/>
      <c r="K7" s="2256"/>
      <c r="L7" s="2256"/>
      <c r="CC7" s="344" t="s">
        <v>2089</v>
      </c>
      <c r="CD7" s="360" t="s">
        <v>2090</v>
      </c>
    </row>
    <row r="8" spans="1:82" s="143" customFormat="1" ht="32.25" customHeight="1">
      <c r="A8" s="2256"/>
      <c r="B8" s="2274"/>
      <c r="C8" s="645" t="s">
        <v>8</v>
      </c>
      <c r="D8" s="645" t="s">
        <v>159</v>
      </c>
      <c r="E8" s="645" t="s">
        <v>8</v>
      </c>
      <c r="F8" s="645" t="s">
        <v>159</v>
      </c>
      <c r="G8" s="645" t="s">
        <v>8</v>
      </c>
      <c r="H8" s="645" t="s">
        <v>159</v>
      </c>
      <c r="I8" s="645" t="s">
        <v>8</v>
      </c>
      <c r="J8" s="645" t="s">
        <v>159</v>
      </c>
      <c r="K8" s="645" t="s">
        <v>8</v>
      </c>
      <c r="L8" s="645" t="s">
        <v>159</v>
      </c>
      <c r="BY8" s="143">
        <f>BY10+BY22+BY32+BY40</f>
        <v>0</v>
      </c>
      <c r="CC8" s="143">
        <f>CC10+CC22+CC32+CC40</f>
        <v>622</v>
      </c>
      <c r="CD8" s="365">
        <f>BY8+BZ8+CA8+CC8</f>
        <v>622</v>
      </c>
    </row>
    <row r="9" spans="1:82" ht="15.6" customHeight="1">
      <c r="A9" s="2254" t="s">
        <v>304</v>
      </c>
      <c r="B9" s="2254" t="s">
        <v>1184</v>
      </c>
      <c r="C9" s="2254" t="s">
        <v>160</v>
      </c>
      <c r="D9" s="2254"/>
      <c r="E9" s="2254" t="s">
        <v>161</v>
      </c>
      <c r="F9" s="2254"/>
      <c r="G9" s="2254"/>
      <c r="H9" s="2254"/>
      <c r="I9" s="2254"/>
      <c r="J9" s="2254"/>
      <c r="K9" s="2254" t="s">
        <v>1185</v>
      </c>
      <c r="L9" s="2254"/>
      <c r="CD9" s="366"/>
    </row>
    <row r="10" spans="1:82">
      <c r="A10" s="2254"/>
      <c r="B10" s="2254"/>
      <c r="C10" s="2254"/>
      <c r="D10" s="2254"/>
      <c r="E10" s="2254" t="s">
        <v>113</v>
      </c>
      <c r="F10" s="2254"/>
      <c r="G10" s="2254" t="s">
        <v>162</v>
      </c>
      <c r="H10" s="2254"/>
      <c r="I10" s="2254" t="s">
        <v>163</v>
      </c>
      <c r="J10" s="2254"/>
      <c r="K10" s="2254"/>
      <c r="L10" s="2254"/>
      <c r="CC10" s="142">
        <f>CC12+CC17</f>
        <v>1713</v>
      </c>
      <c r="CD10" s="366">
        <f>BY10+BZ10+CA10+CC10</f>
        <v>1713</v>
      </c>
    </row>
    <row r="11" spans="1:82" ht="32.25" customHeight="1">
      <c r="A11" s="2254"/>
      <c r="B11" s="2254"/>
      <c r="C11" s="646" t="s">
        <v>8</v>
      </c>
      <c r="D11" s="646" t="s">
        <v>164</v>
      </c>
      <c r="E11" s="646" t="s">
        <v>8</v>
      </c>
      <c r="F11" s="646" t="s">
        <v>164</v>
      </c>
      <c r="G11" s="646" t="s">
        <v>8</v>
      </c>
      <c r="H11" s="646" t="s">
        <v>164</v>
      </c>
      <c r="I11" s="646" t="s">
        <v>8</v>
      </c>
      <c r="J11" s="646" t="s">
        <v>164</v>
      </c>
      <c r="K11" s="646" t="s">
        <v>8</v>
      </c>
      <c r="L11" s="646" t="s">
        <v>164</v>
      </c>
      <c r="CD11" s="366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6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6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6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6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6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6">
        <f t="shared" si="0"/>
        <v>-2648</v>
      </c>
    </row>
    <row r="18" spans="1:82">
      <c r="A18" s="755">
        <v>2005</v>
      </c>
      <c r="B18" s="756">
        <f>+B30</f>
        <v>1440.9632994538799</v>
      </c>
      <c r="C18" s="756">
        <f t="shared" ref="C18:L18" si="1">+C30</f>
        <v>748.273324</v>
      </c>
      <c r="D18" s="756">
        <f t="shared" si="1"/>
        <v>51.928687169450669</v>
      </c>
      <c r="E18" s="756">
        <f t="shared" si="1"/>
        <v>653.1</v>
      </c>
      <c r="F18" s="756">
        <f t="shared" si="1"/>
        <v>45.323846918760715</v>
      </c>
      <c r="G18" s="756">
        <f t="shared" si="1"/>
        <v>263.524</v>
      </c>
      <c r="H18" s="756">
        <f t="shared" si="1"/>
        <v>18.288043845382784</v>
      </c>
      <c r="I18" s="756">
        <f t="shared" si="1"/>
        <v>25.936</v>
      </c>
      <c r="J18" s="756">
        <f t="shared" si="1"/>
        <v>1.7999070489740894</v>
      </c>
      <c r="K18" s="756">
        <f t="shared" si="1"/>
        <v>39.6188</v>
      </c>
      <c r="L18" s="756">
        <f t="shared" si="1"/>
        <v>2.7494662782192569</v>
      </c>
      <c r="CD18" s="366"/>
    </row>
    <row r="19" spans="1:82" hidden="1">
      <c r="A19" s="757">
        <v>1</v>
      </c>
      <c r="B19" s="729">
        <v>970.37696426713205</v>
      </c>
      <c r="C19" s="729">
        <v>423.44979999999998</v>
      </c>
      <c r="D19" s="729">
        <f t="shared" ref="D19:D30" si="2">+C19/B19*100</f>
        <v>43.637659960302791</v>
      </c>
      <c r="E19" s="729">
        <v>462.2</v>
      </c>
      <c r="F19" s="729">
        <f t="shared" ref="F19:F30" si="3">+E19/B19*100</f>
        <v>47.630974046160723</v>
      </c>
      <c r="G19" s="729">
        <v>157.44</v>
      </c>
      <c r="H19" s="729">
        <f t="shared" ref="H19:H30" si="4">+G19/B19*100</f>
        <v>16.224622574269894</v>
      </c>
      <c r="I19" s="729">
        <v>21.64</v>
      </c>
      <c r="J19" s="729">
        <f t="shared" ref="J19:J30" si="5">+I19/B19*100</f>
        <v>2.2300611820833365</v>
      </c>
      <c r="K19" s="729">
        <v>84.82</v>
      </c>
      <c r="L19" s="729">
        <f t="shared" ref="L19:L30" si="6">+K19/B19*100</f>
        <v>8.7409329697000278</v>
      </c>
      <c r="CC19" s="142">
        <v>-367</v>
      </c>
      <c r="CD19" s="366">
        <f t="shared" si="0"/>
        <v>-367</v>
      </c>
    </row>
    <row r="20" spans="1:82" hidden="1">
      <c r="A20" s="757">
        <v>2</v>
      </c>
      <c r="B20" s="729">
        <v>1018.03088215995</v>
      </c>
      <c r="C20" s="729">
        <v>458.35755999999998</v>
      </c>
      <c r="D20" s="729">
        <f t="shared" si="2"/>
        <v>45.023934738355429</v>
      </c>
      <c r="E20" s="729">
        <v>474.84</v>
      </c>
      <c r="F20" s="729">
        <f t="shared" si="3"/>
        <v>46.642985819107452</v>
      </c>
      <c r="G20" s="729">
        <v>166.72</v>
      </c>
      <c r="H20" s="729">
        <f t="shared" si="4"/>
        <v>16.37671341033105</v>
      </c>
      <c r="I20" s="729">
        <v>22.28</v>
      </c>
      <c r="J20" s="729">
        <f t="shared" si="5"/>
        <v>2.1885387163038375</v>
      </c>
      <c r="K20" s="729">
        <v>84.82</v>
      </c>
      <c r="L20" s="729">
        <f t="shared" si="6"/>
        <v>8.3317708221225963</v>
      </c>
      <c r="CC20" s="142">
        <v>-2281</v>
      </c>
      <c r="CD20" s="366">
        <f t="shared" si="0"/>
        <v>-2281</v>
      </c>
    </row>
    <row r="21" spans="1:82" hidden="1">
      <c r="A21" s="757">
        <v>3</v>
      </c>
      <c r="B21" s="729">
        <v>1073.49730795293</v>
      </c>
      <c r="C21" s="729">
        <v>470.62920000000003</v>
      </c>
      <c r="D21" s="729">
        <f t="shared" si="2"/>
        <v>43.84074338271521</v>
      </c>
      <c r="E21" s="729">
        <v>517.26</v>
      </c>
      <c r="F21" s="729">
        <f t="shared" si="3"/>
        <v>48.184564243237062</v>
      </c>
      <c r="G21" s="729">
        <v>174.82</v>
      </c>
      <c r="H21" s="729">
        <f t="shared" si="4"/>
        <v>16.285089744041109</v>
      </c>
      <c r="I21" s="729">
        <v>24.74</v>
      </c>
      <c r="J21" s="729">
        <f t="shared" si="5"/>
        <v>2.3046168645897325</v>
      </c>
      <c r="K21" s="729">
        <v>85.6</v>
      </c>
      <c r="L21" s="729">
        <f t="shared" si="6"/>
        <v>7.9739370900922024</v>
      </c>
      <c r="CD21" s="366"/>
    </row>
    <row r="22" spans="1:82" hidden="1">
      <c r="A22" s="757">
        <v>4</v>
      </c>
      <c r="B22" s="729">
        <v>1098.39392782051</v>
      </c>
      <c r="C22" s="729">
        <v>495.50799999999998</v>
      </c>
      <c r="D22" s="729">
        <f t="shared" si="2"/>
        <v>45.112048368950155</v>
      </c>
      <c r="E22" s="729">
        <v>517.28</v>
      </c>
      <c r="F22" s="729">
        <f t="shared" si="3"/>
        <v>47.094215189846658</v>
      </c>
      <c r="G22" s="729">
        <v>184.7</v>
      </c>
      <c r="H22" s="729">
        <f t="shared" si="4"/>
        <v>16.815460767021108</v>
      </c>
      <c r="I22" s="729">
        <v>18.18</v>
      </c>
      <c r="J22" s="729">
        <f t="shared" si="5"/>
        <v>1.6551438914155048</v>
      </c>
      <c r="K22" s="729">
        <v>85.6</v>
      </c>
      <c r="L22" s="729">
        <f t="shared" si="6"/>
        <v>7.7931967604602415</v>
      </c>
      <c r="CC22" s="142">
        <f>CC24+CC25</f>
        <v>-797</v>
      </c>
      <c r="CD22" s="366">
        <f t="shared" si="0"/>
        <v>-797</v>
      </c>
    </row>
    <row r="23" spans="1:82" hidden="1">
      <c r="A23" s="757">
        <v>5</v>
      </c>
      <c r="B23" s="729">
        <v>1114.78937689698</v>
      </c>
      <c r="C23" s="729">
        <v>497.66460000000001</v>
      </c>
      <c r="D23" s="729">
        <f t="shared" si="2"/>
        <v>44.642029275992122</v>
      </c>
      <c r="E23" s="729">
        <v>531.52</v>
      </c>
      <c r="F23" s="729">
        <f t="shared" si="3"/>
        <v>47.678961695839597</v>
      </c>
      <c r="G23" s="729">
        <v>190.3</v>
      </c>
      <c r="H23" s="729">
        <f t="shared" si="4"/>
        <v>17.070489183320056</v>
      </c>
      <c r="I23" s="729">
        <v>19.18</v>
      </c>
      <c r="J23" s="729">
        <f t="shared" si="5"/>
        <v>1.7205043748611593</v>
      </c>
      <c r="K23" s="729">
        <v>85.6</v>
      </c>
      <c r="L23" s="729">
        <f t="shared" si="6"/>
        <v>7.6785805259705544</v>
      </c>
      <c r="CD23" s="366"/>
    </row>
    <row r="24" spans="1:82" hidden="1">
      <c r="A24" s="757">
        <v>6</v>
      </c>
      <c r="B24" s="729">
        <v>1079.6340253578201</v>
      </c>
      <c r="C24" s="729">
        <v>491.00819999999999</v>
      </c>
      <c r="D24" s="729">
        <f t="shared" si="2"/>
        <v>45.479133527425326</v>
      </c>
      <c r="E24" s="729">
        <v>547.70000000000005</v>
      </c>
      <c r="F24" s="729">
        <f t="shared" si="3"/>
        <v>50.730153657252266</v>
      </c>
      <c r="G24" s="729">
        <v>223.6</v>
      </c>
      <c r="H24" s="729">
        <f t="shared" si="4"/>
        <v>20.71072185094323</v>
      </c>
      <c r="I24" s="729">
        <v>20.239999999999998</v>
      </c>
      <c r="J24" s="729">
        <f t="shared" si="5"/>
        <v>1.8747093482249146</v>
      </c>
      <c r="K24" s="729">
        <v>40.9</v>
      </c>
      <c r="L24" s="729">
        <f t="shared" si="6"/>
        <v>3.7883207679050894</v>
      </c>
      <c r="CC24" s="142">
        <v>-644</v>
      </c>
      <c r="CD24" s="366">
        <f t="shared" si="0"/>
        <v>-644</v>
      </c>
    </row>
    <row r="25" spans="1:82" hidden="1">
      <c r="A25" s="757">
        <v>7</v>
      </c>
      <c r="B25" s="729">
        <v>1116.57347874425</v>
      </c>
      <c r="C25" s="729">
        <v>506.89679999999998</v>
      </c>
      <c r="D25" s="729">
        <f t="shared" si="2"/>
        <v>45.397531792540832</v>
      </c>
      <c r="E25" s="729">
        <v>568.75</v>
      </c>
      <c r="F25" s="729">
        <f t="shared" si="3"/>
        <v>50.937086616067795</v>
      </c>
      <c r="G25" s="729">
        <v>229.3</v>
      </c>
      <c r="H25" s="729">
        <f t="shared" si="4"/>
        <v>20.536042129343908</v>
      </c>
      <c r="I25" s="729">
        <v>19.8</v>
      </c>
      <c r="J25" s="729">
        <f t="shared" si="5"/>
        <v>1.7732823120846459</v>
      </c>
      <c r="K25" s="729">
        <v>40.94</v>
      </c>
      <c r="L25" s="729">
        <f t="shared" si="6"/>
        <v>3.6665746392295659</v>
      </c>
      <c r="CC25" s="142">
        <v>-153</v>
      </c>
      <c r="CD25" s="366">
        <f t="shared" si="0"/>
        <v>-153</v>
      </c>
    </row>
    <row r="26" spans="1:82" hidden="1">
      <c r="A26" s="757">
        <v>8</v>
      </c>
      <c r="B26" s="729">
        <v>1208.8811471966601</v>
      </c>
      <c r="C26" s="729">
        <v>580.3066</v>
      </c>
      <c r="D26" s="729">
        <f t="shared" si="2"/>
        <v>48.003610722667354</v>
      </c>
      <c r="E26" s="729">
        <v>587.65200000000004</v>
      </c>
      <c r="F26" s="729">
        <f t="shared" si="3"/>
        <v>48.611230422671248</v>
      </c>
      <c r="G26" s="729">
        <v>236.12</v>
      </c>
      <c r="H26" s="729">
        <f t="shared" si="4"/>
        <v>19.532110377231994</v>
      </c>
      <c r="I26" s="729">
        <v>20.76</v>
      </c>
      <c r="J26" s="729">
        <f t="shared" si="5"/>
        <v>1.7172904092467227</v>
      </c>
      <c r="K26" s="729">
        <v>40.94</v>
      </c>
      <c r="L26" s="729">
        <f t="shared" si="6"/>
        <v>3.3866025700655502</v>
      </c>
      <c r="CD26" s="366"/>
    </row>
    <row r="27" spans="1:82" hidden="1">
      <c r="A27" s="757">
        <v>9</v>
      </c>
      <c r="B27" s="729">
        <v>1245.13844420945</v>
      </c>
      <c r="C27" s="729">
        <v>596.98500000000001</v>
      </c>
      <c r="D27" s="729">
        <f t="shared" si="2"/>
        <v>47.945270887449901</v>
      </c>
      <c r="E27" s="729">
        <v>607.21199999999999</v>
      </c>
      <c r="F27" s="729">
        <f t="shared" si="3"/>
        <v>48.766625335829588</v>
      </c>
      <c r="G27" s="729">
        <v>242.62</v>
      </c>
      <c r="H27" s="729">
        <f t="shared" si="4"/>
        <v>19.485383422888507</v>
      </c>
      <c r="I27" s="729">
        <v>22.08</v>
      </c>
      <c r="J27" s="729">
        <f t="shared" si="5"/>
        <v>1.7732967850027954</v>
      </c>
      <c r="K27" s="729">
        <v>40.94</v>
      </c>
      <c r="L27" s="729">
        <f t="shared" si="6"/>
        <v>3.2879877888593492</v>
      </c>
      <c r="CD27" s="366"/>
    </row>
    <row r="28" spans="1:82" hidden="1">
      <c r="A28" s="757">
        <v>10</v>
      </c>
      <c r="B28" s="729">
        <v>1311.59635595949</v>
      </c>
      <c r="C28" s="729">
        <v>655.33280000000002</v>
      </c>
      <c r="D28" s="729">
        <f t="shared" si="2"/>
        <v>49.964518201226284</v>
      </c>
      <c r="E28" s="729">
        <v>616.65499999999997</v>
      </c>
      <c r="F28" s="729">
        <f t="shared" si="3"/>
        <v>47.015607903918728</v>
      </c>
      <c r="G28" s="729">
        <v>248.67</v>
      </c>
      <c r="H28" s="729">
        <f t="shared" si="4"/>
        <v>18.959339042848057</v>
      </c>
      <c r="I28" s="729">
        <v>23.722000000000001</v>
      </c>
      <c r="J28" s="729">
        <f t="shared" si="5"/>
        <v>1.8086357050486255</v>
      </c>
      <c r="K28" s="729">
        <v>39.6188</v>
      </c>
      <c r="L28" s="729">
        <f t="shared" si="6"/>
        <v>3.0206549309156259</v>
      </c>
      <c r="CD28" s="366"/>
    </row>
    <row r="29" spans="1:82" hidden="1">
      <c r="A29" s="757">
        <v>11</v>
      </c>
      <c r="B29" s="729">
        <v>1358.5165590987699</v>
      </c>
      <c r="C29" s="729">
        <v>684.62117599999999</v>
      </c>
      <c r="D29" s="729">
        <f t="shared" si="2"/>
        <v>50.394761213228989</v>
      </c>
      <c r="E29" s="729">
        <v>634.27600000000007</v>
      </c>
      <c r="F29" s="729">
        <f t="shared" si="3"/>
        <v>46.688867776538125</v>
      </c>
      <c r="G29" s="729">
        <v>255.18400000000003</v>
      </c>
      <c r="H29" s="729">
        <f t="shared" si="4"/>
        <v>18.784018368483284</v>
      </c>
      <c r="I29" s="729">
        <v>24.738999999999997</v>
      </c>
      <c r="J29" s="729">
        <f t="shared" si="5"/>
        <v>1.8210304345801769</v>
      </c>
      <c r="K29" s="729">
        <v>39.6188</v>
      </c>
      <c r="L29" s="729">
        <f t="shared" si="6"/>
        <v>2.9163280885058058</v>
      </c>
      <c r="CC29" s="142">
        <v>-31</v>
      </c>
      <c r="CD29" s="366">
        <f t="shared" si="0"/>
        <v>-31</v>
      </c>
    </row>
    <row r="30" spans="1:82" hidden="1">
      <c r="A30" s="757">
        <v>12</v>
      </c>
      <c r="B30" s="729">
        <v>1440.9632994538799</v>
      </c>
      <c r="C30" s="729">
        <v>748.273324</v>
      </c>
      <c r="D30" s="729">
        <f t="shared" si="2"/>
        <v>51.928687169450669</v>
      </c>
      <c r="E30" s="576">
        <v>653.1</v>
      </c>
      <c r="F30" s="729">
        <f t="shared" si="3"/>
        <v>45.323846918760715</v>
      </c>
      <c r="G30" s="729">
        <v>263.524</v>
      </c>
      <c r="H30" s="729">
        <f t="shared" si="4"/>
        <v>18.288043845382784</v>
      </c>
      <c r="I30" s="729">
        <v>25.936</v>
      </c>
      <c r="J30" s="729">
        <f t="shared" si="5"/>
        <v>1.7999070489740894</v>
      </c>
      <c r="K30" s="729">
        <v>39.6188</v>
      </c>
      <c r="L30" s="729">
        <f t="shared" si="6"/>
        <v>2.7494662782192569</v>
      </c>
      <c r="CC30" s="142">
        <v>-440</v>
      </c>
      <c r="CD30" s="366">
        <f t="shared" si="0"/>
        <v>-440</v>
      </c>
    </row>
    <row r="31" spans="1:82">
      <c r="A31" s="723">
        <v>2006</v>
      </c>
      <c r="B31" s="729">
        <f>+B43</f>
        <v>2362.721</v>
      </c>
      <c r="C31" s="729">
        <f t="shared" ref="C31:L31" si="7">+C43</f>
        <v>1068.3159999999998</v>
      </c>
      <c r="D31" s="729">
        <f t="shared" si="7"/>
        <v>45.215495185423919</v>
      </c>
      <c r="E31" s="729">
        <f t="shared" si="7"/>
        <v>1229.7260000000001</v>
      </c>
      <c r="F31" s="729">
        <f t="shared" si="7"/>
        <v>52.047025442276095</v>
      </c>
      <c r="G31" s="729">
        <f t="shared" si="7"/>
        <v>545.83000000000004</v>
      </c>
      <c r="H31" s="729">
        <f t="shared" si="7"/>
        <v>23.10175429092136</v>
      </c>
      <c r="I31" s="729">
        <f t="shared" si="7"/>
        <v>55.75</v>
      </c>
      <c r="J31" s="729">
        <f t="shared" si="7"/>
        <v>2.3595676340964507</v>
      </c>
      <c r="K31" s="729">
        <f t="shared" si="7"/>
        <v>64.679000000000002</v>
      </c>
      <c r="L31" s="729">
        <f t="shared" si="7"/>
        <v>2.7374793722999882</v>
      </c>
      <c r="CD31" s="366"/>
    </row>
    <row r="32" spans="1:82" hidden="1">
      <c r="A32" s="757">
        <v>1</v>
      </c>
      <c r="B32" s="729">
        <v>1380.3599047600001</v>
      </c>
      <c r="C32" s="729">
        <v>684.29769499999998</v>
      </c>
      <c r="D32" s="729">
        <f t="shared" ref="D32:D43" si="8">+C32/B32*100</f>
        <v>49.573860602606914</v>
      </c>
      <c r="E32" s="729">
        <v>656.45</v>
      </c>
      <c r="F32" s="729">
        <f t="shared" ref="F32:F51" si="9">+E32/B32*100</f>
        <v>47.556437834532403</v>
      </c>
      <c r="G32" s="729">
        <v>253.3</v>
      </c>
      <c r="H32" s="729">
        <f t="shared" ref="H32:H43" si="10">+G32/B32*100</f>
        <v>18.35028669889109</v>
      </c>
      <c r="I32" s="729">
        <v>25.02</v>
      </c>
      <c r="J32" s="729">
        <f t="shared" ref="J32:J51" si="11">+I32/B32*100</f>
        <v>1.8125707588087447</v>
      </c>
      <c r="K32" s="729">
        <v>48.29</v>
      </c>
      <c r="L32" s="729">
        <f t="shared" ref="L32:L51" si="12">+K32/B32*100</f>
        <v>3.4983629873251112</v>
      </c>
      <c r="CC32" s="142">
        <f>CC34+CC35</f>
        <v>-498</v>
      </c>
      <c r="CD32" s="366">
        <f>BY32+BZ32+CA32+CC32</f>
        <v>-498</v>
      </c>
    </row>
    <row r="33" spans="1:82" hidden="1">
      <c r="A33" s="757">
        <v>2</v>
      </c>
      <c r="B33" s="729">
        <v>1352.2</v>
      </c>
      <c r="C33" s="729">
        <v>629.49400000000003</v>
      </c>
      <c r="D33" s="729">
        <f t="shared" si="8"/>
        <v>46.553320514716759</v>
      </c>
      <c r="E33" s="729">
        <v>674.41600000000005</v>
      </c>
      <c r="F33" s="729">
        <f t="shared" si="9"/>
        <v>49.875462209732291</v>
      </c>
      <c r="G33" s="729">
        <v>262.76</v>
      </c>
      <c r="H33" s="729">
        <f t="shared" si="10"/>
        <v>19.432036680964355</v>
      </c>
      <c r="I33" s="729">
        <v>27.42</v>
      </c>
      <c r="J33" s="729">
        <f t="shared" si="11"/>
        <v>2.0278065374944534</v>
      </c>
      <c r="K33" s="729">
        <v>48.29</v>
      </c>
      <c r="L33" s="729">
        <f t="shared" si="12"/>
        <v>3.5712172755509539</v>
      </c>
      <c r="CD33" s="366"/>
    </row>
    <row r="34" spans="1:82" hidden="1">
      <c r="A34" s="757">
        <v>3</v>
      </c>
      <c r="B34" s="729">
        <v>1395.11</v>
      </c>
      <c r="C34" s="729">
        <v>643.13199999999995</v>
      </c>
      <c r="D34" s="729">
        <f t="shared" si="8"/>
        <v>46.099017281791397</v>
      </c>
      <c r="E34" s="729">
        <v>703.68299999999999</v>
      </c>
      <c r="F34" s="729">
        <f t="shared" si="9"/>
        <v>50.439248518038006</v>
      </c>
      <c r="G34" s="729">
        <v>271.08999999999997</v>
      </c>
      <c r="H34" s="729">
        <f t="shared" si="10"/>
        <v>19.43144268193906</v>
      </c>
      <c r="I34" s="729">
        <v>27.68</v>
      </c>
      <c r="J34" s="729">
        <f t="shared" si="11"/>
        <v>1.9840729404849797</v>
      </c>
      <c r="K34" s="729">
        <v>48.29</v>
      </c>
      <c r="L34" s="729">
        <f t="shared" si="12"/>
        <v>3.4613758054920405</v>
      </c>
      <c r="CC34" s="142">
        <v>-521</v>
      </c>
      <c r="CD34" s="366">
        <f>BY34+BZ34+CA34+CC34</f>
        <v>-521</v>
      </c>
    </row>
    <row r="35" spans="1:82" hidden="1">
      <c r="A35" s="757">
        <v>4</v>
      </c>
      <c r="B35" s="729">
        <v>1529.2349999999999</v>
      </c>
      <c r="C35" s="729">
        <v>741.30799999999999</v>
      </c>
      <c r="D35" s="729">
        <f t="shared" si="8"/>
        <v>48.475741138543135</v>
      </c>
      <c r="E35" s="729">
        <v>734.87900000000002</v>
      </c>
      <c r="F35" s="729">
        <f t="shared" si="9"/>
        <v>48.055334856970973</v>
      </c>
      <c r="G35" s="729">
        <v>292.20999999999998</v>
      </c>
      <c r="H35" s="729">
        <f t="shared" si="10"/>
        <v>19.108246933924477</v>
      </c>
      <c r="I35" s="729">
        <v>28.64</v>
      </c>
      <c r="J35" s="729">
        <f t="shared" si="11"/>
        <v>1.8728318407569797</v>
      </c>
      <c r="K35" s="729">
        <v>53.048000000000002</v>
      </c>
      <c r="L35" s="729">
        <f t="shared" si="12"/>
        <v>3.4689240044859035</v>
      </c>
      <c r="CC35" s="142">
        <v>23</v>
      </c>
      <c r="CD35" s="366">
        <f>BY35+BZ35+CA35+CC35</f>
        <v>23</v>
      </c>
    </row>
    <row r="36" spans="1:82" hidden="1">
      <c r="A36" s="757">
        <v>5</v>
      </c>
      <c r="B36" s="729">
        <v>1556.8</v>
      </c>
      <c r="C36" s="729">
        <v>725.5</v>
      </c>
      <c r="D36" s="729">
        <f t="shared" si="8"/>
        <v>46.602004110996923</v>
      </c>
      <c r="E36" s="729">
        <v>778.3</v>
      </c>
      <c r="F36" s="729">
        <f t="shared" si="9"/>
        <v>49.993576567317568</v>
      </c>
      <c r="G36" s="729">
        <v>342.9</v>
      </c>
      <c r="H36" s="729">
        <f t="shared" si="10"/>
        <v>22.025950668036998</v>
      </c>
      <c r="I36" s="729">
        <v>32.5</v>
      </c>
      <c r="J36" s="729">
        <f t="shared" si="11"/>
        <v>2.0876156217882835</v>
      </c>
      <c r="K36" s="729">
        <v>53.048000000000002</v>
      </c>
      <c r="L36" s="729">
        <f t="shared" si="12"/>
        <v>3.4075025693730736</v>
      </c>
      <c r="CD36" s="366"/>
    </row>
    <row r="37" spans="1:82" hidden="1">
      <c r="A37" s="757">
        <v>6</v>
      </c>
      <c r="B37" s="729">
        <v>1660.51</v>
      </c>
      <c r="C37" s="729">
        <f t="shared" ref="C37:C42" si="13">B37-E37-K37</f>
        <v>769.27800000000002</v>
      </c>
      <c r="D37" s="729">
        <f t="shared" si="8"/>
        <v>46.327814948419466</v>
      </c>
      <c r="E37" s="729">
        <v>838.18399999999997</v>
      </c>
      <c r="F37" s="729">
        <f t="shared" si="9"/>
        <v>50.477503899404397</v>
      </c>
      <c r="G37" s="729">
        <v>369.65</v>
      </c>
      <c r="H37" s="729">
        <f t="shared" si="10"/>
        <v>22.261232994682356</v>
      </c>
      <c r="I37" s="729">
        <v>34.17</v>
      </c>
      <c r="J37" s="729">
        <f t="shared" si="11"/>
        <v>2.0578015188104861</v>
      </c>
      <c r="K37" s="729">
        <v>53.048000000000002</v>
      </c>
      <c r="L37" s="729">
        <f t="shared" si="12"/>
        <v>3.1946811521761389</v>
      </c>
      <c r="CC37" s="142">
        <v>433</v>
      </c>
      <c r="CD37" s="366">
        <f t="shared" si="0"/>
        <v>433</v>
      </c>
    </row>
    <row r="38" spans="1:82" hidden="1">
      <c r="A38" s="757">
        <v>7</v>
      </c>
      <c r="B38" s="729">
        <v>1785</v>
      </c>
      <c r="C38" s="729">
        <f t="shared" si="13"/>
        <v>839.95300000000009</v>
      </c>
      <c r="D38" s="729">
        <f t="shared" si="8"/>
        <v>47.05619047619048</v>
      </c>
      <c r="E38" s="729">
        <v>885.86699999999996</v>
      </c>
      <c r="F38" s="729">
        <f t="shared" si="9"/>
        <v>49.628403361344539</v>
      </c>
      <c r="G38" s="729">
        <v>386.63</v>
      </c>
      <c r="H38" s="729">
        <f t="shared" si="10"/>
        <v>21.659943977591038</v>
      </c>
      <c r="I38" s="729">
        <v>34.950000000000003</v>
      </c>
      <c r="J38" s="729">
        <f t="shared" si="11"/>
        <v>1.9579831932773111</v>
      </c>
      <c r="K38" s="729">
        <v>59.18</v>
      </c>
      <c r="L38" s="729">
        <f t="shared" si="12"/>
        <v>3.3154061624649858</v>
      </c>
      <c r="CC38" s="142">
        <v>-931</v>
      </c>
      <c r="CD38" s="366">
        <f t="shared" si="0"/>
        <v>-931</v>
      </c>
    </row>
    <row r="39" spans="1:82" hidden="1">
      <c r="A39" s="757">
        <v>8</v>
      </c>
      <c r="B39" s="729">
        <v>1876.88</v>
      </c>
      <c r="C39" s="729">
        <f t="shared" si="13"/>
        <v>871.22000000000014</v>
      </c>
      <c r="D39" s="729">
        <f t="shared" si="8"/>
        <v>46.418524359575471</v>
      </c>
      <c r="E39" s="729">
        <v>946.48</v>
      </c>
      <c r="F39" s="729">
        <f t="shared" si="9"/>
        <v>50.428370487191508</v>
      </c>
      <c r="G39" s="729">
        <v>415.51</v>
      </c>
      <c r="H39" s="729">
        <f t="shared" si="10"/>
        <v>22.138335961808959</v>
      </c>
      <c r="I39" s="729">
        <v>38.659999999999997</v>
      </c>
      <c r="J39" s="729">
        <f t="shared" si="11"/>
        <v>2.059801372490516</v>
      </c>
      <c r="K39" s="729">
        <v>59.18</v>
      </c>
      <c r="L39" s="729">
        <f t="shared" si="12"/>
        <v>3.1531051532330245</v>
      </c>
      <c r="CD39" s="366"/>
    </row>
    <row r="40" spans="1:82" hidden="1">
      <c r="A40" s="757">
        <v>9</v>
      </c>
      <c r="B40" s="729">
        <v>2015.15</v>
      </c>
      <c r="C40" s="729">
        <f t="shared" si="13"/>
        <v>943.2600000000001</v>
      </c>
      <c r="D40" s="729">
        <f t="shared" si="8"/>
        <v>46.808426171749005</v>
      </c>
      <c r="E40" s="729">
        <v>1012.71</v>
      </c>
      <c r="F40" s="729">
        <f t="shared" si="9"/>
        <v>50.254819740465976</v>
      </c>
      <c r="G40" s="729">
        <v>445.83</v>
      </c>
      <c r="H40" s="729">
        <f t="shared" si="10"/>
        <v>22.123911371361931</v>
      </c>
      <c r="I40" s="729">
        <v>41.45</v>
      </c>
      <c r="J40" s="729">
        <f t="shared" si="11"/>
        <v>2.0569188397886013</v>
      </c>
      <c r="K40" s="729">
        <v>59.18</v>
      </c>
      <c r="L40" s="729">
        <f t="shared" si="12"/>
        <v>2.9367540877850282</v>
      </c>
      <c r="CC40" s="142">
        <v>204</v>
      </c>
      <c r="CD40" s="366">
        <f t="shared" si="0"/>
        <v>204</v>
      </c>
    </row>
    <row r="41" spans="1:82" hidden="1">
      <c r="A41" s="757">
        <v>10</v>
      </c>
      <c r="B41" s="729">
        <v>2159.9</v>
      </c>
      <c r="C41" s="729">
        <f t="shared" si="13"/>
        <v>1014.6800000000002</v>
      </c>
      <c r="D41" s="729">
        <f t="shared" si="8"/>
        <v>46.978100838001765</v>
      </c>
      <c r="E41" s="729">
        <v>1080.5409999999999</v>
      </c>
      <c r="F41" s="729">
        <f t="shared" si="9"/>
        <v>50.027362377887862</v>
      </c>
      <c r="G41" s="729">
        <v>486.03</v>
      </c>
      <c r="H41" s="729">
        <f t="shared" si="10"/>
        <v>22.502430668086486</v>
      </c>
      <c r="I41" s="729">
        <v>45.25</v>
      </c>
      <c r="J41" s="729">
        <f t="shared" si="11"/>
        <v>2.0950043983517754</v>
      </c>
      <c r="K41" s="729">
        <v>64.679000000000002</v>
      </c>
      <c r="L41" s="729">
        <f t="shared" si="12"/>
        <v>2.9945367841103754</v>
      </c>
      <c r="CC41" s="142">
        <v>200</v>
      </c>
      <c r="CD41" s="366">
        <f t="shared" si="0"/>
        <v>200</v>
      </c>
    </row>
    <row r="42" spans="1:82" hidden="1">
      <c r="A42" s="757">
        <v>11</v>
      </c>
      <c r="B42" s="729">
        <v>2242.0309999999999</v>
      </c>
      <c r="C42" s="729">
        <f t="shared" si="13"/>
        <v>1000.4019999999999</v>
      </c>
      <c r="D42" s="729">
        <f t="shared" si="8"/>
        <v>44.620346462649266</v>
      </c>
      <c r="E42" s="729">
        <v>1176.95</v>
      </c>
      <c r="F42" s="729">
        <f t="shared" si="9"/>
        <v>52.494813854045731</v>
      </c>
      <c r="G42" s="729">
        <v>519.91</v>
      </c>
      <c r="H42" s="729">
        <f t="shared" si="10"/>
        <v>23.189242254009869</v>
      </c>
      <c r="I42" s="729">
        <v>50.04</v>
      </c>
      <c r="J42" s="729">
        <f t="shared" si="11"/>
        <v>2.2319049112166605</v>
      </c>
      <c r="K42" s="729">
        <v>64.679000000000002</v>
      </c>
      <c r="L42" s="729">
        <f t="shared" si="12"/>
        <v>2.8848396833050032</v>
      </c>
      <c r="CD42" s="366"/>
    </row>
    <row r="43" spans="1:82" hidden="1">
      <c r="A43" s="757">
        <v>12</v>
      </c>
      <c r="B43" s="729">
        <v>2362.721</v>
      </c>
      <c r="C43" s="729">
        <f>B43-E43-K43</f>
        <v>1068.3159999999998</v>
      </c>
      <c r="D43" s="729">
        <f t="shared" si="8"/>
        <v>45.215495185423919</v>
      </c>
      <c r="E43" s="729">
        <v>1229.7260000000001</v>
      </c>
      <c r="F43" s="729">
        <f t="shared" si="9"/>
        <v>52.047025442276095</v>
      </c>
      <c r="G43" s="729">
        <v>545.83000000000004</v>
      </c>
      <c r="H43" s="729">
        <f t="shared" si="10"/>
        <v>23.10175429092136</v>
      </c>
      <c r="I43" s="729">
        <v>55.75</v>
      </c>
      <c r="J43" s="729">
        <f t="shared" si="11"/>
        <v>2.3595676340964507</v>
      </c>
      <c r="K43" s="729">
        <v>64.679000000000002</v>
      </c>
      <c r="L43" s="729">
        <f t="shared" si="12"/>
        <v>2.7374793722999882</v>
      </c>
      <c r="CC43" s="142">
        <v>295</v>
      </c>
      <c r="CD43" s="366">
        <f t="shared" si="0"/>
        <v>295</v>
      </c>
    </row>
    <row r="44" spans="1:82">
      <c r="A44" s="723">
        <v>2007</v>
      </c>
      <c r="B44" s="729">
        <f>+B56</f>
        <v>4681.7733614700001</v>
      </c>
      <c r="C44" s="729">
        <f t="shared" ref="C44:L44" si="14">+C56</f>
        <v>1990.7013100000001</v>
      </c>
      <c r="D44" s="729">
        <f t="shared" si="14"/>
        <v>42.520240863922396</v>
      </c>
      <c r="E44" s="729">
        <f t="shared" si="14"/>
        <v>2562.9523874699998</v>
      </c>
      <c r="F44" s="729">
        <f t="shared" si="14"/>
        <v>54.743196425579967</v>
      </c>
      <c r="G44" s="729">
        <f t="shared" si="14"/>
        <v>1437.6468533499997</v>
      </c>
      <c r="H44" s="729">
        <f t="shared" si="14"/>
        <v>30.707314138303399</v>
      </c>
      <c r="I44" s="729">
        <f t="shared" si="14"/>
        <v>216.18870413999997</v>
      </c>
      <c r="J44" s="729">
        <f t="shared" si="14"/>
        <v>4.6176670130849793</v>
      </c>
      <c r="K44" s="729">
        <f t="shared" si="14"/>
        <v>128.119664</v>
      </c>
      <c r="L44" s="729">
        <f t="shared" si="14"/>
        <v>2.7365627104976422</v>
      </c>
      <c r="CC44" s="142">
        <v>-95</v>
      </c>
      <c r="CD44" s="366">
        <f t="shared" si="0"/>
        <v>-95</v>
      </c>
    </row>
    <row r="45" spans="1:82" hidden="1">
      <c r="A45" s="757">
        <v>1</v>
      </c>
      <c r="B45" s="729">
        <v>2500.8557842800001</v>
      </c>
      <c r="C45" s="729">
        <f t="shared" ref="C45:C56" si="15">B45-E45-K45</f>
        <v>1149.02213127</v>
      </c>
      <c r="D45" s="729">
        <f t="shared" ref="D45:D56" si="16">+C45/B45*100</f>
        <v>45.945157593355795</v>
      </c>
      <c r="E45" s="729">
        <v>1271.42029501</v>
      </c>
      <c r="F45" s="729">
        <f t="shared" si="9"/>
        <v>50.839408773666797</v>
      </c>
      <c r="G45" s="729">
        <v>562.42999999999995</v>
      </c>
      <c r="H45" s="729">
        <f t="shared" ref="H45:H56" si="17">+G45/B45*100</f>
        <v>22.489501535248436</v>
      </c>
      <c r="I45" s="729">
        <v>58.34</v>
      </c>
      <c r="J45" s="729">
        <f t="shared" si="11"/>
        <v>2.3328014500762655</v>
      </c>
      <c r="K45" s="729">
        <v>80.413358000000002</v>
      </c>
      <c r="L45" s="729">
        <f t="shared" si="12"/>
        <v>3.215433632977406</v>
      </c>
      <c r="CD45" s="366"/>
    </row>
    <row r="46" spans="1:82" hidden="1">
      <c r="A46" s="757">
        <v>2</v>
      </c>
      <c r="B46" s="729">
        <v>2663.49710117</v>
      </c>
      <c r="C46" s="729">
        <f t="shared" si="15"/>
        <v>1256.8297731999999</v>
      </c>
      <c r="D46" s="729">
        <f t="shared" si="16"/>
        <v>47.187202593459162</v>
      </c>
      <c r="E46" s="729">
        <v>1326.2539699700001</v>
      </c>
      <c r="F46" s="729">
        <f t="shared" si="9"/>
        <v>49.793708030972276</v>
      </c>
      <c r="G46" s="729">
        <v>593.07000000000005</v>
      </c>
      <c r="H46" s="729">
        <f t="shared" si="17"/>
        <v>22.266590781701282</v>
      </c>
      <c r="I46" s="729">
        <v>63.81</v>
      </c>
      <c r="J46" s="729">
        <f t="shared" si="11"/>
        <v>2.3957225247953171</v>
      </c>
      <c r="K46" s="729">
        <v>80.413358000000002</v>
      </c>
      <c r="L46" s="729">
        <f t="shared" si="12"/>
        <v>3.0190893755685582</v>
      </c>
      <c r="CC46" s="142">
        <v>0</v>
      </c>
      <c r="CD46" s="366">
        <f t="shared" si="0"/>
        <v>0</v>
      </c>
    </row>
    <row r="47" spans="1:82" hidden="1">
      <c r="A47" s="757">
        <v>3</v>
      </c>
      <c r="B47" s="729">
        <v>2880.8536487800002</v>
      </c>
      <c r="C47" s="729">
        <f t="shared" si="15"/>
        <v>1401.4806140000001</v>
      </c>
      <c r="D47" s="729">
        <f t="shared" si="16"/>
        <v>48.648101738646346</v>
      </c>
      <c r="E47" s="729">
        <v>1398.9596767800001</v>
      </c>
      <c r="F47" s="729">
        <f t="shared" si="9"/>
        <v>48.560595133752777</v>
      </c>
      <c r="G47" s="729">
        <v>624.57000000000005</v>
      </c>
      <c r="H47" s="729">
        <f t="shared" si="17"/>
        <v>21.680032245459479</v>
      </c>
      <c r="I47" s="729">
        <v>68.790000000000006</v>
      </c>
      <c r="J47" s="729">
        <f t="shared" si="11"/>
        <v>2.3878338987866172</v>
      </c>
      <c r="K47" s="729">
        <v>80.413358000000002</v>
      </c>
      <c r="L47" s="729">
        <f t="shared" si="12"/>
        <v>2.7913031276008726</v>
      </c>
      <c r="CD47" s="366"/>
    </row>
    <row r="48" spans="1:82" hidden="1">
      <c r="A48" s="757">
        <v>4</v>
      </c>
      <c r="B48" s="729">
        <v>3091.2641826099998</v>
      </c>
      <c r="C48" s="729">
        <f t="shared" si="15"/>
        <v>1485.2448795099997</v>
      </c>
      <c r="D48" s="729">
        <f t="shared" si="16"/>
        <v>48.04652050980598</v>
      </c>
      <c r="E48" s="729">
        <v>1509.5071201000001</v>
      </c>
      <c r="F48" s="729">
        <f t="shared" si="9"/>
        <v>48.831385185121931</v>
      </c>
      <c r="G48" s="729">
        <v>664.96554585000001</v>
      </c>
      <c r="H48" s="729">
        <f t="shared" si="17"/>
        <v>21.511119935681453</v>
      </c>
      <c r="I48" s="729">
        <v>74.491120699999982</v>
      </c>
      <c r="J48" s="729">
        <f t="shared" si="11"/>
        <v>2.40973001010564</v>
      </c>
      <c r="K48" s="729">
        <v>96.512182999999993</v>
      </c>
      <c r="L48" s="729">
        <f t="shared" si="12"/>
        <v>3.1220943050720864</v>
      </c>
      <c r="CC48" s="142">
        <f>CC49-CC53</f>
        <v>481</v>
      </c>
      <c r="CD48" s="366">
        <f t="shared" si="0"/>
        <v>481</v>
      </c>
    </row>
    <row r="49" spans="1:82" hidden="1">
      <c r="A49" s="757">
        <v>5</v>
      </c>
      <c r="B49" s="729">
        <v>3315.4499153500001</v>
      </c>
      <c r="C49" s="729">
        <f t="shared" si="15"/>
        <v>1569.0301690000001</v>
      </c>
      <c r="D49" s="729">
        <f t="shared" si="16"/>
        <v>47.324803844438811</v>
      </c>
      <c r="E49" s="729">
        <v>1649.9075633499999</v>
      </c>
      <c r="F49" s="729">
        <f t="shared" si="9"/>
        <v>49.764213167908018</v>
      </c>
      <c r="G49" s="729">
        <v>708.62027383000009</v>
      </c>
      <c r="H49" s="729">
        <f t="shared" si="17"/>
        <v>21.37327638548247</v>
      </c>
      <c r="I49" s="729">
        <v>77.981396009999997</v>
      </c>
      <c r="J49" s="729">
        <f t="shared" si="11"/>
        <v>2.3520607459325102</v>
      </c>
      <c r="K49" s="729">
        <v>96.512182999999993</v>
      </c>
      <c r="L49" s="729">
        <f t="shared" si="12"/>
        <v>2.9109829876531719</v>
      </c>
      <c r="CC49" s="142">
        <f>CC51+CC52</f>
        <v>965</v>
      </c>
      <c r="CD49" s="366">
        <f t="shared" si="0"/>
        <v>965</v>
      </c>
    </row>
    <row r="50" spans="1:82" hidden="1">
      <c r="A50" s="757">
        <v>6</v>
      </c>
      <c r="B50" s="729">
        <v>3458.4920896200001</v>
      </c>
      <c r="C50" s="729">
        <f t="shared" si="15"/>
        <v>1573.4175890000001</v>
      </c>
      <c r="D50" s="729">
        <f t="shared" si="16"/>
        <v>45.494323775448578</v>
      </c>
      <c r="E50" s="729">
        <v>1788.5623176199999</v>
      </c>
      <c r="F50" s="729">
        <f t="shared" si="9"/>
        <v>51.71509060228955</v>
      </c>
      <c r="G50" s="729">
        <v>763.95995914999992</v>
      </c>
      <c r="H50" s="729">
        <f t="shared" si="17"/>
        <v>22.08939443414889</v>
      </c>
      <c r="I50" s="729">
        <v>81.70791921</v>
      </c>
      <c r="J50" s="729">
        <f t="shared" si="11"/>
        <v>2.3625301747900664</v>
      </c>
      <c r="K50" s="729">
        <v>96.512182999999993</v>
      </c>
      <c r="L50" s="729">
        <f t="shared" si="12"/>
        <v>2.7905856222618746</v>
      </c>
      <c r="CD50" s="366"/>
    </row>
    <row r="51" spans="1:82" hidden="1">
      <c r="A51" s="757">
        <v>7</v>
      </c>
      <c r="B51" s="729">
        <v>3443.9037720199999</v>
      </c>
      <c r="C51" s="729">
        <f t="shared" si="15"/>
        <v>1407.0802799999999</v>
      </c>
      <c r="D51" s="729">
        <f t="shared" si="16"/>
        <v>40.85713112636379</v>
      </c>
      <c r="E51" s="729">
        <v>1925.8696660200001</v>
      </c>
      <c r="F51" s="729">
        <f t="shared" si="9"/>
        <v>55.92112304840601</v>
      </c>
      <c r="G51" s="729">
        <v>820.42879941000001</v>
      </c>
      <c r="H51" s="729">
        <f t="shared" si="17"/>
        <v>23.822640053870689</v>
      </c>
      <c r="I51" s="729">
        <v>85.196252430000001</v>
      </c>
      <c r="J51" s="729">
        <f t="shared" si="11"/>
        <v>2.473827901992415</v>
      </c>
      <c r="K51" s="729">
        <v>110.95382600000001</v>
      </c>
      <c r="L51" s="729">
        <f t="shared" si="12"/>
        <v>3.221745825230208</v>
      </c>
      <c r="CC51" s="142">
        <v>954</v>
      </c>
      <c r="CD51" s="366">
        <f t="shared" si="0"/>
        <v>954</v>
      </c>
    </row>
    <row r="52" spans="1:82" hidden="1">
      <c r="A52" s="757">
        <v>8</v>
      </c>
      <c r="B52" s="729">
        <v>3573.0027270300002</v>
      </c>
      <c r="C52" s="729">
        <f t="shared" si="15"/>
        <v>1384.93599412</v>
      </c>
      <c r="D52" s="729">
        <f t="shared" si="16"/>
        <v>38.761123344319564</v>
      </c>
      <c r="E52" s="729">
        <v>2077.1129069100002</v>
      </c>
      <c r="F52" s="729">
        <f>+E52/B52*100</f>
        <v>58.133538247718221</v>
      </c>
      <c r="G52" s="729">
        <v>885.59553532999985</v>
      </c>
      <c r="H52" s="729">
        <f t="shared" si="17"/>
        <v>24.785750333477537</v>
      </c>
      <c r="I52" s="729">
        <v>90.869078280000011</v>
      </c>
      <c r="J52" s="729">
        <f>+I52/B52*100</f>
        <v>2.5432132360988553</v>
      </c>
      <c r="K52" s="729">
        <v>110.95382600000001</v>
      </c>
      <c r="L52" s="729">
        <f>+K52/B52*100</f>
        <v>3.1053384079622171</v>
      </c>
      <c r="CC52" s="142">
        <v>11</v>
      </c>
      <c r="CD52" s="366">
        <f t="shared" si="0"/>
        <v>11</v>
      </c>
    </row>
    <row r="53" spans="1:82" hidden="1">
      <c r="A53" s="757">
        <v>9</v>
      </c>
      <c r="B53" s="729">
        <v>3771.25162757</v>
      </c>
      <c r="C53" s="729">
        <f t="shared" si="15"/>
        <v>1478.2794400000002</v>
      </c>
      <c r="D53" s="729">
        <f t="shared" si="16"/>
        <v>39.198642413381663</v>
      </c>
      <c r="E53" s="729">
        <v>2182.0183615699998</v>
      </c>
      <c r="F53" s="729">
        <f>+E53/B53*100</f>
        <v>57.859262044945538</v>
      </c>
      <c r="G53" s="729">
        <v>944.36191806999977</v>
      </c>
      <c r="H53" s="729">
        <f t="shared" si="17"/>
        <v>25.041074193145207</v>
      </c>
      <c r="I53" s="729">
        <v>98.459150980000004</v>
      </c>
      <c r="J53" s="729">
        <f>+I53/B53*100</f>
        <v>2.6107817961603907</v>
      </c>
      <c r="K53" s="729">
        <v>110.95382600000001</v>
      </c>
      <c r="L53" s="729">
        <f>+K53/B53*100</f>
        <v>2.9420955416728032</v>
      </c>
      <c r="CC53" s="142">
        <f>CC55+CC56+CC57+CC58</f>
        <v>484</v>
      </c>
      <c r="CD53" s="366">
        <f t="shared" si="0"/>
        <v>484</v>
      </c>
    </row>
    <row r="54" spans="1:82" hidden="1">
      <c r="A54" s="757">
        <v>10</v>
      </c>
      <c r="B54" s="729">
        <v>4050.0154233600001</v>
      </c>
      <c r="C54" s="729">
        <f t="shared" si="15"/>
        <v>1586.955005</v>
      </c>
      <c r="D54" s="729">
        <f t="shared" si="16"/>
        <v>39.183924975856513</v>
      </c>
      <c r="E54" s="729">
        <v>2334.94075436</v>
      </c>
      <c r="F54" s="729">
        <f>+E54/B54*100</f>
        <v>57.652638577432171</v>
      </c>
      <c r="G54" s="729">
        <v>1007.1</v>
      </c>
      <c r="H54" s="729">
        <f t="shared" si="17"/>
        <v>24.86657196886631</v>
      </c>
      <c r="I54" s="729">
        <v>105.2</v>
      </c>
      <c r="J54" s="729">
        <f>+I54/B54*100</f>
        <v>2.5975209722219601</v>
      </c>
      <c r="K54" s="729">
        <v>128.119664</v>
      </c>
      <c r="L54" s="729">
        <f>+K54/B54*100</f>
        <v>3.1634364467113198</v>
      </c>
      <c r="CD54" s="366"/>
    </row>
    <row r="55" spans="1:82" hidden="1">
      <c r="A55" s="757">
        <v>11</v>
      </c>
      <c r="B55" s="729">
        <v>4340.2819493500001</v>
      </c>
      <c r="C55" s="729">
        <f t="shared" si="15"/>
        <v>1725.6668069999998</v>
      </c>
      <c r="D55" s="729">
        <f t="shared" si="16"/>
        <v>39.759325019390396</v>
      </c>
      <c r="E55" s="729">
        <v>2486.4954783500002</v>
      </c>
      <c r="F55" s="729">
        <f>+E55/B55*100</f>
        <v>57.288800759185179</v>
      </c>
      <c r="G55" s="729">
        <v>1378.9939727899998</v>
      </c>
      <c r="H55" s="729">
        <f t="shared" si="17"/>
        <v>31.77199059606065</v>
      </c>
      <c r="I55" s="729">
        <v>204.01737525999999</v>
      </c>
      <c r="J55" s="729">
        <f>+I55/B55*100</f>
        <v>4.7005558081440677</v>
      </c>
      <c r="K55" s="729">
        <v>128.119664</v>
      </c>
      <c r="L55" s="729">
        <f>+K55/B55*100</f>
        <v>2.9518742214244211</v>
      </c>
      <c r="CC55" s="142">
        <v>1214</v>
      </c>
      <c r="CD55" s="366">
        <f t="shared" si="0"/>
        <v>1214</v>
      </c>
    </row>
    <row r="56" spans="1:82" hidden="1">
      <c r="A56" s="757">
        <v>12</v>
      </c>
      <c r="B56" s="729">
        <v>4681.7733614700001</v>
      </c>
      <c r="C56" s="729">
        <f t="shared" si="15"/>
        <v>1990.7013100000001</v>
      </c>
      <c r="D56" s="729">
        <f t="shared" si="16"/>
        <v>42.520240863922396</v>
      </c>
      <c r="E56" s="729">
        <v>2562.9523874699998</v>
      </c>
      <c r="F56" s="729">
        <f>+E56/B56*100</f>
        <v>54.743196425579967</v>
      </c>
      <c r="G56" s="729">
        <v>1437.6468533499997</v>
      </c>
      <c r="H56" s="729">
        <f t="shared" si="17"/>
        <v>30.707314138303399</v>
      </c>
      <c r="I56" s="729">
        <v>216.18870413999997</v>
      </c>
      <c r="J56" s="729">
        <f>+I56/B56*100</f>
        <v>4.6176670130849793</v>
      </c>
      <c r="K56" s="729">
        <v>128.119664</v>
      </c>
      <c r="L56" s="729">
        <f>+K56/B56*100</f>
        <v>2.7365627104976422</v>
      </c>
      <c r="CC56" s="142">
        <v>-745</v>
      </c>
      <c r="CD56" s="366">
        <f t="shared" si="0"/>
        <v>-745</v>
      </c>
    </row>
    <row r="57" spans="1:82">
      <c r="A57" s="757">
        <v>2008</v>
      </c>
      <c r="B57" s="729">
        <f>+B69</f>
        <v>7191.2507889600001</v>
      </c>
      <c r="C57" s="729">
        <f t="shared" ref="C57:L57" si="18">+C69</f>
        <v>3027.474385</v>
      </c>
      <c r="D57" s="729">
        <f t="shared" si="18"/>
        <v>42.099413215400233</v>
      </c>
      <c r="E57" s="729">
        <f t="shared" si="18"/>
        <v>3989.00492596</v>
      </c>
      <c r="F57" s="729">
        <f t="shared" si="18"/>
        <v>55.470251880019482</v>
      </c>
      <c r="G57" s="729">
        <f t="shared" si="18"/>
        <v>2024.8969254599995</v>
      </c>
      <c r="H57" s="729">
        <f t="shared" si="18"/>
        <v>28.157784853903561</v>
      </c>
      <c r="I57" s="729">
        <f t="shared" si="18"/>
        <v>379.85306704999988</v>
      </c>
      <c r="J57" s="729">
        <f t="shared" si="18"/>
        <v>5.2821557500560248</v>
      </c>
      <c r="K57" s="729">
        <f t="shared" si="18"/>
        <v>174.771478</v>
      </c>
      <c r="L57" s="729">
        <f t="shared" si="18"/>
        <v>2.4303349045802851</v>
      </c>
      <c r="CC57" s="142">
        <v>0</v>
      </c>
      <c r="CD57" s="366">
        <f>BY57+BZ57+CA57+CC57</f>
        <v>0</v>
      </c>
    </row>
    <row r="58" spans="1:82" hidden="1">
      <c r="A58" s="757">
        <v>1</v>
      </c>
      <c r="B58" s="729">
        <v>4758.2469343599996</v>
      </c>
      <c r="C58" s="729">
        <f t="shared" ref="C58:C63" si="19">B58-E58-K58</f>
        <v>1972.0993569999994</v>
      </c>
      <c r="D58" s="729">
        <f t="shared" ref="D58:D63" si="20">+C58/B58*100</f>
        <v>41.445922925083615</v>
      </c>
      <c r="E58" s="729">
        <v>2658.0279133600002</v>
      </c>
      <c r="F58" s="729">
        <f t="shared" ref="F58:F63" si="21">+E58/B58*100</f>
        <v>55.861495841377852</v>
      </c>
      <c r="G58" s="729">
        <v>1492.8645488499999</v>
      </c>
      <c r="H58" s="729">
        <f t="shared" ref="H58:H63" si="22">+G58/B58*100</f>
        <v>31.374255465175754</v>
      </c>
      <c r="I58" s="729">
        <v>223.15237831999997</v>
      </c>
      <c r="J58" s="729">
        <f t="shared" ref="J58:J63" si="23">+I58/B58*100</f>
        <v>4.6898023872738479</v>
      </c>
      <c r="K58" s="729">
        <v>128.119664</v>
      </c>
      <c r="L58" s="729">
        <f t="shared" ref="L58:L63" si="24">+K58/B58*100</f>
        <v>2.6925812335385348</v>
      </c>
      <c r="CC58" s="142">
        <v>15</v>
      </c>
      <c r="CD58" s="366">
        <f>BY58+BZ58+CA58+CC58</f>
        <v>15</v>
      </c>
    </row>
    <row r="59" spans="1:82" hidden="1">
      <c r="A59" s="757">
        <v>2</v>
      </c>
      <c r="B59" s="729">
        <v>4812.1859055799996</v>
      </c>
      <c r="C59" s="729">
        <f t="shared" si="19"/>
        <v>1877.7479169999995</v>
      </c>
      <c r="D59" s="729">
        <f t="shared" si="20"/>
        <v>39.020685273664206</v>
      </c>
      <c r="E59" s="729">
        <v>2806.3183245800001</v>
      </c>
      <c r="F59" s="729">
        <f t="shared" si="21"/>
        <v>58.31691417669289</v>
      </c>
      <c r="G59" s="729">
        <v>1592.4532963700003</v>
      </c>
      <c r="H59" s="729">
        <f t="shared" si="22"/>
        <v>33.092098427109008</v>
      </c>
      <c r="I59" s="729">
        <v>236.62017796999999</v>
      </c>
      <c r="J59" s="729">
        <f t="shared" si="23"/>
        <v>4.9171038403904053</v>
      </c>
      <c r="K59" s="729">
        <v>128.119664</v>
      </c>
      <c r="L59" s="729">
        <f t="shared" si="24"/>
        <v>2.6624005496428982</v>
      </c>
      <c r="CC59" s="142">
        <v>-372</v>
      </c>
      <c r="CD59" s="366">
        <f>BY59+BZ59+CA59+CC59</f>
        <v>-372</v>
      </c>
    </row>
    <row r="60" spans="1:82" hidden="1">
      <c r="A60" s="757">
        <v>3</v>
      </c>
      <c r="B60" s="729">
        <v>4932.1251997099998</v>
      </c>
      <c r="C60" s="729">
        <f t="shared" si="19"/>
        <v>1913.4481779999999</v>
      </c>
      <c r="D60" s="729">
        <f t="shared" si="20"/>
        <v>38.795612449426613</v>
      </c>
      <c r="E60" s="729">
        <v>2890.5573577099999</v>
      </c>
      <c r="F60" s="729">
        <f t="shared" si="21"/>
        <v>58.606731189223652</v>
      </c>
      <c r="G60" s="729">
        <v>1633.3342302700005</v>
      </c>
      <c r="H60" s="729">
        <f t="shared" si="22"/>
        <v>33.116236188936114</v>
      </c>
      <c r="I60" s="729">
        <v>254.07300056000003</v>
      </c>
      <c r="J60" s="729">
        <f t="shared" si="23"/>
        <v>5.1513899236568257</v>
      </c>
      <c r="K60" s="729">
        <v>128.119664</v>
      </c>
      <c r="L60" s="729">
        <f t="shared" si="24"/>
        <v>2.5976563613497325</v>
      </c>
      <c r="CC60" s="142">
        <v>-231</v>
      </c>
      <c r="CD60" s="366">
        <f>BY60+BZ60+CA60+CC60</f>
        <v>-231</v>
      </c>
    </row>
    <row r="61" spans="1:82" hidden="1">
      <c r="A61" s="757">
        <v>4</v>
      </c>
      <c r="B61" s="729">
        <v>5216.6671280999999</v>
      </c>
      <c r="C61" s="729">
        <f t="shared" si="19"/>
        <v>2009.985913</v>
      </c>
      <c r="D61" s="729">
        <f t="shared" si="20"/>
        <v>38.530077991234066</v>
      </c>
      <c r="E61" s="729">
        <v>3065.5506700999999</v>
      </c>
      <c r="F61" s="729">
        <f t="shared" si="21"/>
        <v>58.764544388641617</v>
      </c>
      <c r="G61" s="729">
        <v>1669.1739465999999</v>
      </c>
      <c r="H61" s="729">
        <f t="shared" si="22"/>
        <v>31.996941833011721</v>
      </c>
      <c r="I61" s="729">
        <v>265.96987057000001</v>
      </c>
      <c r="J61" s="729">
        <f t="shared" si="23"/>
        <v>5.0984635216100287</v>
      </c>
      <c r="K61" s="729">
        <v>141.13054500000001</v>
      </c>
      <c r="L61" s="729">
        <f t="shared" si="24"/>
        <v>2.70537762012433</v>
      </c>
      <c r="CD61" s="366"/>
    </row>
    <row r="62" spans="1:82" hidden="1">
      <c r="A62" s="757">
        <v>5</v>
      </c>
      <c r="B62" s="729">
        <v>6063.9725886699998</v>
      </c>
      <c r="C62" s="729">
        <f t="shared" si="19"/>
        <v>2737.0322305899999</v>
      </c>
      <c r="D62" s="729">
        <f t="shared" si="20"/>
        <v>45.135959811294398</v>
      </c>
      <c r="E62" s="729">
        <v>3185.8098130799999</v>
      </c>
      <c r="F62" s="729">
        <f t="shared" si="21"/>
        <v>52.536678992124827</v>
      </c>
      <c r="G62" s="729">
        <v>1758.1016934100001</v>
      </c>
      <c r="H62" s="729">
        <f t="shared" si="22"/>
        <v>28.992573229880009</v>
      </c>
      <c r="I62" s="729">
        <v>275.01883701999998</v>
      </c>
      <c r="J62" s="729">
        <f t="shared" si="23"/>
        <v>4.5352915600879946</v>
      </c>
      <c r="K62" s="729">
        <v>141.13054500000001</v>
      </c>
      <c r="L62" s="729">
        <f t="shared" si="24"/>
        <v>2.3273611965807701</v>
      </c>
      <c r="CC62" s="142">
        <f>CC8+CC46-CC48+CC59-CC60</f>
        <v>0</v>
      </c>
      <c r="CD62" s="366">
        <f>BY62+BZ62+CA62+CC62</f>
        <v>0</v>
      </c>
    </row>
    <row r="63" spans="1:82" hidden="1">
      <c r="A63" s="757">
        <v>6</v>
      </c>
      <c r="B63" s="729">
        <v>6166.4525450000001</v>
      </c>
      <c r="C63" s="729">
        <f t="shared" si="19"/>
        <v>2753.279</v>
      </c>
      <c r="D63" s="729">
        <f t="shared" si="20"/>
        <v>44.649317900491518</v>
      </c>
      <c r="E63" s="729">
        <v>3272.0430000000001</v>
      </c>
      <c r="F63" s="729">
        <f t="shared" si="21"/>
        <v>53.061999198438656</v>
      </c>
      <c r="G63" s="729">
        <v>1850.2293975799996</v>
      </c>
      <c r="H63" s="729">
        <f t="shared" si="22"/>
        <v>30.004761799070966</v>
      </c>
      <c r="I63" s="729">
        <v>289.80153050999996</v>
      </c>
      <c r="J63" s="729">
        <f t="shared" si="23"/>
        <v>4.6996474617319857</v>
      </c>
      <c r="K63" s="729">
        <v>141.13054500000001</v>
      </c>
      <c r="L63" s="729">
        <f t="shared" si="24"/>
        <v>2.2886829010698242</v>
      </c>
    </row>
    <row r="64" spans="1:82" hidden="1">
      <c r="A64" s="757">
        <v>7</v>
      </c>
      <c r="B64" s="729">
        <v>6361.5450000000001</v>
      </c>
      <c r="C64" s="729">
        <v>2814.5376980000001</v>
      </c>
      <c r="D64" s="729">
        <v>44.242989682537811</v>
      </c>
      <c r="E64" s="729">
        <v>3387.2350000000001</v>
      </c>
      <c r="F64" s="729">
        <v>53.245477317224044</v>
      </c>
      <c r="G64" s="729">
        <v>1917.63004583</v>
      </c>
      <c r="H64" s="729">
        <v>30.14409307534569</v>
      </c>
      <c r="I64" s="729">
        <v>303.74657095999999</v>
      </c>
      <c r="J64" s="729">
        <v>4.7747295815717719</v>
      </c>
      <c r="K64" s="729">
        <v>159.772302</v>
      </c>
      <c r="L64" s="729">
        <v>2.5115330002381495</v>
      </c>
    </row>
    <row r="65" spans="1:12" hidden="1">
      <c r="A65" s="757">
        <v>8</v>
      </c>
      <c r="B65" s="729">
        <v>6455.0339999999997</v>
      </c>
      <c r="C65" s="729">
        <v>2800.6146979999999</v>
      </c>
      <c r="D65" s="729">
        <v>43.386521248377626</v>
      </c>
      <c r="E65" s="729">
        <v>3494.6469999999999</v>
      </c>
      <c r="F65" s="729">
        <v>54.13832057274989</v>
      </c>
      <c r="G65" s="729">
        <v>1980.3201329000001</v>
      </c>
      <c r="H65" s="729">
        <v>30.67869406884612</v>
      </c>
      <c r="I65" s="729">
        <v>315.55080291000002</v>
      </c>
      <c r="J65" s="729">
        <v>4.8884452492426842</v>
      </c>
      <c r="K65" s="729">
        <v>159.772302</v>
      </c>
      <c r="L65" s="729">
        <v>2.4751581788724892</v>
      </c>
    </row>
    <row r="66" spans="1:12" hidden="1">
      <c r="A66" s="757">
        <v>9</v>
      </c>
      <c r="B66" s="729">
        <v>6604.7275165600004</v>
      </c>
      <c r="C66" s="729">
        <v>2911.8742145600004</v>
      </c>
      <c r="D66" s="729">
        <v>44.08772666637757</v>
      </c>
      <c r="E66" s="729">
        <v>3533.0810000000001</v>
      </c>
      <c r="F66" s="729">
        <v>53.493213628291613</v>
      </c>
      <c r="G66" s="729">
        <v>1962.0086306799997</v>
      </c>
      <c r="H66" s="729">
        <v>29.706125283150065</v>
      </c>
      <c r="I66" s="729">
        <v>321.01343580999992</v>
      </c>
      <c r="J66" s="729">
        <v>4.8603585084339134</v>
      </c>
      <c r="K66" s="729">
        <v>159.772302</v>
      </c>
      <c r="L66" s="729">
        <v>2.4190597053308212</v>
      </c>
    </row>
    <row r="67" spans="1:12" hidden="1">
      <c r="A67" s="757">
        <v>10</v>
      </c>
      <c r="B67" s="729">
        <v>6697.4756245500002</v>
      </c>
      <c r="C67" s="729">
        <v>3002.065427</v>
      </c>
      <c r="D67" s="729">
        <v>44.823835058029154</v>
      </c>
      <c r="E67" s="729">
        <v>3520.6387195500001</v>
      </c>
      <c r="F67" s="729">
        <v>52.566652227070257</v>
      </c>
      <c r="G67" s="729">
        <v>1969.2729570399999</v>
      </c>
      <c r="H67" s="729">
        <v>29.403212007543729</v>
      </c>
      <c r="I67" s="729">
        <v>319.82520846</v>
      </c>
      <c r="J67" s="729">
        <v>4.775309779219822</v>
      </c>
      <c r="K67" s="729">
        <v>174.771478</v>
      </c>
      <c r="L67" s="729">
        <v>2.6095127149005908</v>
      </c>
    </row>
    <row r="68" spans="1:12" hidden="1">
      <c r="A68" s="757">
        <v>11</v>
      </c>
      <c r="B68" s="729">
        <v>6855.4556472699996</v>
      </c>
      <c r="C68" s="729">
        <v>2992.5602489999997</v>
      </c>
      <c r="D68" s="729">
        <v>43.65224432881724</v>
      </c>
      <c r="E68" s="729">
        <v>3688.1239202699999</v>
      </c>
      <c r="F68" s="729">
        <v>53.798377672222209</v>
      </c>
      <c r="G68" s="729">
        <v>1916.6272908800004</v>
      </c>
      <c r="H68" s="729">
        <v>27.957693689452217</v>
      </c>
      <c r="I68" s="729">
        <v>297.69103208000001</v>
      </c>
      <c r="J68" s="729">
        <v>4.342396003955586</v>
      </c>
      <c r="K68" s="729">
        <v>174.771478</v>
      </c>
      <c r="L68" s="729">
        <v>2.549377998960551</v>
      </c>
    </row>
    <row r="69" spans="1:12" hidden="1">
      <c r="A69" s="757">
        <v>12</v>
      </c>
      <c r="B69" s="729">
        <v>7191.2507889600001</v>
      </c>
      <c r="C69" s="729">
        <v>3027.474385</v>
      </c>
      <c r="D69" s="729">
        <v>42.099413215400233</v>
      </c>
      <c r="E69" s="729">
        <v>3989.00492596</v>
      </c>
      <c r="F69" s="729">
        <v>55.470251880019482</v>
      </c>
      <c r="G69" s="729">
        <v>2024.8969254599995</v>
      </c>
      <c r="H69" s="729">
        <v>28.157784853903561</v>
      </c>
      <c r="I69" s="730">
        <v>379.85306704999988</v>
      </c>
      <c r="J69" s="729">
        <v>5.2821557500560248</v>
      </c>
      <c r="K69" s="729">
        <v>174.771478</v>
      </c>
      <c r="L69" s="729">
        <v>2.4303349045802851</v>
      </c>
    </row>
    <row r="70" spans="1:12">
      <c r="A70" s="757">
        <v>2009</v>
      </c>
      <c r="B70" s="729">
        <f>+B82</f>
        <v>8407.4600296200006</v>
      </c>
      <c r="C70" s="729">
        <f t="shared" ref="C70:L70" si="25">+C82</f>
        <v>3911.7177701200003</v>
      </c>
      <c r="D70" s="729">
        <f t="shared" si="25"/>
        <v>46.526748344194054</v>
      </c>
      <c r="E70" s="729">
        <f t="shared" si="25"/>
        <v>4318.7270232000001</v>
      </c>
      <c r="F70" s="729">
        <f t="shared" si="25"/>
        <v>51.367797265581494</v>
      </c>
      <c r="G70" s="729">
        <f t="shared" si="25"/>
        <v>2074.3875668399996</v>
      </c>
      <c r="H70" s="729">
        <f t="shared" si="25"/>
        <v>24.673177862657738</v>
      </c>
      <c r="I70" s="729">
        <f t="shared" si="25"/>
        <v>386.61387504000004</v>
      </c>
      <c r="J70" s="729">
        <f t="shared" si="25"/>
        <v>4.5984622427931328</v>
      </c>
      <c r="K70" s="729">
        <f t="shared" si="25"/>
        <v>177.0152363</v>
      </c>
      <c r="L70" s="729">
        <f t="shared" si="25"/>
        <v>2.1054543902244482</v>
      </c>
    </row>
    <row r="71" spans="1:12" hidden="1">
      <c r="A71" s="757">
        <v>1</v>
      </c>
      <c r="B71" s="731">
        <v>7201.2873153199998</v>
      </c>
      <c r="C71" s="731">
        <v>3114.287617</v>
      </c>
      <c r="D71" s="731">
        <v>43.246262517184569</v>
      </c>
      <c r="E71" s="731">
        <v>3903.4864493199998</v>
      </c>
      <c r="F71" s="731">
        <v>54.205397985103765</v>
      </c>
      <c r="G71" s="731">
        <v>1975.7098319500003</v>
      </c>
      <c r="H71" s="731">
        <v>27.435509033876208</v>
      </c>
      <c r="I71" s="731">
        <v>379.91163437</v>
      </c>
      <c r="J71" s="731">
        <v>5.2756072315261884</v>
      </c>
      <c r="K71" s="731">
        <v>183.513249</v>
      </c>
      <c r="L71" s="731">
        <v>2.5483394977116718</v>
      </c>
    </row>
    <row r="72" spans="1:12" hidden="1">
      <c r="A72" s="757">
        <v>2</v>
      </c>
      <c r="B72" s="731">
        <v>6692.53476133</v>
      </c>
      <c r="C72" s="731">
        <v>2853.8074430000001</v>
      </c>
      <c r="D72" s="731">
        <v>42.64165289793528</v>
      </c>
      <c r="E72" s="731">
        <v>3655.2140693299998</v>
      </c>
      <c r="F72" s="731">
        <v>54.616288143172874</v>
      </c>
      <c r="G72" s="731">
        <v>2240.43658306</v>
      </c>
      <c r="H72" s="731">
        <v>33.476652164818347</v>
      </c>
      <c r="I72" s="731">
        <v>320.13812243000007</v>
      </c>
      <c r="J72" s="731">
        <v>4.7835107899593394</v>
      </c>
      <c r="K72" s="731">
        <v>183.513249</v>
      </c>
      <c r="L72" s="731">
        <v>2.7420589588918416</v>
      </c>
    </row>
    <row r="73" spans="1:12" hidden="1">
      <c r="A73" s="757">
        <v>3</v>
      </c>
      <c r="B73" s="731">
        <v>6221.28788678</v>
      </c>
      <c r="C73" s="731">
        <v>2376.5896779999998</v>
      </c>
      <c r="D73" s="731">
        <v>38.200927545085356</v>
      </c>
      <c r="E73" s="731">
        <v>3661.1849597800001</v>
      </c>
      <c r="F73" s="731">
        <v>58.849309442179631</v>
      </c>
      <c r="G73" s="731">
        <v>1923.1968078399998</v>
      </c>
      <c r="H73" s="731">
        <v>30.913162078975958</v>
      </c>
      <c r="I73" s="731">
        <v>330.51504509999995</v>
      </c>
      <c r="J73" s="731">
        <v>5.3126466917297277</v>
      </c>
      <c r="K73" s="731">
        <v>183.513249</v>
      </c>
      <c r="L73" s="731">
        <v>2.9497630127350107</v>
      </c>
    </row>
    <row r="74" spans="1:12" hidden="1">
      <c r="A74" s="757">
        <v>4</v>
      </c>
      <c r="B74" s="731">
        <v>6278.4440000000004</v>
      </c>
      <c r="C74" s="731">
        <v>2417.9910000000004</v>
      </c>
      <c r="D74" s="731">
        <v>38.51258369111838</v>
      </c>
      <c r="E74" s="731">
        <v>3684.3829999999998</v>
      </c>
      <c r="F74" s="731">
        <v>58.683059050936812</v>
      </c>
      <c r="G74" s="731">
        <v>1922.95866363</v>
      </c>
      <c r="H74" s="731">
        <v>30.627949594358089</v>
      </c>
      <c r="I74" s="731">
        <v>336.64509047000001</v>
      </c>
      <c r="J74" s="731">
        <v>5.3619191390414569</v>
      </c>
      <c r="K74" s="731">
        <v>176.07</v>
      </c>
      <c r="L74" s="731">
        <v>2.8043572579448028</v>
      </c>
    </row>
    <row r="75" spans="1:12" hidden="1">
      <c r="A75" s="757">
        <v>5</v>
      </c>
      <c r="B75" s="731">
        <v>6355.9960000000001</v>
      </c>
      <c r="C75" s="731">
        <v>2480.319</v>
      </c>
      <c r="D75" s="731">
        <v>39.023293910191256</v>
      </c>
      <c r="E75" s="731">
        <v>3699.607</v>
      </c>
      <c r="F75" s="731">
        <v>58.206565894629257</v>
      </c>
      <c r="G75" s="731">
        <v>1761</v>
      </c>
      <c r="H75" s="731">
        <v>27.706121904419074</v>
      </c>
      <c r="I75" s="731">
        <v>343.98</v>
      </c>
      <c r="J75" s="731">
        <v>5.4118976789790301</v>
      </c>
      <c r="K75" s="731">
        <v>176.07</v>
      </c>
      <c r="L75" s="731">
        <v>2.7701401951794806</v>
      </c>
    </row>
    <row r="76" spans="1:12" hidden="1">
      <c r="A76" s="757">
        <v>6</v>
      </c>
      <c r="B76" s="731">
        <v>6463.7888553100001</v>
      </c>
      <c r="C76" s="731">
        <v>2555.3876580000001</v>
      </c>
      <c r="D76" s="731">
        <v>39.533897458620579</v>
      </c>
      <c r="E76" s="731">
        <v>3732.3311973099999</v>
      </c>
      <c r="F76" s="731">
        <v>57.742158366511177</v>
      </c>
      <c r="G76" s="731">
        <v>1944.5124883200003</v>
      </c>
      <c r="H76" s="731">
        <v>30.083168430271112</v>
      </c>
      <c r="I76" s="731">
        <v>344.19363715000003</v>
      </c>
      <c r="J76" s="731">
        <v>5.3249517404524296</v>
      </c>
      <c r="K76" s="731">
        <v>176.07</v>
      </c>
      <c r="L76" s="731">
        <v>2.7239441748682518</v>
      </c>
    </row>
    <row r="77" spans="1:12" s="144" customFormat="1" hidden="1">
      <c r="A77" s="758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8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8">
        <v>9</v>
      </c>
      <c r="B79" s="731">
        <v>7780.8130340600001</v>
      </c>
      <c r="C79" s="731">
        <v>3705.1037720000004</v>
      </c>
      <c r="D79" s="731">
        <v>47.618465522576507</v>
      </c>
      <c r="E79" s="731">
        <v>3893.7438560599999</v>
      </c>
      <c r="F79" s="731">
        <v>50.042891906223566</v>
      </c>
      <c r="G79" s="731">
        <v>2033.4195323100002</v>
      </c>
      <c r="H79" s="731">
        <v>26.133766785152645</v>
      </c>
      <c r="I79" s="731">
        <v>363.15107768000001</v>
      </c>
      <c r="J79" s="731">
        <v>4.6672638976200806</v>
      </c>
      <c r="K79" s="731">
        <v>181.965406</v>
      </c>
      <c r="L79" s="731">
        <v>2.3386425711999292</v>
      </c>
    </row>
    <row r="80" spans="1:12" hidden="1">
      <c r="A80" s="758">
        <v>10</v>
      </c>
      <c r="B80" s="731">
        <v>7963.7234947999996</v>
      </c>
      <c r="C80" s="731">
        <v>3764.8502552699993</v>
      </c>
      <c r="D80" s="731">
        <v>47.274999662259738</v>
      </c>
      <c r="E80" s="731">
        <v>4021.8580032300001</v>
      </c>
      <c r="F80" s="731">
        <v>50.502230594220357</v>
      </c>
      <c r="G80" s="731">
        <v>2040.1047268399998</v>
      </c>
      <c r="H80" s="731">
        <v>25.61747313517488</v>
      </c>
      <c r="I80" s="731">
        <v>372.88692522999997</v>
      </c>
      <c r="J80" s="731">
        <v>4.6823188358244803</v>
      </c>
      <c r="K80" s="731">
        <v>177.0152363</v>
      </c>
      <c r="L80" s="731">
        <v>2.2227697435199003</v>
      </c>
    </row>
    <row r="81" spans="1:13" hidden="1">
      <c r="A81" s="757">
        <v>11</v>
      </c>
      <c r="B81" s="731">
        <v>8064.5616917299994</v>
      </c>
      <c r="C81" s="731">
        <v>3827.6810721999991</v>
      </c>
      <c r="D81" s="731">
        <v>47.462977140161101</v>
      </c>
      <c r="E81" s="731">
        <v>4059.8653832300001</v>
      </c>
      <c r="F81" s="731">
        <v>50.342046330841363</v>
      </c>
      <c r="G81" s="731">
        <v>2049.49533006</v>
      </c>
      <c r="H81" s="731">
        <v>25.413598511642672</v>
      </c>
      <c r="I81" s="731">
        <v>374.59343258000001</v>
      </c>
      <c r="J81" s="731">
        <v>4.6449323211717246</v>
      </c>
      <c r="K81" s="731">
        <v>177.0152363</v>
      </c>
      <c r="L81" s="731">
        <v>2.1949765289975347</v>
      </c>
      <c r="M81" s="145"/>
    </row>
    <row r="82" spans="1:13" hidden="1">
      <c r="A82" s="757">
        <v>12</v>
      </c>
      <c r="B82" s="731">
        <v>8407.4600296200006</v>
      </c>
      <c r="C82" s="731">
        <v>3911.7177701200003</v>
      </c>
      <c r="D82" s="731">
        <v>46.526748344194054</v>
      </c>
      <c r="E82" s="731">
        <v>4318.7270232000001</v>
      </c>
      <c r="F82" s="731">
        <v>51.367797265581494</v>
      </c>
      <c r="G82" s="731">
        <v>2074.3875668399996</v>
      </c>
      <c r="H82" s="731">
        <v>24.673177862657738</v>
      </c>
      <c r="I82" s="731">
        <v>386.61387504000004</v>
      </c>
      <c r="J82" s="731">
        <v>4.5984622427931328</v>
      </c>
      <c r="K82" s="731">
        <v>177.0152363</v>
      </c>
      <c r="L82" s="731">
        <v>2.1054543902244482</v>
      </c>
      <c r="M82" s="145"/>
    </row>
    <row r="83" spans="1:13">
      <c r="A83" s="758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8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8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8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8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8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8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8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8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8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8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8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8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8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8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8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8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8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8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8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8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8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8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8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8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8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8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8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8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8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8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8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8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8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8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8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8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8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8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8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8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8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8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8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8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8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8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8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8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8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8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8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8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9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8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8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8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8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8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8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8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8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8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8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8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60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8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60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8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8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61">
        <f>1397908618.21/1000000</f>
        <v>1397.90861821</v>
      </c>
      <c r="J149" s="76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8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61">
        <v>1587.3</v>
      </c>
      <c r="J150" s="76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8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61">
        <v>1525.278</v>
      </c>
      <c r="J151" s="76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8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61">
        <v>1483.883</v>
      </c>
      <c r="J152" s="761">
        <v>7.2049051599005693</v>
      </c>
      <c r="K152" s="10">
        <v>590.58000000000004</v>
      </c>
      <c r="L152" s="10">
        <v>2.8675258691784182</v>
      </c>
    </row>
    <row r="153" spans="1:12">
      <c r="A153" s="758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61">
        <v>1445.2608528599999</v>
      </c>
      <c r="J153" s="761">
        <v>7.0610259017689829</v>
      </c>
      <c r="K153" s="10">
        <v>590.58000000000004</v>
      </c>
      <c r="L153" s="10">
        <v>2.8853619530443875</v>
      </c>
    </row>
    <row r="154" spans="1:12">
      <c r="A154" s="758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8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8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8">
        <v>9</v>
      </c>
      <c r="B157" s="10" t="s">
        <v>1874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8">
        <v>10</v>
      </c>
      <c r="B158" s="10" t="s">
        <v>1875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8">
        <v>11</v>
      </c>
      <c r="B159" s="10" t="s">
        <v>1878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8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8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8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8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8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8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8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8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8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8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8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8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8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8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8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8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8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8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8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8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8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8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8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8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8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8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8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8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8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8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8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8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8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8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8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8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8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8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8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8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8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8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8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8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8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8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8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8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8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8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8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8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2482</v>
      </c>
    </row>
    <row r="212" spans="1:16">
      <c r="A212" s="758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8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8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5"/>
    </row>
    <row r="215" spans="1:16">
      <c r="A215" s="758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5"/>
    </row>
    <row r="216" spans="1:16">
      <c r="A216" s="758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5"/>
    </row>
    <row r="217" spans="1:16">
      <c r="A217" s="758">
        <v>4</v>
      </c>
      <c r="B217" s="10" t="s">
        <v>2452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5"/>
    </row>
    <row r="218" spans="1:16">
      <c r="A218" s="758">
        <v>5</v>
      </c>
      <c r="B218" s="10" t="s">
        <v>2469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5"/>
    </row>
    <row r="219" spans="1:16">
      <c r="A219" s="758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5"/>
      <c r="P219" s="142" t="s">
        <v>2481</v>
      </c>
    </row>
    <row r="220" spans="1:16">
      <c r="A220" s="758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5"/>
    </row>
    <row r="221" spans="1:16">
      <c r="A221" s="758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5"/>
    </row>
    <row r="222" spans="1:16">
      <c r="A222" s="758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5"/>
    </row>
    <row r="223" spans="1:16">
      <c r="A223" s="758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5"/>
    </row>
    <row r="224" spans="1:16">
      <c r="A224" s="758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5"/>
    </row>
    <row r="225" spans="1:13">
      <c r="A225" s="758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5"/>
    </row>
    <row r="226" spans="1:13">
      <c r="A226" s="758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5"/>
    </row>
    <row r="227" spans="1:13">
      <c r="A227" s="723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5"/>
    </row>
    <row r="228" spans="1:13">
      <c r="A228" s="723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5"/>
    </row>
    <row r="229" spans="1:13">
      <c r="A229" s="723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5"/>
    </row>
    <row r="230" spans="1:13">
      <c r="A230" s="723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5"/>
    </row>
    <row r="231" spans="1:13">
      <c r="A231" s="723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5"/>
    </row>
    <row r="232" spans="1:13">
      <c r="A232" s="723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5"/>
    </row>
    <row r="233" spans="1:13">
      <c r="A233" s="723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5"/>
    </row>
    <row r="234" spans="1:13">
      <c r="A234" s="723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5"/>
    </row>
    <row r="235" spans="1:13">
      <c r="A235" s="76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5"/>
    </row>
    <row r="236" spans="1:13">
      <c r="A236" s="76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5"/>
    </row>
    <row r="237" spans="1:13">
      <c r="A237" s="76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5"/>
    </row>
    <row r="238" spans="1:13">
      <c r="A238" s="76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5"/>
    </row>
    <row r="239" spans="1:13">
      <c r="A239" s="762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5"/>
    </row>
    <row r="240" spans="1:13">
      <c r="A240" s="76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5"/>
    </row>
    <row r="241" spans="1:13">
      <c r="A241" s="76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5"/>
    </row>
    <row r="242" spans="1:13">
      <c r="A242" s="76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5"/>
    </row>
    <row r="243" spans="1:13">
      <c r="A243" s="76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5"/>
    </row>
    <row r="244" spans="1:13">
      <c r="A244" s="76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5"/>
    </row>
    <row r="245" spans="1:13">
      <c r="A245" s="76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5"/>
    </row>
    <row r="246" spans="1:13">
      <c r="A246" s="76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5"/>
    </row>
    <row r="247" spans="1:13">
      <c r="A247" s="76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5"/>
    </row>
    <row r="248" spans="1:13">
      <c r="A248" s="76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5"/>
    </row>
    <row r="249" spans="1:13">
      <c r="A249" s="76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5"/>
    </row>
    <row r="250" spans="1:13">
      <c r="A250" s="76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5"/>
    </row>
    <row r="251" spans="1:13">
      <c r="A251" s="76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5"/>
    </row>
    <row r="252" spans="1:13">
      <c r="A252" s="762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5"/>
    </row>
    <row r="253" spans="1:13">
      <c r="A253" s="76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5"/>
    </row>
    <row r="254" spans="1:13">
      <c r="A254" s="76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5"/>
    </row>
    <row r="255" spans="1:13">
      <c r="A255" s="76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5"/>
    </row>
    <row r="256" spans="1:13">
      <c r="A256" s="76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5"/>
    </row>
    <row r="257" spans="1:13">
      <c r="A257" s="76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5"/>
    </row>
    <row r="258" spans="1:13">
      <c r="A258" s="76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5"/>
    </row>
    <row r="259" spans="1:13">
      <c r="A259" s="76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5"/>
    </row>
    <row r="260" spans="1:13">
      <c r="A260" s="76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5"/>
    </row>
    <row r="261" spans="1:13">
      <c r="A261" s="76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5"/>
    </row>
    <row r="262" spans="1:13">
      <c r="A262" s="76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5"/>
    </row>
    <row r="263" spans="1:13">
      <c r="A263" s="76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5"/>
    </row>
    <row r="264" spans="1:13">
      <c r="A264" s="76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5"/>
    </row>
    <row r="265" spans="1:13">
      <c r="A265" s="762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5"/>
    </row>
    <row r="266" spans="1:13">
      <c r="A266" s="762" t="s">
        <v>18</v>
      </c>
      <c r="B266" s="10">
        <v>24362.526631280001</v>
      </c>
      <c r="C266" s="10">
        <v>5780.0351815900003</v>
      </c>
      <c r="D266" s="10">
        <f t="shared" ref="D266:D267" si="88">+C266/B266*100</f>
        <v>23.72510564716546</v>
      </c>
      <c r="E266" s="10">
        <v>17786.32780273</v>
      </c>
      <c r="F266" s="10">
        <f t="shared" ref="F266:F267" si="89">+E266/B266*100</f>
        <v>73.006909635938328</v>
      </c>
      <c r="G266" s="10">
        <v>5912.9185379399996</v>
      </c>
      <c r="H266" s="10">
        <f t="shared" ref="H266:H267" si="90">+G266/B266*100</f>
        <v>24.270547252468354</v>
      </c>
      <c r="I266" s="10">
        <v>2088.72399498</v>
      </c>
      <c r="J266" s="10">
        <f t="shared" ref="J266:J267" si="91">I266/B266*100</f>
        <v>8.5735113873542392</v>
      </c>
      <c r="K266" s="10">
        <v>796.16364696000005</v>
      </c>
      <c r="L266" s="10">
        <f t="shared" ref="L266:L267" si="92">+K266/B266*100</f>
        <v>3.2679847168962119</v>
      </c>
      <c r="M266" s="485"/>
    </row>
    <row r="267" spans="1:13" ht="15" customHeight="1">
      <c r="A267" s="762" t="s">
        <v>19</v>
      </c>
      <c r="B267" s="763">
        <v>24629.126192600001</v>
      </c>
      <c r="C267" s="763">
        <v>5873.3721692099998</v>
      </c>
      <c r="D267" s="10">
        <f t="shared" si="88"/>
        <v>23.84726166604602</v>
      </c>
      <c r="E267" s="763">
        <v>17959.590376429998</v>
      </c>
      <c r="F267" s="10">
        <f t="shared" si="89"/>
        <v>72.920128127915831</v>
      </c>
      <c r="G267" s="763">
        <v>5952.5158388600003</v>
      </c>
      <c r="H267" s="10">
        <f t="shared" si="90"/>
        <v>24.168603434451022</v>
      </c>
      <c r="I267" s="763">
        <v>2118.5088017600001</v>
      </c>
      <c r="J267" s="10">
        <f t="shared" si="91"/>
        <v>8.6016401280063342</v>
      </c>
      <c r="K267" s="763">
        <v>796.16364696000005</v>
      </c>
      <c r="L267" s="10">
        <f t="shared" si="92"/>
        <v>3.2326102060381388</v>
      </c>
      <c r="M267" s="485"/>
    </row>
    <row r="268" spans="1:13" s="887" customFormat="1" ht="14.25" customHeight="1">
      <c r="A268" s="2270" t="s">
        <v>2468</v>
      </c>
      <c r="B268" s="2270"/>
      <c r="C268" s="2270"/>
      <c r="D268" s="2270"/>
      <c r="E268" s="2270"/>
      <c r="F268" s="2270"/>
      <c r="G268" s="2270"/>
      <c r="H268" s="2270"/>
      <c r="I268" s="2270"/>
      <c r="J268" s="2270"/>
      <c r="K268" s="2270"/>
      <c r="L268" s="2271"/>
    </row>
    <row r="269" spans="1:13" s="887" customFormat="1" ht="14.25" customHeight="1">
      <c r="A269" s="2272" t="s">
        <v>2776</v>
      </c>
      <c r="B269" s="2272"/>
      <c r="C269" s="2272"/>
      <c r="D269" s="2272"/>
      <c r="E269" s="2272"/>
      <c r="F269" s="2272"/>
      <c r="G269" s="2272"/>
      <c r="H269" s="2272"/>
      <c r="I269" s="2272"/>
      <c r="J269" s="2272"/>
      <c r="K269" s="2272"/>
      <c r="L269" s="2272"/>
    </row>
    <row r="270" spans="1:13" s="887" customFormat="1" ht="14.25" customHeight="1">
      <c r="A270" s="2269" t="s">
        <v>2765</v>
      </c>
      <c r="B270" s="2269"/>
      <c r="C270" s="2269"/>
      <c r="D270" s="2269"/>
      <c r="E270" s="2269"/>
      <c r="F270" s="2269"/>
      <c r="G270" s="2269"/>
      <c r="H270" s="2269"/>
      <c r="I270" s="2269"/>
      <c r="J270" s="2269"/>
      <c r="K270" s="2269"/>
      <c r="L270" s="2269"/>
    </row>
    <row r="271" spans="1:13">
      <c r="B271" s="2107"/>
      <c r="C271" s="229"/>
      <c r="K271" s="2107"/>
    </row>
    <row r="272" spans="1:13">
      <c r="E272" s="229"/>
    </row>
    <row r="273" spans="3:5">
      <c r="C273" s="229"/>
      <c r="E273" s="229"/>
    </row>
    <row r="274" spans="3:5">
      <c r="E274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70:L270"/>
    <mergeCell ref="A268:L268"/>
    <mergeCell ref="E7:F7"/>
    <mergeCell ref="B9:B11"/>
    <mergeCell ref="G7:H7"/>
    <mergeCell ref="K9:L10"/>
    <mergeCell ref="C9:D10"/>
    <mergeCell ref="E9:J9"/>
    <mergeCell ref="A269:L269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14"/>
  <sheetViews>
    <sheetView showGridLines="0" view="pageBreakPreview" zoomScale="115" zoomScaleSheetLayoutView="115" workbookViewId="0">
      <pane ySplit="13" topLeftCell="A254" activePane="bottomLeft" state="frozen"/>
      <selection activeCell="G291" sqref="G291"/>
      <selection pane="bottomLeft" activeCell="H291" sqref="H291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279" t="s">
        <v>2798</v>
      </c>
      <c r="B2" s="2279"/>
      <c r="C2" s="2279"/>
      <c r="D2" s="2279"/>
      <c r="E2" s="2279"/>
      <c r="F2" s="2279"/>
      <c r="G2" s="2279"/>
      <c r="H2" s="2279"/>
      <c r="I2" s="2279"/>
      <c r="J2" s="2279"/>
      <c r="K2" s="2279"/>
      <c r="L2" s="2279"/>
      <c r="M2" s="2279"/>
      <c r="N2" s="2279"/>
      <c r="O2" s="2279"/>
    </row>
    <row r="3" spans="1:82" ht="22.5" customHeight="1">
      <c r="A3" s="2280" t="s">
        <v>2799</v>
      </c>
      <c r="B3" s="2280"/>
      <c r="C3" s="2280"/>
      <c r="D3" s="2280"/>
      <c r="E3" s="2280"/>
      <c r="F3" s="2280"/>
      <c r="G3" s="2280"/>
      <c r="H3" s="2280"/>
      <c r="I3" s="2280"/>
      <c r="J3" s="2280"/>
      <c r="K3" s="2280"/>
      <c r="L3" s="2280"/>
      <c r="M3" s="2280"/>
      <c r="N3" s="2280"/>
      <c r="O3" s="2280"/>
    </row>
    <row r="4" spans="1:82" ht="12.75" customHeight="1">
      <c r="A4" s="606"/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</row>
    <row r="5" spans="1:82" ht="12.75" customHeight="1">
      <c r="A5" s="2285" t="s">
        <v>8</v>
      </c>
      <c r="B5" s="2285"/>
      <c r="C5" s="2285"/>
      <c r="D5" s="2285"/>
      <c r="E5" s="2285"/>
      <c r="F5" s="2285"/>
      <c r="G5" s="2285"/>
      <c r="H5" s="2285"/>
      <c r="I5" s="2285"/>
      <c r="J5" s="2285"/>
      <c r="K5" s="2285"/>
      <c r="L5" s="2285"/>
      <c r="M5" s="2285"/>
      <c r="N5" s="2285"/>
      <c r="O5" s="2285"/>
    </row>
    <row r="6" spans="1:82" s="99" customFormat="1" ht="13.2">
      <c r="A6" s="2281" t="s">
        <v>182</v>
      </c>
      <c r="B6" s="2281" t="s">
        <v>145</v>
      </c>
      <c r="C6" s="2281" t="s">
        <v>144</v>
      </c>
      <c r="D6" s="2282" t="s">
        <v>2835</v>
      </c>
      <c r="E6" s="2282"/>
      <c r="F6" s="2282"/>
      <c r="G6" s="2282"/>
      <c r="H6" s="2282"/>
      <c r="I6" s="2282"/>
      <c r="J6" s="2282" t="s">
        <v>2834</v>
      </c>
      <c r="K6" s="2282"/>
      <c r="L6" s="2282"/>
      <c r="M6" s="2282"/>
      <c r="N6" s="2282"/>
      <c r="O6" s="2282"/>
      <c r="CC6" s="99" t="s">
        <v>2089</v>
      </c>
      <c r="CD6" s="351" t="s">
        <v>2090</v>
      </c>
    </row>
    <row r="7" spans="1:82" s="99" customFormat="1" ht="13.2">
      <c r="A7" s="2281"/>
      <c r="B7" s="2281"/>
      <c r="C7" s="2281"/>
      <c r="D7" s="2281" t="s">
        <v>143</v>
      </c>
      <c r="E7" s="647" t="s">
        <v>144</v>
      </c>
      <c r="F7" s="2281" t="s">
        <v>146</v>
      </c>
      <c r="G7" s="647" t="s">
        <v>144</v>
      </c>
      <c r="H7" s="2281" t="s">
        <v>147</v>
      </c>
      <c r="I7" s="647" t="s">
        <v>144</v>
      </c>
      <c r="J7" s="2281" t="s">
        <v>143</v>
      </c>
      <c r="K7" s="647" t="s">
        <v>144</v>
      </c>
      <c r="L7" s="2281" t="s">
        <v>146</v>
      </c>
      <c r="M7" s="647" t="s">
        <v>144</v>
      </c>
      <c r="N7" s="2281" t="s">
        <v>147</v>
      </c>
      <c r="O7" s="647" t="s">
        <v>144</v>
      </c>
      <c r="BY7" s="99">
        <f>BY9+BY21+BY31+BY39</f>
        <v>0</v>
      </c>
      <c r="CC7" s="99">
        <f>CC9+CC21+CC31+CC39</f>
        <v>622</v>
      </c>
      <c r="CD7" s="351">
        <f>BY7+BZ7+CA7+CC7</f>
        <v>622</v>
      </c>
    </row>
    <row r="8" spans="1:82" s="99" customFormat="1" ht="13.2">
      <c r="A8" s="2281"/>
      <c r="B8" s="2281"/>
      <c r="C8" s="2281" t="s">
        <v>148</v>
      </c>
      <c r="D8" s="2281"/>
      <c r="E8" s="2281" t="s">
        <v>148</v>
      </c>
      <c r="F8" s="2281"/>
      <c r="G8" s="2281" t="s">
        <v>148</v>
      </c>
      <c r="H8" s="2281"/>
      <c r="I8" s="2281" t="s">
        <v>148</v>
      </c>
      <c r="J8" s="2281"/>
      <c r="K8" s="2281" t="s">
        <v>148</v>
      </c>
      <c r="L8" s="2281"/>
      <c r="M8" s="2281" t="s">
        <v>148</v>
      </c>
      <c r="N8" s="2281"/>
      <c r="O8" s="2281" t="s">
        <v>148</v>
      </c>
      <c r="CD8" s="351"/>
    </row>
    <row r="9" spans="1:82" s="99" customFormat="1" ht="13.2">
      <c r="A9" s="2281"/>
      <c r="B9" s="2281"/>
      <c r="C9" s="2281"/>
      <c r="D9" s="2281"/>
      <c r="E9" s="2281"/>
      <c r="F9" s="2281"/>
      <c r="G9" s="2281"/>
      <c r="H9" s="2281"/>
      <c r="I9" s="2281"/>
      <c r="J9" s="2281"/>
      <c r="K9" s="2281"/>
      <c r="L9" s="2281"/>
      <c r="M9" s="2281"/>
      <c r="N9" s="2281"/>
      <c r="O9" s="2281"/>
      <c r="CC9" s="99">
        <f>CC11+CC16</f>
        <v>1713</v>
      </c>
      <c r="CD9" s="351">
        <f>BY9+BZ9+CA9+CC9</f>
        <v>1713</v>
      </c>
    </row>
    <row r="10" spans="1:82" ht="13.2">
      <c r="A10" s="2283" t="s">
        <v>304</v>
      </c>
      <c r="B10" s="2283" t="s">
        <v>1181</v>
      </c>
      <c r="C10" s="2283" t="s">
        <v>149</v>
      </c>
      <c r="D10" s="2284" t="s">
        <v>1223</v>
      </c>
      <c r="E10" s="2286"/>
      <c r="F10" s="2286"/>
      <c r="G10" s="2286"/>
      <c r="H10" s="2286"/>
      <c r="I10" s="2286"/>
      <c r="J10" s="2284" t="s">
        <v>1224</v>
      </c>
      <c r="K10" s="2286"/>
      <c r="L10" s="2286"/>
      <c r="M10" s="2286"/>
      <c r="N10" s="2286"/>
      <c r="O10" s="2286"/>
      <c r="CD10" s="230"/>
    </row>
    <row r="11" spans="1:82" ht="13.2">
      <c r="A11" s="2283"/>
      <c r="B11" s="2283"/>
      <c r="C11" s="2283"/>
      <c r="D11" s="2283" t="s">
        <v>1181</v>
      </c>
      <c r="E11" s="648" t="s">
        <v>149</v>
      </c>
      <c r="F11" s="2283" t="s">
        <v>1183</v>
      </c>
      <c r="G11" s="648" t="s">
        <v>149</v>
      </c>
      <c r="H11" s="2283" t="s">
        <v>1182</v>
      </c>
      <c r="I11" s="648" t="s">
        <v>149</v>
      </c>
      <c r="J11" s="2283" t="s">
        <v>1184</v>
      </c>
      <c r="K11" s="648" t="s">
        <v>149</v>
      </c>
      <c r="L11" s="2283" t="s">
        <v>1183</v>
      </c>
      <c r="M11" s="648" t="s">
        <v>149</v>
      </c>
      <c r="N11" s="2283" t="s">
        <v>1182</v>
      </c>
      <c r="O11" s="648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283"/>
      <c r="B12" s="2283"/>
      <c r="C12" s="2284" t="s">
        <v>150</v>
      </c>
      <c r="D12" s="2283"/>
      <c r="E12" s="2284" t="s">
        <v>150</v>
      </c>
      <c r="F12" s="2283"/>
      <c r="G12" s="2284" t="s">
        <v>150</v>
      </c>
      <c r="H12" s="2283"/>
      <c r="I12" s="2284" t="s">
        <v>150</v>
      </c>
      <c r="J12" s="2283"/>
      <c r="K12" s="2284" t="s">
        <v>150</v>
      </c>
      <c r="L12" s="2283"/>
      <c r="M12" s="2284" t="s">
        <v>150</v>
      </c>
      <c r="N12" s="2283"/>
      <c r="O12" s="2284" t="s">
        <v>150</v>
      </c>
      <c r="CD12" s="230"/>
    </row>
    <row r="13" spans="1:82" ht="13.2">
      <c r="A13" s="2283"/>
      <c r="B13" s="2283"/>
      <c r="C13" s="2284"/>
      <c r="D13" s="2283"/>
      <c r="E13" s="2284"/>
      <c r="F13" s="2283"/>
      <c r="G13" s="2284"/>
      <c r="H13" s="2283"/>
      <c r="I13" s="2284"/>
      <c r="J13" s="2283"/>
      <c r="K13" s="2284"/>
      <c r="L13" s="2283"/>
      <c r="M13" s="2284"/>
      <c r="N13" s="2283"/>
      <c r="O13" s="2284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5">
        <v>2008</v>
      </c>
      <c r="B60" s="567">
        <f>+B72</f>
        <v>7191.2507889600001</v>
      </c>
      <c r="C60" s="567">
        <f t="shared" ref="C60:O60" si="16">+C72</f>
        <v>159.79559122000001</v>
      </c>
      <c r="D60" s="567">
        <f t="shared" si="16"/>
        <v>3672.89474685</v>
      </c>
      <c r="E60" s="567">
        <f t="shared" si="16"/>
        <v>93.198621410000001</v>
      </c>
      <c r="F60" s="567">
        <f t="shared" si="16"/>
        <v>1346.8910019299999</v>
      </c>
      <c r="G60" s="567">
        <f t="shared" si="16"/>
        <v>55.991019850000001</v>
      </c>
      <c r="H60" s="567">
        <f t="shared" si="16"/>
        <v>2326.0037449199999</v>
      </c>
      <c r="I60" s="567">
        <f t="shared" si="16"/>
        <v>37.207601560000001</v>
      </c>
      <c r="J60" s="567">
        <f t="shared" si="16"/>
        <v>3518.3560421099996</v>
      </c>
      <c r="K60" s="567">
        <f t="shared" si="16"/>
        <v>66.59696980999999</v>
      </c>
      <c r="L60" s="567">
        <f t="shared" si="16"/>
        <v>948.96527393999997</v>
      </c>
      <c r="M60" s="567">
        <f t="shared" si="16"/>
        <v>40.706334929999997</v>
      </c>
      <c r="N60" s="567">
        <f t="shared" si="16"/>
        <v>2569.3907681699998</v>
      </c>
      <c r="O60" s="567">
        <f t="shared" si="16"/>
        <v>25.89063488</v>
      </c>
      <c r="CD60" s="230"/>
    </row>
    <row r="61" spans="1:82" ht="13.2" hidden="1">
      <c r="A61" s="384" t="s">
        <v>18</v>
      </c>
      <c r="B61" s="567">
        <f t="shared" ref="B61:C72" si="17">D61+J61</f>
        <v>4758.2469343600005</v>
      </c>
      <c r="C61" s="567">
        <f t="shared" si="17"/>
        <v>99.579425850000007</v>
      </c>
      <c r="D61" s="567">
        <f t="shared" ref="D61:E70" si="18">F61+H61</f>
        <v>2546.9075938199999</v>
      </c>
      <c r="E61" s="567">
        <f t="shared" si="18"/>
        <v>42.433151000000002</v>
      </c>
      <c r="F61" s="567">
        <v>1042.6064011399999</v>
      </c>
      <c r="G61" s="567">
        <v>31.78955637</v>
      </c>
      <c r="H61" s="567">
        <v>1504.30119268</v>
      </c>
      <c r="I61" s="567">
        <v>10.643594630000001</v>
      </c>
      <c r="J61" s="567">
        <f t="shared" ref="J61:K70" si="19">L61+N61</f>
        <v>2211.3393405400002</v>
      </c>
      <c r="K61" s="567">
        <f t="shared" si="19"/>
        <v>57.146274849999998</v>
      </c>
      <c r="L61" s="567">
        <v>595.51169585000002</v>
      </c>
      <c r="M61" s="567">
        <v>34.47319194</v>
      </c>
      <c r="N61" s="567">
        <v>1615.8276446899999</v>
      </c>
      <c r="O61" s="567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4" t="s">
        <v>19</v>
      </c>
      <c r="B62" s="567">
        <f t="shared" si="17"/>
        <v>4812.1859055799996</v>
      </c>
      <c r="C62" s="567">
        <f t="shared" si="17"/>
        <v>108.24244997</v>
      </c>
      <c r="D62" s="567">
        <f t="shared" si="18"/>
        <v>2653.1154218000001</v>
      </c>
      <c r="E62" s="567">
        <f t="shared" si="18"/>
        <v>49.466104229999999</v>
      </c>
      <c r="F62" s="567">
        <v>1108.68764622</v>
      </c>
      <c r="G62" s="567">
        <v>36.941597309999999</v>
      </c>
      <c r="H62" s="567">
        <v>1544.4277755799999</v>
      </c>
      <c r="I62" s="567">
        <v>12.52450692</v>
      </c>
      <c r="J62" s="567">
        <f t="shared" si="19"/>
        <v>2159.0704837799999</v>
      </c>
      <c r="K62" s="567">
        <f t="shared" si="19"/>
        <v>58.776345739999996</v>
      </c>
      <c r="L62" s="567">
        <v>614.69669904</v>
      </c>
      <c r="M62" s="567">
        <v>35.842498689999999</v>
      </c>
      <c r="N62" s="567">
        <v>1544.37378474</v>
      </c>
      <c r="O62" s="567">
        <v>22.933847050000001</v>
      </c>
    </row>
    <row r="63" spans="1:82" ht="13.2" hidden="1">
      <c r="A63" s="384" t="s">
        <v>20</v>
      </c>
      <c r="B63" s="567">
        <f t="shared" si="17"/>
        <v>4932.1251997100007</v>
      </c>
      <c r="C63" s="567">
        <f t="shared" si="17"/>
        <v>102.78926656</v>
      </c>
      <c r="D63" s="567">
        <f t="shared" si="18"/>
        <v>2763.2811403300002</v>
      </c>
      <c r="E63" s="567">
        <f t="shared" si="18"/>
        <v>44.984149930000001</v>
      </c>
      <c r="F63" s="567">
        <v>1106.3153144</v>
      </c>
      <c r="G63" s="567">
        <v>30.760468079999999</v>
      </c>
      <c r="H63" s="567">
        <v>1656.9658259299999</v>
      </c>
      <c r="I63" s="567">
        <v>14.22368185</v>
      </c>
      <c r="J63" s="567">
        <f t="shared" si="19"/>
        <v>2168.8440593800001</v>
      </c>
      <c r="K63" s="567">
        <f t="shared" si="19"/>
        <v>57.805116630000001</v>
      </c>
      <c r="L63" s="567">
        <v>612.92879736999998</v>
      </c>
      <c r="M63" s="567">
        <v>35.50611147</v>
      </c>
      <c r="N63" s="567">
        <v>1555.9152620100001</v>
      </c>
      <c r="O63" s="567">
        <v>22.29900516</v>
      </c>
    </row>
    <row r="64" spans="1:82" ht="13.2" hidden="1">
      <c r="A64" s="384" t="s">
        <v>21</v>
      </c>
      <c r="B64" s="567">
        <f t="shared" si="17"/>
        <v>5216.6671280999999</v>
      </c>
      <c r="C64" s="567">
        <f t="shared" si="17"/>
        <v>108.11394383999999</v>
      </c>
      <c r="D64" s="567">
        <f t="shared" si="18"/>
        <v>2967.8038667299998</v>
      </c>
      <c r="E64" s="567">
        <f t="shared" si="18"/>
        <v>50.019539039999998</v>
      </c>
      <c r="F64" s="567">
        <v>1219.31579141</v>
      </c>
      <c r="G64" s="567">
        <v>34.341788749999999</v>
      </c>
      <c r="H64" s="567">
        <v>1748.48807532</v>
      </c>
      <c r="I64" s="567">
        <v>15.677750290000001</v>
      </c>
      <c r="J64" s="567">
        <f t="shared" si="19"/>
        <v>2248.8632613700001</v>
      </c>
      <c r="K64" s="567">
        <f t="shared" si="19"/>
        <v>58.0944048</v>
      </c>
      <c r="L64" s="567">
        <v>615.33033164999995</v>
      </c>
      <c r="M64" s="567">
        <v>35.301565650000001</v>
      </c>
      <c r="N64" s="567">
        <v>1633.5329297200001</v>
      </c>
      <c r="O64" s="567">
        <v>22.792839149999999</v>
      </c>
    </row>
    <row r="65" spans="1:15" ht="13.2" hidden="1">
      <c r="A65" s="384" t="s">
        <v>22</v>
      </c>
      <c r="B65" s="567">
        <f t="shared" si="17"/>
        <v>6063.9725886700007</v>
      </c>
      <c r="C65" s="567">
        <f t="shared" si="17"/>
        <v>114.13362878</v>
      </c>
      <c r="D65" s="567">
        <f t="shared" si="18"/>
        <v>3135.3031295600003</v>
      </c>
      <c r="E65" s="567">
        <f t="shared" si="18"/>
        <v>56.954820589999997</v>
      </c>
      <c r="F65" s="567">
        <v>1246.8581863700001</v>
      </c>
      <c r="G65" s="567">
        <v>39.628800390000002</v>
      </c>
      <c r="H65" s="567">
        <v>1888.44494319</v>
      </c>
      <c r="I65" s="567">
        <v>17.326020199999999</v>
      </c>
      <c r="J65" s="567">
        <f t="shared" si="19"/>
        <v>2928.6694591100004</v>
      </c>
      <c r="K65" s="567">
        <f t="shared" si="19"/>
        <v>57.178808189999998</v>
      </c>
      <c r="L65" s="567">
        <v>618.67118245999995</v>
      </c>
      <c r="M65" s="567">
        <v>34.156726620000001</v>
      </c>
      <c r="N65" s="567">
        <v>2309.9982766500002</v>
      </c>
      <c r="O65" s="567">
        <v>23.022081570000001</v>
      </c>
    </row>
    <row r="66" spans="1:15" ht="13.2" hidden="1">
      <c r="A66" s="384" t="s">
        <v>23</v>
      </c>
      <c r="B66" s="567">
        <f t="shared" si="17"/>
        <v>6166.4532703000004</v>
      </c>
      <c r="C66" s="567">
        <f t="shared" si="17"/>
        <v>99.892589329999993</v>
      </c>
      <c r="D66" s="567">
        <f t="shared" si="18"/>
        <v>3278.6905256600003</v>
      </c>
      <c r="E66" s="567">
        <f t="shared" si="18"/>
        <v>48.24361743</v>
      </c>
      <c r="F66" s="567">
        <v>1263.1604646000001</v>
      </c>
      <c r="G66" s="567">
        <v>33.357679089999998</v>
      </c>
      <c r="H66" s="567">
        <v>2015.53006106</v>
      </c>
      <c r="I66" s="567">
        <v>14.885938339999999</v>
      </c>
      <c r="J66" s="567">
        <f t="shared" si="19"/>
        <v>2887.7627446400002</v>
      </c>
      <c r="K66" s="567">
        <f t="shared" si="19"/>
        <v>51.648971899999999</v>
      </c>
      <c r="L66" s="567">
        <v>585.25338438999995</v>
      </c>
      <c r="M66" s="567">
        <v>30.7342826</v>
      </c>
      <c r="N66" s="567">
        <v>2302.5093602500001</v>
      </c>
      <c r="O66" s="567">
        <v>20.914689299999999</v>
      </c>
    </row>
    <row r="67" spans="1:15" ht="13.2" hidden="1">
      <c r="A67" s="384" t="s">
        <v>24</v>
      </c>
      <c r="B67" s="567">
        <f t="shared" si="17"/>
        <v>6361.5449279599998</v>
      </c>
      <c r="C67" s="567">
        <f t="shared" si="17"/>
        <v>109.28017438000001</v>
      </c>
      <c r="D67" s="567">
        <f t="shared" si="18"/>
        <v>3448.6012749699998</v>
      </c>
      <c r="E67" s="567">
        <f t="shared" si="18"/>
        <v>55.787683130000005</v>
      </c>
      <c r="F67" s="567">
        <v>1339.6302089999999</v>
      </c>
      <c r="G67" s="567">
        <v>39.36447545</v>
      </c>
      <c r="H67" s="567">
        <v>2108.9710659699999</v>
      </c>
      <c r="I67" s="567">
        <v>16.423207680000001</v>
      </c>
      <c r="J67" s="567">
        <f t="shared" si="19"/>
        <v>2912.9436529899999</v>
      </c>
      <c r="K67" s="567">
        <f t="shared" si="19"/>
        <v>53.49249125</v>
      </c>
      <c r="L67" s="567">
        <v>591.01541699999996</v>
      </c>
      <c r="M67" s="567">
        <v>29.506099599999999</v>
      </c>
      <c r="N67" s="567">
        <v>2321.9282359899998</v>
      </c>
      <c r="O67" s="567">
        <v>23.986391650000002</v>
      </c>
    </row>
    <row r="68" spans="1:15" ht="13.2" hidden="1">
      <c r="A68" s="384" t="s">
        <v>25</v>
      </c>
      <c r="B68" s="567">
        <f t="shared" si="17"/>
        <v>6455.0337008500001</v>
      </c>
      <c r="C68" s="567">
        <f t="shared" si="17"/>
        <v>122.87884367000001</v>
      </c>
      <c r="D68" s="567">
        <f t="shared" si="18"/>
        <v>3526.2100869999999</v>
      </c>
      <c r="E68" s="567">
        <f t="shared" si="18"/>
        <v>67.700320480000002</v>
      </c>
      <c r="F68" s="567">
        <v>1362.18215577</v>
      </c>
      <c r="G68" s="567">
        <v>48.687316109999998</v>
      </c>
      <c r="H68" s="567">
        <v>2164.0279312299999</v>
      </c>
      <c r="I68" s="567">
        <v>19.013004370000001</v>
      </c>
      <c r="J68" s="567">
        <f t="shared" si="19"/>
        <v>2928.8236138500001</v>
      </c>
      <c r="K68" s="567">
        <f t="shared" si="19"/>
        <v>55.17852319</v>
      </c>
      <c r="L68" s="567">
        <v>617.63597505999996</v>
      </c>
      <c r="M68" s="567">
        <v>30.39619167</v>
      </c>
      <c r="N68" s="567">
        <v>2311.1876387900002</v>
      </c>
      <c r="O68" s="567">
        <v>24.78233152</v>
      </c>
    </row>
    <row r="69" spans="1:15" ht="13.2" hidden="1">
      <c r="A69" s="384" t="s">
        <v>26</v>
      </c>
      <c r="B69" s="567">
        <f t="shared" si="17"/>
        <v>6604.7275165600004</v>
      </c>
      <c r="C69" s="567">
        <f t="shared" si="17"/>
        <v>139.27907212</v>
      </c>
      <c r="D69" s="567">
        <f t="shared" si="18"/>
        <v>3648.09502432</v>
      </c>
      <c r="E69" s="567">
        <f t="shared" si="18"/>
        <v>72.195300579999994</v>
      </c>
      <c r="F69" s="567">
        <v>1410.19141954</v>
      </c>
      <c r="G69" s="567">
        <v>50.347783669999998</v>
      </c>
      <c r="H69" s="567">
        <v>2237.90360478</v>
      </c>
      <c r="I69" s="567">
        <v>21.84751691</v>
      </c>
      <c r="J69" s="567">
        <f t="shared" si="19"/>
        <v>2956.6324922399999</v>
      </c>
      <c r="K69" s="567">
        <f t="shared" si="19"/>
        <v>67.083771540000001</v>
      </c>
      <c r="L69" s="567">
        <v>628.92526644999998</v>
      </c>
      <c r="M69" s="567">
        <v>42.383606810000003</v>
      </c>
      <c r="N69" s="567">
        <v>2327.7072257899999</v>
      </c>
      <c r="O69" s="567">
        <v>24.700164730000001</v>
      </c>
    </row>
    <row r="70" spans="1:15" ht="13.2" hidden="1">
      <c r="A70" s="384" t="s">
        <v>27</v>
      </c>
      <c r="B70" s="567">
        <f t="shared" si="17"/>
        <v>6697.4756245499993</v>
      </c>
      <c r="C70" s="567">
        <f t="shared" si="17"/>
        <v>142.62396127</v>
      </c>
      <c r="D70" s="567">
        <f t="shared" si="18"/>
        <v>3612.2919727999997</v>
      </c>
      <c r="E70" s="567">
        <f t="shared" si="18"/>
        <v>70.029850859999996</v>
      </c>
      <c r="F70" s="567">
        <v>1363.61203946</v>
      </c>
      <c r="G70" s="567">
        <v>45.965200889999998</v>
      </c>
      <c r="H70" s="567">
        <v>2248.6799333399999</v>
      </c>
      <c r="I70" s="567">
        <v>24.064649970000001</v>
      </c>
      <c r="J70" s="567">
        <f t="shared" si="19"/>
        <v>3085.1836517500001</v>
      </c>
      <c r="K70" s="567">
        <f t="shared" si="19"/>
        <v>72.594110409999999</v>
      </c>
      <c r="L70" s="567">
        <v>718.64289448</v>
      </c>
      <c r="M70" s="567">
        <v>46.83966684</v>
      </c>
      <c r="N70" s="567">
        <v>2366.5407572700001</v>
      </c>
      <c r="O70" s="567">
        <v>25.754443569999999</v>
      </c>
    </row>
    <row r="71" spans="1:15" ht="13.2" hidden="1">
      <c r="A71" s="384" t="s">
        <v>28</v>
      </c>
      <c r="B71" s="567">
        <f t="shared" si="17"/>
        <v>6855.4556472700006</v>
      </c>
      <c r="C71" s="567">
        <f t="shared" si="17"/>
        <v>145.3081349599999</v>
      </c>
      <c r="D71" s="567">
        <f>F71+H71</f>
        <v>3552.4102552300001</v>
      </c>
      <c r="E71" s="567">
        <f>G71+I71</f>
        <v>83.076173370000006</v>
      </c>
      <c r="F71" s="567">
        <v>1291.84440647</v>
      </c>
      <c r="G71" s="567">
        <v>51.499284930000002</v>
      </c>
      <c r="H71" s="567">
        <v>2260.5658487599999</v>
      </c>
      <c r="I71" s="567">
        <v>31.576888440000001</v>
      </c>
      <c r="J71" s="567">
        <f>L71+N71</f>
        <v>3303.0453920400005</v>
      </c>
      <c r="K71" s="567">
        <f>M71+O71</f>
        <v>62.231961589999898</v>
      </c>
      <c r="L71" s="567">
        <v>821.18087476000005</v>
      </c>
      <c r="M71" s="567">
        <v>36.651625209999999</v>
      </c>
      <c r="N71" s="567">
        <v>2481.8645172800002</v>
      </c>
      <c r="O71" s="567">
        <v>25.580336379999899</v>
      </c>
    </row>
    <row r="72" spans="1:15" ht="13.2" hidden="1">
      <c r="A72" s="384" t="s">
        <v>29</v>
      </c>
      <c r="B72" s="567">
        <f t="shared" si="17"/>
        <v>7191.2507889600001</v>
      </c>
      <c r="C72" s="567">
        <f t="shared" si="17"/>
        <v>159.79559122000001</v>
      </c>
      <c r="D72" s="567">
        <f>F72+H72</f>
        <v>3672.89474685</v>
      </c>
      <c r="E72" s="567">
        <f>G72+I72</f>
        <v>93.198621410000001</v>
      </c>
      <c r="F72" s="567">
        <v>1346.8910019299999</v>
      </c>
      <c r="G72" s="567">
        <v>55.991019850000001</v>
      </c>
      <c r="H72" s="567">
        <v>2326.0037449199999</v>
      </c>
      <c r="I72" s="567">
        <v>37.207601560000001</v>
      </c>
      <c r="J72" s="567">
        <f>L72+N72</f>
        <v>3518.3560421099996</v>
      </c>
      <c r="K72" s="567">
        <f>M72+O72</f>
        <v>66.59696980999999</v>
      </c>
      <c r="L72" s="567">
        <v>948.96527393999997</v>
      </c>
      <c r="M72" s="567">
        <v>40.706334929999997</v>
      </c>
      <c r="N72" s="567">
        <v>2569.3907681699998</v>
      </c>
      <c r="O72" s="567">
        <v>25.89063488</v>
      </c>
    </row>
    <row r="73" spans="1:15" ht="13.2">
      <c r="A73" s="384" t="s">
        <v>43</v>
      </c>
      <c r="B73" s="567">
        <f>+B85</f>
        <v>8407.4600296200006</v>
      </c>
      <c r="C73" s="567">
        <f t="shared" ref="C73:O73" si="20">+C85</f>
        <v>303.52331758999998</v>
      </c>
      <c r="D73" s="567">
        <f t="shared" si="20"/>
        <v>4886.1981022700002</v>
      </c>
      <c r="E73" s="567">
        <f t="shared" si="20"/>
        <v>195.13151715999999</v>
      </c>
      <c r="F73" s="567">
        <f t="shared" si="20"/>
        <v>1452.7366927099999</v>
      </c>
      <c r="G73" s="567">
        <f t="shared" si="20"/>
        <v>92.069749439999995</v>
      </c>
      <c r="H73" s="567">
        <f t="shared" si="20"/>
        <v>3433.46140956</v>
      </c>
      <c r="I73" s="567">
        <f t="shared" si="20"/>
        <v>103.06176772000001</v>
      </c>
      <c r="J73" s="567">
        <f t="shared" si="20"/>
        <v>3521.26192735</v>
      </c>
      <c r="K73" s="567">
        <f t="shared" si="20"/>
        <v>108.39180043</v>
      </c>
      <c r="L73" s="567">
        <f t="shared" si="20"/>
        <v>907.21844865000003</v>
      </c>
      <c r="M73" s="567">
        <f t="shared" si="20"/>
        <v>66.135501680000004</v>
      </c>
      <c r="N73" s="567">
        <f t="shared" si="20"/>
        <v>2614.0434786999999</v>
      </c>
      <c r="O73" s="567">
        <f t="shared" si="20"/>
        <v>42.256298749999999</v>
      </c>
    </row>
    <row r="74" spans="1:15" ht="13.2" hidden="1">
      <c r="A74" s="384" t="s">
        <v>18</v>
      </c>
      <c r="B74" s="568">
        <f t="shared" ref="B74:C83" si="21">D74+J74</f>
        <v>7201.2873153199998</v>
      </c>
      <c r="C74" s="568">
        <f t="shared" si="21"/>
        <v>176.52751631000001</v>
      </c>
      <c r="D74" s="568">
        <f t="shared" ref="D74:E84" si="22">F74+H74</f>
        <v>3610.5896436100002</v>
      </c>
      <c r="E74" s="568">
        <f t="shared" si="22"/>
        <v>104.83367565</v>
      </c>
      <c r="F74" s="568">
        <v>1319.69853642</v>
      </c>
      <c r="G74" s="568">
        <v>63.273865800000003</v>
      </c>
      <c r="H74" s="568">
        <v>2290.8911071900002</v>
      </c>
      <c r="I74" s="568">
        <v>41.559809850000001</v>
      </c>
      <c r="J74" s="568">
        <f>L74+N74</f>
        <v>3590.6976717099997</v>
      </c>
      <c r="K74" s="568">
        <f t="shared" ref="K74:K83" si="23">M74+O74</f>
        <v>71.693840660000006</v>
      </c>
      <c r="L74" s="568">
        <v>969.92327141999999</v>
      </c>
      <c r="M74" s="568">
        <v>44.037169859999999</v>
      </c>
      <c r="N74" s="568">
        <v>2620.7744002899999</v>
      </c>
      <c r="O74" s="568">
        <v>27.656670800000001</v>
      </c>
    </row>
    <row r="75" spans="1:15" ht="13.2" hidden="1">
      <c r="A75" s="384" t="s">
        <v>19</v>
      </c>
      <c r="B75" s="568">
        <f t="shared" si="21"/>
        <v>6692.53476133</v>
      </c>
      <c r="C75" s="568">
        <f t="shared" si="21"/>
        <v>183.41390215000001</v>
      </c>
      <c r="D75" s="568">
        <f t="shared" si="22"/>
        <v>3553.5806159600002</v>
      </c>
      <c r="E75" s="568">
        <f t="shared" si="22"/>
        <v>108.4450075</v>
      </c>
      <c r="F75" s="568">
        <v>1271.77045228</v>
      </c>
      <c r="G75" s="568">
        <v>63.983731089999999</v>
      </c>
      <c r="H75" s="568">
        <v>2281.8101636800002</v>
      </c>
      <c r="I75" s="568">
        <v>44.461276410000004</v>
      </c>
      <c r="J75" s="568">
        <v>3138.9541453699999</v>
      </c>
      <c r="K75" s="568">
        <f t="shared" si="23"/>
        <v>74.96889465000001</v>
      </c>
      <c r="L75" s="568">
        <v>770.50758135000001</v>
      </c>
      <c r="M75" s="568">
        <v>46.304408440000003</v>
      </c>
      <c r="N75" s="568">
        <v>2368.4465640200001</v>
      </c>
      <c r="O75" s="568">
        <v>28.66448621</v>
      </c>
    </row>
    <row r="76" spans="1:15" ht="13.2" hidden="1">
      <c r="A76" s="384" t="s">
        <v>20</v>
      </c>
      <c r="B76" s="568">
        <f t="shared" si="21"/>
        <v>6221.2878867799991</v>
      </c>
      <c r="C76" s="568">
        <f t="shared" si="21"/>
        <v>195.86626412000001</v>
      </c>
      <c r="D76" s="568">
        <f t="shared" si="22"/>
        <v>3472.2304877399997</v>
      </c>
      <c r="E76" s="568">
        <f t="shared" si="22"/>
        <v>124.1653196</v>
      </c>
      <c r="F76" s="568">
        <v>1267.1236188299999</v>
      </c>
      <c r="G76" s="568">
        <v>74.319480110000001</v>
      </c>
      <c r="H76" s="568">
        <v>2205.1068689099998</v>
      </c>
      <c r="I76" s="568">
        <v>49.845839490000003</v>
      </c>
      <c r="J76" s="568">
        <v>2749.0573990399998</v>
      </c>
      <c r="K76" s="568">
        <f t="shared" si="23"/>
        <v>71.700944520000007</v>
      </c>
      <c r="L76" s="568">
        <v>803.06104772000003</v>
      </c>
      <c r="M76" s="568">
        <v>43.783841150000008</v>
      </c>
      <c r="N76" s="568">
        <v>1945.99635132</v>
      </c>
      <c r="O76" s="568">
        <v>27.917103369999992</v>
      </c>
    </row>
    <row r="77" spans="1:15" ht="13.2" hidden="1">
      <c r="A77" s="384" t="s">
        <v>21</v>
      </c>
      <c r="B77" s="568">
        <f t="shared" si="21"/>
        <v>6278.4443567199996</v>
      </c>
      <c r="C77" s="568">
        <f t="shared" si="21"/>
        <v>200.80396353</v>
      </c>
      <c r="D77" s="568">
        <f>F77+H77</f>
        <v>3477.1453540299999</v>
      </c>
      <c r="E77" s="568">
        <f>G77+I77</f>
        <v>122.71846779000001</v>
      </c>
      <c r="F77" s="568">
        <v>1265.9310301200001</v>
      </c>
      <c r="G77" s="568">
        <v>68.573703050000006</v>
      </c>
      <c r="H77" s="568">
        <v>2211.2143239100001</v>
      </c>
      <c r="I77" s="568">
        <v>54.144764739999999</v>
      </c>
      <c r="J77" s="568">
        <f t="shared" ref="J77:J84" si="24">L77+N77</f>
        <v>2801.2990026900002</v>
      </c>
      <c r="K77" s="568">
        <f t="shared" si="23"/>
        <v>78.085495739999999</v>
      </c>
      <c r="L77" s="568">
        <v>830.99839454000005</v>
      </c>
      <c r="M77" s="568">
        <v>47.553925659999997</v>
      </c>
      <c r="N77" s="568">
        <v>1970.30060815</v>
      </c>
      <c r="O77" s="568">
        <v>30.531570080000002</v>
      </c>
    </row>
    <row r="78" spans="1:15" ht="13.2" hidden="1">
      <c r="A78" s="384" t="s">
        <v>22</v>
      </c>
      <c r="B78" s="568">
        <f t="shared" si="21"/>
        <v>6355.9950000000008</v>
      </c>
      <c r="C78" s="568">
        <v>209.21199999999999</v>
      </c>
      <c r="D78" s="568">
        <f t="shared" si="22"/>
        <v>3446.4620000000004</v>
      </c>
      <c r="E78" s="568">
        <f t="shared" si="22"/>
        <v>131.91399999999999</v>
      </c>
      <c r="F78" s="568">
        <v>1238.606</v>
      </c>
      <c r="G78" s="568">
        <v>67.543000000000006</v>
      </c>
      <c r="H78" s="568">
        <v>2207.8560000000002</v>
      </c>
      <c r="I78" s="568">
        <v>64.370999999999995</v>
      </c>
      <c r="J78" s="568">
        <f t="shared" si="24"/>
        <v>2909.5329999999999</v>
      </c>
      <c r="K78" s="568">
        <f t="shared" si="23"/>
        <v>77.298000000000002</v>
      </c>
      <c r="L78" s="568">
        <v>874.68600000000004</v>
      </c>
      <c r="M78" s="568">
        <v>44.744999999999997</v>
      </c>
      <c r="N78" s="568">
        <v>2034.847</v>
      </c>
      <c r="O78" s="568">
        <v>32.552999999999997</v>
      </c>
    </row>
    <row r="79" spans="1:15" ht="13.2" hidden="1">
      <c r="A79" s="384" t="s">
        <v>23</v>
      </c>
      <c r="B79" s="568">
        <f t="shared" si="21"/>
        <v>6463.7888553100001</v>
      </c>
      <c r="C79" s="568">
        <v>242.75732969000001</v>
      </c>
      <c r="D79" s="568">
        <f t="shared" si="22"/>
        <v>3469.86105456</v>
      </c>
      <c r="E79" s="568">
        <f t="shared" si="22"/>
        <v>156.63998874000001</v>
      </c>
      <c r="F79" s="568">
        <v>1239.4289935500001</v>
      </c>
      <c r="G79" s="568">
        <v>77.138238830000006</v>
      </c>
      <c r="H79" s="568">
        <v>2230.4320610099999</v>
      </c>
      <c r="I79" s="568">
        <v>79.501749910000001</v>
      </c>
      <c r="J79" s="568">
        <f t="shared" si="24"/>
        <v>2993.9278007499997</v>
      </c>
      <c r="K79" s="568">
        <f t="shared" si="23"/>
        <v>86.117340949999999</v>
      </c>
      <c r="L79" s="568">
        <v>879.95478892000006</v>
      </c>
      <c r="M79" s="568">
        <v>50.723724470000001</v>
      </c>
      <c r="N79" s="568">
        <v>2113.9730118299999</v>
      </c>
      <c r="O79" s="568">
        <v>35.393616479999999</v>
      </c>
    </row>
    <row r="80" spans="1:15" ht="13.2" hidden="1">
      <c r="A80" s="384" t="s">
        <v>24</v>
      </c>
      <c r="B80" s="568">
        <f t="shared" si="21"/>
        <v>7229.1999974600003</v>
      </c>
      <c r="C80" s="568">
        <f t="shared" ref="C80:C85" si="25">+E80+K80</f>
        <v>262.43878831000001</v>
      </c>
      <c r="D80" s="568">
        <f t="shared" si="22"/>
        <v>3856.4756855999999</v>
      </c>
      <c r="E80" s="568">
        <f t="shared" si="22"/>
        <v>173.75265096999999</v>
      </c>
      <c r="F80" s="568">
        <v>1202.67554135</v>
      </c>
      <c r="G80" s="568">
        <v>86.446341110000006</v>
      </c>
      <c r="H80" s="568">
        <v>2653.8001442499999</v>
      </c>
      <c r="I80" s="568">
        <v>87.306309859999999</v>
      </c>
      <c r="J80" s="568">
        <f t="shared" si="24"/>
        <v>3372.7243118599999</v>
      </c>
      <c r="K80" s="568">
        <f t="shared" si="23"/>
        <v>88.686137340000002</v>
      </c>
      <c r="L80" s="568">
        <v>913.89950198999998</v>
      </c>
      <c r="M80" s="568">
        <v>54.810189860000001</v>
      </c>
      <c r="N80" s="568">
        <v>2458.8248098700001</v>
      </c>
      <c r="O80" s="568">
        <v>33.875947480000001</v>
      </c>
    </row>
    <row r="81" spans="1:15" ht="13.2" hidden="1">
      <c r="A81" s="384" t="s">
        <v>25</v>
      </c>
      <c r="B81" s="568">
        <f t="shared" si="21"/>
        <v>7629.8486843799992</v>
      </c>
      <c r="C81" s="568">
        <f t="shared" si="25"/>
        <v>274.92399977999997</v>
      </c>
      <c r="D81" s="568">
        <f t="shared" si="22"/>
        <v>4245.6556973999996</v>
      </c>
      <c r="E81" s="568">
        <f t="shared" si="22"/>
        <v>180.14971553999999</v>
      </c>
      <c r="F81" s="568">
        <v>1220.75213603</v>
      </c>
      <c r="G81" s="568">
        <v>91.932462319999999</v>
      </c>
      <c r="H81" s="568">
        <v>3024.9035613699998</v>
      </c>
      <c r="I81" s="568">
        <v>88.217253220000003</v>
      </c>
      <c r="J81" s="568">
        <f t="shared" si="24"/>
        <v>3384.1929869799997</v>
      </c>
      <c r="K81" s="568">
        <f t="shared" si="23"/>
        <v>94.77428424</v>
      </c>
      <c r="L81" s="568">
        <v>912.49400184000001</v>
      </c>
      <c r="M81" s="568">
        <v>59.542978769999998</v>
      </c>
      <c r="N81" s="568">
        <v>2471.6989851399999</v>
      </c>
      <c r="O81" s="568">
        <v>35.231305470000002</v>
      </c>
    </row>
    <row r="82" spans="1:15" ht="13.2" hidden="1">
      <c r="A82" s="384" t="s">
        <v>26</v>
      </c>
      <c r="B82" s="568">
        <f t="shared" si="21"/>
        <v>7780.8130340600001</v>
      </c>
      <c r="C82" s="568">
        <f t="shared" si="25"/>
        <v>309.36373753999999</v>
      </c>
      <c r="D82" s="568">
        <f t="shared" si="22"/>
        <v>4310.2353606899997</v>
      </c>
      <c r="E82" s="568">
        <f t="shared" si="22"/>
        <v>195.00176833</v>
      </c>
      <c r="F82" s="568">
        <v>1233.0757430399999</v>
      </c>
      <c r="G82" s="568">
        <v>104.92135708000001</v>
      </c>
      <c r="H82" s="568">
        <v>3077.1596176500002</v>
      </c>
      <c r="I82" s="568">
        <v>90.080411249999997</v>
      </c>
      <c r="J82" s="568">
        <f t="shared" si="24"/>
        <v>3470.57767337</v>
      </c>
      <c r="K82" s="568">
        <f t="shared" si="23"/>
        <v>114.36196921</v>
      </c>
      <c r="L82" s="568">
        <v>925.95097943999997</v>
      </c>
      <c r="M82" s="568">
        <v>76.805558509999997</v>
      </c>
      <c r="N82" s="568">
        <v>2544.6266939299999</v>
      </c>
      <c r="O82" s="568">
        <v>37.556410700000001</v>
      </c>
    </row>
    <row r="83" spans="1:15" ht="13.2" hidden="1">
      <c r="A83" s="384" t="s">
        <v>27</v>
      </c>
      <c r="B83" s="568">
        <f t="shared" si="21"/>
        <v>7963.7234948000005</v>
      </c>
      <c r="C83" s="568">
        <f t="shared" si="25"/>
        <v>290.01943205999999</v>
      </c>
      <c r="D83" s="568">
        <f t="shared" si="22"/>
        <v>4431.0267724699997</v>
      </c>
      <c r="E83" s="568">
        <f t="shared" si="22"/>
        <v>169.98255532000002</v>
      </c>
      <c r="F83" s="568">
        <v>1309.9614254799999</v>
      </c>
      <c r="G83" s="568">
        <v>82.425575789999996</v>
      </c>
      <c r="H83" s="568">
        <v>3121.0653469899999</v>
      </c>
      <c r="I83" s="568">
        <v>87.556979530000007</v>
      </c>
      <c r="J83" s="568">
        <f t="shared" si="24"/>
        <v>3532.6967223300003</v>
      </c>
      <c r="K83" s="568">
        <f t="shared" si="23"/>
        <v>120.03687674</v>
      </c>
      <c r="L83" s="568">
        <v>954.70809326000006</v>
      </c>
      <c r="M83" s="568">
        <v>82.331592760000007</v>
      </c>
      <c r="N83" s="568">
        <v>2577.9886290700001</v>
      </c>
      <c r="O83" s="568">
        <v>37.705283979999997</v>
      </c>
    </row>
    <row r="84" spans="1:15" ht="13.2" hidden="1">
      <c r="A84" s="384" t="s">
        <v>28</v>
      </c>
      <c r="B84" s="568">
        <f>D84+J84</f>
        <v>8064.5616917299994</v>
      </c>
      <c r="C84" s="568">
        <f t="shared" si="25"/>
        <v>272.89767503999997</v>
      </c>
      <c r="D84" s="568">
        <f t="shared" si="22"/>
        <v>4479.9237752999998</v>
      </c>
      <c r="E84" s="568">
        <f>G84+I84</f>
        <v>176.94820530999999</v>
      </c>
      <c r="F84" s="568">
        <v>1309.4257072400001</v>
      </c>
      <c r="G84" s="568">
        <v>81.890965440000002</v>
      </c>
      <c r="H84" s="568">
        <v>3170.4980680600002</v>
      </c>
      <c r="I84" s="568">
        <v>95.057239870000004</v>
      </c>
      <c r="J84" s="568">
        <f t="shared" si="24"/>
        <v>3584.6379164299997</v>
      </c>
      <c r="K84" s="568">
        <f>M84+O84</f>
        <v>95.949469730000004</v>
      </c>
      <c r="L84" s="568">
        <v>987.36144152999998</v>
      </c>
      <c r="M84" s="568">
        <v>57.371522130000002</v>
      </c>
      <c r="N84" s="568">
        <v>2597.2764748999998</v>
      </c>
      <c r="O84" s="568">
        <v>38.577947600000002</v>
      </c>
    </row>
    <row r="85" spans="1:15" ht="13.2" hidden="1">
      <c r="A85" s="384" t="s">
        <v>29</v>
      </c>
      <c r="B85" s="568">
        <f>D85+J85</f>
        <v>8407.4600296200006</v>
      </c>
      <c r="C85" s="568">
        <f t="shared" si="25"/>
        <v>303.52331758999998</v>
      </c>
      <c r="D85" s="568">
        <f>F85+H85</f>
        <v>4886.1981022700002</v>
      </c>
      <c r="E85" s="568">
        <f>G85+I85</f>
        <v>195.13151715999999</v>
      </c>
      <c r="F85" s="568">
        <v>1452.7366927099999</v>
      </c>
      <c r="G85" s="568">
        <v>92.069749439999995</v>
      </c>
      <c r="H85" s="568">
        <v>3433.46140956</v>
      </c>
      <c r="I85" s="568">
        <v>103.06176772000001</v>
      </c>
      <c r="J85" s="568">
        <f>L85+N85</f>
        <v>3521.26192735</v>
      </c>
      <c r="K85" s="568">
        <f>M85+O85</f>
        <v>108.39180043</v>
      </c>
      <c r="L85" s="568">
        <v>907.21844865000003</v>
      </c>
      <c r="M85" s="568">
        <v>66.135501680000004</v>
      </c>
      <c r="N85" s="568">
        <v>2614.0434786999999</v>
      </c>
      <c r="O85" s="568">
        <v>42.256298749999999</v>
      </c>
    </row>
    <row r="86" spans="1:15" ht="13.2">
      <c r="A86" s="384" t="s">
        <v>48</v>
      </c>
      <c r="B86" s="567">
        <v>9163.3597792400014</v>
      </c>
      <c r="C86" s="567">
        <v>492.87668797999993</v>
      </c>
      <c r="D86" s="567">
        <v>5865.2943068200011</v>
      </c>
      <c r="E86" s="567">
        <v>342.10889326999995</v>
      </c>
      <c r="F86" s="567">
        <v>1523.81092025</v>
      </c>
      <c r="G86" s="567">
        <v>156.84892257000001</v>
      </c>
      <c r="H86" s="567">
        <v>4341.4833865700011</v>
      </c>
      <c r="I86" s="567">
        <v>185.25997069999997</v>
      </c>
      <c r="J86" s="567">
        <v>3298.0654724200003</v>
      </c>
      <c r="K86" s="567">
        <v>150.76779470999998</v>
      </c>
      <c r="L86" s="567">
        <v>1043.30860082</v>
      </c>
      <c r="M86" s="567">
        <v>82.410484849999975</v>
      </c>
      <c r="N86" s="567">
        <v>2254.7568716000005</v>
      </c>
      <c r="O86" s="567">
        <v>68.357309860000001</v>
      </c>
    </row>
    <row r="87" spans="1:15" ht="13.2" hidden="1">
      <c r="A87" s="384" t="s">
        <v>18</v>
      </c>
      <c r="B87" s="567">
        <f t="shared" ref="B87:C92" si="26">D87+J87</f>
        <v>8431.1754328499992</v>
      </c>
      <c r="C87" s="567">
        <f t="shared" si="26"/>
        <v>331.42509939000001</v>
      </c>
      <c r="D87" s="567">
        <f t="shared" ref="D87:E96" si="27">F87+H87</f>
        <v>4923.2452812299998</v>
      </c>
      <c r="E87" s="567">
        <f t="shared" si="27"/>
        <v>210.99322375000003</v>
      </c>
      <c r="F87" s="567">
        <v>1462.77390107</v>
      </c>
      <c r="G87" s="567">
        <v>100.83808002000001</v>
      </c>
      <c r="H87" s="567">
        <v>3460.4713801600001</v>
      </c>
      <c r="I87" s="567">
        <v>110.15514373000001</v>
      </c>
      <c r="J87" s="567">
        <f t="shared" ref="J87:K96" si="28">L87+N87</f>
        <v>3507.9301516200003</v>
      </c>
      <c r="K87" s="567">
        <f t="shared" si="28"/>
        <v>120.43187564000002</v>
      </c>
      <c r="L87" s="567">
        <v>886.77092951999998</v>
      </c>
      <c r="M87" s="567">
        <v>68.304298220000007</v>
      </c>
      <c r="N87" s="567">
        <v>2621.1592221000001</v>
      </c>
      <c r="O87" s="567">
        <v>52.127577420000001</v>
      </c>
    </row>
    <row r="88" spans="1:15" ht="13.2" hidden="1">
      <c r="A88" s="384" t="s">
        <v>19</v>
      </c>
      <c r="B88" s="567">
        <f t="shared" si="26"/>
        <v>8343.4665381899995</v>
      </c>
      <c r="C88" s="567">
        <f t="shared" si="26"/>
        <v>358.36671996999996</v>
      </c>
      <c r="D88" s="567">
        <f t="shared" si="27"/>
        <v>4852.7135093699999</v>
      </c>
      <c r="E88" s="567">
        <f t="shared" si="27"/>
        <v>218.59607027999999</v>
      </c>
      <c r="F88" s="567">
        <v>1330.1786465800001</v>
      </c>
      <c r="G88" s="567">
        <v>99.661057020000001</v>
      </c>
      <c r="H88" s="567">
        <v>3522.5348627899998</v>
      </c>
      <c r="I88" s="567">
        <v>118.93501326000001</v>
      </c>
      <c r="J88" s="567">
        <f t="shared" si="28"/>
        <v>3490.7530288199996</v>
      </c>
      <c r="K88" s="567">
        <f t="shared" si="28"/>
        <v>139.77064969</v>
      </c>
      <c r="L88" s="567">
        <v>879.91907753999999</v>
      </c>
      <c r="M88" s="567">
        <v>77.999045319999993</v>
      </c>
      <c r="N88" s="567">
        <v>2610.8339512799998</v>
      </c>
      <c r="O88" s="567">
        <v>61.771604369999999</v>
      </c>
    </row>
    <row r="89" spans="1:15" ht="13.2" hidden="1">
      <c r="A89" s="384" t="s">
        <v>20</v>
      </c>
      <c r="B89" s="567">
        <f t="shared" si="26"/>
        <v>8485.212513729999</v>
      </c>
      <c r="C89" s="567">
        <f t="shared" si="26"/>
        <v>355.91081566000003</v>
      </c>
      <c r="D89" s="567">
        <f t="shared" si="27"/>
        <v>5044.30921855</v>
      </c>
      <c r="E89" s="567">
        <f t="shared" si="27"/>
        <v>223.65635245999999</v>
      </c>
      <c r="F89" s="567">
        <v>1391.84155994</v>
      </c>
      <c r="G89" s="567">
        <v>100.80256247</v>
      </c>
      <c r="H89" s="567">
        <v>3652.4676586099999</v>
      </c>
      <c r="I89" s="567">
        <v>122.85378999</v>
      </c>
      <c r="J89" s="567">
        <f t="shared" si="28"/>
        <v>3440.90329518</v>
      </c>
      <c r="K89" s="567">
        <f t="shared" si="28"/>
        <v>132.2544632</v>
      </c>
      <c r="L89" s="567">
        <v>897.14073584000005</v>
      </c>
      <c r="M89" s="567">
        <v>73.679884369999996</v>
      </c>
      <c r="N89" s="567">
        <v>2543.7625593399998</v>
      </c>
      <c r="O89" s="567">
        <v>58.57457883</v>
      </c>
    </row>
    <row r="90" spans="1:15" ht="13.2" hidden="1">
      <c r="A90" s="384" t="s">
        <v>21</v>
      </c>
      <c r="B90" s="567">
        <f t="shared" si="26"/>
        <v>8605.4584439699993</v>
      </c>
      <c r="C90" s="567">
        <f t="shared" si="26"/>
        <v>365.24831912000002</v>
      </c>
      <c r="D90" s="567">
        <f t="shared" si="27"/>
        <v>5126.0884319799998</v>
      </c>
      <c r="E90" s="567">
        <f t="shared" si="27"/>
        <v>231.87085711000003</v>
      </c>
      <c r="F90" s="567">
        <v>1417.8445892000002</v>
      </c>
      <c r="G90" s="567">
        <v>102.33495156000002</v>
      </c>
      <c r="H90" s="567">
        <v>3708.2438427799998</v>
      </c>
      <c r="I90" s="567">
        <v>129.53590555000002</v>
      </c>
      <c r="J90" s="567">
        <f t="shared" si="28"/>
        <v>3479.3700119899995</v>
      </c>
      <c r="K90" s="567">
        <f t="shared" si="28"/>
        <v>133.37746200999999</v>
      </c>
      <c r="L90" s="567">
        <v>896.32669306999992</v>
      </c>
      <c r="M90" s="567">
        <v>72.37199665</v>
      </c>
      <c r="N90" s="567">
        <v>2583.0433189199998</v>
      </c>
      <c r="O90" s="567">
        <v>61.005465360000002</v>
      </c>
    </row>
    <row r="91" spans="1:15" ht="13.2" hidden="1">
      <c r="A91" s="384" t="s">
        <v>22</v>
      </c>
      <c r="B91" s="567">
        <f t="shared" si="26"/>
        <v>8733.4896446999992</v>
      </c>
      <c r="C91" s="567">
        <f t="shared" si="26"/>
        <v>383.58905662000001</v>
      </c>
      <c r="D91" s="567">
        <f t="shared" si="27"/>
        <v>5223.3259211599998</v>
      </c>
      <c r="E91" s="567">
        <f t="shared" si="27"/>
        <v>242.14988371999999</v>
      </c>
      <c r="F91" s="567">
        <v>1424.11458429</v>
      </c>
      <c r="G91" s="567">
        <v>103.98742276</v>
      </c>
      <c r="H91" s="567">
        <v>3799.2113368700002</v>
      </c>
      <c r="I91" s="567">
        <v>138.16246096</v>
      </c>
      <c r="J91" s="567">
        <f t="shared" si="28"/>
        <v>3510.1637235400003</v>
      </c>
      <c r="K91" s="567">
        <f t="shared" si="28"/>
        <v>141.43917290000002</v>
      </c>
      <c r="L91" s="567">
        <v>920.8913824</v>
      </c>
      <c r="M91" s="567">
        <v>79.229082790000007</v>
      </c>
      <c r="N91" s="567">
        <v>2589.2723411400002</v>
      </c>
      <c r="O91" s="567">
        <v>62.210090110000003</v>
      </c>
    </row>
    <row r="92" spans="1:15" ht="13.2" hidden="1">
      <c r="A92" s="384" t="s">
        <v>23</v>
      </c>
      <c r="B92" s="567">
        <f t="shared" si="26"/>
        <v>8840.6992274799995</v>
      </c>
      <c r="C92" s="567">
        <f t="shared" si="26"/>
        <v>408.59221671999995</v>
      </c>
      <c r="D92" s="567">
        <f>F92+H92</f>
        <v>5311.30351668</v>
      </c>
      <c r="E92" s="567">
        <f>G92+I92</f>
        <v>266.91575949999998</v>
      </c>
      <c r="F92" s="567">
        <v>1390.8887382200005</v>
      </c>
      <c r="G92" s="567">
        <v>106.06446656000001</v>
      </c>
      <c r="H92" s="567">
        <v>3920.4147784599991</v>
      </c>
      <c r="I92" s="567">
        <v>160.85129293999995</v>
      </c>
      <c r="J92" s="567">
        <f>L92+N92</f>
        <v>3529.3957108</v>
      </c>
      <c r="K92" s="567">
        <f>M92+O92</f>
        <v>141.67645721999997</v>
      </c>
      <c r="L92" s="567">
        <v>956.90045928000006</v>
      </c>
      <c r="M92" s="567">
        <v>77.496031119999998</v>
      </c>
      <c r="N92" s="567">
        <v>2572.4952515199998</v>
      </c>
      <c r="O92" s="567">
        <v>64.180426099999991</v>
      </c>
    </row>
    <row r="93" spans="1:15" ht="13.2" hidden="1">
      <c r="A93" s="384" t="s">
        <v>24</v>
      </c>
      <c r="B93" s="567">
        <v>8656.2160000000003</v>
      </c>
      <c r="C93" s="567">
        <v>399.995</v>
      </c>
      <c r="D93" s="567">
        <f t="shared" si="27"/>
        <v>5357.58</v>
      </c>
      <c r="E93" s="567">
        <f t="shared" si="27"/>
        <v>258.95240000000001</v>
      </c>
      <c r="F93" s="567">
        <v>1390.67</v>
      </c>
      <c r="G93" s="567">
        <v>101.2629</v>
      </c>
      <c r="H93" s="567">
        <v>3966.91</v>
      </c>
      <c r="I93" s="567">
        <v>157.68950000000001</v>
      </c>
      <c r="J93" s="567">
        <f t="shared" si="28"/>
        <v>3293.636</v>
      </c>
      <c r="K93" s="567">
        <f t="shared" si="28"/>
        <v>141.042</v>
      </c>
      <c r="L93" s="567">
        <v>1010.7910000000001</v>
      </c>
      <c r="M93" s="567">
        <v>75.503</v>
      </c>
      <c r="N93" s="567">
        <v>2282.8449999999998</v>
      </c>
      <c r="O93" s="567">
        <v>65.539000000000001</v>
      </c>
    </row>
    <row r="94" spans="1:15" ht="13.2" hidden="1">
      <c r="A94" s="384" t="s">
        <v>25</v>
      </c>
      <c r="B94" s="567">
        <v>8788.5652860400005</v>
      </c>
      <c r="C94" s="567">
        <v>423.68329698000002</v>
      </c>
      <c r="D94" s="567">
        <f t="shared" si="27"/>
        <v>5448.6732444099998</v>
      </c>
      <c r="E94" s="567">
        <f t="shared" si="27"/>
        <v>284.66117152000004</v>
      </c>
      <c r="F94" s="567">
        <v>1424.3187801199999</v>
      </c>
      <c r="G94" s="567">
        <v>114.20943148000001</v>
      </c>
      <c r="H94" s="567">
        <v>4024.3544642900001</v>
      </c>
      <c r="I94" s="567">
        <v>170.45174004</v>
      </c>
      <c r="J94" s="567">
        <f t="shared" si="28"/>
        <v>3339.8920416299998</v>
      </c>
      <c r="K94" s="567">
        <f t="shared" si="28"/>
        <v>139.02212546000001</v>
      </c>
      <c r="L94" s="567">
        <v>1021.54448273</v>
      </c>
      <c r="M94" s="567">
        <v>74.212794990000006</v>
      </c>
      <c r="N94" s="567">
        <v>2318.3475589</v>
      </c>
      <c r="O94" s="567">
        <v>64.809330470000006</v>
      </c>
    </row>
    <row r="95" spans="1:15" ht="13.2" hidden="1">
      <c r="A95" s="384" t="s">
        <v>26</v>
      </c>
      <c r="B95" s="567">
        <f>D95+J95</f>
        <v>8936.6295108199993</v>
      </c>
      <c r="C95" s="567">
        <v>448.51428231</v>
      </c>
      <c r="D95" s="567">
        <f t="shared" si="27"/>
        <v>5562.0761444100008</v>
      </c>
      <c r="E95" s="567">
        <f t="shared" si="27"/>
        <v>301.42113802999995</v>
      </c>
      <c r="F95" s="567">
        <v>1448.0048032600002</v>
      </c>
      <c r="G95" s="567">
        <v>124.83487529999998</v>
      </c>
      <c r="H95" s="567">
        <v>4114.0713411500001</v>
      </c>
      <c r="I95" s="567">
        <v>176.58626272999999</v>
      </c>
      <c r="J95" s="567">
        <f t="shared" si="28"/>
        <v>3374.5533664099994</v>
      </c>
      <c r="K95" s="567">
        <f t="shared" si="28"/>
        <v>147.09314427999999</v>
      </c>
      <c r="L95" s="567">
        <v>1038.52730352</v>
      </c>
      <c r="M95" s="567">
        <v>78.960413599999995</v>
      </c>
      <c r="N95" s="567">
        <v>2336.0260628899996</v>
      </c>
      <c r="O95" s="567">
        <v>68.132730679999995</v>
      </c>
    </row>
    <row r="96" spans="1:15" ht="13.2" hidden="1">
      <c r="A96" s="384" t="s">
        <v>27</v>
      </c>
      <c r="B96" s="567">
        <f>D96+J96</f>
        <v>9065.2348196599996</v>
      </c>
      <c r="C96" s="567">
        <v>454.04449083999998</v>
      </c>
      <c r="D96" s="567">
        <f t="shared" si="27"/>
        <v>5680.473136829999</v>
      </c>
      <c r="E96" s="567">
        <f t="shared" si="27"/>
        <v>306.43030685999997</v>
      </c>
      <c r="F96" s="567">
        <v>1458.4576236799996</v>
      </c>
      <c r="G96" s="567">
        <v>128.30885957000001</v>
      </c>
      <c r="H96" s="567">
        <v>4222.0155131499996</v>
      </c>
      <c r="I96" s="567">
        <v>178.12144728999999</v>
      </c>
      <c r="J96" s="567">
        <f t="shared" si="28"/>
        <v>3384.7616828299997</v>
      </c>
      <c r="K96" s="567">
        <f t="shared" si="28"/>
        <v>147.61418398000001</v>
      </c>
      <c r="L96" s="567">
        <v>1058.4434223599999</v>
      </c>
      <c r="M96" s="567">
        <v>79.603050010000004</v>
      </c>
      <c r="N96" s="567">
        <v>2326.31826047</v>
      </c>
      <c r="O96" s="567">
        <v>68.011133969999989</v>
      </c>
    </row>
    <row r="97" spans="1:15" ht="13.2" hidden="1">
      <c r="A97" s="384" t="s">
        <v>28</v>
      </c>
      <c r="B97" s="567">
        <f>D97+J97</f>
        <v>9091.7448746400005</v>
      </c>
      <c r="C97" s="567">
        <f>+E97+K97</f>
        <v>458.08037351999997</v>
      </c>
      <c r="D97" s="567">
        <f>F97+H97</f>
        <v>5770.1788494699995</v>
      </c>
      <c r="E97" s="567">
        <f>G97+I97</f>
        <v>309.25708532999994</v>
      </c>
      <c r="F97" s="567">
        <v>1493.9749220899998</v>
      </c>
      <c r="G97" s="567">
        <v>130.58339618999997</v>
      </c>
      <c r="H97" s="567">
        <v>4276.2039273799992</v>
      </c>
      <c r="I97" s="567">
        <v>178.67368913999996</v>
      </c>
      <c r="J97" s="567">
        <f>L97+N97</f>
        <v>3321.5660251700001</v>
      </c>
      <c r="K97" s="567">
        <f>M97+O97</f>
        <v>148.82328819</v>
      </c>
      <c r="L97" s="567">
        <v>1051.95001742</v>
      </c>
      <c r="M97" s="567">
        <v>78.407537129999994</v>
      </c>
      <c r="N97" s="567">
        <v>2269.6160077499999</v>
      </c>
      <c r="O97" s="567">
        <v>70.415751060000005</v>
      </c>
    </row>
    <row r="98" spans="1:15" ht="13.2" hidden="1">
      <c r="A98" s="384" t="s">
        <v>29</v>
      </c>
      <c r="B98" s="567">
        <f>D98+J98</f>
        <v>9163.3597792400014</v>
      </c>
      <c r="C98" s="567">
        <f>+E98+K98</f>
        <v>492.87668797999993</v>
      </c>
      <c r="D98" s="567">
        <f>F98+H98</f>
        <v>5865.2943068200011</v>
      </c>
      <c r="E98" s="567">
        <f>G98+I98</f>
        <v>342.10889326999995</v>
      </c>
      <c r="F98" s="567">
        <v>1523.81092025</v>
      </c>
      <c r="G98" s="567">
        <v>156.84892257000001</v>
      </c>
      <c r="H98" s="567">
        <v>4341.4833865700011</v>
      </c>
      <c r="I98" s="567">
        <v>185.25997069999997</v>
      </c>
      <c r="J98" s="567">
        <f>L98+N98</f>
        <v>3298.0654724200003</v>
      </c>
      <c r="K98" s="567">
        <f>M98+O98</f>
        <v>150.76779470999998</v>
      </c>
      <c r="L98" s="567">
        <v>1043.30860082</v>
      </c>
      <c r="M98" s="567">
        <v>82.410484849999975</v>
      </c>
      <c r="N98" s="567">
        <v>2254.7568716000005</v>
      </c>
      <c r="O98" s="567">
        <v>68.357309860000001</v>
      </c>
    </row>
    <row r="99" spans="1:15" ht="13.2">
      <c r="A99" s="384" t="s">
        <v>1045</v>
      </c>
      <c r="B99" s="567">
        <v>9850.3003707400021</v>
      </c>
      <c r="C99" s="567">
        <v>633.80456287000004</v>
      </c>
      <c r="D99" s="567">
        <v>6326.5385144700012</v>
      </c>
      <c r="E99" s="567">
        <v>452.14121239000008</v>
      </c>
      <c r="F99" s="567">
        <v>1901.0288187400004</v>
      </c>
      <c r="G99" s="567">
        <v>233.81790409000001</v>
      </c>
      <c r="H99" s="567">
        <v>4425.5096957300011</v>
      </c>
      <c r="I99" s="567">
        <v>218.32330830000004</v>
      </c>
      <c r="J99" s="567">
        <v>3523.7618562700004</v>
      </c>
      <c r="K99" s="567">
        <v>181.66335047999999</v>
      </c>
      <c r="L99" s="567">
        <v>1050.1703003900002</v>
      </c>
      <c r="M99" s="567">
        <v>92.411289529999991</v>
      </c>
      <c r="N99" s="567">
        <v>2473.5915558800002</v>
      </c>
      <c r="O99" s="567">
        <v>89.252060950000001</v>
      </c>
    </row>
    <row r="100" spans="1:15" ht="13.2" hidden="1">
      <c r="A100" s="384" t="s">
        <v>18</v>
      </c>
      <c r="B100" s="568">
        <f t="shared" ref="B100:C102" si="29">D100+J100</f>
        <v>9149.7656655300016</v>
      </c>
      <c r="C100" s="568">
        <f t="shared" si="29"/>
        <v>496.97677403</v>
      </c>
      <c r="D100" s="568">
        <f t="shared" ref="D100:E102" si="30">F100+H100</f>
        <v>5876.8554155300008</v>
      </c>
      <c r="E100" s="568">
        <f t="shared" si="30"/>
        <v>337.99363398999998</v>
      </c>
      <c r="F100" s="568">
        <v>1521.0608483700003</v>
      </c>
      <c r="G100" s="568">
        <v>163.53275163999999</v>
      </c>
      <c r="H100" s="568">
        <v>4355.79456716</v>
      </c>
      <c r="I100" s="568">
        <v>174.46088234999999</v>
      </c>
      <c r="J100" s="568">
        <f t="shared" ref="J100:K102" si="31">L100+N100</f>
        <v>3272.9102499999999</v>
      </c>
      <c r="K100" s="568">
        <f t="shared" si="31"/>
        <v>158.98314004000002</v>
      </c>
      <c r="L100" s="568">
        <v>1030.23733793</v>
      </c>
      <c r="M100" s="568">
        <v>90.439909270000015</v>
      </c>
      <c r="N100" s="568">
        <v>2242.6729120699997</v>
      </c>
      <c r="O100" s="568">
        <v>68.543230770000008</v>
      </c>
    </row>
    <row r="101" spans="1:15" ht="13.2" hidden="1">
      <c r="A101" s="384" t="s">
        <v>19</v>
      </c>
      <c r="B101" s="568">
        <f t="shared" si="29"/>
        <v>9152.8044223100005</v>
      </c>
      <c r="C101" s="568">
        <f t="shared" si="29"/>
        <v>509.41080164000005</v>
      </c>
      <c r="D101" s="568">
        <f t="shared" si="30"/>
        <v>5888.6123619000009</v>
      </c>
      <c r="E101" s="568">
        <f t="shared" si="30"/>
        <v>345.29821598000001</v>
      </c>
      <c r="F101" s="568">
        <v>1477.46146619</v>
      </c>
      <c r="G101" s="568">
        <v>162.15388999999999</v>
      </c>
      <c r="H101" s="568">
        <v>4411.1508957100004</v>
      </c>
      <c r="I101" s="568">
        <v>183.14432597999999</v>
      </c>
      <c r="J101" s="568">
        <f t="shared" si="31"/>
        <v>3264.1920604099992</v>
      </c>
      <c r="K101" s="568">
        <f t="shared" si="31"/>
        <v>164.11258566000001</v>
      </c>
      <c r="L101" s="568">
        <v>1023.93320722</v>
      </c>
      <c r="M101" s="568">
        <v>96.079705560000008</v>
      </c>
      <c r="N101" s="568">
        <v>2240.2588531899992</v>
      </c>
      <c r="O101" s="568">
        <v>68.0328801</v>
      </c>
    </row>
    <row r="102" spans="1:15" ht="13.2" hidden="1">
      <c r="A102" s="384" t="s">
        <v>20</v>
      </c>
      <c r="B102" s="568">
        <f t="shared" si="29"/>
        <v>8365.9867119600003</v>
      </c>
      <c r="C102" s="568">
        <f t="shared" si="29"/>
        <v>539.92218613999989</v>
      </c>
      <c r="D102" s="568">
        <f t="shared" si="30"/>
        <v>5017.8658420000002</v>
      </c>
      <c r="E102" s="568">
        <f t="shared" si="30"/>
        <v>371.00768122999989</v>
      </c>
      <c r="F102" s="568">
        <v>1537.3566140099999</v>
      </c>
      <c r="G102" s="568">
        <v>181.68093388999995</v>
      </c>
      <c r="H102" s="568">
        <v>3480.50922799</v>
      </c>
      <c r="I102" s="568">
        <v>189.32674733999997</v>
      </c>
      <c r="J102" s="568">
        <f t="shared" si="31"/>
        <v>3348.1208699599997</v>
      </c>
      <c r="K102" s="568">
        <f t="shared" si="31"/>
        <v>168.91450491000003</v>
      </c>
      <c r="L102" s="568">
        <v>1099.7357182599999</v>
      </c>
      <c r="M102" s="568">
        <v>97.642378710000017</v>
      </c>
      <c r="N102" s="568">
        <v>2248.3851516999998</v>
      </c>
      <c r="O102" s="568">
        <v>71.272126200000017</v>
      </c>
    </row>
    <row r="103" spans="1:15" ht="13.2" hidden="1">
      <c r="A103" s="384" t="s">
        <v>21</v>
      </c>
      <c r="B103" s="568">
        <f t="shared" ref="B103:C105" si="32">D103+J103</f>
        <v>8569.625479950002</v>
      </c>
      <c r="C103" s="568">
        <f t="shared" si="32"/>
        <v>553.16266524000002</v>
      </c>
      <c r="D103" s="568">
        <f t="shared" ref="D103:E105" si="33">F103+H103</f>
        <v>5178.6961602300007</v>
      </c>
      <c r="E103" s="568">
        <f t="shared" si="33"/>
        <v>376.76540720000003</v>
      </c>
      <c r="F103" s="568">
        <v>1627.0852975200003</v>
      </c>
      <c r="G103" s="568">
        <v>182.81705453000004</v>
      </c>
      <c r="H103" s="568">
        <v>3551.6108627100002</v>
      </c>
      <c r="I103" s="568">
        <v>193.94835266999999</v>
      </c>
      <c r="J103" s="568">
        <f t="shared" ref="J103:K105" si="34">L103+N103</f>
        <v>3390.9293197200013</v>
      </c>
      <c r="K103" s="568">
        <f t="shared" si="34"/>
        <v>176.39725804</v>
      </c>
      <c r="L103" s="568">
        <v>1125.5794349</v>
      </c>
      <c r="M103" s="568">
        <v>100.78393094</v>
      </c>
      <c r="N103" s="568">
        <v>2265.3498848200011</v>
      </c>
      <c r="O103" s="568">
        <v>75.613327099999992</v>
      </c>
    </row>
    <row r="104" spans="1:15" ht="13.2" hidden="1">
      <c r="A104" s="384" t="s">
        <v>22</v>
      </c>
      <c r="B104" s="568">
        <f t="shared" si="32"/>
        <v>8680.4269249300014</v>
      </c>
      <c r="C104" s="568">
        <f t="shared" si="32"/>
        <v>551.82263233000003</v>
      </c>
      <c r="D104" s="568">
        <f t="shared" si="33"/>
        <v>5276.0389336499993</v>
      </c>
      <c r="E104" s="568">
        <f t="shared" si="33"/>
        <v>376.23776549000002</v>
      </c>
      <c r="F104" s="568">
        <v>1649.9613073500002</v>
      </c>
      <c r="G104" s="568">
        <v>182.17992809</v>
      </c>
      <c r="H104" s="568">
        <v>3626.0776262999989</v>
      </c>
      <c r="I104" s="568">
        <v>194.05783739999998</v>
      </c>
      <c r="J104" s="568">
        <f t="shared" si="34"/>
        <v>3404.3879912800012</v>
      </c>
      <c r="K104" s="568">
        <f t="shared" si="34"/>
        <v>175.58486683999996</v>
      </c>
      <c r="L104" s="568">
        <v>1171.9425042200003</v>
      </c>
      <c r="M104" s="568">
        <v>99.632511709999989</v>
      </c>
      <c r="N104" s="568">
        <v>2232.4454870600011</v>
      </c>
      <c r="O104" s="568">
        <v>75.952355129999987</v>
      </c>
    </row>
    <row r="105" spans="1:15" ht="13.2" hidden="1">
      <c r="A105" s="384" t="s">
        <v>23</v>
      </c>
      <c r="B105" s="568">
        <f t="shared" si="32"/>
        <v>8885.8892618499995</v>
      </c>
      <c r="C105" s="568">
        <f t="shared" si="32"/>
        <v>557.85969064999995</v>
      </c>
      <c r="D105" s="568">
        <f t="shared" si="33"/>
        <v>5464.8585656499999</v>
      </c>
      <c r="E105" s="568">
        <f t="shared" si="33"/>
        <v>383.27427196000002</v>
      </c>
      <c r="F105" s="568">
        <v>1724.02884838</v>
      </c>
      <c r="G105" s="568">
        <v>183.22703375</v>
      </c>
      <c r="H105" s="568">
        <v>3740.8297172699999</v>
      </c>
      <c r="I105" s="568">
        <v>200.04723821000002</v>
      </c>
      <c r="J105" s="568">
        <f t="shared" si="34"/>
        <v>3421.0306962</v>
      </c>
      <c r="K105" s="568">
        <f t="shared" si="34"/>
        <v>174.58541868999998</v>
      </c>
      <c r="L105" s="568">
        <v>1173.0402481499996</v>
      </c>
      <c r="M105" s="568">
        <v>98.192751869999995</v>
      </c>
      <c r="N105" s="568">
        <v>2247.9904480500004</v>
      </c>
      <c r="O105" s="568">
        <v>76.392666819999988</v>
      </c>
    </row>
    <row r="106" spans="1:15" ht="13.2" hidden="1">
      <c r="A106" s="384" t="s">
        <v>24</v>
      </c>
      <c r="B106" s="568">
        <f t="shared" ref="B106:C108" si="35">D106+J106</f>
        <v>9050.1703139700003</v>
      </c>
      <c r="C106" s="568">
        <f t="shared" si="35"/>
        <v>581.14177906999998</v>
      </c>
      <c r="D106" s="568">
        <f t="shared" ref="D106:E108" si="36">F106+H106</f>
        <v>5653.2882967799997</v>
      </c>
      <c r="E106" s="568">
        <f t="shared" si="36"/>
        <v>401.9138557</v>
      </c>
      <c r="F106" s="568">
        <v>1759.2014357799994</v>
      </c>
      <c r="G106" s="568">
        <v>192.20300341000001</v>
      </c>
      <c r="H106" s="568">
        <v>3894.0868610000007</v>
      </c>
      <c r="I106" s="568">
        <v>209.71085229000002</v>
      </c>
      <c r="J106" s="568">
        <f t="shared" ref="J106:K108" si="37">L106+N106</f>
        <v>3396.8820171899997</v>
      </c>
      <c r="K106" s="568">
        <f t="shared" si="37"/>
        <v>179.22792336999998</v>
      </c>
      <c r="L106" s="568">
        <v>1185.22084139</v>
      </c>
      <c r="M106" s="568">
        <v>101.41922487999997</v>
      </c>
      <c r="N106" s="568">
        <v>2211.6611757999999</v>
      </c>
      <c r="O106" s="568">
        <v>77.808698490000012</v>
      </c>
    </row>
    <row r="107" spans="1:15" ht="13.2" hidden="1">
      <c r="A107" s="384" t="s">
        <v>25</v>
      </c>
      <c r="B107" s="568">
        <f t="shared" si="35"/>
        <v>9458.3536229800011</v>
      </c>
      <c r="C107" s="568">
        <f t="shared" si="35"/>
        <v>592.54335994000007</v>
      </c>
      <c r="D107" s="568">
        <f t="shared" si="36"/>
        <v>5794.5581396099997</v>
      </c>
      <c r="E107" s="568">
        <f t="shared" si="36"/>
        <v>412.74201596</v>
      </c>
      <c r="F107" s="568">
        <v>1779.9598803199999</v>
      </c>
      <c r="G107" s="568">
        <v>204.30088148999999</v>
      </c>
      <c r="H107" s="568">
        <v>4014.5982592899995</v>
      </c>
      <c r="I107" s="568">
        <v>208.44113446999998</v>
      </c>
      <c r="J107" s="568">
        <f t="shared" si="37"/>
        <v>3663.7954833700005</v>
      </c>
      <c r="K107" s="568">
        <f t="shared" si="37"/>
        <v>179.80134398000001</v>
      </c>
      <c r="L107" s="568">
        <v>1221.3443412900003</v>
      </c>
      <c r="M107" s="568">
        <v>100.78183925</v>
      </c>
      <c r="N107" s="568">
        <v>2442.45114208</v>
      </c>
      <c r="O107" s="568">
        <v>79.019504729999994</v>
      </c>
    </row>
    <row r="108" spans="1:15" ht="13.2" hidden="1">
      <c r="A108" s="384" t="s">
        <v>26</v>
      </c>
      <c r="B108" s="568">
        <f t="shared" si="35"/>
        <v>9597.6519703199992</v>
      </c>
      <c r="C108" s="568">
        <f t="shared" si="35"/>
        <v>620.24163603</v>
      </c>
      <c r="D108" s="568">
        <f t="shared" si="36"/>
        <v>5949.6698833499995</v>
      </c>
      <c r="E108" s="568">
        <f t="shared" si="36"/>
        <v>433.27741323999999</v>
      </c>
      <c r="F108" s="568">
        <v>1856.0935624199997</v>
      </c>
      <c r="G108" s="568">
        <v>224.16248223999997</v>
      </c>
      <c r="H108" s="568">
        <v>4093.5763209299994</v>
      </c>
      <c r="I108" s="568">
        <v>209.11493099999998</v>
      </c>
      <c r="J108" s="568">
        <f t="shared" si="37"/>
        <v>3647.9820869699997</v>
      </c>
      <c r="K108" s="568">
        <f t="shared" si="37"/>
        <v>186.96422279000001</v>
      </c>
      <c r="L108" s="568">
        <v>1218.5356594200002</v>
      </c>
      <c r="M108" s="568">
        <v>97.893200940000014</v>
      </c>
      <c r="N108" s="568">
        <v>2429.4464275499995</v>
      </c>
      <c r="O108" s="568">
        <v>89.071021850000008</v>
      </c>
    </row>
    <row r="109" spans="1:15" ht="13.2" hidden="1">
      <c r="A109" s="384" t="s">
        <v>27</v>
      </c>
      <c r="B109" s="568">
        <f t="shared" ref="B109:C112" si="38">D109+J109</f>
        <v>9706.1501323599987</v>
      </c>
      <c r="C109" s="568">
        <f t="shared" si="38"/>
        <v>626.47045097</v>
      </c>
      <c r="D109" s="568">
        <f t="shared" ref="D109:E111" si="39">F109+H109</f>
        <v>6080.2291522899995</v>
      </c>
      <c r="E109" s="568">
        <f t="shared" si="39"/>
        <v>436.40281425000001</v>
      </c>
      <c r="F109" s="568">
        <v>1862.5809107800001</v>
      </c>
      <c r="G109" s="568">
        <v>218.52939634000001</v>
      </c>
      <c r="H109" s="568">
        <v>4217.6482415099999</v>
      </c>
      <c r="I109" s="568">
        <v>217.87341791000003</v>
      </c>
      <c r="J109" s="568">
        <f t="shared" ref="J109:K112" si="40">L109+N109</f>
        <v>3625.9209800699996</v>
      </c>
      <c r="K109" s="568">
        <f t="shared" si="40"/>
        <v>190.06763672</v>
      </c>
      <c r="L109" s="568">
        <v>1170.83075994</v>
      </c>
      <c r="M109" s="568">
        <v>98.958404939999994</v>
      </c>
      <c r="N109" s="568">
        <v>2455.0902201299996</v>
      </c>
      <c r="O109" s="568">
        <v>91.109231779999988</v>
      </c>
    </row>
    <row r="110" spans="1:15" ht="13.2" hidden="1">
      <c r="A110" s="384" t="s">
        <v>28</v>
      </c>
      <c r="B110" s="568">
        <f t="shared" si="38"/>
        <v>9782.7863418200013</v>
      </c>
      <c r="C110" s="568">
        <f t="shared" si="38"/>
        <v>636.67716684999994</v>
      </c>
      <c r="D110" s="568">
        <f t="shared" si="39"/>
        <v>6201.6395691100015</v>
      </c>
      <c r="E110" s="568">
        <f t="shared" si="39"/>
        <v>452.06186796999998</v>
      </c>
      <c r="F110" s="568">
        <v>1895.5024966700003</v>
      </c>
      <c r="G110" s="568">
        <v>231.14393423999996</v>
      </c>
      <c r="H110" s="568">
        <v>4306.1370724400012</v>
      </c>
      <c r="I110" s="568">
        <v>220.91793372999999</v>
      </c>
      <c r="J110" s="568">
        <f t="shared" si="40"/>
        <v>3581.1467727099994</v>
      </c>
      <c r="K110" s="568">
        <f t="shared" si="40"/>
        <v>184.61529887999995</v>
      </c>
      <c r="L110" s="568">
        <v>1128.3953477599998</v>
      </c>
      <c r="M110" s="568">
        <v>95.25461082999999</v>
      </c>
      <c r="N110" s="568">
        <v>2452.7514249499995</v>
      </c>
      <c r="O110" s="568">
        <v>89.360688049999979</v>
      </c>
    </row>
    <row r="111" spans="1:15" ht="13.2" hidden="1">
      <c r="A111" s="384" t="s">
        <v>29</v>
      </c>
      <c r="B111" s="568">
        <f t="shared" si="38"/>
        <v>9850.3003707400021</v>
      </c>
      <c r="C111" s="568">
        <f t="shared" si="38"/>
        <v>633.80456287000004</v>
      </c>
      <c r="D111" s="568">
        <f t="shared" si="39"/>
        <v>6326.5385144700012</v>
      </c>
      <c r="E111" s="568">
        <f t="shared" si="39"/>
        <v>452.14121239000008</v>
      </c>
      <c r="F111" s="568">
        <v>1901.0288187400004</v>
      </c>
      <c r="G111" s="568">
        <v>233.81790409000001</v>
      </c>
      <c r="H111" s="568">
        <v>4425.5096957300011</v>
      </c>
      <c r="I111" s="568">
        <v>218.32330830000004</v>
      </c>
      <c r="J111" s="568">
        <f t="shared" si="40"/>
        <v>3523.7618562700004</v>
      </c>
      <c r="K111" s="568">
        <f t="shared" si="40"/>
        <v>181.66335047999999</v>
      </c>
      <c r="L111" s="568">
        <v>1050.1703003900002</v>
      </c>
      <c r="M111" s="568">
        <v>92.411289529999991</v>
      </c>
      <c r="N111" s="568">
        <v>2473.5915558800002</v>
      </c>
      <c r="O111" s="568">
        <v>89.252060950000001</v>
      </c>
    </row>
    <row r="112" spans="1:15" ht="13.2">
      <c r="A112" s="384" t="s">
        <v>1327</v>
      </c>
      <c r="B112" s="567">
        <f t="shared" si="38"/>
        <v>12243.721763699998</v>
      </c>
      <c r="C112" s="567">
        <f t="shared" si="38"/>
        <v>748.82059921000018</v>
      </c>
      <c r="D112" s="567">
        <f>F112+H112</f>
        <v>8422.8208370499979</v>
      </c>
      <c r="E112" s="567">
        <f>G112+I112</f>
        <v>575.65162122000015</v>
      </c>
      <c r="F112" s="567">
        <v>2514.3488646700002</v>
      </c>
      <c r="G112" s="567">
        <v>304.70474288000003</v>
      </c>
      <c r="H112" s="567">
        <v>5908.4719723799981</v>
      </c>
      <c r="I112" s="567">
        <v>270.94687834000007</v>
      </c>
      <c r="J112" s="567">
        <f t="shared" si="40"/>
        <v>3820.9009266500002</v>
      </c>
      <c r="K112" s="567">
        <f t="shared" si="40"/>
        <v>173.16897799</v>
      </c>
      <c r="L112" s="567">
        <v>994.03447728000026</v>
      </c>
      <c r="M112" s="567">
        <v>80.657904180000003</v>
      </c>
      <c r="N112" s="567">
        <v>2826.8664493699998</v>
      </c>
      <c r="O112" s="567">
        <v>92.511073809999999</v>
      </c>
    </row>
    <row r="113" spans="1:15" ht="13.2" hidden="1">
      <c r="A113" s="384" t="s">
        <v>18</v>
      </c>
      <c r="B113" s="568">
        <f t="shared" ref="B113:C115" si="41">D113+J113</f>
        <v>9984.5625328200003</v>
      </c>
      <c r="C113" s="568">
        <f t="shared" si="41"/>
        <v>643.0820838599999</v>
      </c>
      <c r="D113" s="568">
        <f t="shared" ref="D113:E116" si="42">F113+H113</f>
        <v>6427.802118489999</v>
      </c>
      <c r="E113" s="568">
        <f t="shared" si="42"/>
        <v>462.67976650999992</v>
      </c>
      <c r="F113" s="568">
        <v>1927.8411135400002</v>
      </c>
      <c r="G113" s="568">
        <v>241.06951294999996</v>
      </c>
      <c r="H113" s="568">
        <v>4499.9610049499988</v>
      </c>
      <c r="I113" s="568">
        <v>221.61025355999999</v>
      </c>
      <c r="J113" s="568">
        <f t="shared" ref="J113:K115" si="43">L113+N113</f>
        <v>3556.7604143300009</v>
      </c>
      <c r="K113" s="568">
        <f t="shared" si="43"/>
        <v>180.40231734999998</v>
      </c>
      <c r="L113" s="568">
        <v>1062.2161536900003</v>
      </c>
      <c r="M113" s="568">
        <v>90.801820430000006</v>
      </c>
      <c r="N113" s="568">
        <v>2494.5442606400006</v>
      </c>
      <c r="O113" s="568">
        <v>89.600496919999983</v>
      </c>
    </row>
    <row r="114" spans="1:15" ht="13.2" hidden="1">
      <c r="A114" s="384" t="s">
        <v>19</v>
      </c>
      <c r="B114" s="568">
        <f t="shared" si="41"/>
        <v>10106.91377657</v>
      </c>
      <c r="C114" s="568">
        <f t="shared" si="41"/>
        <v>648.80625394999993</v>
      </c>
      <c r="D114" s="568">
        <f t="shared" si="42"/>
        <v>6516.8319462899999</v>
      </c>
      <c r="E114" s="568">
        <f t="shared" si="42"/>
        <v>467.00115691999997</v>
      </c>
      <c r="F114" s="568">
        <v>1887.4345175700005</v>
      </c>
      <c r="G114" s="568">
        <v>240.29457158000002</v>
      </c>
      <c r="H114" s="568">
        <v>4629.397428719999</v>
      </c>
      <c r="I114" s="568">
        <v>226.70658533999998</v>
      </c>
      <c r="J114" s="568">
        <f t="shared" si="43"/>
        <v>3590.0818302799998</v>
      </c>
      <c r="K114" s="568">
        <f t="shared" si="43"/>
        <v>181.80509703000001</v>
      </c>
      <c r="L114" s="568">
        <v>1070.9073272200001</v>
      </c>
      <c r="M114" s="568">
        <v>91.565095249999999</v>
      </c>
      <c r="N114" s="568">
        <v>2519.17450306</v>
      </c>
      <c r="O114" s="568">
        <v>90.24000178</v>
      </c>
    </row>
    <row r="115" spans="1:15" ht="13.2" hidden="1">
      <c r="A115" s="384" t="s">
        <v>20</v>
      </c>
      <c r="B115" s="568">
        <f t="shared" si="41"/>
        <v>10163.207416880003</v>
      </c>
      <c r="C115" s="568">
        <f t="shared" si="41"/>
        <v>663.85993113000006</v>
      </c>
      <c r="D115" s="568">
        <f t="shared" si="42"/>
        <v>6544.4821473800012</v>
      </c>
      <c r="E115" s="568">
        <f t="shared" si="42"/>
        <v>482.97505279000006</v>
      </c>
      <c r="F115" s="568">
        <v>1810.8599186900008</v>
      </c>
      <c r="G115" s="568">
        <v>245.00116394000003</v>
      </c>
      <c r="H115" s="568">
        <v>4733.6222286900002</v>
      </c>
      <c r="I115" s="568">
        <v>237.97388885000001</v>
      </c>
      <c r="J115" s="568">
        <f t="shared" si="43"/>
        <v>3618.7252695000006</v>
      </c>
      <c r="K115" s="568">
        <f t="shared" si="43"/>
        <v>180.88487834</v>
      </c>
      <c r="L115" s="568">
        <v>1059.9579456900001</v>
      </c>
      <c r="M115" s="568">
        <v>90.924872269999995</v>
      </c>
      <c r="N115" s="568">
        <v>2558.7673238100006</v>
      </c>
      <c r="O115" s="568">
        <v>89.960006070000006</v>
      </c>
    </row>
    <row r="116" spans="1:15" ht="13.2" hidden="1">
      <c r="A116" s="384" t="s">
        <v>21</v>
      </c>
      <c r="B116" s="568">
        <f t="shared" ref="B116:C118" si="44">D116+J116</f>
        <v>10363.272368590002</v>
      </c>
      <c r="C116" s="568">
        <f t="shared" si="44"/>
        <v>719.35310576000006</v>
      </c>
      <c r="D116" s="568">
        <f t="shared" ref="D116:D121" si="45">F116+H116</f>
        <v>6720.9336238600008</v>
      </c>
      <c r="E116" s="568">
        <f t="shared" si="42"/>
        <v>529.57891202999997</v>
      </c>
      <c r="F116" s="568">
        <v>1826.55624412</v>
      </c>
      <c r="G116" s="568">
        <v>279.46195783999997</v>
      </c>
      <c r="H116" s="568">
        <v>4894.3773797400008</v>
      </c>
      <c r="I116" s="568">
        <v>250.11695419</v>
      </c>
      <c r="J116" s="568">
        <f t="shared" ref="J116:K118" si="46">L116+N116</f>
        <v>3642.3387447300001</v>
      </c>
      <c r="K116" s="568">
        <f t="shared" si="46"/>
        <v>189.77419373000004</v>
      </c>
      <c r="L116" s="568">
        <v>1051.0661861599999</v>
      </c>
      <c r="M116" s="568">
        <v>96.565472030000009</v>
      </c>
      <c r="N116" s="568">
        <v>2591.27255857</v>
      </c>
      <c r="O116" s="568">
        <v>93.208721700000012</v>
      </c>
    </row>
    <row r="117" spans="1:15" ht="13.2" hidden="1">
      <c r="A117" s="384" t="s">
        <v>22</v>
      </c>
      <c r="B117" s="568">
        <f t="shared" si="44"/>
        <v>10511.52051213</v>
      </c>
      <c r="C117" s="568">
        <f t="shared" si="44"/>
        <v>720.07649569000012</v>
      </c>
      <c r="D117" s="568">
        <f t="shared" si="45"/>
        <v>6894.3288604099998</v>
      </c>
      <c r="E117" s="568">
        <f t="shared" ref="E117:E122" si="47">G117+I117</f>
        <v>523.34686927000007</v>
      </c>
      <c r="F117" s="568">
        <v>1828.6446102300001</v>
      </c>
      <c r="G117" s="568">
        <v>275.30770603000008</v>
      </c>
      <c r="H117" s="568">
        <v>5065.6842501799993</v>
      </c>
      <c r="I117" s="568">
        <v>248.03916323999999</v>
      </c>
      <c r="J117" s="568">
        <f t="shared" si="46"/>
        <v>3617.1916517200007</v>
      </c>
      <c r="K117" s="568">
        <f t="shared" si="46"/>
        <v>196.72962642000002</v>
      </c>
      <c r="L117" s="568">
        <v>1030.2272118900003</v>
      </c>
      <c r="M117" s="568">
        <v>101.63262519000001</v>
      </c>
      <c r="N117" s="568">
        <v>2586.9644398300002</v>
      </c>
      <c r="O117" s="568">
        <v>95.097001230000004</v>
      </c>
    </row>
    <row r="118" spans="1:15" ht="13.2" hidden="1">
      <c r="A118" s="384" t="s">
        <v>23</v>
      </c>
      <c r="B118" s="568">
        <f t="shared" si="44"/>
        <v>10734.810676689998</v>
      </c>
      <c r="C118" s="568">
        <f t="shared" si="44"/>
        <v>706.68413955999995</v>
      </c>
      <c r="D118" s="568">
        <f t="shared" si="45"/>
        <v>7074.347796439999</v>
      </c>
      <c r="E118" s="568">
        <f t="shared" si="47"/>
        <v>524.02773141</v>
      </c>
      <c r="F118" s="568">
        <v>1900.4673695099993</v>
      </c>
      <c r="G118" s="568">
        <v>282.57246920000006</v>
      </c>
      <c r="H118" s="568">
        <v>5173.8804269299999</v>
      </c>
      <c r="I118" s="568">
        <v>241.45526220999997</v>
      </c>
      <c r="J118" s="568">
        <f t="shared" si="46"/>
        <v>3660.4628802500001</v>
      </c>
      <c r="K118" s="568">
        <f t="shared" si="46"/>
        <v>182.65640815</v>
      </c>
      <c r="L118" s="568">
        <v>1029.36457539</v>
      </c>
      <c r="M118" s="568">
        <v>94.618551809999985</v>
      </c>
      <c r="N118" s="568">
        <v>2631.0983048600001</v>
      </c>
      <c r="O118" s="568">
        <v>88.037856340000005</v>
      </c>
    </row>
    <row r="119" spans="1:15" ht="13.2" hidden="1">
      <c r="A119" s="384" t="s">
        <v>24</v>
      </c>
      <c r="B119" s="568">
        <f t="shared" ref="B119:C121" si="48">D119+J119</f>
        <v>10726.412785959999</v>
      </c>
      <c r="C119" s="568">
        <f t="shared" si="48"/>
        <v>715.12585076000005</v>
      </c>
      <c r="D119" s="568">
        <f t="shared" si="45"/>
        <v>7083.8808814499989</v>
      </c>
      <c r="E119" s="568">
        <f t="shared" si="47"/>
        <v>542.74810759000002</v>
      </c>
      <c r="F119" s="568">
        <v>1867.2658698499997</v>
      </c>
      <c r="G119" s="568">
        <v>302.08427155999999</v>
      </c>
      <c r="H119" s="568">
        <v>5216.615011599999</v>
      </c>
      <c r="I119" s="568">
        <v>240.66383603</v>
      </c>
      <c r="J119" s="568">
        <f t="shared" ref="J119:K121" si="49">L119+N119</f>
        <v>3642.53190451</v>
      </c>
      <c r="K119" s="568">
        <f t="shared" si="49"/>
        <v>172.37774317</v>
      </c>
      <c r="L119" s="568">
        <v>1034.0363182999999</v>
      </c>
      <c r="M119" s="568">
        <v>84.171527589999997</v>
      </c>
      <c r="N119" s="568">
        <v>2608.4955862100001</v>
      </c>
      <c r="O119" s="568">
        <v>88.206215580000006</v>
      </c>
    </row>
    <row r="120" spans="1:15" ht="13.2" hidden="1">
      <c r="A120" s="384" t="s">
        <v>25</v>
      </c>
      <c r="B120" s="568">
        <f t="shared" si="48"/>
        <v>11057.8023435</v>
      </c>
      <c r="C120" s="568">
        <f t="shared" si="48"/>
        <v>731.74003091999998</v>
      </c>
      <c r="D120" s="568">
        <f t="shared" si="45"/>
        <v>7378.4604254299993</v>
      </c>
      <c r="E120" s="568">
        <f t="shared" si="47"/>
        <v>557.75598169</v>
      </c>
      <c r="F120" s="568">
        <v>1931.1375162799998</v>
      </c>
      <c r="G120" s="568">
        <v>311.64519950999994</v>
      </c>
      <c r="H120" s="568">
        <v>5447.3229091499998</v>
      </c>
      <c r="I120" s="568">
        <v>246.11078218</v>
      </c>
      <c r="J120" s="568">
        <f t="shared" si="49"/>
        <v>3679.3419180699993</v>
      </c>
      <c r="K120" s="568">
        <f t="shared" si="49"/>
        <v>173.98404922999998</v>
      </c>
      <c r="L120" s="568">
        <v>1029.65847745</v>
      </c>
      <c r="M120" s="568">
        <v>84.566903870000004</v>
      </c>
      <c r="N120" s="568">
        <v>2649.6834406199996</v>
      </c>
      <c r="O120" s="568">
        <v>89.417145359999992</v>
      </c>
    </row>
    <row r="121" spans="1:15" ht="13.2" hidden="1">
      <c r="A121" s="384" t="s">
        <v>26</v>
      </c>
      <c r="B121" s="568">
        <f t="shared" si="48"/>
        <v>11380.82251559</v>
      </c>
      <c r="C121" s="568">
        <f t="shared" si="48"/>
        <v>757.85437294000008</v>
      </c>
      <c r="D121" s="568">
        <f t="shared" si="45"/>
        <v>7641.3636666500006</v>
      </c>
      <c r="E121" s="568">
        <f t="shared" si="47"/>
        <v>582.60445884000001</v>
      </c>
      <c r="F121" s="568">
        <v>2098.5677766100002</v>
      </c>
      <c r="G121" s="568">
        <v>327.61830738999998</v>
      </c>
      <c r="H121" s="568">
        <v>5542.7958900399999</v>
      </c>
      <c r="I121" s="568">
        <v>254.98615144999997</v>
      </c>
      <c r="J121" s="568">
        <f t="shared" si="49"/>
        <v>3739.4588489399998</v>
      </c>
      <c r="K121" s="568">
        <f t="shared" si="49"/>
        <v>175.24991410000001</v>
      </c>
      <c r="L121" s="568">
        <v>1054.0602569299999</v>
      </c>
      <c r="M121" s="568">
        <v>85.063837009999986</v>
      </c>
      <c r="N121" s="568">
        <v>2685.3985920099999</v>
      </c>
      <c r="O121" s="568">
        <v>90.186077090000012</v>
      </c>
    </row>
    <row r="122" spans="1:15" ht="13.2" hidden="1">
      <c r="A122" s="384" t="s">
        <v>27</v>
      </c>
      <c r="B122" s="568">
        <f t="shared" ref="B122:C124" si="50">D122+J122</f>
        <v>11643.48871752</v>
      </c>
      <c r="C122" s="568">
        <f t="shared" si="50"/>
        <v>763.70977516999983</v>
      </c>
      <c r="D122" s="568">
        <f>F122+H122</f>
        <v>7895.2089865999997</v>
      </c>
      <c r="E122" s="568">
        <f t="shared" si="47"/>
        <v>590.63494597999988</v>
      </c>
      <c r="F122" s="568">
        <v>2217.3576747999996</v>
      </c>
      <c r="G122" s="568">
        <v>331.99447217999995</v>
      </c>
      <c r="H122" s="568">
        <v>5677.8513118000001</v>
      </c>
      <c r="I122" s="568">
        <v>258.6404738</v>
      </c>
      <c r="J122" s="568">
        <f t="shared" ref="J122:K124" si="51">L122+N122</f>
        <v>3748.2797309200005</v>
      </c>
      <c r="K122" s="568">
        <f t="shared" si="51"/>
        <v>173.07482919</v>
      </c>
      <c r="L122" s="568">
        <v>1060.2030316299999</v>
      </c>
      <c r="M122" s="568">
        <v>82.584906380000007</v>
      </c>
      <c r="N122" s="568">
        <v>2688.0766992900008</v>
      </c>
      <c r="O122" s="568">
        <v>90.489922809999996</v>
      </c>
    </row>
    <row r="123" spans="1:15" ht="13.2" hidden="1">
      <c r="A123" s="384" t="s">
        <v>28</v>
      </c>
      <c r="B123" s="568">
        <f t="shared" si="50"/>
        <v>11730.50687651</v>
      </c>
      <c r="C123" s="568">
        <f t="shared" si="50"/>
        <v>761.11775204999992</v>
      </c>
      <c r="D123" s="568">
        <f>F123+H123</f>
        <v>8008.2648884199998</v>
      </c>
      <c r="E123" s="568">
        <f>G123+I123</f>
        <v>589.89196229999993</v>
      </c>
      <c r="F123" s="568">
        <v>2231.44228905</v>
      </c>
      <c r="G123" s="568">
        <v>332.14137586999999</v>
      </c>
      <c r="H123" s="568">
        <v>5776.8225993699998</v>
      </c>
      <c r="I123" s="568">
        <v>257.75058643</v>
      </c>
      <c r="J123" s="568">
        <f t="shared" si="51"/>
        <v>3722.2419880900006</v>
      </c>
      <c r="K123" s="568">
        <f t="shared" si="51"/>
        <v>171.22578974999999</v>
      </c>
      <c r="L123" s="568">
        <v>1005.7632069100002</v>
      </c>
      <c r="M123" s="568">
        <v>83.78112557</v>
      </c>
      <c r="N123" s="568">
        <v>2716.4787811800006</v>
      </c>
      <c r="O123" s="568">
        <v>87.444664180000004</v>
      </c>
    </row>
    <row r="124" spans="1:15" ht="13.2" hidden="1">
      <c r="A124" s="384" t="s">
        <v>29</v>
      </c>
      <c r="B124" s="568">
        <f t="shared" si="50"/>
        <v>12243.721763699998</v>
      </c>
      <c r="C124" s="568">
        <f t="shared" si="50"/>
        <v>748.82059921000018</v>
      </c>
      <c r="D124" s="568">
        <f>F124+H124</f>
        <v>8422.8208370499979</v>
      </c>
      <c r="E124" s="568">
        <f>G124+I124</f>
        <v>575.65162122000015</v>
      </c>
      <c r="F124" s="568">
        <v>2514.3488646700002</v>
      </c>
      <c r="G124" s="568">
        <v>304.70474288000003</v>
      </c>
      <c r="H124" s="568">
        <v>5908.4719723799981</v>
      </c>
      <c r="I124" s="568">
        <v>270.94687834000007</v>
      </c>
      <c r="J124" s="568">
        <f t="shared" si="51"/>
        <v>3820.9009266500002</v>
      </c>
      <c r="K124" s="568">
        <f t="shared" si="51"/>
        <v>173.16897799</v>
      </c>
      <c r="L124" s="568">
        <v>994.03447728000026</v>
      </c>
      <c r="M124" s="568">
        <v>80.657904180000003</v>
      </c>
      <c r="N124" s="568">
        <v>2826.8664493699998</v>
      </c>
      <c r="O124" s="568">
        <v>92.511073809999999</v>
      </c>
    </row>
    <row r="125" spans="1:15" ht="13.2">
      <c r="A125" s="384" t="s">
        <v>1449</v>
      </c>
      <c r="B125" s="567">
        <v>15422.93771756</v>
      </c>
      <c r="C125" s="567">
        <v>792.78013636999992</v>
      </c>
      <c r="D125" s="567">
        <v>11076.680988389999</v>
      </c>
      <c r="E125" s="567">
        <v>627.4124604399999</v>
      </c>
      <c r="F125" s="567">
        <v>2297.4136052599997</v>
      </c>
      <c r="G125" s="567">
        <v>287.86448554999993</v>
      </c>
      <c r="H125" s="567">
        <v>8779.2673831299999</v>
      </c>
      <c r="I125" s="567">
        <v>339.54797489000003</v>
      </c>
      <c r="J125" s="567">
        <v>4346.2567291700016</v>
      </c>
      <c r="K125" s="567">
        <v>165.36767593000002</v>
      </c>
      <c r="L125" s="567">
        <v>1038.0883505200004</v>
      </c>
      <c r="M125" s="567">
        <v>74.233135300000001</v>
      </c>
      <c r="N125" s="567">
        <v>3308.1683786500007</v>
      </c>
      <c r="O125" s="567">
        <v>91.134540630000004</v>
      </c>
    </row>
    <row r="126" spans="1:15" ht="13.2">
      <c r="A126" s="384" t="s">
        <v>18</v>
      </c>
      <c r="B126" s="568">
        <f t="shared" ref="B126:C128" si="52">D126+J126</f>
        <v>12479.272292869999</v>
      </c>
      <c r="C126" s="568">
        <f t="shared" si="52"/>
        <v>763.83707374000005</v>
      </c>
      <c r="D126" s="568">
        <f t="shared" ref="D126:E128" si="53">F126+H126</f>
        <v>8580.6074758599989</v>
      </c>
      <c r="E126" s="568">
        <f t="shared" si="53"/>
        <v>581.56504565</v>
      </c>
      <c r="F126" s="568">
        <v>2610.9295350799989</v>
      </c>
      <c r="G126" s="568">
        <v>301.17801257999992</v>
      </c>
      <c r="H126" s="568">
        <v>5969.6779407800004</v>
      </c>
      <c r="I126" s="568">
        <v>280.38703307000009</v>
      </c>
      <c r="J126" s="568">
        <f t="shared" ref="J126:K128" si="54">L126+N126</f>
        <v>3898.6648170100002</v>
      </c>
      <c r="K126" s="568">
        <f t="shared" si="54"/>
        <v>182.27202809000005</v>
      </c>
      <c r="L126" s="568">
        <v>986.64807069999995</v>
      </c>
      <c r="M126" s="568">
        <v>89.918840130000007</v>
      </c>
      <c r="N126" s="568">
        <v>2912.0167463100001</v>
      </c>
      <c r="O126" s="568">
        <v>92.353187960000028</v>
      </c>
    </row>
    <row r="127" spans="1:15" ht="13.2">
      <c r="A127" s="384" t="s">
        <v>19</v>
      </c>
      <c r="B127" s="568">
        <f t="shared" si="52"/>
        <v>12207.917385979999</v>
      </c>
      <c r="C127" s="568">
        <f t="shared" si="52"/>
        <v>760.95946331000005</v>
      </c>
      <c r="D127" s="568">
        <f t="shared" si="53"/>
        <v>8366.1825928500002</v>
      </c>
      <c r="E127" s="568">
        <f t="shared" si="53"/>
        <v>590.06599222</v>
      </c>
      <c r="F127" s="568">
        <v>2118.5130753099997</v>
      </c>
      <c r="G127" s="568">
        <v>300.16287932999995</v>
      </c>
      <c r="H127" s="568">
        <v>6247.66951754</v>
      </c>
      <c r="I127" s="568">
        <v>289.90311288999999</v>
      </c>
      <c r="J127" s="568">
        <f t="shared" si="54"/>
        <v>3841.7347931300001</v>
      </c>
      <c r="K127" s="568">
        <f t="shared" si="54"/>
        <v>170.89347108999999</v>
      </c>
      <c r="L127" s="568">
        <v>976.93184593999979</v>
      </c>
      <c r="M127" s="568">
        <v>81.128748859999988</v>
      </c>
      <c r="N127" s="568">
        <v>2864.8029471900004</v>
      </c>
      <c r="O127" s="568">
        <v>89.764722230000018</v>
      </c>
    </row>
    <row r="128" spans="1:15" ht="13.2">
      <c r="A128" s="384" t="s">
        <v>20</v>
      </c>
      <c r="B128" s="568">
        <f t="shared" si="52"/>
        <v>12451.113757919999</v>
      </c>
      <c r="C128" s="568">
        <f t="shared" si="52"/>
        <v>760.75256074999993</v>
      </c>
      <c r="D128" s="568">
        <f t="shared" si="53"/>
        <v>8592.9204872299979</v>
      </c>
      <c r="E128" s="568">
        <f t="shared" si="53"/>
        <v>589.21190864999994</v>
      </c>
      <c r="F128" s="568">
        <v>2108.9893462300001</v>
      </c>
      <c r="G128" s="568">
        <v>297.74573096999995</v>
      </c>
      <c r="H128" s="568">
        <v>6483.9311409999982</v>
      </c>
      <c r="I128" s="568">
        <v>291.46617768000004</v>
      </c>
      <c r="J128" s="568">
        <f t="shared" si="54"/>
        <v>3858.1932706900002</v>
      </c>
      <c r="K128" s="568">
        <f t="shared" si="54"/>
        <v>171.54065209999999</v>
      </c>
      <c r="L128" s="568">
        <v>987.66299020999998</v>
      </c>
      <c r="M128" s="568">
        <v>79.137423539999986</v>
      </c>
      <c r="N128" s="568">
        <v>2870.5302804800003</v>
      </c>
      <c r="O128" s="568">
        <v>92.403228560000002</v>
      </c>
    </row>
    <row r="129" spans="1:15" ht="13.2">
      <c r="A129" s="384" t="s">
        <v>21</v>
      </c>
      <c r="B129" s="568">
        <f t="shared" ref="B129:C131" si="55">D129+J129</f>
        <v>13019.48671463</v>
      </c>
      <c r="C129" s="568">
        <f t="shared" si="55"/>
        <v>754.73232022000002</v>
      </c>
      <c r="D129" s="568">
        <f t="shared" ref="D129:E131" si="56">F129+H129</f>
        <v>9107.0244906799999</v>
      </c>
      <c r="E129" s="568">
        <f t="shared" si="56"/>
        <v>582.59594747000006</v>
      </c>
      <c r="F129" s="568">
        <v>2161.5266975</v>
      </c>
      <c r="G129" s="568">
        <v>293.81579022</v>
      </c>
      <c r="H129" s="568">
        <v>6945.4977931799995</v>
      </c>
      <c r="I129" s="568">
        <v>288.78015725</v>
      </c>
      <c r="J129" s="568">
        <f t="shared" ref="J129:K131" si="57">L129+N129</f>
        <v>3912.4622239500004</v>
      </c>
      <c r="K129" s="568">
        <f t="shared" si="57"/>
        <v>172.13637274999996</v>
      </c>
      <c r="L129" s="568">
        <v>978.31895943000018</v>
      </c>
      <c r="M129" s="568">
        <v>81.304805599999995</v>
      </c>
      <c r="N129" s="568">
        <v>2934.1432645200002</v>
      </c>
      <c r="O129" s="568">
        <v>90.831567149999984</v>
      </c>
    </row>
    <row r="130" spans="1:15" s="230" customFormat="1" ht="13.2">
      <c r="A130" s="384" t="s">
        <v>22</v>
      </c>
      <c r="B130" s="568">
        <f t="shared" si="55"/>
        <v>13406.321686660001</v>
      </c>
      <c r="C130" s="568">
        <f t="shared" si="55"/>
        <v>768.69702252999991</v>
      </c>
      <c r="D130" s="568">
        <f t="shared" si="56"/>
        <v>9444.2908854100024</v>
      </c>
      <c r="E130" s="568">
        <f t="shared" si="56"/>
        <v>597.8059743</v>
      </c>
      <c r="F130" s="568">
        <v>2217.2061740900003</v>
      </c>
      <c r="G130" s="568">
        <v>294.88469603999999</v>
      </c>
      <c r="H130" s="568">
        <v>7227.0847113200016</v>
      </c>
      <c r="I130" s="568">
        <v>302.92127826000001</v>
      </c>
      <c r="J130" s="568">
        <f t="shared" si="57"/>
        <v>3962.03080125</v>
      </c>
      <c r="K130" s="568">
        <f t="shared" si="57"/>
        <v>170.89104822999997</v>
      </c>
      <c r="L130" s="568">
        <v>980.50759199999982</v>
      </c>
      <c r="M130" s="568">
        <v>82.204416109999968</v>
      </c>
      <c r="N130" s="568">
        <v>2981.52320925</v>
      </c>
      <c r="O130" s="568">
        <v>88.686632119999985</v>
      </c>
    </row>
    <row r="131" spans="1:15" s="230" customFormat="1" ht="13.2">
      <c r="A131" s="384" t="s">
        <v>23</v>
      </c>
      <c r="B131" s="568">
        <f t="shared" si="55"/>
        <v>13774.078903620004</v>
      </c>
      <c r="C131" s="568">
        <f t="shared" si="55"/>
        <v>781.83677584999998</v>
      </c>
      <c r="D131" s="568">
        <f t="shared" si="56"/>
        <v>9750.289083620004</v>
      </c>
      <c r="E131" s="568">
        <f t="shared" si="56"/>
        <v>617.76290569999992</v>
      </c>
      <c r="F131" s="568">
        <v>2234.6073463000002</v>
      </c>
      <c r="G131" s="568">
        <v>287.81498986999992</v>
      </c>
      <c r="H131" s="568">
        <v>7515.6817373200038</v>
      </c>
      <c r="I131" s="568">
        <v>329.94791583</v>
      </c>
      <c r="J131" s="568">
        <f t="shared" si="57"/>
        <v>4023.7898199999991</v>
      </c>
      <c r="K131" s="568">
        <f t="shared" si="57"/>
        <v>164.07387015000003</v>
      </c>
      <c r="L131" s="568">
        <v>1005.4532551299998</v>
      </c>
      <c r="M131" s="568">
        <v>76.107976629999996</v>
      </c>
      <c r="N131" s="568">
        <v>3018.3365648699992</v>
      </c>
      <c r="O131" s="568">
        <v>87.965893520000037</v>
      </c>
    </row>
    <row r="132" spans="1:15" s="230" customFormat="1" ht="13.2">
      <c r="A132" s="384" t="s">
        <v>24</v>
      </c>
      <c r="B132" s="568">
        <f t="shared" ref="B132:C134" si="58">D132+J132</f>
        <v>14199.279780230001</v>
      </c>
      <c r="C132" s="568">
        <f t="shared" si="58"/>
        <v>776.64498170000013</v>
      </c>
      <c r="D132" s="568">
        <f t="shared" ref="D132:E134" si="59">F132+H132</f>
        <v>10058.848950559999</v>
      </c>
      <c r="E132" s="568">
        <f t="shared" si="59"/>
        <v>618.25493696000012</v>
      </c>
      <c r="F132" s="568">
        <v>2328.1732154100005</v>
      </c>
      <c r="G132" s="568">
        <v>288.71203685000006</v>
      </c>
      <c r="H132" s="568">
        <v>7730.6757351499982</v>
      </c>
      <c r="I132" s="568">
        <v>329.54290011000001</v>
      </c>
      <c r="J132" s="568">
        <f t="shared" ref="J132:K134" si="60">L132+N132</f>
        <v>4140.4308296700019</v>
      </c>
      <c r="K132" s="568">
        <f t="shared" si="60"/>
        <v>158.39004474000001</v>
      </c>
      <c r="L132" s="568">
        <v>998.56408563000025</v>
      </c>
      <c r="M132" s="568">
        <v>75.695626300000001</v>
      </c>
      <c r="N132" s="568">
        <v>3141.8667440400013</v>
      </c>
      <c r="O132" s="568">
        <v>82.694418440000007</v>
      </c>
    </row>
    <row r="133" spans="1:15" s="230" customFormat="1" ht="13.2">
      <c r="A133" s="384" t="s">
        <v>25</v>
      </c>
      <c r="B133" s="568">
        <f t="shared" si="58"/>
        <v>14455.066976410002</v>
      </c>
      <c r="C133" s="568">
        <f t="shared" si="58"/>
        <v>764.77188057000001</v>
      </c>
      <c r="D133" s="568">
        <f t="shared" si="59"/>
        <v>10261.405975450001</v>
      </c>
      <c r="E133" s="568">
        <f t="shared" si="59"/>
        <v>607.88575369</v>
      </c>
      <c r="F133" s="568">
        <v>2345.51356549</v>
      </c>
      <c r="G133" s="568">
        <v>281.54774261</v>
      </c>
      <c r="H133" s="568">
        <v>7915.8924099600008</v>
      </c>
      <c r="I133" s="568">
        <v>326.33801108</v>
      </c>
      <c r="J133" s="568">
        <f t="shared" si="60"/>
        <v>4193.6610009600008</v>
      </c>
      <c r="K133" s="568">
        <f t="shared" si="60"/>
        <v>156.88612688000001</v>
      </c>
      <c r="L133" s="568">
        <v>996.9019845700002</v>
      </c>
      <c r="M133" s="568">
        <v>74.102265499999987</v>
      </c>
      <c r="N133" s="568">
        <v>3196.7590163900004</v>
      </c>
      <c r="O133" s="568">
        <v>82.783861380000019</v>
      </c>
    </row>
    <row r="134" spans="1:15" s="230" customFormat="1" ht="13.2">
      <c r="A134" s="384" t="s">
        <v>26</v>
      </c>
      <c r="B134" s="568">
        <f t="shared" si="58"/>
        <v>14793.329728140003</v>
      </c>
      <c r="C134" s="568">
        <f t="shared" si="58"/>
        <v>794.96214473999999</v>
      </c>
      <c r="D134" s="568">
        <f t="shared" si="59"/>
        <v>10508.514704800002</v>
      </c>
      <c r="E134" s="568">
        <f t="shared" si="59"/>
        <v>634.33878677999996</v>
      </c>
      <c r="F134" s="568">
        <v>2408.9671586900004</v>
      </c>
      <c r="G134" s="568">
        <v>297.62185439000001</v>
      </c>
      <c r="H134" s="568">
        <v>8099.5475461100013</v>
      </c>
      <c r="I134" s="568">
        <v>336.71693238999995</v>
      </c>
      <c r="J134" s="568">
        <f t="shared" si="60"/>
        <v>4284.8150233400011</v>
      </c>
      <c r="K134" s="568">
        <f t="shared" si="60"/>
        <v>160.62335795999999</v>
      </c>
      <c r="L134" s="568">
        <v>1019.3080312300002</v>
      </c>
      <c r="M134" s="568">
        <v>76.828607019999993</v>
      </c>
      <c r="N134" s="568">
        <v>3265.5069921100007</v>
      </c>
      <c r="O134" s="568">
        <v>83.79475094</v>
      </c>
    </row>
    <row r="135" spans="1:15" s="230" customFormat="1" ht="13.2">
      <c r="A135" s="384" t="s">
        <v>27</v>
      </c>
      <c r="B135" s="568">
        <f t="shared" ref="B135:C137" si="61">D135+J135</f>
        <v>14991.395181549993</v>
      </c>
      <c r="C135" s="568">
        <f t="shared" si="61"/>
        <v>783.15707916000008</v>
      </c>
      <c r="D135" s="568">
        <f t="shared" ref="D135:E137" si="62">F135+H135</f>
        <v>10707.839709209995</v>
      </c>
      <c r="E135" s="568">
        <f t="shared" si="62"/>
        <v>628.0237500400001</v>
      </c>
      <c r="F135" s="568">
        <v>2367.64023791</v>
      </c>
      <c r="G135" s="568">
        <v>291.63139324999997</v>
      </c>
      <c r="H135" s="568">
        <v>8340.1994712999949</v>
      </c>
      <c r="I135" s="568">
        <v>336.39235679000006</v>
      </c>
      <c r="J135" s="568">
        <f t="shared" ref="J135:K137" si="63">L135+N135</f>
        <v>4283.5554723399991</v>
      </c>
      <c r="K135" s="568">
        <f t="shared" si="63"/>
        <v>155.13332911999998</v>
      </c>
      <c r="L135" s="568">
        <v>1007.91795734</v>
      </c>
      <c r="M135" s="568">
        <v>72.883335360000004</v>
      </c>
      <c r="N135" s="568">
        <v>3275.6375149999994</v>
      </c>
      <c r="O135" s="568">
        <v>82.249993759999995</v>
      </c>
    </row>
    <row r="136" spans="1:15" s="230" customFormat="1" ht="13.2">
      <c r="A136" s="384" t="s">
        <v>28</v>
      </c>
      <c r="B136" s="568">
        <f t="shared" si="61"/>
        <v>15245.292023950002</v>
      </c>
      <c r="C136" s="568">
        <f t="shared" si="61"/>
        <v>794.97631180999997</v>
      </c>
      <c r="D136" s="568">
        <f t="shared" si="62"/>
        <v>10926.588964340001</v>
      </c>
      <c r="E136" s="568">
        <f t="shared" si="62"/>
        <v>637.51542915999994</v>
      </c>
      <c r="F136" s="568">
        <v>2399.23555231</v>
      </c>
      <c r="G136" s="568">
        <v>293.71859962000002</v>
      </c>
      <c r="H136" s="568">
        <v>8527.353412030001</v>
      </c>
      <c r="I136" s="568">
        <v>343.79682953999998</v>
      </c>
      <c r="J136" s="568">
        <f t="shared" si="63"/>
        <v>4318.7030596100003</v>
      </c>
      <c r="K136" s="568">
        <f t="shared" si="63"/>
        <v>157.46088265000003</v>
      </c>
      <c r="L136" s="568">
        <v>1020.1792601699998</v>
      </c>
      <c r="M136" s="568">
        <v>72.905641380000006</v>
      </c>
      <c r="N136" s="568">
        <v>3298.5237994400009</v>
      </c>
      <c r="O136" s="568">
        <v>84.55524127000001</v>
      </c>
    </row>
    <row r="137" spans="1:15" s="230" customFormat="1" ht="13.2">
      <c r="A137" s="384" t="s">
        <v>29</v>
      </c>
      <c r="B137" s="568">
        <f t="shared" si="61"/>
        <v>15422.93771756</v>
      </c>
      <c r="C137" s="568">
        <f t="shared" si="61"/>
        <v>792.78013636999992</v>
      </c>
      <c r="D137" s="568">
        <f t="shared" si="62"/>
        <v>11076.680988389999</v>
      </c>
      <c r="E137" s="568">
        <f t="shared" si="62"/>
        <v>627.4124604399999</v>
      </c>
      <c r="F137" s="568">
        <v>2297.4136052599997</v>
      </c>
      <c r="G137" s="568">
        <v>287.86448554999993</v>
      </c>
      <c r="H137" s="568">
        <v>8779.2673831299999</v>
      </c>
      <c r="I137" s="568">
        <v>339.54797489000003</v>
      </c>
      <c r="J137" s="568">
        <f t="shared" si="63"/>
        <v>4346.2567291700016</v>
      </c>
      <c r="K137" s="568">
        <f t="shared" si="63"/>
        <v>165.36767593000002</v>
      </c>
      <c r="L137" s="568">
        <v>1038.0883505200004</v>
      </c>
      <c r="M137" s="568">
        <v>74.233135300000001</v>
      </c>
      <c r="N137" s="568">
        <v>3308.1683786500007</v>
      </c>
      <c r="O137" s="568">
        <v>91.134540630000004</v>
      </c>
    </row>
    <row r="138" spans="1:15" s="99" customFormat="1" ht="13.2">
      <c r="A138" s="384" t="s">
        <v>1660</v>
      </c>
      <c r="B138" s="567">
        <v>18542.609915009998</v>
      </c>
      <c r="C138" s="567">
        <v>976.32447814</v>
      </c>
      <c r="D138" s="567">
        <v>13505.650296169999</v>
      </c>
      <c r="E138" s="567">
        <v>767.55430122000007</v>
      </c>
      <c r="F138" s="567">
        <v>2494.1530108499996</v>
      </c>
      <c r="G138" s="567">
        <v>301.03321541000008</v>
      </c>
      <c r="H138" s="567">
        <v>11011.49728532</v>
      </c>
      <c r="I138" s="567">
        <v>466.5210858100001</v>
      </c>
      <c r="J138" s="567">
        <v>5036.9596188400001</v>
      </c>
      <c r="K138" s="567">
        <v>208.77017692000001</v>
      </c>
      <c r="L138" s="567">
        <v>1437.1988383099999</v>
      </c>
      <c r="M138" s="567">
        <v>90.635949969999984</v>
      </c>
      <c r="N138" s="567">
        <v>3599.7607805299995</v>
      </c>
      <c r="O138" s="567">
        <v>118.13422695</v>
      </c>
    </row>
    <row r="139" spans="1:15" ht="13.2">
      <c r="A139" s="384" t="s">
        <v>18</v>
      </c>
      <c r="B139" s="568">
        <f t="shared" ref="B139:C141" si="64">D139+J139</f>
        <v>15484.635822389995</v>
      </c>
      <c r="C139" s="568">
        <f t="shared" si="64"/>
        <v>815.1098263099999</v>
      </c>
      <c r="D139" s="568">
        <f t="shared" ref="D139:E141" si="65">F139+H139</f>
        <v>11140.542310189996</v>
      </c>
      <c r="E139" s="568">
        <f t="shared" si="65"/>
        <v>643.85619193999992</v>
      </c>
      <c r="F139" s="568">
        <v>2312.4489450999995</v>
      </c>
      <c r="G139" s="568">
        <v>294.72308188999989</v>
      </c>
      <c r="H139" s="568">
        <v>8828.093365089997</v>
      </c>
      <c r="I139" s="568">
        <v>349.13311005000008</v>
      </c>
      <c r="J139" s="568">
        <f t="shared" ref="J139:K141" si="66">L139+N139</f>
        <v>4344.0935122000001</v>
      </c>
      <c r="K139" s="568">
        <f t="shared" si="66"/>
        <v>171.25363436999999</v>
      </c>
      <c r="L139" s="568">
        <v>1056.1217358099998</v>
      </c>
      <c r="M139" s="568">
        <v>77.592404469999991</v>
      </c>
      <c r="N139" s="568">
        <v>3287.9717763900003</v>
      </c>
      <c r="O139" s="568">
        <v>93.661229899999995</v>
      </c>
    </row>
    <row r="140" spans="1:15" ht="13.2">
      <c r="A140" s="384" t="s">
        <v>19</v>
      </c>
      <c r="B140" s="568">
        <f t="shared" si="64"/>
        <v>15616.299975900001</v>
      </c>
      <c r="C140" s="568">
        <f t="shared" si="64"/>
        <v>831.63941404000002</v>
      </c>
      <c r="D140" s="568">
        <f t="shared" si="65"/>
        <v>11291.82594717</v>
      </c>
      <c r="E140" s="568">
        <f t="shared" si="65"/>
        <v>655.09568809000007</v>
      </c>
      <c r="F140" s="568">
        <v>2353.9315994199997</v>
      </c>
      <c r="G140" s="568">
        <v>298.85443703999999</v>
      </c>
      <c r="H140" s="568">
        <v>8937.8943477500015</v>
      </c>
      <c r="I140" s="568">
        <v>356.24125105000007</v>
      </c>
      <c r="J140" s="568">
        <f t="shared" si="66"/>
        <v>4324.4740287300001</v>
      </c>
      <c r="K140" s="568">
        <f t="shared" si="66"/>
        <v>176.54372594999998</v>
      </c>
      <c r="L140" s="568">
        <v>1067.4454040800001</v>
      </c>
      <c r="M140" s="568">
        <v>78.328818239999976</v>
      </c>
      <c r="N140" s="568">
        <v>3257.02862465</v>
      </c>
      <c r="O140" s="568">
        <v>98.214907710000006</v>
      </c>
    </row>
    <row r="141" spans="1:15" ht="13.2">
      <c r="A141" s="384" t="s">
        <v>20</v>
      </c>
      <c r="B141" s="568">
        <f t="shared" si="64"/>
        <v>15889.520084209998</v>
      </c>
      <c r="C141" s="568">
        <f t="shared" si="64"/>
        <v>853.67276348999985</v>
      </c>
      <c r="D141" s="568">
        <f t="shared" si="65"/>
        <v>11503.174987659997</v>
      </c>
      <c r="E141" s="568">
        <f t="shared" si="65"/>
        <v>675.13411775999987</v>
      </c>
      <c r="F141" s="568">
        <v>2394.3500431900002</v>
      </c>
      <c r="G141" s="568">
        <v>308.51569409999996</v>
      </c>
      <c r="H141" s="568">
        <v>9108.8249444699977</v>
      </c>
      <c r="I141" s="568">
        <v>366.61842365999991</v>
      </c>
      <c r="J141" s="568">
        <f t="shared" si="66"/>
        <v>4386.3450965500006</v>
      </c>
      <c r="K141" s="568">
        <f t="shared" si="66"/>
        <v>178.53864573000001</v>
      </c>
      <c r="L141" s="568">
        <v>1149.7637870899998</v>
      </c>
      <c r="M141" s="568">
        <v>80.254830700000014</v>
      </c>
      <c r="N141" s="568">
        <v>3236.5813094600007</v>
      </c>
      <c r="O141" s="568">
        <v>98.28381503</v>
      </c>
    </row>
    <row r="142" spans="1:15" ht="13.2">
      <c r="A142" s="384" t="s">
        <v>21</v>
      </c>
      <c r="B142" s="568">
        <f>D142+J142</f>
        <v>16245.38347723</v>
      </c>
      <c r="C142" s="568">
        <f>E142+K142</f>
        <v>895.62655745999996</v>
      </c>
      <c r="D142" s="568">
        <f>F142+H142</f>
        <v>11759.759156130001</v>
      </c>
      <c r="E142" s="568">
        <f>G142+I142</f>
        <v>708.35537259</v>
      </c>
      <c r="F142" s="568">
        <v>2400.6498196000007</v>
      </c>
      <c r="G142" s="568">
        <v>327.28028505000009</v>
      </c>
      <c r="H142" s="568">
        <v>9359.1093365300003</v>
      </c>
      <c r="I142" s="568">
        <v>381.07508753999991</v>
      </c>
      <c r="J142" s="568">
        <f>L142+N142</f>
        <v>4485.6243210999992</v>
      </c>
      <c r="K142" s="568">
        <f>M142+O142</f>
        <v>187.27118487000001</v>
      </c>
      <c r="L142" s="568">
        <v>1171.3577422400001</v>
      </c>
      <c r="M142" s="568">
        <v>80.705937330000012</v>
      </c>
      <c r="N142" s="568">
        <v>3314.2665788599993</v>
      </c>
      <c r="O142" s="568">
        <v>106.56524754000002</v>
      </c>
    </row>
    <row r="143" spans="1:15" ht="13.2">
      <c r="A143" s="384" t="s">
        <v>22</v>
      </c>
      <c r="B143" s="568">
        <v>16595.366183029997</v>
      </c>
      <c r="C143" s="568">
        <v>904.99897122999982</v>
      </c>
      <c r="D143" s="568">
        <v>12090.288353539996</v>
      </c>
      <c r="E143" s="568">
        <v>717.24448158999985</v>
      </c>
      <c r="F143" s="568">
        <v>2379.9067743400005</v>
      </c>
      <c r="G143" s="568">
        <v>334.22220105999992</v>
      </c>
      <c r="H143" s="568">
        <v>9710.381579199995</v>
      </c>
      <c r="I143" s="568">
        <v>383.02228052999993</v>
      </c>
      <c r="J143" s="568">
        <v>4505.0778294899992</v>
      </c>
      <c r="K143" s="568">
        <v>187.75448963999997</v>
      </c>
      <c r="L143" s="568">
        <v>1181.3246899500002</v>
      </c>
      <c r="M143" s="568">
        <v>83.836178819999986</v>
      </c>
      <c r="N143" s="568">
        <v>3323.7531395399992</v>
      </c>
      <c r="O143" s="568">
        <v>103.91831082</v>
      </c>
    </row>
    <row r="144" spans="1:15" ht="13.2">
      <c r="A144" s="384" t="s">
        <v>23</v>
      </c>
      <c r="B144" s="568">
        <v>16754.796928089996</v>
      </c>
      <c r="C144" s="568">
        <v>877.58034430999999</v>
      </c>
      <c r="D144" s="568">
        <v>12228.273561189997</v>
      </c>
      <c r="E144" s="568">
        <v>695.40578014000005</v>
      </c>
      <c r="F144" s="568">
        <v>2324.2109945900002</v>
      </c>
      <c r="G144" s="568">
        <v>297.17884528999997</v>
      </c>
      <c r="H144" s="568">
        <v>9904.062566599996</v>
      </c>
      <c r="I144" s="568">
        <v>398.22693485000002</v>
      </c>
      <c r="J144" s="568">
        <v>4526.5233668999999</v>
      </c>
      <c r="K144" s="568">
        <v>182.17456417000002</v>
      </c>
      <c r="L144" s="568">
        <v>1206.1118018699999</v>
      </c>
      <c r="M144" s="568">
        <v>81.46771169000003</v>
      </c>
      <c r="N144" s="568">
        <v>3320.41156503</v>
      </c>
      <c r="O144" s="568">
        <v>100.70685248000001</v>
      </c>
    </row>
    <row r="145" spans="1:15" ht="13.2">
      <c r="A145" s="384" t="s">
        <v>24</v>
      </c>
      <c r="B145" s="568">
        <f t="shared" ref="B145:C147" si="67">D145+J145</f>
        <v>17034.049879450002</v>
      </c>
      <c r="C145" s="568">
        <f t="shared" si="67"/>
        <v>900.08802919000004</v>
      </c>
      <c r="D145" s="568">
        <f t="shared" ref="D145:E147" si="68">F145+H145</f>
        <v>12467.120197170003</v>
      </c>
      <c r="E145" s="568">
        <f t="shared" si="68"/>
        <v>714.72896686000001</v>
      </c>
      <c r="F145" s="568">
        <v>2339.7067851500005</v>
      </c>
      <c r="G145" s="568">
        <v>301.87992603999999</v>
      </c>
      <c r="H145" s="568">
        <v>10127.413412020001</v>
      </c>
      <c r="I145" s="568">
        <v>412.84904082000003</v>
      </c>
      <c r="J145" s="568">
        <f t="shared" ref="J145:K147" si="69">L145+N145</f>
        <v>4566.9296822800006</v>
      </c>
      <c r="K145" s="568">
        <f t="shared" si="69"/>
        <v>185.35906233000003</v>
      </c>
      <c r="L145" s="568">
        <v>1219.0842622200003</v>
      </c>
      <c r="M145" s="568">
        <v>77.665164350000012</v>
      </c>
      <c r="N145" s="568">
        <v>3347.8454200599999</v>
      </c>
      <c r="O145" s="568">
        <v>107.69389798</v>
      </c>
    </row>
    <row r="146" spans="1:15" ht="13.2">
      <c r="A146" s="384" t="s">
        <v>25</v>
      </c>
      <c r="B146" s="568">
        <f t="shared" si="67"/>
        <v>17308.948798760004</v>
      </c>
      <c r="C146" s="568">
        <f t="shared" si="67"/>
        <v>938.78821328000004</v>
      </c>
      <c r="D146" s="568">
        <f t="shared" si="68"/>
        <v>12690.712000560005</v>
      </c>
      <c r="E146" s="568">
        <v>749</v>
      </c>
      <c r="F146" s="568">
        <v>2342.3652599000006</v>
      </c>
      <c r="G146" s="568">
        <v>327.23542578000001</v>
      </c>
      <c r="H146" s="568">
        <v>10348.346740660003</v>
      </c>
      <c r="I146" s="568">
        <v>421.74192195000001</v>
      </c>
      <c r="J146" s="568">
        <f t="shared" si="69"/>
        <v>4618.2367981999996</v>
      </c>
      <c r="K146" s="568">
        <f t="shared" si="69"/>
        <v>189.78821327999998</v>
      </c>
      <c r="L146" s="568">
        <v>1243.9727572500001</v>
      </c>
      <c r="M146" s="568">
        <v>84.208139709999983</v>
      </c>
      <c r="N146" s="568">
        <v>3374.2640409499995</v>
      </c>
      <c r="O146" s="568">
        <v>105.58007357000001</v>
      </c>
    </row>
    <row r="147" spans="1:15" ht="13.2">
      <c r="A147" s="384" t="s">
        <v>26</v>
      </c>
      <c r="B147" s="568">
        <f t="shared" si="67"/>
        <v>17631.590882650002</v>
      </c>
      <c r="C147" s="568">
        <f t="shared" si="67"/>
        <v>973.18827784999985</v>
      </c>
      <c r="D147" s="568">
        <f t="shared" si="68"/>
        <v>12980.86295689</v>
      </c>
      <c r="E147" s="568">
        <f t="shared" si="68"/>
        <v>767.17081672999984</v>
      </c>
      <c r="F147" s="568">
        <v>2418.83081447</v>
      </c>
      <c r="G147" s="568">
        <v>327.73468400999997</v>
      </c>
      <c r="H147" s="568">
        <v>10562.032142419999</v>
      </c>
      <c r="I147" s="568">
        <v>439.43613271999993</v>
      </c>
      <c r="J147" s="568">
        <f t="shared" si="69"/>
        <v>4650.7279257600003</v>
      </c>
      <c r="K147" s="568">
        <f t="shared" si="69"/>
        <v>206.01746111999995</v>
      </c>
      <c r="L147" s="568">
        <v>1208.3918522900001</v>
      </c>
      <c r="M147" s="568">
        <v>99.131905869999983</v>
      </c>
      <c r="N147" s="568">
        <v>3442.33607347</v>
      </c>
      <c r="O147" s="568">
        <v>106.88555524999997</v>
      </c>
    </row>
    <row r="148" spans="1:15" ht="13.2">
      <c r="A148" s="384" t="s">
        <v>27</v>
      </c>
      <c r="B148" s="568">
        <f>D148+J148</f>
        <v>17841.51790323</v>
      </c>
      <c r="C148" s="568">
        <f>E148+K148</f>
        <v>943.38504893000004</v>
      </c>
      <c r="D148" s="568">
        <f>F148+H148</f>
        <v>13160.736704880001</v>
      </c>
      <c r="E148" s="568">
        <f>G148+I148</f>
        <v>747.98372076999999</v>
      </c>
      <c r="F148" s="568">
        <v>2473.61606226</v>
      </c>
      <c r="G148" s="568">
        <v>292.30685384000003</v>
      </c>
      <c r="H148" s="568">
        <v>10687.120642620001</v>
      </c>
      <c r="I148" s="568">
        <v>455.67686693000002</v>
      </c>
      <c r="J148" s="568">
        <f>L148+N148</f>
        <v>4680.7811983499996</v>
      </c>
      <c r="K148" s="568">
        <f>M148+O148</f>
        <v>195.40132815999999</v>
      </c>
      <c r="L148" s="568">
        <v>1238.0075283199999</v>
      </c>
      <c r="M148" s="568">
        <v>87.043026379999986</v>
      </c>
      <c r="N148" s="568">
        <v>3442.7736700300002</v>
      </c>
      <c r="O148" s="568">
        <v>108.35830177999999</v>
      </c>
    </row>
    <row r="149" spans="1:15" ht="13.2">
      <c r="A149" s="384" t="s">
        <v>28</v>
      </c>
      <c r="B149" s="568">
        <v>18151.94684099</v>
      </c>
      <c r="C149" s="568">
        <v>981.4749022100001</v>
      </c>
      <c r="D149" s="568">
        <f>(F149+H149)</f>
        <v>13392.055936979999</v>
      </c>
      <c r="E149" s="568">
        <f>(G149+I149)</f>
        <v>780.50962401000004</v>
      </c>
      <c r="F149" s="568">
        <v>2475.3446378399995</v>
      </c>
      <c r="G149" s="568">
        <v>302.27074386999999</v>
      </c>
      <c r="H149" s="568">
        <v>10916.711299140001</v>
      </c>
      <c r="I149" s="568">
        <v>478.23888014000005</v>
      </c>
      <c r="J149" s="568">
        <f>(L149+N149)</f>
        <v>4759.8909040100007</v>
      </c>
      <c r="K149" s="568">
        <f>(M149+O149)</f>
        <v>200.9652782</v>
      </c>
      <c r="L149" s="568">
        <v>1240.4818790900001</v>
      </c>
      <c r="M149" s="568">
        <v>87.877229429999986</v>
      </c>
      <c r="N149" s="568">
        <v>3519.4090249200008</v>
      </c>
      <c r="O149" s="568">
        <v>113.08804877000001</v>
      </c>
    </row>
    <row r="150" spans="1:15" ht="13.2">
      <c r="A150" s="384" t="s">
        <v>29</v>
      </c>
      <c r="B150" s="568">
        <v>18542.609915009998</v>
      </c>
      <c r="C150" s="568">
        <v>976.32447814</v>
      </c>
      <c r="D150" s="568">
        <v>13505.650296169999</v>
      </c>
      <c r="E150" s="568">
        <v>767.55430122000007</v>
      </c>
      <c r="F150" s="568">
        <v>2494.1530108499996</v>
      </c>
      <c r="G150" s="568">
        <v>301.03321541000008</v>
      </c>
      <c r="H150" s="568">
        <v>11011.49728532</v>
      </c>
      <c r="I150" s="568">
        <v>466.5210858100001</v>
      </c>
      <c r="J150" s="568">
        <v>5036.9596188400001</v>
      </c>
      <c r="K150" s="568">
        <v>208.77017692000001</v>
      </c>
      <c r="L150" s="568">
        <v>1437.1988383099999</v>
      </c>
      <c r="M150" s="568">
        <v>90.635949969999984</v>
      </c>
      <c r="N150" s="568">
        <v>3599.7607805299995</v>
      </c>
      <c r="O150" s="568">
        <v>118.13422695</v>
      </c>
    </row>
    <row r="151" spans="1:15" ht="13.2">
      <c r="A151" s="384" t="s">
        <v>1855</v>
      </c>
      <c r="B151" s="567">
        <v>21730.445</v>
      </c>
      <c r="C151" s="567">
        <v>1508.4988455</v>
      </c>
      <c r="D151" s="567">
        <v>10994.5193</v>
      </c>
      <c r="E151" s="567">
        <v>840.18812631199683</v>
      </c>
      <c r="F151" s="567">
        <v>1773.8443717325883</v>
      </c>
      <c r="G151" s="567">
        <v>268.16511198448802</v>
      </c>
      <c r="H151" s="567">
        <v>9220.6749041775111</v>
      </c>
      <c r="I151" s="567">
        <v>572.02301432750892</v>
      </c>
      <c r="J151" s="567">
        <v>10735.925744528004</v>
      </c>
      <c r="K151" s="567">
        <v>668.31071918800319</v>
      </c>
      <c r="L151" s="567">
        <v>3523.4787029962263</v>
      </c>
      <c r="M151" s="567">
        <v>304.84419578622709</v>
      </c>
      <c r="N151" s="567">
        <v>7212.4470415317764</v>
      </c>
      <c r="O151" s="567">
        <v>363.46652340177616</v>
      </c>
    </row>
    <row r="152" spans="1:15" ht="13.2">
      <c r="A152" s="384" t="s">
        <v>18</v>
      </c>
      <c r="B152" s="568">
        <v>18579.8</v>
      </c>
      <c r="C152" s="568">
        <v>1030.9000000000001</v>
      </c>
      <c r="D152" s="568">
        <v>13561.4</v>
      </c>
      <c r="E152" s="568">
        <v>826.53</v>
      </c>
      <c r="F152" s="568">
        <v>2496.3440000000001</v>
      </c>
      <c r="G152" s="568">
        <v>322.65499999999997</v>
      </c>
      <c r="H152" s="568">
        <v>11065.054</v>
      </c>
      <c r="I152" s="568">
        <v>503.86799999999999</v>
      </c>
      <c r="J152" s="568">
        <v>5018.3680000000004</v>
      </c>
      <c r="K152" s="568">
        <v>204.35900000000001</v>
      </c>
      <c r="L152" s="568">
        <v>1347.3130000000001</v>
      </c>
      <c r="M152" s="568">
        <v>84.894000000000005</v>
      </c>
      <c r="N152" s="568">
        <v>3671.0540000000001</v>
      </c>
      <c r="O152" s="568">
        <v>119.464</v>
      </c>
    </row>
    <row r="153" spans="1:15" ht="13.2">
      <c r="A153" s="384" t="s">
        <v>19</v>
      </c>
      <c r="B153" s="568">
        <v>20697.2</v>
      </c>
      <c r="C153" s="568">
        <v>1138.2</v>
      </c>
      <c r="D153" s="568">
        <v>12319.4</v>
      </c>
      <c r="E153" s="568">
        <v>823.7</v>
      </c>
      <c r="F153" s="568">
        <v>2431.6999999999998</v>
      </c>
      <c r="G153" s="568">
        <v>303.89999999999998</v>
      </c>
      <c r="H153" s="568">
        <v>9887.7000000000007</v>
      </c>
      <c r="I153" s="568">
        <v>519.70000000000005</v>
      </c>
      <c r="J153" s="568">
        <v>8377.7999999999993</v>
      </c>
      <c r="K153" s="568">
        <v>314.5</v>
      </c>
      <c r="L153" s="568">
        <v>2082.8000000000002</v>
      </c>
      <c r="M153" s="568">
        <v>138.30000000000001</v>
      </c>
      <c r="N153" s="568">
        <v>6295</v>
      </c>
      <c r="O153" s="568">
        <v>176.2</v>
      </c>
    </row>
    <row r="154" spans="1:15" ht="13.2">
      <c r="A154" s="384" t="s">
        <v>20</v>
      </c>
      <c r="B154" s="568">
        <v>20632.326000000001</v>
      </c>
      <c r="C154" s="568">
        <v>1213.3209999999999</v>
      </c>
      <c r="D154" s="568">
        <v>12209.172</v>
      </c>
      <c r="E154" s="568">
        <v>851.47670000000005</v>
      </c>
      <c r="F154" s="568">
        <v>2422.6239999999998</v>
      </c>
      <c r="G154" s="568">
        <v>309.81959999999998</v>
      </c>
      <c r="H154" s="568">
        <v>9786.5478999999996</v>
      </c>
      <c r="I154" s="568">
        <v>541.65710000000001</v>
      </c>
      <c r="J154" s="568">
        <v>8423.1538</v>
      </c>
      <c r="K154" s="568">
        <v>361.84500000000003</v>
      </c>
      <c r="L154" s="568">
        <v>2163.2379999999998</v>
      </c>
      <c r="M154" s="568">
        <v>141.17609999999999</v>
      </c>
      <c r="N154" s="568">
        <v>6259.9156999999996</v>
      </c>
      <c r="O154" s="568">
        <v>220.66900000000001</v>
      </c>
    </row>
    <row r="155" spans="1:15" ht="13.2">
      <c r="A155" s="384" t="s">
        <v>21</v>
      </c>
      <c r="B155" s="568">
        <v>20595.455000000002</v>
      </c>
      <c r="C155" s="568">
        <v>1256.643</v>
      </c>
      <c r="D155" s="568">
        <v>12018.028899999999</v>
      </c>
      <c r="E155" s="568">
        <v>855.90729999999996</v>
      </c>
      <c r="F155" s="568">
        <v>2320.2347</v>
      </c>
      <c r="G155" s="568">
        <v>312.7423</v>
      </c>
      <c r="H155" s="568">
        <v>9697.7939999999999</v>
      </c>
      <c r="I155" s="568">
        <v>543.16499999999996</v>
      </c>
      <c r="J155" s="568">
        <v>8577.4259999999995</v>
      </c>
      <c r="K155" s="568">
        <v>400.7364</v>
      </c>
      <c r="L155" s="568">
        <v>2260.7620000000002</v>
      </c>
      <c r="M155" s="568">
        <v>167.51169999999999</v>
      </c>
      <c r="N155" s="568">
        <v>6316.7539999999999</v>
      </c>
      <c r="O155" s="568">
        <v>233.22470000000001</v>
      </c>
    </row>
    <row r="156" spans="1:15" ht="13.2">
      <c r="A156" s="384" t="s">
        <v>22</v>
      </c>
      <c r="B156" s="568">
        <v>20468.142632049003</v>
      </c>
      <c r="C156" s="568">
        <v>1313.1534961799998</v>
      </c>
      <c r="D156" s="568">
        <v>11729.210724309001</v>
      </c>
      <c r="E156" s="568">
        <v>917.18934189000004</v>
      </c>
      <c r="F156" s="568">
        <v>2168.9661458389996</v>
      </c>
      <c r="G156" s="568">
        <v>355.17509156000006</v>
      </c>
      <c r="H156" s="568">
        <v>9560.2445784700012</v>
      </c>
      <c r="I156" s="568">
        <v>562.01425032999998</v>
      </c>
      <c r="J156" s="568">
        <v>8738.9319077400032</v>
      </c>
      <c r="K156" s="568">
        <v>395.96415428999995</v>
      </c>
      <c r="L156" s="568">
        <v>2353.6627353000003</v>
      </c>
      <c r="M156" s="568">
        <v>163.14618628999997</v>
      </c>
      <c r="N156" s="568">
        <v>6385.2691724400011</v>
      </c>
      <c r="O156" s="568">
        <v>232.81796799999995</v>
      </c>
    </row>
    <row r="157" spans="1:15" ht="13.2">
      <c r="A157" s="384" t="s">
        <v>23</v>
      </c>
      <c r="B157" s="568">
        <v>20288.462762638999</v>
      </c>
      <c r="C157" s="568">
        <v>1338.66045882</v>
      </c>
      <c r="D157" s="568">
        <v>11519.014435448998</v>
      </c>
      <c r="E157" s="568">
        <v>920.98956297000007</v>
      </c>
      <c r="F157" s="568">
        <v>2067.2580634789997</v>
      </c>
      <c r="G157" s="568">
        <v>311.68212674</v>
      </c>
      <c r="H157" s="568">
        <v>9451.7563719700011</v>
      </c>
      <c r="I157" s="568">
        <v>609.30743623000001</v>
      </c>
      <c r="J157" s="568">
        <v>8769.4483271900026</v>
      </c>
      <c r="K157" s="568">
        <v>417.67089584999997</v>
      </c>
      <c r="L157" s="568">
        <v>2382.3034143600003</v>
      </c>
      <c r="M157" s="568">
        <v>176.55594108999998</v>
      </c>
      <c r="N157" s="568">
        <v>6387.144912830001</v>
      </c>
      <c r="O157" s="568">
        <v>241.11495475999996</v>
      </c>
    </row>
    <row r="158" spans="1:15" ht="13.2">
      <c r="A158" s="384" t="s">
        <v>24</v>
      </c>
      <c r="B158" s="568">
        <v>20187.489584469764</v>
      </c>
      <c r="C158" s="568">
        <v>1294.8200580000005</v>
      </c>
      <c r="D158" s="568">
        <v>11419.304572529763</v>
      </c>
      <c r="E158" s="568">
        <v>887.22562516000016</v>
      </c>
      <c r="F158" s="568">
        <v>2015.168344079764</v>
      </c>
      <c r="G158" s="568">
        <v>289.52077470000006</v>
      </c>
      <c r="H158" s="568">
        <v>9404.1362284499992</v>
      </c>
      <c r="I158" s="568">
        <v>597.7048504600001</v>
      </c>
      <c r="J158" s="568">
        <v>8768.1850119399987</v>
      </c>
      <c r="K158" s="568">
        <v>407.59443284000002</v>
      </c>
      <c r="L158" s="568">
        <v>2398.2357697400003</v>
      </c>
      <c r="M158" s="568">
        <v>163.12498473000002</v>
      </c>
      <c r="N158" s="568">
        <v>6369.9492422000003</v>
      </c>
      <c r="O158" s="568">
        <v>244.46944811</v>
      </c>
    </row>
    <row r="159" spans="1:15" ht="13.2">
      <c r="A159" s="384" t="s">
        <v>25</v>
      </c>
      <c r="B159" s="568">
        <v>20095.838231829763</v>
      </c>
      <c r="C159" s="568">
        <v>1333.6381339100001</v>
      </c>
      <c r="D159" s="568">
        <v>11428.864977189769</v>
      </c>
      <c r="E159" s="568">
        <v>906.68380773999979</v>
      </c>
      <c r="F159" s="568">
        <v>2029.0368484797646</v>
      </c>
      <c r="G159" s="568">
        <v>300.09978052999992</v>
      </c>
      <c r="H159" s="568">
        <v>9399.8281287100035</v>
      </c>
      <c r="I159" s="568">
        <v>606.58402720999993</v>
      </c>
      <c r="J159" s="568">
        <v>8666.973254640001</v>
      </c>
      <c r="K159" s="568">
        <v>426.95432617</v>
      </c>
      <c r="L159" s="568">
        <v>2293.62049531</v>
      </c>
      <c r="M159" s="568">
        <v>176.59869013000002</v>
      </c>
      <c r="N159" s="568">
        <v>6373.3527593300023</v>
      </c>
      <c r="O159" s="568">
        <v>250.35563604000001</v>
      </c>
    </row>
    <row r="160" spans="1:15" ht="13.2">
      <c r="A160" s="384" t="s">
        <v>26</v>
      </c>
      <c r="B160" s="568" t="s">
        <v>1874</v>
      </c>
      <c r="C160" s="568">
        <v>1353.7508176499998</v>
      </c>
      <c r="D160" s="568">
        <v>10682.747313299767</v>
      </c>
      <c r="E160" s="568">
        <v>910.95282502999999</v>
      </c>
      <c r="F160" s="568">
        <v>1922.0969612697638</v>
      </c>
      <c r="G160" s="568">
        <v>303.67539099999988</v>
      </c>
      <c r="H160" s="568">
        <v>8760.650352030003</v>
      </c>
      <c r="I160" s="568">
        <v>607.27743402999999</v>
      </c>
      <c r="J160" s="568">
        <v>8430.7640014400022</v>
      </c>
      <c r="K160" s="568">
        <v>442.79799262000006</v>
      </c>
      <c r="L160" s="568">
        <v>2336.2728955300008</v>
      </c>
      <c r="M160" s="568">
        <v>176.82220673999998</v>
      </c>
      <c r="N160" s="568">
        <v>6094.4911059100023</v>
      </c>
      <c r="O160" s="568">
        <v>265.97578588000005</v>
      </c>
    </row>
    <row r="161" spans="1:15" ht="13.2">
      <c r="A161" s="384" t="s">
        <v>27</v>
      </c>
      <c r="B161" s="568" t="s">
        <v>1875</v>
      </c>
      <c r="C161" s="568">
        <v>1301.8673845200001</v>
      </c>
      <c r="D161" s="568">
        <v>11281.715901230094</v>
      </c>
      <c r="E161" s="568">
        <v>898.73483413199676</v>
      </c>
      <c r="F161" s="568">
        <v>2257.0350783825879</v>
      </c>
      <c r="G161" s="568">
        <v>287.03993420448802</v>
      </c>
      <c r="H161" s="568">
        <v>9024.6808228475074</v>
      </c>
      <c r="I161" s="568">
        <v>611.69489992750891</v>
      </c>
      <c r="J161" s="568">
        <v>7284.6994928480044</v>
      </c>
      <c r="K161" s="568">
        <v>403.13255038800315</v>
      </c>
      <c r="L161" s="568">
        <v>2090.5243450862272</v>
      </c>
      <c r="M161" s="568">
        <v>189.76545724622707</v>
      </c>
      <c r="N161" s="568">
        <v>5194.1751477617763</v>
      </c>
      <c r="O161" s="568">
        <v>213.36709314177614</v>
      </c>
    </row>
    <row r="162" spans="1:15" ht="13.2">
      <c r="A162" s="384" t="s">
        <v>28</v>
      </c>
      <c r="B162" s="568">
        <v>18744.3</v>
      </c>
      <c r="C162" s="568">
        <v>1229.5888907799997</v>
      </c>
      <c r="D162" s="568">
        <v>10893.119134640096</v>
      </c>
      <c r="E162" s="568">
        <v>846.03035844199667</v>
      </c>
      <c r="F162" s="568">
        <v>1848.7803885125882</v>
      </c>
      <c r="G162" s="568">
        <v>277.44962297448797</v>
      </c>
      <c r="H162" s="568">
        <v>9044.3387461275088</v>
      </c>
      <c r="I162" s="568">
        <v>568.58073546750882</v>
      </c>
      <c r="J162" s="568">
        <v>7851.1482972180029</v>
      </c>
      <c r="K162" s="568">
        <v>383.55853233800303</v>
      </c>
      <c r="L162" s="568">
        <v>2801.4811202762276</v>
      </c>
      <c r="M162" s="568">
        <v>184.57057678622701</v>
      </c>
      <c r="N162" s="568">
        <v>5049.6671769417753</v>
      </c>
      <c r="O162" s="568">
        <v>198.98795555177608</v>
      </c>
    </row>
    <row r="163" spans="1:15" ht="13.2">
      <c r="A163" s="384" t="s">
        <v>29</v>
      </c>
      <c r="B163" s="568">
        <v>21730.445</v>
      </c>
      <c r="C163" s="568">
        <v>1508.4988455</v>
      </c>
      <c r="D163" s="568">
        <v>10994.5193</v>
      </c>
      <c r="E163" s="568">
        <v>840.18812631199683</v>
      </c>
      <c r="F163" s="568">
        <v>1773.8443717325883</v>
      </c>
      <c r="G163" s="568">
        <v>268.16511198448802</v>
      </c>
      <c r="H163" s="568">
        <v>9220.6749041775111</v>
      </c>
      <c r="I163" s="568">
        <v>572.02301432750892</v>
      </c>
      <c r="J163" s="568">
        <v>10735.925744528004</v>
      </c>
      <c r="K163" s="568">
        <v>668.31071918800319</v>
      </c>
      <c r="L163" s="568">
        <v>3523.4787029962263</v>
      </c>
      <c r="M163" s="568">
        <v>304.84419578622709</v>
      </c>
      <c r="N163" s="568">
        <v>7212.4470415317764</v>
      </c>
      <c r="O163" s="568">
        <v>363.46652340177616</v>
      </c>
    </row>
    <row r="164" spans="1:15" ht="13.2">
      <c r="A164" s="384" t="s">
        <v>1879</v>
      </c>
      <c r="B164" s="567">
        <v>16444.561727330001</v>
      </c>
      <c r="C164" s="567">
        <v>1472.5995942200004</v>
      </c>
      <c r="D164" s="567">
        <v>8663.1322214200009</v>
      </c>
      <c r="E164" s="567">
        <v>682.40455387000009</v>
      </c>
      <c r="F164" s="567">
        <v>1362.3756578500002</v>
      </c>
      <c r="G164" s="567">
        <v>147.34122615000001</v>
      </c>
      <c r="H164" s="567">
        <v>7300.7565635700012</v>
      </c>
      <c r="I164" s="567">
        <v>535.06332772000007</v>
      </c>
      <c r="J164" s="567">
        <v>7781.4295059099995</v>
      </c>
      <c r="K164" s="567">
        <v>790.19504034999989</v>
      </c>
      <c r="L164" s="567">
        <v>2115.5578111999994</v>
      </c>
      <c r="M164" s="567">
        <v>192.85923648999997</v>
      </c>
      <c r="N164" s="567">
        <v>5665.8716947099992</v>
      </c>
      <c r="O164" s="567">
        <v>597.33580385999994</v>
      </c>
    </row>
    <row r="165" spans="1:15" ht="13.2">
      <c r="A165" s="384" t="s">
        <v>18</v>
      </c>
      <c r="B165" s="568">
        <v>21199.450080179002</v>
      </c>
      <c r="C165" s="568">
        <v>1314.6188215699999</v>
      </c>
      <c r="D165" s="568">
        <v>10188.166053848998</v>
      </c>
      <c r="E165" s="568">
        <v>659.47597757999984</v>
      </c>
      <c r="F165" s="568">
        <v>1556.6172759790002</v>
      </c>
      <c r="G165" s="568">
        <v>174.74767155999999</v>
      </c>
      <c r="H165" s="568">
        <v>8631.5487778699971</v>
      </c>
      <c r="I165" s="568">
        <v>484.72830601999982</v>
      </c>
      <c r="J165" s="568">
        <v>11011.284026330002</v>
      </c>
      <c r="K165" s="568">
        <v>655.14284399000007</v>
      </c>
      <c r="L165" s="568">
        <v>3460.8491328699997</v>
      </c>
      <c r="M165" s="568">
        <v>285.10437458000007</v>
      </c>
      <c r="N165" s="568">
        <v>7550.4348934600021</v>
      </c>
      <c r="O165" s="568">
        <v>370.03846941000006</v>
      </c>
    </row>
    <row r="166" spans="1:15" ht="13.2">
      <c r="A166" s="384" t="s">
        <v>19</v>
      </c>
      <c r="B166" s="568">
        <v>20327.413122968999</v>
      </c>
      <c r="C166" s="568">
        <v>1329.4548797100003</v>
      </c>
      <c r="D166" s="568">
        <v>10085.633747659002</v>
      </c>
      <c r="E166" s="568">
        <v>671.86305577999997</v>
      </c>
      <c r="F166" s="568">
        <v>1522.815200539</v>
      </c>
      <c r="G166" s="568">
        <v>173.82055604000001</v>
      </c>
      <c r="H166" s="568">
        <v>8562.8185471200013</v>
      </c>
      <c r="I166" s="568">
        <v>498.04249973999993</v>
      </c>
      <c r="J166" s="568">
        <v>10241.779375309998</v>
      </c>
      <c r="K166" s="568">
        <v>657.59182393000015</v>
      </c>
      <c r="L166" s="568">
        <v>3238.7067153900002</v>
      </c>
      <c r="M166" s="568">
        <v>290.94175493000006</v>
      </c>
      <c r="N166" s="568">
        <v>7003.0726599199988</v>
      </c>
      <c r="O166" s="568">
        <v>366.65006900000014</v>
      </c>
    </row>
    <row r="167" spans="1:15" ht="13.2">
      <c r="A167" s="384" t="s">
        <v>20</v>
      </c>
      <c r="B167" s="568">
        <v>19686.956662109005</v>
      </c>
      <c r="C167" s="568">
        <v>1326.5289649900001</v>
      </c>
      <c r="D167" s="568">
        <v>10029.654654539003</v>
      </c>
      <c r="E167" s="568">
        <v>691.53457663999995</v>
      </c>
      <c r="F167" s="568">
        <v>1479.0174856789999</v>
      </c>
      <c r="G167" s="568">
        <v>172.36907781999994</v>
      </c>
      <c r="H167" s="568">
        <v>8550.6371688600011</v>
      </c>
      <c r="I167" s="568">
        <v>519.16549882000004</v>
      </c>
      <c r="J167" s="568">
        <v>9657.3020075700042</v>
      </c>
      <c r="K167" s="568">
        <v>634.99438835000001</v>
      </c>
      <c r="L167" s="568">
        <v>3004.5528392300002</v>
      </c>
      <c r="M167" s="568">
        <v>284.42816813000002</v>
      </c>
      <c r="N167" s="568">
        <v>6652.7491683400031</v>
      </c>
      <c r="O167" s="568">
        <v>350.56622021999999</v>
      </c>
    </row>
    <row r="168" spans="1:15" ht="13.2">
      <c r="A168" s="384" t="s">
        <v>21</v>
      </c>
      <c r="B168" s="568">
        <v>18758.681891680004</v>
      </c>
      <c r="C168" s="568">
        <v>1381.301174834</v>
      </c>
      <c r="D168" s="568">
        <v>9723.1316309100002</v>
      </c>
      <c r="E168" s="568">
        <v>726.22112042000015</v>
      </c>
      <c r="F168" s="568">
        <v>1413.49338433</v>
      </c>
      <c r="G168" s="568">
        <v>191.97976265000003</v>
      </c>
      <c r="H168" s="568">
        <v>8309.6382465799998</v>
      </c>
      <c r="I168" s="568">
        <v>534.24135777000015</v>
      </c>
      <c r="J168" s="568">
        <v>9035.5502607700018</v>
      </c>
      <c r="K168" s="568">
        <v>655.08005441399985</v>
      </c>
      <c r="L168" s="568">
        <v>2789.67477005</v>
      </c>
      <c r="M168" s="568">
        <v>313.58154516399992</v>
      </c>
      <c r="N168" s="568">
        <v>6245.8754907200018</v>
      </c>
      <c r="O168" s="568">
        <v>341.49850924999993</v>
      </c>
    </row>
    <row r="169" spans="1:15" ht="13.2">
      <c r="A169" s="384" t="s">
        <v>22</v>
      </c>
      <c r="B169" s="568">
        <v>18197.110367269997</v>
      </c>
      <c r="C169" s="568">
        <v>1514.1593900339999</v>
      </c>
      <c r="D169" s="568">
        <v>9675.9693102999991</v>
      </c>
      <c r="E169" s="568">
        <v>777.69981674999997</v>
      </c>
      <c r="F169" s="568">
        <v>1394.6017394599999</v>
      </c>
      <c r="G169" s="568">
        <v>199.56110902999995</v>
      </c>
      <c r="H169" s="568">
        <v>8281.3675708399987</v>
      </c>
      <c r="I169" s="568">
        <v>578.13870772000007</v>
      </c>
      <c r="J169" s="568">
        <v>8521.1410569699983</v>
      </c>
      <c r="K169" s="568">
        <v>736.45957328399993</v>
      </c>
      <c r="L169" s="568">
        <v>2496.4021965099996</v>
      </c>
      <c r="M169" s="568">
        <v>331.20854962400006</v>
      </c>
      <c r="N169" s="568">
        <v>6024.7388604600001</v>
      </c>
      <c r="O169" s="568">
        <v>405.25102365999993</v>
      </c>
    </row>
    <row r="170" spans="1:15" ht="13.2">
      <c r="A170" s="384" t="s">
        <v>23</v>
      </c>
      <c r="B170" s="568">
        <v>18434.21738269</v>
      </c>
      <c r="C170" s="568">
        <v>1539.7624078840001</v>
      </c>
      <c r="D170" s="568">
        <v>9570.3603403000016</v>
      </c>
      <c r="E170" s="568">
        <v>778.96855077000009</v>
      </c>
      <c r="F170" s="568">
        <v>1406.3824855699997</v>
      </c>
      <c r="G170" s="568">
        <v>195.97412972999999</v>
      </c>
      <c r="H170" s="568">
        <v>8163.9778547300011</v>
      </c>
      <c r="I170" s="568">
        <v>582.99442104000013</v>
      </c>
      <c r="J170" s="568">
        <v>8863.8570423900001</v>
      </c>
      <c r="K170" s="568">
        <v>760.79385711399993</v>
      </c>
      <c r="L170" s="568">
        <v>2652.8948131799998</v>
      </c>
      <c r="M170" s="568">
        <v>322.56269348399996</v>
      </c>
      <c r="N170" s="568">
        <v>6210.9622292100003</v>
      </c>
      <c r="O170" s="568">
        <v>438.23116362999997</v>
      </c>
    </row>
    <row r="171" spans="1:15" ht="13.2">
      <c r="A171" s="384" t="s">
        <v>24</v>
      </c>
      <c r="B171" s="568">
        <v>16713.351003939999</v>
      </c>
      <c r="C171" s="568">
        <v>1504.4260400999999</v>
      </c>
      <c r="D171" s="568">
        <v>8643.4638444499979</v>
      </c>
      <c r="E171" s="568">
        <v>711.74818535999987</v>
      </c>
      <c r="F171" s="568">
        <v>1309.61738328</v>
      </c>
      <c r="G171" s="568">
        <v>169.56878911999999</v>
      </c>
      <c r="H171" s="568">
        <v>7333.8464611699992</v>
      </c>
      <c r="I171" s="568">
        <v>542.17939623999996</v>
      </c>
      <c r="J171" s="568">
        <v>8069.887159490002</v>
      </c>
      <c r="K171" s="568">
        <v>792.67785474000004</v>
      </c>
      <c r="L171" s="568">
        <v>2247.6001848599999</v>
      </c>
      <c r="M171" s="568">
        <v>337.25975965000003</v>
      </c>
      <c r="N171" s="568">
        <v>5822.2869746300012</v>
      </c>
      <c r="O171" s="568">
        <v>455.41809509000001</v>
      </c>
    </row>
    <row r="172" spans="1:15" ht="13.2">
      <c r="A172" s="384" t="s">
        <v>25</v>
      </c>
      <c r="B172" s="568">
        <v>16839.653401849999</v>
      </c>
      <c r="C172" s="568">
        <v>1592.87461192</v>
      </c>
      <c r="D172" s="568">
        <v>8755.1380323199992</v>
      </c>
      <c r="E172" s="568">
        <v>754.83052350000003</v>
      </c>
      <c r="F172" s="568">
        <v>1326.2400043099997</v>
      </c>
      <c r="G172" s="568">
        <v>176.38564744999996</v>
      </c>
      <c r="H172" s="568">
        <v>7428.8980280100004</v>
      </c>
      <c r="I172" s="568">
        <v>578.44487605000006</v>
      </c>
      <c r="J172" s="568">
        <v>8084.5153695300014</v>
      </c>
      <c r="K172" s="568">
        <v>838.04408841999998</v>
      </c>
      <c r="L172" s="568">
        <v>2302.1359894100005</v>
      </c>
      <c r="M172" s="568">
        <v>334.56767341999995</v>
      </c>
      <c r="N172" s="568">
        <v>5782.37938012</v>
      </c>
      <c r="O172" s="568">
        <v>503.47641500000003</v>
      </c>
    </row>
    <row r="173" spans="1:15" ht="13.2">
      <c r="A173" s="384" t="s">
        <v>26</v>
      </c>
      <c r="B173" s="568">
        <v>16785.05677386</v>
      </c>
      <c r="C173" s="568">
        <v>1597.3169740999997</v>
      </c>
      <c r="D173" s="568">
        <v>8848.0956371199991</v>
      </c>
      <c r="E173" s="568">
        <v>763.30310415000008</v>
      </c>
      <c r="F173" s="568">
        <v>1357.5237484499999</v>
      </c>
      <c r="G173" s="568">
        <v>175.02730504999997</v>
      </c>
      <c r="H173" s="568">
        <v>7490.5718886699997</v>
      </c>
      <c r="I173" s="568">
        <v>588.27579910000009</v>
      </c>
      <c r="J173" s="568">
        <v>7936.9611367400012</v>
      </c>
      <c r="K173" s="568">
        <v>834.01386994999984</v>
      </c>
      <c r="L173" s="568">
        <v>2253.8381897400004</v>
      </c>
      <c r="M173" s="568">
        <v>309.14325123999993</v>
      </c>
      <c r="N173" s="568">
        <v>5683.1229470000007</v>
      </c>
      <c r="O173" s="568">
        <v>524.87061870999992</v>
      </c>
    </row>
    <row r="174" spans="1:15" ht="13.2">
      <c r="A174" s="384" t="s">
        <v>27</v>
      </c>
      <c r="B174" s="568">
        <v>15820.03201237</v>
      </c>
      <c r="C174" s="568">
        <v>1375.5964992800004</v>
      </c>
      <c r="D174" s="568">
        <v>8509.4903532000008</v>
      </c>
      <c r="E174" s="568">
        <v>632.28516155000011</v>
      </c>
      <c r="F174" s="568">
        <v>1321.1638427299999</v>
      </c>
      <c r="G174" s="568">
        <v>154.69314312999998</v>
      </c>
      <c r="H174" s="568">
        <v>7188.3265104700013</v>
      </c>
      <c r="I174" s="568">
        <v>477.59201842000004</v>
      </c>
      <c r="J174" s="568">
        <v>7310.5416591699995</v>
      </c>
      <c r="K174" s="568">
        <v>743.31133772999999</v>
      </c>
      <c r="L174" s="568">
        <v>2001.77325453</v>
      </c>
      <c r="M174" s="568">
        <v>238.39743927999996</v>
      </c>
      <c r="N174" s="568">
        <v>5308.76840464</v>
      </c>
      <c r="O174" s="568">
        <v>504.91389845000009</v>
      </c>
    </row>
    <row r="175" spans="1:15" ht="13.2">
      <c r="A175" s="384" t="s">
        <v>28</v>
      </c>
      <c r="B175" s="568">
        <v>16275.489472970001</v>
      </c>
      <c r="C175" s="568">
        <v>1442.34083448</v>
      </c>
      <c r="D175" s="568">
        <v>8600.9950056000016</v>
      </c>
      <c r="E175" s="568">
        <v>637.85276339999996</v>
      </c>
      <c r="F175" s="568">
        <v>1332.6611324800001</v>
      </c>
      <c r="G175" s="568">
        <v>144.99699769000006</v>
      </c>
      <c r="H175" s="568">
        <v>7268.3338731200029</v>
      </c>
      <c r="I175" s="568">
        <v>492.8557657099999</v>
      </c>
      <c r="J175" s="568">
        <v>7674.4944673699993</v>
      </c>
      <c r="K175" s="568">
        <v>804.48807107999994</v>
      </c>
      <c r="L175" s="568">
        <v>2118.3361033900005</v>
      </c>
      <c r="M175" s="568">
        <v>231.39265567999999</v>
      </c>
      <c r="N175" s="568">
        <v>5556.1583639799992</v>
      </c>
      <c r="O175" s="568">
        <v>573.09541539999998</v>
      </c>
    </row>
    <row r="176" spans="1:15" ht="13.2">
      <c r="A176" s="384" t="s">
        <v>29</v>
      </c>
      <c r="B176" s="568">
        <v>16444.561727330001</v>
      </c>
      <c r="C176" s="568">
        <v>1472.5995942200004</v>
      </c>
      <c r="D176" s="568">
        <v>8663.1322214200009</v>
      </c>
      <c r="E176" s="568">
        <v>682.40455387000009</v>
      </c>
      <c r="F176" s="568">
        <v>1362.3756578500002</v>
      </c>
      <c r="G176" s="568">
        <v>147.34122615000001</v>
      </c>
      <c r="H176" s="568">
        <v>7300.7565635700012</v>
      </c>
      <c r="I176" s="568">
        <v>535.06332772000007</v>
      </c>
      <c r="J176" s="568">
        <v>7781.4295059099995</v>
      </c>
      <c r="K176" s="568">
        <v>790.19504034999989</v>
      </c>
      <c r="L176" s="568">
        <v>2115.5578111999994</v>
      </c>
      <c r="M176" s="568">
        <v>192.85923648999997</v>
      </c>
      <c r="N176" s="568">
        <v>5665.8716947099992</v>
      </c>
      <c r="O176" s="568">
        <v>597.33580385999994</v>
      </c>
    </row>
    <row r="177" spans="1:15" ht="13.2">
      <c r="A177" s="384" t="s">
        <v>1942</v>
      </c>
      <c r="B177" s="567">
        <v>11757.786958619999</v>
      </c>
      <c r="C177" s="567">
        <v>1626.7461591053998</v>
      </c>
      <c r="D177" s="567">
        <v>6953.5897436999985</v>
      </c>
      <c r="E177" s="567">
        <v>789.29033093999976</v>
      </c>
      <c r="F177" s="567">
        <v>1030.5972081899997</v>
      </c>
      <c r="G177" s="567">
        <v>164.49530154000001</v>
      </c>
      <c r="H177" s="567">
        <v>5922.9925355099986</v>
      </c>
      <c r="I177" s="567">
        <v>624.79502939999986</v>
      </c>
      <c r="J177" s="567">
        <v>4804.1972149199983</v>
      </c>
      <c r="K177" s="567">
        <v>837.45582816540002</v>
      </c>
      <c r="L177" s="567">
        <v>1070.6928773399998</v>
      </c>
      <c r="M177" s="567">
        <v>158.68022948539999</v>
      </c>
      <c r="N177" s="567">
        <v>3733.5043375799996</v>
      </c>
      <c r="O177" s="567">
        <v>678.77559868000003</v>
      </c>
    </row>
    <row r="178" spans="1:15" ht="13.2">
      <c r="A178" s="384" t="s">
        <v>18</v>
      </c>
      <c r="B178" s="568">
        <v>16705.157127140879</v>
      </c>
      <c r="C178" s="568">
        <v>1633.0919814715185</v>
      </c>
      <c r="D178" s="568">
        <v>8406.8374419008796</v>
      </c>
      <c r="E178" s="568">
        <v>738.90777888151854</v>
      </c>
      <c r="F178" s="568">
        <v>1326.6919450130006</v>
      </c>
      <c r="G178" s="568">
        <v>159.66485175956439</v>
      </c>
      <c r="H178" s="568">
        <v>7080.1454968878797</v>
      </c>
      <c r="I178" s="568">
        <v>579.24292712195415</v>
      </c>
      <c r="J178" s="568">
        <v>8298.3196852399979</v>
      </c>
      <c r="K178" s="568">
        <v>894.18420258999993</v>
      </c>
      <c r="L178" s="568">
        <v>2256.9233878599994</v>
      </c>
      <c r="M178" s="568">
        <v>214.45859174</v>
      </c>
      <c r="N178" s="568">
        <v>6041.3962973799999</v>
      </c>
      <c r="O178" s="568">
        <v>679.72561084999995</v>
      </c>
    </row>
    <row r="179" spans="1:15" ht="13.2">
      <c r="A179" s="384" t="s">
        <v>19</v>
      </c>
      <c r="B179" s="568">
        <v>15878.566380650882</v>
      </c>
      <c r="C179" s="568">
        <v>1556.4403998315188</v>
      </c>
      <c r="D179" s="568">
        <v>8356.1138446908844</v>
      </c>
      <c r="E179" s="568">
        <v>703.04478671151855</v>
      </c>
      <c r="F179" s="568">
        <v>1302.2769203730004</v>
      </c>
      <c r="G179" s="568">
        <v>156.4857632795644</v>
      </c>
      <c r="H179" s="568">
        <v>7053.8369243178822</v>
      </c>
      <c r="I179" s="568">
        <v>546.55902343195407</v>
      </c>
      <c r="J179" s="568">
        <v>7522.4525359599993</v>
      </c>
      <c r="K179" s="568">
        <v>853.39561312000012</v>
      </c>
      <c r="L179" s="568">
        <v>2051.8464358199999</v>
      </c>
      <c r="M179" s="568">
        <v>198.89207520999997</v>
      </c>
      <c r="N179" s="568">
        <v>5470.6061001400003</v>
      </c>
      <c r="O179" s="568">
        <v>654.50353791000009</v>
      </c>
    </row>
    <row r="180" spans="1:15" ht="13.2">
      <c r="A180" s="384" t="s">
        <v>20</v>
      </c>
      <c r="B180" s="568">
        <v>15533.337990800879</v>
      </c>
      <c r="C180" s="568">
        <v>1590.3156047015189</v>
      </c>
      <c r="D180" s="568">
        <v>8128.4094061208816</v>
      </c>
      <c r="E180" s="568">
        <v>719.86092461151861</v>
      </c>
      <c r="F180" s="568">
        <v>1310.4097331730004</v>
      </c>
      <c r="G180" s="568">
        <v>163.3265221495644</v>
      </c>
      <c r="H180" s="568">
        <v>6817.9996729478817</v>
      </c>
      <c r="I180" s="568">
        <v>556.5344024619543</v>
      </c>
      <c r="J180" s="568">
        <v>7404.9285846799994</v>
      </c>
      <c r="K180" s="568">
        <v>870.4546800899999</v>
      </c>
      <c r="L180" s="568">
        <v>2037.5064844000001</v>
      </c>
      <c r="M180" s="568">
        <v>201.06621921000004</v>
      </c>
      <c r="N180" s="568">
        <v>5367.4221002799995</v>
      </c>
      <c r="O180" s="568">
        <v>669.38846088000003</v>
      </c>
    </row>
    <row r="181" spans="1:15" ht="13.2">
      <c r="A181" s="384" t="s">
        <v>21</v>
      </c>
      <c r="B181" s="568">
        <v>15453.511481964539</v>
      </c>
      <c r="C181" s="568">
        <v>1594.0350948091698</v>
      </c>
      <c r="D181" s="568">
        <v>8034.6572523110972</v>
      </c>
      <c r="E181" s="568">
        <v>724.79063433306214</v>
      </c>
      <c r="F181" s="568">
        <v>1266.3008990532153</v>
      </c>
      <c r="G181" s="568">
        <v>169.22549568321534</v>
      </c>
      <c r="H181" s="568">
        <v>6768.3563532578828</v>
      </c>
      <c r="I181" s="568">
        <v>555.56513864984663</v>
      </c>
      <c r="J181" s="568">
        <v>7418.8542296534406</v>
      </c>
      <c r="K181" s="568">
        <v>869.24446047610786</v>
      </c>
      <c r="L181" s="568">
        <v>2149.0736775534428</v>
      </c>
      <c r="M181" s="568">
        <v>189.46289907610796</v>
      </c>
      <c r="N181" s="568">
        <v>5269.7805520999973</v>
      </c>
      <c r="O181" s="568">
        <v>679.78156139999987</v>
      </c>
    </row>
    <row r="182" spans="1:15" ht="13.2">
      <c r="A182" s="384" t="s">
        <v>22</v>
      </c>
      <c r="B182" s="568">
        <v>14794.00497369454</v>
      </c>
      <c r="C182" s="568">
        <v>1739.7585750491703</v>
      </c>
      <c r="D182" s="568">
        <v>8025.7464192210964</v>
      </c>
      <c r="E182" s="568">
        <v>858.14408161306221</v>
      </c>
      <c r="F182" s="568">
        <v>1244.9710807432155</v>
      </c>
      <c r="G182" s="568">
        <v>166.1320760132154</v>
      </c>
      <c r="H182" s="568">
        <v>6780.7753384778807</v>
      </c>
      <c r="I182" s="568">
        <v>692.01200559984659</v>
      </c>
      <c r="J182" s="568">
        <v>6768.2585544734447</v>
      </c>
      <c r="K182" s="568">
        <v>881.61449343610809</v>
      </c>
      <c r="L182" s="568">
        <v>1774.7860856934417</v>
      </c>
      <c r="M182" s="568">
        <v>194.23793116610801</v>
      </c>
      <c r="N182" s="568">
        <v>4993.4724687800017</v>
      </c>
      <c r="O182" s="568">
        <v>687.37656227000002</v>
      </c>
    </row>
    <row r="183" spans="1:15" ht="13.2">
      <c r="A183" s="384" t="s">
        <v>23</v>
      </c>
      <c r="B183" s="568">
        <v>13881.99544171454</v>
      </c>
      <c r="C183" s="568">
        <v>1810.7102516691702</v>
      </c>
      <c r="D183" s="568">
        <v>7960.9185650810969</v>
      </c>
      <c r="E183" s="568">
        <v>917.26046386306223</v>
      </c>
      <c r="F183" s="568">
        <v>1224.6034322732153</v>
      </c>
      <c r="G183" s="568">
        <v>179.14415172321534</v>
      </c>
      <c r="H183" s="568">
        <v>6736.3151328078811</v>
      </c>
      <c r="I183" s="568">
        <v>738.11631213984685</v>
      </c>
      <c r="J183" s="568">
        <v>5921.0768766334413</v>
      </c>
      <c r="K183" s="568">
        <v>893.44978780610802</v>
      </c>
      <c r="L183" s="568">
        <v>1631.8814894434415</v>
      </c>
      <c r="M183" s="568">
        <v>201.061982116108</v>
      </c>
      <c r="N183" s="568">
        <v>4289.1953871899996</v>
      </c>
      <c r="O183" s="568">
        <v>692.38780568999994</v>
      </c>
    </row>
    <row r="184" spans="1:15" ht="13.2">
      <c r="A184" s="384" t="s">
        <v>24</v>
      </c>
      <c r="B184" s="568">
        <v>12860.844876327881</v>
      </c>
      <c r="C184" s="568">
        <v>1812.8083793878807</v>
      </c>
      <c r="D184" s="568">
        <v>7256.6418725278827</v>
      </c>
      <c r="E184" s="568">
        <v>923.86427128788068</v>
      </c>
      <c r="F184" s="568">
        <v>1099.2882632600001</v>
      </c>
      <c r="G184" s="568">
        <v>165.68493056070409</v>
      </c>
      <c r="H184" s="568">
        <v>6157.3536092678823</v>
      </c>
      <c r="I184" s="568">
        <v>758.17934072717662</v>
      </c>
      <c r="J184" s="568">
        <v>5604.2030037999984</v>
      </c>
      <c r="K184" s="568">
        <v>888.94410809999999</v>
      </c>
      <c r="L184" s="568">
        <v>1425.1969315099996</v>
      </c>
      <c r="M184" s="568">
        <v>187.40533519999997</v>
      </c>
      <c r="N184" s="568">
        <v>4179.006072289998</v>
      </c>
      <c r="O184" s="568">
        <v>701.53877289999991</v>
      </c>
    </row>
    <row r="185" spans="1:15" ht="13.2">
      <c r="A185" s="384" t="s">
        <v>25</v>
      </c>
      <c r="B185" s="568">
        <v>12376.603710087882</v>
      </c>
      <c r="C185" s="568">
        <v>1823.9887068678806</v>
      </c>
      <c r="D185" s="568">
        <v>7222.3307909578807</v>
      </c>
      <c r="E185" s="568">
        <v>926.56528997788064</v>
      </c>
      <c r="F185" s="568">
        <v>1078.8362983</v>
      </c>
      <c r="G185" s="568">
        <v>160.1798610207041</v>
      </c>
      <c r="H185" s="568">
        <v>6143.4944926578819</v>
      </c>
      <c r="I185" s="568">
        <v>766.38542895717637</v>
      </c>
      <c r="J185" s="568">
        <v>5154.2729191300014</v>
      </c>
      <c r="K185" s="568">
        <v>897.42341689</v>
      </c>
      <c r="L185" s="568">
        <v>1276.8587946700002</v>
      </c>
      <c r="M185" s="568">
        <v>190.28141313999998</v>
      </c>
      <c r="N185" s="568">
        <v>3877.41412446</v>
      </c>
      <c r="O185" s="568">
        <v>707.14200374999996</v>
      </c>
    </row>
    <row r="186" spans="1:15" ht="13.2">
      <c r="A186" s="384" t="s">
        <v>26</v>
      </c>
      <c r="B186" s="568">
        <v>12437.248015267882</v>
      </c>
      <c r="C186" s="568">
        <v>1857.1320464578807</v>
      </c>
      <c r="D186" s="568">
        <v>7214.743501477883</v>
      </c>
      <c r="E186" s="568">
        <v>949.01266131788066</v>
      </c>
      <c r="F186" s="568">
        <v>1081.9130548800001</v>
      </c>
      <c r="G186" s="568">
        <v>163.59363310070412</v>
      </c>
      <c r="H186" s="568">
        <v>6132.8304465978827</v>
      </c>
      <c r="I186" s="568">
        <v>785.41902821717645</v>
      </c>
      <c r="J186" s="568">
        <v>5222.5045137900006</v>
      </c>
      <c r="K186" s="568">
        <v>908.11938514000019</v>
      </c>
      <c r="L186" s="568">
        <v>1368.7497354099994</v>
      </c>
      <c r="M186" s="568">
        <v>185.97982214000001</v>
      </c>
      <c r="N186" s="568">
        <v>3853.7547783800005</v>
      </c>
      <c r="O186" s="568">
        <v>722.13956300000007</v>
      </c>
    </row>
    <row r="187" spans="1:15" ht="13.2">
      <c r="A187" s="384" t="s">
        <v>27</v>
      </c>
      <c r="B187" s="568">
        <v>12152.182179499998</v>
      </c>
      <c r="C187" s="568">
        <v>1889.6276242253998</v>
      </c>
      <c r="D187" s="568">
        <v>7153.22834444</v>
      </c>
      <c r="E187" s="568">
        <v>945.00457463000021</v>
      </c>
      <c r="F187" s="568">
        <v>1063.5645195600002</v>
      </c>
      <c r="G187" s="568">
        <v>165.24081436999998</v>
      </c>
      <c r="H187" s="568">
        <v>6089.6638248799991</v>
      </c>
      <c r="I187" s="568">
        <v>779.76376026000014</v>
      </c>
      <c r="J187" s="568">
        <v>4998.9538350600005</v>
      </c>
      <c r="K187" s="568">
        <v>944.62304959539972</v>
      </c>
      <c r="L187" s="568">
        <v>1219.6603727700001</v>
      </c>
      <c r="M187" s="568">
        <v>212.9228083154</v>
      </c>
      <c r="N187" s="568">
        <v>3779.2934622900002</v>
      </c>
      <c r="O187" s="568">
        <v>731.70024127999989</v>
      </c>
    </row>
    <row r="188" spans="1:15" ht="13.2">
      <c r="A188" s="384" t="s">
        <v>28</v>
      </c>
      <c r="B188" s="568">
        <v>12226.17449557</v>
      </c>
      <c r="C188" s="568">
        <v>1890.3338067754</v>
      </c>
      <c r="D188" s="568">
        <v>7258.3829039399998</v>
      </c>
      <c r="E188" s="568">
        <v>971.42422765999981</v>
      </c>
      <c r="F188" s="568">
        <v>1146.8273574099999</v>
      </c>
      <c r="G188" s="568">
        <v>169.32102718000004</v>
      </c>
      <c r="H188" s="568">
        <v>6111.5555465299994</v>
      </c>
      <c r="I188" s="568">
        <v>802.10320047999983</v>
      </c>
      <c r="J188" s="568">
        <v>4967.7915916299999</v>
      </c>
      <c r="K188" s="568">
        <v>918.90957911539999</v>
      </c>
      <c r="L188" s="568">
        <v>1207.1087038500007</v>
      </c>
      <c r="M188" s="568">
        <v>194.54984400540002</v>
      </c>
      <c r="N188" s="568">
        <v>3760.6828877799999</v>
      </c>
      <c r="O188" s="568">
        <v>724.35973510999986</v>
      </c>
    </row>
    <row r="189" spans="1:15" ht="13.2">
      <c r="A189" s="384" t="s">
        <v>29</v>
      </c>
      <c r="B189" s="568">
        <v>11757.786958619999</v>
      </c>
      <c r="C189" s="568">
        <v>1626.7461591053998</v>
      </c>
      <c r="D189" s="568">
        <v>6953.5897436999985</v>
      </c>
      <c r="E189" s="568">
        <v>789.29033093999976</v>
      </c>
      <c r="F189" s="568">
        <v>1030.5972081899997</v>
      </c>
      <c r="G189" s="568">
        <v>164.49530154000001</v>
      </c>
      <c r="H189" s="568">
        <v>5922.9925355099986</v>
      </c>
      <c r="I189" s="568">
        <v>624.79502939999986</v>
      </c>
      <c r="J189" s="568">
        <v>4804.1972149199983</v>
      </c>
      <c r="K189" s="568">
        <v>837.45582816540002</v>
      </c>
      <c r="L189" s="568">
        <v>1070.6928773399998</v>
      </c>
      <c r="M189" s="568">
        <v>158.68022948539999</v>
      </c>
      <c r="N189" s="568">
        <v>3733.5043375799996</v>
      </c>
      <c r="O189" s="568">
        <v>678.77559868000003</v>
      </c>
    </row>
    <row r="190" spans="1:15" ht="13.2">
      <c r="A190" s="384" t="s">
        <v>2078</v>
      </c>
      <c r="B190" s="567">
        <v>13020.303367349998</v>
      </c>
      <c r="C190" s="567">
        <v>1584.9974706609999</v>
      </c>
      <c r="D190" s="567">
        <v>8073.5671271899982</v>
      </c>
      <c r="E190" s="567">
        <v>774.13947971999994</v>
      </c>
      <c r="F190" s="567">
        <v>1510.2206357500002</v>
      </c>
      <c r="G190" s="567">
        <v>157.89208671</v>
      </c>
      <c r="H190" s="567">
        <v>6563.3464914399992</v>
      </c>
      <c r="I190" s="567">
        <v>616.24739301</v>
      </c>
      <c r="J190" s="567">
        <v>4946.7362401599985</v>
      </c>
      <c r="K190" s="567">
        <v>810.85799094099991</v>
      </c>
      <c r="L190" s="567">
        <v>1184.9242434799994</v>
      </c>
      <c r="M190" s="567">
        <v>171.43400337100002</v>
      </c>
      <c r="N190" s="567">
        <v>3761.8119966799991</v>
      </c>
      <c r="O190" s="567">
        <v>639.42398756999989</v>
      </c>
    </row>
    <row r="191" spans="1:15" ht="13.2">
      <c r="A191" s="384" t="s">
        <v>18</v>
      </c>
      <c r="B191" s="568">
        <v>11656.14158343001</v>
      </c>
      <c r="C191" s="568">
        <v>1695.9035093999998</v>
      </c>
      <c r="D191" s="568">
        <v>6899.8575762100081</v>
      </c>
      <c r="E191" s="568">
        <v>806.94858805000001</v>
      </c>
      <c r="F191" s="568">
        <v>1037.3729399100077</v>
      </c>
      <c r="G191" s="568">
        <v>169.22575592999999</v>
      </c>
      <c r="H191" s="568">
        <v>5862.4846363000006</v>
      </c>
      <c r="I191" s="568">
        <v>637.72283211999991</v>
      </c>
      <c r="J191" s="568">
        <v>4756.2840072199997</v>
      </c>
      <c r="K191" s="568">
        <v>888.95492135000018</v>
      </c>
      <c r="L191" s="568">
        <v>1118.75083559</v>
      </c>
      <c r="M191" s="568">
        <v>198.23642109000002</v>
      </c>
      <c r="N191" s="568">
        <v>3637.5331716299993</v>
      </c>
      <c r="O191" s="568">
        <v>690.71850026000016</v>
      </c>
    </row>
    <row r="192" spans="1:15" ht="13.2">
      <c r="A192" s="384" t="s">
        <v>19</v>
      </c>
      <c r="B192" s="568">
        <v>11561.095831580009</v>
      </c>
      <c r="C192" s="568">
        <v>1700.8734333599998</v>
      </c>
      <c r="D192" s="568">
        <v>7007.31616846001</v>
      </c>
      <c r="E192" s="568">
        <v>807.69973873999993</v>
      </c>
      <c r="F192" s="568">
        <v>1068.5490164500079</v>
      </c>
      <c r="G192" s="568">
        <v>168.36786457000002</v>
      </c>
      <c r="H192" s="568">
        <v>5938.7671520100021</v>
      </c>
      <c r="I192" s="568">
        <v>639.33187416999999</v>
      </c>
      <c r="J192" s="568">
        <v>4553.7796631199999</v>
      </c>
      <c r="K192" s="568">
        <v>893.17369462000011</v>
      </c>
      <c r="L192" s="568">
        <v>1076.9273256299998</v>
      </c>
      <c r="M192" s="568">
        <v>203.1742639</v>
      </c>
      <c r="N192" s="568">
        <v>3476.8523374899996</v>
      </c>
      <c r="O192" s="568">
        <v>689.99943071999996</v>
      </c>
    </row>
    <row r="193" spans="1:15" ht="13.2">
      <c r="A193" s="384" t="s">
        <v>20</v>
      </c>
      <c r="B193" s="568">
        <v>11663.483887770006</v>
      </c>
      <c r="C193" s="568">
        <v>1710.2045596400001</v>
      </c>
      <c r="D193" s="568">
        <v>7058.4268231200094</v>
      </c>
      <c r="E193" s="568">
        <v>817.86198172000013</v>
      </c>
      <c r="F193" s="568">
        <v>1081.7079281200076</v>
      </c>
      <c r="G193" s="568">
        <v>171.05993385000002</v>
      </c>
      <c r="H193" s="568">
        <v>5976.7188950000027</v>
      </c>
      <c r="I193" s="568">
        <v>646.80204787000014</v>
      </c>
      <c r="J193" s="568">
        <v>4605.05706465</v>
      </c>
      <c r="K193" s="568">
        <v>892.34257791999994</v>
      </c>
      <c r="L193" s="568">
        <v>1165.9694041799999</v>
      </c>
      <c r="M193" s="568">
        <v>198.86482843000002</v>
      </c>
      <c r="N193" s="568">
        <v>3439.0876604700011</v>
      </c>
      <c r="O193" s="568">
        <v>693.47774948999995</v>
      </c>
    </row>
    <row r="194" spans="1:15" ht="13.2">
      <c r="A194" s="384" t="s">
        <v>21</v>
      </c>
      <c r="B194" s="568">
        <v>11815.783021537001</v>
      </c>
      <c r="C194" s="568">
        <v>1708.8377681700001</v>
      </c>
      <c r="D194" s="568">
        <v>7181.2950288070006</v>
      </c>
      <c r="E194" s="568">
        <v>831.45422497000004</v>
      </c>
      <c r="F194" s="568">
        <v>1133.7525029399999</v>
      </c>
      <c r="G194" s="568">
        <v>181.7665117</v>
      </c>
      <c r="H194" s="568">
        <v>6047.5425258669993</v>
      </c>
      <c r="I194" s="568">
        <v>649.68771327000002</v>
      </c>
      <c r="J194" s="568">
        <v>4634.4879927300008</v>
      </c>
      <c r="K194" s="568">
        <v>877.38354319999996</v>
      </c>
      <c r="L194" s="568">
        <v>1165.6601106199998</v>
      </c>
      <c r="M194" s="568">
        <v>194.43246153000001</v>
      </c>
      <c r="N194" s="568">
        <v>3468.8278821100012</v>
      </c>
      <c r="O194" s="568">
        <v>682.95108167000001</v>
      </c>
    </row>
    <row r="195" spans="1:15" ht="13.2">
      <c r="A195" s="384" t="s">
        <v>22</v>
      </c>
      <c r="B195" s="568">
        <v>11945.500793076999</v>
      </c>
      <c r="C195" s="568">
        <v>1710.7977509899999</v>
      </c>
      <c r="D195" s="568">
        <v>7331.5965373769995</v>
      </c>
      <c r="E195" s="568">
        <v>833.06061491999992</v>
      </c>
      <c r="F195" s="568">
        <v>1172.5855758599998</v>
      </c>
      <c r="G195" s="568">
        <v>177.67665792999998</v>
      </c>
      <c r="H195" s="568">
        <v>6159.0109615169995</v>
      </c>
      <c r="I195" s="568">
        <v>655.38395699</v>
      </c>
      <c r="J195" s="568">
        <v>4613.9042556999984</v>
      </c>
      <c r="K195" s="568">
        <v>877.73713606999991</v>
      </c>
      <c r="L195" s="568">
        <v>1171.0941845499995</v>
      </c>
      <c r="M195" s="568">
        <v>194.54116195</v>
      </c>
      <c r="N195" s="568">
        <v>3442.8100711499997</v>
      </c>
      <c r="O195" s="568">
        <v>683.19597411999985</v>
      </c>
    </row>
    <row r="196" spans="1:15" ht="13.2">
      <c r="A196" s="384" t="s">
        <v>23</v>
      </c>
      <c r="B196" s="568">
        <v>12105.576494017001</v>
      </c>
      <c r="C196" s="568">
        <v>1745.7337322799999</v>
      </c>
      <c r="D196" s="568">
        <v>7425.3619326270009</v>
      </c>
      <c r="E196" s="568">
        <v>836.76757817000009</v>
      </c>
      <c r="F196" s="568">
        <v>1192.1831654300001</v>
      </c>
      <c r="G196" s="568">
        <v>180.35390278</v>
      </c>
      <c r="H196" s="568">
        <v>6233.1787671970005</v>
      </c>
      <c r="I196" s="568">
        <v>656.41367539000009</v>
      </c>
      <c r="J196" s="568">
        <v>4680.2145613899993</v>
      </c>
      <c r="K196" s="568">
        <v>908.96615411000005</v>
      </c>
      <c r="L196" s="568">
        <v>1173.6531892699998</v>
      </c>
      <c r="M196" s="568">
        <v>213.28008883999999</v>
      </c>
      <c r="N196" s="568">
        <v>3506.5613721199993</v>
      </c>
      <c r="O196" s="568">
        <v>695.68606526999997</v>
      </c>
    </row>
    <row r="197" spans="1:15" ht="13.2">
      <c r="A197" s="384" t="s">
        <v>24</v>
      </c>
      <c r="B197" s="568">
        <v>12170.671456159997</v>
      </c>
      <c r="C197" s="568">
        <v>1782.0547715499999</v>
      </c>
      <c r="D197" s="568">
        <v>7501.1721621600018</v>
      </c>
      <c r="E197" s="568">
        <v>845.50284094999995</v>
      </c>
      <c r="F197" s="568">
        <v>1210.7751387100002</v>
      </c>
      <c r="G197" s="568">
        <v>177.91094719</v>
      </c>
      <c r="H197" s="568">
        <v>6290.3970234500021</v>
      </c>
      <c r="I197" s="568">
        <v>667.59189376000006</v>
      </c>
      <c r="J197" s="568">
        <v>4669.4992940000002</v>
      </c>
      <c r="K197" s="568">
        <v>936.55193059999999</v>
      </c>
      <c r="L197" s="568">
        <v>1176.0244757500002</v>
      </c>
      <c r="M197" s="568">
        <v>213.96510317999997</v>
      </c>
      <c r="N197" s="568">
        <v>3493.4748182500002</v>
      </c>
      <c r="O197" s="568">
        <v>722.58682741999996</v>
      </c>
    </row>
    <row r="198" spans="1:15" ht="13.2">
      <c r="A198" s="384" t="s">
        <v>25</v>
      </c>
      <c r="B198" s="568">
        <v>12306.538666899998</v>
      </c>
      <c r="C198" s="568">
        <v>1772.4388613299998</v>
      </c>
      <c r="D198" s="568">
        <v>7623.1701698799998</v>
      </c>
      <c r="E198" s="568">
        <v>846.76278944999979</v>
      </c>
      <c r="F198" s="568">
        <v>1257.3440637699998</v>
      </c>
      <c r="G198" s="568">
        <v>175.90146439999998</v>
      </c>
      <c r="H198" s="568">
        <v>6365.8261061100002</v>
      </c>
      <c r="I198" s="568">
        <v>670.86132504999989</v>
      </c>
      <c r="J198" s="568">
        <v>4683.3684970199984</v>
      </c>
      <c r="K198" s="568">
        <v>925.67607187999988</v>
      </c>
      <c r="L198" s="568">
        <v>1175.7633969799992</v>
      </c>
      <c r="M198" s="568">
        <v>194.64872075000002</v>
      </c>
      <c r="N198" s="568">
        <v>3507.6051000399998</v>
      </c>
      <c r="O198" s="568">
        <v>731.02735112999983</v>
      </c>
    </row>
    <row r="199" spans="1:15" ht="13.2">
      <c r="A199" s="384" t="s">
        <v>26</v>
      </c>
      <c r="B199" s="568">
        <v>12302.424515589997</v>
      </c>
      <c r="C199" s="568">
        <v>1748.6649660999997</v>
      </c>
      <c r="D199" s="568">
        <v>7557.2176146999982</v>
      </c>
      <c r="E199" s="568">
        <v>827.15486636999981</v>
      </c>
      <c r="F199" s="568">
        <v>1286.7306070199998</v>
      </c>
      <c r="G199" s="568">
        <v>174.74539154999999</v>
      </c>
      <c r="H199" s="568">
        <v>6270.4870076799989</v>
      </c>
      <c r="I199" s="568">
        <v>652.4094748199999</v>
      </c>
      <c r="J199" s="568">
        <v>4745.206900889998</v>
      </c>
      <c r="K199" s="568">
        <v>921.51009972999987</v>
      </c>
      <c r="L199" s="568">
        <v>1176.7396855099996</v>
      </c>
      <c r="M199" s="568">
        <v>183.91100592000004</v>
      </c>
      <c r="N199" s="568">
        <v>3568.4672153799988</v>
      </c>
      <c r="O199" s="568">
        <v>737.59909380999989</v>
      </c>
    </row>
    <row r="200" spans="1:15" ht="13.2">
      <c r="A200" s="384" t="s">
        <v>27</v>
      </c>
      <c r="B200" s="568">
        <v>12281.298870979996</v>
      </c>
      <c r="C200" s="568">
        <v>1698.5633427609998</v>
      </c>
      <c r="D200" s="568">
        <v>7639.5914988799977</v>
      </c>
      <c r="E200" s="568">
        <v>821.05281990000003</v>
      </c>
      <c r="F200" s="568">
        <v>1303.6124795599999</v>
      </c>
      <c r="G200" s="568">
        <v>172.02876626</v>
      </c>
      <c r="H200" s="568">
        <v>6335.9790193199988</v>
      </c>
      <c r="I200" s="568">
        <v>649.02405364000003</v>
      </c>
      <c r="J200" s="568">
        <v>4641.7073720999988</v>
      </c>
      <c r="K200" s="568">
        <v>877.51052286099991</v>
      </c>
      <c r="L200" s="568">
        <v>1198.5748110599995</v>
      </c>
      <c r="M200" s="568">
        <v>170.90738550099999</v>
      </c>
      <c r="N200" s="568">
        <v>3443.1325610399986</v>
      </c>
      <c r="O200" s="568">
        <v>706.60313735999978</v>
      </c>
    </row>
    <row r="201" spans="1:15" ht="13.2">
      <c r="A201" s="384" t="s">
        <v>28</v>
      </c>
      <c r="B201" s="568">
        <v>12564.150743229999</v>
      </c>
      <c r="C201" s="568">
        <v>1688.6722504009999</v>
      </c>
      <c r="D201" s="568">
        <v>7891.2759117999985</v>
      </c>
      <c r="E201" s="568">
        <v>818.17596376000017</v>
      </c>
      <c r="F201" s="568">
        <v>1501.6655426999998</v>
      </c>
      <c r="G201" s="568">
        <v>170.91501371000001</v>
      </c>
      <c r="H201" s="568">
        <v>6389.6103690999998</v>
      </c>
      <c r="I201" s="568">
        <v>647.26095005000013</v>
      </c>
      <c r="J201" s="568">
        <v>4672.8748314299992</v>
      </c>
      <c r="K201" s="568">
        <v>870.49628664099987</v>
      </c>
      <c r="L201" s="568">
        <v>1192.2946022900003</v>
      </c>
      <c r="M201" s="568">
        <v>169.894807321</v>
      </c>
      <c r="N201" s="568">
        <v>3480.58022914</v>
      </c>
      <c r="O201" s="568">
        <v>700.60147931999984</v>
      </c>
    </row>
    <row r="202" spans="1:15" ht="13.2">
      <c r="A202" s="384" t="s">
        <v>29</v>
      </c>
      <c r="B202" s="568">
        <v>13020.303367349998</v>
      </c>
      <c r="C202" s="568">
        <v>1584.9974706609999</v>
      </c>
      <c r="D202" s="568">
        <v>8073.5671271899982</v>
      </c>
      <c r="E202" s="568">
        <v>774.13947971999994</v>
      </c>
      <c r="F202" s="568">
        <v>1510.2206357500002</v>
      </c>
      <c r="G202" s="568">
        <v>157.89208671</v>
      </c>
      <c r="H202" s="568">
        <v>6563.3464914399992</v>
      </c>
      <c r="I202" s="568">
        <v>616.24739301</v>
      </c>
      <c r="J202" s="568">
        <v>4946.7362401599985</v>
      </c>
      <c r="K202" s="568">
        <v>810.85799094099991</v>
      </c>
      <c r="L202" s="568">
        <v>1184.9242434799994</v>
      </c>
      <c r="M202" s="568">
        <v>171.43400337100002</v>
      </c>
      <c r="N202" s="568">
        <v>3761.8119966799991</v>
      </c>
      <c r="O202" s="568">
        <v>639.42398756999989</v>
      </c>
    </row>
    <row r="203" spans="1:15" ht="13.2">
      <c r="A203" s="384" t="s">
        <v>2171</v>
      </c>
      <c r="B203" s="567">
        <v>15298.183505950001</v>
      </c>
      <c r="C203" s="567">
        <v>1273.0674075999998</v>
      </c>
      <c r="D203" s="567">
        <v>10000.82224388</v>
      </c>
      <c r="E203" s="567">
        <v>702.40343936999989</v>
      </c>
      <c r="F203" s="567">
        <v>1659.59703459</v>
      </c>
      <c r="G203" s="567">
        <v>106.04795082000001</v>
      </c>
      <c r="H203" s="567">
        <v>8341.2252092899998</v>
      </c>
      <c r="I203" s="567">
        <v>596.35548855000002</v>
      </c>
      <c r="J203" s="567">
        <v>5297.3612620700005</v>
      </c>
      <c r="K203" s="567">
        <v>570.66396823000002</v>
      </c>
      <c r="L203" s="567">
        <v>1259.1192320000002</v>
      </c>
      <c r="M203" s="567">
        <v>119.98133505000001</v>
      </c>
      <c r="N203" s="567">
        <v>4038.2420300700005</v>
      </c>
      <c r="O203" s="567">
        <v>450.68263317999998</v>
      </c>
    </row>
    <row r="204" spans="1:15" ht="13.2">
      <c r="A204" s="384" t="s">
        <v>18</v>
      </c>
      <c r="B204" s="568">
        <v>12884.65325369156</v>
      </c>
      <c r="C204" s="568">
        <v>1569.3794872799997</v>
      </c>
      <c r="D204" s="568">
        <v>8063.5535689915605</v>
      </c>
      <c r="E204" s="568">
        <v>776.28640919999975</v>
      </c>
      <c r="F204" s="568">
        <v>1482.4018023415622</v>
      </c>
      <c r="G204" s="568">
        <v>136.4569817</v>
      </c>
      <c r="H204" s="568">
        <v>6581.1517666499985</v>
      </c>
      <c r="I204" s="568">
        <v>639.82942749999972</v>
      </c>
      <c r="J204" s="568">
        <v>4821.0996846999988</v>
      </c>
      <c r="K204" s="568">
        <v>793.09307807999994</v>
      </c>
      <c r="L204" s="568">
        <v>1099.8912547299997</v>
      </c>
      <c r="M204" s="568">
        <v>147.43642731</v>
      </c>
      <c r="N204" s="568">
        <v>3721.2084299699995</v>
      </c>
      <c r="O204" s="568">
        <v>645.65665077000006</v>
      </c>
    </row>
    <row r="205" spans="1:15" ht="13.2">
      <c r="A205" s="384" t="s">
        <v>19</v>
      </c>
      <c r="B205" s="568">
        <v>12974.579268571562</v>
      </c>
      <c r="C205" s="568">
        <v>1574.7213720900002</v>
      </c>
      <c r="D205" s="568">
        <v>8166.9371882915639</v>
      </c>
      <c r="E205" s="568">
        <v>782.2913887000002</v>
      </c>
      <c r="F205" s="568">
        <v>1480.7189125415621</v>
      </c>
      <c r="G205" s="568">
        <v>138.71099382999998</v>
      </c>
      <c r="H205" s="568">
        <v>6686.2182757500013</v>
      </c>
      <c r="I205" s="568">
        <v>643.58039487000019</v>
      </c>
      <c r="J205" s="568">
        <v>4807.6420802799994</v>
      </c>
      <c r="K205" s="568">
        <v>792.42998338999996</v>
      </c>
      <c r="L205" s="568">
        <v>1114.1591397899997</v>
      </c>
      <c r="M205" s="568">
        <v>152.11238132</v>
      </c>
      <c r="N205" s="568">
        <v>3693.4829404900001</v>
      </c>
      <c r="O205" s="568">
        <v>640.31760206999991</v>
      </c>
    </row>
    <row r="206" spans="1:15" ht="13.2">
      <c r="A206" s="384" t="s">
        <v>20</v>
      </c>
      <c r="B206" s="568">
        <v>13058.03385171156</v>
      </c>
      <c r="C206" s="568">
        <v>1557.9521574100002</v>
      </c>
      <c r="D206" s="568">
        <v>8259.1090463315613</v>
      </c>
      <c r="E206" s="568">
        <v>780.28774131</v>
      </c>
      <c r="F206" s="568">
        <v>1486.1462602615625</v>
      </c>
      <c r="G206" s="568">
        <v>138.88682800999999</v>
      </c>
      <c r="H206" s="568">
        <v>6772.9627860699993</v>
      </c>
      <c r="I206" s="568">
        <v>641.40091330000007</v>
      </c>
      <c r="J206" s="568">
        <v>4798.9248053799993</v>
      </c>
      <c r="K206" s="568">
        <v>777.66441609999993</v>
      </c>
      <c r="L206" s="568">
        <v>1132.1635904699997</v>
      </c>
      <c r="M206" s="568">
        <v>148.91083743000002</v>
      </c>
      <c r="N206" s="568">
        <v>3666.76121491</v>
      </c>
      <c r="O206" s="568">
        <v>628.75357866999991</v>
      </c>
    </row>
    <row r="207" spans="1:15" ht="13.2">
      <c r="A207" s="384" t="s">
        <v>21</v>
      </c>
      <c r="B207" s="568">
        <v>13011.354034490001</v>
      </c>
      <c r="C207" s="568">
        <v>1503.7811409499998</v>
      </c>
      <c r="D207" s="568">
        <v>8367.9760429100006</v>
      </c>
      <c r="E207" s="568">
        <v>756.20230708999998</v>
      </c>
      <c r="F207" s="568">
        <v>1476.1377303599998</v>
      </c>
      <c r="G207" s="568">
        <v>136.86469986999998</v>
      </c>
      <c r="H207" s="568">
        <v>6891.8383125500013</v>
      </c>
      <c r="I207" s="568">
        <v>619.33760722</v>
      </c>
      <c r="J207" s="568">
        <v>4643.3779915799996</v>
      </c>
      <c r="K207" s="568">
        <v>747.57883385999992</v>
      </c>
      <c r="L207" s="568">
        <v>1129.38335581</v>
      </c>
      <c r="M207" s="568">
        <v>150.33732738</v>
      </c>
      <c r="N207" s="568">
        <v>3513.9946357700001</v>
      </c>
      <c r="O207" s="568">
        <v>597.24150647999988</v>
      </c>
    </row>
    <row r="208" spans="1:15" ht="13.2">
      <c r="A208" s="384" t="s">
        <v>22</v>
      </c>
      <c r="B208" s="568">
        <v>13197.974708330001</v>
      </c>
      <c r="C208" s="568">
        <v>1494.2622123900001</v>
      </c>
      <c r="D208" s="568">
        <v>8541.8739829500009</v>
      </c>
      <c r="E208" s="568">
        <v>769.56189274000008</v>
      </c>
      <c r="F208" s="568">
        <v>1484.6261854599998</v>
      </c>
      <c r="G208" s="568">
        <v>131.03492932</v>
      </c>
      <c r="H208" s="568">
        <v>7057.2477974900003</v>
      </c>
      <c r="I208" s="568">
        <v>638.52696342000002</v>
      </c>
      <c r="J208" s="568">
        <v>4656.1007253799999</v>
      </c>
      <c r="K208" s="568">
        <v>724.70031964999998</v>
      </c>
      <c r="L208" s="568">
        <v>1150.1202185299996</v>
      </c>
      <c r="M208" s="568">
        <v>137.83403217999998</v>
      </c>
      <c r="N208" s="568">
        <v>3505.9805068500009</v>
      </c>
      <c r="O208" s="568">
        <v>586.86628746999997</v>
      </c>
    </row>
    <row r="209" spans="1:15" ht="13.2">
      <c r="A209" s="384" t="s">
        <v>23</v>
      </c>
      <c r="B209" s="568">
        <v>13482.586430900003</v>
      </c>
      <c r="C209" s="568">
        <v>1486.4636973599997</v>
      </c>
      <c r="D209" s="568">
        <v>8718.0513382400022</v>
      </c>
      <c r="E209" s="568">
        <v>760.96756282000001</v>
      </c>
      <c r="F209" s="568">
        <v>1507.9692703999999</v>
      </c>
      <c r="G209" s="568">
        <v>131.50639429999998</v>
      </c>
      <c r="H209" s="568">
        <v>7210.0820678400014</v>
      </c>
      <c r="I209" s="568">
        <v>629.46116852</v>
      </c>
      <c r="J209" s="568">
        <v>4764.5350926599995</v>
      </c>
      <c r="K209" s="568">
        <v>725.49613453999984</v>
      </c>
      <c r="L209" s="568">
        <v>1143.3460084400003</v>
      </c>
      <c r="M209" s="568">
        <v>146.91226302999999</v>
      </c>
      <c r="N209" s="568">
        <v>3621.1890842199991</v>
      </c>
      <c r="O209" s="568">
        <v>578.58387150999977</v>
      </c>
    </row>
    <row r="210" spans="1:15" ht="13.2">
      <c r="A210" s="384" t="s">
        <v>24</v>
      </c>
      <c r="B210" s="568">
        <v>13681.366710880002</v>
      </c>
      <c r="C210" s="568">
        <v>1487.3638733499999</v>
      </c>
      <c r="D210" s="568">
        <v>8944.1055807800003</v>
      </c>
      <c r="E210" s="568">
        <v>755.37179114000014</v>
      </c>
      <c r="F210" s="568">
        <v>1508.4434082599998</v>
      </c>
      <c r="G210" s="568">
        <v>127.18814864999999</v>
      </c>
      <c r="H210" s="568">
        <v>7435.6621725200011</v>
      </c>
      <c r="I210" s="568">
        <v>628.18364249000012</v>
      </c>
      <c r="J210" s="568">
        <v>4737.2611301000006</v>
      </c>
      <c r="K210" s="568">
        <v>731.99208220999992</v>
      </c>
      <c r="L210" s="568">
        <v>1060.27689076</v>
      </c>
      <c r="M210" s="568">
        <v>138.37226946999999</v>
      </c>
      <c r="N210" s="568">
        <v>3676.9842393400004</v>
      </c>
      <c r="O210" s="568">
        <v>593.61981273999993</v>
      </c>
    </row>
    <row r="211" spans="1:15" ht="13.2">
      <c r="A211" s="384" t="s">
        <v>25</v>
      </c>
      <c r="B211" s="568">
        <v>13865.532789560002</v>
      </c>
      <c r="C211" s="568">
        <v>1491.26908237</v>
      </c>
      <c r="D211" s="568">
        <v>9107.3190006700006</v>
      </c>
      <c r="E211" s="568">
        <v>755.85807252000006</v>
      </c>
      <c r="F211" s="568">
        <v>1520.5281773699999</v>
      </c>
      <c r="G211" s="568">
        <v>125.85851599999999</v>
      </c>
      <c r="H211" s="568">
        <v>7586.7908233000007</v>
      </c>
      <c r="I211" s="568">
        <v>629.99955652000006</v>
      </c>
      <c r="J211" s="568">
        <v>4758.2137888900015</v>
      </c>
      <c r="K211" s="568">
        <v>735.41100984999991</v>
      </c>
      <c r="L211" s="568">
        <v>1072.8908095100001</v>
      </c>
      <c r="M211" s="568">
        <v>146.12387283999999</v>
      </c>
      <c r="N211" s="568">
        <v>3685.3229793800015</v>
      </c>
      <c r="O211" s="568">
        <v>589.28713700999992</v>
      </c>
    </row>
    <row r="212" spans="1:15" ht="13.2">
      <c r="A212" s="384" t="s">
        <v>26</v>
      </c>
      <c r="B212" s="568">
        <v>14242.98762236</v>
      </c>
      <c r="C212" s="568">
        <v>1442.8963405099998</v>
      </c>
      <c r="D212" s="568">
        <v>9375.6362017800002</v>
      </c>
      <c r="E212" s="568">
        <v>743.57578876000002</v>
      </c>
      <c r="F212" s="568">
        <v>1571.0981216799998</v>
      </c>
      <c r="G212" s="568">
        <v>120.85494549000001</v>
      </c>
      <c r="H212" s="568">
        <v>7804.5380801000001</v>
      </c>
      <c r="I212" s="568">
        <v>622.72084327000005</v>
      </c>
      <c r="J212" s="568">
        <v>4867.3514205800002</v>
      </c>
      <c r="K212" s="568">
        <v>699.32055174999994</v>
      </c>
      <c r="L212" s="568">
        <v>1086.1927997400001</v>
      </c>
      <c r="M212" s="568">
        <v>137.33986110999999</v>
      </c>
      <c r="N212" s="568">
        <v>3781.1586208400004</v>
      </c>
      <c r="O212" s="568">
        <v>561.98069063999992</v>
      </c>
    </row>
    <row r="213" spans="1:15" ht="13.2">
      <c r="A213" s="384" t="s">
        <v>27</v>
      </c>
      <c r="B213" s="568">
        <v>14445.834273410002</v>
      </c>
      <c r="C213" s="568">
        <v>1384.94292948</v>
      </c>
      <c r="D213" s="568">
        <v>9556.8067920000012</v>
      </c>
      <c r="E213" s="568">
        <v>729.25881729999992</v>
      </c>
      <c r="F213" s="568">
        <v>1607.5954294799999</v>
      </c>
      <c r="G213" s="568">
        <v>119.43865634000002</v>
      </c>
      <c r="H213" s="568">
        <v>7949.2113625200018</v>
      </c>
      <c r="I213" s="568">
        <v>609.82016095999995</v>
      </c>
      <c r="J213" s="568">
        <v>4889.0274814100003</v>
      </c>
      <c r="K213" s="568">
        <v>655.68411218000006</v>
      </c>
      <c r="L213" s="568">
        <v>1079.94091506</v>
      </c>
      <c r="M213" s="568">
        <v>132.68467351999999</v>
      </c>
      <c r="N213" s="568">
        <v>3809.0865663500008</v>
      </c>
      <c r="O213" s="568">
        <v>522.99943866000001</v>
      </c>
    </row>
    <row r="214" spans="1:15" ht="13.2">
      <c r="A214" s="384" t="s">
        <v>28</v>
      </c>
      <c r="B214" s="568">
        <v>15116.424979360001</v>
      </c>
      <c r="C214" s="568">
        <v>1410.4221754200003</v>
      </c>
      <c r="D214" s="568">
        <v>9799.0750926199999</v>
      </c>
      <c r="E214" s="568">
        <v>748.35883137000019</v>
      </c>
      <c r="F214" s="568">
        <v>1657.67475251</v>
      </c>
      <c r="G214" s="568">
        <v>114.35147695000001</v>
      </c>
      <c r="H214" s="568">
        <v>8141.4003401100008</v>
      </c>
      <c r="I214" s="568">
        <v>634.00735442000018</v>
      </c>
      <c r="J214" s="568">
        <v>5317.3498867399985</v>
      </c>
      <c r="K214" s="568">
        <v>662.06334405000007</v>
      </c>
      <c r="L214" s="568">
        <v>1350.0919196999998</v>
      </c>
      <c r="M214" s="568">
        <v>119.96884806000003</v>
      </c>
      <c r="N214" s="568">
        <v>3967.2579670399996</v>
      </c>
      <c r="O214" s="568">
        <v>542.09449599000004</v>
      </c>
    </row>
    <row r="215" spans="1:15" ht="13.2">
      <c r="A215" s="384" t="s">
        <v>29</v>
      </c>
      <c r="B215" s="568">
        <v>15298.183505950001</v>
      </c>
      <c r="C215" s="568">
        <v>1273.0674075999998</v>
      </c>
      <c r="D215" s="568">
        <v>10000.82224388</v>
      </c>
      <c r="E215" s="568">
        <v>702.40343936999989</v>
      </c>
      <c r="F215" s="568">
        <v>1659.59703459</v>
      </c>
      <c r="G215" s="568">
        <v>106.04795082000001</v>
      </c>
      <c r="H215" s="568">
        <v>8341.2252092899998</v>
      </c>
      <c r="I215" s="568">
        <v>596.35548855000002</v>
      </c>
      <c r="J215" s="568">
        <v>5297.3612620700005</v>
      </c>
      <c r="K215" s="568">
        <v>570.66396823000002</v>
      </c>
      <c r="L215" s="568">
        <v>1259.1192320000002</v>
      </c>
      <c r="M215" s="568">
        <v>119.98133505000001</v>
      </c>
      <c r="N215" s="568">
        <v>4038.2420300700005</v>
      </c>
      <c r="O215" s="568">
        <v>450.68263317999998</v>
      </c>
    </row>
    <row r="216" spans="1:15" ht="13.2">
      <c r="A216" s="384" t="s">
        <v>2407</v>
      </c>
      <c r="B216" s="567">
        <v>14530.423128149998</v>
      </c>
      <c r="C216" s="567">
        <v>893.13990544000001</v>
      </c>
      <c r="D216" s="567">
        <v>10203.978943079997</v>
      </c>
      <c r="E216" s="567">
        <v>653.86810708999997</v>
      </c>
      <c r="F216" s="567">
        <v>1754.1785430999998</v>
      </c>
      <c r="G216" s="567">
        <v>94.622461000000015</v>
      </c>
      <c r="H216" s="567">
        <v>8449.8003999799985</v>
      </c>
      <c r="I216" s="567">
        <v>559.24564609000004</v>
      </c>
      <c r="J216" s="567">
        <v>4326.4441850699995</v>
      </c>
      <c r="K216" s="567">
        <v>239.27179834999998</v>
      </c>
      <c r="L216" s="567">
        <v>720.73838853999985</v>
      </c>
      <c r="M216" s="567">
        <v>40.742700790000008</v>
      </c>
      <c r="N216" s="567">
        <v>3605.7057965299996</v>
      </c>
      <c r="O216" s="567">
        <v>198.52909755999997</v>
      </c>
    </row>
    <row r="217" spans="1:15" ht="13.2">
      <c r="A217" s="384" t="s">
        <v>18</v>
      </c>
      <c r="B217" s="568">
        <v>15513.610178430001</v>
      </c>
      <c r="C217" s="568">
        <v>1306.8619599599999</v>
      </c>
      <c r="D217" s="568">
        <v>10007.387286380001</v>
      </c>
      <c r="E217" s="568">
        <v>728.38359565999986</v>
      </c>
      <c r="F217" s="568">
        <v>1642.2571132799997</v>
      </c>
      <c r="G217" s="568">
        <v>108.91512322999999</v>
      </c>
      <c r="H217" s="568">
        <v>8365.1301731000021</v>
      </c>
      <c r="I217" s="568">
        <v>619.46847243000002</v>
      </c>
      <c r="J217" s="568">
        <v>5506.2228920500002</v>
      </c>
      <c r="K217" s="568">
        <v>578.47836429999995</v>
      </c>
      <c r="L217" s="568">
        <v>1211.6829901499998</v>
      </c>
      <c r="M217" s="568">
        <v>124.66481515000001</v>
      </c>
      <c r="N217" s="568">
        <v>4294.5399019000006</v>
      </c>
      <c r="O217" s="568">
        <v>453.81354914999997</v>
      </c>
    </row>
    <row r="218" spans="1:15" ht="13.2">
      <c r="A218" s="384" t="s">
        <v>19</v>
      </c>
      <c r="B218" s="568">
        <v>15696.359848159998</v>
      </c>
      <c r="C218" s="568">
        <v>1297.7919746600001</v>
      </c>
      <c r="D218" s="568">
        <v>10197.367379770001</v>
      </c>
      <c r="E218" s="568">
        <v>730.08705178000014</v>
      </c>
      <c r="F218" s="568">
        <v>1688.0197011100001</v>
      </c>
      <c r="G218" s="568">
        <v>108.03263208000003</v>
      </c>
      <c r="H218" s="568">
        <v>8509.3476786600022</v>
      </c>
      <c r="I218" s="568">
        <v>622.05441970000015</v>
      </c>
      <c r="J218" s="568">
        <v>5498.9924683899999</v>
      </c>
      <c r="K218" s="568">
        <v>567.70492288000003</v>
      </c>
      <c r="L218" s="568">
        <v>1213.4867311499997</v>
      </c>
      <c r="M218" s="568">
        <v>124.04899418000002</v>
      </c>
      <c r="N218" s="568">
        <v>4285.5057372400006</v>
      </c>
      <c r="O218" s="568">
        <v>443.65592869999995</v>
      </c>
    </row>
    <row r="219" spans="1:15" ht="13.2">
      <c r="A219" s="384" t="s">
        <v>20</v>
      </c>
      <c r="B219" s="568">
        <v>15637.419790709999</v>
      </c>
      <c r="C219" s="568">
        <v>1386.7515801299999</v>
      </c>
      <c r="D219" s="568">
        <v>10443.599225560001</v>
      </c>
      <c r="E219" s="568">
        <v>777.79502507000007</v>
      </c>
      <c r="F219" s="568">
        <v>1797.01206402</v>
      </c>
      <c r="G219" s="568">
        <v>116.90400399000002</v>
      </c>
      <c r="H219" s="568">
        <v>8646.587161540001</v>
      </c>
      <c r="I219" s="568">
        <v>660.89102108000009</v>
      </c>
      <c r="J219" s="568">
        <v>5193.8205651499993</v>
      </c>
      <c r="K219" s="568">
        <v>608.95655505999991</v>
      </c>
      <c r="L219" s="568">
        <v>1003.5212437399999</v>
      </c>
      <c r="M219" s="568">
        <v>165.40259683000002</v>
      </c>
      <c r="N219" s="568">
        <v>4190.2993214099997</v>
      </c>
      <c r="O219" s="568">
        <v>443.55395822999992</v>
      </c>
    </row>
    <row r="220" spans="1:15" ht="13.2">
      <c r="A220" s="384" t="s">
        <v>21</v>
      </c>
      <c r="B220" s="568" t="s">
        <v>2452</v>
      </c>
      <c r="C220" s="568">
        <v>1232.4418596000003</v>
      </c>
      <c r="D220" s="568">
        <v>10179.152394559998</v>
      </c>
      <c r="E220" s="568">
        <v>745.77714110000011</v>
      </c>
      <c r="F220" s="568">
        <v>1802.1615540199998</v>
      </c>
      <c r="G220" s="568">
        <v>128.16530624000001</v>
      </c>
      <c r="H220" s="568">
        <v>8376.9908405399983</v>
      </c>
      <c r="I220" s="568">
        <v>617.61183486000016</v>
      </c>
      <c r="J220" s="568">
        <v>4967.69540951</v>
      </c>
      <c r="K220" s="568">
        <v>486.66471850000005</v>
      </c>
      <c r="L220" s="568">
        <v>895.27010148999989</v>
      </c>
      <c r="M220" s="568">
        <v>72.324280580000021</v>
      </c>
      <c r="N220" s="568">
        <v>4072.4253080200001</v>
      </c>
      <c r="O220" s="568">
        <v>414.34043792</v>
      </c>
    </row>
    <row r="221" spans="1:15" ht="13.2">
      <c r="A221" s="384" t="s">
        <v>22</v>
      </c>
      <c r="B221" s="568" t="s">
        <v>2469</v>
      </c>
      <c r="C221" s="568">
        <v>1084.8214846800004</v>
      </c>
      <c r="D221" s="568">
        <v>9928.5330190000004</v>
      </c>
      <c r="E221" s="568">
        <v>657.68580231000021</v>
      </c>
      <c r="F221" s="568">
        <v>1760.2832394999998</v>
      </c>
      <c r="G221" s="568">
        <v>107.17698140000002</v>
      </c>
      <c r="H221" s="568">
        <v>8168.2497794999999</v>
      </c>
      <c r="I221" s="568">
        <v>550.50882091000017</v>
      </c>
      <c r="J221" s="568">
        <v>4837.1738349800007</v>
      </c>
      <c r="K221" s="568">
        <v>427.13568237000004</v>
      </c>
      <c r="L221" s="568">
        <v>817.95019378999973</v>
      </c>
      <c r="M221" s="568">
        <v>62.438278789999991</v>
      </c>
      <c r="N221" s="568">
        <v>4019.2236411900003</v>
      </c>
      <c r="O221" s="568">
        <v>364.69740358000007</v>
      </c>
    </row>
    <row r="222" spans="1:15" ht="13.2">
      <c r="A222" s="384" t="s">
        <v>23</v>
      </c>
      <c r="B222" s="568">
        <v>14550.65617651</v>
      </c>
      <c r="C222" s="568">
        <v>1065.5159760600002</v>
      </c>
      <c r="D222" s="568">
        <v>9897.7629030700009</v>
      </c>
      <c r="E222" s="568">
        <v>656.19959554000002</v>
      </c>
      <c r="F222" s="568">
        <v>1738.1614368800003</v>
      </c>
      <c r="G222" s="568">
        <v>104.21832792000001</v>
      </c>
      <c r="H222" s="568">
        <v>8159.6014661899999</v>
      </c>
      <c r="I222" s="568">
        <v>551.98126762000004</v>
      </c>
      <c r="J222" s="568">
        <v>4652.8932734400014</v>
      </c>
      <c r="K222" s="568">
        <v>409.31638052</v>
      </c>
      <c r="L222" s="568">
        <v>755.32276706000016</v>
      </c>
      <c r="M222" s="568">
        <v>51.728728400000001</v>
      </c>
      <c r="N222" s="568">
        <v>3897.570506380001</v>
      </c>
      <c r="O222" s="568">
        <v>357.58765211999997</v>
      </c>
    </row>
    <row r="223" spans="1:15" ht="13.2">
      <c r="A223" s="384" t="s">
        <v>24</v>
      </c>
      <c r="B223" s="568">
        <v>14585.314835290001</v>
      </c>
      <c r="C223" s="568">
        <v>1062.4228878200001</v>
      </c>
      <c r="D223" s="568">
        <v>9913.9480657999993</v>
      </c>
      <c r="E223" s="568">
        <v>665.33593518999999</v>
      </c>
      <c r="F223" s="568">
        <v>1741.5003841400003</v>
      </c>
      <c r="G223" s="568">
        <v>107.52460289</v>
      </c>
      <c r="H223" s="568">
        <v>8172.447681659999</v>
      </c>
      <c r="I223" s="568">
        <v>557.8113323</v>
      </c>
      <c r="J223" s="568">
        <v>4671.3667694900005</v>
      </c>
      <c r="K223" s="568">
        <v>397.08695263000004</v>
      </c>
      <c r="L223" s="568">
        <v>758.91884249999998</v>
      </c>
      <c r="M223" s="568">
        <v>52.053345960000009</v>
      </c>
      <c r="N223" s="568">
        <v>3912.4479269900003</v>
      </c>
      <c r="O223" s="568">
        <v>345.03360666999998</v>
      </c>
    </row>
    <row r="224" spans="1:15" ht="13.2">
      <c r="A224" s="384" t="s">
        <v>25</v>
      </c>
      <c r="B224" s="568">
        <v>14685.098078149998</v>
      </c>
      <c r="C224" s="568">
        <v>1065.4106116100002</v>
      </c>
      <c r="D224" s="568">
        <v>10044.562058459998</v>
      </c>
      <c r="E224" s="568">
        <v>662.61992013000008</v>
      </c>
      <c r="F224" s="568">
        <v>1756.9412022800002</v>
      </c>
      <c r="G224" s="568">
        <v>104.37121056000001</v>
      </c>
      <c r="H224" s="568">
        <v>8287.6208561799995</v>
      </c>
      <c r="I224" s="568">
        <v>558.24870957000007</v>
      </c>
      <c r="J224" s="568">
        <v>4640.536019690001</v>
      </c>
      <c r="K224" s="568">
        <v>402.79069147999996</v>
      </c>
      <c r="L224" s="568">
        <v>747.2908496099999</v>
      </c>
      <c r="M224" s="568">
        <v>56.13031817000001</v>
      </c>
      <c r="N224" s="568">
        <v>3893.2451700800011</v>
      </c>
      <c r="O224" s="568">
        <v>346.66037330999995</v>
      </c>
    </row>
    <row r="225" spans="1:15" ht="13.2">
      <c r="A225" s="384" t="s">
        <v>26</v>
      </c>
      <c r="B225" s="568">
        <v>14873.658797599997</v>
      </c>
      <c r="C225" s="568">
        <v>1069.5053917</v>
      </c>
      <c r="D225" s="568">
        <v>10211.329260919998</v>
      </c>
      <c r="E225" s="568">
        <v>672.68117094000002</v>
      </c>
      <c r="F225" s="568">
        <v>1740.2758229899998</v>
      </c>
      <c r="G225" s="568">
        <v>107.21670950000001</v>
      </c>
      <c r="H225" s="568">
        <v>8471.053437929997</v>
      </c>
      <c r="I225" s="568">
        <v>565.46446143999992</v>
      </c>
      <c r="J225" s="568">
        <v>4662.3295366799994</v>
      </c>
      <c r="K225" s="568">
        <v>396.82422076</v>
      </c>
      <c r="L225" s="568">
        <v>728.98077230999979</v>
      </c>
      <c r="M225" s="568">
        <v>55.589222129999996</v>
      </c>
      <c r="N225" s="568">
        <v>3933.3487643699996</v>
      </c>
      <c r="O225" s="568">
        <v>341.23499863000001</v>
      </c>
    </row>
    <row r="226" spans="1:15" ht="13.2">
      <c r="A226" s="384" t="s">
        <v>27</v>
      </c>
      <c r="B226" s="568">
        <v>14785.940748230001</v>
      </c>
      <c r="C226" s="568">
        <v>1006.52323186</v>
      </c>
      <c r="D226" s="568">
        <v>10254.288062869999</v>
      </c>
      <c r="E226" s="568">
        <v>678.32972275000009</v>
      </c>
      <c r="F226" s="568">
        <v>1722.0806266899999</v>
      </c>
      <c r="G226" s="568">
        <v>113.397586</v>
      </c>
      <c r="H226" s="568">
        <v>8532.2074361799987</v>
      </c>
      <c r="I226" s="568">
        <v>564.93213675000004</v>
      </c>
      <c r="J226" s="568">
        <v>4531.6526853600008</v>
      </c>
      <c r="K226" s="568">
        <v>328.19350910999998</v>
      </c>
      <c r="L226" s="568">
        <v>735.96929818000024</v>
      </c>
      <c r="M226" s="568">
        <v>45.364212570000007</v>
      </c>
      <c r="N226" s="568">
        <v>3795.68338718</v>
      </c>
      <c r="O226" s="568">
        <v>282.82929653999997</v>
      </c>
    </row>
    <row r="227" spans="1:15" ht="13.2">
      <c r="A227" s="384" t="s">
        <v>28</v>
      </c>
      <c r="B227" s="568">
        <v>14681.276736809998</v>
      </c>
      <c r="C227" s="568">
        <v>922.91633638000008</v>
      </c>
      <c r="D227" s="568">
        <v>10272.801011689997</v>
      </c>
      <c r="E227" s="568">
        <v>655.89601746000005</v>
      </c>
      <c r="F227" s="568">
        <v>1773.3773934499998</v>
      </c>
      <c r="G227" s="568">
        <v>97.262283610000011</v>
      </c>
      <c r="H227" s="568">
        <v>8499.4236182399964</v>
      </c>
      <c r="I227" s="568">
        <v>558.63373385</v>
      </c>
      <c r="J227" s="568">
        <v>4408.4757251199999</v>
      </c>
      <c r="K227" s="568">
        <v>267.02031892000002</v>
      </c>
      <c r="L227" s="568">
        <v>733.08998416000009</v>
      </c>
      <c r="M227" s="568">
        <v>43.563146709999998</v>
      </c>
      <c r="N227" s="568">
        <v>3675.38574096</v>
      </c>
      <c r="O227" s="568">
        <v>223.45717221000004</v>
      </c>
    </row>
    <row r="228" spans="1:15" ht="13.2">
      <c r="A228" s="384" t="s">
        <v>29</v>
      </c>
      <c r="B228" s="568">
        <v>14530.423128149998</v>
      </c>
      <c r="C228" s="568">
        <v>893.13990544000001</v>
      </c>
      <c r="D228" s="568">
        <v>10203.978943079997</v>
      </c>
      <c r="E228" s="568">
        <v>653.86810708999997</v>
      </c>
      <c r="F228" s="568">
        <v>1754.1785430999998</v>
      </c>
      <c r="G228" s="568">
        <v>94.622461000000015</v>
      </c>
      <c r="H228" s="568">
        <v>8449.8003999799985</v>
      </c>
      <c r="I228" s="568">
        <v>559.24564609000004</v>
      </c>
      <c r="J228" s="568">
        <v>4326.4441850699995</v>
      </c>
      <c r="K228" s="568">
        <v>239.27179834999998</v>
      </c>
      <c r="L228" s="568">
        <v>720.73838853999985</v>
      </c>
      <c r="M228" s="568">
        <v>40.742700790000008</v>
      </c>
      <c r="N228" s="568">
        <v>3605.7057965299996</v>
      </c>
      <c r="O228" s="568">
        <v>198.52909755999997</v>
      </c>
    </row>
    <row r="229" spans="1:15" ht="13.2">
      <c r="A229" s="435">
        <v>2021</v>
      </c>
      <c r="B229" s="567">
        <v>17119.816266530001</v>
      </c>
      <c r="C229" s="567">
        <v>719.44171244100005</v>
      </c>
      <c r="D229" s="567">
        <v>12696.45821837</v>
      </c>
      <c r="E229" s="567">
        <v>531.8240892</v>
      </c>
      <c r="F229" s="567">
        <v>2246.0035127800002</v>
      </c>
      <c r="G229" s="567">
        <v>80.629324749999995</v>
      </c>
      <c r="H229" s="567">
        <v>10450.45470559</v>
      </c>
      <c r="I229" s="567">
        <v>451.19476444999998</v>
      </c>
      <c r="J229" s="567">
        <v>4423.3580481600002</v>
      </c>
      <c r="K229" s="567">
        <v>187.61762324099999</v>
      </c>
      <c r="L229" s="567">
        <v>955.90965068000003</v>
      </c>
      <c r="M229" s="567">
        <v>51.405089330999999</v>
      </c>
      <c r="N229" s="567">
        <v>3467.44839748</v>
      </c>
      <c r="O229" s="567">
        <v>136.21253390999999</v>
      </c>
    </row>
    <row r="230" spans="1:15" ht="13.2">
      <c r="A230" s="384" t="s">
        <v>18</v>
      </c>
      <c r="B230" s="568">
        <v>14587.20322659</v>
      </c>
      <c r="C230" s="568">
        <v>900.3856763</v>
      </c>
      <c r="D230" s="568">
        <v>10299.48153924</v>
      </c>
      <c r="E230" s="568">
        <v>647.57022730000006</v>
      </c>
      <c r="F230" s="568">
        <v>1797.9787913600001</v>
      </c>
      <c r="G230" s="568">
        <v>96.844620739999996</v>
      </c>
      <c r="H230" s="568">
        <v>8501.5027478800002</v>
      </c>
      <c r="I230" s="568">
        <v>550.72560655999996</v>
      </c>
      <c r="J230" s="568">
        <v>4287.7216873500001</v>
      </c>
      <c r="K230" s="568">
        <v>252.815449</v>
      </c>
      <c r="L230" s="568">
        <v>767.61437115000001</v>
      </c>
      <c r="M230" s="568">
        <v>49.487015579999998</v>
      </c>
      <c r="N230" s="568">
        <v>3520.1073161999998</v>
      </c>
      <c r="O230" s="568">
        <v>203.32843342000001</v>
      </c>
    </row>
    <row r="231" spans="1:15" ht="13.2">
      <c r="A231" s="384" t="s">
        <v>19</v>
      </c>
      <c r="B231" s="568">
        <v>14619.545503339999</v>
      </c>
      <c r="C231" s="568">
        <v>917.51636970000004</v>
      </c>
      <c r="D231" s="568">
        <v>10407.57073186</v>
      </c>
      <c r="E231" s="568">
        <v>666.79700777999994</v>
      </c>
      <c r="F231" s="568">
        <v>1861.45343669</v>
      </c>
      <c r="G231" s="568">
        <v>96.466290380000004</v>
      </c>
      <c r="H231" s="568">
        <v>8546.1172951699991</v>
      </c>
      <c r="I231" s="568">
        <v>570.33071740000003</v>
      </c>
      <c r="J231" s="568">
        <v>4211.9747714799996</v>
      </c>
      <c r="K231" s="568">
        <v>250.71936192000001</v>
      </c>
      <c r="L231" s="568">
        <v>669.10362940000005</v>
      </c>
      <c r="M231" s="568">
        <v>46.876663729999997</v>
      </c>
      <c r="N231" s="568">
        <v>3542.87114208</v>
      </c>
      <c r="O231" s="568">
        <v>203.84269818999999</v>
      </c>
    </row>
    <row r="232" spans="1:15" ht="13.2">
      <c r="A232" s="384" t="s">
        <v>20</v>
      </c>
      <c r="B232" s="568">
        <v>14728.03039973</v>
      </c>
      <c r="C232" s="568">
        <v>918.15007710999998</v>
      </c>
      <c r="D232" s="568">
        <v>10574.997616189999</v>
      </c>
      <c r="E232" s="568">
        <v>668.94892829000003</v>
      </c>
      <c r="F232" s="568">
        <v>1896.7851862099999</v>
      </c>
      <c r="G232" s="568">
        <v>93.229735579999996</v>
      </c>
      <c r="H232" s="568">
        <v>8678.2124299799998</v>
      </c>
      <c r="I232" s="568">
        <v>575.71919271000002</v>
      </c>
      <c r="J232" s="568">
        <v>4153.0327835400003</v>
      </c>
      <c r="K232" s="568">
        <v>249.20114881999999</v>
      </c>
      <c r="L232" s="568">
        <v>680.75159910000002</v>
      </c>
      <c r="M232" s="568">
        <v>48.471003469999999</v>
      </c>
      <c r="N232" s="568">
        <v>3472.2811844399998</v>
      </c>
      <c r="O232" s="568">
        <v>200.73014534999999</v>
      </c>
    </row>
    <row r="233" spans="1:15" ht="13.2">
      <c r="A233" s="384" t="s">
        <v>21</v>
      </c>
      <c r="B233" s="568">
        <v>14987.49584865</v>
      </c>
      <c r="C233" s="568">
        <v>921.53370199999995</v>
      </c>
      <c r="D233" s="568">
        <v>10836.37640879</v>
      </c>
      <c r="E233" s="568">
        <v>699.32114547000003</v>
      </c>
      <c r="F233" s="568">
        <v>1929.22047694</v>
      </c>
      <c r="G233" s="568">
        <v>108.31807354</v>
      </c>
      <c r="H233" s="568">
        <v>8907.1559318500003</v>
      </c>
      <c r="I233" s="568">
        <v>591.00307193000003</v>
      </c>
      <c r="J233" s="568">
        <v>4151.1194398600001</v>
      </c>
      <c r="K233" s="568">
        <v>222.21255653</v>
      </c>
      <c r="L233" s="568">
        <v>692.91428226000005</v>
      </c>
      <c r="M233" s="568">
        <v>49.952667609999999</v>
      </c>
      <c r="N233" s="568">
        <v>3458.2051575999999</v>
      </c>
      <c r="O233" s="568">
        <v>172.25988892000001</v>
      </c>
    </row>
    <row r="234" spans="1:15" ht="13.2">
      <c r="A234" s="384" t="s">
        <v>22</v>
      </c>
      <c r="B234" s="568">
        <v>15067.068306839999</v>
      </c>
      <c r="C234" s="568">
        <v>906.90793025000005</v>
      </c>
      <c r="D234" s="568">
        <v>10926.986445299999</v>
      </c>
      <c r="E234" s="568">
        <v>685.46766498</v>
      </c>
      <c r="F234" s="568">
        <v>1933.1520366</v>
      </c>
      <c r="G234" s="568">
        <v>92.693554629999994</v>
      </c>
      <c r="H234" s="568">
        <v>8993.8344087000005</v>
      </c>
      <c r="I234" s="568">
        <v>592.77411035</v>
      </c>
      <c r="J234" s="568">
        <v>4140.0818615400003</v>
      </c>
      <c r="K234" s="568">
        <v>221.44026527</v>
      </c>
      <c r="L234" s="568">
        <v>672.52285202999997</v>
      </c>
      <c r="M234" s="568">
        <v>47.60378068</v>
      </c>
      <c r="N234" s="568">
        <v>3467.5590095100001</v>
      </c>
      <c r="O234" s="568">
        <v>173.83648459</v>
      </c>
    </row>
    <row r="235" spans="1:15" ht="13.2">
      <c r="A235" s="384" t="s">
        <v>23</v>
      </c>
      <c r="B235" s="568">
        <v>15258.05819419</v>
      </c>
      <c r="C235" s="568">
        <v>914.58348046000003</v>
      </c>
      <c r="D235" s="568">
        <v>11148.43213687</v>
      </c>
      <c r="E235" s="568">
        <v>694.13460823000003</v>
      </c>
      <c r="F235" s="568">
        <v>1964.5204642000001</v>
      </c>
      <c r="G235" s="568">
        <v>93.614316349999996</v>
      </c>
      <c r="H235" s="568">
        <v>9183.9116726699995</v>
      </c>
      <c r="I235" s="568">
        <v>600.52029187999995</v>
      </c>
      <c r="J235" s="568">
        <v>4109.6260573199997</v>
      </c>
      <c r="K235" s="568">
        <v>220.44887223000001</v>
      </c>
      <c r="L235" s="568">
        <v>693.65767127000004</v>
      </c>
      <c r="M235" s="568">
        <v>47.841762289999998</v>
      </c>
      <c r="N235" s="568">
        <v>3415.9683860499999</v>
      </c>
      <c r="O235" s="568">
        <v>172.60710993999999</v>
      </c>
    </row>
    <row r="236" spans="1:15" ht="13.2">
      <c r="A236" s="384" t="s">
        <v>24</v>
      </c>
      <c r="B236" s="568">
        <v>15367.672983369999</v>
      </c>
      <c r="C236" s="568">
        <v>937.46215344999996</v>
      </c>
      <c r="D236" s="568">
        <v>11251.546744769999</v>
      </c>
      <c r="E236" s="568">
        <v>712.25482284999998</v>
      </c>
      <c r="F236" s="568">
        <v>2013.5557064499999</v>
      </c>
      <c r="G236" s="568">
        <v>94.494357120000004</v>
      </c>
      <c r="H236" s="568">
        <v>9237.9910383200004</v>
      </c>
      <c r="I236" s="568">
        <v>617.76046572999996</v>
      </c>
      <c r="J236" s="568">
        <v>4116.1262385999999</v>
      </c>
      <c r="K236" s="568">
        <v>225.20733060000001</v>
      </c>
      <c r="L236" s="568">
        <v>714.16852926000001</v>
      </c>
      <c r="M236" s="568">
        <v>51.764850549999998</v>
      </c>
      <c r="N236" s="568">
        <v>3401.9577093399998</v>
      </c>
      <c r="O236" s="568">
        <v>173.44248005</v>
      </c>
    </row>
    <row r="237" spans="1:15" ht="13.2">
      <c r="A237" s="384" t="s">
        <v>25</v>
      </c>
      <c r="B237" s="568">
        <v>15607.979105320001</v>
      </c>
      <c r="C237" s="568">
        <v>904.16886915999999</v>
      </c>
      <c r="D237" s="568">
        <v>11426.73154547</v>
      </c>
      <c r="E237" s="568">
        <v>687.53866123</v>
      </c>
      <c r="F237" s="568">
        <v>2014.79062649</v>
      </c>
      <c r="G237" s="568">
        <v>94.177497819999999</v>
      </c>
      <c r="H237" s="568">
        <v>9411.9409189800008</v>
      </c>
      <c r="I237" s="568">
        <v>593.36116341000002</v>
      </c>
      <c r="J237" s="568">
        <v>4181.2475598499996</v>
      </c>
      <c r="K237" s="568">
        <v>216.63020793000001</v>
      </c>
      <c r="L237" s="568">
        <v>763.07305862999999</v>
      </c>
      <c r="M237" s="568">
        <v>45.313542130000002</v>
      </c>
      <c r="N237" s="568">
        <v>3418.1745012199999</v>
      </c>
      <c r="O237" s="568">
        <v>171.31666580000001</v>
      </c>
    </row>
    <row r="238" spans="1:15" ht="13.2">
      <c r="A238" s="384" t="s">
        <v>26</v>
      </c>
      <c r="B238" s="568">
        <v>15957.303832469999</v>
      </c>
      <c r="C238" s="568">
        <v>871.14004873999897</v>
      </c>
      <c r="D238" s="568">
        <v>11707.88823742</v>
      </c>
      <c r="E238" s="568">
        <v>660.70912521000002</v>
      </c>
      <c r="F238" s="568">
        <v>2074.0738854400001</v>
      </c>
      <c r="G238" s="568">
        <v>89.766116760000003</v>
      </c>
      <c r="H238" s="568">
        <v>9633.8143519799996</v>
      </c>
      <c r="I238" s="568">
        <v>570.94300844999998</v>
      </c>
      <c r="J238" s="568">
        <v>4249.4155950499999</v>
      </c>
      <c r="K238" s="568">
        <v>210.43092353</v>
      </c>
      <c r="L238" s="568">
        <v>814.07784002999995</v>
      </c>
      <c r="M238" s="568">
        <v>42.921859019999999</v>
      </c>
      <c r="N238" s="568">
        <v>3435.3377550199998</v>
      </c>
      <c r="O238" s="568">
        <v>167.50906451</v>
      </c>
    </row>
    <row r="239" spans="1:15" ht="13.2">
      <c r="A239" s="384" t="s">
        <v>27</v>
      </c>
      <c r="B239" s="568">
        <v>16415.890409920001</v>
      </c>
      <c r="C239" s="568">
        <v>815.87446340999998</v>
      </c>
      <c r="D239" s="568">
        <v>11913.468517990001</v>
      </c>
      <c r="E239" s="568">
        <v>597.93212702000005</v>
      </c>
      <c r="F239" s="568">
        <v>2140.4926438699999</v>
      </c>
      <c r="G239" s="568">
        <v>84.669884519999997</v>
      </c>
      <c r="H239" s="568">
        <v>9772.9758741200003</v>
      </c>
      <c r="I239" s="568">
        <v>513.26224249999996</v>
      </c>
      <c r="J239" s="568">
        <v>4502.4218919300001</v>
      </c>
      <c r="K239" s="568">
        <v>217.94233639000001</v>
      </c>
      <c r="L239" s="568">
        <v>946.4935031</v>
      </c>
      <c r="M239" s="568">
        <v>55.73458239</v>
      </c>
      <c r="N239" s="568">
        <v>3555.9283888300001</v>
      </c>
      <c r="O239" s="568">
        <v>162.20775399999999</v>
      </c>
    </row>
    <row r="240" spans="1:15" ht="13.2">
      <c r="A240" s="384" t="s">
        <v>28</v>
      </c>
      <c r="B240" s="568">
        <v>16700.565043179999</v>
      </c>
      <c r="C240" s="568">
        <v>786.28199433999998</v>
      </c>
      <c r="D240" s="568">
        <v>12271.32758225</v>
      </c>
      <c r="E240" s="568">
        <v>571.54338396000003</v>
      </c>
      <c r="F240" s="568">
        <v>2244.5868893500001</v>
      </c>
      <c r="G240" s="568">
        <v>85.640184000000005</v>
      </c>
      <c r="H240" s="568">
        <v>10026.740692900001</v>
      </c>
      <c r="I240" s="568">
        <v>485.90319995999999</v>
      </c>
      <c r="J240" s="568">
        <v>4429.2374609300005</v>
      </c>
      <c r="K240" s="568">
        <v>214.73861038000001</v>
      </c>
      <c r="L240" s="568">
        <v>932.74929309000004</v>
      </c>
      <c r="M240" s="568">
        <v>54.031234310000002</v>
      </c>
      <c r="N240" s="568">
        <v>3496.4881678400002</v>
      </c>
      <c r="O240" s="568">
        <v>160.70737607000001</v>
      </c>
    </row>
    <row r="241" spans="1:15" ht="13.2">
      <c r="A241" s="384" t="s">
        <v>29</v>
      </c>
      <c r="B241" s="568">
        <v>17119.816266530001</v>
      </c>
      <c r="C241" s="568">
        <v>719.44171244100005</v>
      </c>
      <c r="D241" s="568">
        <v>12696.45821837</v>
      </c>
      <c r="E241" s="568">
        <v>531.8240892</v>
      </c>
      <c r="F241" s="568">
        <v>2246.0035127800002</v>
      </c>
      <c r="G241" s="568">
        <v>80.629324749999995</v>
      </c>
      <c r="H241" s="568">
        <v>10450.45470559</v>
      </c>
      <c r="I241" s="568">
        <v>451.19476444999998</v>
      </c>
      <c r="J241" s="568">
        <v>4423.3580481600002</v>
      </c>
      <c r="K241" s="568">
        <v>187.61762324099999</v>
      </c>
      <c r="L241" s="568">
        <v>955.90965068000003</v>
      </c>
      <c r="M241" s="568">
        <v>51.405089330999999</v>
      </c>
      <c r="N241" s="568">
        <v>3467.44839748</v>
      </c>
      <c r="O241" s="568">
        <v>136.21253390999999</v>
      </c>
    </row>
    <row r="242" spans="1:15" ht="13.2">
      <c r="A242" s="384" t="s">
        <v>2892</v>
      </c>
      <c r="B242" s="567">
        <v>20183.981847880001</v>
      </c>
      <c r="C242" s="567">
        <v>593.74010190000001</v>
      </c>
      <c r="D242" s="567">
        <v>16194.32869187</v>
      </c>
      <c r="E242" s="567">
        <v>436.53477371999998</v>
      </c>
      <c r="F242" s="567">
        <v>2838.2065448600001</v>
      </c>
      <c r="G242" s="567">
        <v>74.676728499999996</v>
      </c>
      <c r="H242" s="567">
        <v>13356.122147010001</v>
      </c>
      <c r="I242" s="567">
        <v>361.85804522000001</v>
      </c>
      <c r="J242" s="567">
        <v>3989.6531560100002</v>
      </c>
      <c r="K242" s="567">
        <v>157.20532818000001</v>
      </c>
      <c r="L242" s="567">
        <v>770.83539777999999</v>
      </c>
      <c r="M242" s="567">
        <v>40.809313410000001</v>
      </c>
      <c r="N242" s="567">
        <v>3218.81775823</v>
      </c>
      <c r="O242" s="567">
        <v>116.39601476999999</v>
      </c>
    </row>
    <row r="243" spans="1:15" ht="13.2">
      <c r="A243" s="384" t="s">
        <v>18</v>
      </c>
      <c r="B243" s="568">
        <v>17242.149871199999</v>
      </c>
      <c r="C243" s="568">
        <v>706.54506468099999</v>
      </c>
      <c r="D243" s="568">
        <v>12817.82820563</v>
      </c>
      <c r="E243" s="568">
        <v>514.54677155000002</v>
      </c>
      <c r="F243" s="568">
        <v>2255.1230671500002</v>
      </c>
      <c r="G243" s="568">
        <v>83.849482890000004</v>
      </c>
      <c r="H243" s="568">
        <v>10562.70513848</v>
      </c>
      <c r="I243" s="568">
        <v>430.69728866000003</v>
      </c>
      <c r="J243" s="568">
        <v>4424.3216655699998</v>
      </c>
      <c r="K243" s="568">
        <v>191.998293131</v>
      </c>
      <c r="L243" s="568">
        <v>976.48917088999997</v>
      </c>
      <c r="M243" s="568">
        <v>51.256426150999999</v>
      </c>
      <c r="N243" s="568">
        <v>3447.8324946799999</v>
      </c>
      <c r="O243" s="568">
        <v>140.74186698</v>
      </c>
    </row>
    <row r="244" spans="1:15" ht="13.2">
      <c r="A244" s="384" t="s">
        <v>19</v>
      </c>
      <c r="B244" s="568">
        <v>17587.221785509999</v>
      </c>
      <c r="C244" s="568">
        <v>690.22803666100003</v>
      </c>
      <c r="D244" s="568">
        <v>13152.53778452</v>
      </c>
      <c r="E244" s="568">
        <v>500.31258965000001</v>
      </c>
      <c r="F244" s="568">
        <v>2371.6997349100002</v>
      </c>
      <c r="G244" s="568">
        <v>83.798901090000001</v>
      </c>
      <c r="H244" s="568">
        <v>10780.83804961</v>
      </c>
      <c r="I244" s="568">
        <v>416.51368855999999</v>
      </c>
      <c r="J244" s="568">
        <v>4434.6840009899997</v>
      </c>
      <c r="K244" s="568">
        <v>189.915447011</v>
      </c>
      <c r="L244" s="568">
        <v>1049.74013386</v>
      </c>
      <c r="M244" s="568">
        <v>50.666347760999997</v>
      </c>
      <c r="N244" s="568">
        <v>3384.9438671299999</v>
      </c>
      <c r="O244" s="568">
        <v>139.24909925</v>
      </c>
    </row>
    <row r="245" spans="1:15" ht="13.2">
      <c r="A245" s="384" t="s">
        <v>20</v>
      </c>
      <c r="B245" s="568">
        <v>18007.769891451</v>
      </c>
      <c r="C245" s="568">
        <v>685.18649990100005</v>
      </c>
      <c r="D245" s="568">
        <v>13498.31508642</v>
      </c>
      <c r="E245" s="568">
        <v>484.17742141999997</v>
      </c>
      <c r="F245" s="568">
        <v>2451.8548598100001</v>
      </c>
      <c r="G245" s="568">
        <v>91.229191940000007</v>
      </c>
      <c r="H245" s="568">
        <v>11046.460226609999</v>
      </c>
      <c r="I245" s="568">
        <v>392.94822948000001</v>
      </c>
      <c r="J245" s="568">
        <v>4509.4548050310004</v>
      </c>
      <c r="K245" s="568">
        <v>201.00907848099999</v>
      </c>
      <c r="L245" s="568">
        <v>978.22342058100003</v>
      </c>
      <c r="M245" s="568">
        <v>57.715947030999999</v>
      </c>
      <c r="N245" s="568">
        <v>3531.23138445</v>
      </c>
      <c r="O245" s="568">
        <v>143.29313145</v>
      </c>
    </row>
    <row r="246" spans="1:15" ht="13.2">
      <c r="A246" s="384" t="s">
        <v>21</v>
      </c>
      <c r="B246" s="568">
        <v>18319.964781931001</v>
      </c>
      <c r="C246" s="568">
        <v>674.77748304099998</v>
      </c>
      <c r="D246" s="568">
        <v>13872.12866036</v>
      </c>
      <c r="E246" s="568">
        <v>473.43038794</v>
      </c>
      <c r="F246" s="568">
        <v>2553.1129154300002</v>
      </c>
      <c r="G246" s="568">
        <v>86.027146729999998</v>
      </c>
      <c r="H246" s="568">
        <v>11319.01574493</v>
      </c>
      <c r="I246" s="568">
        <v>387.40324120999998</v>
      </c>
      <c r="J246" s="568">
        <v>4447.8361215710001</v>
      </c>
      <c r="K246" s="568">
        <v>201.34709510100001</v>
      </c>
      <c r="L246" s="568">
        <v>969.477541761</v>
      </c>
      <c r="M246" s="568">
        <v>60.260919121000001</v>
      </c>
      <c r="N246" s="568">
        <v>3478.3585798099998</v>
      </c>
      <c r="O246" s="568">
        <v>141.08617598000001</v>
      </c>
    </row>
    <row r="247" spans="1:15" ht="13.2">
      <c r="A247" s="384" t="s">
        <v>22</v>
      </c>
      <c r="B247" s="568">
        <v>18577.875236771</v>
      </c>
      <c r="C247" s="568">
        <v>673.73641594100002</v>
      </c>
      <c r="D247" s="568">
        <v>14106.29408756</v>
      </c>
      <c r="E247" s="568">
        <v>472.73205044000002</v>
      </c>
      <c r="F247" s="568">
        <v>2530.4130721900001</v>
      </c>
      <c r="G247" s="568">
        <v>85.956871759999999</v>
      </c>
      <c r="H247" s="568">
        <v>11575.88101537</v>
      </c>
      <c r="I247" s="568">
        <v>386.77517868000001</v>
      </c>
      <c r="J247" s="568">
        <v>4471.5811492109997</v>
      </c>
      <c r="K247" s="568">
        <v>201.004365501</v>
      </c>
      <c r="L247" s="568">
        <v>1000.477938541</v>
      </c>
      <c r="M247" s="568">
        <v>57.545981490999999</v>
      </c>
      <c r="N247" s="568">
        <v>3471.10321067</v>
      </c>
      <c r="O247" s="568">
        <v>143.45838401</v>
      </c>
    </row>
    <row r="248" spans="1:15" ht="13.2">
      <c r="A248" s="384" t="s">
        <v>23</v>
      </c>
      <c r="B248" s="568">
        <v>18818.200924164601</v>
      </c>
      <c r="C248" s="568">
        <v>661.21798656500005</v>
      </c>
      <c r="D248" s="568">
        <v>14484.9212792096</v>
      </c>
      <c r="E248" s="568">
        <v>475.93267407000002</v>
      </c>
      <c r="F248" s="568">
        <v>2690.44674089</v>
      </c>
      <c r="G248" s="568">
        <v>90.75005256</v>
      </c>
      <c r="H248" s="568">
        <v>11794.4745383196</v>
      </c>
      <c r="I248" s="568">
        <v>385.18262150999999</v>
      </c>
      <c r="J248" s="568">
        <v>4333.2796449549996</v>
      </c>
      <c r="K248" s="568">
        <v>185.285312495</v>
      </c>
      <c r="L248" s="568">
        <v>1053.3818257349999</v>
      </c>
      <c r="M248" s="568">
        <v>55.946921345</v>
      </c>
      <c r="N248" s="568">
        <v>3279.8978192200002</v>
      </c>
      <c r="O248" s="568">
        <v>129.33839115000001</v>
      </c>
    </row>
    <row r="249" spans="1:15" ht="13.2">
      <c r="A249" s="384" t="s">
        <v>24</v>
      </c>
      <c r="B249" s="568">
        <v>18985.634951354601</v>
      </c>
      <c r="C249" s="568">
        <v>662.33321448499998</v>
      </c>
      <c r="D249" s="568">
        <v>14645.7346083596</v>
      </c>
      <c r="E249" s="568">
        <v>467.36739869000002</v>
      </c>
      <c r="F249" s="568">
        <v>2702.5018960500001</v>
      </c>
      <c r="G249" s="568">
        <v>87.147762479999997</v>
      </c>
      <c r="H249" s="568">
        <v>11943.2327123096</v>
      </c>
      <c r="I249" s="568">
        <v>380.21963620999998</v>
      </c>
      <c r="J249" s="568">
        <v>4339.9003429949998</v>
      </c>
      <c r="K249" s="568">
        <v>194.965815795</v>
      </c>
      <c r="L249" s="568">
        <v>1127.3708482750001</v>
      </c>
      <c r="M249" s="568">
        <v>58.126071455000002</v>
      </c>
      <c r="N249" s="568">
        <v>3212.52949472</v>
      </c>
      <c r="O249" s="568">
        <v>136.83974434000001</v>
      </c>
    </row>
    <row r="250" spans="1:15" ht="13.2">
      <c r="A250" s="384" t="s">
        <v>25</v>
      </c>
      <c r="B250" s="568">
        <v>19136.822267444601</v>
      </c>
      <c r="C250" s="568">
        <v>659.66022400500003</v>
      </c>
      <c r="D250" s="568">
        <v>14901.5514048696</v>
      </c>
      <c r="E250" s="568">
        <v>469.64002125000002</v>
      </c>
      <c r="F250" s="568">
        <v>2733.9640943300001</v>
      </c>
      <c r="G250" s="568">
        <v>81.403059510000006</v>
      </c>
      <c r="H250" s="568">
        <v>12167.5873105396</v>
      </c>
      <c r="I250" s="568">
        <v>388.23696174000003</v>
      </c>
      <c r="J250" s="568">
        <v>4235.2708625750001</v>
      </c>
      <c r="K250" s="568">
        <v>190.02020275500001</v>
      </c>
      <c r="L250" s="568">
        <v>1087.988881705</v>
      </c>
      <c r="M250" s="568">
        <v>57.074502225000003</v>
      </c>
      <c r="N250" s="568">
        <v>3147.2819808700001</v>
      </c>
      <c r="O250" s="568">
        <v>132.94570053000001</v>
      </c>
    </row>
    <row r="251" spans="1:15" ht="13.2">
      <c r="A251" s="384" t="s">
        <v>26</v>
      </c>
      <c r="B251" s="568">
        <v>19701.683635566002</v>
      </c>
      <c r="C251" s="568">
        <v>649.54999275199998</v>
      </c>
      <c r="D251" s="568">
        <v>15392.30191407</v>
      </c>
      <c r="E251" s="568">
        <v>455.75330437000002</v>
      </c>
      <c r="F251" s="568">
        <v>2869.4910226299999</v>
      </c>
      <c r="G251" s="568">
        <v>83.34328859</v>
      </c>
      <c r="H251" s="568">
        <v>12522.81089144</v>
      </c>
      <c r="I251" s="568">
        <v>372.41001577999998</v>
      </c>
      <c r="J251" s="568">
        <v>4309.381721496</v>
      </c>
      <c r="K251" s="568">
        <v>193.79668838200001</v>
      </c>
      <c r="L251" s="568">
        <v>1148.330734656</v>
      </c>
      <c r="M251" s="568">
        <v>60.564510192</v>
      </c>
      <c r="N251" s="568">
        <v>3161.05098684</v>
      </c>
      <c r="O251" s="568">
        <v>133.23217819000001</v>
      </c>
    </row>
    <row r="252" spans="1:15" ht="13.2">
      <c r="A252" s="384" t="s">
        <v>27</v>
      </c>
      <c r="B252" s="568">
        <v>20015.293326605999</v>
      </c>
      <c r="C252" s="568">
        <v>646.04418552200002</v>
      </c>
      <c r="D252" s="568">
        <v>15657.57166688</v>
      </c>
      <c r="E252" s="568">
        <v>451.23529952000001</v>
      </c>
      <c r="F252" s="568">
        <v>2876.8919725300002</v>
      </c>
      <c r="G252" s="568">
        <v>83.754464170000006</v>
      </c>
      <c r="H252" s="568">
        <v>12780.679694349999</v>
      </c>
      <c r="I252" s="568">
        <v>367.48083535000001</v>
      </c>
      <c r="J252" s="568">
        <v>4357.7216597260003</v>
      </c>
      <c r="K252" s="568">
        <v>194.80888600200001</v>
      </c>
      <c r="L252" s="568">
        <v>1084.880580606</v>
      </c>
      <c r="M252" s="568">
        <v>62.664213252000003</v>
      </c>
      <c r="N252" s="568">
        <v>3272.8410791199999</v>
      </c>
      <c r="O252" s="568">
        <v>132.14467275000001</v>
      </c>
    </row>
    <row r="253" spans="1:15" ht="13.2">
      <c r="A253" s="384" t="s">
        <v>28</v>
      </c>
      <c r="B253" s="568">
        <v>20218.690699965999</v>
      </c>
      <c r="C253" s="568">
        <v>641.27898531200003</v>
      </c>
      <c r="D253" s="568">
        <v>15993.274657940001</v>
      </c>
      <c r="E253" s="568">
        <v>445.73706358999999</v>
      </c>
      <c r="F253" s="568">
        <v>2889.15260519</v>
      </c>
      <c r="G253" s="568">
        <v>81.62865042</v>
      </c>
      <c r="H253" s="568">
        <v>13104.122052750001</v>
      </c>
      <c r="I253" s="568">
        <v>364.10841317000001</v>
      </c>
      <c r="J253" s="568">
        <v>4225.4160420259996</v>
      </c>
      <c r="K253" s="568">
        <v>195.54192172200001</v>
      </c>
      <c r="L253" s="568">
        <v>1017.090647246</v>
      </c>
      <c r="M253" s="568">
        <v>63.192332221999997</v>
      </c>
      <c r="N253" s="568">
        <v>3208.3253947799999</v>
      </c>
      <c r="O253" s="568">
        <v>132.34958950000001</v>
      </c>
    </row>
    <row r="254" spans="1:15" ht="13.2">
      <c r="A254" s="384" t="s">
        <v>29</v>
      </c>
      <c r="B254" s="568">
        <v>20183.981847880001</v>
      </c>
      <c r="C254" s="568">
        <v>593.74010190000001</v>
      </c>
      <c r="D254" s="568">
        <v>16194.32869187</v>
      </c>
      <c r="E254" s="568">
        <v>436.53477371999998</v>
      </c>
      <c r="F254" s="568">
        <v>2838.2065448600001</v>
      </c>
      <c r="G254" s="568">
        <v>74.676728499999996</v>
      </c>
      <c r="H254" s="568">
        <v>13356.122147010001</v>
      </c>
      <c r="I254" s="568">
        <v>361.85804522000001</v>
      </c>
      <c r="J254" s="568">
        <v>3989.6531560100002</v>
      </c>
      <c r="K254" s="568">
        <v>157.20532818000001</v>
      </c>
      <c r="L254" s="568">
        <v>770.83539777999999</v>
      </c>
      <c r="M254" s="568">
        <v>40.809313410000001</v>
      </c>
      <c r="N254" s="568">
        <v>3218.81775823</v>
      </c>
      <c r="O254" s="568">
        <v>116.39601476999999</v>
      </c>
    </row>
    <row r="255" spans="1:15" ht="13.2">
      <c r="A255" s="384" t="s">
        <v>3605</v>
      </c>
      <c r="B255" s="567">
        <v>23979.124360810001</v>
      </c>
      <c r="C255" s="567">
        <v>437.84492763999998</v>
      </c>
      <c r="D255" s="567">
        <v>19538.67965604</v>
      </c>
      <c r="E255" s="567">
        <v>329.30543438000001</v>
      </c>
      <c r="F255" s="567">
        <v>3279.7510183999998</v>
      </c>
      <c r="G255" s="567">
        <v>71.92944722</v>
      </c>
      <c r="H255" s="567">
        <v>16258.92863764</v>
      </c>
      <c r="I255" s="567">
        <v>257.37598716000002</v>
      </c>
      <c r="J255" s="567">
        <v>4440.4447047699996</v>
      </c>
      <c r="K255" s="567">
        <v>108.53949326</v>
      </c>
      <c r="L255" s="567">
        <v>811.43953900999998</v>
      </c>
      <c r="M255" s="567">
        <v>29.35570839</v>
      </c>
      <c r="N255" s="567">
        <v>3629.0051657600002</v>
      </c>
      <c r="O255" s="567">
        <v>79.183784869999997</v>
      </c>
    </row>
    <row r="256" spans="1:15" ht="13.2">
      <c r="A256" s="384" t="s">
        <v>18</v>
      </c>
      <c r="B256" s="568">
        <v>20259.212448210001</v>
      </c>
      <c r="C256" s="568">
        <v>583.77188913999998</v>
      </c>
      <c r="D256" s="568">
        <v>16247.718249989999</v>
      </c>
      <c r="E256" s="568">
        <v>430.77420088999997</v>
      </c>
      <c r="F256" s="568">
        <v>2844.3798399299999</v>
      </c>
      <c r="G256" s="568">
        <v>75.117670590000003</v>
      </c>
      <c r="H256" s="568">
        <v>13403.33841006</v>
      </c>
      <c r="I256" s="568">
        <v>355.65653029999999</v>
      </c>
      <c r="J256" s="568">
        <v>4011.4941982199998</v>
      </c>
      <c r="K256" s="568">
        <v>152.99768825000001</v>
      </c>
      <c r="L256" s="568">
        <v>758.50949849000006</v>
      </c>
      <c r="M256" s="568">
        <v>38.512668329999997</v>
      </c>
      <c r="N256" s="568">
        <v>3252.9846997300001</v>
      </c>
      <c r="O256" s="568">
        <v>114.48501992</v>
      </c>
    </row>
    <row r="257" spans="1:35" ht="13.2">
      <c r="A257" s="384" t="s">
        <v>19</v>
      </c>
      <c r="B257" s="568">
        <v>20347.050737609999</v>
      </c>
      <c r="C257" s="568">
        <v>606.13546266000003</v>
      </c>
      <c r="D257" s="568">
        <v>16370.65888243</v>
      </c>
      <c r="E257" s="568">
        <v>448.55554411000003</v>
      </c>
      <c r="F257" s="568">
        <v>2844.7116245699999</v>
      </c>
      <c r="G257" s="568">
        <v>84.947585169999996</v>
      </c>
      <c r="H257" s="568">
        <v>13525.94725786</v>
      </c>
      <c r="I257" s="568">
        <v>363.60795894</v>
      </c>
      <c r="J257" s="568">
        <v>3976.3918551800002</v>
      </c>
      <c r="K257" s="568">
        <v>157.57991855</v>
      </c>
      <c r="L257" s="568">
        <v>746.06364025000005</v>
      </c>
      <c r="M257" s="568">
        <v>41.52491551</v>
      </c>
      <c r="N257" s="568">
        <v>3230.3282149299998</v>
      </c>
      <c r="O257" s="568">
        <v>116.05500304</v>
      </c>
    </row>
    <row r="258" spans="1:35" ht="13.2">
      <c r="A258" s="384" t="s">
        <v>20</v>
      </c>
      <c r="B258" s="568">
        <v>20664.848433421801</v>
      </c>
      <c r="C258" s="568">
        <v>590.48680544000001</v>
      </c>
      <c r="D258" s="568">
        <v>16623.2786518418</v>
      </c>
      <c r="E258" s="568">
        <v>432.54660754000002</v>
      </c>
      <c r="F258" s="568">
        <v>2859.8299566300002</v>
      </c>
      <c r="G258" s="568">
        <v>80.957747389999994</v>
      </c>
      <c r="H258" s="568">
        <v>13763.4486952118</v>
      </c>
      <c r="I258" s="568">
        <v>351.58886015000002</v>
      </c>
      <c r="J258" s="568">
        <v>4041.5697815799999</v>
      </c>
      <c r="K258" s="568">
        <v>157.94019789999999</v>
      </c>
      <c r="L258" s="568">
        <v>719.54302233999999</v>
      </c>
      <c r="M258" s="568">
        <v>45.26216179</v>
      </c>
      <c r="N258" s="568">
        <v>3322.02675924</v>
      </c>
      <c r="O258" s="568">
        <v>112.67803610999999</v>
      </c>
    </row>
    <row r="259" spans="1:35" ht="13.2">
      <c r="A259" s="384" t="s">
        <v>21</v>
      </c>
      <c r="B259" s="568">
        <v>21005.880584801798</v>
      </c>
      <c r="C259" s="568">
        <v>591.79680065000002</v>
      </c>
      <c r="D259" s="568">
        <v>16972.109734211801</v>
      </c>
      <c r="E259" s="568">
        <v>436.58304476000001</v>
      </c>
      <c r="F259" s="568">
        <v>2908.7417461999999</v>
      </c>
      <c r="G259" s="568">
        <v>81.497288589999997</v>
      </c>
      <c r="H259" s="568">
        <v>14063.3679880118</v>
      </c>
      <c r="I259" s="568">
        <v>355.08575617000002</v>
      </c>
      <c r="J259" s="568">
        <v>4033.77085059</v>
      </c>
      <c r="K259" s="568">
        <v>155.21375588999999</v>
      </c>
      <c r="L259" s="568">
        <v>719.04521380999995</v>
      </c>
      <c r="M259" s="568">
        <v>41.3135677</v>
      </c>
      <c r="N259" s="568">
        <v>3314.7256367800001</v>
      </c>
      <c r="O259" s="568">
        <v>113.90018818999999</v>
      </c>
    </row>
    <row r="260" spans="1:35" ht="13.2">
      <c r="A260" s="384" t="s">
        <v>22</v>
      </c>
      <c r="B260" s="568">
        <v>21285.5233731218</v>
      </c>
      <c r="C260" s="568">
        <v>490.09126863</v>
      </c>
      <c r="D260" s="568">
        <v>17227.2383752118</v>
      </c>
      <c r="E260" s="568">
        <v>350.11316103000001</v>
      </c>
      <c r="F260" s="568">
        <v>2944.3698886900002</v>
      </c>
      <c r="G260" s="568">
        <v>68.253597040000002</v>
      </c>
      <c r="H260" s="568">
        <v>14282.8684865218</v>
      </c>
      <c r="I260" s="568">
        <v>281.85956399000003</v>
      </c>
      <c r="J260" s="568">
        <v>4058.2849979100001</v>
      </c>
      <c r="K260" s="568">
        <v>139.97810759999999</v>
      </c>
      <c r="L260" s="568">
        <v>709.45523959000002</v>
      </c>
      <c r="M260" s="568">
        <v>43.993907569999998</v>
      </c>
      <c r="N260" s="568">
        <v>3348.8297583200001</v>
      </c>
      <c r="O260" s="568">
        <v>95.984200029999997</v>
      </c>
    </row>
    <row r="261" spans="1:35" ht="13.2">
      <c r="A261" s="384" t="s">
        <v>23</v>
      </c>
      <c r="B261" s="568">
        <v>21966.172727879999</v>
      </c>
      <c r="C261" s="568">
        <v>502.27205501999998</v>
      </c>
      <c r="D261" s="568">
        <v>17657.848817599999</v>
      </c>
      <c r="E261" s="568">
        <v>365.72840668999999</v>
      </c>
      <c r="F261" s="568">
        <v>3021.8267226399998</v>
      </c>
      <c r="G261" s="568">
        <v>68.551594949999995</v>
      </c>
      <c r="H261" s="568">
        <v>14636.022094960001</v>
      </c>
      <c r="I261" s="568">
        <v>297.17681174000001</v>
      </c>
      <c r="J261" s="568">
        <v>4308.3239102799998</v>
      </c>
      <c r="K261" s="568">
        <v>136.54364833</v>
      </c>
      <c r="L261" s="568">
        <v>747.16751140999997</v>
      </c>
      <c r="M261" s="568">
        <v>45.653695560000003</v>
      </c>
      <c r="N261" s="568">
        <v>3561.15639887</v>
      </c>
      <c r="O261" s="568">
        <v>90.889952769999994</v>
      </c>
    </row>
    <row r="262" spans="1:35" ht="13.2">
      <c r="A262" s="384" t="s">
        <v>24</v>
      </c>
      <c r="B262" s="568">
        <v>22041.926831839999</v>
      </c>
      <c r="C262" s="568">
        <v>494.71576025000002</v>
      </c>
      <c r="D262" s="568">
        <v>17895.416983340001</v>
      </c>
      <c r="E262" s="568">
        <v>361.13621083999999</v>
      </c>
      <c r="F262" s="568">
        <v>2990.5629049899999</v>
      </c>
      <c r="G262" s="568">
        <v>84.85508093</v>
      </c>
      <c r="H262" s="568">
        <v>14904.854078349999</v>
      </c>
      <c r="I262" s="568">
        <v>276.28112991</v>
      </c>
      <c r="J262" s="568">
        <v>4146.5098484999999</v>
      </c>
      <c r="K262" s="568">
        <v>133.57954941</v>
      </c>
      <c r="L262" s="568">
        <v>709.37412331999997</v>
      </c>
      <c r="M262" s="568">
        <v>42.163245019999998</v>
      </c>
      <c r="N262" s="568">
        <v>3437.13572518</v>
      </c>
      <c r="O262" s="568">
        <v>91.416304389999993</v>
      </c>
    </row>
    <row r="263" spans="1:35" ht="13.2">
      <c r="A263" s="384" t="s">
        <v>25</v>
      </c>
      <c r="B263" s="568">
        <v>22484.122831910001</v>
      </c>
      <c r="C263" s="568">
        <v>534.25918471</v>
      </c>
      <c r="D263" s="568">
        <v>18275.482691239999</v>
      </c>
      <c r="E263" s="568">
        <v>379.56958030999999</v>
      </c>
      <c r="F263" s="568">
        <v>3021.4689004699999</v>
      </c>
      <c r="G263" s="568">
        <v>87.157941719999997</v>
      </c>
      <c r="H263" s="568">
        <v>15254.013790769999</v>
      </c>
      <c r="I263" s="568">
        <v>292.41163859</v>
      </c>
      <c r="J263" s="568">
        <v>4208.6401406699997</v>
      </c>
      <c r="K263" s="568">
        <v>154.68960440000001</v>
      </c>
      <c r="L263" s="568">
        <v>755.78059089999999</v>
      </c>
      <c r="M263" s="568">
        <v>43.653620429999997</v>
      </c>
      <c r="N263" s="568">
        <v>3452.8595497699998</v>
      </c>
      <c r="O263" s="568">
        <v>111.03598397</v>
      </c>
    </row>
    <row r="264" spans="1:35" ht="13.2">
      <c r="A264" s="384" t="s">
        <v>26</v>
      </c>
      <c r="B264" s="568">
        <v>23018.645831869999</v>
      </c>
      <c r="C264" s="568">
        <v>519.77127536</v>
      </c>
      <c r="D264" s="568">
        <v>18707.488789669998</v>
      </c>
      <c r="E264" s="568">
        <v>377.23773401</v>
      </c>
      <c r="F264" s="568">
        <v>3139.8801073499999</v>
      </c>
      <c r="G264" s="568">
        <v>85.811350660000002</v>
      </c>
      <c r="H264" s="568">
        <v>15567.60868232</v>
      </c>
      <c r="I264" s="568">
        <v>291.42638334999998</v>
      </c>
      <c r="J264" s="568">
        <v>4311.1570422000004</v>
      </c>
      <c r="K264" s="568">
        <v>142.53354135000001</v>
      </c>
      <c r="L264" s="568">
        <v>799.08413307000001</v>
      </c>
      <c r="M264" s="568">
        <v>36.779894140000003</v>
      </c>
      <c r="N264" s="568">
        <v>3512.07290913</v>
      </c>
      <c r="O264" s="568">
        <v>105.75364721</v>
      </c>
    </row>
    <row r="265" spans="1:35" ht="13.2">
      <c r="A265" s="384" t="s">
        <v>27</v>
      </c>
      <c r="B265" s="568">
        <v>23196.472673640001</v>
      </c>
      <c r="C265" s="568">
        <v>440.37917463999997</v>
      </c>
      <c r="D265" s="568">
        <v>18704.813698549999</v>
      </c>
      <c r="E265" s="568">
        <v>323.97866716999999</v>
      </c>
      <c r="F265" s="568">
        <v>3109.7670577099998</v>
      </c>
      <c r="G265" s="568">
        <v>63.389407869999999</v>
      </c>
      <c r="H265" s="568">
        <v>15595.046640840001</v>
      </c>
      <c r="I265" s="568">
        <v>260.58925929999998</v>
      </c>
      <c r="J265" s="568">
        <v>4491.6589750900002</v>
      </c>
      <c r="K265" s="568">
        <v>116.40050746999999</v>
      </c>
      <c r="L265" s="568">
        <v>775.05342868000002</v>
      </c>
      <c r="M265" s="568">
        <v>33.447762769999997</v>
      </c>
      <c r="N265" s="568">
        <v>3716.60554641</v>
      </c>
      <c r="O265" s="568">
        <v>82.952744699999997</v>
      </c>
    </row>
    <row r="266" spans="1:35" ht="13.2">
      <c r="A266" s="384" t="s">
        <v>28</v>
      </c>
      <c r="B266" s="568">
        <v>23617.991556720001</v>
      </c>
      <c r="C266" s="568">
        <v>440.25735591</v>
      </c>
      <c r="D266" s="568">
        <v>19125.188977919999</v>
      </c>
      <c r="E266" s="568">
        <v>327.77839140999998</v>
      </c>
      <c r="F266" s="568">
        <v>3208.8082476300001</v>
      </c>
      <c r="G266" s="568">
        <v>62.234772130000003</v>
      </c>
      <c r="H266" s="568">
        <v>15916.38073029</v>
      </c>
      <c r="I266" s="568">
        <v>265.54361927999997</v>
      </c>
      <c r="J266" s="568">
        <v>4492.8025788000004</v>
      </c>
      <c r="K266" s="568">
        <v>112.4789645</v>
      </c>
      <c r="L266" s="568">
        <v>811.44160772999999</v>
      </c>
      <c r="M266" s="568">
        <v>32.785406879999996</v>
      </c>
      <c r="N266" s="568">
        <v>3681.3609710699998</v>
      </c>
      <c r="O266" s="568">
        <v>79.693557620000007</v>
      </c>
    </row>
    <row r="267" spans="1:35" ht="13.2">
      <c r="A267" s="384" t="s">
        <v>29</v>
      </c>
      <c r="B267" s="568">
        <v>23979.124360810001</v>
      </c>
      <c r="C267" s="568">
        <v>437.84492763999998</v>
      </c>
      <c r="D267" s="568">
        <v>19538.67965604</v>
      </c>
      <c r="E267" s="568">
        <v>329.30543438000001</v>
      </c>
      <c r="F267" s="568">
        <v>3279.7510183999998</v>
      </c>
      <c r="G267" s="568">
        <v>71.92944722</v>
      </c>
      <c r="H267" s="568">
        <v>16258.92863764</v>
      </c>
      <c r="I267" s="568">
        <v>257.37598716000002</v>
      </c>
      <c r="J267" s="568">
        <v>4440.4447047699996</v>
      </c>
      <c r="K267" s="568">
        <v>108.53949326</v>
      </c>
      <c r="L267" s="568">
        <v>811.43953900999998</v>
      </c>
      <c r="M267" s="568">
        <v>29.35570839</v>
      </c>
      <c r="N267" s="568">
        <v>3629.0051657600002</v>
      </c>
      <c r="O267" s="568">
        <v>79.183784869999997</v>
      </c>
    </row>
    <row r="268" spans="1:35" ht="13.2">
      <c r="A268" s="384" t="s">
        <v>4086</v>
      </c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68"/>
      <c r="O268" s="568"/>
    </row>
    <row r="269" spans="1:35" ht="13.2">
      <c r="A269" s="384" t="s">
        <v>18</v>
      </c>
      <c r="B269" s="568">
        <v>24362.526631280001</v>
      </c>
      <c r="C269" s="568">
        <v>454.06281114000001</v>
      </c>
      <c r="D269" s="568">
        <v>19606.879828519999</v>
      </c>
      <c r="E269" s="568">
        <v>344.75044946000003</v>
      </c>
      <c r="F269" s="568">
        <v>3218.1220804</v>
      </c>
      <c r="G269" s="568">
        <v>73.426248740000005</v>
      </c>
      <c r="H269" s="568">
        <v>16388.757748119999</v>
      </c>
      <c r="I269" s="568">
        <v>271.32420072000002</v>
      </c>
      <c r="J269" s="568">
        <v>4755.6468027600004</v>
      </c>
      <c r="K269" s="568">
        <v>109.31236168</v>
      </c>
      <c r="L269" s="568">
        <v>774.35494917000005</v>
      </c>
      <c r="M269" s="568">
        <v>28.912655879999999</v>
      </c>
      <c r="N269" s="568">
        <v>3981.2918535899998</v>
      </c>
      <c r="O269" s="568">
        <v>80.399705800000007</v>
      </c>
    </row>
    <row r="270" spans="1:35" ht="13.2">
      <c r="A270" s="569" t="s">
        <v>19</v>
      </c>
      <c r="B270" s="1430">
        <v>24629.126192600001</v>
      </c>
      <c r="C270" s="1430">
        <v>469.15723987000001</v>
      </c>
      <c r="D270" s="1430">
        <v>19892.837348249999</v>
      </c>
      <c r="E270" s="1430">
        <v>353.88525865000003</v>
      </c>
      <c r="F270" s="1430">
        <v>3259.65036779</v>
      </c>
      <c r="G270" s="1430">
        <v>80.992791220000001</v>
      </c>
      <c r="H270" s="1430">
        <v>16633.186980459999</v>
      </c>
      <c r="I270" s="1430">
        <v>272.89246743000001</v>
      </c>
      <c r="J270" s="1430">
        <v>4736.2888443499996</v>
      </c>
      <c r="K270" s="1430">
        <v>115.27198122</v>
      </c>
      <c r="L270" s="1430">
        <v>753.62811952000004</v>
      </c>
      <c r="M270" s="1430">
        <v>28.983696370000001</v>
      </c>
      <c r="N270" s="1430">
        <v>3982.6607248300002</v>
      </c>
      <c r="O270" s="1430">
        <v>86.288284849999997</v>
      </c>
    </row>
    <row r="271" spans="1:35" s="888" customFormat="1" ht="13.5" customHeight="1">
      <c r="A271" s="2277" t="s">
        <v>2468</v>
      </c>
      <c r="B271" s="2277"/>
      <c r="C271" s="2277"/>
      <c r="D271" s="2277"/>
      <c r="E271" s="2277"/>
      <c r="F271" s="2277"/>
      <c r="G271" s="2277"/>
      <c r="H271" s="2277"/>
      <c r="I271" s="2277"/>
      <c r="J271" s="2277"/>
      <c r="K271" s="2277"/>
      <c r="L271" s="2277"/>
      <c r="M271" s="2277"/>
      <c r="N271" s="2277"/>
      <c r="O271" s="2277"/>
      <c r="P271" s="903"/>
      <c r="Q271" s="903"/>
      <c r="R271" s="903"/>
      <c r="S271" s="903"/>
      <c r="T271" s="903"/>
      <c r="U271" s="903"/>
      <c r="V271" s="903"/>
      <c r="W271" s="903"/>
      <c r="X271" s="903"/>
      <c r="Y271" s="903"/>
      <c r="Z271" s="903"/>
      <c r="AA271" s="903"/>
      <c r="AB271" s="903"/>
      <c r="AC271" s="903"/>
      <c r="AD271" s="903"/>
      <c r="AE271" s="903"/>
      <c r="AF271" s="903"/>
      <c r="AG271" s="903"/>
      <c r="AH271" s="903"/>
      <c r="AI271" s="903"/>
    </row>
    <row r="272" spans="1:35" s="888" customFormat="1" ht="13.5" customHeight="1">
      <c r="A272" s="2278" t="s">
        <v>2777</v>
      </c>
      <c r="B272" s="2278"/>
      <c r="C272" s="2278"/>
      <c r="D272" s="2278"/>
      <c r="E272" s="2278"/>
      <c r="F272" s="2278"/>
      <c r="G272" s="2278"/>
      <c r="H272" s="2278"/>
      <c r="I272" s="2278"/>
      <c r="J272" s="2278"/>
      <c r="K272" s="2278"/>
      <c r="L272" s="2278"/>
      <c r="M272" s="2278"/>
      <c r="N272" s="2278"/>
      <c r="O272" s="2278"/>
      <c r="P272" s="2278"/>
      <c r="Q272" s="2278"/>
      <c r="R272" s="2278"/>
      <c r="S272" s="2278"/>
      <c r="T272" s="2278"/>
      <c r="U272" s="2278"/>
      <c r="V272" s="2278"/>
      <c r="W272" s="2278"/>
      <c r="X272" s="2278"/>
      <c r="Y272" s="2278"/>
      <c r="Z272" s="2278"/>
      <c r="AA272" s="2278"/>
      <c r="AB272" s="2278"/>
      <c r="AC272" s="2278"/>
      <c r="AD272" s="2278"/>
      <c r="AE272" s="2278"/>
      <c r="AF272" s="2278"/>
      <c r="AG272" s="2278"/>
      <c r="AH272" s="2278"/>
      <c r="AI272" s="2278"/>
    </row>
    <row r="273" spans="1:35" s="888" customFormat="1" ht="13.5" customHeight="1">
      <c r="A273" s="2235" t="s">
        <v>2753</v>
      </c>
      <c r="B273" s="2235"/>
      <c r="C273" s="2235"/>
      <c r="D273" s="2235"/>
      <c r="E273" s="2235"/>
      <c r="F273" s="2235"/>
      <c r="G273" s="2235"/>
      <c r="H273" s="2235"/>
      <c r="I273" s="2235"/>
      <c r="J273" s="2235"/>
      <c r="K273" s="2235"/>
      <c r="L273" s="2235"/>
      <c r="M273" s="2235"/>
      <c r="N273" s="2235"/>
      <c r="O273" s="2235"/>
      <c r="P273" s="2235"/>
      <c r="Q273" s="2235"/>
      <c r="R273" s="2235"/>
      <c r="S273" s="2235"/>
      <c r="T273" s="2235"/>
      <c r="U273" s="2235"/>
      <c r="V273" s="2235"/>
      <c r="W273" s="2235"/>
      <c r="X273" s="2235"/>
      <c r="Y273" s="2235"/>
      <c r="Z273" s="2235"/>
      <c r="AA273" s="2235"/>
      <c r="AB273" s="2235"/>
      <c r="AC273" s="2235"/>
      <c r="AD273" s="2235"/>
      <c r="AE273" s="2235"/>
      <c r="AF273" s="2235"/>
      <c r="AG273" s="2235"/>
      <c r="AH273" s="2235"/>
      <c r="AI273" s="2235"/>
    </row>
    <row r="274" spans="1:35" ht="13.2">
      <c r="B274" s="2108"/>
      <c r="C274" s="2108"/>
      <c r="H274" s="97"/>
    </row>
    <row r="275" spans="1:35" ht="13.2">
      <c r="B275" s="1563"/>
      <c r="C275" s="1641"/>
    </row>
    <row r="276" spans="1:35" ht="13.2">
      <c r="G276" s="230"/>
      <c r="H276" s="230"/>
    </row>
    <row r="277" spans="1:35" ht="13.2"/>
    <row r="278" spans="1:35" ht="13.2"/>
    <row r="279" spans="1:35" ht="13.2"/>
    <row r="280" spans="1:35" ht="13.2"/>
    <row r="281" spans="1:35" ht="13.2"/>
    <row r="282" spans="1:35" ht="13.2"/>
    <row r="283" spans="1:35" ht="13.2"/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71:O271"/>
    <mergeCell ref="A272:AI272"/>
    <mergeCell ref="A273:AI273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2"/>
  <sheetViews>
    <sheetView showGridLines="0" view="pageBreakPreview" zoomScaleSheetLayoutView="100" workbookViewId="0">
      <pane ySplit="13" topLeftCell="A56" activePane="bottomLeft" state="frozen"/>
      <selection activeCell="G291" sqref="G291"/>
      <selection pane="bottomLeft" activeCell="O91" sqref="O91"/>
    </sheetView>
  </sheetViews>
  <sheetFormatPr defaultColWidth="8.88671875" defaultRowHeight="12" customHeight="1"/>
  <cols>
    <col min="1" max="1" width="8" style="1104" customWidth="1"/>
    <col min="2" max="3" width="12.6640625" style="1104" customWidth="1"/>
    <col min="4" max="4" width="12.6640625" style="1109" customWidth="1"/>
    <col min="5" max="5" width="12.5546875" style="1104" bestFit="1" customWidth="1"/>
    <col min="6" max="6" width="10.88671875" style="1104" customWidth="1"/>
    <col min="7" max="7" width="11.6640625" style="1109" customWidth="1"/>
    <col min="8" max="8" width="7.5546875" style="1104" customWidth="1"/>
    <col min="9" max="10" width="11.6640625" style="1104" customWidth="1"/>
    <col min="11" max="11" width="7.5546875" style="1104" customWidth="1"/>
    <col min="12" max="13" width="11.6640625" style="1104" customWidth="1"/>
    <col min="14" max="14" width="7.5546875" style="1104" customWidth="1"/>
    <col min="15" max="16" width="11.6640625" style="1104" customWidth="1"/>
    <col min="17" max="17" width="7.5546875" style="1104" customWidth="1"/>
    <col min="18" max="19" width="11.6640625" style="1104" customWidth="1"/>
    <col min="20" max="20" width="7.5546875" style="1104" customWidth="1"/>
    <col min="21" max="22" width="11.6640625" style="1104" customWidth="1"/>
    <col min="23" max="23" width="8.88671875" style="1104" customWidth="1"/>
    <col min="24" max="24" width="11.5546875" style="1104" customWidth="1"/>
    <col min="25" max="85" width="8.88671875" style="1104" customWidth="1"/>
    <col min="86" max="86" width="8.88671875" style="1104" hidden="1" customWidth="1"/>
    <col min="87" max="258" width="8.88671875" style="1104" customWidth="1"/>
    <col min="259" max="259" width="7.6640625" style="1104" customWidth="1"/>
    <col min="260" max="260" width="12.6640625" style="1104" customWidth="1"/>
    <col min="261" max="261" width="11" style="1104" customWidth="1"/>
    <col min="262" max="16384" width="8.88671875" style="1104"/>
  </cols>
  <sheetData>
    <row r="1" spans="1:88" s="1103" customFormat="1" ht="12" customHeight="1"/>
    <row r="2" spans="1:88" ht="19.5" customHeight="1">
      <c r="A2" s="2309" t="s">
        <v>3051</v>
      </c>
      <c r="B2" s="2309"/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09"/>
      <c r="Q2" s="2309"/>
      <c r="R2" s="2309"/>
      <c r="S2" s="2309"/>
      <c r="T2" s="2309"/>
      <c r="U2" s="2309"/>
      <c r="V2" s="2309"/>
    </row>
    <row r="3" spans="1:88" ht="22.5" customHeight="1">
      <c r="A3" s="2310" t="s">
        <v>3052</v>
      </c>
      <c r="B3" s="2310"/>
      <c r="C3" s="2310"/>
      <c r="D3" s="2310"/>
      <c r="E3" s="2310"/>
      <c r="F3" s="2310"/>
      <c r="G3" s="2310"/>
      <c r="H3" s="2310"/>
      <c r="I3" s="2310"/>
      <c r="J3" s="2310"/>
      <c r="K3" s="2310"/>
      <c r="L3" s="2310"/>
      <c r="M3" s="2310"/>
      <c r="N3" s="2310"/>
      <c r="O3" s="2310"/>
      <c r="P3" s="2310"/>
      <c r="Q3" s="2310"/>
      <c r="R3" s="2310"/>
      <c r="S3" s="2310"/>
      <c r="T3" s="2310"/>
      <c r="U3" s="2310"/>
      <c r="V3" s="2310"/>
    </row>
    <row r="4" spans="1:88" ht="10.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</row>
    <row r="5" spans="1:88" ht="10.5" customHeight="1">
      <c r="A5" s="1106"/>
      <c r="B5" s="1106"/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 t="s">
        <v>8</v>
      </c>
    </row>
    <row r="6" spans="1:88" s="1107" customFormat="1" ht="21" customHeight="1">
      <c r="A6" s="2311" t="s">
        <v>182</v>
      </c>
      <c r="B6" s="2312" t="s">
        <v>3053</v>
      </c>
      <c r="C6" s="2295"/>
      <c r="D6" s="2297" t="s">
        <v>3057</v>
      </c>
      <c r="E6" s="2314" t="s">
        <v>2835</v>
      </c>
      <c r="F6" s="2315"/>
      <c r="G6" s="2315"/>
      <c r="H6" s="2315"/>
      <c r="I6" s="2315"/>
      <c r="J6" s="2315"/>
      <c r="K6" s="2315"/>
      <c r="L6" s="2315"/>
      <c r="M6" s="2315"/>
      <c r="N6" s="2314" t="s">
        <v>2834</v>
      </c>
      <c r="O6" s="2315"/>
      <c r="P6" s="2315"/>
      <c r="Q6" s="2315"/>
      <c r="R6" s="2315"/>
      <c r="S6" s="2315"/>
      <c r="T6" s="2315"/>
      <c r="U6" s="2315"/>
      <c r="V6" s="2315"/>
      <c r="CI6" s="1107" t="s">
        <v>2089</v>
      </c>
      <c r="CJ6" s="1108" t="s">
        <v>2090</v>
      </c>
    </row>
    <row r="7" spans="1:88" s="1107" customFormat="1" ht="17.25" customHeight="1">
      <c r="A7" s="2311"/>
      <c r="B7" s="2313"/>
      <c r="C7" s="2296"/>
      <c r="D7" s="2306"/>
      <c r="E7" s="2307" t="s">
        <v>143</v>
      </c>
      <c r="F7" s="2308"/>
      <c r="G7" s="2297" t="s">
        <v>3057</v>
      </c>
      <c r="H7" s="2307" t="s">
        <v>146</v>
      </c>
      <c r="I7" s="2308"/>
      <c r="J7" s="2297" t="s">
        <v>3057</v>
      </c>
      <c r="K7" s="2307" t="s">
        <v>147</v>
      </c>
      <c r="L7" s="2308"/>
      <c r="M7" s="2297" t="s">
        <v>3057</v>
      </c>
      <c r="N7" s="2307" t="s">
        <v>143</v>
      </c>
      <c r="O7" s="2308"/>
      <c r="P7" s="2297" t="s">
        <v>3057</v>
      </c>
      <c r="Q7" s="2307" t="s">
        <v>146</v>
      </c>
      <c r="R7" s="2308"/>
      <c r="S7" s="2297" t="s">
        <v>3057</v>
      </c>
      <c r="T7" s="2307" t="s">
        <v>147</v>
      </c>
      <c r="U7" s="2308"/>
      <c r="V7" s="2297" t="s">
        <v>3057</v>
      </c>
      <c r="CE7" s="1107" t="e">
        <f>CE9+#REF!+#REF!+#REF!</f>
        <v>#REF!</v>
      </c>
      <c r="CI7" s="1107" t="e">
        <f>CI9+#REF!+#REF!+#REF!</f>
        <v>#REF!</v>
      </c>
      <c r="CJ7" s="1108" t="e">
        <f>CE7+CF7+CG7+CI7</f>
        <v>#REF!</v>
      </c>
    </row>
    <row r="8" spans="1:88" s="1107" customFormat="1" ht="15" customHeight="1">
      <c r="A8" s="2311"/>
      <c r="B8" s="2297" t="s">
        <v>3038</v>
      </c>
      <c r="C8" s="2297" t="s">
        <v>3044</v>
      </c>
      <c r="D8" s="2306"/>
      <c r="E8" s="2297" t="s">
        <v>3038</v>
      </c>
      <c r="F8" s="2297" t="s">
        <v>3044</v>
      </c>
      <c r="G8" s="2306"/>
      <c r="H8" s="2297" t="s">
        <v>3038</v>
      </c>
      <c r="I8" s="2297" t="s">
        <v>3044</v>
      </c>
      <c r="J8" s="2306"/>
      <c r="K8" s="2297" t="s">
        <v>3038</v>
      </c>
      <c r="L8" s="2295" t="s">
        <v>3044</v>
      </c>
      <c r="M8" s="2306"/>
      <c r="N8" s="2297" t="s">
        <v>3038</v>
      </c>
      <c r="O8" s="2295" t="s">
        <v>3044</v>
      </c>
      <c r="P8" s="2306"/>
      <c r="Q8" s="2297" t="s">
        <v>3038</v>
      </c>
      <c r="R8" s="2295" t="s">
        <v>3044</v>
      </c>
      <c r="S8" s="2306"/>
      <c r="T8" s="2297" t="s">
        <v>3038</v>
      </c>
      <c r="U8" s="2295" t="s">
        <v>3044</v>
      </c>
      <c r="V8" s="2306"/>
      <c r="CJ8" s="1108"/>
    </row>
    <row r="9" spans="1:88" s="1107" customFormat="1" ht="15" customHeight="1">
      <c r="A9" s="2311"/>
      <c r="B9" s="2298"/>
      <c r="C9" s="2298"/>
      <c r="D9" s="2298"/>
      <c r="E9" s="2298"/>
      <c r="F9" s="2298"/>
      <c r="G9" s="2298"/>
      <c r="H9" s="2298"/>
      <c r="I9" s="2298"/>
      <c r="J9" s="2298"/>
      <c r="K9" s="2298"/>
      <c r="L9" s="2296"/>
      <c r="M9" s="2298"/>
      <c r="N9" s="2298"/>
      <c r="O9" s="2296"/>
      <c r="P9" s="2298"/>
      <c r="Q9" s="2298"/>
      <c r="R9" s="2296"/>
      <c r="S9" s="2298"/>
      <c r="T9" s="2298"/>
      <c r="U9" s="2296"/>
      <c r="V9" s="2298"/>
      <c r="CI9" s="1107" t="e">
        <f>CI11+#REF!</f>
        <v>#REF!</v>
      </c>
      <c r="CJ9" s="1108" t="e">
        <f>CE9+CF9+CG9+CI9</f>
        <v>#REF!</v>
      </c>
    </row>
    <row r="10" spans="1:88" ht="12.75" customHeight="1">
      <c r="A10" s="2299" t="s">
        <v>304</v>
      </c>
      <c r="B10" s="2300" t="s">
        <v>1181</v>
      </c>
      <c r="C10" s="2301"/>
      <c r="D10" s="2288" t="s">
        <v>3058</v>
      </c>
      <c r="E10" s="2304" t="s">
        <v>1223</v>
      </c>
      <c r="F10" s="2304"/>
      <c r="G10" s="2304"/>
      <c r="H10" s="2305"/>
      <c r="I10" s="2305"/>
      <c r="J10" s="2305"/>
      <c r="K10" s="2305"/>
      <c r="L10" s="2305"/>
      <c r="M10" s="2305"/>
      <c r="N10" s="2304" t="s">
        <v>1224</v>
      </c>
      <c r="O10" s="2304"/>
      <c r="P10" s="2304"/>
      <c r="Q10" s="2304"/>
      <c r="R10" s="2304"/>
      <c r="S10" s="2304"/>
      <c r="T10" s="2304"/>
      <c r="U10" s="2304"/>
      <c r="V10" s="2304"/>
      <c r="CJ10" s="1109"/>
    </row>
    <row r="11" spans="1:88" ht="12.75" customHeight="1">
      <c r="A11" s="2299"/>
      <c r="B11" s="2302"/>
      <c r="C11" s="2303"/>
      <c r="D11" s="2294"/>
      <c r="E11" s="2292" t="s">
        <v>1181</v>
      </c>
      <c r="F11" s="2293"/>
      <c r="G11" s="2288" t="s">
        <v>3058</v>
      </c>
      <c r="H11" s="2292" t="s">
        <v>1183</v>
      </c>
      <c r="I11" s="2293"/>
      <c r="J11" s="2288" t="s">
        <v>3058</v>
      </c>
      <c r="K11" s="2292" t="s">
        <v>1182</v>
      </c>
      <c r="L11" s="2293"/>
      <c r="M11" s="2288" t="s">
        <v>3058</v>
      </c>
      <c r="N11" s="2292" t="s">
        <v>1184</v>
      </c>
      <c r="O11" s="2293"/>
      <c r="P11" s="2288" t="s">
        <v>3058</v>
      </c>
      <c r="Q11" s="2292" t="s">
        <v>1183</v>
      </c>
      <c r="R11" s="2293"/>
      <c r="S11" s="2288" t="s">
        <v>3058</v>
      </c>
      <c r="T11" s="2292" t="s">
        <v>1182</v>
      </c>
      <c r="U11" s="2293"/>
      <c r="V11" s="2288" t="s">
        <v>3058</v>
      </c>
      <c r="CI11" s="1104" t="e">
        <f>CI13+#REF!</f>
        <v>#REF!</v>
      </c>
      <c r="CJ11" s="1109" t="e">
        <f>CE11+CF11+CG11+CI11</f>
        <v>#REF!</v>
      </c>
    </row>
    <row r="12" spans="1:88" ht="13.2">
      <c r="A12" s="2299"/>
      <c r="B12" s="2288" t="s">
        <v>3038</v>
      </c>
      <c r="C12" s="2288" t="s">
        <v>3037</v>
      </c>
      <c r="D12" s="2294"/>
      <c r="E12" s="2288" t="s">
        <v>3038</v>
      </c>
      <c r="F12" s="2288" t="s">
        <v>3037</v>
      </c>
      <c r="G12" s="2294"/>
      <c r="H12" s="2288" t="s">
        <v>3038</v>
      </c>
      <c r="I12" s="2288" t="s">
        <v>3037</v>
      </c>
      <c r="J12" s="2294"/>
      <c r="K12" s="2288" t="s">
        <v>3038</v>
      </c>
      <c r="L12" s="2288" t="s">
        <v>3037</v>
      </c>
      <c r="M12" s="2294"/>
      <c r="N12" s="2288" t="s">
        <v>3038</v>
      </c>
      <c r="O12" s="2288" t="s">
        <v>3037</v>
      </c>
      <c r="P12" s="2294"/>
      <c r="Q12" s="2288" t="s">
        <v>3038</v>
      </c>
      <c r="R12" s="2288" t="s">
        <v>3037</v>
      </c>
      <c r="S12" s="2294"/>
      <c r="T12" s="2288" t="s">
        <v>3038</v>
      </c>
      <c r="U12" s="2288" t="s">
        <v>3037</v>
      </c>
      <c r="V12" s="2294"/>
      <c r="CJ12" s="1109"/>
    </row>
    <row r="13" spans="1:88" ht="13.2">
      <c r="A13" s="2299"/>
      <c r="B13" s="2289"/>
      <c r="C13" s="2289"/>
      <c r="D13" s="2289"/>
      <c r="E13" s="2289"/>
      <c r="F13" s="2289"/>
      <c r="G13" s="2294"/>
      <c r="H13" s="2289"/>
      <c r="I13" s="2289"/>
      <c r="J13" s="2294"/>
      <c r="K13" s="2289"/>
      <c r="L13" s="2289"/>
      <c r="M13" s="2294"/>
      <c r="N13" s="2289"/>
      <c r="O13" s="2289"/>
      <c r="P13" s="2294"/>
      <c r="Q13" s="2289"/>
      <c r="R13" s="2289"/>
      <c r="S13" s="2294"/>
      <c r="T13" s="2289"/>
      <c r="U13" s="2289"/>
      <c r="V13" s="2294"/>
      <c r="CI13" s="1104">
        <v>3917</v>
      </c>
      <c r="CJ13" s="1109">
        <f>CE13+CF13+CG13+CI13</f>
        <v>3917</v>
      </c>
    </row>
    <row r="14" spans="1:88" ht="13.2">
      <c r="A14" s="1110" t="s">
        <v>2407</v>
      </c>
      <c r="B14" s="1111"/>
      <c r="C14" s="1111"/>
      <c r="D14" s="1112"/>
      <c r="E14" s="1111"/>
      <c r="F14" s="1111"/>
      <c r="G14" s="1111"/>
      <c r="H14" s="1111"/>
      <c r="I14" s="1111"/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</row>
    <row r="15" spans="1:88" ht="13.2">
      <c r="A15" s="1110" t="s">
        <v>18</v>
      </c>
      <c r="B15" s="1111">
        <v>15116.362612110001</v>
      </c>
      <c r="C15" s="1111">
        <v>397.24756631999998</v>
      </c>
      <c r="D15" s="1112">
        <v>1306.8619599599999</v>
      </c>
      <c r="E15" s="1113">
        <v>9658.2997291400006</v>
      </c>
      <c r="F15" s="1113">
        <v>349.08755724000002</v>
      </c>
      <c r="G15" s="1113">
        <v>728.38359565999986</v>
      </c>
      <c r="H15" s="1113">
        <v>1532.6779413299996</v>
      </c>
      <c r="I15" s="1113">
        <v>109.57917195</v>
      </c>
      <c r="J15" s="1113">
        <v>108.91512322999999</v>
      </c>
      <c r="K15" s="1113">
        <v>8125.6217878100024</v>
      </c>
      <c r="L15" s="1113">
        <v>239.50838529000001</v>
      </c>
      <c r="M15" s="1113">
        <v>619.46847243000002</v>
      </c>
      <c r="N15" s="1113">
        <v>5458.0628829699999</v>
      </c>
      <c r="O15" s="1113">
        <v>48.160009080000002</v>
      </c>
      <c r="P15" s="1113">
        <v>578.47836429999995</v>
      </c>
      <c r="Q15" s="1113">
        <v>1204.7457811599998</v>
      </c>
      <c r="R15" s="1113">
        <v>6.9372089900000002</v>
      </c>
      <c r="S15" s="1113">
        <v>124.66481515000001</v>
      </c>
      <c r="T15" s="1113">
        <v>4253.3171018100002</v>
      </c>
      <c r="U15" s="1113">
        <v>41.22280009</v>
      </c>
      <c r="V15" s="1113">
        <v>453.81354914999997</v>
      </c>
      <c r="W15" s="1114"/>
      <c r="X15" s="1115"/>
    </row>
    <row r="16" spans="1:88" ht="13.2">
      <c r="A16" s="1110" t="s">
        <v>19</v>
      </c>
      <c r="B16" s="1111">
        <v>15299.112281839998</v>
      </c>
      <c r="C16" s="1111">
        <v>397.24756631999998</v>
      </c>
      <c r="D16" s="1112">
        <v>1297.7919746600001</v>
      </c>
      <c r="E16" s="1113">
        <v>9848.2798225300012</v>
      </c>
      <c r="F16" s="1113">
        <v>349.08755724000002</v>
      </c>
      <c r="G16" s="1113">
        <v>730.08705178000014</v>
      </c>
      <c r="H16" s="1113">
        <v>1578.4405291600001</v>
      </c>
      <c r="I16" s="1113">
        <v>109.57917195</v>
      </c>
      <c r="J16" s="1113">
        <v>108.03263208000003</v>
      </c>
      <c r="K16" s="1113">
        <v>8269.8392933700015</v>
      </c>
      <c r="L16" s="1113">
        <v>239.50838529000001</v>
      </c>
      <c r="M16" s="1113">
        <v>622.05441970000015</v>
      </c>
      <c r="N16" s="1113">
        <v>5450.8324593099996</v>
      </c>
      <c r="O16" s="1113">
        <v>48.160009080000002</v>
      </c>
      <c r="P16" s="1113">
        <v>567.70492288000003</v>
      </c>
      <c r="Q16" s="1113">
        <v>1206.5495221599997</v>
      </c>
      <c r="R16" s="1113">
        <v>6.9372089900000002</v>
      </c>
      <c r="S16" s="1113">
        <v>124.04899418000002</v>
      </c>
      <c r="T16" s="1113">
        <v>4244.2829371500002</v>
      </c>
      <c r="U16" s="1113">
        <v>41.22280009</v>
      </c>
      <c r="V16" s="1113">
        <v>443.65592869999995</v>
      </c>
      <c r="W16" s="1114"/>
      <c r="X16" s="1115"/>
    </row>
    <row r="17" spans="1:24" ht="13.2">
      <c r="A17" s="1110" t="s">
        <v>20</v>
      </c>
      <c r="B17" s="1111">
        <v>15232.734333029999</v>
      </c>
      <c r="C17" s="1111">
        <v>404.68545768000001</v>
      </c>
      <c r="D17" s="1112">
        <v>1386.7515801299999</v>
      </c>
      <c r="E17" s="1113">
        <v>10086.868844390001</v>
      </c>
      <c r="F17" s="1113">
        <v>356.73038116999999</v>
      </c>
      <c r="G17" s="1113">
        <v>777.79502507000007</v>
      </c>
      <c r="H17" s="1113">
        <v>1679.1181235700001</v>
      </c>
      <c r="I17" s="1113">
        <v>117.89394045</v>
      </c>
      <c r="J17" s="1113">
        <v>116.90400399000002</v>
      </c>
      <c r="K17" s="1113">
        <v>8407.7507208200004</v>
      </c>
      <c r="L17" s="1113">
        <v>238.83644072000001</v>
      </c>
      <c r="M17" s="1113">
        <v>660.89102108000009</v>
      </c>
      <c r="N17" s="1113">
        <v>5145.8654886399991</v>
      </c>
      <c r="O17" s="1113">
        <v>47.955076509999998</v>
      </c>
      <c r="P17" s="1113">
        <v>608.95655505999991</v>
      </c>
      <c r="Q17" s="1113">
        <v>997.00011630999995</v>
      </c>
      <c r="R17" s="1113">
        <v>6.5211274299999999</v>
      </c>
      <c r="S17" s="1113">
        <v>165.40259683000002</v>
      </c>
      <c r="T17" s="1113">
        <v>4148.8653723299994</v>
      </c>
      <c r="U17" s="1113">
        <v>41.433949079999998</v>
      </c>
      <c r="V17" s="1113">
        <v>443.55395822999992</v>
      </c>
      <c r="W17" s="1114"/>
      <c r="X17" s="1115"/>
    </row>
    <row r="18" spans="1:24" ht="13.2">
      <c r="A18" s="1110" t="s">
        <v>21</v>
      </c>
      <c r="B18" s="1111" t="s">
        <v>3054</v>
      </c>
      <c r="C18" s="1111">
        <v>404.68545768000001</v>
      </c>
      <c r="D18" s="1112">
        <v>1232.4418596000003</v>
      </c>
      <c r="E18" s="1113">
        <v>9822.422013389998</v>
      </c>
      <c r="F18" s="1113">
        <v>356.73038116999999</v>
      </c>
      <c r="G18" s="1113">
        <v>745.77714110000011</v>
      </c>
      <c r="H18" s="1113">
        <v>1684.2676135699999</v>
      </c>
      <c r="I18" s="1113">
        <v>117.89394045</v>
      </c>
      <c r="J18" s="1113">
        <v>128.16530624000001</v>
      </c>
      <c r="K18" s="1113">
        <v>8138.1543998199986</v>
      </c>
      <c r="L18" s="1113">
        <v>238.83644072000001</v>
      </c>
      <c r="M18" s="1113">
        <v>617.61183486000016</v>
      </c>
      <c r="N18" s="1113">
        <v>4919.7403329999997</v>
      </c>
      <c r="O18" s="1113">
        <v>47.955076509999998</v>
      </c>
      <c r="P18" s="1113">
        <v>486.66471850000005</v>
      </c>
      <c r="Q18" s="1113">
        <v>888.74897405999991</v>
      </c>
      <c r="R18" s="1113">
        <v>6.5211274299999999</v>
      </c>
      <c r="S18" s="1113">
        <v>72.324280580000021</v>
      </c>
      <c r="T18" s="1113">
        <v>4030.9913589400003</v>
      </c>
      <c r="U18" s="1113">
        <v>41.433949079999998</v>
      </c>
      <c r="V18" s="1113">
        <v>414.34043792</v>
      </c>
      <c r="W18" s="1114"/>
      <c r="X18" s="1115"/>
    </row>
    <row r="19" spans="1:24" ht="13.2">
      <c r="A19" s="1110" t="s">
        <v>22</v>
      </c>
      <c r="B19" s="1111" t="s">
        <v>3055</v>
      </c>
      <c r="C19" s="1111">
        <v>404.68545768000001</v>
      </c>
      <c r="D19" s="1112">
        <v>1084.8214846800004</v>
      </c>
      <c r="E19" s="1113">
        <v>9571.8026378300001</v>
      </c>
      <c r="F19" s="1113">
        <v>356.73038116999999</v>
      </c>
      <c r="G19" s="1113">
        <v>657.68580231000021</v>
      </c>
      <c r="H19" s="1113">
        <v>1642.3892990499999</v>
      </c>
      <c r="I19" s="1113">
        <v>117.89394045</v>
      </c>
      <c r="J19" s="1113">
        <v>107.17698140000002</v>
      </c>
      <c r="K19" s="1113">
        <v>7929.4133387800002</v>
      </c>
      <c r="L19" s="1113">
        <v>238.83644072000001</v>
      </c>
      <c r="M19" s="1113">
        <v>550.50882091000017</v>
      </c>
      <c r="N19" s="1113">
        <v>4789.2187584700005</v>
      </c>
      <c r="O19" s="1113">
        <v>47.955076509999998</v>
      </c>
      <c r="P19" s="1113">
        <v>427.13568237000004</v>
      </c>
      <c r="Q19" s="1113">
        <v>811.42906635999975</v>
      </c>
      <c r="R19" s="1113">
        <v>6.5211274299999999</v>
      </c>
      <c r="S19" s="1113">
        <v>62.438278789999991</v>
      </c>
      <c r="T19" s="1113">
        <v>3977.7896921100005</v>
      </c>
      <c r="U19" s="1113">
        <v>41.433949079999998</v>
      </c>
      <c r="V19" s="1113">
        <v>364.69740358000007</v>
      </c>
      <c r="W19" s="1114"/>
      <c r="X19" s="1115"/>
    </row>
    <row r="20" spans="1:24" ht="13.2">
      <c r="A20" s="1110" t="s">
        <v>23</v>
      </c>
      <c r="B20" s="1111">
        <v>14169.792242039999</v>
      </c>
      <c r="C20" s="1111">
        <v>380.86393447</v>
      </c>
      <c r="D20" s="1112">
        <v>1065.5159760600002</v>
      </c>
      <c r="E20" s="1113">
        <v>9566.3729760900005</v>
      </c>
      <c r="F20" s="1113">
        <v>331.38992697999998</v>
      </c>
      <c r="G20" s="1113">
        <v>656.19959554000002</v>
      </c>
      <c r="H20" s="1113">
        <v>1625.1390521700002</v>
      </c>
      <c r="I20" s="1113">
        <v>113.02238471</v>
      </c>
      <c r="J20" s="1113">
        <v>104.21832792000001</v>
      </c>
      <c r="K20" s="1113">
        <v>7941.2339239200001</v>
      </c>
      <c r="L20" s="1113">
        <v>218.36754227</v>
      </c>
      <c r="M20" s="1113">
        <v>551.98126762000004</v>
      </c>
      <c r="N20" s="1113">
        <v>4603.4192659500013</v>
      </c>
      <c r="O20" s="1113">
        <v>49.474007489999998</v>
      </c>
      <c r="P20" s="1113">
        <v>409.31638052</v>
      </c>
      <c r="Q20" s="1113">
        <v>748.94647368000017</v>
      </c>
      <c r="R20" s="1113">
        <v>6.3762933799999999</v>
      </c>
      <c r="S20" s="1113">
        <v>51.728728400000001</v>
      </c>
      <c r="T20" s="1113">
        <v>3854.4727922700008</v>
      </c>
      <c r="U20" s="1113">
        <v>43.097714109999998</v>
      </c>
      <c r="V20" s="1113">
        <v>357.58765212000003</v>
      </c>
      <c r="W20" s="1114"/>
      <c r="X20" s="1115"/>
    </row>
    <row r="21" spans="1:24" ht="13.2">
      <c r="A21" s="1110" t="s">
        <v>24</v>
      </c>
      <c r="B21" s="1111">
        <v>14204.45090082</v>
      </c>
      <c r="C21" s="1111">
        <v>380.86393447</v>
      </c>
      <c r="D21" s="1112">
        <v>1062.4228878200001</v>
      </c>
      <c r="E21" s="1113">
        <v>9582.5581388200007</v>
      </c>
      <c r="F21" s="1113">
        <v>331.38992697999998</v>
      </c>
      <c r="G21" s="1113">
        <v>665.33593518999999</v>
      </c>
      <c r="H21" s="1113">
        <v>1628.47799943</v>
      </c>
      <c r="I21" s="1113">
        <v>113.02238471</v>
      </c>
      <c r="J21" s="1113">
        <v>107.52460289</v>
      </c>
      <c r="K21" s="1113">
        <v>7954.0801393899992</v>
      </c>
      <c r="L21" s="1113">
        <v>218.36754227</v>
      </c>
      <c r="M21" s="1113">
        <v>557.8113323</v>
      </c>
      <c r="N21" s="1113">
        <v>4621.8927620000004</v>
      </c>
      <c r="O21" s="1113">
        <v>49.474007489999998</v>
      </c>
      <c r="P21" s="1113">
        <v>397.08695262999998</v>
      </c>
      <c r="Q21" s="1113">
        <v>752.54254911999999</v>
      </c>
      <c r="R21" s="1113">
        <v>6.3762933799999999</v>
      </c>
      <c r="S21" s="1113">
        <v>52.053345960000009</v>
      </c>
      <c r="T21" s="1113">
        <v>3869.3502128800001</v>
      </c>
      <c r="U21" s="1113">
        <v>43.097714109999998</v>
      </c>
      <c r="V21" s="1113">
        <v>345.03360667000004</v>
      </c>
      <c r="W21" s="1114"/>
      <c r="X21" s="1115"/>
    </row>
    <row r="22" spans="1:24" ht="13.2">
      <c r="A22" s="1110" t="s">
        <v>25</v>
      </c>
      <c r="B22" s="1111">
        <v>14304.23414368</v>
      </c>
      <c r="C22" s="1111">
        <v>380.86393447</v>
      </c>
      <c r="D22" s="1112">
        <v>1065.4106116099999</v>
      </c>
      <c r="E22" s="1113">
        <v>9713.1721314799997</v>
      </c>
      <c r="F22" s="1113">
        <v>331.38992697999998</v>
      </c>
      <c r="G22" s="1113">
        <v>662.61992012999997</v>
      </c>
      <c r="H22" s="1113">
        <v>1643.9188175700001</v>
      </c>
      <c r="I22" s="1113">
        <v>113.02238471</v>
      </c>
      <c r="J22" s="1113">
        <v>104.37121055999999</v>
      </c>
      <c r="K22" s="1113">
        <v>8069.2533139099996</v>
      </c>
      <c r="L22" s="1113">
        <v>218.36754227</v>
      </c>
      <c r="M22" s="1113">
        <v>558.24870956999996</v>
      </c>
      <c r="N22" s="1113">
        <v>4591.0620122</v>
      </c>
      <c r="O22" s="1113">
        <v>49.474007489999998</v>
      </c>
      <c r="P22" s="1113">
        <v>402.79069148000002</v>
      </c>
      <c r="Q22" s="1113">
        <v>740.91455623000002</v>
      </c>
      <c r="R22" s="1113">
        <v>6.3762933799999999</v>
      </c>
      <c r="S22" s="1113">
        <v>56.130318170000002</v>
      </c>
      <c r="T22" s="1113">
        <v>3850.14745597</v>
      </c>
      <c r="U22" s="1113">
        <v>43.097714109999998</v>
      </c>
      <c r="V22" s="1113">
        <v>346.66037330999995</v>
      </c>
      <c r="W22" s="1114"/>
      <c r="X22" s="1115"/>
    </row>
    <row r="23" spans="1:24" ht="13.2">
      <c r="A23" s="1110" t="s">
        <v>26</v>
      </c>
      <c r="B23" s="1111">
        <v>14497.033309750001</v>
      </c>
      <c r="C23" s="1111">
        <v>376.62548785000001</v>
      </c>
      <c r="D23" s="1112">
        <v>1069.5053917</v>
      </c>
      <c r="E23" s="1113">
        <v>9883.2896260100006</v>
      </c>
      <c r="F23" s="1113">
        <v>328.03963491000002</v>
      </c>
      <c r="G23" s="1113">
        <v>672.68117094000002</v>
      </c>
      <c r="H23" s="1113">
        <v>1627.7769445399999</v>
      </c>
      <c r="I23" s="1113">
        <v>112.49887845000001</v>
      </c>
      <c r="J23" s="1113">
        <v>107.21670949999999</v>
      </c>
      <c r="K23" s="1113">
        <v>8255.5126814699997</v>
      </c>
      <c r="L23" s="1113">
        <v>215.54075646000001</v>
      </c>
      <c r="M23" s="1113">
        <v>565.46446143999992</v>
      </c>
      <c r="N23" s="1113">
        <v>4613.7436837400001</v>
      </c>
      <c r="O23" s="1113">
        <v>48.585852940000002</v>
      </c>
      <c r="P23" s="1113">
        <v>396.82422076</v>
      </c>
      <c r="Q23" s="1113">
        <v>722.79607514999998</v>
      </c>
      <c r="R23" s="1113">
        <v>6.1846971599999998</v>
      </c>
      <c r="S23" s="1113">
        <v>55.589222129999996</v>
      </c>
      <c r="T23" s="1113">
        <v>3890.9476085900001</v>
      </c>
      <c r="U23" s="1113">
        <v>42.401155780000003</v>
      </c>
      <c r="V23" s="1113">
        <v>341.23499863000001</v>
      </c>
      <c r="W23" s="1114"/>
      <c r="X23" s="1115"/>
    </row>
    <row r="24" spans="1:24" ht="13.2">
      <c r="A24" s="1110" t="s">
        <v>27</v>
      </c>
      <c r="B24" s="1111">
        <v>14409.315260380001</v>
      </c>
      <c r="C24" s="1111">
        <v>376.62548785000001</v>
      </c>
      <c r="D24" s="1112">
        <v>1006.52323186</v>
      </c>
      <c r="E24" s="1113">
        <v>9926.2484279599994</v>
      </c>
      <c r="F24" s="1113">
        <v>328.03963491000002</v>
      </c>
      <c r="G24" s="1113">
        <v>678.32972274999997</v>
      </c>
      <c r="H24" s="1113">
        <v>1609.58174824</v>
      </c>
      <c r="I24" s="1113">
        <v>112.49887845000001</v>
      </c>
      <c r="J24" s="1113">
        <v>113.397586</v>
      </c>
      <c r="K24" s="1113">
        <v>8316.6666797199996</v>
      </c>
      <c r="L24" s="1113">
        <v>215.54075646000001</v>
      </c>
      <c r="M24" s="1113">
        <v>564.93213674999993</v>
      </c>
      <c r="N24" s="1113">
        <v>4483.0668324199996</v>
      </c>
      <c r="O24" s="1113">
        <v>48.585852940000002</v>
      </c>
      <c r="P24" s="1113">
        <v>328.19350910999998</v>
      </c>
      <c r="Q24" s="1113">
        <v>729.78460101999997</v>
      </c>
      <c r="R24" s="1113">
        <v>6.1846971599999998</v>
      </c>
      <c r="S24" s="1113">
        <v>45.364212569999999</v>
      </c>
      <c r="T24" s="1113">
        <v>3753.2822314</v>
      </c>
      <c r="U24" s="1113">
        <v>42.401155780000003</v>
      </c>
      <c r="V24" s="1113">
        <v>282.82929653999997</v>
      </c>
      <c r="W24" s="1114"/>
      <c r="X24" s="1115"/>
    </row>
    <row r="25" spans="1:24" ht="13.2">
      <c r="A25" s="1110" t="s">
        <v>28</v>
      </c>
      <c r="B25" s="1111">
        <v>14304.651248960001</v>
      </c>
      <c r="C25" s="1111">
        <v>376.62548785000001</v>
      </c>
      <c r="D25" s="1112">
        <v>922.91633637999996</v>
      </c>
      <c r="E25" s="1113">
        <v>9944.7613767799994</v>
      </c>
      <c r="F25" s="1113">
        <v>328.03963491000002</v>
      </c>
      <c r="G25" s="1113">
        <v>655.89601746000005</v>
      </c>
      <c r="H25" s="1113">
        <v>1660.8785150000001</v>
      </c>
      <c r="I25" s="1113">
        <v>112.49887845000001</v>
      </c>
      <c r="J25" s="1113">
        <v>97.262283609999997</v>
      </c>
      <c r="K25" s="1113">
        <v>8283.8828617800009</v>
      </c>
      <c r="L25" s="1113">
        <v>215.54075646000001</v>
      </c>
      <c r="M25" s="1113">
        <v>558.63373385</v>
      </c>
      <c r="N25" s="1113">
        <v>4359.8898721799997</v>
      </c>
      <c r="O25" s="1113">
        <v>48.585852940000002</v>
      </c>
      <c r="P25" s="1113">
        <v>267.02031891999997</v>
      </c>
      <c r="Q25" s="1113">
        <v>726.90528700000004</v>
      </c>
      <c r="R25" s="1113">
        <v>6.1846971599999998</v>
      </c>
      <c r="S25" s="1113">
        <v>43.563146709999998</v>
      </c>
      <c r="T25" s="1113">
        <v>3632.9845851800001</v>
      </c>
      <c r="U25" s="1113">
        <v>42.401155780000003</v>
      </c>
      <c r="V25" s="1113">
        <v>223.45717220999998</v>
      </c>
      <c r="W25" s="1114"/>
      <c r="X25" s="1115"/>
    </row>
    <row r="26" spans="1:24" ht="13.2">
      <c r="A26" s="1110" t="s">
        <v>29</v>
      </c>
      <c r="B26" s="1111">
        <v>14156.979472700001</v>
      </c>
      <c r="C26" s="1111">
        <v>373.44365544999999</v>
      </c>
      <c r="D26" s="1112">
        <v>893.13990544000001</v>
      </c>
      <c r="E26" s="1113">
        <v>9879.8602331000002</v>
      </c>
      <c r="F26" s="1113">
        <v>324.11870998000001</v>
      </c>
      <c r="G26" s="1113">
        <v>653.86810708999997</v>
      </c>
      <c r="H26" s="1113">
        <v>1641.81090621</v>
      </c>
      <c r="I26" s="1113">
        <v>112.36763689</v>
      </c>
      <c r="J26" s="1113">
        <v>94.622461000000001</v>
      </c>
      <c r="K26" s="1113">
        <v>8238.0493268900009</v>
      </c>
      <c r="L26" s="1113">
        <v>211.75107309000001</v>
      </c>
      <c r="M26" s="1113">
        <v>559.24564609000004</v>
      </c>
      <c r="N26" s="1113">
        <v>4277.1192395999997</v>
      </c>
      <c r="O26" s="1113">
        <v>49.324945470000003</v>
      </c>
      <c r="P26" s="1113">
        <v>239.27179835000001</v>
      </c>
      <c r="Q26" s="1113">
        <v>714.41116101</v>
      </c>
      <c r="R26" s="1113">
        <v>6.32722753</v>
      </c>
      <c r="S26" s="1113">
        <v>40.742700790000001</v>
      </c>
      <c r="T26" s="1113">
        <v>3562.7080785899998</v>
      </c>
      <c r="U26" s="1113">
        <v>42.997717940000001</v>
      </c>
      <c r="V26" s="1113">
        <v>198.52909756</v>
      </c>
      <c r="W26" s="1114"/>
      <c r="X26" s="1115"/>
    </row>
    <row r="27" spans="1:24" ht="13.2">
      <c r="A27" s="1116">
        <v>2021</v>
      </c>
      <c r="B27" s="1111"/>
      <c r="C27" s="1111"/>
      <c r="D27" s="1112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4"/>
      <c r="X27" s="1115"/>
    </row>
    <row r="28" spans="1:24" ht="13.2">
      <c r="A28" s="1110" t="s">
        <v>18</v>
      </c>
      <c r="B28" s="1111">
        <v>14213.759571140001</v>
      </c>
      <c r="C28" s="1111">
        <v>373.44365544999999</v>
      </c>
      <c r="D28" s="1112">
        <v>900.3856763</v>
      </c>
      <c r="E28" s="1113">
        <v>9975.3628292600006</v>
      </c>
      <c r="F28" s="1113">
        <v>324.11870998000001</v>
      </c>
      <c r="G28" s="1113">
        <v>647.57022729999994</v>
      </c>
      <c r="H28" s="1113">
        <v>1685.61115447</v>
      </c>
      <c r="I28" s="1113">
        <v>112.36763689</v>
      </c>
      <c r="J28" s="1113">
        <v>96.844620739999996</v>
      </c>
      <c r="K28" s="1113">
        <v>8289.7516747900008</v>
      </c>
      <c r="L28" s="1113">
        <v>211.75107309000001</v>
      </c>
      <c r="M28" s="1113">
        <v>550.72560656000007</v>
      </c>
      <c r="N28" s="1113">
        <v>4238.3967418800003</v>
      </c>
      <c r="O28" s="1113">
        <v>49.324945470000003</v>
      </c>
      <c r="P28" s="1113">
        <v>252.815449</v>
      </c>
      <c r="Q28" s="1113">
        <v>761.28714362000005</v>
      </c>
      <c r="R28" s="1113">
        <v>6.32722753</v>
      </c>
      <c r="S28" s="1113">
        <v>49.487015579999998</v>
      </c>
      <c r="T28" s="1113">
        <v>3477.10959826</v>
      </c>
      <c r="U28" s="1113">
        <v>42.997717940000001</v>
      </c>
      <c r="V28" s="1113">
        <v>203.32843341999998</v>
      </c>
      <c r="W28" s="1114"/>
      <c r="X28" s="1115"/>
    </row>
    <row r="29" spans="1:24" ht="13.2">
      <c r="A29" s="1110" t="s">
        <v>19</v>
      </c>
      <c r="B29" s="1111">
        <v>14246.10184789</v>
      </c>
      <c r="C29" s="1111">
        <v>373.44365544999999</v>
      </c>
      <c r="D29" s="1112">
        <v>917.51636970000004</v>
      </c>
      <c r="E29" s="1113">
        <v>10083.452021880001</v>
      </c>
      <c r="F29" s="1113">
        <v>324.11870998000001</v>
      </c>
      <c r="G29" s="1113">
        <v>666.79700777999994</v>
      </c>
      <c r="H29" s="1113">
        <v>1749.0857997999999</v>
      </c>
      <c r="I29" s="1113">
        <v>112.36763689</v>
      </c>
      <c r="J29" s="1113">
        <v>96.46629037999999</v>
      </c>
      <c r="K29" s="1113">
        <v>8334.3662220799997</v>
      </c>
      <c r="L29" s="1113">
        <v>211.75107309000001</v>
      </c>
      <c r="M29" s="1113">
        <v>570.33071740000003</v>
      </c>
      <c r="N29" s="1113">
        <v>4162.6498260099997</v>
      </c>
      <c r="O29" s="1113">
        <v>49.324945470000003</v>
      </c>
      <c r="P29" s="1113">
        <v>250.71936192000001</v>
      </c>
      <c r="Q29" s="1113">
        <v>662.77640186999997</v>
      </c>
      <c r="R29" s="1113">
        <v>6.32722753</v>
      </c>
      <c r="S29" s="1113">
        <v>46.876663730000004</v>
      </c>
      <c r="T29" s="1113">
        <v>3499.8734241400002</v>
      </c>
      <c r="U29" s="1113">
        <v>42.997717940000001</v>
      </c>
      <c r="V29" s="1113">
        <v>203.84269818999999</v>
      </c>
      <c r="W29" s="1114"/>
      <c r="X29" s="1115"/>
    </row>
    <row r="30" spans="1:24" ht="13.2">
      <c r="A30" s="1110" t="s">
        <v>20</v>
      </c>
      <c r="B30" s="1111">
        <v>14352.354129449999</v>
      </c>
      <c r="C30" s="1111">
        <v>375.67627027999998</v>
      </c>
      <c r="D30" s="1112">
        <v>918.15007710999998</v>
      </c>
      <c r="E30" s="1113">
        <v>10247.2472729</v>
      </c>
      <c r="F30" s="1113">
        <v>327.75034328999999</v>
      </c>
      <c r="G30" s="1113">
        <v>668.94892829000003</v>
      </c>
      <c r="H30" s="1113">
        <v>1776.7042152700001</v>
      </c>
      <c r="I30" s="1113">
        <v>120.08097094</v>
      </c>
      <c r="J30" s="1113">
        <v>93.229735579999996</v>
      </c>
      <c r="K30" s="1113">
        <v>8470.5430576300005</v>
      </c>
      <c r="L30" s="1113">
        <v>207.66937235</v>
      </c>
      <c r="M30" s="1113">
        <v>575.71919271000002</v>
      </c>
      <c r="N30" s="1113">
        <v>4105.10685655</v>
      </c>
      <c r="O30" s="1113">
        <v>47.925926990000001</v>
      </c>
      <c r="P30" s="1113">
        <v>249.20114881999999</v>
      </c>
      <c r="Q30" s="1113">
        <v>674.77642509999998</v>
      </c>
      <c r="R30" s="1113">
        <v>5.975174</v>
      </c>
      <c r="S30" s="1113">
        <v>48.471003469999999</v>
      </c>
      <c r="T30" s="1113">
        <v>3430.3304314500001</v>
      </c>
      <c r="U30" s="1113">
        <v>41.950752989999998</v>
      </c>
      <c r="V30" s="1113">
        <v>200.73014535000002</v>
      </c>
      <c r="W30" s="1114"/>
      <c r="X30" s="1115"/>
    </row>
    <row r="31" spans="1:24" ht="13.2">
      <c r="A31" s="1110" t="s">
        <v>21</v>
      </c>
      <c r="B31" s="1111">
        <v>14611.819578369999</v>
      </c>
      <c r="C31" s="1111">
        <v>375.67627027999998</v>
      </c>
      <c r="D31" s="1112">
        <v>921.53370200000006</v>
      </c>
      <c r="E31" s="1113">
        <v>10508.626065500001</v>
      </c>
      <c r="F31" s="1113">
        <v>327.75034328999999</v>
      </c>
      <c r="G31" s="1113">
        <v>699.32114547000003</v>
      </c>
      <c r="H31" s="1113">
        <v>1809.139506</v>
      </c>
      <c r="I31" s="1113">
        <v>120.08097094</v>
      </c>
      <c r="J31" s="1113">
        <v>108.31807354</v>
      </c>
      <c r="K31" s="1113">
        <v>8699.4865594999992</v>
      </c>
      <c r="L31" s="1113">
        <v>207.66937235</v>
      </c>
      <c r="M31" s="1113">
        <v>591.00307193000003</v>
      </c>
      <c r="N31" s="1113">
        <v>4103.1935128699997</v>
      </c>
      <c r="O31" s="1113">
        <v>47.925926990000001</v>
      </c>
      <c r="P31" s="1113">
        <v>222.21255653</v>
      </c>
      <c r="Q31" s="1113">
        <v>686.93910826000001</v>
      </c>
      <c r="R31" s="1113">
        <v>5.975174</v>
      </c>
      <c r="S31" s="1113">
        <v>49.952667609999999</v>
      </c>
      <c r="T31" s="1113">
        <v>3416.2544046100002</v>
      </c>
      <c r="U31" s="1113">
        <v>41.950752989999998</v>
      </c>
      <c r="V31" s="1113">
        <v>172.25988892000001</v>
      </c>
      <c r="W31" s="1114"/>
      <c r="X31" s="1115"/>
    </row>
    <row r="32" spans="1:24" ht="13.2">
      <c r="A32" s="1110" t="s">
        <v>22</v>
      </c>
      <c r="B32" s="1111">
        <v>14691.392036560001</v>
      </c>
      <c r="C32" s="1111">
        <v>375.67627027999998</v>
      </c>
      <c r="D32" s="1112">
        <v>906.90793025000005</v>
      </c>
      <c r="E32" s="1113">
        <v>10599.23610201</v>
      </c>
      <c r="F32" s="1113">
        <v>327.75034328999999</v>
      </c>
      <c r="G32" s="1113">
        <v>685.46766498</v>
      </c>
      <c r="H32" s="1113">
        <v>1813.0710656599999</v>
      </c>
      <c r="I32" s="1113">
        <v>120.08097094</v>
      </c>
      <c r="J32" s="1113">
        <v>92.693554630000008</v>
      </c>
      <c r="K32" s="1113">
        <v>8786.1650363499994</v>
      </c>
      <c r="L32" s="1113">
        <v>207.66937235</v>
      </c>
      <c r="M32" s="1113">
        <v>592.77411035</v>
      </c>
      <c r="N32" s="1113">
        <v>4092.15593455</v>
      </c>
      <c r="O32" s="1113">
        <v>47.925926990000001</v>
      </c>
      <c r="P32" s="1113">
        <v>221.44026527</v>
      </c>
      <c r="Q32" s="1113">
        <v>666.54767803000004</v>
      </c>
      <c r="R32" s="1113">
        <v>5.975174</v>
      </c>
      <c r="S32" s="1113">
        <v>47.60378068</v>
      </c>
      <c r="T32" s="1113">
        <v>3425.6082565199999</v>
      </c>
      <c r="U32" s="1113">
        <v>41.950752989999998</v>
      </c>
      <c r="V32" s="1113">
        <v>173.83648459</v>
      </c>
      <c r="W32" s="1114"/>
      <c r="X32" s="1115"/>
    </row>
    <row r="33" spans="1:24" ht="13.2">
      <c r="A33" s="1110" t="s">
        <v>23</v>
      </c>
      <c r="B33" s="1111">
        <v>14856.88264518</v>
      </c>
      <c r="C33" s="1111">
        <v>401.17554901</v>
      </c>
      <c r="D33" s="1112">
        <v>914.58348045999992</v>
      </c>
      <c r="E33" s="1113">
        <v>10800.240964389999</v>
      </c>
      <c r="F33" s="1113">
        <v>348.19117247999998</v>
      </c>
      <c r="G33" s="1113">
        <v>694.13460823000003</v>
      </c>
      <c r="H33" s="1113">
        <v>1832.41460173</v>
      </c>
      <c r="I33" s="1113">
        <v>132.10586247000001</v>
      </c>
      <c r="J33" s="1113">
        <v>93.614316349999996</v>
      </c>
      <c r="K33" s="1113">
        <v>8967.8263626600001</v>
      </c>
      <c r="L33" s="1113">
        <v>216.08531001</v>
      </c>
      <c r="M33" s="1113">
        <v>600.52029187999995</v>
      </c>
      <c r="N33" s="1113">
        <v>4056.64168079</v>
      </c>
      <c r="O33" s="1113">
        <v>52.984376529999999</v>
      </c>
      <c r="P33" s="1113">
        <v>220.44887223000001</v>
      </c>
      <c r="Q33" s="1113">
        <v>687.96934712999996</v>
      </c>
      <c r="R33" s="1113">
        <v>5.6883241399999998</v>
      </c>
      <c r="S33" s="1113">
        <v>47.841762289999998</v>
      </c>
      <c r="T33" s="1113">
        <v>3368.6723336599998</v>
      </c>
      <c r="U33" s="1113">
        <v>47.29605239</v>
      </c>
      <c r="V33" s="1113">
        <v>172.60710993999999</v>
      </c>
      <c r="W33" s="1114"/>
      <c r="X33" s="1115"/>
    </row>
    <row r="34" spans="1:24" ht="13.2">
      <c r="A34" s="1110" t="s">
        <v>24</v>
      </c>
      <c r="B34" s="1111">
        <v>14966.497434360001</v>
      </c>
      <c r="C34" s="1111">
        <v>401.17554901</v>
      </c>
      <c r="D34" s="1112">
        <v>937.46215344999996</v>
      </c>
      <c r="E34" s="1113">
        <v>10903.35557229</v>
      </c>
      <c r="F34" s="1113">
        <v>348.19117247999998</v>
      </c>
      <c r="G34" s="1113">
        <v>712.25482284999998</v>
      </c>
      <c r="H34" s="1113">
        <v>1881.44984398</v>
      </c>
      <c r="I34" s="1113">
        <v>132.10586247000001</v>
      </c>
      <c r="J34" s="1113">
        <v>94.494357119999989</v>
      </c>
      <c r="K34" s="1113">
        <v>9021.9057283099992</v>
      </c>
      <c r="L34" s="1113">
        <v>216.08531001</v>
      </c>
      <c r="M34" s="1113">
        <v>617.76046572999996</v>
      </c>
      <c r="N34" s="1113">
        <v>4063.1418620700001</v>
      </c>
      <c r="O34" s="1113">
        <v>52.984376529999999</v>
      </c>
      <c r="P34" s="1113">
        <v>225.20733059999998</v>
      </c>
      <c r="Q34" s="1113">
        <v>708.48020512000005</v>
      </c>
      <c r="R34" s="1113">
        <v>5.6883241399999998</v>
      </c>
      <c r="S34" s="1113">
        <v>51.764850549999998</v>
      </c>
      <c r="T34" s="1113">
        <v>3354.6616569500002</v>
      </c>
      <c r="U34" s="1113">
        <v>47.29605239</v>
      </c>
      <c r="V34" s="1113">
        <v>173.44248005</v>
      </c>
      <c r="W34" s="1114"/>
      <c r="X34" s="1115"/>
    </row>
    <row r="35" spans="1:24" ht="13.2">
      <c r="A35" s="1110" t="s">
        <v>25</v>
      </c>
      <c r="B35" s="1111">
        <v>15206.80355631</v>
      </c>
      <c r="C35" s="1111">
        <v>401.17554901</v>
      </c>
      <c r="D35" s="1112">
        <v>904.16886915999999</v>
      </c>
      <c r="E35" s="1113">
        <v>11078.540372990001</v>
      </c>
      <c r="F35" s="1113">
        <v>348.19117247999998</v>
      </c>
      <c r="G35" s="1113">
        <v>687.53866123</v>
      </c>
      <c r="H35" s="1113">
        <v>1882.6847640200001</v>
      </c>
      <c r="I35" s="1113">
        <v>132.10586247000001</v>
      </c>
      <c r="J35" s="1113">
        <v>94.177497820000013</v>
      </c>
      <c r="K35" s="1113">
        <v>9195.8556089699996</v>
      </c>
      <c r="L35" s="1113">
        <v>216.08531001</v>
      </c>
      <c r="M35" s="1113">
        <v>593.3611634099999</v>
      </c>
      <c r="N35" s="1113">
        <v>4128.2631833200003</v>
      </c>
      <c r="O35" s="1113">
        <v>52.984376529999999</v>
      </c>
      <c r="P35" s="1113">
        <v>216.63020792999998</v>
      </c>
      <c r="Q35" s="1113">
        <v>757.38473449000003</v>
      </c>
      <c r="R35" s="1113">
        <v>5.6883241399999998</v>
      </c>
      <c r="S35" s="1113">
        <v>45.313542130000002</v>
      </c>
      <c r="T35" s="1113">
        <v>3370.8784488299998</v>
      </c>
      <c r="U35" s="1113">
        <v>47.29605239</v>
      </c>
      <c r="V35" s="1113">
        <v>171.31666579999998</v>
      </c>
      <c r="W35" s="1114"/>
      <c r="X35" s="1115"/>
    </row>
    <row r="36" spans="1:24" ht="13.2">
      <c r="A36" s="1110" t="s">
        <v>26</v>
      </c>
      <c r="B36" s="1111">
        <v>15538.70363957</v>
      </c>
      <c r="C36" s="1111">
        <v>418.60019290000002</v>
      </c>
      <c r="D36" s="1112">
        <v>871.14004874</v>
      </c>
      <c r="E36" s="1113">
        <v>11344.42322649</v>
      </c>
      <c r="F36" s="1113">
        <v>363.46501093000001</v>
      </c>
      <c r="G36" s="1113">
        <v>660.70912520999991</v>
      </c>
      <c r="H36" s="1113">
        <v>1934.2304067299999</v>
      </c>
      <c r="I36" s="1113">
        <v>139.84347871</v>
      </c>
      <c r="J36" s="1113">
        <v>89.766116760000003</v>
      </c>
      <c r="K36" s="1113">
        <v>9410.1928197599991</v>
      </c>
      <c r="L36" s="1113">
        <v>223.62153222000001</v>
      </c>
      <c r="M36" s="1113">
        <v>570.94300844999998</v>
      </c>
      <c r="N36" s="1113">
        <v>4194.2804130799996</v>
      </c>
      <c r="O36" s="1113">
        <v>55.135181969999998</v>
      </c>
      <c r="P36" s="1113">
        <v>210.43092353000003</v>
      </c>
      <c r="Q36" s="1113">
        <v>808.49123672999997</v>
      </c>
      <c r="R36" s="1113">
        <v>5.5866033000000002</v>
      </c>
      <c r="S36" s="1113">
        <v>42.921859019999999</v>
      </c>
      <c r="T36" s="1113">
        <v>3385.7891763500002</v>
      </c>
      <c r="U36" s="1113">
        <v>49.548578669999998</v>
      </c>
      <c r="V36" s="1113">
        <v>167.50906451</v>
      </c>
      <c r="W36" s="1114"/>
      <c r="X36" s="1115"/>
    </row>
    <row r="37" spans="1:24" ht="13.2">
      <c r="A37" s="1110" t="s">
        <v>27</v>
      </c>
      <c r="B37" s="1111">
        <v>15997.29021702</v>
      </c>
      <c r="C37" s="1111">
        <v>418.60019290000002</v>
      </c>
      <c r="D37" s="1112">
        <v>815.87446340999998</v>
      </c>
      <c r="E37" s="1113">
        <v>11550.003507060001</v>
      </c>
      <c r="F37" s="1113">
        <v>363.46501093000001</v>
      </c>
      <c r="G37" s="1113">
        <v>597.93212702000005</v>
      </c>
      <c r="H37" s="1113">
        <v>2000.6491651599999</v>
      </c>
      <c r="I37" s="1113">
        <v>139.84347871</v>
      </c>
      <c r="J37" s="1113">
        <v>84.669884519999997</v>
      </c>
      <c r="K37" s="1113">
        <v>9549.3543418999998</v>
      </c>
      <c r="L37" s="1113">
        <v>223.62153222000001</v>
      </c>
      <c r="M37" s="1113">
        <v>513.26224249999996</v>
      </c>
      <c r="N37" s="1113">
        <v>4447.2867099599998</v>
      </c>
      <c r="O37" s="1113">
        <v>55.135181969999998</v>
      </c>
      <c r="P37" s="1113">
        <v>217.94233638999998</v>
      </c>
      <c r="Q37" s="1113">
        <v>940.90689980000002</v>
      </c>
      <c r="R37" s="1113">
        <v>5.5866033000000002</v>
      </c>
      <c r="S37" s="1113">
        <v>55.73458239</v>
      </c>
      <c r="T37" s="1113">
        <v>3506.37981016</v>
      </c>
      <c r="U37" s="1113">
        <v>49.548578669999998</v>
      </c>
      <c r="V37" s="1113">
        <v>162.20775399999999</v>
      </c>
      <c r="W37" s="1114"/>
      <c r="X37" s="1115"/>
    </row>
    <row r="38" spans="1:24" ht="13.2">
      <c r="A38" s="1110" t="s">
        <v>28</v>
      </c>
      <c r="B38" s="1111">
        <v>16281.964850279999</v>
      </c>
      <c r="C38" s="1111">
        <v>418.60019290000002</v>
      </c>
      <c r="D38" s="1112">
        <v>786.28199433999998</v>
      </c>
      <c r="E38" s="1113">
        <v>11907.86257132</v>
      </c>
      <c r="F38" s="1113">
        <v>363.46501093000001</v>
      </c>
      <c r="G38" s="1113">
        <v>571.54338396000003</v>
      </c>
      <c r="H38" s="1113">
        <v>2104.7434106400001</v>
      </c>
      <c r="I38" s="1113">
        <v>139.84347871</v>
      </c>
      <c r="J38" s="1113">
        <v>85.640184000000005</v>
      </c>
      <c r="K38" s="1113">
        <v>9803.1191606800003</v>
      </c>
      <c r="L38" s="1113">
        <v>223.62153222000001</v>
      </c>
      <c r="M38" s="1113">
        <v>485.90319995999999</v>
      </c>
      <c r="N38" s="1113">
        <v>4374.1022789600001</v>
      </c>
      <c r="O38" s="1113">
        <v>55.135181969999998</v>
      </c>
      <c r="P38" s="1113">
        <v>214.73861038000001</v>
      </c>
      <c r="Q38" s="1113">
        <v>927.16268978999994</v>
      </c>
      <c r="R38" s="1113">
        <v>5.5866033000000002</v>
      </c>
      <c r="S38" s="1113">
        <v>54.031234310000002</v>
      </c>
      <c r="T38" s="1113">
        <v>3446.9395891700001</v>
      </c>
      <c r="U38" s="1113">
        <v>49.548578669999998</v>
      </c>
      <c r="V38" s="1113">
        <v>160.70737607000001</v>
      </c>
      <c r="W38" s="1114"/>
      <c r="X38" s="1115"/>
    </row>
    <row r="39" spans="1:24" ht="13.2">
      <c r="A39" s="1110" t="s">
        <v>29</v>
      </c>
      <c r="B39" s="1111">
        <v>16659.10533463</v>
      </c>
      <c r="C39" s="1111">
        <v>460.71093189999999</v>
      </c>
      <c r="D39" s="1112">
        <v>719.44171244099994</v>
      </c>
      <c r="E39" s="1113">
        <v>12295.876158339999</v>
      </c>
      <c r="F39" s="1113">
        <v>400.58206002999998</v>
      </c>
      <c r="G39" s="1113">
        <v>531.8240892</v>
      </c>
      <c r="H39" s="1113">
        <v>2102.3915146099998</v>
      </c>
      <c r="I39" s="1113">
        <v>143.61199816999999</v>
      </c>
      <c r="J39" s="1113">
        <v>80.629324750000009</v>
      </c>
      <c r="K39" s="1113">
        <v>10193.48464373</v>
      </c>
      <c r="L39" s="1113">
        <v>256.97006185999999</v>
      </c>
      <c r="M39" s="1113">
        <v>451.19476444999998</v>
      </c>
      <c r="N39" s="1113">
        <v>4363.2291762900004</v>
      </c>
      <c r="O39" s="1113">
        <v>60.128871869999998</v>
      </c>
      <c r="P39" s="1113">
        <v>187.61762324099999</v>
      </c>
      <c r="Q39" s="1113">
        <v>950.81045275999998</v>
      </c>
      <c r="R39" s="1113">
        <v>5.0991979199999999</v>
      </c>
      <c r="S39" s="1113">
        <v>51.405089330999999</v>
      </c>
      <c r="T39" s="1113">
        <v>3412.4187235300001</v>
      </c>
      <c r="U39" s="1113">
        <v>55.029673950000003</v>
      </c>
      <c r="V39" s="1113">
        <v>136.21253390999999</v>
      </c>
      <c r="W39" s="1114"/>
      <c r="X39" s="1115"/>
    </row>
    <row r="40" spans="1:24" ht="13.2">
      <c r="A40" s="1110" t="s">
        <v>2892</v>
      </c>
      <c r="B40" s="1111"/>
      <c r="C40" s="1111"/>
      <c r="D40" s="1112"/>
      <c r="E40" s="1113"/>
      <c r="F40" s="1113"/>
      <c r="G40" s="1113"/>
      <c r="H40" s="1113"/>
      <c r="I40" s="1113"/>
      <c r="J40" s="1113"/>
      <c r="K40" s="1113"/>
      <c r="L40" s="1113"/>
      <c r="M40" s="1113"/>
      <c r="N40" s="1113"/>
      <c r="O40" s="1113"/>
      <c r="P40" s="1113"/>
      <c r="Q40" s="1113"/>
      <c r="R40" s="1113"/>
      <c r="S40" s="1113"/>
      <c r="T40" s="1113"/>
      <c r="U40" s="1113"/>
      <c r="V40" s="1113"/>
      <c r="W40" s="1114"/>
      <c r="X40" s="1115"/>
    </row>
    <row r="41" spans="1:24" ht="13.2">
      <c r="A41" s="1110" t="s">
        <v>18</v>
      </c>
      <c r="B41" s="1111">
        <v>16781.438939299998</v>
      </c>
      <c r="C41" s="1111">
        <v>460.71093189999999</v>
      </c>
      <c r="D41" s="1112">
        <v>706.54506468099999</v>
      </c>
      <c r="E41" s="1113">
        <v>12417.2461456</v>
      </c>
      <c r="F41" s="1113">
        <v>400.58206002999998</v>
      </c>
      <c r="G41" s="1113">
        <v>514.54677155000002</v>
      </c>
      <c r="H41" s="1113">
        <v>2111.5110689799999</v>
      </c>
      <c r="I41" s="1113">
        <v>143.61199816999999</v>
      </c>
      <c r="J41" s="1113">
        <v>83.849482890000004</v>
      </c>
      <c r="K41" s="1113">
        <v>10305.73507662</v>
      </c>
      <c r="L41" s="1113">
        <v>256.97006185999999</v>
      </c>
      <c r="M41" s="1113">
        <v>430.69728865999997</v>
      </c>
      <c r="N41" s="1113">
        <v>4364.1927937</v>
      </c>
      <c r="O41" s="1113">
        <v>60.128871869999998</v>
      </c>
      <c r="P41" s="1113">
        <v>191.998293131</v>
      </c>
      <c r="Q41" s="1113">
        <v>971.38997297000003</v>
      </c>
      <c r="R41" s="1113">
        <v>5.0991979199999999</v>
      </c>
      <c r="S41" s="1113">
        <v>51.256426150999999</v>
      </c>
      <c r="T41" s="1113">
        <v>3392.8028207299999</v>
      </c>
      <c r="U41" s="1113">
        <v>55.029673950000003</v>
      </c>
      <c r="V41" s="1113">
        <v>140.74186698</v>
      </c>
      <c r="W41" s="1114"/>
      <c r="X41" s="1115"/>
    </row>
    <row r="42" spans="1:24" ht="13.2">
      <c r="A42" s="1110" t="s">
        <v>19</v>
      </c>
      <c r="B42" s="1111">
        <v>17126.510853610002</v>
      </c>
      <c r="C42" s="1111">
        <v>460.71093189999999</v>
      </c>
      <c r="D42" s="1112">
        <v>690.22803666099992</v>
      </c>
      <c r="E42" s="1113">
        <v>12751.955724490001</v>
      </c>
      <c r="F42" s="1113">
        <v>400.58206002999998</v>
      </c>
      <c r="G42" s="1113">
        <v>500.31258965000001</v>
      </c>
      <c r="H42" s="1113">
        <v>2228.0877367399999</v>
      </c>
      <c r="I42" s="1113">
        <v>143.61199816999999</v>
      </c>
      <c r="J42" s="1113">
        <v>83.798901090000001</v>
      </c>
      <c r="K42" s="1113">
        <v>10523.86798775</v>
      </c>
      <c r="L42" s="1113">
        <v>256.97006185999999</v>
      </c>
      <c r="M42" s="1113">
        <v>416.51368855999999</v>
      </c>
      <c r="N42" s="1113">
        <v>4374.5551291199999</v>
      </c>
      <c r="O42" s="1113">
        <v>60.128871869999998</v>
      </c>
      <c r="P42" s="1113">
        <v>189.915447011</v>
      </c>
      <c r="Q42" s="1113">
        <v>1044.64093594</v>
      </c>
      <c r="R42" s="1113">
        <v>5.0991979199999999</v>
      </c>
      <c r="S42" s="1113">
        <v>50.666347761000004</v>
      </c>
      <c r="T42" s="1113">
        <v>3329.91419318</v>
      </c>
      <c r="U42" s="1113">
        <v>55.029673950000003</v>
      </c>
      <c r="V42" s="1113">
        <v>139.24909925</v>
      </c>
      <c r="W42" s="1114"/>
      <c r="X42" s="1115"/>
    </row>
    <row r="43" spans="1:24" ht="13.2">
      <c r="A43" s="1110" t="s">
        <v>20</v>
      </c>
      <c r="B43" s="1111">
        <v>17528.170512190001</v>
      </c>
      <c r="C43" s="1111">
        <v>479.59937926100002</v>
      </c>
      <c r="D43" s="1112">
        <v>685.18649990099993</v>
      </c>
      <c r="E43" s="1113">
        <v>13081.72942464</v>
      </c>
      <c r="F43" s="1113">
        <v>416.58566178000001</v>
      </c>
      <c r="G43" s="1113">
        <v>484.17742141999997</v>
      </c>
      <c r="H43" s="1113">
        <v>2300.8940538699999</v>
      </c>
      <c r="I43" s="1113">
        <v>150.96080594</v>
      </c>
      <c r="J43" s="1113">
        <v>91.229191940000007</v>
      </c>
      <c r="K43" s="1113">
        <v>10780.835370770001</v>
      </c>
      <c r="L43" s="1113">
        <v>265.62485584000001</v>
      </c>
      <c r="M43" s="1113">
        <v>392.94822948000001</v>
      </c>
      <c r="N43" s="1113">
        <v>4446.4410875499998</v>
      </c>
      <c r="O43" s="1113">
        <v>63.013717481</v>
      </c>
      <c r="P43" s="1113">
        <v>201.00907848099999</v>
      </c>
      <c r="Q43" s="1113">
        <v>973.19654422999997</v>
      </c>
      <c r="R43" s="1113">
        <v>5.0268763510000003</v>
      </c>
      <c r="S43" s="1113">
        <v>57.715947030999999</v>
      </c>
      <c r="T43" s="1113">
        <v>3473.24454332</v>
      </c>
      <c r="U43" s="1113">
        <v>57.986841130000002</v>
      </c>
      <c r="V43" s="1113">
        <v>143.29313145</v>
      </c>
      <c r="W43" s="1114"/>
      <c r="X43" s="1115"/>
    </row>
    <row r="44" spans="1:24" ht="13.2">
      <c r="A44" s="1110" t="s">
        <v>21</v>
      </c>
      <c r="B44" s="1111">
        <v>17840.365402669999</v>
      </c>
      <c r="C44" s="1111">
        <v>479.59937926100002</v>
      </c>
      <c r="D44" s="1112">
        <v>674.77748304099998</v>
      </c>
      <c r="E44" s="1113">
        <v>13455.54299858</v>
      </c>
      <c r="F44" s="1113">
        <v>416.58566178000001</v>
      </c>
      <c r="G44" s="1113">
        <v>473.43038794</v>
      </c>
      <c r="H44" s="1113">
        <v>2402.1521094899999</v>
      </c>
      <c r="I44" s="1113">
        <v>150.96080594</v>
      </c>
      <c r="J44" s="1113">
        <v>86.027146730000013</v>
      </c>
      <c r="K44" s="1113">
        <v>11053.39088909</v>
      </c>
      <c r="L44" s="1113">
        <v>265.62485584000001</v>
      </c>
      <c r="M44" s="1113">
        <v>387.40324120999998</v>
      </c>
      <c r="N44" s="1113">
        <v>4384.8224040900004</v>
      </c>
      <c r="O44" s="1113">
        <v>63.013717481</v>
      </c>
      <c r="P44" s="1113">
        <v>201.34709510100001</v>
      </c>
      <c r="Q44" s="1113">
        <v>964.45066541000006</v>
      </c>
      <c r="R44" s="1113">
        <v>5.0268763510000003</v>
      </c>
      <c r="S44" s="1113">
        <v>60.260919121000001</v>
      </c>
      <c r="T44" s="1113">
        <v>3420.3717386799999</v>
      </c>
      <c r="U44" s="1113">
        <v>57.986841130000002</v>
      </c>
      <c r="V44" s="1113">
        <v>141.08617598000001</v>
      </c>
      <c r="W44" s="1114"/>
      <c r="X44" s="1115"/>
    </row>
    <row r="45" spans="1:24" ht="13.2">
      <c r="A45" s="1110" t="s">
        <v>22</v>
      </c>
      <c r="B45" s="1111">
        <v>18098.275857510002</v>
      </c>
      <c r="C45" s="1111">
        <v>479.59937926100002</v>
      </c>
      <c r="D45" s="1112">
        <v>673.73641594100002</v>
      </c>
      <c r="E45" s="1113">
        <v>13689.70842578</v>
      </c>
      <c r="F45" s="1113">
        <v>416.58566178000001</v>
      </c>
      <c r="G45" s="1113">
        <v>472.73205044000002</v>
      </c>
      <c r="H45" s="1113">
        <v>2379.4522662499999</v>
      </c>
      <c r="I45" s="1113">
        <v>150.96080594</v>
      </c>
      <c r="J45" s="1113">
        <v>85.956871760000013</v>
      </c>
      <c r="K45" s="1113">
        <v>11310.256159529999</v>
      </c>
      <c r="L45" s="1113">
        <v>265.62485584000001</v>
      </c>
      <c r="M45" s="1113">
        <v>386.77517868000001</v>
      </c>
      <c r="N45" s="1113">
        <v>4408.56743173</v>
      </c>
      <c r="O45" s="1113">
        <v>63.013717481</v>
      </c>
      <c r="P45" s="1113">
        <v>201.004365501</v>
      </c>
      <c r="Q45" s="1113">
        <v>995.45106219000002</v>
      </c>
      <c r="R45" s="1113">
        <v>5.0268763510000003</v>
      </c>
      <c r="S45" s="1113">
        <v>57.545981490999999</v>
      </c>
      <c r="T45" s="1113">
        <v>3413.1163695400001</v>
      </c>
      <c r="U45" s="1113">
        <v>57.986841130000002</v>
      </c>
      <c r="V45" s="1113">
        <v>143.45838401</v>
      </c>
      <c r="W45" s="1114"/>
      <c r="X45" s="1115"/>
    </row>
    <row r="46" spans="1:24" ht="13.2">
      <c r="A46" s="1110" t="s">
        <v>23</v>
      </c>
      <c r="B46" s="1111">
        <v>18320.007046070001</v>
      </c>
      <c r="C46" s="1111">
        <v>498.1938780946</v>
      </c>
      <c r="D46" s="1112">
        <v>661.21798656499993</v>
      </c>
      <c r="E46" s="1113">
        <v>14048.20917308</v>
      </c>
      <c r="F46" s="1113">
        <v>436.71210612959999</v>
      </c>
      <c r="G46" s="1113">
        <v>475.93267406999996</v>
      </c>
      <c r="H46" s="1113">
        <v>2534.1022826399999</v>
      </c>
      <c r="I46" s="1113">
        <v>156.34445825</v>
      </c>
      <c r="J46" s="1113">
        <v>90.75005256</v>
      </c>
      <c r="K46" s="1113">
        <v>11514.10689044</v>
      </c>
      <c r="L46" s="1113">
        <v>280.36764787959999</v>
      </c>
      <c r="M46" s="1113">
        <v>385.18262150999999</v>
      </c>
      <c r="N46" s="1113">
        <v>4271.7978729899996</v>
      </c>
      <c r="O46" s="1113">
        <v>61.481771965</v>
      </c>
      <c r="P46" s="1113">
        <v>185.285312495</v>
      </c>
      <c r="Q46" s="1113">
        <v>1048.96559875</v>
      </c>
      <c r="R46" s="1113">
        <v>4.4162269849999998</v>
      </c>
      <c r="S46" s="1113">
        <v>55.946921345</v>
      </c>
      <c r="T46" s="1113">
        <v>3222.8322742400001</v>
      </c>
      <c r="U46" s="1113">
        <v>57.065544979999999</v>
      </c>
      <c r="V46" s="1113">
        <v>129.33839115000001</v>
      </c>
      <c r="W46" s="1114"/>
      <c r="X46" s="1115"/>
    </row>
    <row r="47" spans="1:24" ht="13.2">
      <c r="A47" s="1110" t="s">
        <v>24</v>
      </c>
      <c r="B47" s="1111">
        <v>18487.441073260001</v>
      </c>
      <c r="C47" s="1111">
        <v>498.1938780946</v>
      </c>
      <c r="D47" s="1112">
        <v>662.33321448499998</v>
      </c>
      <c r="E47" s="1113">
        <v>14209.02250223</v>
      </c>
      <c r="F47" s="1113">
        <v>436.71210612959999</v>
      </c>
      <c r="G47" s="1113">
        <v>467.36739868999996</v>
      </c>
      <c r="H47" s="1113">
        <v>2546.1574378</v>
      </c>
      <c r="I47" s="1113">
        <v>156.34445825</v>
      </c>
      <c r="J47" s="1113">
        <v>87.147762479999997</v>
      </c>
      <c r="K47" s="1113">
        <v>11662.86506443</v>
      </c>
      <c r="L47" s="1113">
        <v>280.36764787959999</v>
      </c>
      <c r="M47" s="1113">
        <v>380.21963621000003</v>
      </c>
      <c r="N47" s="1113">
        <v>4278.4185710299998</v>
      </c>
      <c r="O47" s="1113">
        <v>61.481771965</v>
      </c>
      <c r="P47" s="1113">
        <v>194.965815795</v>
      </c>
      <c r="Q47" s="1113">
        <v>1122.95462129</v>
      </c>
      <c r="R47" s="1113">
        <v>4.4162269849999998</v>
      </c>
      <c r="S47" s="1113">
        <v>58.126071455000002</v>
      </c>
      <c r="T47" s="1113">
        <v>3155.4639497399999</v>
      </c>
      <c r="U47" s="1113">
        <v>57.065544979999999</v>
      </c>
      <c r="V47" s="1113">
        <v>136.83974433999998</v>
      </c>
      <c r="W47" s="1114"/>
      <c r="X47" s="1115"/>
    </row>
    <row r="48" spans="1:24" ht="13.2">
      <c r="A48" s="1110" t="s">
        <v>25</v>
      </c>
      <c r="B48" s="1111">
        <v>18638.62838935</v>
      </c>
      <c r="C48" s="1111">
        <v>498.1938780946</v>
      </c>
      <c r="D48" s="1112">
        <v>659.66022400500003</v>
      </c>
      <c r="E48" s="1113">
        <v>14464.83929874</v>
      </c>
      <c r="F48" s="1113">
        <v>436.71210612959999</v>
      </c>
      <c r="G48" s="1113">
        <v>469.64002125000002</v>
      </c>
      <c r="H48" s="1113">
        <v>2577.61963608</v>
      </c>
      <c r="I48" s="1113">
        <v>156.34445825</v>
      </c>
      <c r="J48" s="1113">
        <v>81.403059510000006</v>
      </c>
      <c r="K48" s="1113">
        <v>11887.21966266</v>
      </c>
      <c r="L48" s="1113">
        <v>280.36764787959999</v>
      </c>
      <c r="M48" s="1113">
        <v>388.23696174000003</v>
      </c>
      <c r="N48" s="1113">
        <v>4173.7890906100001</v>
      </c>
      <c r="O48" s="1113">
        <v>61.481771965</v>
      </c>
      <c r="P48" s="1113">
        <v>190.02020275499999</v>
      </c>
      <c r="Q48" s="1113">
        <v>1083.5726547199999</v>
      </c>
      <c r="R48" s="1113">
        <v>4.4162269849999998</v>
      </c>
      <c r="S48" s="1113">
        <v>57.074502225000003</v>
      </c>
      <c r="T48" s="1113">
        <v>3090.21643589</v>
      </c>
      <c r="U48" s="1113">
        <v>57.065544979999999</v>
      </c>
      <c r="V48" s="1113">
        <v>132.94570053000001</v>
      </c>
      <c r="W48" s="1114"/>
      <c r="X48" s="1115"/>
    </row>
    <row r="49" spans="1:24" ht="13.2">
      <c r="A49" s="1110" t="s">
        <v>26</v>
      </c>
      <c r="B49" s="1111">
        <v>19157.178022799999</v>
      </c>
      <c r="C49" s="1111">
        <v>544.50561276600001</v>
      </c>
      <c r="D49" s="1112">
        <v>649.52193192200002</v>
      </c>
      <c r="E49" s="1113">
        <v>14909.434113470001</v>
      </c>
      <c r="F49" s="1113">
        <v>482.86780060000001</v>
      </c>
      <c r="G49" s="1113">
        <v>455.72288686999997</v>
      </c>
      <c r="H49" s="1113">
        <v>2705.98178654</v>
      </c>
      <c r="I49" s="1113">
        <v>163.50923609</v>
      </c>
      <c r="J49" s="1113">
        <v>83.312871090000002</v>
      </c>
      <c r="K49" s="1113">
        <v>12203.452326930001</v>
      </c>
      <c r="L49" s="1113">
        <v>319.35856451000001</v>
      </c>
      <c r="M49" s="1113">
        <v>372.41001577999998</v>
      </c>
      <c r="N49" s="1113">
        <v>4247.74390933</v>
      </c>
      <c r="O49" s="1113">
        <v>61.637812166000003</v>
      </c>
      <c r="P49" s="1113">
        <v>193.799045052</v>
      </c>
      <c r="Q49" s="1113">
        <v>1142.39719457</v>
      </c>
      <c r="R49" s="1113">
        <v>5.9335400859999998</v>
      </c>
      <c r="S49" s="1113">
        <v>60.564510192</v>
      </c>
      <c r="T49" s="1113">
        <v>3105.3467147599999</v>
      </c>
      <c r="U49" s="1113">
        <v>55.704272080000003</v>
      </c>
      <c r="V49" s="1113">
        <v>133.23453486</v>
      </c>
      <c r="W49" s="1114"/>
      <c r="X49" s="1115"/>
    </row>
    <row r="50" spans="1:24" ht="13.2">
      <c r="A50" s="1110" t="s">
        <v>27</v>
      </c>
      <c r="B50" s="1111">
        <v>19470.78771384</v>
      </c>
      <c r="C50" s="1111">
        <v>544.50561276600001</v>
      </c>
      <c r="D50" s="1112">
        <v>646.04418552200002</v>
      </c>
      <c r="E50" s="1113">
        <v>15174.703866280001</v>
      </c>
      <c r="F50" s="1113">
        <v>482.86780060000001</v>
      </c>
      <c r="G50" s="1113">
        <v>451.23529952000001</v>
      </c>
      <c r="H50" s="1113">
        <v>2713.3827364399999</v>
      </c>
      <c r="I50" s="1113">
        <v>163.50923609</v>
      </c>
      <c r="J50" s="1113">
        <v>83.754464170000006</v>
      </c>
      <c r="K50" s="1113">
        <v>12461.32112984</v>
      </c>
      <c r="L50" s="1113">
        <v>319.35856451000001</v>
      </c>
      <c r="M50" s="1113">
        <v>367.48083535000001</v>
      </c>
      <c r="N50" s="1113">
        <v>4296.0838475600003</v>
      </c>
      <c r="O50" s="1113">
        <v>61.637812166000003</v>
      </c>
      <c r="P50" s="1113">
        <v>194.80888600200001</v>
      </c>
      <c r="Q50" s="1113">
        <v>1078.94704052</v>
      </c>
      <c r="R50" s="1113">
        <v>5.9335400859999998</v>
      </c>
      <c r="S50" s="1113">
        <v>62.664213252000003</v>
      </c>
      <c r="T50" s="1113">
        <v>3217.1368070399999</v>
      </c>
      <c r="U50" s="1113">
        <v>55.704272080000003</v>
      </c>
      <c r="V50" s="1113">
        <v>132.14467275000001</v>
      </c>
      <c r="W50" s="1114"/>
      <c r="X50" s="1115"/>
    </row>
    <row r="51" spans="1:24" ht="13.2">
      <c r="A51" s="1110" t="s">
        <v>28</v>
      </c>
      <c r="B51" s="1111">
        <v>19674.1850872</v>
      </c>
      <c r="C51" s="1111">
        <v>544.50561276600001</v>
      </c>
      <c r="D51" s="1112">
        <v>641.27898531200003</v>
      </c>
      <c r="E51" s="1113">
        <v>15510.40685734</v>
      </c>
      <c r="F51" s="1113">
        <v>482.86780060000001</v>
      </c>
      <c r="G51" s="1113">
        <v>445.73706358999999</v>
      </c>
      <c r="H51" s="1113">
        <v>2725.6433691000002</v>
      </c>
      <c r="I51" s="1113">
        <v>163.50923609</v>
      </c>
      <c r="J51" s="1113">
        <v>81.62865042</v>
      </c>
      <c r="K51" s="1113">
        <v>12784.76348824</v>
      </c>
      <c r="L51" s="1113">
        <v>319.35856451000001</v>
      </c>
      <c r="M51" s="1113">
        <v>364.10841317000001</v>
      </c>
      <c r="N51" s="1113">
        <v>4163.7782298599996</v>
      </c>
      <c r="O51" s="1113">
        <v>61.637812166000003</v>
      </c>
      <c r="P51" s="1113">
        <v>195.54192172200001</v>
      </c>
      <c r="Q51" s="1113">
        <v>1011.15710716</v>
      </c>
      <c r="R51" s="1113">
        <v>5.9335400859999998</v>
      </c>
      <c r="S51" s="1113">
        <v>63.192332221999997</v>
      </c>
      <c r="T51" s="1113">
        <v>3152.6211226999999</v>
      </c>
      <c r="U51" s="1113">
        <v>55.704272080000003</v>
      </c>
      <c r="V51" s="1113">
        <v>132.34958950000001</v>
      </c>
      <c r="W51" s="1114"/>
      <c r="X51" s="1115"/>
    </row>
    <row r="52" spans="1:24" ht="13.2">
      <c r="A52" s="1110" t="s">
        <v>29</v>
      </c>
      <c r="B52" s="1111">
        <v>19594.360967569999</v>
      </c>
      <c r="C52" s="1111">
        <v>589.62088030999996</v>
      </c>
      <c r="D52" s="1112">
        <v>593.74010190000001</v>
      </c>
      <c r="E52" s="1113">
        <v>15662.04881824</v>
      </c>
      <c r="F52" s="1113">
        <v>532.27987363</v>
      </c>
      <c r="G52" s="1113">
        <v>436.53477371999998</v>
      </c>
      <c r="H52" s="1113">
        <v>2658.1386314299998</v>
      </c>
      <c r="I52" s="1113">
        <v>180.06791343</v>
      </c>
      <c r="J52" s="1113">
        <v>74.676728499999996</v>
      </c>
      <c r="K52" s="1113">
        <v>13003.910186810001</v>
      </c>
      <c r="L52" s="1113">
        <v>352.21196020000002</v>
      </c>
      <c r="M52" s="1113">
        <v>361.85804522000001</v>
      </c>
      <c r="N52" s="1113">
        <v>3932.31214933</v>
      </c>
      <c r="O52" s="1113">
        <v>57.34100668</v>
      </c>
      <c r="P52" s="1113">
        <v>157.20532818000001</v>
      </c>
      <c r="Q52" s="1113">
        <v>766.76617433000001</v>
      </c>
      <c r="R52" s="1113">
        <v>4.06922345</v>
      </c>
      <c r="S52" s="1113">
        <v>40.809313410000001</v>
      </c>
      <c r="T52" s="1113">
        <v>3165.545975</v>
      </c>
      <c r="U52" s="1113">
        <v>53.271783229999997</v>
      </c>
      <c r="V52" s="1113">
        <v>116.39601476999999</v>
      </c>
      <c r="W52" s="1114"/>
      <c r="X52" s="1115"/>
    </row>
    <row r="53" spans="1:24" ht="13.2">
      <c r="A53" s="1110" t="s">
        <v>3605</v>
      </c>
      <c r="B53" s="1111"/>
      <c r="C53" s="1111"/>
      <c r="D53" s="1112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113"/>
      <c r="Q53" s="1113"/>
      <c r="R53" s="1113"/>
      <c r="S53" s="1113"/>
      <c r="T53" s="1113"/>
      <c r="U53" s="1113"/>
      <c r="V53" s="1113"/>
      <c r="W53" s="1114"/>
      <c r="X53" s="1115"/>
    </row>
    <row r="54" spans="1:24" ht="13.2">
      <c r="A54" s="1110" t="s">
        <v>18</v>
      </c>
      <c r="B54" s="1111">
        <v>19669.591567899999</v>
      </c>
      <c r="C54" s="1111">
        <v>589.62088030999996</v>
      </c>
      <c r="D54" s="1112">
        <v>583.77188913999998</v>
      </c>
      <c r="E54" s="1113">
        <v>15715.43837636</v>
      </c>
      <c r="F54" s="1113">
        <v>532.27987363</v>
      </c>
      <c r="G54" s="1113">
        <v>430.77420088999997</v>
      </c>
      <c r="H54" s="1113">
        <v>2664.3119265</v>
      </c>
      <c r="I54" s="1113">
        <v>180.06791343</v>
      </c>
      <c r="J54" s="1113">
        <v>75.117670590000003</v>
      </c>
      <c r="K54" s="1113">
        <v>13051.126449859999</v>
      </c>
      <c r="L54" s="1113">
        <v>352.21196020000002</v>
      </c>
      <c r="M54" s="1113">
        <v>355.65653029999999</v>
      </c>
      <c r="N54" s="1113">
        <v>3954.1531915400001</v>
      </c>
      <c r="O54" s="1113">
        <v>57.34100668</v>
      </c>
      <c r="P54" s="1113">
        <v>152.99768825000001</v>
      </c>
      <c r="Q54" s="1113">
        <v>754.44027503999996</v>
      </c>
      <c r="R54" s="1113">
        <v>4.06922345</v>
      </c>
      <c r="S54" s="1113">
        <v>38.512668329999997</v>
      </c>
      <c r="T54" s="1113">
        <v>3199.7129165000001</v>
      </c>
      <c r="U54" s="1113">
        <v>53.271783229999997</v>
      </c>
      <c r="V54" s="1113">
        <v>114.48501992</v>
      </c>
      <c r="W54" s="1114"/>
      <c r="X54" s="1115"/>
    </row>
    <row r="55" spans="1:24" ht="13.2">
      <c r="A55" s="1110" t="s">
        <v>19</v>
      </c>
      <c r="B55" s="1111">
        <v>19757.429857299998</v>
      </c>
      <c r="C55" s="1111">
        <v>589.62088030999996</v>
      </c>
      <c r="D55" s="1112">
        <v>606.13546266000003</v>
      </c>
      <c r="E55" s="1113">
        <v>15838.379008800001</v>
      </c>
      <c r="F55" s="1113">
        <v>532.27987363</v>
      </c>
      <c r="G55" s="1113">
        <v>448.55554411000003</v>
      </c>
      <c r="H55" s="1113">
        <v>2664.6437111400001</v>
      </c>
      <c r="I55" s="1113">
        <v>180.06791343</v>
      </c>
      <c r="J55" s="1113">
        <v>84.947585169999996</v>
      </c>
      <c r="K55" s="1113">
        <v>13173.73529766</v>
      </c>
      <c r="L55" s="1113">
        <v>352.21196020000002</v>
      </c>
      <c r="M55" s="1113">
        <v>363.60795894</v>
      </c>
      <c r="N55" s="1113">
        <v>3919.0508485</v>
      </c>
      <c r="O55" s="1113">
        <v>57.34100668</v>
      </c>
      <c r="P55" s="1113">
        <v>157.57991855</v>
      </c>
      <c r="Q55" s="1113">
        <v>741.99441679999995</v>
      </c>
      <c r="R55" s="1113">
        <v>4.06922345</v>
      </c>
      <c r="S55" s="1113">
        <v>41.52491551</v>
      </c>
      <c r="T55" s="1113">
        <v>3177.0564316999998</v>
      </c>
      <c r="U55" s="1113">
        <v>53.271783229999997</v>
      </c>
      <c r="V55" s="1113">
        <v>116.05500304</v>
      </c>
      <c r="W55" s="1114"/>
      <c r="X55" s="1115"/>
    </row>
    <row r="56" spans="1:24" ht="13.2">
      <c r="A56" s="1110" t="s">
        <v>20</v>
      </c>
      <c r="B56" s="1111">
        <v>20038.596072189997</v>
      </c>
      <c r="C56" s="1111">
        <v>626.25236123181901</v>
      </c>
      <c r="D56" s="1112">
        <v>590.48680544000001</v>
      </c>
      <c r="E56" s="1113">
        <v>16056.556065969999</v>
      </c>
      <c r="F56" s="1113">
        <v>566.72258587181898</v>
      </c>
      <c r="G56" s="1113">
        <v>432.54660754000008</v>
      </c>
      <c r="H56" s="1113">
        <v>2668.4086622200002</v>
      </c>
      <c r="I56" s="1113">
        <v>191.42129441</v>
      </c>
      <c r="J56" s="1113">
        <v>80.957747389999994</v>
      </c>
      <c r="K56" s="1113">
        <v>13388.147403749997</v>
      </c>
      <c r="L56" s="1113">
        <v>375.30129146181901</v>
      </c>
      <c r="M56" s="1113">
        <v>351.58886015000007</v>
      </c>
      <c r="N56" s="1113">
        <v>3982.0400062200006</v>
      </c>
      <c r="O56" s="1113">
        <v>59.529775360000002</v>
      </c>
      <c r="P56" s="1113">
        <v>157.94019790000004</v>
      </c>
      <c r="Q56" s="1113">
        <v>715.59073494999996</v>
      </c>
      <c r="R56" s="1113">
        <v>3.95228739</v>
      </c>
      <c r="S56" s="1113">
        <v>45.262161790000015</v>
      </c>
      <c r="T56" s="1113">
        <v>3266.4492712700007</v>
      </c>
      <c r="U56" s="1113">
        <v>55.57748797</v>
      </c>
      <c r="V56" s="1113">
        <v>112.67803611000002</v>
      </c>
      <c r="W56" s="1114"/>
      <c r="X56" s="1115"/>
    </row>
    <row r="57" spans="1:24" ht="13.2">
      <c r="A57" s="1110" t="s">
        <v>21</v>
      </c>
      <c r="B57" s="1111">
        <v>20379.628223569998</v>
      </c>
      <c r="C57" s="1111">
        <v>626.25236123181901</v>
      </c>
      <c r="D57" s="1112">
        <v>591.79680065000002</v>
      </c>
      <c r="E57" s="1113">
        <v>16405.38714834</v>
      </c>
      <c r="F57" s="1113">
        <v>566.72258587181898</v>
      </c>
      <c r="G57" s="1113">
        <v>436.58304476000001</v>
      </c>
      <c r="H57" s="1113">
        <v>2717.3204517899999</v>
      </c>
      <c r="I57" s="1113">
        <v>191.42129441</v>
      </c>
      <c r="J57" s="1113">
        <v>81.497288589999997</v>
      </c>
      <c r="K57" s="1113">
        <v>13688.06669655</v>
      </c>
      <c r="L57" s="1113">
        <v>375.30129146181901</v>
      </c>
      <c r="M57" s="1113">
        <v>355.08575617000002</v>
      </c>
      <c r="N57" s="1113">
        <v>3974.2410752300002</v>
      </c>
      <c r="O57" s="1113">
        <v>59.529775360000002</v>
      </c>
      <c r="P57" s="1113">
        <v>155.21375588999999</v>
      </c>
      <c r="Q57" s="1113">
        <v>715.09292642000003</v>
      </c>
      <c r="R57" s="1113">
        <v>3.95228739</v>
      </c>
      <c r="S57" s="1113">
        <v>41.3135677</v>
      </c>
      <c r="T57" s="1113">
        <v>3259.1481488099998</v>
      </c>
      <c r="U57" s="1113">
        <v>55.57748797</v>
      </c>
      <c r="V57" s="1113">
        <v>113.90018818999999</v>
      </c>
      <c r="W57" s="1114"/>
      <c r="X57" s="1115"/>
    </row>
    <row r="58" spans="1:24" ht="13.2">
      <c r="A58" s="1110" t="s">
        <v>22</v>
      </c>
      <c r="B58" s="1111">
        <v>20659.271011889999</v>
      </c>
      <c r="C58" s="1111">
        <v>626.25236123181901</v>
      </c>
      <c r="D58" s="1112">
        <v>490.09126863</v>
      </c>
      <c r="E58" s="1113">
        <v>16660.515789339999</v>
      </c>
      <c r="F58" s="1113">
        <v>566.72258587181898</v>
      </c>
      <c r="G58" s="1113">
        <v>350.11316103000001</v>
      </c>
      <c r="H58" s="1113">
        <v>2752.9485942800002</v>
      </c>
      <c r="I58" s="1113">
        <v>191.42129441</v>
      </c>
      <c r="J58" s="1113">
        <v>68.253597040000002</v>
      </c>
      <c r="K58" s="1113">
        <v>13907.567195060001</v>
      </c>
      <c r="L58" s="1113">
        <v>375.30129146181901</v>
      </c>
      <c r="M58" s="1113">
        <v>281.85956399000003</v>
      </c>
      <c r="N58" s="1113">
        <v>3998.7552225499999</v>
      </c>
      <c r="O58" s="1113">
        <v>59.529775360000002</v>
      </c>
      <c r="P58" s="1113">
        <v>139.97810759999999</v>
      </c>
      <c r="Q58" s="1113">
        <v>705.50295219999998</v>
      </c>
      <c r="R58" s="1113">
        <v>3.95228739</v>
      </c>
      <c r="S58" s="1113">
        <v>43.993907569999998</v>
      </c>
      <c r="T58" s="1113">
        <v>3293.2522703499999</v>
      </c>
      <c r="U58" s="1113">
        <v>55.57748797</v>
      </c>
      <c r="V58" s="1113">
        <v>95.984200029999997</v>
      </c>
      <c r="W58" s="1114"/>
      <c r="X58" s="1115"/>
    </row>
    <row r="59" spans="1:24" ht="13.2">
      <c r="A59" s="1110" t="s">
        <v>23</v>
      </c>
      <c r="B59" s="1111">
        <v>21296.236537140001</v>
      </c>
      <c r="C59" s="1111">
        <v>669.93619074000003</v>
      </c>
      <c r="D59" s="1112">
        <v>502.27205501999998</v>
      </c>
      <c r="E59" s="1113">
        <v>17055.800562029999</v>
      </c>
      <c r="F59" s="1113">
        <v>602.04825557000004</v>
      </c>
      <c r="G59" s="1113">
        <v>365.72840668999999</v>
      </c>
      <c r="H59" s="1113">
        <v>2809.7528983100001</v>
      </c>
      <c r="I59" s="1113">
        <v>212.07382433000001</v>
      </c>
      <c r="J59" s="1113">
        <v>68.551594949999995</v>
      </c>
      <c r="K59" s="1113">
        <v>14246.047663720001</v>
      </c>
      <c r="L59" s="1113">
        <v>389.97443124</v>
      </c>
      <c r="M59" s="1113">
        <v>297.17681174000001</v>
      </c>
      <c r="N59" s="1113">
        <v>4240.4359751100001</v>
      </c>
      <c r="O59" s="1113">
        <v>67.887935170000006</v>
      </c>
      <c r="P59" s="1113">
        <v>136.54364833</v>
      </c>
      <c r="Q59" s="1113">
        <v>743.30632961000003</v>
      </c>
      <c r="R59" s="1113">
        <v>3.8611818000000002</v>
      </c>
      <c r="S59" s="1113">
        <v>45.653695560000003</v>
      </c>
      <c r="T59" s="1113">
        <v>3497.1296455000002</v>
      </c>
      <c r="U59" s="1113">
        <v>64.026753369999994</v>
      </c>
      <c r="V59" s="1113">
        <v>90.889952769999994</v>
      </c>
      <c r="W59" s="1114"/>
      <c r="X59" s="1115"/>
    </row>
    <row r="60" spans="1:24" ht="13.2">
      <c r="A60" s="1110" t="s">
        <v>24</v>
      </c>
      <c r="B60" s="1111">
        <v>21371.990641100001</v>
      </c>
      <c r="C60" s="1111">
        <v>669.93619074000003</v>
      </c>
      <c r="D60" s="1112">
        <v>494.71576025000002</v>
      </c>
      <c r="E60" s="1113">
        <v>17293.368727770001</v>
      </c>
      <c r="F60" s="1113">
        <v>602.04825557000004</v>
      </c>
      <c r="G60" s="1113">
        <v>361.13621083999999</v>
      </c>
      <c r="H60" s="1113">
        <v>2778.4890806600001</v>
      </c>
      <c r="I60" s="1113">
        <v>212.07382433000001</v>
      </c>
      <c r="J60" s="1113">
        <v>84.85508093</v>
      </c>
      <c r="K60" s="1113">
        <v>14514.879647109999</v>
      </c>
      <c r="L60" s="1113">
        <v>389.97443124</v>
      </c>
      <c r="M60" s="1113">
        <v>276.28112991</v>
      </c>
      <c r="N60" s="1113">
        <v>4078.6219133300001</v>
      </c>
      <c r="O60" s="1113">
        <v>67.887935170000006</v>
      </c>
      <c r="P60" s="1113">
        <v>133.57954941</v>
      </c>
      <c r="Q60" s="1113">
        <v>705.51294152000003</v>
      </c>
      <c r="R60" s="1113">
        <v>3.8611818000000002</v>
      </c>
      <c r="S60" s="1113">
        <v>42.163245019999998</v>
      </c>
      <c r="T60" s="1113">
        <v>3373.1089718100002</v>
      </c>
      <c r="U60" s="1113">
        <v>64.026753369999994</v>
      </c>
      <c r="V60" s="1113">
        <v>91.416304389999993</v>
      </c>
      <c r="W60" s="1114"/>
      <c r="X60" s="1115"/>
    </row>
    <row r="61" spans="1:24" ht="13.2">
      <c r="A61" s="1110" t="s">
        <v>25</v>
      </c>
      <c r="B61" s="1111">
        <v>21814.186641169999</v>
      </c>
      <c r="C61" s="1111">
        <v>669.93619074000003</v>
      </c>
      <c r="D61" s="1112">
        <v>534.25918471</v>
      </c>
      <c r="E61" s="1113">
        <v>17673.434435669998</v>
      </c>
      <c r="F61" s="1113">
        <v>602.04825557000004</v>
      </c>
      <c r="G61" s="1113">
        <v>379.56958030999999</v>
      </c>
      <c r="H61" s="1113">
        <v>2809.3950761400001</v>
      </c>
      <c r="I61" s="1113">
        <v>212.07382433000001</v>
      </c>
      <c r="J61" s="1113">
        <v>87.157941719999997</v>
      </c>
      <c r="K61" s="1113">
        <v>14864.039359529999</v>
      </c>
      <c r="L61" s="1113">
        <v>389.97443124</v>
      </c>
      <c r="M61" s="1113">
        <v>292.41163859</v>
      </c>
      <c r="N61" s="1113">
        <v>4140.7522054999999</v>
      </c>
      <c r="O61" s="1113">
        <v>67.887935170000006</v>
      </c>
      <c r="P61" s="1113">
        <v>154.68960440000001</v>
      </c>
      <c r="Q61" s="1113">
        <v>751.91940910000005</v>
      </c>
      <c r="R61" s="1113">
        <v>3.8611818000000002</v>
      </c>
      <c r="S61" s="1113">
        <v>43.653620429999997</v>
      </c>
      <c r="T61" s="1113">
        <v>3388.8327964</v>
      </c>
      <c r="U61" s="1113">
        <v>64.026753369999994</v>
      </c>
      <c r="V61" s="1113">
        <v>111.03598397</v>
      </c>
      <c r="W61" s="1114"/>
      <c r="X61" s="1115"/>
    </row>
    <row r="62" spans="1:24" ht="13.2">
      <c r="A62" s="1110" t="s">
        <v>26</v>
      </c>
      <c r="B62" s="1111">
        <v>22281.8847977</v>
      </c>
      <c r="C62" s="1111">
        <v>736.76103416999899</v>
      </c>
      <c r="D62" s="1112">
        <v>519.77127536</v>
      </c>
      <c r="E62" s="1113">
        <v>18038.128002950001</v>
      </c>
      <c r="F62" s="1113">
        <v>669.36078671999996</v>
      </c>
      <c r="G62" s="1113">
        <v>377.23773401</v>
      </c>
      <c r="H62" s="1113">
        <v>2898.9747897000002</v>
      </c>
      <c r="I62" s="1113">
        <v>240.90531765</v>
      </c>
      <c r="J62" s="1113">
        <v>85.811350660000002</v>
      </c>
      <c r="K62" s="1113">
        <v>15139.15321325</v>
      </c>
      <c r="L62" s="1113">
        <v>428.45546906999999</v>
      </c>
      <c r="M62" s="1113">
        <v>291.42638334999998</v>
      </c>
      <c r="N62" s="1113">
        <v>4243.7567947500002</v>
      </c>
      <c r="O62" s="1113">
        <v>67.400247449999995</v>
      </c>
      <c r="P62" s="1113">
        <v>142.53354135000001</v>
      </c>
      <c r="Q62" s="1113">
        <v>795.40217067000003</v>
      </c>
      <c r="R62" s="1113">
        <v>3.6819624000000002</v>
      </c>
      <c r="S62" s="1113">
        <v>36.779894140000003</v>
      </c>
      <c r="T62" s="1113">
        <v>3448.3546240800001</v>
      </c>
      <c r="U62" s="1113">
        <v>63.718285049999999</v>
      </c>
      <c r="V62" s="1113">
        <v>105.75364721</v>
      </c>
      <c r="W62" s="1114"/>
      <c r="X62" s="1115"/>
    </row>
    <row r="63" spans="1:24" ht="13.2">
      <c r="A63" s="1110" t="s">
        <v>27</v>
      </c>
      <c r="B63" s="1111">
        <v>22459.711639469999</v>
      </c>
      <c r="C63" s="1111">
        <v>736.76103416999899</v>
      </c>
      <c r="D63" s="1112">
        <v>440.37917463999997</v>
      </c>
      <c r="E63" s="1113">
        <v>18035.452911830002</v>
      </c>
      <c r="F63" s="1113">
        <v>669.36078671999996</v>
      </c>
      <c r="G63" s="1113">
        <v>323.97866716999999</v>
      </c>
      <c r="H63" s="1113">
        <v>2868.8617400600001</v>
      </c>
      <c r="I63" s="1113">
        <v>240.90531765</v>
      </c>
      <c r="J63" s="1113">
        <v>63.389407869999999</v>
      </c>
      <c r="K63" s="1113">
        <v>15166.59117177</v>
      </c>
      <c r="L63" s="1113">
        <v>428.45546906999999</v>
      </c>
      <c r="M63" s="1113">
        <v>260.58925929999998</v>
      </c>
      <c r="N63" s="1113">
        <v>4424.25872764</v>
      </c>
      <c r="O63" s="1113">
        <v>67.400247449999995</v>
      </c>
      <c r="P63" s="1113">
        <v>116.40050746999999</v>
      </c>
      <c r="Q63" s="1113">
        <v>771.37146628000005</v>
      </c>
      <c r="R63" s="1113">
        <v>3.6819624000000002</v>
      </c>
      <c r="S63" s="1113">
        <v>33.447762769999997</v>
      </c>
      <c r="T63" s="1113">
        <v>3652.8872613600001</v>
      </c>
      <c r="U63" s="1113">
        <v>63.718285049999999</v>
      </c>
      <c r="V63" s="1113">
        <v>82.952744699999997</v>
      </c>
      <c r="W63" s="1114"/>
      <c r="X63" s="1115"/>
    </row>
    <row r="64" spans="1:24" ht="13.2">
      <c r="A64" s="1110" t="s">
        <v>28</v>
      </c>
      <c r="B64" s="1111">
        <v>22881.230522549999</v>
      </c>
      <c r="C64" s="1111">
        <v>736.76103416999899</v>
      </c>
      <c r="D64" s="1112">
        <v>440.25735591</v>
      </c>
      <c r="E64" s="1113">
        <v>18455.828191199998</v>
      </c>
      <c r="F64" s="1113">
        <v>669.36078671999996</v>
      </c>
      <c r="G64" s="1113">
        <v>327.77839140999998</v>
      </c>
      <c r="H64" s="1113">
        <v>2967.90292998</v>
      </c>
      <c r="I64" s="1113">
        <v>240.90531765</v>
      </c>
      <c r="J64" s="1113">
        <v>62.234772130000003</v>
      </c>
      <c r="K64" s="1113">
        <v>15487.92526122</v>
      </c>
      <c r="L64" s="1113">
        <v>428.45546906999999</v>
      </c>
      <c r="M64" s="1113">
        <v>265.54361927999997</v>
      </c>
      <c r="N64" s="1113">
        <v>4425.4023313500002</v>
      </c>
      <c r="O64" s="1113">
        <v>67.400247449999995</v>
      </c>
      <c r="P64" s="1113">
        <v>112.4789645</v>
      </c>
      <c r="Q64" s="1113">
        <v>807.75964533000001</v>
      </c>
      <c r="R64" s="1113">
        <v>3.6819624000000002</v>
      </c>
      <c r="S64" s="1113">
        <v>32.785406879999996</v>
      </c>
      <c r="T64" s="1113">
        <v>3617.6426860199999</v>
      </c>
      <c r="U64" s="1113">
        <v>63.718285049999999</v>
      </c>
      <c r="V64" s="1113">
        <v>79.693557620000007</v>
      </c>
      <c r="W64" s="1114"/>
      <c r="X64" s="1115"/>
    </row>
    <row r="65" spans="1:41" ht="13.2">
      <c r="A65" s="1110" t="s">
        <v>29</v>
      </c>
      <c r="B65" s="1111">
        <v>23182.96071385</v>
      </c>
      <c r="C65" s="1111">
        <v>796.16364696000005</v>
      </c>
      <c r="D65" s="1112">
        <v>437.84492763999998</v>
      </c>
      <c r="E65" s="1113">
        <v>18816.129537659999</v>
      </c>
      <c r="F65" s="1113">
        <v>722.55011837999996</v>
      </c>
      <c r="G65" s="1113">
        <v>329.30543438000001</v>
      </c>
      <c r="H65" s="1113">
        <v>3007.6613006500002</v>
      </c>
      <c r="I65" s="1113">
        <v>272.08971774999998</v>
      </c>
      <c r="J65" s="1113">
        <v>71.92944722</v>
      </c>
      <c r="K65" s="1113">
        <v>15808.46823701</v>
      </c>
      <c r="L65" s="1113">
        <v>450.46040062999998</v>
      </c>
      <c r="M65" s="1113">
        <v>257.37598716000002</v>
      </c>
      <c r="N65" s="1113">
        <v>4366.8311761900004</v>
      </c>
      <c r="O65" s="1113">
        <v>73.613528579999993</v>
      </c>
      <c r="P65" s="1113">
        <v>108.53949326</v>
      </c>
      <c r="Q65" s="1113">
        <v>807.98950187000003</v>
      </c>
      <c r="R65" s="1113">
        <v>3.4500371400000001</v>
      </c>
      <c r="S65" s="1113">
        <v>29.35570839</v>
      </c>
      <c r="T65" s="1113">
        <v>3558.84167432</v>
      </c>
      <c r="U65" s="1113">
        <v>70.163491440000001</v>
      </c>
      <c r="V65" s="1113">
        <v>79.183784869999997</v>
      </c>
      <c r="W65" s="1114"/>
      <c r="X65" s="1115"/>
    </row>
    <row r="66" spans="1:41" ht="13.2">
      <c r="A66" s="1110" t="s">
        <v>4086</v>
      </c>
      <c r="B66" s="1111"/>
      <c r="C66" s="1111"/>
      <c r="D66" s="1112"/>
      <c r="E66" s="1113"/>
      <c r="F66" s="1113"/>
      <c r="G66" s="1113"/>
      <c r="H66" s="1113"/>
      <c r="I66" s="1113"/>
      <c r="J66" s="1113"/>
      <c r="K66" s="1113"/>
      <c r="L66" s="1113"/>
      <c r="M66" s="1113"/>
      <c r="N66" s="1113"/>
      <c r="O66" s="1113"/>
      <c r="P66" s="1113"/>
      <c r="Q66" s="1113"/>
      <c r="R66" s="1113"/>
      <c r="S66" s="1113"/>
      <c r="T66" s="1113"/>
      <c r="U66" s="1113"/>
      <c r="V66" s="1113"/>
      <c r="W66" s="1114"/>
      <c r="X66" s="1115"/>
    </row>
    <row r="67" spans="1:41" ht="13.2">
      <c r="A67" s="1110" t="s">
        <v>18</v>
      </c>
      <c r="B67" s="1111">
        <v>23566.36298432</v>
      </c>
      <c r="C67" s="1111">
        <v>796.16364696000005</v>
      </c>
      <c r="D67" s="1112">
        <v>454.06281114000001</v>
      </c>
      <c r="E67" s="1113">
        <v>18884.329710139998</v>
      </c>
      <c r="F67" s="1113">
        <v>722.55011837999996</v>
      </c>
      <c r="G67" s="1113">
        <v>344.75044946000003</v>
      </c>
      <c r="H67" s="1113">
        <v>2946.0323626499999</v>
      </c>
      <c r="I67" s="1113">
        <v>272.08971774999998</v>
      </c>
      <c r="J67" s="1113">
        <v>73.426248740000005</v>
      </c>
      <c r="K67" s="1113">
        <v>15938.297347490001</v>
      </c>
      <c r="L67" s="1113">
        <v>450.46040062999998</v>
      </c>
      <c r="M67" s="1113">
        <v>271.32420072000002</v>
      </c>
      <c r="N67" s="1113">
        <v>4682.0332741800003</v>
      </c>
      <c r="O67" s="1113">
        <v>73.613528579999993</v>
      </c>
      <c r="P67" s="1113">
        <v>109.31236168</v>
      </c>
      <c r="Q67" s="1113">
        <v>770.90491202999999</v>
      </c>
      <c r="R67" s="1113">
        <v>3.4500371400000001</v>
      </c>
      <c r="S67" s="1113">
        <v>28.912655879999999</v>
      </c>
      <c r="T67" s="1113">
        <v>3911.1283621500002</v>
      </c>
      <c r="U67" s="1113">
        <v>70.163491440000001</v>
      </c>
      <c r="V67" s="1113">
        <v>80.399705800000007</v>
      </c>
      <c r="W67" s="1114"/>
      <c r="X67" s="1115"/>
    </row>
    <row r="68" spans="1:41" ht="13.2">
      <c r="A68" s="1117" t="s">
        <v>19</v>
      </c>
      <c r="B68" s="1118">
        <v>23832.962545639999</v>
      </c>
      <c r="C68" s="1118">
        <v>796.16364696000005</v>
      </c>
      <c r="D68" s="1119">
        <v>469.15723987000001</v>
      </c>
      <c r="E68" s="1120">
        <v>19170.287229869999</v>
      </c>
      <c r="F68" s="1120">
        <v>722.55011837999996</v>
      </c>
      <c r="G68" s="1120">
        <v>353.88525865000003</v>
      </c>
      <c r="H68" s="1120">
        <v>2987.5606500399999</v>
      </c>
      <c r="I68" s="1120">
        <v>272.08971774999998</v>
      </c>
      <c r="J68" s="1120">
        <v>80.992791220000001</v>
      </c>
      <c r="K68" s="1120">
        <v>16182.72657983</v>
      </c>
      <c r="L68" s="1113">
        <v>450.46040062999998</v>
      </c>
      <c r="M68" s="1120">
        <v>272.89246743000001</v>
      </c>
      <c r="N68" s="1120">
        <v>4662.6753157700005</v>
      </c>
      <c r="O68" s="1120">
        <v>73.613528579999993</v>
      </c>
      <c r="P68" s="1120">
        <v>115.27198122</v>
      </c>
      <c r="Q68" s="1120">
        <v>750.17808237999998</v>
      </c>
      <c r="R68" s="1120">
        <v>3.4500371400000001</v>
      </c>
      <c r="S68" s="1120">
        <v>28.983696370000001</v>
      </c>
      <c r="T68" s="1120">
        <v>3912.49723339</v>
      </c>
      <c r="U68" s="1120">
        <v>70.163491440000001</v>
      </c>
      <c r="V68" s="1120">
        <v>86.288284849999997</v>
      </c>
      <c r="W68" s="1114"/>
      <c r="X68" s="1115"/>
    </row>
    <row r="69" spans="1:41" s="1122" customFormat="1" ht="13.5" customHeight="1">
      <c r="A69" s="2290" t="s">
        <v>2468</v>
      </c>
      <c r="B69" s="2290"/>
      <c r="C69" s="2290"/>
      <c r="D69" s="2290"/>
      <c r="E69" s="2290"/>
      <c r="F69" s="2290"/>
      <c r="G69" s="2290"/>
      <c r="H69" s="2290"/>
      <c r="I69" s="2290"/>
      <c r="J69" s="2290"/>
      <c r="K69" s="2290"/>
      <c r="L69" s="2290"/>
      <c r="M69" s="2290"/>
      <c r="N69" s="2290"/>
      <c r="O69" s="2290"/>
      <c r="P69" s="2290"/>
      <c r="Q69" s="2290"/>
      <c r="R69" s="2290"/>
      <c r="S69" s="2290"/>
      <c r="T69" s="2290"/>
      <c r="U69" s="2290"/>
      <c r="V69" s="2290"/>
      <c r="W69" s="1121"/>
      <c r="X69" s="1121"/>
      <c r="Y69" s="1121"/>
      <c r="Z69" s="1121"/>
      <c r="AA69" s="1121"/>
      <c r="AB69" s="1121"/>
      <c r="AC69" s="1121"/>
      <c r="AD69" s="1121"/>
      <c r="AE69" s="1121"/>
      <c r="AF69" s="1121"/>
      <c r="AG69" s="1121"/>
      <c r="AH69" s="1121"/>
      <c r="AI69" s="1121"/>
      <c r="AJ69" s="1121"/>
      <c r="AK69" s="1121"/>
      <c r="AL69" s="1121"/>
      <c r="AM69" s="1121"/>
      <c r="AN69" s="1121"/>
      <c r="AO69" s="1121"/>
    </row>
    <row r="70" spans="1:41" s="1122" customFormat="1" ht="13.5" customHeight="1">
      <c r="A70" s="2291" t="s">
        <v>3059</v>
      </c>
      <c r="B70" s="2291"/>
      <c r="C70" s="2291"/>
      <c r="D70" s="2291"/>
      <c r="E70" s="2291"/>
      <c r="F70" s="2291"/>
      <c r="G70" s="2291"/>
      <c r="H70" s="2291"/>
      <c r="I70" s="2291"/>
      <c r="J70" s="2291"/>
      <c r="K70" s="2291"/>
      <c r="L70" s="2291"/>
      <c r="M70" s="2291"/>
      <c r="N70" s="2291"/>
      <c r="O70" s="2291"/>
      <c r="P70" s="2291"/>
      <c r="Q70" s="2291"/>
      <c r="R70" s="2291"/>
      <c r="S70" s="2291"/>
      <c r="T70" s="2291"/>
      <c r="U70" s="2291"/>
      <c r="V70" s="2291"/>
      <c r="W70" s="2291"/>
      <c r="X70" s="2291"/>
      <c r="Y70" s="2291"/>
      <c r="Z70" s="2291"/>
      <c r="AA70" s="2291"/>
      <c r="AB70" s="2291"/>
      <c r="AC70" s="2291"/>
      <c r="AD70" s="2291"/>
      <c r="AE70" s="2291"/>
      <c r="AF70" s="2291"/>
      <c r="AG70" s="2291"/>
      <c r="AH70" s="2291"/>
      <c r="AI70" s="2291"/>
      <c r="AJ70" s="2291"/>
      <c r="AK70" s="2291"/>
      <c r="AL70" s="2291"/>
      <c r="AM70" s="2291"/>
      <c r="AN70" s="2291"/>
      <c r="AO70" s="2291"/>
    </row>
    <row r="71" spans="1:41" s="1122" customFormat="1" ht="13.5" customHeight="1">
      <c r="A71" s="2287" t="s">
        <v>3060</v>
      </c>
      <c r="B71" s="2287"/>
      <c r="C71" s="2287"/>
      <c r="D71" s="2287"/>
      <c r="E71" s="2287"/>
      <c r="F71" s="2287"/>
      <c r="G71" s="2287"/>
      <c r="H71" s="2287"/>
      <c r="I71" s="2287"/>
      <c r="J71" s="2287"/>
      <c r="K71" s="2287"/>
      <c r="L71" s="2287"/>
      <c r="M71" s="2287"/>
      <c r="N71" s="2287"/>
      <c r="O71" s="2287"/>
      <c r="P71" s="2287"/>
      <c r="Q71" s="2287"/>
      <c r="R71" s="2287"/>
      <c r="S71" s="2287"/>
      <c r="T71" s="2287"/>
      <c r="U71" s="2287"/>
      <c r="V71" s="2287"/>
      <c r="W71" s="2287"/>
      <c r="X71" s="2287"/>
      <c r="Y71" s="2287"/>
      <c r="Z71" s="2287"/>
      <c r="AA71" s="2287"/>
      <c r="AB71" s="2287"/>
      <c r="AC71" s="2287"/>
      <c r="AD71" s="2287"/>
      <c r="AE71" s="2287"/>
      <c r="AF71" s="2287"/>
      <c r="AG71" s="2287"/>
      <c r="AH71" s="2287"/>
      <c r="AI71" s="2287"/>
      <c r="AJ71" s="2287"/>
      <c r="AK71" s="2287"/>
      <c r="AL71" s="2287"/>
      <c r="AM71" s="2287"/>
      <c r="AN71" s="2287"/>
      <c r="AO71" s="2287"/>
    </row>
    <row r="72" spans="1:41" ht="13.2">
      <c r="B72" s="1420"/>
      <c r="C72" s="1420"/>
      <c r="E72" s="1531"/>
      <c r="F72" s="1420"/>
      <c r="H72" s="1531"/>
      <c r="J72" s="1420"/>
      <c r="K72" s="1531"/>
      <c r="N72" s="1531"/>
      <c r="Q72" s="1531"/>
      <c r="T72" s="1531"/>
    </row>
    <row r="73" spans="1:41" ht="13.2">
      <c r="B73" s="1114"/>
      <c r="E73" s="1531"/>
      <c r="H73" s="1420"/>
      <c r="K73" s="1420"/>
      <c r="N73" s="1420"/>
      <c r="Q73" s="1420"/>
      <c r="T73" s="1420"/>
    </row>
    <row r="74" spans="1:41" ht="13.2">
      <c r="B74" s="1420"/>
      <c r="E74" s="1420"/>
      <c r="H74" s="1420"/>
      <c r="K74" s="1420"/>
      <c r="L74" s="1109"/>
      <c r="M74" s="1109"/>
      <c r="N74" s="1420"/>
      <c r="Q74" s="1420"/>
      <c r="T74" s="1420"/>
    </row>
    <row r="75" spans="1:41" ht="13.2">
      <c r="B75" s="1648"/>
    </row>
    <row r="76" spans="1:41" ht="13.2"/>
    <row r="77" spans="1:41" ht="13.2"/>
    <row r="78" spans="1:41" ht="13.2"/>
    <row r="79" spans="1:41" ht="13.2">
      <c r="C79" s="1422"/>
    </row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71:AO71"/>
    <mergeCell ref="Q12:Q13"/>
    <mergeCell ref="R12:R13"/>
    <mergeCell ref="T12:T13"/>
    <mergeCell ref="U12:U13"/>
    <mergeCell ref="A69:V69"/>
    <mergeCell ref="A70:AO70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2"/>
  <sheetViews>
    <sheetView showGridLines="0" view="pageBreakPreview" zoomScale="110" zoomScaleSheetLayoutView="110" workbookViewId="0">
      <pane ySplit="10" topLeftCell="A66" activePane="bottomLeft" state="frozen"/>
      <selection activeCell="G291" sqref="G291"/>
      <selection pane="bottomLeft" activeCell="L93" sqref="L93"/>
    </sheetView>
  </sheetViews>
  <sheetFormatPr defaultColWidth="8.88671875" defaultRowHeight="12" customHeight="1"/>
  <cols>
    <col min="1" max="1" width="11.33203125" style="1104" customWidth="1"/>
    <col min="2" max="2" width="14.44140625" style="1104" customWidth="1"/>
    <col min="3" max="8" width="16.44140625" style="1104" customWidth="1"/>
    <col min="9" max="68" width="8.88671875" style="1104" customWidth="1"/>
    <col min="69" max="69" width="8.88671875" style="1104" hidden="1" customWidth="1"/>
    <col min="70" max="241" width="8.88671875" style="1104" customWidth="1"/>
    <col min="242" max="242" width="7.6640625" style="1104" customWidth="1"/>
    <col min="243" max="243" width="12.6640625" style="1104" customWidth="1"/>
    <col min="244" max="244" width="11" style="1104" customWidth="1"/>
    <col min="245" max="16384" width="8.88671875" style="1104"/>
  </cols>
  <sheetData>
    <row r="1" spans="1:71" ht="9.75" customHeight="1"/>
    <row r="2" spans="1:71" ht="15.75" customHeight="1">
      <c r="A2" s="2309" t="s">
        <v>3222</v>
      </c>
      <c r="B2" s="2309"/>
      <c r="C2" s="2309"/>
      <c r="D2" s="2309"/>
      <c r="E2" s="2309"/>
      <c r="F2" s="2309"/>
      <c r="G2" s="2309"/>
      <c r="H2" s="2309"/>
    </row>
    <row r="3" spans="1:71" ht="15.75" customHeight="1">
      <c r="A3" s="2310" t="s">
        <v>3223</v>
      </c>
      <c r="B3" s="2310"/>
      <c r="C3" s="2310"/>
      <c r="D3" s="2310"/>
      <c r="E3" s="2310"/>
      <c r="F3" s="2310"/>
      <c r="G3" s="2310"/>
      <c r="H3" s="2310"/>
    </row>
    <row r="4" spans="1:71" ht="9.75" customHeight="1"/>
    <row r="5" spans="1:71" ht="12.75" customHeight="1">
      <c r="A5" s="1105"/>
      <c r="B5" s="1105"/>
      <c r="C5" s="1105"/>
      <c r="D5" s="1105"/>
      <c r="E5" s="1105"/>
      <c r="F5" s="1105"/>
      <c r="G5" s="1105"/>
      <c r="H5" s="1105"/>
    </row>
    <row r="6" spans="1:71" ht="12.75" customHeight="1">
      <c r="A6" s="2316" t="s">
        <v>8</v>
      </c>
      <c r="B6" s="2316"/>
      <c r="C6" s="2316"/>
      <c r="D6" s="2316"/>
      <c r="E6" s="2316"/>
      <c r="F6" s="2316"/>
      <c r="G6" s="2316"/>
      <c r="H6" s="2316"/>
    </row>
    <row r="7" spans="1:71" s="1107" customFormat="1" ht="15" customHeight="1">
      <c r="A7" s="2297" t="s">
        <v>182</v>
      </c>
      <c r="B7" s="2297" t="s">
        <v>145</v>
      </c>
      <c r="C7" s="2317" t="s">
        <v>2835</v>
      </c>
      <c r="D7" s="2317"/>
      <c r="E7" s="2317"/>
      <c r="F7" s="2317" t="s">
        <v>2834</v>
      </c>
      <c r="G7" s="2317"/>
      <c r="H7" s="2317"/>
      <c r="BR7" s="1107" t="s">
        <v>2089</v>
      </c>
      <c r="BS7" s="1108" t="s">
        <v>2090</v>
      </c>
    </row>
    <row r="8" spans="1:71" s="1107" customFormat="1" ht="27" customHeight="1">
      <c r="A8" s="2298"/>
      <c r="B8" s="2298"/>
      <c r="C8" s="1612" t="s">
        <v>143</v>
      </c>
      <c r="D8" s="1612" t="s">
        <v>146</v>
      </c>
      <c r="E8" s="1612" t="s">
        <v>147</v>
      </c>
      <c r="F8" s="1612" t="s">
        <v>143</v>
      </c>
      <c r="G8" s="1612" t="s">
        <v>146</v>
      </c>
      <c r="H8" s="1612" t="s">
        <v>147</v>
      </c>
      <c r="BN8" s="1107" t="e">
        <f>#REF!+#REF!+#REF!+#REF!</f>
        <v>#REF!</v>
      </c>
      <c r="BR8" s="1107" t="e">
        <f>#REF!+#REF!+#REF!+#REF!</f>
        <v>#REF!</v>
      </c>
      <c r="BS8" s="1108" t="e">
        <f>BN8+BO8+BP8+BR8</f>
        <v>#REF!</v>
      </c>
    </row>
    <row r="9" spans="1:71" ht="15" customHeight="1">
      <c r="A9" s="2288" t="s">
        <v>304</v>
      </c>
      <c r="B9" s="2288" t="s">
        <v>1181</v>
      </c>
      <c r="C9" s="2304" t="s">
        <v>1223</v>
      </c>
      <c r="D9" s="2304"/>
      <c r="E9" s="2304"/>
      <c r="F9" s="2304" t="s">
        <v>1224</v>
      </c>
      <c r="G9" s="2304"/>
      <c r="H9" s="2304"/>
      <c r="BS9" s="1109"/>
    </row>
    <row r="10" spans="1:71" ht="21.75" customHeight="1">
      <c r="A10" s="2289"/>
      <c r="B10" s="2289"/>
      <c r="C10" s="1613" t="s">
        <v>1181</v>
      </c>
      <c r="D10" s="1613" t="s">
        <v>1183</v>
      </c>
      <c r="E10" s="1613" t="s">
        <v>1182</v>
      </c>
      <c r="F10" s="1613" t="s">
        <v>1184</v>
      </c>
      <c r="G10" s="1613" t="s">
        <v>1183</v>
      </c>
      <c r="H10" s="1613" t="s">
        <v>1182</v>
      </c>
      <c r="BR10" s="1104" t="e">
        <f>#REF!+#REF!</f>
        <v>#REF!</v>
      </c>
      <c r="BS10" s="1109" t="e">
        <f>BN10+BO10+BP10+BR10</f>
        <v>#REF!</v>
      </c>
    </row>
    <row r="11" spans="1:71" ht="13.2">
      <c r="A11" s="1110" t="s">
        <v>2171</v>
      </c>
      <c r="B11" s="1111"/>
      <c r="C11" s="1111"/>
      <c r="D11" s="1111"/>
      <c r="E11" s="1111"/>
      <c r="F11" s="1111"/>
      <c r="G11" s="1111"/>
      <c r="H11" s="1111"/>
    </row>
    <row r="12" spans="1:71" ht="13.2">
      <c r="A12" s="1110" t="s">
        <v>18</v>
      </c>
      <c r="B12" s="1298">
        <v>679.67676955000002</v>
      </c>
      <c r="C12" s="1298">
        <f>D12+E12</f>
        <v>525.50947876000009</v>
      </c>
      <c r="D12" s="1298">
        <v>180.77051759</v>
      </c>
      <c r="E12" s="1298">
        <v>344.73896117000004</v>
      </c>
      <c r="F12" s="1298">
        <f>G12+H12</f>
        <v>154.16729079000001</v>
      </c>
      <c r="G12" s="1298">
        <v>55.951709979999997</v>
      </c>
      <c r="H12" s="1298">
        <v>98.215580810000006</v>
      </c>
    </row>
    <row r="13" spans="1:71" ht="13.2">
      <c r="A13" s="1110" t="s">
        <v>19</v>
      </c>
      <c r="B13" s="1298">
        <v>719.74791498000002</v>
      </c>
      <c r="C13" s="1298">
        <f t="shared" ref="C13:C57" si="0">D13+E13</f>
        <v>554.92592532999993</v>
      </c>
      <c r="D13" s="1298">
        <v>208.12512941</v>
      </c>
      <c r="E13" s="1298">
        <v>346.80079591999998</v>
      </c>
      <c r="F13" s="1298">
        <f t="shared" ref="F13:F57" si="1">G13+H13</f>
        <v>164.82198964999998</v>
      </c>
      <c r="G13" s="1298">
        <v>92.945323639999998</v>
      </c>
      <c r="H13" s="1298">
        <v>71.876666009999994</v>
      </c>
    </row>
    <row r="14" spans="1:71" ht="13.2">
      <c r="A14" s="1110" t="s">
        <v>20</v>
      </c>
      <c r="B14" s="1298">
        <v>771.41000965199999</v>
      </c>
      <c r="C14" s="1298">
        <f t="shared" si="0"/>
        <v>607.40382624999995</v>
      </c>
      <c r="D14" s="1298">
        <v>218.20295508999999</v>
      </c>
      <c r="E14" s="1298">
        <v>389.20087115999996</v>
      </c>
      <c r="F14" s="1298">
        <f t="shared" si="1"/>
        <v>164.006183402</v>
      </c>
      <c r="G14" s="1298">
        <v>94.460630322</v>
      </c>
      <c r="H14" s="1298">
        <v>69.545553080000005</v>
      </c>
    </row>
    <row r="15" spans="1:71" ht="13.2">
      <c r="A15" s="1110" t="s">
        <v>21</v>
      </c>
      <c r="B15" s="1298">
        <v>929.542598064</v>
      </c>
      <c r="C15" s="1298">
        <f t="shared" si="0"/>
        <v>748.81615298999998</v>
      </c>
      <c r="D15" s="1298">
        <v>298.79870598999997</v>
      </c>
      <c r="E15" s="1298">
        <v>450.017447</v>
      </c>
      <c r="F15" s="1298">
        <f t="shared" si="1"/>
        <v>180.726445074</v>
      </c>
      <c r="G15" s="1298">
        <v>76.916714933999998</v>
      </c>
      <c r="H15" s="1298">
        <v>103.80973014</v>
      </c>
    </row>
    <row r="16" spans="1:71" ht="13.2">
      <c r="A16" s="1110" t="s">
        <v>22</v>
      </c>
      <c r="B16" s="1298">
        <v>911.03696386000001</v>
      </c>
      <c r="C16" s="1298">
        <f t="shared" si="0"/>
        <v>695.75443530999996</v>
      </c>
      <c r="D16" s="1298">
        <v>197.08954494</v>
      </c>
      <c r="E16" s="1298">
        <v>498.66489036999997</v>
      </c>
      <c r="F16" s="1298">
        <f t="shared" si="1"/>
        <v>215.28252854999999</v>
      </c>
      <c r="G16" s="1298">
        <v>111.14921955</v>
      </c>
      <c r="H16" s="1298">
        <v>104.133309</v>
      </c>
    </row>
    <row r="17" spans="1:8" ht="13.2">
      <c r="A17" s="1110" t="s">
        <v>23</v>
      </c>
      <c r="B17" s="1298">
        <v>915.10105564000003</v>
      </c>
      <c r="C17" s="1298">
        <f t="shared" si="0"/>
        <v>631.50083087000007</v>
      </c>
      <c r="D17" s="1298">
        <v>184.83989184000001</v>
      </c>
      <c r="E17" s="1298">
        <v>446.66093903000001</v>
      </c>
      <c r="F17" s="1298">
        <f t="shared" si="1"/>
        <v>283.60022477000001</v>
      </c>
      <c r="G17" s="1298">
        <v>73.815156459999997</v>
      </c>
      <c r="H17" s="1298">
        <v>209.78506831000001</v>
      </c>
    </row>
    <row r="18" spans="1:8" ht="13.2">
      <c r="A18" s="1110" t="s">
        <v>24</v>
      </c>
      <c r="B18" s="1298">
        <v>1116.80824605</v>
      </c>
      <c r="C18" s="1298">
        <f t="shared" si="0"/>
        <v>853.95220735999999</v>
      </c>
      <c r="D18" s="1298">
        <v>221.75348561000001</v>
      </c>
      <c r="E18" s="1298">
        <v>632.19872175</v>
      </c>
      <c r="F18" s="1298">
        <f t="shared" si="1"/>
        <v>262.85603868999999</v>
      </c>
      <c r="G18" s="1298">
        <v>80.006721339999999</v>
      </c>
      <c r="H18" s="1298">
        <v>182.84931735000001</v>
      </c>
    </row>
    <row r="19" spans="1:8" ht="13.2">
      <c r="A19" s="1110" t="s">
        <v>25</v>
      </c>
      <c r="B19" s="1298">
        <v>1029.8075811230001</v>
      </c>
      <c r="C19" s="1298">
        <f t="shared" si="0"/>
        <v>749.55184587000008</v>
      </c>
      <c r="D19" s="1298">
        <v>245.12444918</v>
      </c>
      <c r="E19" s="1298">
        <v>504.42739669000002</v>
      </c>
      <c r="F19" s="1298">
        <f t="shared" si="1"/>
        <v>280.25573525300001</v>
      </c>
      <c r="G19" s="1298">
        <v>97.836514142999988</v>
      </c>
      <c r="H19" s="1298">
        <v>182.41922111000002</v>
      </c>
    </row>
    <row r="20" spans="1:8" ht="13.2">
      <c r="A20" s="1110" t="s">
        <v>26</v>
      </c>
      <c r="B20" s="1298">
        <v>1380.9402717099999</v>
      </c>
      <c r="C20" s="1298">
        <f t="shared" si="0"/>
        <v>756.79635726000004</v>
      </c>
      <c r="D20" s="1298">
        <v>236.50315387999999</v>
      </c>
      <c r="E20" s="1298">
        <v>520.29320338000002</v>
      </c>
      <c r="F20" s="1298">
        <f t="shared" si="1"/>
        <v>624.14391445000001</v>
      </c>
      <c r="G20" s="1298">
        <v>155.89094406000001</v>
      </c>
      <c r="H20" s="1298">
        <v>468.25297038999997</v>
      </c>
    </row>
    <row r="21" spans="1:8" ht="13.2">
      <c r="A21" s="1110" t="s">
        <v>27</v>
      </c>
      <c r="B21" s="1298">
        <v>1060.006496338</v>
      </c>
      <c r="C21" s="1298">
        <f t="shared" si="0"/>
        <v>777.79467319499986</v>
      </c>
      <c r="D21" s="1298">
        <v>247.52873545499997</v>
      </c>
      <c r="E21" s="1298">
        <v>530.26593773999991</v>
      </c>
      <c r="F21" s="1298">
        <f t="shared" si="1"/>
        <v>282.211823143</v>
      </c>
      <c r="G21" s="1298">
        <v>116.27379702</v>
      </c>
      <c r="H21" s="1298">
        <v>165.93802612299999</v>
      </c>
    </row>
    <row r="22" spans="1:8" ht="13.2">
      <c r="A22" s="1110" t="s">
        <v>28</v>
      </c>
      <c r="B22" s="1298">
        <v>1545.0495561969999</v>
      </c>
      <c r="C22" s="1298">
        <f t="shared" si="0"/>
        <v>852.85817740999994</v>
      </c>
      <c r="D22" s="1298">
        <v>283.84104982999997</v>
      </c>
      <c r="E22" s="1298">
        <v>569.01712757999996</v>
      </c>
      <c r="F22" s="1298">
        <f t="shared" si="1"/>
        <v>692.19137878699996</v>
      </c>
      <c r="G22" s="1298">
        <v>410.14099469999996</v>
      </c>
      <c r="H22" s="1298">
        <v>282.050384087</v>
      </c>
    </row>
    <row r="23" spans="1:8" ht="13.2">
      <c r="A23" s="1110" t="s">
        <v>29</v>
      </c>
      <c r="B23" s="1298">
        <v>1588.4409352100001</v>
      </c>
      <c r="C23" s="1298">
        <f t="shared" si="0"/>
        <v>1098.2558688000011</v>
      </c>
      <c r="D23" s="1298">
        <v>313.68584659999999</v>
      </c>
      <c r="E23" s="1298">
        <v>784.57002220000106</v>
      </c>
      <c r="F23" s="1298">
        <f t="shared" si="1"/>
        <v>490.18506640999999</v>
      </c>
      <c r="G23" s="1298">
        <v>128.41217562</v>
      </c>
      <c r="H23" s="1298">
        <v>361.77289078999996</v>
      </c>
    </row>
    <row r="24" spans="1:8" ht="13.2">
      <c r="A24" s="1110" t="s">
        <v>2407</v>
      </c>
      <c r="B24" s="1299"/>
      <c r="C24" s="1298"/>
      <c r="D24" s="1299"/>
      <c r="E24" s="1299"/>
      <c r="F24" s="1298"/>
      <c r="G24" s="1299"/>
      <c r="H24" s="1299"/>
    </row>
    <row r="25" spans="1:8" ht="13.2">
      <c r="A25" s="1110" t="s">
        <v>18</v>
      </c>
      <c r="B25" s="1298">
        <v>1588.4409352100001</v>
      </c>
      <c r="C25" s="1298">
        <f t="shared" si="0"/>
        <v>1098.2558688000011</v>
      </c>
      <c r="D25" s="1298">
        <v>313.68584659999999</v>
      </c>
      <c r="E25" s="1298">
        <v>784.57002220000106</v>
      </c>
      <c r="F25" s="1298">
        <f t="shared" si="1"/>
        <v>490.18506640999999</v>
      </c>
      <c r="G25" s="1298">
        <v>128.41217562</v>
      </c>
      <c r="H25" s="1298">
        <v>361.77289078999996</v>
      </c>
    </row>
    <row r="26" spans="1:8" ht="13.2">
      <c r="A26" s="1110" t="s">
        <v>19</v>
      </c>
      <c r="B26" s="1298">
        <v>1090.4429253000001</v>
      </c>
      <c r="C26" s="1298">
        <f t="shared" si="0"/>
        <v>901.90632789999995</v>
      </c>
      <c r="D26" s="1298">
        <v>272.56526881999997</v>
      </c>
      <c r="E26" s="1298">
        <v>629.34105908000004</v>
      </c>
      <c r="F26" s="1298">
        <f t="shared" si="1"/>
        <v>188.53659740000001</v>
      </c>
      <c r="G26" s="1298">
        <v>88.38636185</v>
      </c>
      <c r="H26" s="1298">
        <v>100.15023554999999</v>
      </c>
    </row>
    <row r="27" spans="1:8" ht="13.2">
      <c r="A27" s="1110" t="s">
        <v>20</v>
      </c>
      <c r="B27" s="1298">
        <v>1057.63835535</v>
      </c>
      <c r="C27" s="1298">
        <f t="shared" si="0"/>
        <v>878.67674145000001</v>
      </c>
      <c r="D27" s="1298">
        <v>315.07092119999999</v>
      </c>
      <c r="E27" s="1298">
        <v>563.60582024999997</v>
      </c>
      <c r="F27" s="1298">
        <f t="shared" si="1"/>
        <v>178.9616139</v>
      </c>
      <c r="G27" s="1298">
        <v>101.78249169</v>
      </c>
      <c r="H27" s="1298">
        <v>77.179122210000003</v>
      </c>
    </row>
    <row r="28" spans="1:8" ht="13.2">
      <c r="A28" s="1110" t="s">
        <v>21</v>
      </c>
      <c r="B28" s="1298">
        <v>731.64064145999998</v>
      </c>
      <c r="C28" s="1298">
        <f t="shared" si="0"/>
        <v>550.30363497999997</v>
      </c>
      <c r="D28" s="1298">
        <v>218.14409608</v>
      </c>
      <c r="E28" s="1298">
        <v>332.15953889999997</v>
      </c>
      <c r="F28" s="1298">
        <f t="shared" si="1"/>
        <v>181.33700648000001</v>
      </c>
      <c r="G28" s="1298">
        <v>79.30912991000001</v>
      </c>
      <c r="H28" s="1298">
        <v>102.02787656999999</v>
      </c>
    </row>
    <row r="29" spans="1:8" ht="13.2">
      <c r="A29" s="1110" t="s">
        <v>22</v>
      </c>
      <c r="B29" s="1298">
        <v>1073.4463000000001</v>
      </c>
      <c r="C29" s="1298">
        <f t="shared" si="0"/>
        <v>698.98514</v>
      </c>
      <c r="D29" s="1298">
        <v>185.86939999999998</v>
      </c>
      <c r="E29" s="1298">
        <v>513.11573999999996</v>
      </c>
      <c r="F29" s="1298">
        <f t="shared" si="1"/>
        <v>374.46115999999995</v>
      </c>
      <c r="G29" s="1298">
        <v>89.153869999999998</v>
      </c>
      <c r="H29" s="1298">
        <v>285.30728999999997</v>
      </c>
    </row>
    <row r="30" spans="1:8" ht="13.2">
      <c r="A30" s="1110" t="s">
        <v>23</v>
      </c>
      <c r="B30" s="1298">
        <v>879.30759</v>
      </c>
      <c r="C30" s="1298">
        <f t="shared" si="0"/>
        <v>620.80334000000005</v>
      </c>
      <c r="D30" s="1298">
        <v>166.46764000000002</v>
      </c>
      <c r="E30" s="1298">
        <v>454.33570000000003</v>
      </c>
      <c r="F30" s="1298">
        <f t="shared" si="1"/>
        <v>258.50425000000001</v>
      </c>
      <c r="G30" s="1298">
        <v>45.92165</v>
      </c>
      <c r="H30" s="1298">
        <v>212.58260000000001</v>
      </c>
    </row>
    <row r="31" spans="1:8" ht="13.2">
      <c r="A31" s="1110" t="s">
        <v>24</v>
      </c>
      <c r="B31" s="1298">
        <v>860.23337363000098</v>
      </c>
      <c r="C31" s="1298">
        <f t="shared" si="0"/>
        <v>662.69643503999998</v>
      </c>
      <c r="D31" s="1298">
        <v>198.28176209</v>
      </c>
      <c r="E31" s="1298">
        <v>464.41467294999995</v>
      </c>
      <c r="F31" s="1298">
        <f t="shared" si="1"/>
        <v>197.53693859000001</v>
      </c>
      <c r="G31" s="1298">
        <v>59.02205</v>
      </c>
      <c r="H31" s="1298">
        <v>138.51488859</v>
      </c>
    </row>
    <row r="32" spans="1:8" ht="13.2">
      <c r="A32" s="1110" t="s">
        <v>25</v>
      </c>
      <c r="B32" s="1298">
        <v>862.47583738000003</v>
      </c>
      <c r="C32" s="1298">
        <f t="shared" si="0"/>
        <v>749.85562889000005</v>
      </c>
      <c r="D32" s="1298">
        <v>196.08309423</v>
      </c>
      <c r="E32" s="1298">
        <v>553.77253466000002</v>
      </c>
      <c r="F32" s="1298">
        <f t="shared" si="1"/>
        <v>112.62020849000001</v>
      </c>
      <c r="G32" s="1298">
        <v>39.715425000000003</v>
      </c>
      <c r="H32" s="1298">
        <v>72.90478349</v>
      </c>
    </row>
    <row r="33" spans="1:8" ht="13.2">
      <c r="A33" s="1110" t="s">
        <v>26</v>
      </c>
      <c r="B33" s="1298">
        <v>1133.8516495000001</v>
      </c>
      <c r="C33" s="1298">
        <f t="shared" si="0"/>
        <v>826.65215493999995</v>
      </c>
      <c r="D33" s="1298">
        <v>222.03830051999998</v>
      </c>
      <c r="E33" s="1298">
        <v>604.61385441999994</v>
      </c>
      <c r="F33" s="1298">
        <f t="shared" si="1"/>
        <v>307.19949456000001</v>
      </c>
      <c r="G33" s="1298">
        <v>117.54593</v>
      </c>
      <c r="H33" s="1298">
        <v>189.65356456000001</v>
      </c>
    </row>
    <row r="34" spans="1:8" ht="13.2">
      <c r="A34" s="1110" t="s">
        <v>27</v>
      </c>
      <c r="B34" s="1298">
        <v>956.36385603000008</v>
      </c>
      <c r="C34" s="1298">
        <f t="shared" si="0"/>
        <v>828.23705510000002</v>
      </c>
      <c r="D34" s="1298">
        <v>218.06360182</v>
      </c>
      <c r="E34" s="1298">
        <v>610.17345327999999</v>
      </c>
      <c r="F34" s="1298">
        <f t="shared" si="1"/>
        <v>128.12680093</v>
      </c>
      <c r="G34" s="1298">
        <v>78.044774369999999</v>
      </c>
      <c r="H34" s="1298">
        <v>50.082026559999996</v>
      </c>
    </row>
    <row r="35" spans="1:8" ht="13.2">
      <c r="A35" s="1110" t="s">
        <v>28</v>
      </c>
      <c r="B35" s="1298">
        <v>1090.2032848400002</v>
      </c>
      <c r="C35" s="1298">
        <f t="shared" si="0"/>
        <v>895.47830465999994</v>
      </c>
      <c r="D35" s="1298">
        <v>220.70577581000001</v>
      </c>
      <c r="E35" s="1298">
        <v>674.77252884999996</v>
      </c>
      <c r="F35" s="1298">
        <f t="shared" si="1"/>
        <v>194.72498018000002</v>
      </c>
      <c r="G35" s="1298">
        <v>41.576712409999999</v>
      </c>
      <c r="H35" s="1298">
        <v>153.14826777000002</v>
      </c>
    </row>
    <row r="36" spans="1:8" ht="13.2">
      <c r="A36" s="1110" t="s">
        <v>29</v>
      </c>
      <c r="B36" s="1298">
        <v>1137.2753202899999</v>
      </c>
      <c r="C36" s="1298">
        <f t="shared" si="0"/>
        <v>894.46576512999991</v>
      </c>
      <c r="D36" s="1298">
        <v>269.78939962999999</v>
      </c>
      <c r="E36" s="1298">
        <v>624.67636549999997</v>
      </c>
      <c r="F36" s="1298">
        <f t="shared" si="1"/>
        <v>242.80955516</v>
      </c>
      <c r="G36" s="1298">
        <v>82.449512730000009</v>
      </c>
      <c r="H36" s="1298">
        <v>160.36004242999999</v>
      </c>
    </row>
    <row r="37" spans="1:8" ht="13.2">
      <c r="A37" s="1116">
        <v>2021</v>
      </c>
      <c r="B37" s="1299"/>
      <c r="C37" s="1298"/>
      <c r="D37" s="1299"/>
      <c r="E37" s="1299"/>
      <c r="F37" s="1298"/>
      <c r="G37" s="1299"/>
      <c r="H37" s="1299"/>
    </row>
    <row r="38" spans="1:8" ht="13.2">
      <c r="A38" s="1110" t="s">
        <v>18</v>
      </c>
      <c r="B38" s="1298">
        <v>892.40007973000002</v>
      </c>
      <c r="C38" s="1298">
        <f t="shared" si="0"/>
        <v>720.45865672000002</v>
      </c>
      <c r="D38" s="1298">
        <v>204.72704977000001</v>
      </c>
      <c r="E38" s="1298">
        <v>515.73160695000001</v>
      </c>
      <c r="F38" s="1298">
        <f t="shared" si="1"/>
        <v>171.94142300999999</v>
      </c>
      <c r="G38" s="1298">
        <v>124.5836</v>
      </c>
      <c r="H38" s="1298">
        <v>47.357823009999997</v>
      </c>
    </row>
    <row r="39" spans="1:8" ht="13.2">
      <c r="A39" s="1110" t="s">
        <v>19</v>
      </c>
      <c r="B39" s="1298">
        <v>889.20482267</v>
      </c>
      <c r="C39" s="1298">
        <f t="shared" si="0"/>
        <v>743.20906779999996</v>
      </c>
      <c r="D39" s="1298">
        <v>234.45565160000001</v>
      </c>
      <c r="E39" s="1298">
        <v>508.7534162</v>
      </c>
      <c r="F39" s="1298">
        <f t="shared" si="1"/>
        <v>145.99575487000001</v>
      </c>
      <c r="G39" s="1298">
        <v>42.050569130000007</v>
      </c>
      <c r="H39" s="1298">
        <v>103.94518574</v>
      </c>
    </row>
    <row r="40" spans="1:8" ht="13.2">
      <c r="A40" s="1110" t="s">
        <v>20</v>
      </c>
      <c r="B40" s="1298">
        <v>1146.8658583700001</v>
      </c>
      <c r="C40" s="1298">
        <f t="shared" si="0"/>
        <v>966.84641592000003</v>
      </c>
      <c r="D40" s="1298">
        <v>255.29451613999998</v>
      </c>
      <c r="E40" s="1298">
        <v>711.55189977999999</v>
      </c>
      <c r="F40" s="1298">
        <f t="shared" si="1"/>
        <v>180.01944245000001</v>
      </c>
      <c r="G40" s="1298">
        <v>62.42680266</v>
      </c>
      <c r="H40" s="1298">
        <v>117.59263979000001</v>
      </c>
    </row>
    <row r="41" spans="1:8" ht="13.2">
      <c r="A41" s="1110" t="s">
        <v>21</v>
      </c>
      <c r="B41" s="1298">
        <v>1187.1359750399999</v>
      </c>
      <c r="C41" s="1298">
        <f t="shared" si="0"/>
        <v>1023.0443939300001</v>
      </c>
      <c r="D41" s="1298">
        <v>250.84312294</v>
      </c>
      <c r="E41" s="1298">
        <v>772.20127099000001</v>
      </c>
      <c r="F41" s="1298">
        <f t="shared" si="1"/>
        <v>164.09158110999999</v>
      </c>
      <c r="G41" s="1298">
        <v>56.393766909999997</v>
      </c>
      <c r="H41" s="1298">
        <v>107.6978142</v>
      </c>
    </row>
    <row r="42" spans="1:8" ht="13.2">
      <c r="A42" s="1110" t="s">
        <v>22</v>
      </c>
      <c r="B42" s="1298">
        <v>968.03951714999994</v>
      </c>
      <c r="C42" s="1298">
        <f t="shared" si="0"/>
        <v>846.69120887999998</v>
      </c>
      <c r="D42" s="1298">
        <v>237.08599333000001</v>
      </c>
      <c r="E42" s="1298">
        <v>609.60521554999991</v>
      </c>
      <c r="F42" s="1298">
        <f t="shared" si="1"/>
        <v>121.34830827</v>
      </c>
      <c r="G42" s="1298">
        <v>39.363404889999998</v>
      </c>
      <c r="H42" s="1298">
        <v>81.984903380000006</v>
      </c>
    </row>
    <row r="43" spans="1:8" ht="13.2">
      <c r="A43" s="1110" t="s">
        <v>23</v>
      </c>
      <c r="B43" s="1298">
        <v>1201.8490304300001</v>
      </c>
      <c r="C43" s="1298">
        <f t="shared" si="0"/>
        <v>1034.9595042200001</v>
      </c>
      <c r="D43" s="1298">
        <v>247.84973000000002</v>
      </c>
      <c r="E43" s="1298">
        <v>787.10977422000008</v>
      </c>
      <c r="F43" s="1298">
        <f t="shared" si="1"/>
        <v>166.88952620999999</v>
      </c>
      <c r="G43" s="1298">
        <v>67.940240110000005</v>
      </c>
      <c r="H43" s="1298">
        <v>98.949286099999995</v>
      </c>
    </row>
    <row r="44" spans="1:8" ht="13.2">
      <c r="A44" s="1110" t="s">
        <v>24</v>
      </c>
      <c r="B44" s="1298">
        <v>1138.5634062501999</v>
      </c>
      <c r="C44" s="1298">
        <f t="shared" si="0"/>
        <v>990.71737805020007</v>
      </c>
      <c r="D44" s="1298">
        <v>270.75874119999997</v>
      </c>
      <c r="E44" s="1298">
        <v>719.95863685020004</v>
      </c>
      <c r="F44" s="1298">
        <f t="shared" si="1"/>
        <v>147.84602820000001</v>
      </c>
      <c r="G44" s="1298">
        <v>69.74945889</v>
      </c>
      <c r="H44" s="1298">
        <v>78.096569310000007</v>
      </c>
    </row>
    <row r="45" spans="1:8" ht="13.2">
      <c r="A45" s="1110" t="s">
        <v>25</v>
      </c>
      <c r="B45" s="1298">
        <v>1279.8402086599999</v>
      </c>
      <c r="C45" s="1298">
        <f t="shared" si="0"/>
        <v>1056.09099539</v>
      </c>
      <c r="D45" s="1298">
        <v>266.90634941000002</v>
      </c>
      <c r="E45" s="1298">
        <v>789.18464598000003</v>
      </c>
      <c r="F45" s="1298">
        <f t="shared" si="1"/>
        <v>223.74921326999998</v>
      </c>
      <c r="G45" s="1298">
        <v>98.692249349999997</v>
      </c>
      <c r="H45" s="1298">
        <v>125.05696392</v>
      </c>
    </row>
    <row r="46" spans="1:8" ht="13.2">
      <c r="A46" s="1110" t="s">
        <v>26</v>
      </c>
      <c r="B46" s="1298">
        <v>1377.6657185700001</v>
      </c>
      <c r="C46" s="1298">
        <f t="shared" si="0"/>
        <v>1155.1435519900001</v>
      </c>
      <c r="D46" s="1298">
        <v>238.79699103000002</v>
      </c>
      <c r="E46" s="1298">
        <v>916.34656096000003</v>
      </c>
      <c r="F46" s="1298">
        <f t="shared" si="1"/>
        <v>222.52216658</v>
      </c>
      <c r="G46" s="1298">
        <v>96.601908330000001</v>
      </c>
      <c r="H46" s="1298">
        <v>125.92025825</v>
      </c>
    </row>
    <row r="47" spans="1:8" ht="13.2">
      <c r="A47" s="1110" t="s">
        <v>27</v>
      </c>
      <c r="B47" s="1298">
        <v>1594.2290979200002</v>
      </c>
      <c r="C47" s="1298">
        <f t="shared" si="0"/>
        <v>1184.25900555</v>
      </c>
      <c r="D47" s="1298">
        <v>270.14183599</v>
      </c>
      <c r="E47" s="1298">
        <v>914.11716955999998</v>
      </c>
      <c r="F47" s="1298">
        <f t="shared" si="1"/>
        <v>409.97009237000003</v>
      </c>
      <c r="G47" s="1298">
        <v>195.47908657000002</v>
      </c>
      <c r="H47" s="1298">
        <v>214.49100580000001</v>
      </c>
    </row>
    <row r="48" spans="1:8" ht="13.2">
      <c r="A48" s="1110" t="s">
        <v>28</v>
      </c>
      <c r="B48" s="1298">
        <v>1572.4575460900001</v>
      </c>
      <c r="C48" s="1298">
        <f t="shared" si="0"/>
        <v>1357.1091158199999</v>
      </c>
      <c r="D48" s="1298">
        <v>280.14899407000001</v>
      </c>
      <c r="E48" s="1298">
        <v>1076.9601217499999</v>
      </c>
      <c r="F48" s="1298">
        <f t="shared" si="1"/>
        <v>215.34843027000002</v>
      </c>
      <c r="G48" s="1298">
        <v>63.529461219999995</v>
      </c>
      <c r="H48" s="1298">
        <v>151.81896905000002</v>
      </c>
    </row>
    <row r="49" spans="1:8" ht="13.2">
      <c r="A49" s="1110" t="s">
        <v>29</v>
      </c>
      <c r="B49" s="1298">
        <v>1766.26174657</v>
      </c>
      <c r="C49" s="1298">
        <f t="shared" si="0"/>
        <v>1541.7286986899999</v>
      </c>
      <c r="D49" s="1298">
        <v>315.63430894999999</v>
      </c>
      <c r="E49" s="1298">
        <v>1226.09438974</v>
      </c>
      <c r="F49" s="1298">
        <f t="shared" si="1"/>
        <v>224.53304788</v>
      </c>
      <c r="G49" s="1298">
        <v>92.731937909999999</v>
      </c>
      <c r="H49" s="1298">
        <v>131.80110997</v>
      </c>
    </row>
    <row r="50" spans="1:8" ht="13.2">
      <c r="A50" s="1110" t="s">
        <v>2892</v>
      </c>
      <c r="B50" s="1298"/>
      <c r="C50" s="1298"/>
      <c r="D50" s="1298"/>
      <c r="E50" s="1298"/>
      <c r="F50" s="1298"/>
      <c r="G50" s="1298"/>
      <c r="H50" s="1298"/>
    </row>
    <row r="51" spans="1:8" ht="13.2">
      <c r="A51" s="1110" t="s">
        <v>18</v>
      </c>
      <c r="B51" s="1298">
        <v>1227.7738455000001</v>
      </c>
      <c r="C51" s="1298">
        <f t="shared" si="0"/>
        <v>1076.1017911700001</v>
      </c>
      <c r="D51" s="1298">
        <v>279.05039562999997</v>
      </c>
      <c r="E51" s="1298">
        <v>797.05139554000004</v>
      </c>
      <c r="F51" s="1298">
        <f t="shared" si="1"/>
        <v>151.67205432999998</v>
      </c>
      <c r="G51" s="1298">
        <v>85.745382960000001</v>
      </c>
      <c r="H51" s="1298">
        <v>65.926671369999994</v>
      </c>
    </row>
    <row r="52" spans="1:8" ht="13.2">
      <c r="A52" s="1110" t="s">
        <v>19</v>
      </c>
      <c r="B52" s="1298">
        <v>1460.8511849499998</v>
      </c>
      <c r="C52" s="1298">
        <f t="shared" si="0"/>
        <v>1317.8380996999999</v>
      </c>
      <c r="D52" s="1298">
        <v>360.83667399000001</v>
      </c>
      <c r="E52" s="1298">
        <v>957.00142571000003</v>
      </c>
      <c r="F52" s="1298">
        <f t="shared" si="1"/>
        <v>143.01308524999999</v>
      </c>
      <c r="G52" s="1298">
        <v>107.20484316999999</v>
      </c>
      <c r="H52" s="1298">
        <v>35.808242080000007</v>
      </c>
    </row>
    <row r="53" spans="1:8" ht="13.2">
      <c r="A53" s="1110" t="s">
        <v>20</v>
      </c>
      <c r="B53" s="1298">
        <v>1474.8802209600001</v>
      </c>
      <c r="C53" s="1298">
        <f t="shared" si="0"/>
        <v>1260.46097556</v>
      </c>
      <c r="D53" s="1298">
        <v>279.54624842999999</v>
      </c>
      <c r="E53" s="1298">
        <v>980.91472712999996</v>
      </c>
      <c r="F53" s="1298">
        <f t="shared" si="1"/>
        <v>214.41924539999997</v>
      </c>
      <c r="G53" s="1298">
        <v>71.433150569999995</v>
      </c>
      <c r="H53" s="1298">
        <v>142.98609482999998</v>
      </c>
    </row>
    <row r="54" spans="1:8" ht="13.2">
      <c r="A54" s="1110" t="s">
        <v>21</v>
      </c>
      <c r="B54" s="1298">
        <v>1659.43432702</v>
      </c>
      <c r="C54" s="1298">
        <f t="shared" si="0"/>
        <v>1462.71950027</v>
      </c>
      <c r="D54" s="1298">
        <v>395.05655831000001</v>
      </c>
      <c r="E54" s="1298">
        <v>1067.6629419599999</v>
      </c>
      <c r="F54" s="1298">
        <f t="shared" si="1"/>
        <v>196.71482674999999</v>
      </c>
      <c r="G54" s="1298">
        <v>91.517134309999989</v>
      </c>
      <c r="H54" s="1298">
        <v>105.19769244</v>
      </c>
    </row>
    <row r="55" spans="1:8" ht="13.2">
      <c r="A55" s="1110" t="s">
        <v>22</v>
      </c>
      <c r="B55" s="1298">
        <v>1501.8484075199999</v>
      </c>
      <c r="C55" s="1298">
        <f t="shared" si="0"/>
        <v>1335.8977455500001</v>
      </c>
      <c r="D55" s="1298">
        <v>311.91072717000003</v>
      </c>
      <c r="E55" s="1298">
        <v>1023.98701838</v>
      </c>
      <c r="F55" s="1298">
        <f t="shared" si="1"/>
        <v>165.95066197</v>
      </c>
      <c r="G55" s="1298">
        <v>119.9852173</v>
      </c>
      <c r="H55" s="1298">
        <v>45.965444669999997</v>
      </c>
    </row>
    <row r="56" spans="1:8" ht="13.2">
      <c r="A56" s="1110" t="s">
        <v>23</v>
      </c>
      <c r="B56" s="1298">
        <v>1870.49859997</v>
      </c>
      <c r="C56" s="1298">
        <f t="shared" si="0"/>
        <v>1608.3510740500001</v>
      </c>
      <c r="D56" s="1298">
        <v>448.34257563</v>
      </c>
      <c r="E56" s="1298">
        <v>1160.00849842</v>
      </c>
      <c r="F56" s="1298">
        <f t="shared" si="1"/>
        <v>262.14752592000002</v>
      </c>
      <c r="G56" s="1298">
        <v>148.26522752</v>
      </c>
      <c r="H56" s="1298">
        <v>113.8822984</v>
      </c>
    </row>
    <row r="57" spans="1:8" ht="13.2">
      <c r="A57" s="1110" t="s">
        <v>24</v>
      </c>
      <c r="B57" s="1298">
        <v>1572.91523678259</v>
      </c>
      <c r="C57" s="1298">
        <f t="shared" si="0"/>
        <v>1305.0248279699999</v>
      </c>
      <c r="D57" s="1298">
        <v>344.33448549000002</v>
      </c>
      <c r="E57" s="1298">
        <v>960.69034248000003</v>
      </c>
      <c r="F57" s="1298">
        <f t="shared" si="1"/>
        <v>267.89040881259302</v>
      </c>
      <c r="G57" s="1298">
        <v>116.604283262593</v>
      </c>
      <c r="H57" s="1298">
        <v>151.28612555000001</v>
      </c>
    </row>
    <row r="58" spans="1:8" ht="13.2">
      <c r="A58" s="1110" t="s">
        <v>25</v>
      </c>
      <c r="B58" s="1298">
        <v>1682.8814617999999</v>
      </c>
      <c r="C58" s="1298">
        <v>1496.1297180400002</v>
      </c>
      <c r="D58" s="1298">
        <v>381.15441183000002</v>
      </c>
      <c r="E58" s="1298">
        <v>1114.9753062100001</v>
      </c>
      <c r="F58" s="1298">
        <v>186.75174376000001</v>
      </c>
      <c r="G58" s="1298">
        <v>82.224719410000006</v>
      </c>
      <c r="H58" s="1298">
        <v>104.52702435</v>
      </c>
    </row>
    <row r="59" spans="1:8" ht="13.2">
      <c r="A59" s="1110" t="s">
        <v>26</v>
      </c>
      <c r="B59" s="1298">
        <v>1956.8583000000001</v>
      </c>
      <c r="C59" s="1298">
        <v>1659.1293000000001</v>
      </c>
      <c r="D59" s="1298">
        <v>450.25329999999997</v>
      </c>
      <c r="E59" s="1298">
        <v>1208.876</v>
      </c>
      <c r="F59" s="1298">
        <v>297.72899999999998</v>
      </c>
      <c r="G59" s="1298">
        <v>88.600999999999999</v>
      </c>
      <c r="H59" s="1298">
        <v>209.12799999999999</v>
      </c>
    </row>
    <row r="60" spans="1:8" ht="13.2">
      <c r="A60" s="1110" t="s">
        <v>27</v>
      </c>
      <c r="B60" s="1298">
        <f>C60+F60</f>
        <v>1965.75709551</v>
      </c>
      <c r="C60" s="1298">
        <f>D60+E60</f>
        <v>1641.5784257400001</v>
      </c>
      <c r="D60" s="1298">
        <v>484.11466564</v>
      </c>
      <c r="E60" s="1298">
        <v>1157.4637601000002</v>
      </c>
      <c r="F60" s="1298">
        <f>G60+H60</f>
        <v>324.17866977</v>
      </c>
      <c r="G60" s="1298">
        <v>77.288710860000009</v>
      </c>
      <c r="H60" s="1298">
        <v>246.88995890999999</v>
      </c>
    </row>
    <row r="61" spans="1:8" ht="13.2">
      <c r="A61" s="1110" t="s">
        <v>28</v>
      </c>
      <c r="B61" s="1298">
        <f>C61+F61</f>
        <v>2034.6283445845404</v>
      </c>
      <c r="C61" s="1298">
        <f>D61+E61</f>
        <v>1696.85331787</v>
      </c>
      <c r="D61" s="1298">
        <v>389.30537876</v>
      </c>
      <c r="E61" s="1298">
        <v>1307.54793911</v>
      </c>
      <c r="F61" s="1298">
        <f>G61+H61</f>
        <v>337.7750267145405</v>
      </c>
      <c r="G61" s="1298">
        <v>74.872493234540499</v>
      </c>
      <c r="H61" s="1298">
        <v>262.90253347999999</v>
      </c>
    </row>
    <row r="62" spans="1:8" ht="13.2">
      <c r="A62" s="1110" t="s">
        <v>29</v>
      </c>
      <c r="B62" s="1298">
        <f>C62+F62</f>
        <v>2250.9269999999997</v>
      </c>
      <c r="C62" s="1298">
        <f>D62+E62</f>
        <v>1789.5349999999999</v>
      </c>
      <c r="D62" s="1298">
        <v>472.69499999999999</v>
      </c>
      <c r="E62" s="1298">
        <v>1316.84</v>
      </c>
      <c r="F62" s="1298">
        <f>G62+H62</f>
        <v>461.392</v>
      </c>
      <c r="G62" s="1298">
        <v>134.339</v>
      </c>
      <c r="H62" s="1298">
        <v>327.053</v>
      </c>
    </row>
    <row r="63" spans="1:8" ht="13.2">
      <c r="A63" s="1110" t="s">
        <v>3605</v>
      </c>
      <c r="B63" s="1298"/>
      <c r="C63" s="1298"/>
      <c r="D63" s="1298"/>
      <c r="E63" s="1298"/>
      <c r="F63" s="1298"/>
      <c r="G63" s="1298"/>
      <c r="H63" s="1298"/>
    </row>
    <row r="64" spans="1:8" ht="13.2">
      <c r="A64" s="1110" t="s">
        <v>18</v>
      </c>
      <c r="B64" s="1298">
        <f>C64+F64</f>
        <v>1561.8040000000001</v>
      </c>
      <c r="C64" s="1298">
        <f>D64+E64</f>
        <v>1394.992</v>
      </c>
      <c r="D64" s="1298">
        <v>335.71100000000001</v>
      </c>
      <c r="E64" s="1298">
        <v>1059.2809999999999</v>
      </c>
      <c r="F64" s="1298">
        <f>G64+H64</f>
        <v>166.81200000000001</v>
      </c>
      <c r="G64" s="1298">
        <v>46.825000000000003</v>
      </c>
      <c r="H64" s="1298">
        <v>119.98699999999999</v>
      </c>
    </row>
    <row r="65" spans="1:24" ht="13.2">
      <c r="A65" s="1110" t="s">
        <v>19</v>
      </c>
      <c r="B65" s="1298">
        <f>C65+F65</f>
        <v>1603.5799999999997</v>
      </c>
      <c r="C65" s="1298">
        <f>D65+E65</f>
        <v>1480.5949999999998</v>
      </c>
      <c r="D65" s="1298">
        <v>392.43700000000001</v>
      </c>
      <c r="E65" s="1298">
        <v>1088.1579999999999</v>
      </c>
      <c r="F65" s="1298">
        <f>G65+H65</f>
        <v>122.98499999999999</v>
      </c>
      <c r="G65" s="1298">
        <v>42.26</v>
      </c>
      <c r="H65" s="1298">
        <v>80.724999999999994</v>
      </c>
    </row>
    <row r="66" spans="1:24" ht="13.2">
      <c r="A66" s="1110" t="s">
        <v>20</v>
      </c>
      <c r="B66" s="1298">
        <v>1915.2670000000001</v>
      </c>
      <c r="C66" s="1298">
        <v>1705.2260000000001</v>
      </c>
      <c r="D66" s="1298">
        <v>412.50900000000001</v>
      </c>
      <c r="E66" s="1298">
        <v>1292.7170000000001</v>
      </c>
      <c r="F66" s="1298">
        <v>210.041</v>
      </c>
      <c r="G66" s="1298">
        <v>83.227999999999994</v>
      </c>
      <c r="H66" s="1298">
        <v>126.813</v>
      </c>
    </row>
    <row r="67" spans="1:24" ht="13.2">
      <c r="A67" s="1110" t="s">
        <v>21</v>
      </c>
      <c r="B67" s="1298">
        <v>1936.6399999999999</v>
      </c>
      <c r="C67" s="1298">
        <v>1774.7849999999999</v>
      </c>
      <c r="D67" s="1298">
        <v>450.92700000000002</v>
      </c>
      <c r="E67" s="1298">
        <v>1323.8579999999999</v>
      </c>
      <c r="F67" s="1298">
        <v>161.85500000000002</v>
      </c>
      <c r="G67" s="1298">
        <v>77.403000000000006</v>
      </c>
      <c r="H67" s="1298">
        <v>84.451999999999998</v>
      </c>
    </row>
    <row r="68" spans="1:24" ht="13.2">
      <c r="A68" s="1110" t="s">
        <v>22</v>
      </c>
      <c r="B68" s="1298">
        <v>2409.5239999999999</v>
      </c>
      <c r="C68" s="1298">
        <v>2082.1059999999998</v>
      </c>
      <c r="D68" s="1298">
        <v>442.12599999999998</v>
      </c>
      <c r="E68" s="1298">
        <v>1639.98</v>
      </c>
      <c r="F68" s="1298">
        <v>327.41800000000001</v>
      </c>
      <c r="G68" s="1298">
        <v>85.481999999999999</v>
      </c>
      <c r="H68" s="1298">
        <v>241.93600000000001</v>
      </c>
    </row>
    <row r="69" spans="1:24" ht="13.2">
      <c r="A69" s="1110" t="s">
        <v>23</v>
      </c>
      <c r="B69" s="1298">
        <v>2317.85</v>
      </c>
      <c r="C69" s="1298">
        <v>1871.067</v>
      </c>
      <c r="D69" s="1298">
        <v>472.23</v>
      </c>
      <c r="E69" s="1298">
        <v>1398.837</v>
      </c>
      <c r="F69" s="1298">
        <v>446.78299999999996</v>
      </c>
      <c r="G69" s="1298">
        <v>98.978999999999999</v>
      </c>
      <c r="H69" s="1298">
        <v>347.80399999999997</v>
      </c>
    </row>
    <row r="70" spans="1:24" ht="13.2">
      <c r="A70" s="1110" t="s">
        <v>24</v>
      </c>
      <c r="B70" s="1298">
        <v>2368.7939999999999</v>
      </c>
      <c r="C70" s="1298">
        <v>2122.7370000000001</v>
      </c>
      <c r="D70" s="1298">
        <v>507.44400000000002</v>
      </c>
      <c r="E70" s="1298">
        <v>1615.2929999999999</v>
      </c>
      <c r="F70" s="1298">
        <v>246.05699999999999</v>
      </c>
      <c r="G70" s="1298">
        <v>72.923000000000002</v>
      </c>
      <c r="H70" s="1298">
        <v>173.13399999999999</v>
      </c>
    </row>
    <row r="71" spans="1:24" ht="13.2">
      <c r="A71" s="1110" t="s">
        <v>25</v>
      </c>
      <c r="B71" s="1298">
        <v>2364.8179999999998</v>
      </c>
      <c r="C71" s="1298">
        <v>2128.4989999999998</v>
      </c>
      <c r="D71" s="1298">
        <v>443.00799999999998</v>
      </c>
      <c r="E71" s="1298">
        <v>1685.491</v>
      </c>
      <c r="F71" s="1298">
        <v>236.31899999999999</v>
      </c>
      <c r="G71" s="1298">
        <v>112.61799999999999</v>
      </c>
      <c r="H71" s="1298">
        <v>123.70099999999999</v>
      </c>
    </row>
    <row r="72" spans="1:24" ht="13.2">
      <c r="A72" s="1110" t="s">
        <v>26</v>
      </c>
      <c r="B72" s="1298">
        <v>2387.65</v>
      </c>
      <c r="C72" s="1298">
        <v>1981.6969999999999</v>
      </c>
      <c r="D72" s="1298">
        <v>450.84699999999998</v>
      </c>
      <c r="E72" s="1298">
        <v>1530.85</v>
      </c>
      <c r="F72" s="1298">
        <v>405.95300000000003</v>
      </c>
      <c r="G72" s="1298">
        <v>149.20400000000001</v>
      </c>
      <c r="H72" s="1298">
        <v>256.74900000000002</v>
      </c>
    </row>
    <row r="73" spans="1:24" ht="13.2">
      <c r="A73" s="1110" t="s">
        <v>27</v>
      </c>
      <c r="B73" s="1298">
        <v>2700.509</v>
      </c>
      <c r="C73" s="1298">
        <v>2196.0439999999999</v>
      </c>
      <c r="D73" s="1298">
        <v>505.69099999999997</v>
      </c>
      <c r="E73" s="1298">
        <v>1690.3530000000001</v>
      </c>
      <c r="F73" s="1298">
        <v>504.46499999999997</v>
      </c>
      <c r="G73" s="1298">
        <v>114.435</v>
      </c>
      <c r="H73" s="1298">
        <v>390.03</v>
      </c>
    </row>
    <row r="74" spans="1:24" ht="13.2">
      <c r="A74" s="1110" t="s">
        <v>28</v>
      </c>
      <c r="B74" s="1298">
        <v>2449.4319999999998</v>
      </c>
      <c r="C74" s="1298">
        <v>2213.991</v>
      </c>
      <c r="D74" s="1298">
        <v>472.77</v>
      </c>
      <c r="E74" s="1298">
        <v>1741.221</v>
      </c>
      <c r="F74" s="1298">
        <v>235.441</v>
      </c>
      <c r="G74" s="1298">
        <v>95.825999999999993</v>
      </c>
      <c r="H74" s="1298">
        <v>139.61500000000001</v>
      </c>
    </row>
    <row r="75" spans="1:24" ht="13.2">
      <c r="A75" s="1110" t="s">
        <v>29</v>
      </c>
      <c r="B75" s="1298">
        <v>2813.788</v>
      </c>
      <c r="C75" s="1298">
        <v>2564.8110000000001</v>
      </c>
      <c r="D75" s="1298">
        <v>602.07000000000005</v>
      </c>
      <c r="E75" s="1298">
        <v>1962.741</v>
      </c>
      <c r="F75" s="1298">
        <v>248.97700000000003</v>
      </c>
      <c r="G75" s="1298">
        <v>108.498</v>
      </c>
      <c r="H75" s="1298">
        <v>140.47900000000001</v>
      </c>
    </row>
    <row r="76" spans="1:24" ht="13.2">
      <c r="A76" s="1110" t="s">
        <v>4086</v>
      </c>
      <c r="B76" s="1298"/>
      <c r="C76" s="1298"/>
      <c r="D76" s="1298"/>
      <c r="E76" s="1298"/>
      <c r="F76" s="1298"/>
      <c r="G76" s="1298"/>
      <c r="H76" s="1298"/>
    </row>
    <row r="77" spans="1:24" ht="13.2">
      <c r="A77" s="1110" t="s">
        <v>18</v>
      </c>
      <c r="B77" s="1298">
        <v>2482.4490000000001</v>
      </c>
      <c r="C77" s="1298">
        <v>1935.019</v>
      </c>
      <c r="D77" s="1298">
        <v>423.358</v>
      </c>
      <c r="E77" s="1298">
        <v>1511.6610000000001</v>
      </c>
      <c r="F77" s="1298">
        <v>547.43000000000006</v>
      </c>
      <c r="G77" s="1298">
        <v>65.022000000000006</v>
      </c>
      <c r="H77" s="1298">
        <v>482.40800000000002</v>
      </c>
    </row>
    <row r="78" spans="1:24" ht="13.2">
      <c r="A78" s="1117" t="s">
        <v>19</v>
      </c>
      <c r="B78" s="1300">
        <v>2390.886</v>
      </c>
      <c r="C78" s="1298">
        <v>2209.4929999999999</v>
      </c>
      <c r="D78" s="1300">
        <v>469.57299999999998</v>
      </c>
      <c r="E78" s="1300">
        <v>1739.92</v>
      </c>
      <c r="F78" s="1298">
        <v>181.393</v>
      </c>
      <c r="G78" s="1300">
        <v>84.451999999999998</v>
      </c>
      <c r="H78" s="1300">
        <v>96.941000000000003</v>
      </c>
    </row>
    <row r="79" spans="1:24" s="1122" customFormat="1" ht="17.25" customHeight="1">
      <c r="A79" s="2319" t="s">
        <v>3084</v>
      </c>
      <c r="B79" s="2319"/>
      <c r="C79" s="2319"/>
      <c r="D79" s="2319"/>
      <c r="E79" s="2319"/>
      <c r="F79" s="2319"/>
      <c r="G79" s="2319"/>
      <c r="H79" s="2319"/>
      <c r="I79" s="1121"/>
      <c r="J79" s="1121"/>
      <c r="K79" s="1121"/>
      <c r="L79" s="1121"/>
      <c r="M79" s="1121"/>
      <c r="N79" s="1121"/>
      <c r="O79" s="1121"/>
      <c r="P79" s="1121"/>
      <c r="Q79" s="1121"/>
      <c r="R79" s="1121"/>
      <c r="S79" s="1121"/>
      <c r="T79" s="1121"/>
      <c r="U79" s="1121"/>
      <c r="V79" s="1121"/>
      <c r="W79" s="1121"/>
      <c r="X79" s="1121"/>
    </row>
    <row r="80" spans="1:24" s="1122" customFormat="1" ht="13.5" customHeight="1">
      <c r="A80" s="2320"/>
      <c r="B80" s="2320"/>
      <c r="C80" s="2320"/>
      <c r="D80" s="2320"/>
      <c r="E80" s="2320"/>
      <c r="F80" s="2320"/>
      <c r="G80" s="2320"/>
      <c r="H80" s="2320"/>
      <c r="I80" s="2320"/>
      <c r="J80" s="2320"/>
      <c r="K80" s="2320"/>
      <c r="L80" s="2320"/>
      <c r="M80" s="2320"/>
      <c r="N80" s="2320"/>
      <c r="O80" s="2320"/>
      <c r="P80" s="2320"/>
      <c r="Q80" s="2320"/>
      <c r="R80" s="2320"/>
      <c r="S80" s="2320"/>
      <c r="T80" s="2320"/>
      <c r="U80" s="2320"/>
      <c r="V80" s="2320"/>
      <c r="W80" s="2320"/>
      <c r="X80" s="2320"/>
    </row>
    <row r="81" spans="1:24" s="1122" customFormat="1" ht="13.5" customHeight="1">
      <c r="A81" s="2318"/>
      <c r="B81" s="2318"/>
      <c r="C81" s="2318"/>
      <c r="D81" s="2318"/>
      <c r="E81" s="2318"/>
      <c r="F81" s="2318"/>
      <c r="G81" s="2318"/>
      <c r="H81" s="2318"/>
      <c r="I81" s="2318"/>
      <c r="J81" s="2318"/>
      <c r="K81" s="2318"/>
      <c r="L81" s="2318"/>
      <c r="M81" s="2318"/>
      <c r="N81" s="2318"/>
      <c r="O81" s="2318"/>
      <c r="P81" s="2318"/>
      <c r="Q81" s="2318"/>
      <c r="R81" s="2318"/>
      <c r="S81" s="2318"/>
      <c r="T81" s="2318"/>
      <c r="U81" s="2318"/>
      <c r="V81" s="2318"/>
      <c r="W81" s="2318"/>
      <c r="X81" s="2318"/>
    </row>
    <row r="82" spans="1:24" ht="13.2"/>
    <row r="83" spans="1:24" ht="13.2"/>
    <row r="84" spans="1:24" ht="13.2">
      <c r="E84" s="1109"/>
    </row>
    <row r="85" spans="1:24" ht="13.2"/>
    <row r="86" spans="1:24" ht="13.2"/>
    <row r="87" spans="1:24" ht="13.2"/>
    <row r="88" spans="1:24" ht="13.2"/>
    <row r="89" spans="1:24" ht="13.2"/>
    <row r="90" spans="1:24" ht="13.2"/>
    <row r="91" spans="1:24" ht="13.2"/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</sheetData>
  <mergeCells count="14">
    <mergeCell ref="A81:X81"/>
    <mergeCell ref="A9:A10"/>
    <mergeCell ref="B9:B10"/>
    <mergeCell ref="C9:E9"/>
    <mergeCell ref="F9:H9"/>
    <mergeCell ref="A79:H79"/>
    <mergeCell ref="A80:X80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5"/>
  <sheetViews>
    <sheetView showGridLines="0" view="pageBreakPreview" zoomScale="70" zoomScaleSheetLayoutView="70" workbookViewId="0">
      <pane xSplit="1" ySplit="19" topLeftCell="B254" activePane="bottomRight" state="frozen"/>
      <selection activeCell="G291" sqref="G291"/>
      <selection pane="topRight" activeCell="G291" sqref="G291"/>
      <selection pane="bottomLeft" activeCell="G291" sqref="G291"/>
      <selection pane="bottomRight" activeCell="Q278" sqref="Q278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3.88671875" style="59" customWidth="1"/>
    <col min="9" max="10" width="10.5546875" style="59" bestFit="1" customWidth="1"/>
    <col min="11" max="11" width="11.6640625" style="59" bestFit="1" customWidth="1"/>
    <col min="12" max="12" width="11.88671875" style="59" bestFit="1" customWidth="1"/>
    <col min="13" max="13" width="11.6640625" style="59" bestFit="1" customWidth="1"/>
    <col min="14" max="14" width="9.109375" style="59" customWidth="1"/>
    <col min="15" max="15" width="11.5546875" style="59" customWidth="1"/>
    <col min="16" max="16" width="10.44140625" style="59" customWidth="1"/>
    <col min="17" max="17" width="11.6640625" style="59" bestFit="1" customWidth="1"/>
    <col min="18" max="18" width="11.6640625" style="59" customWidth="1"/>
    <col min="19" max="19" width="12.33203125" style="59" customWidth="1"/>
    <col min="20" max="20" width="11.109375" style="59" customWidth="1"/>
    <col min="21" max="21" width="8.88671875" style="59"/>
    <col min="22" max="22" width="14.109375" style="59" customWidth="1"/>
    <col min="23" max="23" width="8.88671875" style="58"/>
    <col min="24" max="24" width="11.88671875" style="59" customWidth="1"/>
    <col min="25" max="25" width="13.33203125" style="59" customWidth="1"/>
    <col min="26" max="26" width="11.88671875" style="59" customWidth="1"/>
    <col min="27" max="27" width="8.88671875" style="61"/>
    <col min="28" max="28" width="12.6640625" style="61" customWidth="1"/>
    <col min="29" max="29" width="8.5546875" style="61" customWidth="1"/>
    <col min="30" max="30" width="11.88671875" style="61" customWidth="1"/>
    <col min="31" max="31" width="8.88671875" style="61"/>
    <col min="32" max="32" width="10" style="61" customWidth="1"/>
    <col min="33" max="33" width="9.33203125" style="61" bestFit="1" customWidth="1"/>
    <col min="34" max="34" width="12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48" t="s">
        <v>2800</v>
      </c>
      <c r="B2" s="2348"/>
      <c r="C2" s="2348"/>
      <c r="D2" s="2348"/>
      <c r="E2" s="2348"/>
      <c r="F2" s="2348"/>
      <c r="G2" s="2348"/>
      <c r="H2" s="2348"/>
      <c r="I2" s="2348"/>
      <c r="J2" s="2348"/>
      <c r="K2" s="2348"/>
      <c r="L2" s="2348"/>
      <c r="M2" s="2348"/>
      <c r="N2" s="2348"/>
      <c r="O2" s="2348"/>
      <c r="P2" s="2348"/>
      <c r="Q2" s="2348"/>
      <c r="R2" s="2348"/>
      <c r="S2" s="2348"/>
      <c r="T2" s="2348"/>
      <c r="U2" s="2348"/>
      <c r="V2" s="2348"/>
      <c r="W2" s="2348"/>
      <c r="X2" s="2348"/>
      <c r="Y2" s="2348"/>
      <c r="Z2" s="2348"/>
      <c r="AA2" s="2348"/>
      <c r="AB2" s="2348"/>
      <c r="AC2" s="2348"/>
      <c r="AD2" s="2348"/>
      <c r="AE2" s="2348"/>
      <c r="AF2" s="2348"/>
      <c r="AG2" s="2348"/>
      <c r="AH2" s="2348"/>
      <c r="AI2" s="2348"/>
    </row>
    <row r="3" spans="1:82" ht="38.25" customHeight="1">
      <c r="A3" s="2349" t="s">
        <v>2801</v>
      </c>
      <c r="B3" s="2349"/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349"/>
      <c r="S3" s="2349"/>
      <c r="T3" s="2349"/>
      <c r="U3" s="2349"/>
      <c r="V3" s="2349"/>
      <c r="W3" s="2349"/>
      <c r="X3" s="2349"/>
      <c r="Y3" s="2349"/>
      <c r="Z3" s="2349"/>
      <c r="AA3" s="2349"/>
      <c r="AB3" s="2349"/>
      <c r="AC3" s="2349"/>
      <c r="AD3" s="2349"/>
      <c r="AE3" s="2349"/>
      <c r="AF3" s="2349"/>
      <c r="AG3" s="2349"/>
      <c r="AH3" s="2349"/>
      <c r="AI3" s="2349"/>
    </row>
    <row r="4" spans="1:82" ht="15.75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</row>
    <row r="5" spans="1:82" ht="15.75" customHeight="1">
      <c r="A5" s="2350" t="s">
        <v>8</v>
      </c>
      <c r="B5" s="2350"/>
      <c r="C5" s="2350"/>
      <c r="D5" s="2350"/>
      <c r="E5" s="2350"/>
      <c r="F5" s="2350"/>
      <c r="G5" s="2350"/>
      <c r="H5" s="2350"/>
      <c r="I5" s="2350"/>
      <c r="J5" s="2350"/>
      <c r="K5" s="2350"/>
      <c r="L5" s="2350"/>
      <c r="M5" s="2350"/>
      <c r="N5" s="2350"/>
      <c r="O5" s="2350"/>
      <c r="P5" s="2350"/>
      <c r="Q5" s="2350"/>
      <c r="R5" s="2350"/>
      <c r="S5" s="2350"/>
      <c r="T5" s="2350"/>
      <c r="U5" s="2350"/>
      <c r="V5" s="2350"/>
      <c r="W5" s="2350"/>
      <c r="X5" s="2350"/>
      <c r="Y5" s="2350"/>
      <c r="Z5" s="2350"/>
      <c r="AA5" s="2350"/>
      <c r="AB5" s="2350"/>
      <c r="AC5" s="2350"/>
      <c r="AD5" s="2350"/>
      <c r="AE5" s="2350"/>
      <c r="AF5" s="2350"/>
      <c r="AG5" s="2350"/>
      <c r="AH5" s="2350"/>
      <c r="AI5" s="2350"/>
    </row>
    <row r="6" spans="1:82" s="146" customFormat="1" ht="19.5" customHeight="1">
      <c r="A6" s="2336" t="s">
        <v>182</v>
      </c>
      <c r="B6" s="2345" t="s">
        <v>2490</v>
      </c>
      <c r="C6" s="2346"/>
      <c r="D6" s="2346"/>
      <c r="E6" s="2346"/>
      <c r="F6" s="2346"/>
      <c r="G6" s="2346"/>
      <c r="H6" s="2346"/>
      <c r="I6" s="2346"/>
      <c r="J6" s="2346"/>
      <c r="K6" s="2346"/>
      <c r="L6" s="2346"/>
      <c r="M6" s="2346"/>
      <c r="N6" s="2346"/>
      <c r="O6" s="2346"/>
      <c r="P6" s="2346"/>
      <c r="Q6" s="2346"/>
      <c r="R6" s="2346"/>
      <c r="S6" s="2346"/>
      <c r="T6" s="2346"/>
      <c r="U6" s="2346"/>
      <c r="V6" s="2346"/>
      <c r="W6" s="2346"/>
      <c r="X6" s="2346"/>
      <c r="Y6" s="2346"/>
      <c r="Z6" s="2346"/>
      <c r="AA6" s="2346"/>
      <c r="AB6" s="2346"/>
      <c r="AC6" s="2346"/>
      <c r="AD6" s="2346"/>
      <c r="AE6" s="2346"/>
      <c r="AF6" s="2346"/>
      <c r="AG6" s="2346"/>
      <c r="AH6" s="2347"/>
      <c r="AI6" s="2336" t="s">
        <v>165</v>
      </c>
      <c r="CC6" s="99"/>
      <c r="CD6" s="351"/>
    </row>
    <row r="7" spans="1:82" s="146" customFormat="1" ht="13.95" customHeight="1">
      <c r="A7" s="2336"/>
      <c r="B7" s="2337" t="s">
        <v>155</v>
      </c>
      <c r="C7" s="2337" t="s">
        <v>144</v>
      </c>
      <c r="D7" s="2337"/>
      <c r="E7" s="2336" t="s">
        <v>166</v>
      </c>
      <c r="F7" s="2336"/>
      <c r="G7" s="2336" t="s">
        <v>2650</v>
      </c>
      <c r="H7" s="2336"/>
      <c r="I7" s="2336" t="s">
        <v>2435</v>
      </c>
      <c r="J7" s="2336"/>
      <c r="K7" s="2340" t="s">
        <v>2436</v>
      </c>
      <c r="L7" s="2341"/>
      <c r="M7" s="2336" t="s">
        <v>167</v>
      </c>
      <c r="N7" s="2336"/>
      <c r="O7" s="2340" t="s">
        <v>2437</v>
      </c>
      <c r="P7" s="2341"/>
      <c r="Q7" s="2337" t="s">
        <v>168</v>
      </c>
      <c r="R7" s="2337"/>
      <c r="S7" s="2340" t="s">
        <v>3601</v>
      </c>
      <c r="T7" s="2341"/>
      <c r="U7" s="2336" t="s">
        <v>2651</v>
      </c>
      <c r="V7" s="2336"/>
      <c r="W7" s="2336" t="s">
        <v>2652</v>
      </c>
      <c r="X7" s="2336"/>
      <c r="Y7" s="2337" t="s">
        <v>169</v>
      </c>
      <c r="Z7" s="2337"/>
      <c r="AA7" s="2344" t="s">
        <v>170</v>
      </c>
      <c r="AB7" s="2344"/>
      <c r="AC7" s="2344" t="s">
        <v>2653</v>
      </c>
      <c r="AD7" s="2344"/>
      <c r="AE7" s="2338" t="s">
        <v>171</v>
      </c>
      <c r="AF7" s="2338"/>
      <c r="AG7" s="2338" t="s">
        <v>1068</v>
      </c>
      <c r="AH7" s="2339"/>
      <c r="AI7" s="2336"/>
      <c r="CD7" s="354"/>
    </row>
    <row r="8" spans="1:82" s="146" customFormat="1" ht="114" customHeight="1">
      <c r="A8" s="2336"/>
      <c r="B8" s="2337"/>
      <c r="C8" s="2337"/>
      <c r="D8" s="2337"/>
      <c r="E8" s="2336"/>
      <c r="F8" s="2336"/>
      <c r="G8" s="2336"/>
      <c r="H8" s="2336"/>
      <c r="I8" s="2336"/>
      <c r="J8" s="2336"/>
      <c r="K8" s="2342"/>
      <c r="L8" s="2343"/>
      <c r="M8" s="2336"/>
      <c r="N8" s="2336"/>
      <c r="O8" s="2342"/>
      <c r="P8" s="2343"/>
      <c r="Q8" s="2337"/>
      <c r="R8" s="2337"/>
      <c r="S8" s="2342"/>
      <c r="T8" s="2343"/>
      <c r="U8" s="2336"/>
      <c r="V8" s="2336"/>
      <c r="W8" s="2336"/>
      <c r="X8" s="2336"/>
      <c r="Y8" s="2337"/>
      <c r="Z8" s="2337"/>
      <c r="AA8" s="2344"/>
      <c r="AB8" s="2344"/>
      <c r="AC8" s="2344"/>
      <c r="AD8" s="2344"/>
      <c r="AE8" s="2338"/>
      <c r="AF8" s="2338"/>
      <c r="AG8" s="2338"/>
      <c r="AH8" s="2339"/>
      <c r="AI8" s="2336"/>
      <c r="CD8" s="354"/>
    </row>
    <row r="9" spans="1:82" s="146" customFormat="1" ht="15.6" customHeight="1">
      <c r="A9" s="2336"/>
      <c r="B9" s="2337"/>
      <c r="C9" s="2336" t="s">
        <v>172</v>
      </c>
      <c r="D9" s="2336" t="s">
        <v>173</v>
      </c>
      <c r="E9" s="2336" t="s">
        <v>174</v>
      </c>
      <c r="F9" s="2336" t="s">
        <v>173</v>
      </c>
      <c r="G9" s="2337" t="s">
        <v>174</v>
      </c>
      <c r="H9" s="2336" t="s">
        <v>173</v>
      </c>
      <c r="I9" s="2337" t="s">
        <v>174</v>
      </c>
      <c r="J9" s="2336" t="s">
        <v>173</v>
      </c>
      <c r="K9" s="2336" t="s">
        <v>174</v>
      </c>
      <c r="L9" s="2336" t="s">
        <v>173</v>
      </c>
      <c r="M9" s="2337" t="s">
        <v>174</v>
      </c>
      <c r="N9" s="2336" t="s">
        <v>173</v>
      </c>
      <c r="O9" s="2336" t="s">
        <v>174</v>
      </c>
      <c r="P9" s="2336" t="s">
        <v>173</v>
      </c>
      <c r="Q9" s="2336" t="s">
        <v>174</v>
      </c>
      <c r="R9" s="2336" t="s">
        <v>173</v>
      </c>
      <c r="S9" s="2336" t="s">
        <v>174</v>
      </c>
      <c r="T9" s="2336" t="s">
        <v>173</v>
      </c>
      <c r="U9" s="2336" t="s">
        <v>174</v>
      </c>
      <c r="V9" s="2336" t="s">
        <v>173</v>
      </c>
      <c r="W9" s="2335" t="s">
        <v>174</v>
      </c>
      <c r="X9" s="2336" t="s">
        <v>173</v>
      </c>
      <c r="Y9" s="2336" t="s">
        <v>174</v>
      </c>
      <c r="Z9" s="2336" t="s">
        <v>173</v>
      </c>
      <c r="AA9" s="2336" t="s">
        <v>174</v>
      </c>
      <c r="AB9" s="2336" t="s">
        <v>173</v>
      </c>
      <c r="AC9" s="2336" t="s">
        <v>174</v>
      </c>
      <c r="AD9" s="2336" t="s">
        <v>173</v>
      </c>
      <c r="AE9" s="2336" t="s">
        <v>174</v>
      </c>
      <c r="AF9" s="2336" t="s">
        <v>173</v>
      </c>
      <c r="AG9" s="2336" t="s">
        <v>174</v>
      </c>
      <c r="AH9" s="2334" t="s">
        <v>173</v>
      </c>
      <c r="AI9" s="2336"/>
      <c r="CD9" s="354"/>
    </row>
    <row r="10" spans="1:82" s="146" customFormat="1" ht="35.25" customHeight="1">
      <c r="A10" s="2336"/>
      <c r="B10" s="2337"/>
      <c r="C10" s="2336"/>
      <c r="D10" s="2336"/>
      <c r="E10" s="2336"/>
      <c r="F10" s="2336"/>
      <c r="G10" s="2337"/>
      <c r="H10" s="2336"/>
      <c r="I10" s="2337"/>
      <c r="J10" s="2336"/>
      <c r="K10" s="2336"/>
      <c r="L10" s="2336"/>
      <c r="M10" s="2337"/>
      <c r="N10" s="2336"/>
      <c r="O10" s="2336"/>
      <c r="P10" s="2336"/>
      <c r="Q10" s="2336"/>
      <c r="R10" s="2336"/>
      <c r="S10" s="2336"/>
      <c r="T10" s="2336"/>
      <c r="U10" s="2336"/>
      <c r="V10" s="2336"/>
      <c r="W10" s="2335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4"/>
      <c r="AI10" s="2336"/>
      <c r="CD10" s="354"/>
    </row>
    <row r="11" spans="1:82">
      <c r="A11" s="2321" t="s">
        <v>304</v>
      </c>
      <c r="B11" s="2345" t="s">
        <v>1187</v>
      </c>
      <c r="C11" s="2346"/>
      <c r="D11" s="2346"/>
      <c r="E11" s="2346"/>
      <c r="F11" s="2346"/>
      <c r="G11" s="2346"/>
      <c r="H11" s="2346"/>
      <c r="I11" s="2346"/>
      <c r="J11" s="2346"/>
      <c r="K11" s="2346"/>
      <c r="L11" s="2346"/>
      <c r="M11" s="2346"/>
      <c r="N11" s="2346"/>
      <c r="O11" s="2346"/>
      <c r="P11" s="2346"/>
      <c r="Q11" s="2346"/>
      <c r="R11" s="2346"/>
      <c r="S11" s="2346"/>
      <c r="T11" s="2346"/>
      <c r="U11" s="2346"/>
      <c r="V11" s="2346"/>
      <c r="W11" s="2346"/>
      <c r="X11" s="2346"/>
      <c r="Y11" s="2346"/>
      <c r="Z11" s="2346"/>
      <c r="AA11" s="2346"/>
      <c r="AB11" s="2346"/>
      <c r="AC11" s="2346"/>
      <c r="AD11" s="2346"/>
      <c r="AE11" s="2346"/>
      <c r="AF11" s="2346"/>
      <c r="AG11" s="2346"/>
      <c r="AH11" s="2347"/>
      <c r="AI11" s="649"/>
      <c r="CD11" s="241"/>
    </row>
    <row r="12" spans="1:82" ht="62.4" customHeight="1">
      <c r="A12" s="2321"/>
      <c r="B12" s="2333" t="s">
        <v>105</v>
      </c>
      <c r="C12" s="2333" t="s">
        <v>149</v>
      </c>
      <c r="D12" s="2333"/>
      <c r="E12" s="2333" t="s">
        <v>175</v>
      </c>
      <c r="F12" s="2333"/>
      <c r="G12" s="2321" t="s">
        <v>2654</v>
      </c>
      <c r="H12" s="2321"/>
      <c r="I12" s="2321" t="s">
        <v>2655</v>
      </c>
      <c r="J12" s="2321"/>
      <c r="K12" s="2321" t="s">
        <v>2657</v>
      </c>
      <c r="L12" s="2321"/>
      <c r="M12" s="2322" t="s">
        <v>176</v>
      </c>
      <c r="N12" s="2323"/>
      <c r="O12" s="2321" t="s">
        <v>2658</v>
      </c>
      <c r="P12" s="2321"/>
      <c r="Q12" s="2333" t="s">
        <v>177</v>
      </c>
      <c r="R12" s="2333"/>
      <c r="S12" s="2321" t="s">
        <v>3602</v>
      </c>
      <c r="T12" s="2321"/>
      <c r="U12" s="2321" t="s">
        <v>2656</v>
      </c>
      <c r="V12" s="2321"/>
      <c r="W12" s="2321" t="s">
        <v>2659</v>
      </c>
      <c r="X12" s="2321"/>
      <c r="Y12" s="2321" t="s">
        <v>178</v>
      </c>
      <c r="Z12" s="2321"/>
      <c r="AA12" s="2328" t="s">
        <v>1069</v>
      </c>
      <c r="AB12" s="2328"/>
      <c r="AC12" s="2328" t="s">
        <v>1070</v>
      </c>
      <c r="AD12" s="2328"/>
      <c r="AE12" s="2329" t="s">
        <v>1071</v>
      </c>
      <c r="AF12" s="2329"/>
      <c r="AG12" s="2329" t="s">
        <v>1068</v>
      </c>
      <c r="AH12" s="2330"/>
      <c r="AI12" s="2321" t="s">
        <v>1188</v>
      </c>
      <c r="CD12" s="241"/>
    </row>
    <row r="13" spans="1:82" ht="18.75" customHeight="1">
      <c r="A13" s="2321"/>
      <c r="B13" s="2333"/>
      <c r="C13" s="2333"/>
      <c r="D13" s="2333"/>
      <c r="E13" s="2333"/>
      <c r="F13" s="2333"/>
      <c r="G13" s="2321"/>
      <c r="H13" s="2321"/>
      <c r="I13" s="2321"/>
      <c r="J13" s="2321"/>
      <c r="K13" s="2321"/>
      <c r="L13" s="2321"/>
      <c r="M13" s="2324"/>
      <c r="N13" s="2325"/>
      <c r="O13" s="2321"/>
      <c r="P13" s="2321"/>
      <c r="Q13" s="2333"/>
      <c r="R13" s="2333"/>
      <c r="S13" s="2321"/>
      <c r="T13" s="2321"/>
      <c r="U13" s="2321"/>
      <c r="V13" s="2321"/>
      <c r="W13" s="2321"/>
      <c r="X13" s="2321"/>
      <c r="Y13" s="2321"/>
      <c r="Z13" s="2321"/>
      <c r="AA13" s="2328"/>
      <c r="AB13" s="2328"/>
      <c r="AC13" s="2328"/>
      <c r="AD13" s="2328"/>
      <c r="AE13" s="2329"/>
      <c r="AF13" s="2329"/>
      <c r="AG13" s="2329"/>
      <c r="AH13" s="2330"/>
      <c r="AI13" s="2321"/>
      <c r="CD13" s="241"/>
    </row>
    <row r="14" spans="1:82" ht="33" customHeight="1">
      <c r="A14" s="2321"/>
      <c r="B14" s="2333"/>
      <c r="C14" s="650" t="s">
        <v>1186</v>
      </c>
      <c r="D14" s="650" t="s">
        <v>179</v>
      </c>
      <c r="E14" s="650" t="s">
        <v>113</v>
      </c>
      <c r="F14" s="650" t="s">
        <v>179</v>
      </c>
      <c r="G14" s="650" t="s">
        <v>113</v>
      </c>
      <c r="H14" s="650" t="s">
        <v>179</v>
      </c>
      <c r="I14" s="650" t="s">
        <v>113</v>
      </c>
      <c r="J14" s="650" t="s">
        <v>179</v>
      </c>
      <c r="K14" s="650" t="s">
        <v>113</v>
      </c>
      <c r="L14" s="650" t="s">
        <v>179</v>
      </c>
      <c r="M14" s="650" t="s">
        <v>113</v>
      </c>
      <c r="N14" s="650" t="s">
        <v>179</v>
      </c>
      <c r="O14" s="650" t="s">
        <v>113</v>
      </c>
      <c r="P14" s="650" t="s">
        <v>179</v>
      </c>
      <c r="Q14" s="650" t="s">
        <v>113</v>
      </c>
      <c r="R14" s="650" t="s">
        <v>179</v>
      </c>
      <c r="S14" s="650" t="s">
        <v>113</v>
      </c>
      <c r="T14" s="650" t="s">
        <v>179</v>
      </c>
      <c r="U14" s="650" t="s">
        <v>113</v>
      </c>
      <c r="V14" s="650" t="s">
        <v>179</v>
      </c>
      <c r="W14" s="651" t="s">
        <v>113</v>
      </c>
      <c r="X14" s="650" t="s">
        <v>179</v>
      </c>
      <c r="Y14" s="650" t="s">
        <v>113</v>
      </c>
      <c r="Z14" s="650" t="s">
        <v>179</v>
      </c>
      <c r="AA14" s="650" t="s">
        <v>113</v>
      </c>
      <c r="AB14" s="650" t="s">
        <v>179</v>
      </c>
      <c r="AC14" s="650" t="s">
        <v>113</v>
      </c>
      <c r="AD14" s="650" t="s">
        <v>179</v>
      </c>
      <c r="AE14" s="650" t="s">
        <v>113</v>
      </c>
      <c r="AF14" s="650" t="s">
        <v>179</v>
      </c>
      <c r="AG14" s="650" t="s">
        <v>113</v>
      </c>
      <c r="AH14" s="652" t="s">
        <v>179</v>
      </c>
      <c r="AI14" s="2321"/>
      <c r="CD14" s="241"/>
    </row>
    <row r="15" spans="1:82" ht="15.6" hidden="1" customHeight="1">
      <c r="A15" s="527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8" t="s">
        <v>113</v>
      </c>
      <c r="AB15" s="528" t="s">
        <v>179</v>
      </c>
      <c r="AC15" s="528" t="s">
        <v>113</v>
      </c>
      <c r="AD15" s="528" t="s">
        <v>179</v>
      </c>
      <c r="AE15" s="528" t="s">
        <v>113</v>
      </c>
      <c r="AF15" s="528" t="s">
        <v>179</v>
      </c>
      <c r="AG15" s="528" t="s">
        <v>113</v>
      </c>
      <c r="AH15" s="195" t="s">
        <v>179</v>
      </c>
      <c r="AI15" s="529" t="s">
        <v>93</v>
      </c>
      <c r="CD15" s="241"/>
    </row>
    <row r="16" spans="1:82" hidden="1">
      <c r="A16" s="530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30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30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30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4"/>
    </row>
    <row r="20" spans="1:82">
      <c r="A20" s="764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65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66">
        <f t="shared" si="9"/>
        <v>-22.835536276760088</v>
      </c>
      <c r="Z21" s="32">
        <f t="shared" ref="Z21:Z32" si="12">Y21/$B21*100</f>
        <v>-2.3534511261218269</v>
      </c>
      <c r="AA21" s="729">
        <v>0.14319999999999999</v>
      </c>
      <c r="AB21" s="32">
        <f t="shared" ref="AB21:AB32" si="13">AA21/$B21*100</f>
        <v>1.4758322168401526E-2</v>
      </c>
      <c r="AC21" s="729">
        <v>3.3677362767600001</v>
      </c>
      <c r="AD21" s="32">
        <f t="shared" ref="AD21:AD32" si="14">AC21/$B21*100</f>
        <v>0.34708196194579</v>
      </c>
      <c r="AE21" s="729">
        <v>21.194600000000001</v>
      </c>
      <c r="AF21" s="32">
        <f t="shared" ref="AF21:AF32" si="15">AE21/$B21*100</f>
        <v>2.1843347418324233</v>
      </c>
      <c r="AG21" s="729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65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66">
        <f t="shared" si="9"/>
        <v>-22.390532717060022</v>
      </c>
      <c r="Z22" s="32">
        <f t="shared" si="12"/>
        <v>-2.1994629388074678</v>
      </c>
      <c r="AA22" s="729">
        <v>0.1749525129</v>
      </c>
      <c r="AB22" s="32">
        <f t="shared" si="13"/>
        <v>1.7185905000000001E-2</v>
      </c>
      <c r="AC22" s="729">
        <v>3.3574750449599997</v>
      </c>
      <c r="AD22" s="32">
        <f t="shared" si="14"/>
        <v>0.32981090814931235</v>
      </c>
      <c r="AE22" s="729">
        <v>21.3371051592</v>
      </c>
      <c r="AF22" s="32">
        <f t="shared" si="15"/>
        <v>2.0959828250687624</v>
      </c>
      <c r="AG22" s="729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65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66">
        <f t="shared" si="9"/>
        <v>5.3460136068260011</v>
      </c>
      <c r="Z23" s="32">
        <f t="shared" si="12"/>
        <v>0.49799847292277605</v>
      </c>
      <c r="AA23" s="729">
        <v>0.279968053524</v>
      </c>
      <c r="AB23" s="32">
        <f t="shared" si="13"/>
        <v>2.6079930463344204E-2</v>
      </c>
      <c r="AC23" s="729">
        <v>3.3574750449599997</v>
      </c>
      <c r="AD23" s="32">
        <f t="shared" si="14"/>
        <v>0.31275966883651601</v>
      </c>
      <c r="AE23" s="729">
        <v>21.715683793215998</v>
      </c>
      <c r="AF23" s="32">
        <f t="shared" si="15"/>
        <v>2.0228862406349322</v>
      </c>
      <c r="AG23" s="729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65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66">
        <f t="shared" si="9"/>
        <v>3.6094134047160953</v>
      </c>
      <c r="Z24" s="32">
        <f t="shared" si="12"/>
        <v>0.32860646437692048</v>
      </c>
      <c r="AA24" s="729">
        <v>0.5</v>
      </c>
      <c r="AB24" s="32">
        <f t="shared" si="13"/>
        <v>4.5520757465404217E-2</v>
      </c>
      <c r="AC24" s="729">
        <v>3.4</v>
      </c>
      <c r="AD24" s="32">
        <f t="shared" si="14"/>
        <v>0.3095411507647487</v>
      </c>
      <c r="AE24" s="729">
        <v>21.5</v>
      </c>
      <c r="AF24" s="32">
        <f t="shared" si="15"/>
        <v>1.9573925710123816</v>
      </c>
      <c r="AG24" s="729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65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66">
        <f t="shared" si="9"/>
        <v>2.9622000000000037</v>
      </c>
      <c r="Z25" s="32">
        <f t="shared" si="12"/>
        <v>0.26573966089530848</v>
      </c>
      <c r="AA25" s="729">
        <v>1.4799999999999999E-2</v>
      </c>
      <c r="AB25" s="32">
        <f t="shared" si="13"/>
        <v>1.3277114918812236E-3</v>
      </c>
      <c r="AC25" s="729">
        <v>3.5954000000000002</v>
      </c>
      <c r="AD25" s="32">
        <f t="shared" si="14"/>
        <v>0.32254418229119941</v>
      </c>
      <c r="AE25" s="729">
        <v>21.56</v>
      </c>
      <c r="AF25" s="32">
        <f t="shared" si="15"/>
        <v>1.9341526868215659</v>
      </c>
      <c r="AG25" s="729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65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66">
        <f t="shared" si="9"/>
        <v>0.68139999999994938</v>
      </c>
      <c r="Z26" s="32">
        <f t="shared" si="12"/>
        <v>6.3115968877357306E-2</v>
      </c>
      <c r="AA26" s="729">
        <v>7.5200000000000003E-2</v>
      </c>
      <c r="AB26" s="32">
        <f t="shared" si="13"/>
        <v>6.9655427936272706E-3</v>
      </c>
      <c r="AC26" s="729">
        <v>3.5927999999999995</v>
      </c>
      <c r="AD26" s="32">
        <f t="shared" si="14"/>
        <v>0.33278992219340492</v>
      </c>
      <c r="AE26" s="729">
        <v>20.908799999999999</v>
      </c>
      <c r="AF26" s="32">
        <f t="shared" si="15"/>
        <v>1.9367173027047058</v>
      </c>
      <c r="AG26" s="729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65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66">
        <f t="shared" si="9"/>
        <v>2.2063999999999795</v>
      </c>
      <c r="Z27" s="32">
        <f t="shared" si="12"/>
        <v>0.19761755485893234</v>
      </c>
      <c r="AA27" s="729">
        <v>0.31579999999999997</v>
      </c>
      <c r="AB27" s="32">
        <f t="shared" si="13"/>
        <v>2.8284818629646213E-2</v>
      </c>
      <c r="AC27" s="729">
        <v>3.9665999999999997</v>
      </c>
      <c r="AD27" s="32">
        <f t="shared" si="14"/>
        <v>0.35527093596059106</v>
      </c>
      <c r="AE27" s="729">
        <v>21</v>
      </c>
      <c r="AF27" s="32">
        <f t="shared" si="15"/>
        <v>1.8808777429467085</v>
      </c>
      <c r="AG27" s="729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65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66">
        <f t="shared" si="9"/>
        <v>3.3509999999999494</v>
      </c>
      <c r="Z28" s="32">
        <f t="shared" si="12"/>
        <v>0.27721707478490648</v>
      </c>
      <c r="AA28" s="729">
        <v>0</v>
      </c>
      <c r="AB28" s="32">
        <f t="shared" si="13"/>
        <v>0</v>
      </c>
      <c r="AC28" s="729">
        <v>4.24</v>
      </c>
      <c r="AD28" s="32">
        <f t="shared" si="14"/>
        <v>0.35076108537392459</v>
      </c>
      <c r="AE28" s="729">
        <v>21</v>
      </c>
      <c r="AF28" s="32">
        <f t="shared" si="15"/>
        <v>1.7372600926538715</v>
      </c>
      <c r="AG28" s="729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65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66">
        <f t="shared" si="9"/>
        <v>33.162799999999812</v>
      </c>
      <c r="Z29" s="32">
        <f t="shared" si="12"/>
        <v>2.6634647819452106</v>
      </c>
      <c r="AA29" s="729">
        <v>0.21800000000000003</v>
      </c>
      <c r="AB29" s="32">
        <f t="shared" si="13"/>
        <v>1.7508633844671113E-2</v>
      </c>
      <c r="AC29" s="729">
        <v>4.24</v>
      </c>
      <c r="AD29" s="32">
        <f t="shared" si="14"/>
        <v>0.34053489679543814</v>
      </c>
      <c r="AE29" s="729">
        <v>21</v>
      </c>
      <c r="AF29" s="32">
        <f t="shared" si="15"/>
        <v>1.6866115171472171</v>
      </c>
      <c r="AG29" s="729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65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66">
        <f t="shared" si="9"/>
        <v>6.4771999999999261</v>
      </c>
      <c r="Z30" s="32">
        <f t="shared" si="12"/>
        <v>0.49383958523939669</v>
      </c>
      <c r="AA30" s="729">
        <v>0.68720000000000003</v>
      </c>
      <c r="AB30" s="32">
        <f t="shared" si="13"/>
        <v>5.2394022567856052E-2</v>
      </c>
      <c r="AC30" s="729">
        <v>4.5739999999999998</v>
      </c>
      <c r="AD30" s="32">
        <f t="shared" si="14"/>
        <v>0.34873437023482773</v>
      </c>
      <c r="AE30" s="729">
        <v>20.273199999999999</v>
      </c>
      <c r="AF30" s="32">
        <f t="shared" si="15"/>
        <v>1.545684659957304</v>
      </c>
      <c r="AG30" s="729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65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66">
        <f t="shared" si="9"/>
        <v>8.7206000000000277</v>
      </c>
      <c r="Z31" s="32">
        <f t="shared" si="12"/>
        <v>0.64192859771807342</v>
      </c>
      <c r="AA31" s="729">
        <v>0.98</v>
      </c>
      <c r="AB31" s="32">
        <f t="shared" si="13"/>
        <v>7.2138387927861605E-2</v>
      </c>
      <c r="AC31" s="729">
        <v>4.5599999999999996</v>
      </c>
      <c r="AD31" s="32">
        <f t="shared" si="14"/>
        <v>0.33566433566433562</v>
      </c>
      <c r="AE31" s="729">
        <v>20.1538</v>
      </c>
      <c r="AF31" s="32">
        <f t="shared" si="15"/>
        <v>1.4835333087964668</v>
      </c>
      <c r="AG31" s="729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65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66">
        <f t="shared" si="9"/>
        <v>11.591199999999985</v>
      </c>
      <c r="Z32" s="32">
        <f t="shared" si="12"/>
        <v>0.80438584316446815</v>
      </c>
      <c r="AA32" s="729">
        <v>1.212</v>
      </c>
      <c r="AB32" s="32">
        <f t="shared" si="13"/>
        <v>8.4108258154059673E-2</v>
      </c>
      <c r="AC32" s="729">
        <v>4.6452</v>
      </c>
      <c r="AD32" s="32">
        <f t="shared" si="14"/>
        <v>0.32235947258848019</v>
      </c>
      <c r="AE32" s="729">
        <v>20.147200000000002</v>
      </c>
      <c r="AF32" s="32">
        <f t="shared" si="15"/>
        <v>1.3981401804302569</v>
      </c>
      <c r="AG32" s="729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64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65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66">
        <f t="shared" si="9"/>
        <v>2.5280115599998347</v>
      </c>
      <c r="Z35" s="32">
        <f t="shared" ref="Z35:Z46" si="28">Y35/$B35*100</f>
        <v>0.18199755513894778</v>
      </c>
      <c r="AA35" s="729">
        <v>1.252</v>
      </c>
      <c r="AB35" s="729">
        <f t="shared" ref="AB35:AB46" si="29">AA35/B35*100</f>
        <v>9.0134452958742617E-2</v>
      </c>
      <c r="AC35" s="729">
        <v>4.4029999999999996</v>
      </c>
      <c r="AD35" s="729">
        <f t="shared" ref="AD35:AF46" si="30">AC35/$B35*100</f>
        <v>0.31698242522152048</v>
      </c>
      <c r="AE35" s="729">
        <v>20.146999999999998</v>
      </c>
      <c r="AF35" s="729">
        <f t="shared" si="30"/>
        <v>1.4504303704151655</v>
      </c>
      <c r="AG35" s="729">
        <v>1.2059884400000001</v>
      </c>
      <c r="AH35" s="729">
        <f t="shared" ref="AH35:AH46" si="31">AG35/$B35*100</f>
        <v>8.682197149677906E-2</v>
      </c>
      <c r="AI35" s="32">
        <v>35.9</v>
      </c>
      <c r="CD35" s="241"/>
    </row>
    <row r="36" spans="1:82" hidden="1">
      <c r="A36" s="765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66">
        <f t="shared" si="9"/>
        <v>3.1936451999997191</v>
      </c>
      <c r="Z36" s="32">
        <f t="shared" si="28"/>
        <v>0.23618054954683051</v>
      </c>
      <c r="AA36" s="729">
        <v>1.1100000000000001</v>
      </c>
      <c r="AB36" s="729">
        <f t="shared" si="29"/>
        <v>8.2088144918854772E-2</v>
      </c>
      <c r="AC36" s="729">
        <v>4.4939999999999998</v>
      </c>
      <c r="AD36" s="729">
        <f t="shared" si="30"/>
        <v>0.33234605699579572</v>
      </c>
      <c r="AE36" s="729">
        <v>20.146999999999998</v>
      </c>
      <c r="AF36" s="729">
        <f t="shared" si="30"/>
        <v>1.4899368069190693</v>
      </c>
      <c r="AG36" s="729">
        <v>1.9603548000000002</v>
      </c>
      <c r="AH36" s="729">
        <f t="shared" si="31"/>
        <v>0.1449746746979933</v>
      </c>
      <c r="AI36" s="32">
        <v>39.799999999999997</v>
      </c>
      <c r="CD36" s="241"/>
    </row>
    <row r="37" spans="1:82" hidden="1">
      <c r="A37" s="765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66">
        <f t="shared" si="9"/>
        <v>3.5671574700000961</v>
      </c>
      <c r="Z37" s="32">
        <f t="shared" si="28"/>
        <v>0.25569005096373021</v>
      </c>
      <c r="AA37" s="729">
        <v>0.90400000000000003</v>
      </c>
      <c r="AB37" s="729">
        <f t="shared" si="29"/>
        <v>6.4797757882890966E-2</v>
      </c>
      <c r="AC37" s="729">
        <v>4.649</v>
      </c>
      <c r="AD37" s="729">
        <f t="shared" si="30"/>
        <v>0.33323537212119475</v>
      </c>
      <c r="AE37" s="729">
        <v>20.265999999999998</v>
      </c>
      <c r="AF37" s="729">
        <f t="shared" si="30"/>
        <v>1.4526453111224205</v>
      </c>
      <c r="AG37" s="729">
        <v>0.93584252999999995</v>
      </c>
      <c r="AH37" s="729">
        <f t="shared" si="31"/>
        <v>6.7080196543641724E-2</v>
      </c>
      <c r="AI37" s="32">
        <v>51.4</v>
      </c>
      <c r="CD37" s="241"/>
    </row>
    <row r="38" spans="1:82" hidden="1">
      <c r="A38" s="765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66">
        <f t="shared" si="9"/>
        <v>5.433750370000106</v>
      </c>
      <c r="Z38" s="32">
        <f t="shared" si="28"/>
        <v>0.3553328779754189</v>
      </c>
      <c r="AA38" s="729">
        <v>0.47199999999999998</v>
      </c>
      <c r="AB38" s="729">
        <f t="shared" si="29"/>
        <v>3.0865812189380067E-2</v>
      </c>
      <c r="AC38" s="729">
        <v>4.7140000000000004</v>
      </c>
      <c r="AD38" s="729">
        <f t="shared" si="30"/>
        <v>0.30826575987444416</v>
      </c>
      <c r="AE38" s="729">
        <v>20.265999999999998</v>
      </c>
      <c r="AF38" s="729">
        <f t="shared" si="30"/>
        <v>1.3252681140465601</v>
      </c>
      <c r="AG38" s="729">
        <v>1.11224963</v>
      </c>
      <c r="AH38" s="729">
        <f t="shared" si="31"/>
        <v>7.2734085142558205E-2</v>
      </c>
      <c r="AI38" s="32">
        <v>49.363999999999997</v>
      </c>
      <c r="CD38" s="241"/>
    </row>
    <row r="39" spans="1:82" hidden="1">
      <c r="A39" s="765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66">
        <f t="shared" si="9"/>
        <v>5.8785387100001731</v>
      </c>
      <c r="Z39" s="32">
        <f t="shared" si="28"/>
        <v>0.37759597272155543</v>
      </c>
      <c r="AA39" s="729">
        <v>0.52700000000000002</v>
      </c>
      <c r="AB39" s="729">
        <f t="shared" si="29"/>
        <v>3.3850772690455555E-2</v>
      </c>
      <c r="AC39" s="729">
        <v>4.8339999999999996</v>
      </c>
      <c r="AD39" s="729">
        <f t="shared" si="30"/>
        <v>0.31050215405248988</v>
      </c>
      <c r="AE39" s="729">
        <v>20.231000000000002</v>
      </c>
      <c r="AF39" s="729">
        <f t="shared" si="30"/>
        <v>1.2994971201150027</v>
      </c>
      <c r="AG39" s="729">
        <v>1.89646129</v>
      </c>
      <c r="AH39" s="729">
        <f t="shared" si="31"/>
        <v>0.12181533215187498</v>
      </c>
      <c r="AI39" s="32">
        <v>46.438000000000002</v>
      </c>
      <c r="CD39" s="241"/>
    </row>
    <row r="40" spans="1:82" hidden="1">
      <c r="A40" s="765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66">
        <f t="shared" si="9"/>
        <v>6.1746706499999302</v>
      </c>
      <c r="Z40" s="32">
        <f t="shared" si="28"/>
        <v>0.37185386718537861</v>
      </c>
      <c r="AA40" s="729">
        <v>0.35299999999999998</v>
      </c>
      <c r="AB40" s="729">
        <f t="shared" si="29"/>
        <v>2.1258529006148712E-2</v>
      </c>
      <c r="AC40" s="729">
        <v>5.3159999999999998</v>
      </c>
      <c r="AD40" s="729">
        <f t="shared" si="30"/>
        <v>0.32014260678948031</v>
      </c>
      <c r="AE40" s="729">
        <v>20.23</v>
      </c>
      <c r="AF40" s="729">
        <f t="shared" si="30"/>
        <v>1.2183004016838199</v>
      </c>
      <c r="AG40" s="729">
        <v>3.6543293499999998</v>
      </c>
      <c r="AH40" s="729">
        <f t="shared" si="31"/>
        <v>0.22007270958922259</v>
      </c>
      <c r="AI40" s="32">
        <v>59.539000000000001</v>
      </c>
      <c r="CD40" s="241"/>
    </row>
    <row r="41" spans="1:82" hidden="1">
      <c r="A41" s="765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66">
        <f t="shared" si="9"/>
        <v>8.0477543999997323</v>
      </c>
      <c r="Z41" s="32">
        <f t="shared" si="28"/>
        <v>0.45084953669985395</v>
      </c>
      <c r="AA41" s="729">
        <v>0.436</v>
      </c>
      <c r="AB41" s="729">
        <f t="shared" si="29"/>
        <v>2.4425496633090946E-2</v>
      </c>
      <c r="AC41" s="729">
        <v>5.6319999999999997</v>
      </c>
      <c r="AD41" s="729">
        <f t="shared" si="30"/>
        <v>0.31551467210451423</v>
      </c>
      <c r="AE41" s="729">
        <v>20.210999999999999</v>
      </c>
      <c r="AF41" s="729">
        <f t="shared" si="30"/>
        <v>1.1322562212188099</v>
      </c>
      <c r="AG41" s="729">
        <v>4.6702456000000003</v>
      </c>
      <c r="AH41" s="729">
        <f t="shared" si="31"/>
        <v>0.2616354774736418</v>
      </c>
      <c r="AI41" s="32">
        <v>39.039000000000001</v>
      </c>
      <c r="CD41" s="241"/>
    </row>
    <row r="42" spans="1:82" hidden="1">
      <c r="A42" s="765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66">
        <f t="shared" si="9"/>
        <v>7.9319849600001131</v>
      </c>
      <c r="Z42" s="32">
        <f t="shared" si="28"/>
        <v>0.42261545543668816</v>
      </c>
      <c r="AA42" s="729">
        <v>0.28799999999999998</v>
      </c>
      <c r="AB42" s="729">
        <f t="shared" si="29"/>
        <v>1.5344614466561525E-2</v>
      </c>
      <c r="AC42" s="729">
        <v>6.4029999999999996</v>
      </c>
      <c r="AD42" s="729">
        <f t="shared" si="30"/>
        <v>0.34115127232428283</v>
      </c>
      <c r="AE42" s="729">
        <v>20.210999999999999</v>
      </c>
      <c r="AF42" s="729">
        <f t="shared" si="30"/>
        <v>1.0768402881377603</v>
      </c>
      <c r="AG42" s="729">
        <v>6.4220150399999998</v>
      </c>
      <c r="AH42" s="729">
        <f t="shared" si="31"/>
        <v>0.3421643919696517</v>
      </c>
      <c r="AI42" s="32">
        <v>43.81</v>
      </c>
      <c r="CD42" s="241"/>
    </row>
    <row r="43" spans="1:82" hidden="1">
      <c r="A43" s="765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66">
        <f t="shared" si="9"/>
        <v>9.8651193400000494</v>
      </c>
      <c r="Z43" s="32">
        <f t="shared" si="28"/>
        <v>0.48954764359973441</v>
      </c>
      <c r="AA43" s="729">
        <v>0.11</v>
      </c>
      <c r="AB43" s="729">
        <f t="shared" si="29"/>
        <v>5.4586507207900151E-3</v>
      </c>
      <c r="AC43" s="729">
        <v>7.6849999999999996</v>
      </c>
      <c r="AD43" s="729">
        <f t="shared" si="30"/>
        <v>0.38136118899337512</v>
      </c>
      <c r="AE43" s="729">
        <v>20.178999999999998</v>
      </c>
      <c r="AF43" s="729">
        <f t="shared" si="30"/>
        <v>1.0013646626801975</v>
      </c>
      <c r="AG43" s="729">
        <v>5.3558806600000004</v>
      </c>
      <c r="AH43" s="729">
        <f t="shared" si="31"/>
        <v>0.26578074386522094</v>
      </c>
      <c r="AI43" s="32">
        <v>57.1</v>
      </c>
      <c r="CD43" s="241"/>
    </row>
    <row r="44" spans="1:82" hidden="1">
      <c r="A44" s="765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66">
        <f t="shared" si="9"/>
        <v>10.571999999999949</v>
      </c>
      <c r="Z44" s="32">
        <f t="shared" si="28"/>
        <v>0.48946642511260696</v>
      </c>
      <c r="AA44" s="729">
        <v>0.443</v>
      </c>
      <c r="AB44" s="729">
        <f t="shared" si="29"/>
        <v>2.0510180318282816E-2</v>
      </c>
      <c r="AC44" s="729">
        <v>8.6539999999999999</v>
      </c>
      <c r="AD44" s="729">
        <f t="shared" si="30"/>
        <v>0.40066614102577758</v>
      </c>
      <c r="AE44" s="729">
        <v>20.178999999999998</v>
      </c>
      <c r="AF44" s="729">
        <f t="shared" si="30"/>
        <v>0.93425491792918469</v>
      </c>
      <c r="AG44" s="729">
        <v>5.625</v>
      </c>
      <c r="AH44" s="729">
        <f t="shared" si="31"/>
        <v>0.26042836182921181</v>
      </c>
      <c r="AI44" s="32">
        <v>42.988</v>
      </c>
      <c r="CD44" s="241"/>
    </row>
    <row r="45" spans="1:82" hidden="1">
      <c r="A45" s="765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66">
        <f t="shared" si="9"/>
        <v>10.53999999999975</v>
      </c>
      <c r="Z45" s="32">
        <f t="shared" si="28"/>
        <v>0.47010946771029261</v>
      </c>
      <c r="AA45" s="729">
        <v>2.4900000000000002</v>
      </c>
      <c r="AB45" s="729">
        <f t="shared" si="29"/>
        <v>0.11106001656533743</v>
      </c>
      <c r="AC45" s="729">
        <v>10.992000000000001</v>
      </c>
      <c r="AD45" s="729">
        <f t="shared" si="30"/>
        <v>0.49026975987397148</v>
      </c>
      <c r="AE45" s="729">
        <v>20.178999999999998</v>
      </c>
      <c r="AF45" s="729">
        <f t="shared" si="30"/>
        <v>0.90003215834214589</v>
      </c>
      <c r="AG45" s="729">
        <v>4.3979999999999997</v>
      </c>
      <c r="AH45" s="729">
        <f t="shared" si="31"/>
        <v>0.19616142684913809</v>
      </c>
      <c r="AI45" s="32">
        <v>38.201799999999999</v>
      </c>
      <c r="CD45" s="241"/>
    </row>
    <row r="46" spans="1:82" hidden="1">
      <c r="A46" s="765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7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66">
        <f t="shared" si="9"/>
        <v>10.403999999999719</v>
      </c>
      <c r="Z46" s="32">
        <f t="shared" si="28"/>
        <v>0.44033976080966475</v>
      </c>
      <c r="AA46" s="729">
        <v>2.0459999999999998</v>
      </c>
      <c r="AB46" s="729">
        <f t="shared" si="29"/>
        <v>8.659507406926166E-2</v>
      </c>
      <c r="AC46" s="729">
        <v>13.151</v>
      </c>
      <c r="AD46" s="729">
        <f t="shared" si="30"/>
        <v>0.55660401714802554</v>
      </c>
      <c r="AE46" s="729">
        <v>20.363</v>
      </c>
      <c r="AF46" s="729">
        <f t="shared" si="30"/>
        <v>0.86184530462970443</v>
      </c>
      <c r="AG46" s="729">
        <v>5.9269999999999996</v>
      </c>
      <c r="AH46" s="729">
        <f t="shared" si="31"/>
        <v>0.25085484066887287</v>
      </c>
      <c r="AI46" s="32">
        <v>47.094000000000001</v>
      </c>
      <c r="CD46" s="241"/>
    </row>
    <row r="47" spans="1:82">
      <c r="A47" s="764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65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66">
        <f t="shared" si="9"/>
        <v>10.863397670000355</v>
      </c>
      <c r="Z48" s="32">
        <f t="shared" ref="Z48:Z59" si="35">Y48/$B48*100</f>
        <v>0.43438721010167891</v>
      </c>
      <c r="AA48" s="729">
        <v>3.65</v>
      </c>
      <c r="AB48" s="729">
        <f t="shared" ref="AB48:AB59" si="36">AA48/B48*100</f>
        <v>0.14595003930028058</v>
      </c>
      <c r="AC48" s="729">
        <v>13.888</v>
      </c>
      <c r="AD48" s="729">
        <f t="shared" ref="AD48:AF59" si="37">AC48/$B48*100</f>
        <v>0.55532990295953333</v>
      </c>
      <c r="AE48" s="729">
        <v>20.344999999999999</v>
      </c>
      <c r="AF48" s="729">
        <f t="shared" si="37"/>
        <v>0.81352152042855008</v>
      </c>
      <c r="AG48" s="729">
        <v>4.9870000000000001</v>
      </c>
      <c r="AH48" s="729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65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66">
        <f t="shared" si="9"/>
        <v>11.121569519999841</v>
      </c>
      <c r="Z49" s="32">
        <f t="shared" si="35"/>
        <v>0.41755515765774426</v>
      </c>
      <c r="AA49" s="729">
        <v>3.677</v>
      </c>
      <c r="AB49" s="729">
        <f t="shared" si="36"/>
        <v>0.13805158632929604</v>
      </c>
      <c r="AC49" s="729">
        <v>14.538</v>
      </c>
      <c r="AD49" s="729">
        <f t="shared" si="37"/>
        <v>0.54582375905773883</v>
      </c>
      <c r="AE49" s="729">
        <v>20.323</v>
      </c>
      <c r="AF49" s="729">
        <f t="shared" si="37"/>
        <v>0.76301941500415649</v>
      </c>
      <c r="AG49" s="729">
        <v>4.9249999999999998</v>
      </c>
      <c r="AH49" s="729">
        <f t="shared" si="38"/>
        <v>0.18490727839863558</v>
      </c>
      <c r="AI49" s="32">
        <v>44.545000000000002</v>
      </c>
      <c r="CD49" s="241"/>
    </row>
    <row r="50" spans="1:82" hidden="1">
      <c r="A50" s="765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66">
        <f t="shared" si="9"/>
        <v>12.26427315000036</v>
      </c>
      <c r="Z50" s="32">
        <f t="shared" si="35"/>
        <v>0.42571663281798788</v>
      </c>
      <c r="AA50" s="729">
        <v>2.5409999999999999</v>
      </c>
      <c r="AB50" s="729">
        <f t="shared" si="36"/>
        <v>8.8203022776810497E-2</v>
      </c>
      <c r="AC50" s="729">
        <v>17.036000000000001</v>
      </c>
      <c r="AD50" s="729">
        <f t="shared" si="37"/>
        <v>0.5913524974520834</v>
      </c>
      <c r="AE50" s="729">
        <v>20.478999999999999</v>
      </c>
      <c r="AF50" s="729">
        <f t="shared" si="37"/>
        <v>0.71086568415832441</v>
      </c>
      <c r="AG50" s="729">
        <v>9.7119999999999997</v>
      </c>
      <c r="AH50" s="729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65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66">
        <f t="shared" si="9"/>
        <v>12.38736400999945</v>
      </c>
      <c r="Z51" s="32">
        <f t="shared" si="35"/>
        <v>0.40072162320143784</v>
      </c>
      <c r="AA51" s="729">
        <v>2.835</v>
      </c>
      <c r="AB51" s="729">
        <f t="shared" si="36"/>
        <v>9.1710052345198398E-2</v>
      </c>
      <c r="AC51" s="729">
        <v>17.779</v>
      </c>
      <c r="AD51" s="729">
        <f t="shared" si="37"/>
        <v>0.57513686795248053</v>
      </c>
      <c r="AE51" s="729">
        <v>20.452000000000002</v>
      </c>
      <c r="AF51" s="729">
        <f t="shared" si="37"/>
        <v>0.66160634587795331</v>
      </c>
      <c r="AG51" s="729">
        <v>15.24</v>
      </c>
      <c r="AH51" s="729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65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66">
        <f t="shared" si="9"/>
        <v>13.630815610000177</v>
      </c>
      <c r="Z52" s="32">
        <f t="shared" si="35"/>
        <v>0.4111301922219272</v>
      </c>
      <c r="AA52" s="729">
        <v>5.6820000000000004</v>
      </c>
      <c r="AB52" s="729">
        <f t="shared" si="36"/>
        <v>0.17137945512894806</v>
      </c>
      <c r="AC52" s="729">
        <v>18.571999999999999</v>
      </c>
      <c r="AD52" s="729">
        <f t="shared" si="37"/>
        <v>0.5601653010656148</v>
      </c>
      <c r="AE52" s="729">
        <v>20.41</v>
      </c>
      <c r="AF52" s="729">
        <f t="shared" si="37"/>
        <v>0.61560272424882612</v>
      </c>
      <c r="AG52" s="729">
        <v>9.2609999999999992</v>
      </c>
      <c r="AH52" s="729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65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66">
        <f t="shared" si="9"/>
        <v>14.776274500000092</v>
      </c>
      <c r="Z53" s="32">
        <f t="shared" si="35"/>
        <v>0.42724615575522762</v>
      </c>
      <c r="AA53" s="729">
        <v>6.8250000000000002</v>
      </c>
      <c r="AB53" s="729">
        <f t="shared" si="36"/>
        <v>0.19734033859681008</v>
      </c>
      <c r="AC53" s="729">
        <v>17.539000000000001</v>
      </c>
      <c r="AD53" s="729">
        <f t="shared" si="37"/>
        <v>0.50712852727464497</v>
      </c>
      <c r="AE53" s="729">
        <v>20.553000000000001</v>
      </c>
      <c r="AF53" s="729">
        <f t="shared" si="37"/>
        <v>0.59427633394582235</v>
      </c>
      <c r="AG53" s="729">
        <v>7.1719999999999997</v>
      </c>
      <c r="AH53" s="729">
        <f t="shared" si="38"/>
        <v>0.20737361295477241</v>
      </c>
      <c r="AI53" s="32">
        <v>68.468999999999994</v>
      </c>
      <c r="CD53" s="241"/>
    </row>
    <row r="54" spans="1:82" hidden="1">
      <c r="A54" s="765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66">
        <f t="shared" si="9"/>
        <v>18.401109329999734</v>
      </c>
      <c r="Z54" s="32">
        <f t="shared" si="35"/>
        <v>0.5343096250104189</v>
      </c>
      <c r="AA54" s="729">
        <v>6.6855125900000001</v>
      </c>
      <c r="AB54" s="729">
        <f t="shared" si="36"/>
        <v>0.19412599865061431</v>
      </c>
      <c r="AC54" s="729">
        <v>17.482585480000001</v>
      </c>
      <c r="AD54" s="729">
        <f t="shared" si="37"/>
        <v>0.50763861702633173</v>
      </c>
      <c r="AE54" s="729">
        <v>20.49223044</v>
      </c>
      <c r="AF54" s="729">
        <f t="shared" si="37"/>
        <v>0.59502912382422379</v>
      </c>
      <c r="AG54" s="729">
        <v>9.9964555700000002</v>
      </c>
      <c r="AH54" s="729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65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66">
        <f t="shared" si="9"/>
        <v>21.037526280000478</v>
      </c>
      <c r="Z55" s="32">
        <f t="shared" si="35"/>
        <v>0.58879121812167146</v>
      </c>
      <c r="AA55" s="729">
        <v>9.9989545100000008</v>
      </c>
      <c r="AB55" s="729">
        <f t="shared" si="36"/>
        <v>0.27984737975029389</v>
      </c>
      <c r="AC55" s="729">
        <v>17.641120879999999</v>
      </c>
      <c r="AD55" s="729">
        <f t="shared" si="37"/>
        <v>0.49373376478399422</v>
      </c>
      <c r="AE55" s="729">
        <v>20.834470960000001</v>
      </c>
      <c r="AF55" s="729">
        <f t="shared" si="37"/>
        <v>0.58310817404044668</v>
      </c>
      <c r="AG55" s="729">
        <v>12.279475440000001</v>
      </c>
      <c r="AH55" s="729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65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66">
        <f t="shared" si="9"/>
        <v>24.801507750000113</v>
      </c>
      <c r="Z56" s="32">
        <f t="shared" si="35"/>
        <v>0.6576465905559562</v>
      </c>
      <c r="AA56" s="729">
        <v>11.220624190000001</v>
      </c>
      <c r="AB56" s="729">
        <f t="shared" si="36"/>
        <v>0.2975305097111749</v>
      </c>
      <c r="AC56" s="729">
        <v>18.000423420000001</v>
      </c>
      <c r="AD56" s="729">
        <f t="shared" si="37"/>
        <v>0.47730634806775135</v>
      </c>
      <c r="AE56" s="729">
        <v>20.76767242</v>
      </c>
      <c r="AF56" s="729">
        <f t="shared" si="37"/>
        <v>0.55068381722864823</v>
      </c>
      <c r="AG56" s="729">
        <v>6.6057602700000002</v>
      </c>
      <c r="AH56" s="729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65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66">
        <f t="shared" si="9"/>
        <v>26.810337120000113</v>
      </c>
      <c r="Z57" s="32">
        <f t="shared" si="35"/>
        <v>0.66198111161160833</v>
      </c>
      <c r="AA57" s="729">
        <v>12.20754359</v>
      </c>
      <c r="AB57" s="729">
        <f t="shared" si="36"/>
        <v>0.30141968150512127</v>
      </c>
      <c r="AC57" s="729">
        <v>18.87280075</v>
      </c>
      <c r="AD57" s="729">
        <f t="shared" si="37"/>
        <v>0.46599330563394809</v>
      </c>
      <c r="AE57" s="729">
        <v>22.37419036</v>
      </c>
      <c r="AF57" s="729">
        <f t="shared" si="37"/>
        <v>0.55244704084207608</v>
      </c>
      <c r="AG57" s="729">
        <v>6.6379908600000004</v>
      </c>
      <c r="AH57" s="729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65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66">
        <f t="shared" si="9"/>
        <v>23.760934629999948</v>
      </c>
      <c r="Z58" s="32">
        <f t="shared" si="35"/>
        <v>0.54745140770309597</v>
      </c>
      <c r="AA58" s="729">
        <v>12.664874810000001</v>
      </c>
      <c r="AB58" s="729">
        <f t="shared" si="36"/>
        <v>0.29179843516609999</v>
      </c>
      <c r="AC58" s="729">
        <v>17.632137140000001</v>
      </c>
      <c r="AD58" s="729">
        <f t="shared" si="37"/>
        <v>0.40624404925215946</v>
      </c>
      <c r="AE58" s="729">
        <v>24.435199300000001</v>
      </c>
      <c r="AF58" s="729">
        <f t="shared" si="37"/>
        <v>0.56298645076869747</v>
      </c>
      <c r="AG58" s="729">
        <v>4.7425305199999999</v>
      </c>
      <c r="AH58" s="729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65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66">
        <f t="shared" si="9"/>
        <v>28.091952210000819</v>
      </c>
      <c r="Z59" s="32">
        <f t="shared" si="35"/>
        <v>0.60002802444884706</v>
      </c>
      <c r="AA59" s="729">
        <v>12.78481955</v>
      </c>
      <c r="AB59" s="729">
        <f t="shared" si="36"/>
        <v>0.27307642986771524</v>
      </c>
      <c r="AC59" s="729">
        <v>17.374851060000001</v>
      </c>
      <c r="AD59" s="729">
        <f t="shared" si="37"/>
        <v>0.3711168764167726</v>
      </c>
      <c r="AE59" s="729">
        <v>9.7083710199999995</v>
      </c>
      <c r="AF59" s="729">
        <f t="shared" si="37"/>
        <v>0.20736524967008932</v>
      </c>
      <c r="AG59" s="729">
        <v>5.1746771300000001</v>
      </c>
      <c r="AH59" s="729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64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65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66">
        <f t="shared" si="9"/>
        <v>27.616469989999512</v>
      </c>
      <c r="Z61" s="32">
        <f t="shared" ref="Z61:Z72" si="45">Y61/$B61*100</f>
        <v>0.58039169406230107</v>
      </c>
      <c r="AA61" s="729">
        <v>15.299684539999999</v>
      </c>
      <c r="AB61" s="729">
        <f t="shared" ref="AB61:AB72" si="46">AA61/B61*100</f>
        <v>0.32154036457248009</v>
      </c>
      <c r="AC61" s="729">
        <v>16.368736800000001</v>
      </c>
      <c r="AD61" s="729">
        <f t="shared" ref="AD61:AF72" si="47">AC61/$B61*100</f>
        <v>0.34400772019205117</v>
      </c>
      <c r="AE61" s="729">
        <v>8.3973347999999994</v>
      </c>
      <c r="AF61" s="729">
        <f t="shared" si="47"/>
        <v>0.17647959250205389</v>
      </c>
      <c r="AG61" s="729">
        <v>11.60165615</v>
      </c>
      <c r="AH61" s="729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65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66">
        <f t="shared" si="9"/>
        <v>27.277727569999797</v>
      </c>
      <c r="Z62" s="32">
        <f t="shared" si="45"/>
        <v>0.56684691957494282</v>
      </c>
      <c r="AA62" s="729">
        <v>15.82346493</v>
      </c>
      <c r="AB62" s="729">
        <f t="shared" si="46"/>
        <v>0.32882073220928154</v>
      </c>
      <c r="AC62" s="729">
        <v>4.3049200799999996</v>
      </c>
      <c r="AD62" s="729">
        <f t="shared" si="47"/>
        <v>8.9458723425630826E-2</v>
      </c>
      <c r="AE62" s="729">
        <v>7.66128667</v>
      </c>
      <c r="AF62" s="729">
        <f t="shared" si="47"/>
        <v>0.15920595796426543</v>
      </c>
      <c r="AG62" s="729">
        <v>13.93280495</v>
      </c>
      <c r="AH62" s="729">
        <f t="shared" si="48"/>
        <v>0.28953172681554407</v>
      </c>
      <c r="AI62" s="32">
        <v>139.45542606999999</v>
      </c>
    </row>
    <row r="63" spans="1:82" hidden="1">
      <c r="A63" s="765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66">
        <f t="shared" si="9"/>
        <v>22.610342779999286</v>
      </c>
      <c r="Z63" s="32">
        <f t="shared" si="45"/>
        <v>0.45843002487708001</v>
      </c>
      <c r="AA63" s="729">
        <v>16.11993953</v>
      </c>
      <c r="AB63" s="729">
        <f t="shared" si="46"/>
        <v>0.32683557041390238</v>
      </c>
      <c r="AC63" s="729">
        <v>3.8175442199999998</v>
      </c>
      <c r="AD63" s="729">
        <f t="shared" si="47"/>
        <v>7.7401608138910685E-2</v>
      </c>
      <c r="AE63" s="729">
        <v>6.1715610999999999</v>
      </c>
      <c r="AF63" s="729">
        <f t="shared" si="47"/>
        <v>0.12512985478071151</v>
      </c>
      <c r="AG63" s="729">
        <v>11.39906158</v>
      </c>
      <c r="AH63" s="729">
        <f t="shared" si="48"/>
        <v>0.23111865815308671</v>
      </c>
      <c r="AI63" s="32">
        <v>176.55846951999999</v>
      </c>
    </row>
    <row r="64" spans="1:82" hidden="1">
      <c r="A64" s="765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66">
        <f t="shared" si="9"/>
        <v>22.907601090000462</v>
      </c>
      <c r="Z64" s="32">
        <f t="shared" si="45"/>
        <v>0.43912330473621392</v>
      </c>
      <c r="AA64" s="729">
        <v>21.221039510000001</v>
      </c>
      <c r="AB64" s="729">
        <f t="shared" si="46"/>
        <v>0.40679305366622215</v>
      </c>
      <c r="AC64" s="729">
        <v>3.65797908</v>
      </c>
      <c r="AD64" s="729">
        <f t="shared" si="47"/>
        <v>7.0120998525974559E-2</v>
      </c>
      <c r="AE64" s="729">
        <v>6.1070864699999996</v>
      </c>
      <c r="AF64" s="729">
        <f t="shared" si="47"/>
        <v>0.11706873986848201</v>
      </c>
      <c r="AG64" s="729">
        <v>37.423048479999999</v>
      </c>
      <c r="AH64" s="729">
        <f t="shared" si="48"/>
        <v>0.71737466779158132</v>
      </c>
      <c r="AI64" s="32">
        <v>160.23920007000001</v>
      </c>
    </row>
    <row r="65" spans="1:35" hidden="1">
      <c r="A65" s="765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66">
        <f t="shared" si="9"/>
        <v>21.468223629998882</v>
      </c>
      <c r="Z65" s="32">
        <f t="shared" si="45"/>
        <v>0.35402903486256471</v>
      </c>
      <c r="AA65" s="729">
        <v>25.768725679999999</v>
      </c>
      <c r="AB65" s="729">
        <f t="shared" si="46"/>
        <v>0.4249479248660622</v>
      </c>
      <c r="AC65" s="729">
        <v>3.47230908</v>
      </c>
      <c r="AD65" s="729">
        <f t="shared" si="47"/>
        <v>5.7261292481560755E-2</v>
      </c>
      <c r="AE65" s="729">
        <v>6.0095681000000001</v>
      </c>
      <c r="AF65" s="729">
        <f t="shared" si="47"/>
        <v>9.9102824297529826E-2</v>
      </c>
      <c r="AG65" s="729">
        <v>13.579422080000001</v>
      </c>
      <c r="AH65" s="729">
        <f t="shared" si="48"/>
        <v>0.22393607295276957</v>
      </c>
      <c r="AI65" s="32">
        <v>160.98538593000001</v>
      </c>
    </row>
    <row r="66" spans="1:35" hidden="1">
      <c r="A66" s="765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66">
        <f t="shared" si="9"/>
        <v>18.864423700000494</v>
      </c>
      <c r="Z66" s="32">
        <f t="shared" si="45"/>
        <v>0.30592015982442905</v>
      </c>
      <c r="AA66" s="729">
        <v>26.342192600000001</v>
      </c>
      <c r="AB66" s="729">
        <f t="shared" si="46"/>
        <v>0.42718547348561103</v>
      </c>
      <c r="AC66" s="729">
        <v>3.6220376299999999</v>
      </c>
      <c r="AD66" s="729">
        <f t="shared" si="47"/>
        <v>5.8737777961362654E-2</v>
      </c>
      <c r="AE66" s="729">
        <v>0.94044083999999994</v>
      </c>
      <c r="AF66" s="729">
        <f t="shared" si="47"/>
        <v>1.5250919755275259E-2</v>
      </c>
      <c r="AG66" s="729">
        <v>12.62372921</v>
      </c>
      <c r="AH66" s="729">
        <f t="shared" si="48"/>
        <v>0.20471620649102643</v>
      </c>
      <c r="AI66" s="32">
        <v>164.03330973999999</v>
      </c>
    </row>
    <row r="67" spans="1:35" hidden="1">
      <c r="A67" s="765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66">
        <f t="shared" si="9"/>
        <v>20.638221749999563</v>
      </c>
      <c r="Z67" s="32">
        <f t="shared" si="45"/>
        <v>0.32442153570732951</v>
      </c>
      <c r="AA67" s="729">
        <v>32.5</v>
      </c>
      <c r="AB67" s="729">
        <f t="shared" si="46"/>
        <v>0.51088218928011242</v>
      </c>
      <c r="AC67" s="729">
        <v>0.26</v>
      </c>
      <c r="AD67" s="729">
        <f t="shared" si="47"/>
        <v>4.0870575142408997E-3</v>
      </c>
      <c r="AE67" s="729">
        <v>0.86799999999999999</v>
      </c>
      <c r="AF67" s="729">
        <f t="shared" si="47"/>
        <v>1.3644484316773465E-2</v>
      </c>
      <c r="AG67" s="729">
        <v>15.742000000000001</v>
      </c>
      <c r="AH67" s="729">
        <f t="shared" si="48"/>
        <v>0.24745561303530866</v>
      </c>
      <c r="AI67" s="32">
        <v>178.22800000000001</v>
      </c>
    </row>
    <row r="68" spans="1:35" hidden="1">
      <c r="A68" s="765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66">
        <f t="shared" si="9"/>
        <v>20.732108210000135</v>
      </c>
      <c r="Z68" s="32">
        <f t="shared" si="45"/>
        <v>0.32117736653285073</v>
      </c>
      <c r="AA68" s="729">
        <v>32.794790120000002</v>
      </c>
      <c r="AB68" s="729">
        <f t="shared" si="46"/>
        <v>0.50804984326960956</v>
      </c>
      <c r="AC68" s="729">
        <v>0.14382</v>
      </c>
      <c r="AD68" s="729">
        <f t="shared" si="47"/>
        <v>2.2280285433043424E-3</v>
      </c>
      <c r="AE68" s="729">
        <v>0.80105466999999997</v>
      </c>
      <c r="AF68" s="729">
        <f t="shared" si="47"/>
        <v>1.2409766857928247E-2</v>
      </c>
      <c r="AG68" s="729">
        <v>12.64492411</v>
      </c>
      <c r="AH68" s="729">
        <f t="shared" si="48"/>
        <v>0.19589244781669626</v>
      </c>
      <c r="AI68" s="32">
        <v>149.28882658000001</v>
      </c>
    </row>
    <row r="69" spans="1:35" hidden="1">
      <c r="A69" s="765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66">
        <f t="shared" si="9"/>
        <v>20.820132770000367</v>
      </c>
      <c r="Z69" s="32">
        <f t="shared" si="45"/>
        <v>0.31523076035760977</v>
      </c>
      <c r="AA69" s="729">
        <v>35.905372579999998</v>
      </c>
      <c r="AB69" s="729">
        <f t="shared" si="46"/>
        <v>0.54363139872121347</v>
      </c>
      <c r="AC69" s="729">
        <v>0.5448366</v>
      </c>
      <c r="AD69" s="729">
        <f t="shared" si="47"/>
        <v>8.249191183647378E-3</v>
      </c>
      <c r="AE69" s="729">
        <v>20.73649314</v>
      </c>
      <c r="AF69" s="729">
        <f t="shared" si="47"/>
        <v>0.31396440031791611</v>
      </c>
      <c r="AG69" s="729">
        <v>10.98010605</v>
      </c>
      <c r="AH69" s="729">
        <f t="shared" si="48"/>
        <v>0.16624616265348774</v>
      </c>
      <c r="AI69" s="32">
        <v>194.29485148000001</v>
      </c>
    </row>
    <row r="70" spans="1:35" hidden="1">
      <c r="A70" s="765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66">
        <f t="shared" si="9"/>
        <v>18.1596111799991</v>
      </c>
      <c r="Z70" s="32">
        <f t="shared" si="45"/>
        <v>0.27114113134557671</v>
      </c>
      <c r="AA70" s="729">
        <v>37.347240749999997</v>
      </c>
      <c r="AB70" s="729">
        <f t="shared" si="46"/>
        <v>0.55763160395987765</v>
      </c>
      <c r="AC70" s="729">
        <v>0</v>
      </c>
      <c r="AD70" s="729">
        <f t="shared" si="47"/>
        <v>0</v>
      </c>
      <c r="AE70" s="729">
        <v>20.653561830000001</v>
      </c>
      <c r="AF70" s="729">
        <f t="shared" si="47"/>
        <v>0.30837830531690363</v>
      </c>
      <c r="AG70" s="729">
        <v>18.507881139999999</v>
      </c>
      <c r="AH70" s="729">
        <f t="shared" si="48"/>
        <v>0.27634114967374046</v>
      </c>
      <c r="AI70" s="32">
        <v>206.29377181999999</v>
      </c>
    </row>
    <row r="71" spans="1:35" hidden="1">
      <c r="A71" s="765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66">
        <f t="shared" si="9"/>
        <v>18.625489380000673</v>
      </c>
      <c r="Z71" s="32">
        <f t="shared" si="45"/>
        <v>0.27168856948870745</v>
      </c>
      <c r="AA71" s="729">
        <v>37.142753120000002</v>
      </c>
      <c r="AB71" s="729">
        <f t="shared" si="46"/>
        <v>0.54179845995781617</v>
      </c>
      <c r="AC71" s="729">
        <v>0.104</v>
      </c>
      <c r="AD71" s="729">
        <f t="shared" si="47"/>
        <v>1.5170399365272706E-3</v>
      </c>
      <c r="AE71" s="729">
        <v>0.58181159000000005</v>
      </c>
      <c r="AF71" s="729">
        <f t="shared" si="47"/>
        <v>8.4868405535041391E-3</v>
      </c>
      <c r="AG71" s="729">
        <v>12.67151481</v>
      </c>
      <c r="AH71" s="729">
        <f t="shared" si="48"/>
        <v>0.18483840406794971</v>
      </c>
      <c r="AI71" s="32">
        <v>208.08587616</v>
      </c>
    </row>
    <row r="72" spans="1:35" hidden="1">
      <c r="A72" s="765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66">
        <f t="shared" si="9"/>
        <v>48.079620780000333</v>
      </c>
      <c r="Z72" s="32">
        <f t="shared" si="45"/>
        <v>0.66858495400844742</v>
      </c>
      <c r="AA72" s="729">
        <v>43.629224700000002</v>
      </c>
      <c r="AB72" s="729">
        <f t="shared" si="46"/>
        <v>0.60669869512796759</v>
      </c>
      <c r="AC72" s="729">
        <v>0</v>
      </c>
      <c r="AD72" s="729">
        <f t="shared" si="47"/>
        <v>0</v>
      </c>
      <c r="AE72" s="729">
        <v>0.51973062000000003</v>
      </c>
      <c r="AF72" s="729">
        <f t="shared" si="47"/>
        <v>7.2272631737150634E-3</v>
      </c>
      <c r="AG72" s="729">
        <v>10.209447389999999</v>
      </c>
      <c r="AH72" s="729">
        <f t="shared" si="48"/>
        <v>0.14197039833005867</v>
      </c>
      <c r="AI72" s="32">
        <v>180.59689255999999</v>
      </c>
    </row>
    <row r="73" spans="1:35">
      <c r="A73" s="765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65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8">
        <f t="shared" si="9"/>
        <v>70.212857099998459</v>
      </c>
      <c r="Z74" s="193">
        <f t="shared" ref="Z74:Z85" si="54">Y74/$B74*100</f>
        <v>0.97500424612454795</v>
      </c>
      <c r="AA74" s="769">
        <v>187.79027335999999</v>
      </c>
      <c r="AB74" s="769">
        <f t="shared" ref="AB74:AB85" si="55">AA74/B74*100</f>
        <v>2.6077319948128643</v>
      </c>
      <c r="AC74" s="769">
        <v>0</v>
      </c>
      <c r="AD74" s="769">
        <f t="shared" ref="AD74:AF85" si="56">AC74/$B74*100</f>
        <v>0</v>
      </c>
      <c r="AE74" s="769">
        <v>0.45783354999999998</v>
      </c>
      <c r="AF74" s="769">
        <f t="shared" si="56"/>
        <v>6.3576625949364092E-3</v>
      </c>
      <c r="AG74" s="769">
        <v>31.425219729999998</v>
      </c>
      <c r="AH74" s="769">
        <f t="shared" ref="AH74:AH85" si="57">AG74/$B74*100</f>
        <v>0.43638336250167475</v>
      </c>
      <c r="AI74" s="193">
        <v>175.34764465999999</v>
      </c>
    </row>
    <row r="75" spans="1:35" hidden="1">
      <c r="A75" s="765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8">
        <f t="shared" si="9"/>
        <v>69.273464080000764</v>
      </c>
      <c r="Z75" s="193">
        <f t="shared" si="54"/>
        <v>1.0350856073287564</v>
      </c>
      <c r="AA75" s="769">
        <v>200.66325956</v>
      </c>
      <c r="AB75" s="769">
        <f t="shared" si="55"/>
        <v>2.9983147897781319</v>
      </c>
      <c r="AC75" s="769">
        <v>0</v>
      </c>
      <c r="AD75" s="769">
        <f t="shared" si="56"/>
        <v>0</v>
      </c>
      <c r="AE75" s="769">
        <v>0.41473585000000002</v>
      </c>
      <c r="AF75" s="769">
        <f t="shared" si="56"/>
        <v>6.1969920932854446E-3</v>
      </c>
      <c r="AG75" s="769">
        <v>16.489670159999999</v>
      </c>
      <c r="AH75" s="769">
        <f t="shared" si="57"/>
        <v>0.24638901026377374</v>
      </c>
      <c r="AI75" s="193">
        <v>173.03939639999999</v>
      </c>
    </row>
    <row r="76" spans="1:35" hidden="1">
      <c r="A76" s="765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8">
        <f t="shared" si="9"/>
        <v>68.822733460000151</v>
      </c>
      <c r="Z76" s="193">
        <f t="shared" si="54"/>
        <v>1.1062457599212832</v>
      </c>
      <c r="AA76" s="769">
        <v>209.37142047</v>
      </c>
      <c r="AB76" s="769">
        <f t="shared" si="55"/>
        <v>3.3654031814683627</v>
      </c>
      <c r="AC76" s="769">
        <v>0</v>
      </c>
      <c r="AD76" s="769">
        <f t="shared" si="56"/>
        <v>0</v>
      </c>
      <c r="AE76" s="769">
        <v>0.33833224000000001</v>
      </c>
      <c r="AF76" s="769">
        <f t="shared" si="56"/>
        <v>5.4382990492843637E-3</v>
      </c>
      <c r="AG76" s="769">
        <v>13.251556239999999</v>
      </c>
      <c r="AH76" s="769">
        <f t="shared" si="57"/>
        <v>0.21300342438997322</v>
      </c>
      <c r="AI76" s="193">
        <v>178.17091561999999</v>
      </c>
    </row>
    <row r="77" spans="1:35" hidden="1">
      <c r="A77" s="765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8">
        <f t="shared" si="9"/>
        <v>65.936000000000618</v>
      </c>
      <c r="Z77" s="193">
        <f t="shared" si="54"/>
        <v>1.0501965136584894</v>
      </c>
      <c r="AA77" s="769">
        <v>214.89500000000001</v>
      </c>
      <c r="AB77" s="769">
        <f t="shared" si="55"/>
        <v>3.422742959879868</v>
      </c>
      <c r="AC77" s="769">
        <v>0</v>
      </c>
      <c r="AD77" s="769">
        <f t="shared" si="56"/>
        <v>0</v>
      </c>
      <c r="AE77" s="769">
        <v>0.30299999999999999</v>
      </c>
      <c r="AF77" s="769">
        <f t="shared" si="56"/>
        <v>4.8260365147797767E-3</v>
      </c>
      <c r="AG77" s="769">
        <v>11.722</v>
      </c>
      <c r="AH77" s="769">
        <f t="shared" si="57"/>
        <v>0.18670231031765194</v>
      </c>
      <c r="AI77" s="193">
        <v>175.39160000000001</v>
      </c>
    </row>
    <row r="78" spans="1:35" hidden="1">
      <c r="A78" s="765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8">
        <f t="shared" si="9"/>
        <v>65.193999999999647</v>
      </c>
      <c r="Z78" s="193">
        <f t="shared" si="54"/>
        <v>1.0257086379538256</v>
      </c>
      <c r="AA78" s="193">
        <v>226.36099999999999</v>
      </c>
      <c r="AB78" s="769">
        <f t="shared" si="55"/>
        <v>3.5613773199353806</v>
      </c>
      <c r="AC78" s="193">
        <v>0</v>
      </c>
      <c r="AD78" s="769">
        <f t="shared" si="56"/>
        <v>0</v>
      </c>
      <c r="AE78" s="193">
        <v>0.255</v>
      </c>
      <c r="AF78" s="769">
        <f t="shared" si="56"/>
        <v>4.0119597306228641E-3</v>
      </c>
      <c r="AG78" s="193">
        <v>6.65</v>
      </c>
      <c r="AH78" s="769">
        <f t="shared" si="57"/>
        <v>0.10462561650447862</v>
      </c>
      <c r="AI78" s="193">
        <v>168.51179999999999</v>
      </c>
    </row>
    <row r="79" spans="1:35" hidden="1">
      <c r="A79" s="765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8">
        <f t="shared" si="9"/>
        <v>64.685343370000979</v>
      </c>
      <c r="Z79" s="193">
        <f t="shared" si="54"/>
        <v>1.000734164094206</v>
      </c>
      <c r="AA79" s="193">
        <v>236.34572392000001</v>
      </c>
      <c r="AB79" s="769">
        <f t="shared" si="55"/>
        <v>3.6564579878849557</v>
      </c>
      <c r="AC79" s="193">
        <v>0.41040777000000001</v>
      </c>
      <c r="AD79" s="769">
        <f t="shared" si="56"/>
        <v>6.3493375044707742E-3</v>
      </c>
      <c r="AE79" s="193">
        <v>11.09176293</v>
      </c>
      <c r="AF79" s="769">
        <f t="shared" si="56"/>
        <v>0.17159847232460448</v>
      </c>
      <c r="AG79" s="193">
        <v>9.2696635999999994</v>
      </c>
      <c r="AH79" s="769">
        <f t="shared" si="57"/>
        <v>0.14340913367528973</v>
      </c>
      <c r="AI79" s="193">
        <v>181.12499133</v>
      </c>
    </row>
    <row r="80" spans="1:35" hidden="1">
      <c r="A80" s="765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8">
        <f t="shared" si="9"/>
        <v>65.544631680000762</v>
      </c>
      <c r="Z80" s="193">
        <f t="shared" si="54"/>
        <v>0.9066650763989107</v>
      </c>
      <c r="AA80" s="193">
        <v>222.83158180999999</v>
      </c>
      <c r="AB80" s="769">
        <f t="shared" si="55"/>
        <v>3.0823823090838887</v>
      </c>
      <c r="AC80" s="193">
        <v>0.39922887000000001</v>
      </c>
      <c r="AD80" s="769">
        <f t="shared" si="56"/>
        <v>5.5224488206201267E-3</v>
      </c>
      <c r="AE80" s="193">
        <v>19.28143884</v>
      </c>
      <c r="AF80" s="769">
        <f t="shared" si="56"/>
        <v>0.2667160798812398</v>
      </c>
      <c r="AG80" s="193">
        <v>7.8181465399999999</v>
      </c>
      <c r="AH80" s="769">
        <f t="shared" si="57"/>
        <v>0.1081467734015787</v>
      </c>
      <c r="AI80" s="193">
        <v>162.69198004</v>
      </c>
    </row>
    <row r="81" spans="1:35" hidden="1">
      <c r="A81" s="765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8">
        <f t="shared" si="9"/>
        <v>61.800382810001274</v>
      </c>
      <c r="Z81" s="193">
        <f t="shared" si="54"/>
        <v>0.80998176197806426</v>
      </c>
      <c r="AA81" s="193">
        <v>238.52642612</v>
      </c>
      <c r="AB81" s="769">
        <f t="shared" si="55"/>
        <v>3.1262274782502137</v>
      </c>
      <c r="AC81" s="193">
        <v>0.35687341</v>
      </c>
      <c r="AD81" s="769">
        <f t="shared" si="56"/>
        <v>4.6773327330933753E-3</v>
      </c>
      <c r="AE81" s="193">
        <v>7.4731609900000002</v>
      </c>
      <c r="AF81" s="769">
        <f t="shared" si="56"/>
        <v>9.7946385297250069E-2</v>
      </c>
      <c r="AG81" s="193">
        <v>7.9985749200000003</v>
      </c>
      <c r="AH81" s="769">
        <f t="shared" si="57"/>
        <v>0.10483268084169042</v>
      </c>
      <c r="AI81" s="193">
        <v>140.0952757</v>
      </c>
    </row>
    <row r="82" spans="1:35" hidden="1">
      <c r="A82" s="765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8">
        <f t="shared" si="9"/>
        <v>61.742304209999922</v>
      </c>
      <c r="Z82" s="193">
        <f t="shared" si="54"/>
        <v>0.79351995658714614</v>
      </c>
      <c r="AA82" s="193">
        <v>259.77765068999997</v>
      </c>
      <c r="AB82" s="769">
        <f t="shared" si="55"/>
        <v>3.3386954493423797</v>
      </c>
      <c r="AC82" s="193">
        <v>0.38230923</v>
      </c>
      <c r="AD82" s="769">
        <f t="shared" si="56"/>
        <v>4.9134869110267314E-3</v>
      </c>
      <c r="AE82" s="193">
        <v>8.2631040700000007</v>
      </c>
      <c r="AF82" s="769">
        <f t="shared" si="56"/>
        <v>0.10619846581364702</v>
      </c>
      <c r="AG82" s="193">
        <v>9.0888982800000004</v>
      </c>
      <c r="AH82" s="769">
        <f t="shared" si="57"/>
        <v>0.11681167816543003</v>
      </c>
      <c r="AI82" s="193">
        <v>149.34801235</v>
      </c>
    </row>
    <row r="83" spans="1:35" hidden="1">
      <c r="A83" s="765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8">
        <f t="shared" si="9"/>
        <v>60.321730209999281</v>
      </c>
      <c r="Z83" s="193">
        <f t="shared" si="54"/>
        <v>0.75745636132880578</v>
      </c>
      <c r="AA83" s="193">
        <v>257.56020864999999</v>
      </c>
      <c r="AB83" s="769">
        <f t="shared" si="55"/>
        <v>3.2341681478290494</v>
      </c>
      <c r="AC83" s="193">
        <v>17.058841109999999</v>
      </c>
      <c r="AD83" s="769">
        <f t="shared" si="56"/>
        <v>0.2142068483560329</v>
      </c>
      <c r="AE83" s="193">
        <v>15.700916619999999</v>
      </c>
      <c r="AF83" s="769">
        <f t="shared" si="56"/>
        <v>0.1971554716867315</v>
      </c>
      <c r="AG83" s="193">
        <v>8.8890050499999997</v>
      </c>
      <c r="AH83" s="769">
        <f t="shared" si="57"/>
        <v>0.11161870519241625</v>
      </c>
      <c r="AI83" s="193">
        <v>138.05307303999999</v>
      </c>
    </row>
    <row r="84" spans="1:35" hidden="1">
      <c r="A84" s="765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8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9">
        <f t="shared" si="55"/>
        <v>3.7219614946687831</v>
      </c>
      <c r="AC84" s="193">
        <v>34.026205449999999</v>
      </c>
      <c r="AD84" s="769">
        <f t="shared" si="56"/>
        <v>0.42192256381264953</v>
      </c>
      <c r="AE84" s="193">
        <v>9.5714064299999997</v>
      </c>
      <c r="AF84" s="769">
        <f t="shared" si="56"/>
        <v>0.11868476918981512</v>
      </c>
      <c r="AG84" s="193">
        <v>8.8320397400000008</v>
      </c>
      <c r="AH84" s="769">
        <f t="shared" si="57"/>
        <v>0.10951667403148554</v>
      </c>
      <c r="AI84" s="193">
        <v>134.64883083000001</v>
      </c>
    </row>
    <row r="85" spans="1:35" hidden="1">
      <c r="A85" s="765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8">
        <f t="shared" si="58"/>
        <v>57.50058646000069</v>
      </c>
      <c r="Z85" s="193">
        <f t="shared" si="54"/>
        <v>0.68392339966437632</v>
      </c>
      <c r="AA85" s="193">
        <v>284.51366710000002</v>
      </c>
      <c r="AB85" s="769">
        <f t="shared" si="55"/>
        <v>3.3840620841210165</v>
      </c>
      <c r="AC85" s="193">
        <v>18.522100099999999</v>
      </c>
      <c r="AD85" s="769">
        <f t="shared" si="56"/>
        <v>0.22030553859007951</v>
      </c>
      <c r="AE85" s="193">
        <v>19.77260862</v>
      </c>
      <c r="AF85" s="769">
        <f t="shared" si="56"/>
        <v>0.23517933538000629</v>
      </c>
      <c r="AG85" s="193">
        <v>8.6585524800000009</v>
      </c>
      <c r="AH85" s="769">
        <f t="shared" si="57"/>
        <v>0.10298654349227218</v>
      </c>
      <c r="AI85" s="193">
        <v>165.64595686000001</v>
      </c>
    </row>
    <row r="86" spans="1:35">
      <c r="A86" s="765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70">
        <f t="shared" si="58"/>
        <v>46.043434350000659</v>
      </c>
      <c r="Z86" s="287">
        <v>0.50247327900748928</v>
      </c>
      <c r="AA86" s="287">
        <v>430.83065515999999</v>
      </c>
      <c r="AB86" s="771">
        <v>4.7016669162774329</v>
      </c>
      <c r="AC86" s="287">
        <v>44.068022310000003</v>
      </c>
      <c r="AD86" s="771">
        <v>0.4809155525011477</v>
      </c>
      <c r="AE86" s="287">
        <v>7.71011062</v>
      </c>
      <c r="AF86" s="771">
        <v>8.4140651526829688E-2</v>
      </c>
      <c r="AG86" s="287">
        <v>9.8517729200000002</v>
      </c>
      <c r="AH86" s="771">
        <v>0.10751267174207904</v>
      </c>
      <c r="AI86" s="287">
        <v>146.31131445</v>
      </c>
    </row>
    <row r="87" spans="1:35" hidden="1">
      <c r="A87" s="765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70">
        <f t="shared" si="58"/>
        <v>57.932174959998754</v>
      </c>
      <c r="Z87" s="287">
        <f t="shared" ref="Z87:Z98" si="63">Y87/$B87*100</f>
        <v>0.68711860429662386</v>
      </c>
      <c r="AA87" s="771">
        <v>288.54346126000002</v>
      </c>
      <c r="AB87" s="771">
        <f t="shared" ref="AB87:AB98" si="64">AA87/B87*100</f>
        <v>3.4223396673227962</v>
      </c>
      <c r="AC87" s="771">
        <v>18.514744159999999</v>
      </c>
      <c r="AD87" s="771">
        <f t="shared" ref="AD87:AF98" si="65">AC87/$B87*100</f>
        <v>0.21959861121928337</v>
      </c>
      <c r="AE87" s="771">
        <v>11.4690999</v>
      </c>
      <c r="AF87" s="771">
        <f t="shared" si="65"/>
        <v>0.13603203955777599</v>
      </c>
      <c r="AG87" s="771">
        <v>7.46129876</v>
      </c>
      <c r="AH87" s="771">
        <f t="shared" ref="AH87:AH98" si="66">AG87/$B87*100</f>
        <v>8.8496542616452817E-2</v>
      </c>
      <c r="AI87" s="287">
        <v>139.20685248999999</v>
      </c>
    </row>
    <row r="88" spans="1:35" hidden="1">
      <c r="A88" s="765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70">
        <f t="shared" si="58"/>
        <v>57.771892269998951</v>
      </c>
      <c r="Z88" s="287">
        <f t="shared" si="63"/>
        <v>0.69242073430226481</v>
      </c>
      <c r="AA88" s="771">
        <v>310.23641287999999</v>
      </c>
      <c r="AB88" s="771">
        <f t="shared" si="64"/>
        <v>3.7183155401891446</v>
      </c>
      <c r="AC88" s="771">
        <v>18.498768770000002</v>
      </c>
      <c r="AD88" s="771">
        <f t="shared" si="65"/>
        <v>0.22171562246132118</v>
      </c>
      <c r="AE88" s="771">
        <v>1.45456896</v>
      </c>
      <c r="AF88" s="771">
        <f t="shared" si="65"/>
        <v>1.7433628496525962E-2</v>
      </c>
      <c r="AG88" s="771">
        <v>7.2545589899999996</v>
      </c>
      <c r="AH88" s="771">
        <f t="shared" si="66"/>
        <v>8.6948979261727538E-2</v>
      </c>
      <c r="AI88" s="287">
        <v>139.55287720000001</v>
      </c>
    </row>
    <row r="89" spans="1:35" hidden="1">
      <c r="A89" s="765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70">
        <f t="shared" si="58"/>
        <v>53.242798919998563</v>
      </c>
      <c r="Z89" s="287">
        <f t="shared" si="63"/>
        <v>0.62747749492244187</v>
      </c>
      <c r="AA89" s="771">
        <v>304.29962330000001</v>
      </c>
      <c r="AB89" s="771">
        <f t="shared" si="64"/>
        <v>3.5862345557946846</v>
      </c>
      <c r="AC89" s="771">
        <v>18.501820349999999</v>
      </c>
      <c r="AD89" s="771">
        <f t="shared" si="65"/>
        <v>0.21804781341730728</v>
      </c>
      <c r="AE89" s="771">
        <v>5.5935107000000004</v>
      </c>
      <c r="AF89" s="771">
        <f t="shared" si="65"/>
        <v>6.5920690742265906E-2</v>
      </c>
      <c r="AG89" s="771">
        <v>7.5061069900000001</v>
      </c>
      <c r="AH89" s="771">
        <f t="shared" si="66"/>
        <v>8.8461037102539275E-2</v>
      </c>
      <c r="AI89" s="287">
        <v>151.38279889</v>
      </c>
    </row>
    <row r="90" spans="1:35" hidden="1">
      <c r="A90" s="765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70">
        <f t="shared" si="58"/>
        <v>48.657510479998628</v>
      </c>
      <c r="Z90" s="287">
        <f t="shared" si="63"/>
        <v>0.56542612804195025</v>
      </c>
      <c r="AA90" s="771">
        <v>332.51146863000002</v>
      </c>
      <c r="AB90" s="771">
        <f t="shared" si="64"/>
        <v>3.8639599597740992</v>
      </c>
      <c r="AC90" s="771">
        <v>18.492482899999999</v>
      </c>
      <c r="AD90" s="771">
        <f t="shared" si="65"/>
        <v>0.21489247807544776</v>
      </c>
      <c r="AE90" s="771">
        <v>6.63861554</v>
      </c>
      <c r="AF90" s="771">
        <f t="shared" si="65"/>
        <v>7.7144240289159699E-2</v>
      </c>
      <c r="AG90" s="771">
        <v>7.1284530899999998</v>
      </c>
      <c r="AH90" s="771">
        <f t="shared" si="66"/>
        <v>8.2836412916444169E-2</v>
      </c>
      <c r="AI90" s="287">
        <v>140.64108408999999</v>
      </c>
    </row>
    <row r="91" spans="1:35" hidden="1">
      <c r="A91" s="765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70">
        <f t="shared" si="58"/>
        <v>49.777326420001081</v>
      </c>
      <c r="Z91" s="287">
        <f t="shared" si="63"/>
        <v>0.56995918521766287</v>
      </c>
      <c r="AA91" s="771">
        <v>360.33753009999998</v>
      </c>
      <c r="AB91" s="771">
        <f t="shared" si="64"/>
        <v>4.1259284061632133</v>
      </c>
      <c r="AC91" s="771">
        <v>18.789121959999999</v>
      </c>
      <c r="AD91" s="771">
        <f t="shared" si="65"/>
        <v>0.21513876725556499</v>
      </c>
      <c r="AE91" s="771">
        <v>6.63861554</v>
      </c>
      <c r="AF91" s="771">
        <f t="shared" si="65"/>
        <v>7.6013321250443189E-2</v>
      </c>
      <c r="AG91" s="771">
        <v>8.4824310000000001</v>
      </c>
      <c r="AH91" s="771">
        <f t="shared" si="66"/>
        <v>9.7125334145757455E-2</v>
      </c>
      <c r="AI91" s="287">
        <v>149.99179429000003</v>
      </c>
    </row>
    <row r="92" spans="1:35" hidden="1">
      <c r="A92" s="765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70">
        <f t="shared" si="58"/>
        <v>50.67926517999819</v>
      </c>
      <c r="Z92" s="287">
        <f t="shared" si="63"/>
        <v>0.57324951201223118</v>
      </c>
      <c r="AA92" s="771">
        <v>360.57285159000003</v>
      </c>
      <c r="AB92" s="771">
        <f t="shared" si="64"/>
        <v>4.0785558055092848</v>
      </c>
      <c r="AC92" s="771">
        <v>18.791283150000002</v>
      </c>
      <c r="AD92" s="771">
        <f t="shared" si="65"/>
        <v>0.21255426371242325</v>
      </c>
      <c r="AE92" s="771">
        <v>8.7411551700000008</v>
      </c>
      <c r="AF92" s="771">
        <f t="shared" si="65"/>
        <v>9.8874025063870732E-2</v>
      </c>
      <c r="AG92" s="771">
        <v>7.5039811400000005</v>
      </c>
      <c r="AH92" s="771">
        <f t="shared" si="66"/>
        <v>8.4879950634164675E-2</v>
      </c>
      <c r="AI92" s="287">
        <v>158.06744716</v>
      </c>
    </row>
    <row r="93" spans="1:35" hidden="1">
      <c r="A93" s="765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70">
        <f t="shared" si="58"/>
        <v>50.201499999999683</v>
      </c>
      <c r="Z93" s="287">
        <f t="shared" si="63"/>
        <v>0.57994740426994518</v>
      </c>
      <c r="AA93" s="771">
        <v>392.15519999999998</v>
      </c>
      <c r="AB93" s="771">
        <f t="shared" si="64"/>
        <v>4.5303305740060082</v>
      </c>
      <c r="AC93" s="771">
        <v>43.228299999999997</v>
      </c>
      <c r="AD93" s="771">
        <f t="shared" si="65"/>
        <v>0.49939026475309767</v>
      </c>
      <c r="AE93" s="771">
        <v>9.9467999999999996</v>
      </c>
      <c r="AF93" s="771">
        <f t="shared" si="65"/>
        <v>0.11490933220705211</v>
      </c>
      <c r="AG93" s="771">
        <v>7.0739999999999998</v>
      </c>
      <c r="AH93" s="771">
        <f t="shared" si="66"/>
        <v>8.1721620624993649E-2</v>
      </c>
      <c r="AI93" s="287">
        <v>155.24299999999999</v>
      </c>
    </row>
    <row r="94" spans="1:35" hidden="1">
      <c r="A94" s="765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70">
        <f t="shared" si="58"/>
        <v>53.812408310000151</v>
      </c>
      <c r="Z94" s="287">
        <f t="shared" si="63"/>
        <v>0.61230026242710245</v>
      </c>
      <c r="AA94" s="771">
        <v>394.26492587000001</v>
      </c>
      <c r="AB94" s="771">
        <f t="shared" si="64"/>
        <v>4.4861125000261559</v>
      </c>
      <c r="AC94" s="771">
        <v>43.258617039999997</v>
      </c>
      <c r="AD94" s="771">
        <f t="shared" si="65"/>
        <v>0.49221477717999296</v>
      </c>
      <c r="AE94" s="771">
        <v>9.9468195500000007</v>
      </c>
      <c r="AF94" s="771">
        <f t="shared" si="65"/>
        <v>0.11317910519251421</v>
      </c>
      <c r="AG94" s="771">
        <v>10.168674530000001</v>
      </c>
      <c r="AH94" s="771">
        <f t="shared" si="66"/>
        <v>0.11570346466165762</v>
      </c>
      <c r="AI94" s="287">
        <v>154.36434367999999</v>
      </c>
    </row>
    <row r="95" spans="1:35" hidden="1">
      <c r="A95" s="765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70">
        <f t="shared" si="58"/>
        <v>52.673412750000509</v>
      </c>
      <c r="Z95" s="287">
        <f t="shared" si="63"/>
        <v>0.58941027695314352</v>
      </c>
      <c r="AA95" s="771">
        <v>417.81064378999997</v>
      </c>
      <c r="AB95" s="771">
        <f t="shared" si="64"/>
        <v>4.6752597641441538</v>
      </c>
      <c r="AC95" s="771">
        <v>42.729035799999998</v>
      </c>
      <c r="AD95" s="771">
        <f t="shared" si="65"/>
        <v>0.4781336828192993</v>
      </c>
      <c r="AE95" s="771">
        <v>8.0885206299999997</v>
      </c>
      <c r="AF95" s="771">
        <f t="shared" si="65"/>
        <v>9.0509745538928807E-2</v>
      </c>
      <c r="AG95" s="771">
        <v>9.1392802399999997</v>
      </c>
      <c r="AH95" s="771">
        <f t="shared" si="66"/>
        <v>0.1022676416084458</v>
      </c>
      <c r="AI95" s="287">
        <v>180.01623324600001</v>
      </c>
    </row>
    <row r="96" spans="1:35" hidden="1">
      <c r="A96" s="765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70">
        <f t="shared" si="58"/>
        <v>47.920827429999257</v>
      </c>
      <c r="Z96" s="287">
        <f t="shared" si="63"/>
        <v>0.52862202009452819</v>
      </c>
      <c r="AA96" s="771">
        <v>424.71866456999999</v>
      </c>
      <c r="AB96" s="771">
        <f t="shared" si="64"/>
        <v>4.6851369326793613</v>
      </c>
      <c r="AC96" s="771">
        <v>42.629594330000003</v>
      </c>
      <c r="AD96" s="771">
        <f t="shared" si="65"/>
        <v>0.4702536137017449</v>
      </c>
      <c r="AE96" s="771">
        <v>11.38202916</v>
      </c>
      <c r="AF96" s="771">
        <f t="shared" si="65"/>
        <v>0.12555691481168818</v>
      </c>
      <c r="AG96" s="771">
        <v>15.4894607</v>
      </c>
      <c r="AH96" s="771">
        <f t="shared" si="66"/>
        <v>0.1708666240659053</v>
      </c>
      <c r="AI96" s="287">
        <v>150.89726716000001</v>
      </c>
    </row>
    <row r="97" spans="1:35" hidden="1">
      <c r="A97" s="765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70">
        <f t="shared" si="58"/>
        <v>47.926678609999215</v>
      </c>
      <c r="Z97" s="287">
        <f t="shared" si="63"/>
        <v>0.52714500099626838</v>
      </c>
      <c r="AA97" s="771">
        <v>423.83176522999997</v>
      </c>
      <c r="AB97" s="771">
        <f t="shared" si="64"/>
        <v>4.661720836582341</v>
      </c>
      <c r="AC97" s="771">
        <v>42.90915699</v>
      </c>
      <c r="AD97" s="771">
        <f t="shared" si="65"/>
        <v>0.47195733692097297</v>
      </c>
      <c r="AE97" s="771">
        <v>7.8429418999999996</v>
      </c>
      <c r="AF97" s="771">
        <f t="shared" si="65"/>
        <v>8.6264430075206552E-2</v>
      </c>
      <c r="AG97" s="771">
        <v>17.575750020000001</v>
      </c>
      <c r="AH97" s="771">
        <f t="shared" si="66"/>
        <v>0.19331547752758443</v>
      </c>
      <c r="AI97" s="287">
        <v>137.64011972</v>
      </c>
    </row>
    <row r="98" spans="1:35" hidden="1">
      <c r="A98" s="765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70">
        <f t="shared" si="58"/>
        <v>46.043434350000659</v>
      </c>
      <c r="Z98" s="287">
        <f t="shared" si="63"/>
        <v>0.50247327900748928</v>
      </c>
      <c r="AA98" s="771">
        <v>430.83065515999999</v>
      </c>
      <c r="AB98" s="771">
        <f t="shared" si="64"/>
        <v>4.7016669162774329</v>
      </c>
      <c r="AC98" s="771">
        <v>44.068022310000003</v>
      </c>
      <c r="AD98" s="771">
        <f t="shared" si="65"/>
        <v>0.4809155525011477</v>
      </c>
      <c r="AE98" s="771">
        <v>7.71011062</v>
      </c>
      <c r="AF98" s="771">
        <f t="shared" si="65"/>
        <v>8.4140651526829688E-2</v>
      </c>
      <c r="AG98" s="771">
        <v>9.8517729200000002</v>
      </c>
      <c r="AH98" s="771">
        <f t="shared" si="66"/>
        <v>0.10751267174207904</v>
      </c>
      <c r="AI98" s="287">
        <v>146.31131445</v>
      </c>
    </row>
    <row r="99" spans="1:35">
      <c r="A99" s="765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70">
        <f t="shared" si="58"/>
        <v>46.798042829999929</v>
      </c>
      <c r="Z99" s="287">
        <v>0.47509254610155854</v>
      </c>
      <c r="AA99" s="771">
        <v>419.86985619000006</v>
      </c>
      <c r="AB99" s="771">
        <v>4.2625081508906062</v>
      </c>
      <c r="AC99" s="771">
        <v>49.116020549999995</v>
      </c>
      <c r="AD99" s="771">
        <v>0.49862459723459351</v>
      </c>
      <c r="AE99" s="771">
        <v>2.8309023600000001</v>
      </c>
      <c r="AF99" s="771">
        <v>2.8739249093450027E-2</v>
      </c>
      <c r="AG99" s="771">
        <v>12.24163136</v>
      </c>
      <c r="AH99" s="771">
        <v>0.12427673166559845</v>
      </c>
      <c r="AI99" s="287">
        <v>176.36550674999998</v>
      </c>
    </row>
    <row r="100" spans="1:35" hidden="1">
      <c r="A100" s="765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70">
        <f t="shared" si="58"/>
        <v>44.543148709999279</v>
      </c>
      <c r="Z100" s="287">
        <f t="shared" ref="Z100:Z111" si="78">Y100/$B100*100</f>
        <v>0.4868228361061433</v>
      </c>
      <c r="AA100" s="771">
        <v>434.5540914</v>
      </c>
      <c r="AB100" s="771">
        <f t="shared" ref="AB100:AB111" si="79">AA100/B100*100</f>
        <v>4.7493466749328874</v>
      </c>
      <c r="AC100" s="771">
        <v>44.006350779999998</v>
      </c>
      <c r="AD100" s="771">
        <f t="shared" ref="AD100:AD109" si="80">AC100/$B100*100</f>
        <v>0.48095604181192908</v>
      </c>
      <c r="AE100" s="771">
        <v>2.8319034699999999</v>
      </c>
      <c r="AF100" s="771">
        <f t="shared" ref="AF100:AF111" si="81">AE100/$B100*100</f>
        <v>3.0950557353273612E-2</v>
      </c>
      <c r="AG100" s="771">
        <v>9.6078955399999995</v>
      </c>
      <c r="AH100" s="771">
        <f t="shared" ref="AH100:AH111" si="82">AG100/$B100*100</f>
        <v>0.10500701210519432</v>
      </c>
      <c r="AI100" s="287">
        <v>141.81967291999999</v>
      </c>
    </row>
    <row r="101" spans="1:35" hidden="1">
      <c r="A101" s="765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70">
        <f t="shared" si="58"/>
        <v>43.535314710001366</v>
      </c>
      <c r="Z101" s="287">
        <f t="shared" si="78"/>
        <v>0.47565000519276746</v>
      </c>
      <c r="AA101" s="771">
        <v>445.17747466999998</v>
      </c>
      <c r="AB101" s="771">
        <f t="shared" si="79"/>
        <v>4.8638368540343544</v>
      </c>
      <c r="AC101" s="771">
        <v>43.811693380000001</v>
      </c>
      <c r="AD101" s="771">
        <f t="shared" si="80"/>
        <v>0.47866961161334126</v>
      </c>
      <c r="AE101" s="771">
        <v>2.8319034699999999</v>
      </c>
      <c r="AF101" s="771">
        <f t="shared" si="81"/>
        <v>3.0940281681286916E-2</v>
      </c>
      <c r="AG101" s="771">
        <v>11.392530600000001</v>
      </c>
      <c r="AH101" s="771">
        <f t="shared" si="82"/>
        <v>0.12447038169231125</v>
      </c>
      <c r="AI101" s="287">
        <v>194.93276281999999</v>
      </c>
    </row>
    <row r="102" spans="1:35" hidden="1">
      <c r="A102" s="765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70">
        <f t="shared" si="58"/>
        <v>42.576903770000058</v>
      </c>
      <c r="Z102" s="287">
        <f t="shared" si="78"/>
        <v>0.50892865642652996</v>
      </c>
      <c r="AA102" s="771">
        <v>458.54266514000005</v>
      </c>
      <c r="AB102" s="771">
        <f t="shared" si="79"/>
        <v>5.4810350640943311</v>
      </c>
      <c r="AC102" s="771">
        <v>43.710342609999998</v>
      </c>
      <c r="AD102" s="771">
        <f t="shared" si="80"/>
        <v>0.52247683524899424</v>
      </c>
      <c r="AE102" s="771">
        <v>3.8762518200000002</v>
      </c>
      <c r="AF102" s="771">
        <f t="shared" si="81"/>
        <v>4.6333468525099585E-2</v>
      </c>
      <c r="AG102" s="771">
        <v>12.641863939999999</v>
      </c>
      <c r="AH102" s="771">
        <f t="shared" si="82"/>
        <v>0.15111025603145187</v>
      </c>
      <c r="AI102" s="287">
        <v>161.02556691000001</v>
      </c>
    </row>
    <row r="103" spans="1:35" hidden="1">
      <c r="A103" s="765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70">
        <f t="shared" si="58"/>
        <v>41.149121900000374</v>
      </c>
      <c r="Z103" s="287">
        <f t="shared" si="78"/>
        <v>0.480174098579632</v>
      </c>
      <c r="AA103" s="771">
        <v>457.32332653000003</v>
      </c>
      <c r="AB103" s="771">
        <f t="shared" si="79"/>
        <v>5.3365614121641674</v>
      </c>
      <c r="AC103" s="771">
        <v>43.663654530000002</v>
      </c>
      <c r="AD103" s="771">
        <f t="shared" si="80"/>
        <v>0.50951648508045133</v>
      </c>
      <c r="AE103" s="771">
        <v>4.3976874199999996</v>
      </c>
      <c r="AF103" s="771">
        <f t="shared" si="81"/>
        <v>5.1317148343169583E-2</v>
      </c>
      <c r="AG103" s="771">
        <v>10.969980949999998</v>
      </c>
      <c r="AH103" s="771">
        <f t="shared" si="82"/>
        <v>0.12801003936130012</v>
      </c>
      <c r="AI103" s="287">
        <v>162.24791894000001</v>
      </c>
    </row>
    <row r="104" spans="1:35" hidden="1">
      <c r="A104" s="765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70">
        <f t="shared" si="58"/>
        <v>42.100117579999441</v>
      </c>
      <c r="Z104" s="287">
        <f t="shared" si="78"/>
        <v>0.48500054137992693</v>
      </c>
      <c r="AA104" s="771">
        <v>467.63716241999998</v>
      </c>
      <c r="AB104" s="771">
        <f t="shared" si="79"/>
        <v>5.387259940832589</v>
      </c>
      <c r="AC104" s="771">
        <v>43.882808179999998</v>
      </c>
      <c r="AD104" s="771">
        <f t="shared" si="80"/>
        <v>0.50553744141281243</v>
      </c>
      <c r="AE104" s="771">
        <v>5.8882443200000001</v>
      </c>
      <c r="AF104" s="771">
        <f t="shared" si="81"/>
        <v>6.783357974121168E-2</v>
      </c>
      <c r="AG104" s="771">
        <v>8.4012334299999996</v>
      </c>
      <c r="AH104" s="771">
        <f t="shared" si="82"/>
        <v>9.6783643277634626E-2</v>
      </c>
      <c r="AI104" s="287">
        <v>162.19510994000001</v>
      </c>
    </row>
    <row r="105" spans="1:35" hidden="1">
      <c r="A105" s="765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70">
        <f t="shared" si="58"/>
        <v>41.461094319998892</v>
      </c>
      <c r="Z105" s="287">
        <f t="shared" si="78"/>
        <v>0.46659476725649507</v>
      </c>
      <c r="AA105" s="771">
        <v>468.97917860000001</v>
      </c>
      <c r="AB105" s="771">
        <f t="shared" si="79"/>
        <v>5.2777967942215929</v>
      </c>
      <c r="AC105" s="771">
        <v>43.735477620000005</v>
      </c>
      <c r="AD105" s="771">
        <f t="shared" si="80"/>
        <v>0.49219021677178193</v>
      </c>
      <c r="AE105" s="771">
        <v>6.5511901100000003</v>
      </c>
      <c r="AF105" s="771">
        <f t="shared" si="81"/>
        <v>7.3725768090835669E-2</v>
      </c>
      <c r="AG105" s="771">
        <v>9.9653885799999991</v>
      </c>
      <c r="AH105" s="771">
        <f t="shared" si="82"/>
        <v>0.11214846692704848</v>
      </c>
      <c r="AI105" s="287">
        <v>173.43475409999999</v>
      </c>
    </row>
    <row r="106" spans="1:35" hidden="1">
      <c r="A106" s="765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70">
        <f t="shared" si="58"/>
        <v>41.959761200000628</v>
      </c>
      <c r="Z106" s="287">
        <f t="shared" si="78"/>
        <v>0.46363504491435714</v>
      </c>
      <c r="AA106" s="771">
        <v>486.03643492000003</v>
      </c>
      <c r="AB106" s="771">
        <f t="shared" si="79"/>
        <v>5.370467273635124</v>
      </c>
      <c r="AC106" s="771">
        <v>47.64222075</v>
      </c>
      <c r="AD106" s="771">
        <f t="shared" si="80"/>
        <v>0.52642347157222713</v>
      </c>
      <c r="AE106" s="771">
        <v>2.72354568</v>
      </c>
      <c r="AF106" s="771">
        <f t="shared" si="81"/>
        <v>3.0093861060226542E-2</v>
      </c>
      <c r="AG106" s="771">
        <v>10.688636379999998</v>
      </c>
      <c r="AH106" s="771">
        <f t="shared" si="82"/>
        <v>0.1181042567066482</v>
      </c>
      <c r="AI106" s="287">
        <v>172.00800230999997</v>
      </c>
    </row>
    <row r="107" spans="1:35" hidden="1">
      <c r="A107" s="765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70">
        <f t="shared" si="58"/>
        <v>44.923335969998497</v>
      </c>
      <c r="Z107" s="287">
        <f t="shared" si="78"/>
        <v>0.47495936143530137</v>
      </c>
      <c r="AA107" s="771">
        <v>480.61537840000005</v>
      </c>
      <c r="AB107" s="771">
        <f t="shared" si="79"/>
        <v>5.081385170800738</v>
      </c>
      <c r="AC107" s="771">
        <v>47.63692975</v>
      </c>
      <c r="AD107" s="771">
        <f t="shared" si="80"/>
        <v>0.50364927818157912</v>
      </c>
      <c r="AE107" s="771">
        <v>7.5003392099999999</v>
      </c>
      <c r="AF107" s="771">
        <f t="shared" si="81"/>
        <v>7.9298570438064292E-2</v>
      </c>
      <c r="AG107" s="771">
        <v>8.6733584500000003</v>
      </c>
      <c r="AH107" s="771">
        <f t="shared" si="82"/>
        <v>9.1700509366949706E-2</v>
      </c>
      <c r="AI107" s="287">
        <v>167.40083873000003</v>
      </c>
    </row>
    <row r="108" spans="1:35" hidden="1">
      <c r="A108" s="765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70">
        <f t="shared" si="58"/>
        <v>44.062521600001709</v>
      </c>
      <c r="Z108" s="287">
        <f t="shared" si="78"/>
        <v>0.45909688886679439</v>
      </c>
      <c r="AA108" s="771">
        <v>461.83439346</v>
      </c>
      <c r="AB108" s="771">
        <f t="shared" si="79"/>
        <v>4.8119518699801507</v>
      </c>
      <c r="AC108" s="771">
        <v>48.13454119</v>
      </c>
      <c r="AD108" s="771">
        <f t="shared" si="80"/>
        <v>0.50152413672481944</v>
      </c>
      <c r="AE108" s="771">
        <v>6.0931551099999997</v>
      </c>
      <c r="AF108" s="771">
        <f t="shared" si="81"/>
        <v>6.3485893516899899E-2</v>
      </c>
      <c r="AG108" s="771">
        <v>6.7998069999999995</v>
      </c>
      <c r="AH108" s="771">
        <f t="shared" si="82"/>
        <v>7.0848651535061702E-2</v>
      </c>
      <c r="AI108" s="287">
        <v>186.50762703000001</v>
      </c>
    </row>
    <row r="109" spans="1:35" hidden="1">
      <c r="A109" s="765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70">
        <f t="shared" si="58"/>
        <v>46.411983180000107</v>
      </c>
      <c r="Z109" s="287">
        <f t="shared" si="78"/>
        <v>0.47817087668223895</v>
      </c>
      <c r="AA109" s="771">
        <v>447.89206051999997</v>
      </c>
      <c r="AB109" s="771">
        <f t="shared" si="79"/>
        <v>4.6145181602615226</v>
      </c>
      <c r="AC109" s="771">
        <v>48.122147700000006</v>
      </c>
      <c r="AD109" s="771">
        <f t="shared" si="80"/>
        <v>0.49579026744663951</v>
      </c>
      <c r="AE109" s="771">
        <v>1.08437329</v>
      </c>
      <c r="AF109" s="771">
        <f t="shared" si="81"/>
        <v>1.1172022637324901E-2</v>
      </c>
      <c r="AG109" s="771">
        <v>6.2547379699999999</v>
      </c>
      <c r="AH109" s="771">
        <f t="shared" si="82"/>
        <v>6.4440976954878326E-2</v>
      </c>
      <c r="AI109" s="287">
        <v>175.44406490000003</v>
      </c>
    </row>
    <row r="110" spans="1:35" hidden="1">
      <c r="A110" s="765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70">
        <f t="shared" si="58"/>
        <v>45.381306389998365</v>
      </c>
      <c r="Z110" s="287">
        <f t="shared" si="78"/>
        <v>0.46388937470707942</v>
      </c>
      <c r="AA110" s="771">
        <v>421.68031010000004</v>
      </c>
      <c r="AB110" s="771">
        <f t="shared" si="79"/>
        <v>4.3104315617870297</v>
      </c>
      <c r="AC110" s="771">
        <v>48.097308099999999</v>
      </c>
      <c r="AD110" s="771">
        <f>AC110/$B110*100</f>
        <v>0.49165244358236621</v>
      </c>
      <c r="AE110" s="771">
        <v>5.5164217300000002</v>
      </c>
      <c r="AF110" s="771">
        <f t="shared" si="81"/>
        <v>5.6389064804759088E-2</v>
      </c>
      <c r="AG110" s="771">
        <v>7.3093954100000005</v>
      </c>
      <c r="AH110" s="771">
        <f t="shared" si="82"/>
        <v>7.4716907377945993E-2</v>
      </c>
      <c r="AI110" s="287">
        <v>173.63879934000005</v>
      </c>
    </row>
    <row r="111" spans="1:35" hidden="1">
      <c r="A111" s="765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70">
        <f t="shared" si="58"/>
        <v>46.798042829999929</v>
      </c>
      <c r="Z111" s="287">
        <f t="shared" si="78"/>
        <v>0.47509254610155854</v>
      </c>
      <c r="AA111" s="771">
        <v>419.86985619000006</v>
      </c>
      <c r="AB111" s="771">
        <f t="shared" si="79"/>
        <v>4.2625081508906062</v>
      </c>
      <c r="AC111" s="771">
        <v>49.116020549999995</v>
      </c>
      <c r="AD111" s="771">
        <f>AC111/$B111*100</f>
        <v>0.49862459723459351</v>
      </c>
      <c r="AE111" s="771">
        <v>2.8309023600000001</v>
      </c>
      <c r="AF111" s="771">
        <f t="shared" si="81"/>
        <v>2.8739249093450027E-2</v>
      </c>
      <c r="AG111" s="771">
        <v>12.24163136</v>
      </c>
      <c r="AH111" s="771">
        <f t="shared" si="82"/>
        <v>0.12427673166559845</v>
      </c>
      <c r="AI111" s="287">
        <v>176.36550674999998</v>
      </c>
    </row>
    <row r="112" spans="1:35">
      <c r="A112" s="765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70">
        <f t="shared" si="58"/>
        <v>17.221721410000228</v>
      </c>
      <c r="Z112" s="287">
        <v>0.14065756918014036</v>
      </c>
      <c r="AA112" s="771">
        <v>480.93407215000002</v>
      </c>
      <c r="AB112" s="771">
        <v>3.9280055642547032</v>
      </c>
      <c r="AC112" s="771">
        <v>44.144264329999999</v>
      </c>
      <c r="AD112" s="771">
        <v>0.36054612463408181</v>
      </c>
      <c r="AE112" s="771">
        <v>43.211517909999998</v>
      </c>
      <c r="AF112" s="771">
        <v>0.35292796376762542</v>
      </c>
      <c r="AG112" s="771">
        <v>2.2770292700000003</v>
      </c>
      <c r="AH112" s="771">
        <v>1.8597525441576942E-2</v>
      </c>
      <c r="AI112" s="287">
        <v>176.08680903999996</v>
      </c>
    </row>
    <row r="113" spans="1:35" hidden="1">
      <c r="A113" s="765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8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9">
        <v>432.26369215</v>
      </c>
      <c r="AB113" s="769">
        <f t="shared" ref="AB113:AB124" si="96">AA113/B113*100</f>
        <v>4.329320295497344</v>
      </c>
      <c r="AC113" s="769">
        <v>48.842906480000003</v>
      </c>
      <c r="AD113" s="769">
        <f t="shared" ref="AD113:AD124" si="97">AC113/$B113*100</f>
        <v>0.48918424136710781</v>
      </c>
      <c r="AE113" s="769">
        <v>0.52715458000000004</v>
      </c>
      <c r="AF113" s="769">
        <f t="shared" ref="AF113:AF124" si="98">AE113/$B113*100</f>
        <v>5.2796963138565531E-3</v>
      </c>
      <c r="AG113" s="769">
        <v>9.0912836299999995</v>
      </c>
      <c r="AH113" s="769">
        <f t="shared" ref="AH113:AH124" si="99">AG113/$B113*100</f>
        <v>9.1053399686929423E-2</v>
      </c>
      <c r="AI113" s="193">
        <v>180.27205216999997</v>
      </c>
    </row>
    <row r="114" spans="1:35" hidden="1">
      <c r="A114" s="765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8">
        <f t="shared" si="94"/>
        <v>48.792021899998545</v>
      </c>
      <c r="Z114" s="193">
        <f t="shared" si="95"/>
        <v>0.48275886169236892</v>
      </c>
      <c r="AA114" s="769">
        <v>447.24085879000006</v>
      </c>
      <c r="AB114" s="769">
        <f t="shared" si="96"/>
        <v>4.4250981919604433</v>
      </c>
      <c r="AC114" s="769">
        <v>48.830342800000004</v>
      </c>
      <c r="AD114" s="769">
        <f t="shared" si="97"/>
        <v>0.48313801699980108</v>
      </c>
      <c r="AE114" s="769">
        <v>0.22700659000000001</v>
      </c>
      <c r="AF114" s="769">
        <f t="shared" si="98"/>
        <v>2.2460525044376073E-3</v>
      </c>
      <c r="AG114" s="769">
        <v>8.4157547400000006</v>
      </c>
      <c r="AH114" s="769">
        <f t="shared" si="99"/>
        <v>8.3267305193693561E-2</v>
      </c>
      <c r="AI114" s="193">
        <v>180.86095100000003</v>
      </c>
    </row>
    <row r="115" spans="1:35" hidden="1">
      <c r="A115" s="765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8">
        <f t="shared" si="94"/>
        <v>48.574769040000227</v>
      </c>
      <c r="Z115" s="193">
        <f t="shared" si="95"/>
        <v>0.47794723700436076</v>
      </c>
      <c r="AA115" s="769">
        <v>461.26904721000005</v>
      </c>
      <c r="AB115" s="769">
        <f t="shared" si="96"/>
        <v>4.5386168784067271</v>
      </c>
      <c r="AC115" s="769">
        <v>47.033748729999999</v>
      </c>
      <c r="AD115" s="769">
        <f t="shared" si="97"/>
        <v>0.46278450100193735</v>
      </c>
      <c r="AE115" s="769">
        <v>0.22700659000000001</v>
      </c>
      <c r="AF115" s="769">
        <f t="shared" si="98"/>
        <v>2.233611700406373E-3</v>
      </c>
      <c r="AG115" s="769">
        <v>3.6098127900000003</v>
      </c>
      <c r="AH115" s="769">
        <f t="shared" si="99"/>
        <v>3.5518440605713582E-2</v>
      </c>
      <c r="AI115" s="193">
        <v>188.36713871000001</v>
      </c>
    </row>
    <row r="116" spans="1:35" hidden="1">
      <c r="A116" s="765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8">
        <f t="shared" si="94"/>
        <v>44.350869190000616</v>
      </c>
      <c r="Z116" s="193">
        <f t="shared" si="95"/>
        <v>0.42796201443497212</v>
      </c>
      <c r="AA116" s="769">
        <v>495.03082351999996</v>
      </c>
      <c r="AB116" s="769">
        <f t="shared" si="96"/>
        <v>4.776780981076854</v>
      </c>
      <c r="AC116" s="769">
        <v>44.666871679999993</v>
      </c>
      <c r="AD116" s="769">
        <f t="shared" si="97"/>
        <v>0.43101126836519932</v>
      </c>
      <c r="AE116" s="769">
        <v>0.22700659000000001</v>
      </c>
      <c r="AF116" s="769">
        <f t="shared" si="98"/>
        <v>2.1904914000719826E-3</v>
      </c>
      <c r="AG116" s="769">
        <v>2.6236492900000004</v>
      </c>
      <c r="AH116" s="769">
        <f t="shared" si="99"/>
        <v>2.5316803386853062E-2</v>
      </c>
      <c r="AI116" s="193">
        <v>182.39958403999998</v>
      </c>
    </row>
    <row r="117" spans="1:35" hidden="1">
      <c r="A117" s="765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8">
        <f t="shared" si="94"/>
        <v>44.238021080000308</v>
      </c>
      <c r="Z117" s="193">
        <f t="shared" si="95"/>
        <v>0.42085273038235405</v>
      </c>
      <c r="AA117" s="769">
        <v>482.42762698000001</v>
      </c>
      <c r="AB117" s="769">
        <f t="shared" si="96"/>
        <v>4.5895132528475973</v>
      </c>
      <c r="AC117" s="769">
        <v>44.897023869999998</v>
      </c>
      <c r="AD117" s="769">
        <f t="shared" si="97"/>
        <v>0.42712206876436276</v>
      </c>
      <c r="AE117" s="769">
        <v>3.3552152299999998</v>
      </c>
      <c r="AF117" s="769">
        <f t="shared" si="98"/>
        <v>3.1919409053411209E-2</v>
      </c>
      <c r="AG117" s="769">
        <v>2.4754337899999999</v>
      </c>
      <c r="AH117" s="769">
        <f t="shared" si="99"/>
        <v>2.3549721347576866E-2</v>
      </c>
      <c r="AI117" s="193">
        <v>186.23733269000002</v>
      </c>
    </row>
    <row r="118" spans="1:35" hidden="1">
      <c r="A118" s="765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8">
        <f t="shared" si="94"/>
        <v>48.594245109999761</v>
      </c>
      <c r="Z118" s="193">
        <f t="shared" si="95"/>
        <v>0.45267910700576452</v>
      </c>
      <c r="AA118" s="769">
        <v>491.78397663999999</v>
      </c>
      <c r="AB118" s="769">
        <f t="shared" si="96"/>
        <v>4.5812077311049322</v>
      </c>
      <c r="AC118" s="769">
        <v>44.93682467</v>
      </c>
      <c r="AD118" s="769">
        <f t="shared" si="97"/>
        <v>0.41860845079995335</v>
      </c>
      <c r="AE118" s="769">
        <v>0.84076993</v>
      </c>
      <c r="AF118" s="769">
        <f t="shared" si="98"/>
        <v>7.8321821904664031E-3</v>
      </c>
      <c r="AG118" s="769">
        <v>2.6007239499999999</v>
      </c>
      <c r="AH118" s="769">
        <f t="shared" si="99"/>
        <v>2.4227012737609958E-2</v>
      </c>
      <c r="AI118" s="193">
        <v>170.64799898000001</v>
      </c>
    </row>
    <row r="119" spans="1:35" hidden="1">
      <c r="A119" s="765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8">
        <f t="shared" si="94"/>
        <v>45.163522069999864</v>
      </c>
      <c r="Z119" s="193">
        <f t="shared" si="95"/>
        <v>0.42104963673517432</v>
      </c>
      <c r="AA119" s="769">
        <v>488.04474753</v>
      </c>
      <c r="AB119" s="769">
        <f t="shared" si="96"/>
        <v>4.5499344214014474</v>
      </c>
      <c r="AC119" s="769">
        <v>44.627974850000001</v>
      </c>
      <c r="AD119" s="769">
        <f t="shared" si="97"/>
        <v>0.41605684715410529</v>
      </c>
      <c r="AE119" s="769">
        <v>3.9329004300000001</v>
      </c>
      <c r="AF119" s="769">
        <f t="shared" si="98"/>
        <v>3.6665570386661288E-2</v>
      </c>
      <c r="AG119" s="769">
        <v>2.7052978699999999</v>
      </c>
      <c r="AH119" s="769">
        <f t="shared" si="99"/>
        <v>2.5220900257922334E-2</v>
      </c>
      <c r="AI119" s="193">
        <v>181.28019143999998</v>
      </c>
    </row>
    <row r="120" spans="1:35" hidden="1">
      <c r="A120" s="765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8">
        <f t="shared" si="94"/>
        <v>42.905359189999963</v>
      </c>
      <c r="Z120" s="193">
        <f t="shared" si="95"/>
        <v>0.38800982199885864</v>
      </c>
      <c r="AA120" s="769">
        <v>471.15183034</v>
      </c>
      <c r="AB120" s="769">
        <f t="shared" si="96"/>
        <v>4.2608089356648033</v>
      </c>
      <c r="AC120" s="769">
        <v>44.563893579999998</v>
      </c>
      <c r="AD120" s="769">
        <f t="shared" si="97"/>
        <v>0.40300859244599863</v>
      </c>
      <c r="AE120" s="769">
        <v>4.32365143</v>
      </c>
      <c r="AF120" s="769">
        <f t="shared" si="98"/>
        <v>3.910045862360282E-2</v>
      </c>
      <c r="AG120" s="769">
        <v>1.3023322500000001</v>
      </c>
      <c r="AH120" s="769">
        <f t="shared" si="99"/>
        <v>1.1777496192681879E-2</v>
      </c>
      <c r="AI120" s="193">
        <v>178.23717610999998</v>
      </c>
    </row>
    <row r="121" spans="1:35" hidden="1">
      <c r="A121" s="765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8">
        <f t="shared" si="94"/>
        <v>42.315234400000016</v>
      </c>
      <c r="Z121" s="193">
        <f t="shared" si="95"/>
        <v>0.3718117415681913</v>
      </c>
      <c r="AA121" s="769">
        <v>491.45459178999999</v>
      </c>
      <c r="AB121" s="769">
        <f t="shared" si="96"/>
        <v>4.3182695373447899</v>
      </c>
      <c r="AC121" s="769">
        <v>44.674372490000003</v>
      </c>
      <c r="AD121" s="769">
        <f t="shared" si="97"/>
        <v>0.39254080650851814</v>
      </c>
      <c r="AE121" s="769">
        <v>3.0678991500000001</v>
      </c>
      <c r="AF121" s="769">
        <f t="shared" si="98"/>
        <v>2.6956743643066605E-2</v>
      </c>
      <c r="AG121" s="769">
        <v>1.67025457</v>
      </c>
      <c r="AH121" s="769">
        <f t="shared" si="99"/>
        <v>1.4676044439775814E-2</v>
      </c>
      <c r="AI121" s="193">
        <v>188.01630741000002</v>
      </c>
    </row>
    <row r="122" spans="1:35" hidden="1">
      <c r="A122" s="765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8">
        <f t="shared" si="94"/>
        <v>45.155568689999825</v>
      </c>
      <c r="Z122" s="193">
        <f t="shared" si="95"/>
        <v>0.38781820282141105</v>
      </c>
      <c r="AA122" s="769">
        <v>486.66240521999998</v>
      </c>
      <c r="AB122" s="769">
        <f t="shared" si="96"/>
        <v>4.1796957683972957</v>
      </c>
      <c r="AC122" s="769">
        <v>43.864977279999991</v>
      </c>
      <c r="AD122" s="769">
        <f t="shared" si="97"/>
        <v>0.37673396989680763</v>
      </c>
      <c r="AE122" s="769">
        <v>4.9643910899999995</v>
      </c>
      <c r="AF122" s="769">
        <f t="shared" si="98"/>
        <v>4.2636629024512748E-2</v>
      </c>
      <c r="AG122" s="769">
        <v>1.4038676500000002</v>
      </c>
      <c r="AH122" s="769">
        <f t="shared" si="99"/>
        <v>1.2057104911241899E-2</v>
      </c>
      <c r="AI122" s="193">
        <v>180.04947742000004</v>
      </c>
    </row>
    <row r="123" spans="1:35" hidden="1">
      <c r="A123" s="765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8">
        <f t="shared" si="94"/>
        <v>49.831146329999939</v>
      </c>
      <c r="Z123" s="193">
        <f t="shared" si="95"/>
        <v>0.42479960034621661</v>
      </c>
      <c r="AA123" s="769">
        <v>481.49746983</v>
      </c>
      <c r="AB123" s="769">
        <f t="shared" si="96"/>
        <v>4.1046603944641529</v>
      </c>
      <c r="AC123" s="769">
        <v>44.971368609999999</v>
      </c>
      <c r="AD123" s="769">
        <f t="shared" si="97"/>
        <v>0.383371060461623</v>
      </c>
      <c r="AE123" s="769">
        <v>19.431052789999999</v>
      </c>
      <c r="AF123" s="769">
        <f t="shared" si="98"/>
        <v>0.16564546608731903</v>
      </c>
      <c r="AG123" s="769">
        <v>1.6767096799999999</v>
      </c>
      <c r="AH123" s="769">
        <f t="shared" si="99"/>
        <v>1.4293582516519915E-2</v>
      </c>
      <c r="AI123" s="193">
        <v>174.07808797000001</v>
      </c>
    </row>
    <row r="124" spans="1:35" hidden="1">
      <c r="A124" s="765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8">
        <f t="shared" si="94"/>
        <v>17.221721410000228</v>
      </c>
      <c r="Z124" s="193">
        <f t="shared" si="95"/>
        <v>0.14065756918014036</v>
      </c>
      <c r="AA124" s="769">
        <v>480.93407215000002</v>
      </c>
      <c r="AB124" s="769">
        <f t="shared" si="96"/>
        <v>3.9280055642547032</v>
      </c>
      <c r="AC124" s="769">
        <v>44.144264329999999</v>
      </c>
      <c r="AD124" s="769">
        <f t="shared" si="97"/>
        <v>0.36054612463408181</v>
      </c>
      <c r="AE124" s="769">
        <v>43.211517909999998</v>
      </c>
      <c r="AF124" s="769">
        <f t="shared" si="98"/>
        <v>0.35292796376762542</v>
      </c>
      <c r="AG124" s="769">
        <v>2.2770292700000003</v>
      </c>
      <c r="AH124" s="769">
        <f t="shared" si="99"/>
        <v>1.8597525441576942E-2</v>
      </c>
      <c r="AI124" s="193">
        <v>176.08680903999996</v>
      </c>
    </row>
    <row r="125" spans="1:35">
      <c r="A125" s="765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70">
        <v>233.6665964100014</v>
      </c>
      <c r="Z125" s="287">
        <v>1.5150589381162907</v>
      </c>
      <c r="AA125" s="771">
        <v>492.45224848999999</v>
      </c>
      <c r="AB125" s="771">
        <v>3.1929860413642963</v>
      </c>
      <c r="AC125" s="771">
        <v>39.79410395</v>
      </c>
      <c r="AD125" s="771">
        <v>0.25801896291581256</v>
      </c>
      <c r="AE125" s="771">
        <v>3.0852378900000001</v>
      </c>
      <c r="AF125" s="771">
        <v>2.0004216748455515E-2</v>
      </c>
      <c r="AG125" s="771">
        <v>12.756232730000001</v>
      </c>
      <c r="AH125" s="771">
        <v>8.2709487411572788E-2</v>
      </c>
      <c r="AI125" s="287">
        <v>247.24514382999999</v>
      </c>
    </row>
    <row r="126" spans="1:35">
      <c r="A126" s="765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8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9">
        <v>478.17058216999999</v>
      </c>
      <c r="AB126" s="769">
        <f t="shared" ref="AB126:AB137" si="113">AA126/B126*100</f>
        <v>3.8317184764307255</v>
      </c>
      <c r="AC126" s="769">
        <v>44.179691320000003</v>
      </c>
      <c r="AD126" s="769">
        <f t="shared" ref="AD126:AD137" si="114">AC126/$B126*100</f>
        <v>0.35402457998485981</v>
      </c>
      <c r="AE126" s="769">
        <v>8.3879999999999996E-2</v>
      </c>
      <c r="AF126" s="769">
        <f t="shared" ref="AF126:AF137" si="115">AE126/$B126*100</f>
        <v>6.7215457785887566E-4</v>
      </c>
      <c r="AG126" s="769">
        <v>8.2217363500000005</v>
      </c>
      <c r="AH126" s="769">
        <f t="shared" ref="AH126:AH137" si="116">AG126/$B126*100</f>
        <v>6.5883139313319322E-2</v>
      </c>
      <c r="AI126" s="193">
        <v>148.52589585999999</v>
      </c>
    </row>
    <row r="127" spans="1:35">
      <c r="A127" s="765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8">
        <f t="shared" si="111"/>
        <v>143.46907499999773</v>
      </c>
      <c r="Z127" s="193">
        <f t="shared" si="112"/>
        <v>1.1752133510074587</v>
      </c>
      <c r="AA127" s="769">
        <v>455.97012004999999</v>
      </c>
      <c r="AB127" s="769">
        <f t="shared" si="113"/>
        <v>3.7350360887406731</v>
      </c>
      <c r="AC127" s="769">
        <v>44.251221149999999</v>
      </c>
      <c r="AD127" s="769">
        <f t="shared" si="114"/>
        <v>0.36247969044105471</v>
      </c>
      <c r="AE127" s="769">
        <v>8.3879999999999996E-2</v>
      </c>
      <c r="AF127" s="769">
        <f t="shared" si="115"/>
        <v>6.8709508221550327E-4</v>
      </c>
      <c r="AG127" s="769">
        <v>7.2023713200000001</v>
      </c>
      <c r="AH127" s="769">
        <f t="shared" si="116"/>
        <v>5.8997543088483352E-2</v>
      </c>
      <c r="AI127" s="193">
        <v>169.21283187</v>
      </c>
    </row>
    <row r="128" spans="1:35">
      <c r="A128" s="765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8">
        <f t="shared" si="111"/>
        <v>148.58252837000248</v>
      </c>
      <c r="Z128" s="193">
        <f t="shared" si="112"/>
        <v>1.1933272095879048</v>
      </c>
      <c r="AA128" s="769">
        <v>452.36562629000002</v>
      </c>
      <c r="AB128" s="769">
        <f t="shared" si="113"/>
        <v>3.6331338311181667</v>
      </c>
      <c r="AC128" s="769">
        <v>44.279603260000002</v>
      </c>
      <c r="AD128" s="769">
        <f t="shared" si="114"/>
        <v>0.35562765003118124</v>
      </c>
      <c r="AE128" s="769">
        <v>2.4018570699999997</v>
      </c>
      <c r="AF128" s="769">
        <f t="shared" si="115"/>
        <v>1.9290298978050922E-2</v>
      </c>
      <c r="AG128" s="769">
        <v>6.2527902099999997</v>
      </c>
      <c r="AH128" s="769">
        <f t="shared" si="116"/>
        <v>5.0218722048239878E-2</v>
      </c>
      <c r="AI128" s="193">
        <v>153.27848051999999</v>
      </c>
    </row>
    <row r="129" spans="1:35">
      <c r="A129" s="765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8">
        <f t="shared" si="111"/>
        <v>210.15329738999895</v>
      </c>
      <c r="Z129" s="193">
        <f t="shared" si="112"/>
        <v>1.6141442592652262</v>
      </c>
      <c r="AA129" s="769">
        <v>428.33501888000001</v>
      </c>
      <c r="AB129" s="769">
        <f t="shared" si="113"/>
        <v>3.2899531929986141</v>
      </c>
      <c r="AC129" s="769">
        <v>46.081520170000005</v>
      </c>
      <c r="AD129" s="769">
        <f t="shared" si="114"/>
        <v>0.35394267976953492</v>
      </c>
      <c r="AE129" s="769">
        <v>2.8152853900000001</v>
      </c>
      <c r="AF129" s="769">
        <f t="shared" si="115"/>
        <v>2.162362811766199E-2</v>
      </c>
      <c r="AG129" s="769">
        <v>14.214615470000002</v>
      </c>
      <c r="AH129" s="769">
        <f t="shared" si="116"/>
        <v>0.10917953819198599</v>
      </c>
      <c r="AI129" s="193">
        <v>168.04585049999997</v>
      </c>
    </row>
    <row r="130" spans="1:35">
      <c r="A130" s="765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8">
        <f t="shared" si="111"/>
        <v>209.62515208000028</v>
      </c>
      <c r="Z130" s="193">
        <f t="shared" si="112"/>
        <v>1.5636291369062731</v>
      </c>
      <c r="AA130" s="769">
        <v>440.63140103999996</v>
      </c>
      <c r="AB130" s="769">
        <f t="shared" si="113"/>
        <v>3.2867434583376558</v>
      </c>
      <c r="AC130" s="769">
        <v>45.913648100000003</v>
      </c>
      <c r="AD130" s="769">
        <f t="shared" si="114"/>
        <v>0.34247759507133502</v>
      </c>
      <c r="AE130" s="769">
        <v>2.9848236299999997</v>
      </c>
      <c r="AF130" s="769">
        <f t="shared" si="115"/>
        <v>2.2264299632389527E-2</v>
      </c>
      <c r="AG130" s="769">
        <v>10.66421525</v>
      </c>
      <c r="AH130" s="769">
        <f t="shared" si="116"/>
        <v>7.9546168585611809E-2</v>
      </c>
      <c r="AI130" s="193">
        <v>164.48459394999998</v>
      </c>
    </row>
    <row r="131" spans="1:35">
      <c r="A131" s="765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8">
        <f t="shared" si="111"/>
        <v>207.93002785000206</v>
      </c>
      <c r="Z131" s="193">
        <f t="shared" si="112"/>
        <v>1.5095748275070173</v>
      </c>
      <c r="AA131" s="769">
        <v>451.03102128</v>
      </c>
      <c r="AB131" s="769">
        <f t="shared" si="113"/>
        <v>3.2744913430215896</v>
      </c>
      <c r="AC131" s="769">
        <v>46.201820490000003</v>
      </c>
      <c r="AD131" s="769">
        <f t="shared" si="114"/>
        <v>0.33542584453946744</v>
      </c>
      <c r="AE131" s="769">
        <v>3.8415602999999998</v>
      </c>
      <c r="AF131" s="769">
        <f t="shared" si="115"/>
        <v>2.7889779976433778E-2</v>
      </c>
      <c r="AG131" s="769">
        <v>8.7449770600000001</v>
      </c>
      <c r="AH131" s="769">
        <f t="shared" si="116"/>
        <v>6.348865228078307E-2</v>
      </c>
      <c r="AI131" s="193">
        <v>197.48201545000001</v>
      </c>
    </row>
    <row r="132" spans="1:35">
      <c r="A132" s="765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8">
        <f t="shared" si="111"/>
        <v>221.50943866000313</v>
      </c>
      <c r="Z132" s="193">
        <f t="shared" si="112"/>
        <v>1.5600047473422984</v>
      </c>
      <c r="AA132" s="769">
        <v>463.50539189</v>
      </c>
      <c r="AB132" s="769">
        <f t="shared" si="113"/>
        <v>3.2642880418156821</v>
      </c>
      <c r="AC132" s="772">
        <v>46.153006570000002</v>
      </c>
      <c r="AD132" s="769">
        <f t="shared" si="114"/>
        <v>0.32503765884140084</v>
      </c>
      <c r="AE132" s="769">
        <v>4.3907345199999996</v>
      </c>
      <c r="AF132" s="769">
        <f t="shared" si="115"/>
        <v>3.0922234000299961E-2</v>
      </c>
      <c r="AG132" s="769">
        <v>9.4058458300000005</v>
      </c>
      <c r="AH132" s="769">
        <f t="shared" si="116"/>
        <v>6.6241710675325832E-2</v>
      </c>
      <c r="AI132" s="193">
        <v>161.64778176999999</v>
      </c>
    </row>
    <row r="133" spans="1:35">
      <c r="A133" s="765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8">
        <f t="shared" si="111"/>
        <v>221.13621117000073</v>
      </c>
      <c r="Z133" s="193">
        <f t="shared" si="112"/>
        <v>1.5298179630082986</v>
      </c>
      <c r="AA133" s="769">
        <v>472.98039385999999</v>
      </c>
      <c r="AB133" s="769">
        <f t="shared" si="113"/>
        <v>3.2720733472344476</v>
      </c>
      <c r="AC133" s="772">
        <v>46.097560739999999</v>
      </c>
      <c r="AD133" s="769">
        <f t="shared" si="114"/>
        <v>0.31890243618538111</v>
      </c>
      <c r="AE133" s="769">
        <v>4.8729199200000002</v>
      </c>
      <c r="AF133" s="769">
        <f t="shared" si="115"/>
        <v>3.3710808313461155E-2</v>
      </c>
      <c r="AG133" s="769">
        <v>9.9321266099999992</v>
      </c>
      <c r="AH133" s="769">
        <f t="shared" si="116"/>
        <v>6.8710346525607743E-2</v>
      </c>
      <c r="AI133" s="193">
        <v>150.02891824</v>
      </c>
    </row>
    <row r="134" spans="1:35">
      <c r="A134" s="765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8">
        <f t="shared" si="111"/>
        <v>224.61924733000046</v>
      </c>
      <c r="Z134" s="193">
        <f t="shared" si="112"/>
        <v>1.5183819427936347</v>
      </c>
      <c r="AA134" s="769">
        <v>479.60830871999997</v>
      </c>
      <c r="AB134" s="769">
        <f t="shared" si="113"/>
        <v>3.2420578567087897</v>
      </c>
      <c r="AC134" s="772">
        <v>45.66509765</v>
      </c>
      <c r="AD134" s="769">
        <f t="shared" si="114"/>
        <v>0.3086870805234298</v>
      </c>
      <c r="AE134" s="769">
        <v>4.5219986799999994</v>
      </c>
      <c r="AF134" s="769">
        <f t="shared" si="115"/>
        <v>3.0567821870408352E-2</v>
      </c>
      <c r="AG134" s="769">
        <v>10.32831328</v>
      </c>
      <c r="AH134" s="769">
        <f t="shared" si="116"/>
        <v>6.9817366811971968E-2</v>
      </c>
      <c r="AI134" s="193">
        <v>216.88082567999999</v>
      </c>
    </row>
    <row r="135" spans="1:35">
      <c r="A135" s="765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8">
        <f t="shared" si="111"/>
        <v>259.32647688000014</v>
      </c>
      <c r="Z135" s="193">
        <f t="shared" si="112"/>
        <v>1.7298355072325406</v>
      </c>
      <c r="AA135" s="769">
        <v>480.92118159</v>
      </c>
      <c r="AB135" s="769">
        <f t="shared" si="113"/>
        <v>3.2079814838172807</v>
      </c>
      <c r="AC135" s="772">
        <v>45.742781350000001</v>
      </c>
      <c r="AD135" s="769">
        <f t="shared" si="114"/>
        <v>0.30512691311276963</v>
      </c>
      <c r="AE135" s="769">
        <v>4.1871113299999996</v>
      </c>
      <c r="AF135" s="769">
        <f t="shared" si="115"/>
        <v>2.7930097761368483E-2</v>
      </c>
      <c r="AG135" s="769">
        <v>11.405663199999999</v>
      </c>
      <c r="AH135" s="769">
        <f t="shared" si="116"/>
        <v>7.6081399108450007E-2</v>
      </c>
      <c r="AI135" s="193">
        <v>220.87113797999999</v>
      </c>
    </row>
    <row r="136" spans="1:35">
      <c r="A136" s="765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8">
        <f t="shared" si="111"/>
        <v>254.0578780600008</v>
      </c>
      <c r="Z136" s="193">
        <f t="shared" si="112"/>
        <v>1.666467770252493</v>
      </c>
      <c r="AA136" s="769">
        <v>491.12168430000003</v>
      </c>
      <c r="AB136" s="769">
        <f t="shared" si="113"/>
        <v>3.221464590697634</v>
      </c>
      <c r="AC136" s="772">
        <v>46.424785219999997</v>
      </c>
      <c r="AD136" s="769">
        <f t="shared" si="114"/>
        <v>0.30451883208972136</v>
      </c>
      <c r="AE136" s="769">
        <v>3.7838559599999999</v>
      </c>
      <c r="AF136" s="769">
        <f t="shared" si="115"/>
        <v>2.4819832601800273E-2</v>
      </c>
      <c r="AG136" s="769">
        <v>12.16356727</v>
      </c>
      <c r="AH136" s="769">
        <f t="shared" si="116"/>
        <v>7.9785728281828339E-2</v>
      </c>
      <c r="AI136" s="193">
        <v>265.25638386000003</v>
      </c>
    </row>
    <row r="137" spans="1:35">
      <c r="A137" s="765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8">
        <f t="shared" si="111"/>
        <v>233.6665964100014</v>
      </c>
      <c r="Z137" s="193">
        <f t="shared" si="112"/>
        <v>1.5150589381162907</v>
      </c>
      <c r="AA137" s="769">
        <v>492.45224848999999</v>
      </c>
      <c r="AB137" s="769">
        <f t="shared" si="113"/>
        <v>3.1929860413642963</v>
      </c>
      <c r="AC137" s="772">
        <v>39.79410395</v>
      </c>
      <c r="AD137" s="769">
        <f t="shared" si="114"/>
        <v>0.25801896291581256</v>
      </c>
      <c r="AE137" s="769">
        <v>3.0852378900000001</v>
      </c>
      <c r="AF137" s="769">
        <f t="shared" si="115"/>
        <v>2.0004216748455515E-2</v>
      </c>
      <c r="AG137" s="769">
        <v>12.756232730000001</v>
      </c>
      <c r="AH137" s="769">
        <f t="shared" si="116"/>
        <v>8.2709487411572788E-2</v>
      </c>
      <c r="AI137" s="193">
        <v>247.24514382999999</v>
      </c>
    </row>
    <row r="138" spans="1:35">
      <c r="A138" s="765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70">
        <v>231.17891463000026</v>
      </c>
      <c r="Z138" s="287">
        <v>1.2467442053174183</v>
      </c>
      <c r="AA138" s="771">
        <v>464.15112331</v>
      </c>
      <c r="AB138" s="771">
        <v>2.5761212071982955</v>
      </c>
      <c r="AC138" s="773">
        <v>61.545874310000002</v>
      </c>
      <c r="AD138" s="771">
        <v>0.34159053821713736</v>
      </c>
      <c r="AE138" s="771">
        <v>2.1905423500000003</v>
      </c>
      <c r="AF138" s="771">
        <v>1.1813560011456559E-2</v>
      </c>
      <c r="AG138" s="771">
        <v>27.791095210000002</v>
      </c>
      <c r="AH138" s="771">
        <v>0.15424551648436249</v>
      </c>
      <c r="AI138" s="287">
        <v>274.64375505999999</v>
      </c>
    </row>
    <row r="139" spans="1:35">
      <c r="A139" s="765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8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9">
        <v>491.23061971000004</v>
      </c>
      <c r="AB139" s="769">
        <f t="shared" ref="AB139:AB145" si="129">AA139/B139*100</f>
        <v>3.1723743802854276</v>
      </c>
      <c r="AC139" s="772">
        <v>36.662709500000005</v>
      </c>
      <c r="AD139" s="769">
        <f t="shared" ref="AD139:AD145" si="130">AC139/$B139*100</f>
        <v>0.23676830324280265</v>
      </c>
      <c r="AE139" s="769">
        <v>2.7380726100000001</v>
      </c>
      <c r="AF139" s="769">
        <f t="shared" ref="AF139:AF145" si="131">AE139/$B139*100</f>
        <v>1.7682512145625572E-2</v>
      </c>
      <c r="AG139" s="769">
        <v>18.419429489999999</v>
      </c>
      <c r="AH139" s="769">
        <f t="shared" ref="AH139:AH145" si="132">AG139/$B139*100</f>
        <v>0.11895293955422855</v>
      </c>
      <c r="AI139" s="193">
        <v>305.21378427000002</v>
      </c>
    </row>
    <row r="140" spans="1:35">
      <c r="A140" s="765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8">
        <f>B140-C140-E140-G140-I140-K140-M140-W140-O140-Q140-U140-AA140-AC140-AE140-AG140</f>
        <v>221.98200203999619</v>
      </c>
      <c r="Z140" s="193">
        <f t="shared" si="128"/>
        <v>1.4214762932485416</v>
      </c>
      <c r="AA140" s="769">
        <v>476.70926874000003</v>
      </c>
      <c r="AB140" s="769">
        <f t="shared" si="129"/>
        <v>3.0526390340585552</v>
      </c>
      <c r="AC140" s="772">
        <v>36.51305722</v>
      </c>
      <c r="AD140" s="769">
        <f t="shared" si="130"/>
        <v>0.2338137540668988</v>
      </c>
      <c r="AE140" s="769">
        <v>2.3936313</v>
      </c>
      <c r="AF140" s="769">
        <f t="shared" si="131"/>
        <v>1.5327774848677304E-2</v>
      </c>
      <c r="AG140" s="769">
        <v>11.223025030000001</v>
      </c>
      <c r="AH140" s="769">
        <f t="shared" si="132"/>
        <v>7.1867376057837259E-2</v>
      </c>
      <c r="AI140" s="193">
        <v>303.65052729000001</v>
      </c>
    </row>
    <row r="141" spans="1:35">
      <c r="A141" s="765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8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9">
        <v>482.70072324</v>
      </c>
      <c r="AB141" s="769">
        <f t="shared" si="129"/>
        <v>3.0378558992456766</v>
      </c>
      <c r="AC141" s="772">
        <v>36.602094449999996</v>
      </c>
      <c r="AD141" s="769">
        <f t="shared" si="130"/>
        <v>0.23035368126928418</v>
      </c>
      <c r="AE141" s="769">
        <v>2.3936313</v>
      </c>
      <c r="AF141" s="769">
        <f t="shared" si="131"/>
        <v>1.5064213942991518E-2</v>
      </c>
      <c r="AG141" s="769">
        <v>15.94359075</v>
      </c>
      <c r="AH141" s="769">
        <f t="shared" si="132"/>
        <v>0.10034029137131546</v>
      </c>
      <c r="AI141" s="193">
        <v>245.98465631000002</v>
      </c>
    </row>
    <row r="142" spans="1:35">
      <c r="A142" s="765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8">
        <f t="shared" si="133"/>
        <v>233.13813172999969</v>
      </c>
      <c r="Z142" s="193">
        <f t="shared" si="128"/>
        <v>1.4351038992509648</v>
      </c>
      <c r="AA142" s="769">
        <v>489.91766695999996</v>
      </c>
      <c r="AB142" s="769">
        <f t="shared" si="129"/>
        <v>3.0157347017796337</v>
      </c>
      <c r="AC142" s="772">
        <v>36.694104939999995</v>
      </c>
      <c r="AD142" s="769">
        <f t="shared" si="130"/>
        <v>0.22587404594930932</v>
      </c>
      <c r="AE142" s="769">
        <v>2.74990706</v>
      </c>
      <c r="AF142" s="769">
        <f t="shared" si="131"/>
        <v>1.6927313928011299E-2</v>
      </c>
      <c r="AG142" s="769">
        <v>16.562913139999999</v>
      </c>
      <c r="AH142" s="769">
        <f t="shared" si="132"/>
        <v>0.1019545839789812</v>
      </c>
      <c r="AI142" s="193">
        <v>267.56454780000001</v>
      </c>
    </row>
    <row r="143" spans="1:35">
      <c r="A143" s="765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8">
        <f t="shared" si="133"/>
        <v>230.43928342999985</v>
      </c>
      <c r="Z143" s="193">
        <f t="shared" si="128"/>
        <v>1.3885760692984357</v>
      </c>
      <c r="AA143" s="769">
        <v>490.18038116000002</v>
      </c>
      <c r="AB143" s="769">
        <f t="shared" si="129"/>
        <v>2.9537183799008062</v>
      </c>
      <c r="AC143" s="772">
        <v>51.966357940000002</v>
      </c>
      <c r="AD143" s="769">
        <f t="shared" si="130"/>
        <v>0.31313776006424898</v>
      </c>
      <c r="AE143" s="769">
        <v>2.4020221699999995</v>
      </c>
      <c r="AF143" s="769">
        <f t="shared" si="131"/>
        <v>1.447405344062999E-2</v>
      </c>
      <c r="AG143" s="769">
        <v>12.040802800000002</v>
      </c>
      <c r="AH143" s="769">
        <f t="shared" si="132"/>
        <v>7.2555210094204611E-2</v>
      </c>
      <c r="AI143" s="193">
        <v>258.79788396000004</v>
      </c>
    </row>
    <row r="144" spans="1:35">
      <c r="A144" s="765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8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9">
        <f t="shared" si="129"/>
        <v>3.0001914005728487</v>
      </c>
      <c r="AC144" s="772">
        <v>51.829226809999994</v>
      </c>
      <c r="AD144" s="769">
        <f t="shared" si="130"/>
        <v>0.30933962991283104</v>
      </c>
      <c r="AE144" s="193">
        <v>2.87043304</v>
      </c>
      <c r="AF144" s="769">
        <f t="shared" si="131"/>
        <v>1.713200734285009E-2</v>
      </c>
      <c r="AG144" s="193">
        <v>12.439452080000002</v>
      </c>
      <c r="AH144" s="769">
        <f t="shared" si="132"/>
        <v>7.4244123240579718E-2</v>
      </c>
      <c r="AI144" s="193">
        <v>254.16555510000001</v>
      </c>
    </row>
    <row r="145" spans="1:35">
      <c r="A145" s="765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8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9">
        <f t="shared" si="129"/>
        <v>3.0021904190086359</v>
      </c>
      <c r="AC145" s="772">
        <f>51313.25058/1000</f>
        <v>51.313250580000002</v>
      </c>
      <c r="AD145" s="769">
        <f t="shared" si="130"/>
        <v>0.30123928803275768</v>
      </c>
      <c r="AE145" s="193">
        <f>2614.91313/1000</f>
        <v>2.6149131299999997</v>
      </c>
      <c r="AF145" s="769">
        <f t="shared" si="131"/>
        <v>1.5351094710334561E-2</v>
      </c>
      <c r="AG145" s="193">
        <f>13332.00398/1000</f>
        <v>13.33200398</v>
      </c>
      <c r="AH145" s="769">
        <f t="shared" si="132"/>
        <v>7.826678960288723E-2</v>
      </c>
      <c r="AI145" s="193">
        <f>254653.32894/1000</f>
        <v>254.65332893999999</v>
      </c>
    </row>
    <row r="146" spans="1:35">
      <c r="A146" s="765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8">
        <f t="shared" si="133"/>
        <v>231.66898468000005</v>
      </c>
      <c r="Z146" s="193">
        <f>Y146/$B146*100</f>
        <v>1.338434744787024</v>
      </c>
      <c r="AA146" s="193">
        <v>500.77271932999997</v>
      </c>
      <c r="AB146" s="769">
        <f>AA146/B146*100</f>
        <v>2.8931434551697035</v>
      </c>
      <c r="AC146" s="772">
        <v>51.327101260000006</v>
      </c>
      <c r="AD146" s="769">
        <f>AC146/$B146*100</f>
        <v>0.296535057424614</v>
      </c>
      <c r="AE146" s="193">
        <v>2.8451939700000004</v>
      </c>
      <c r="AF146" s="769">
        <f>AE146/$B146*100</f>
        <v>1.6437705160950201E-2</v>
      </c>
      <c r="AG146" s="193">
        <v>13.856568279999998</v>
      </c>
      <c r="AH146" s="769">
        <f>AG146/$B146*100</f>
        <v>8.0054360557081719E-2</v>
      </c>
      <c r="AI146" s="193">
        <v>250.96828408999994</v>
      </c>
    </row>
    <row r="147" spans="1:35">
      <c r="A147" s="765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8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9">
        <f>AA147/B147*100</f>
        <v>2.8341774545241396</v>
      </c>
      <c r="AC147" s="772">
        <v>49.246803500000006</v>
      </c>
      <c r="AD147" s="769">
        <f>AC147/$B147*100</f>
        <v>0.2793100397336255</v>
      </c>
      <c r="AE147" s="193">
        <v>2.7120525600000001</v>
      </c>
      <c r="AF147" s="769">
        <f>AE147/$B147*100</f>
        <v>1.5381780226472581E-2</v>
      </c>
      <c r="AG147" s="193">
        <v>14.437988170000001</v>
      </c>
      <c r="AH147" s="769">
        <f>AG147/$B147*100</f>
        <v>8.1887041652080328E-2</v>
      </c>
      <c r="AI147" s="193">
        <v>222.15841217999997</v>
      </c>
    </row>
    <row r="148" spans="1:35">
      <c r="A148" s="765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8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9">
        <f>AA148/B148*100</f>
        <v>2.7421403214881668</v>
      </c>
      <c r="AC148" s="772">
        <v>48.494692980000011</v>
      </c>
      <c r="AD148" s="769">
        <f>AC148/$B148*100</f>
        <v>0.2718081120845699</v>
      </c>
      <c r="AE148" s="193">
        <v>7.9030472100000004</v>
      </c>
      <c r="AF148" s="769">
        <f>AE148/$B148*100</f>
        <v>4.429582310689633E-2</v>
      </c>
      <c r="AG148" s="193">
        <v>25.360386989999999</v>
      </c>
      <c r="AH148" s="769">
        <f>AG148/$B148*100</f>
        <v>0.14214254150096048</v>
      </c>
      <c r="AI148" s="193">
        <v>233.43274164999997</v>
      </c>
    </row>
    <row r="149" spans="1:35">
      <c r="A149" s="765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8">
        <v>252.3699697500011</v>
      </c>
      <c r="Z149" s="193">
        <v>1.390319021759745</v>
      </c>
      <c r="AA149" s="193">
        <v>491.16000564999996</v>
      </c>
      <c r="AB149" s="769">
        <v>2.7058254960337482</v>
      </c>
      <c r="AC149" s="772">
        <v>61.769817610000004</v>
      </c>
      <c r="AD149" s="769">
        <v>0.35043169675175184</v>
      </c>
      <c r="AE149" s="193">
        <v>10.804561489999999</v>
      </c>
      <c r="AF149" s="769">
        <v>5.9522879747540752E-2</v>
      </c>
      <c r="AG149" s="193">
        <v>30.681422250000001</v>
      </c>
      <c r="AH149" s="769">
        <v>0.1690255184128043</v>
      </c>
      <c r="AI149" s="193">
        <v>252.30320652</v>
      </c>
    </row>
    <row r="150" spans="1:35">
      <c r="A150" s="765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8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9">
        <v>2.5761212071982955</v>
      </c>
      <c r="AC150" s="772">
        <v>61.545874310000002</v>
      </c>
      <c r="AD150" s="769">
        <v>0.34159053821713736</v>
      </c>
      <c r="AE150" s="193">
        <v>2.1905423500000003</v>
      </c>
      <c r="AF150" s="769">
        <f>AE150/$B150*100</f>
        <v>1.1813560011456559E-2</v>
      </c>
      <c r="AG150" s="193">
        <v>27.791095210000002</v>
      </c>
      <c r="AH150" s="769">
        <v>0.15424551648436249</v>
      </c>
      <c r="AI150" s="193">
        <f>274643.75506/1000</f>
        <v>274.64375505999999</v>
      </c>
    </row>
    <row r="151" spans="1:35">
      <c r="A151" s="765" t="s">
        <v>1855</v>
      </c>
      <c r="B151" s="287">
        <v>21730.445</v>
      </c>
      <c r="C151" s="774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70">
        <v>259.43742999999927</v>
      </c>
      <c r="Z151" s="287">
        <v>1.1938891725411021</v>
      </c>
      <c r="AA151" s="287">
        <v>934.58500000000004</v>
      </c>
      <c r="AB151" s="771">
        <v>4.3008093023405642</v>
      </c>
      <c r="AC151" s="773">
        <v>134.7662</v>
      </c>
      <c r="AD151" s="771">
        <v>0.6201722974379954</v>
      </c>
      <c r="AE151" s="287">
        <v>5.4794</v>
      </c>
      <c r="AF151" s="771">
        <v>2.5215314274512096E-2</v>
      </c>
      <c r="AG151" s="287">
        <v>29.081400000000002</v>
      </c>
      <c r="AH151" s="771">
        <v>0.13382790826418881</v>
      </c>
      <c r="AI151" s="287">
        <v>383.28996276000004</v>
      </c>
    </row>
    <row r="152" spans="1:35">
      <c r="A152" s="765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8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9">
        <f>AA152/B148*100</f>
        <v>2.7225430181142931</v>
      </c>
      <c r="AC152" s="772">
        <v>59.789000000000001</v>
      </c>
      <c r="AD152" s="769">
        <f>AC152/B148*100</f>
        <v>0.33511162180419579</v>
      </c>
      <c r="AE152" s="193">
        <v>2.1905000000000001</v>
      </c>
      <c r="AF152" s="769">
        <f>AE152/B148*100</f>
        <v>1.2277542818279129E-2</v>
      </c>
      <c r="AG152" s="193">
        <v>28.093</v>
      </c>
      <c r="AH152" s="769">
        <f>AG152/B148*100</f>
        <v>0.15745857584748485</v>
      </c>
      <c r="AI152" s="193">
        <v>310.14100000000002</v>
      </c>
    </row>
    <row r="153" spans="1:35">
      <c r="A153" s="765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8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9">
        <f>AA153/B153*100</f>
        <v>3.2299054944630186</v>
      </c>
      <c r="AC153" s="772">
        <v>78.900000000000006</v>
      </c>
      <c r="AD153" s="769">
        <f>AC153/B153*100</f>
        <v>0.38121098506078116</v>
      </c>
      <c r="AE153" s="193">
        <v>1.954</v>
      </c>
      <c r="AF153" s="769">
        <f>AE153/B153*100</f>
        <v>9.4408905552441861E-3</v>
      </c>
      <c r="AG153" s="193">
        <v>29.2</v>
      </c>
      <c r="AH153" s="769">
        <f>AG153/B153*100</f>
        <v>0.14108188547243106</v>
      </c>
      <c r="AI153" s="193">
        <v>324.2</v>
      </c>
    </row>
    <row r="154" spans="1:35">
      <c r="A154" s="765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8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9">
        <f>AA154/B154*100</f>
        <v>3.3199358941888772</v>
      </c>
      <c r="AC154" s="772">
        <v>77.534999999999997</v>
      </c>
      <c r="AD154" s="769">
        <f>AC154/B154*100</f>
        <v>0.37579378895140675</v>
      </c>
      <c r="AE154" s="193">
        <v>1.9473</v>
      </c>
      <c r="AF154" s="769">
        <f>AE154/B154*100</f>
        <v>9.4381020858331638E-3</v>
      </c>
      <c r="AG154" s="193">
        <v>35.895000000000003</v>
      </c>
      <c r="AH154" s="769">
        <f>AG154/B154*100</f>
        <v>0.17397456702664274</v>
      </c>
      <c r="AI154" s="193">
        <v>324.7484</v>
      </c>
    </row>
    <row r="155" spans="1:35">
      <c r="A155" s="765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8">
        <v>252.37037999999737</v>
      </c>
      <c r="Z155" s="193">
        <v>1.2253692806234584</v>
      </c>
      <c r="AA155" s="193">
        <v>710.28959999999995</v>
      </c>
      <c r="AB155" s="769">
        <v>3.4487686557603667</v>
      </c>
      <c r="AC155" s="772">
        <v>78.463200000000001</v>
      </c>
      <c r="AD155" s="769">
        <v>0.38097337310113633</v>
      </c>
      <c r="AE155" s="193">
        <v>2.2374999999999998</v>
      </c>
      <c r="AF155" s="769">
        <v>1.0864047379074425E-2</v>
      </c>
      <c r="AG155" s="193">
        <v>29.718900000000001</v>
      </c>
      <c r="AH155" s="769">
        <v>0.14429834085093854</v>
      </c>
      <c r="AI155" s="193">
        <v>291.18900000000002</v>
      </c>
    </row>
    <row r="156" spans="1:35" ht="14.25" customHeight="1">
      <c r="A156" s="765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8">
        <v>252.64879403899923</v>
      </c>
      <c r="Z156" s="193">
        <v>1.2343513458001898</v>
      </c>
      <c r="AA156" s="193">
        <v>732.72840119000011</v>
      </c>
      <c r="AB156" s="769">
        <v>3.5798480319493891</v>
      </c>
      <c r="AC156" s="772">
        <v>78.150069049999985</v>
      </c>
      <c r="AD156" s="769">
        <v>0.38181319358031374</v>
      </c>
      <c r="AE156" s="193">
        <v>0.78658292000000007</v>
      </c>
      <c r="AF156" s="769">
        <v>3.8429618854051231E-3</v>
      </c>
      <c r="AG156" s="193">
        <v>30.957507939999999</v>
      </c>
      <c r="AH156" s="769">
        <v>0.15124727483346123</v>
      </c>
      <c r="AI156" s="193">
        <v>298.27274945000005</v>
      </c>
    </row>
    <row r="157" spans="1:35" ht="14.25" customHeight="1">
      <c r="A157" s="765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8">
        <v>252.75951499899878</v>
      </c>
      <c r="Z157" s="193">
        <v>1.2458288139230187</v>
      </c>
      <c r="AA157" s="193">
        <v>724.25754331000007</v>
      </c>
      <c r="AB157" s="769">
        <v>3.5697999980743398</v>
      </c>
      <c r="AC157" s="772">
        <v>78.611222010000006</v>
      </c>
      <c r="AD157" s="769">
        <v>0.38746761117240375</v>
      </c>
      <c r="AE157" s="193">
        <v>1.0388636600000001</v>
      </c>
      <c r="AF157" s="769">
        <v>5.1204651242136353E-3</v>
      </c>
      <c r="AG157" s="193">
        <v>26.33128833</v>
      </c>
      <c r="AH157" s="769">
        <v>0.12978454128367381</v>
      </c>
      <c r="AI157" s="193">
        <v>324.08155119000003</v>
      </c>
    </row>
    <row r="158" spans="1:35" ht="14.25" customHeight="1">
      <c r="A158" s="765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8">
        <v>256.06993816999824</v>
      </c>
      <c r="Z158" s="193">
        <v>1.2684585525036893</v>
      </c>
      <c r="AA158" s="193">
        <v>738.34771580999995</v>
      </c>
      <c r="AB158" s="769">
        <v>3.657451872460709</v>
      </c>
      <c r="AC158" s="772">
        <v>87.254628580000002</v>
      </c>
      <c r="AD158" s="769">
        <v>0.43222129336539689</v>
      </c>
      <c r="AE158" s="193">
        <v>1.2923662499999999</v>
      </c>
      <c r="AF158" s="769">
        <v>6.4018175444371115E-3</v>
      </c>
      <c r="AG158" s="193">
        <v>26.380112749999999</v>
      </c>
      <c r="AH158" s="769">
        <v>0.13067554853523847</v>
      </c>
      <c r="AI158" s="193">
        <v>298.25574164999995</v>
      </c>
    </row>
    <row r="159" spans="1:35" ht="14.25" customHeight="1">
      <c r="A159" s="765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8">
        <v>260.62104792999475</v>
      </c>
      <c r="Z159" s="193">
        <v>1.2968906542907852</v>
      </c>
      <c r="AA159" s="193">
        <v>760.06812403000004</v>
      </c>
      <c r="AB159" s="769">
        <v>3.7822165727136947</v>
      </c>
      <c r="AC159" s="772">
        <v>88.278539190000004</v>
      </c>
      <c r="AD159" s="769">
        <v>0.43928766828036953</v>
      </c>
      <c r="AE159" s="193">
        <v>1.5309030800000001</v>
      </c>
      <c r="AF159" s="769">
        <v>7.6180105668605816E-3</v>
      </c>
      <c r="AG159" s="193">
        <v>26.253130840000001</v>
      </c>
      <c r="AH159" s="769">
        <v>0.13063964059193964</v>
      </c>
      <c r="AI159" s="193">
        <v>306.42061322999996</v>
      </c>
    </row>
    <row r="160" spans="1:35" ht="14.25" customHeight="1">
      <c r="A160" s="765" t="s">
        <v>26</v>
      </c>
      <c r="B160" s="193" t="s">
        <v>1874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8">
        <v>273.95916316000444</v>
      </c>
      <c r="Z160" s="193">
        <v>1.4333272345868511</v>
      </c>
      <c r="AA160" s="193">
        <v>690.03686635000008</v>
      </c>
      <c r="AB160" s="769">
        <v>3.6102046085999082</v>
      </c>
      <c r="AC160" s="772">
        <v>89.985687530000007</v>
      </c>
      <c r="AD160" s="769">
        <v>0.47079621346500433</v>
      </c>
      <c r="AE160" s="193">
        <v>2.0203947800000002</v>
      </c>
      <c r="AF160" s="769">
        <v>1.0570505579693941E-2</v>
      </c>
      <c r="AG160" s="193">
        <v>22.73426881</v>
      </c>
      <c r="AH160" s="769">
        <v>0.11894344495701326</v>
      </c>
      <c r="AI160" s="193">
        <v>308.09468064999999</v>
      </c>
    </row>
    <row r="161" spans="1:35" ht="14.25" customHeight="1">
      <c r="A161" s="765" t="s">
        <v>27</v>
      </c>
      <c r="B161" s="193" t="s">
        <v>1875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8">
        <v>296.78359490000389</v>
      </c>
      <c r="Z161" s="193">
        <v>1.5984970097925595</v>
      </c>
      <c r="AA161" s="193">
        <v>627.15388402000008</v>
      </c>
      <c r="AB161" s="769">
        <v>3.3778942822750571</v>
      </c>
      <c r="AC161" s="772">
        <v>109.35861632000001</v>
      </c>
      <c r="AD161" s="769">
        <v>0.58901308625724691</v>
      </c>
      <c r="AE161" s="193">
        <v>2.3726751499999996</v>
      </c>
      <c r="AF161" s="769">
        <v>1.2779392788748992E-2</v>
      </c>
      <c r="AG161" s="193">
        <v>26.561775879999999</v>
      </c>
      <c r="AH161" s="769">
        <v>0.1430635656706899</v>
      </c>
      <c r="AI161" s="193">
        <v>317.59927278000004</v>
      </c>
    </row>
    <row r="162" spans="1:35">
      <c r="A162" s="765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8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72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65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8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72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45" customFormat="1">
      <c r="A164" s="1544" t="s">
        <v>1879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70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73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65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8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72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65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8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72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65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8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72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65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8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72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65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8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72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65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8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72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65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8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72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65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8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72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65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8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72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65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8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72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65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8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72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65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8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72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65" t="s">
        <v>1942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70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65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8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65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8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65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8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65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8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65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8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65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8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65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8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65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8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65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8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65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8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65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8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65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8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65" t="s">
        <v>2078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70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65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8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65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8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65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8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65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8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65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8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65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65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65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65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65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65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65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65" t="s">
        <v>2171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70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65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65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65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65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65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65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65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65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65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65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65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65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65" t="s">
        <v>2407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65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65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65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65" t="s">
        <v>21</v>
      </c>
      <c r="B220" s="193" t="s">
        <v>2452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65" t="s">
        <v>22</v>
      </c>
      <c r="B221" s="193" t="s">
        <v>2469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65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65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65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65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65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65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65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64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71">
        <v>8.4083913999999993</v>
      </c>
      <c r="AB229" s="771">
        <f t="shared" ref="AB229" si="189">AA229/$B229*100</f>
        <v>4.9114962854121147E-2</v>
      </c>
      <c r="AC229" s="771">
        <v>3.6777463099999999</v>
      </c>
      <c r="AD229" s="771">
        <f t="shared" ref="AD229" si="190">AC229/$B229*100</f>
        <v>2.1482393576794143E-2</v>
      </c>
      <c r="AE229" s="771">
        <v>56.911928449999998</v>
      </c>
      <c r="AF229" s="771">
        <f t="shared" ref="AF229" si="191">AE229/$B229*100</f>
        <v>0.33243305631302444</v>
      </c>
      <c r="AG229" s="771">
        <v>32.053172789999998</v>
      </c>
      <c r="AH229" s="771">
        <f t="shared" ref="AH229" si="192">AG229/$B229*100</f>
        <v>0.18722848593103988</v>
      </c>
      <c r="AI229" s="287">
        <v>357.28922269999998</v>
      </c>
    </row>
    <row r="230" spans="1:35">
      <c r="A230" s="765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65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65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65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65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65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65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65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65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65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65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65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65" t="s">
        <v>2892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65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65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65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65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65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91">
        <v>2706.716061865</v>
      </c>
      <c r="T247" s="1091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65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91">
        <v>2753.6469211049998</v>
      </c>
      <c r="T248" s="1091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65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91">
        <v>2785.8421721350001</v>
      </c>
      <c r="T249" s="1091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65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91">
        <v>2835.292362355</v>
      </c>
      <c r="T250" s="1091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65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91">
        <v>2878.5758071549999</v>
      </c>
      <c r="T251" s="1091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65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91">
        <v>2957.2019756149998</v>
      </c>
      <c r="T252" s="1091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65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91">
        <v>3013.3954976049999</v>
      </c>
      <c r="T253" s="1091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65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91">
        <v>3013.0127850049998</v>
      </c>
      <c r="T254" s="1091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65" t="s">
        <v>3605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65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65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91">
        <v>3033.231074415</v>
      </c>
      <c r="T256" s="1091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65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91">
        <v>3073.8682376649999</v>
      </c>
      <c r="T257" s="1091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65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91">
        <v>3134.11775412</v>
      </c>
      <c r="T258" s="1091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65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91">
        <v>3206.248895745</v>
      </c>
      <c r="T259" s="1091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65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91">
        <v>3238.574465915</v>
      </c>
      <c r="T260" s="1091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65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91">
        <v>3301.44</v>
      </c>
      <c r="T261" s="1091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65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91">
        <v>3382.5825643650001</v>
      </c>
      <c r="T262" s="1091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65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91">
        <v>3468.159374715</v>
      </c>
      <c r="T263" s="1091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65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91">
        <v>3530.3781172650001</v>
      </c>
      <c r="T264" s="1091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65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91">
        <v>3464.2829063680001</v>
      </c>
      <c r="T265" s="1091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65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91">
        <v>3600.645515748</v>
      </c>
      <c r="T266" s="1091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65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91">
        <v>3630.8192389979999</v>
      </c>
      <c r="T267" s="1091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65" t="s">
        <v>4086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91"/>
      <c r="T268" s="1091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65" t="s">
        <v>18</v>
      </c>
      <c r="B269" s="193">
        <v>24362.526631280001</v>
      </c>
      <c r="C269" s="193">
        <v>454.06281114000001</v>
      </c>
      <c r="D269" s="193">
        <f t="shared" ref="D269:D270" si="262">C269/B269*100</f>
        <v>1.8637755353215748</v>
      </c>
      <c r="E269" s="193">
        <v>3506.6775179299998</v>
      </c>
      <c r="F269" s="193">
        <f t="shared" ref="F269:F270" si="263">E269/B269*100</f>
        <v>14.393734980786595</v>
      </c>
      <c r="G269" s="193">
        <v>899.59244351999996</v>
      </c>
      <c r="H269" s="193">
        <f t="shared" ref="H269:H270" si="264">G269/$B269*100</f>
        <v>3.6925252340821579</v>
      </c>
      <c r="I269" s="193">
        <v>520.69988297999998</v>
      </c>
      <c r="J269" s="193">
        <f t="shared" ref="J269:J270" si="265">I269/$B269*100</f>
        <v>2.1372983634277616</v>
      </c>
      <c r="K269" s="193">
        <v>1144.34204138</v>
      </c>
      <c r="L269" s="193">
        <f t="shared" ref="L269:L270" si="266">K269/$B269*100</f>
        <v>4.6971402379535396</v>
      </c>
      <c r="M269" s="193">
        <v>1408.99078779</v>
      </c>
      <c r="N269" s="193">
        <v>5.7834345719336904</v>
      </c>
      <c r="O269" s="193">
        <v>1395.9716287700001</v>
      </c>
      <c r="P269" s="193">
        <f t="shared" ref="P269:P270" si="267">O269/$B269*100</f>
        <v>5.7299952911191792</v>
      </c>
      <c r="Q269" s="193">
        <v>14095.86817066</v>
      </c>
      <c r="R269" s="193">
        <f t="shared" ref="R269:R270" si="268">Q269/$B269*100</f>
        <v>57.858810721880396</v>
      </c>
      <c r="S269" s="1091">
        <v>3645.7286582679999</v>
      </c>
      <c r="T269" s="1091">
        <f t="shared" ref="T269:T270" si="269">S269/$B269*100</f>
        <v>14.964493270525997</v>
      </c>
      <c r="U269" s="193">
        <v>9.7549017199999994</v>
      </c>
      <c r="V269" s="193">
        <f t="shared" ref="V269:V270" si="270">U269/$B269*100</f>
        <v>4.0040599514318431E-2</v>
      </c>
      <c r="W269" s="193">
        <v>0.95793572999999999</v>
      </c>
      <c r="X269" s="193">
        <f t="shared" ref="X269:X270" si="271">W269/$B269*100</f>
        <v>3.9320048552356178E-3</v>
      </c>
      <c r="Y269" s="193">
        <f t="shared" ref="Y269:Y270" si="272">((B269-C269-E269-G269-I269-K269-M269-W269-O269-Q269-U269-AA269-AC269-AE269-AG269))</f>
        <v>810.10353701000338</v>
      </c>
      <c r="Z269" s="193">
        <f t="shared" ref="Z269:Z270" si="273">Y269/$B269*100</f>
        <v>3.3252032897518919</v>
      </c>
      <c r="AA269" s="193">
        <v>29.311227720000002</v>
      </c>
      <c r="AB269" s="193">
        <f t="shared" ref="AB269:AB270" si="274">AA269/$B269*100</f>
        <v>0.12031275804688571</v>
      </c>
      <c r="AC269" s="193">
        <v>3.24873491</v>
      </c>
      <c r="AD269" s="193">
        <f t="shared" ref="AD269:AD270" si="275">AC269/$B269*100</f>
        <v>1.3334967095854591E-2</v>
      </c>
      <c r="AE269" s="193">
        <v>46.615348939999997</v>
      </c>
      <c r="AF269" s="193">
        <f t="shared" ref="AF269:AF270" si="276">AE269/$B269*100</f>
        <v>0.19134037140527421</v>
      </c>
      <c r="AG269" s="193">
        <v>36.329661080000001</v>
      </c>
      <c r="AH269" s="193">
        <f t="shared" ref="AH269:AH270" si="277">AG269/$B269*100</f>
        <v>0.14912107282565237</v>
      </c>
      <c r="AI269" s="193">
        <v>962.53158026999995</v>
      </c>
    </row>
    <row r="270" spans="1:35" ht="15" customHeight="1">
      <c r="A270" s="776" t="s">
        <v>19</v>
      </c>
      <c r="B270" s="777">
        <v>24629.126192600001</v>
      </c>
      <c r="C270" s="777">
        <v>469.15723987000001</v>
      </c>
      <c r="D270" s="193">
        <f t="shared" si="262"/>
        <v>1.9048878803136819</v>
      </c>
      <c r="E270" s="777">
        <v>3557.5033125999998</v>
      </c>
      <c r="F270" s="193">
        <f t="shared" si="263"/>
        <v>14.444293657762319</v>
      </c>
      <c r="G270" s="777">
        <v>869.8115861</v>
      </c>
      <c r="H270" s="193">
        <f t="shared" si="264"/>
        <v>3.5316380260430886</v>
      </c>
      <c r="I270" s="777">
        <v>513.16401392</v>
      </c>
      <c r="J270" s="193">
        <f t="shared" si="265"/>
        <v>2.083565652744042</v>
      </c>
      <c r="K270" s="777">
        <v>1118.32235808</v>
      </c>
      <c r="L270" s="193">
        <f t="shared" si="266"/>
        <v>4.540649754825683</v>
      </c>
      <c r="M270" s="777">
        <v>1413.49711473</v>
      </c>
      <c r="N270" s="193">
        <v>5.7834345719336904</v>
      </c>
      <c r="O270" s="777">
        <v>1468.0809415199999</v>
      </c>
      <c r="P270" s="193">
        <f t="shared" si="267"/>
        <v>5.9607512261685338</v>
      </c>
      <c r="Q270" s="777">
        <v>14270.63292935</v>
      </c>
      <c r="R270" s="193">
        <f t="shared" si="268"/>
        <v>57.942100006932904</v>
      </c>
      <c r="S270" s="1091">
        <v>3692.3288991579998</v>
      </c>
      <c r="T270" s="1091">
        <f t="shared" si="269"/>
        <v>14.991717003209748</v>
      </c>
      <c r="U270" s="777">
        <v>9.5166273799999992</v>
      </c>
      <c r="V270" s="193">
        <f t="shared" si="270"/>
        <v>3.8639728042236997E-2</v>
      </c>
      <c r="W270" s="777">
        <v>0.91671913999999999</v>
      </c>
      <c r="X270" s="193">
        <f t="shared" si="271"/>
        <v>3.7220936416145971E-3</v>
      </c>
      <c r="Y270" s="193">
        <f t="shared" si="272"/>
        <v>822.35168640000188</v>
      </c>
      <c r="Z270" s="193">
        <f t="shared" si="273"/>
        <v>3.3389397576235704</v>
      </c>
      <c r="AA270" s="777">
        <v>25.282118260000001</v>
      </c>
      <c r="AB270" s="193">
        <f t="shared" si="274"/>
        <v>0.10265130018131215</v>
      </c>
      <c r="AC270" s="777">
        <v>3.0570781299999998</v>
      </c>
      <c r="AD270" s="193">
        <f t="shared" si="275"/>
        <v>1.2412450633017266E-2</v>
      </c>
      <c r="AE270" s="777">
        <v>47.70485532</v>
      </c>
      <c r="AF270" s="193">
        <f t="shared" si="276"/>
        <v>0.19369284540160936</v>
      </c>
      <c r="AG270" s="777">
        <v>40.127611799999997</v>
      </c>
      <c r="AH270" s="193">
        <f t="shared" si="277"/>
        <v>0.1629274684217446</v>
      </c>
      <c r="AI270" s="777">
        <v>704.37689886999999</v>
      </c>
    </row>
    <row r="271" spans="1:35" s="889" customFormat="1" ht="18" customHeight="1">
      <c r="A271" s="2331" t="s">
        <v>2468</v>
      </c>
      <c r="B271" s="2331"/>
      <c r="C271" s="2331"/>
      <c r="D271" s="2331"/>
      <c r="E271" s="2331"/>
      <c r="F271" s="2331"/>
      <c r="G271" s="2331"/>
      <c r="H271" s="2331"/>
      <c r="I271" s="2331"/>
      <c r="J271" s="2331"/>
      <c r="K271" s="2331"/>
      <c r="L271" s="2331"/>
      <c r="M271" s="2331"/>
      <c r="N271" s="2331"/>
      <c r="O271" s="2331"/>
      <c r="P271" s="2331"/>
      <c r="Q271" s="2331"/>
      <c r="R271" s="2331"/>
      <c r="S271" s="2331"/>
      <c r="T271" s="2331"/>
      <c r="U271" s="2331"/>
      <c r="V271" s="2331"/>
      <c r="W271" s="2331"/>
      <c r="X271" s="2331"/>
      <c r="Y271" s="2331"/>
      <c r="Z271" s="2331"/>
      <c r="AA271" s="2331"/>
      <c r="AB271" s="2331"/>
      <c r="AC271" s="2331"/>
      <c r="AD271" s="2331"/>
      <c r="AE271" s="2331"/>
      <c r="AF271" s="2331"/>
      <c r="AG271" s="2331"/>
      <c r="AH271" s="2331"/>
      <c r="AI271" s="2332"/>
    </row>
    <row r="272" spans="1:35" s="889" customFormat="1" ht="18" customHeight="1">
      <c r="A272" s="2326" t="s">
        <v>2778</v>
      </c>
      <c r="B272" s="2326"/>
      <c r="C272" s="2326"/>
      <c r="D272" s="2326"/>
      <c r="E272" s="2326"/>
      <c r="F272" s="2326"/>
      <c r="G272" s="2326"/>
      <c r="H272" s="2326"/>
      <c r="I272" s="2326"/>
      <c r="J272" s="2326"/>
      <c r="K272" s="2326"/>
      <c r="L272" s="2326"/>
      <c r="M272" s="2326"/>
      <c r="N272" s="2326"/>
      <c r="O272" s="2326"/>
      <c r="P272" s="2326"/>
      <c r="Q272" s="2326"/>
      <c r="R272" s="2326"/>
      <c r="S272" s="2326"/>
      <c r="T272" s="2326"/>
      <c r="U272" s="2326"/>
      <c r="V272" s="2326"/>
      <c r="W272" s="2326"/>
      <c r="X272" s="2326"/>
      <c r="Y272" s="2326"/>
      <c r="Z272" s="2326"/>
      <c r="AA272" s="2326"/>
      <c r="AB272" s="2326"/>
      <c r="AC272" s="2326"/>
      <c r="AD272" s="2326"/>
      <c r="AE272" s="2326"/>
      <c r="AF272" s="2326"/>
      <c r="AG272" s="2326"/>
      <c r="AH272" s="2326"/>
      <c r="AI272" s="2326"/>
    </row>
    <row r="273" spans="1:35" s="889" customFormat="1" ht="18" customHeight="1">
      <c r="A273" s="2327" t="s">
        <v>2759</v>
      </c>
      <c r="B273" s="2327"/>
      <c r="C273" s="2327"/>
      <c r="D273" s="2327"/>
      <c r="E273" s="2327"/>
      <c r="F273" s="2327"/>
      <c r="G273" s="2327"/>
      <c r="H273" s="2327"/>
      <c r="I273" s="2327"/>
      <c r="J273" s="2327"/>
      <c r="K273" s="2327"/>
      <c r="L273" s="2327"/>
      <c r="M273" s="2327"/>
      <c r="N273" s="2327"/>
      <c r="O273" s="2327"/>
      <c r="P273" s="2327"/>
      <c r="Q273" s="2327"/>
      <c r="R273" s="2327"/>
      <c r="S273" s="2327"/>
      <c r="T273" s="2327"/>
      <c r="U273" s="2327"/>
      <c r="V273" s="2327"/>
      <c r="W273" s="2327"/>
      <c r="X273" s="2327"/>
      <c r="Y273" s="2327"/>
      <c r="Z273" s="2327"/>
      <c r="AA273" s="2327"/>
      <c r="AB273" s="2327"/>
      <c r="AC273" s="2327"/>
      <c r="AD273" s="2327"/>
      <c r="AE273" s="2327"/>
      <c r="AF273" s="2327"/>
      <c r="AG273" s="2327"/>
      <c r="AH273" s="2327"/>
      <c r="AI273" s="2327"/>
    </row>
    <row r="274" spans="1:35">
      <c r="D274" s="58"/>
      <c r="E274" s="148"/>
      <c r="F274" s="148"/>
      <c r="G274" s="148"/>
      <c r="N274" s="147"/>
      <c r="O274" s="148"/>
      <c r="Z274" s="58"/>
      <c r="AD274" s="60"/>
      <c r="AE274" s="59"/>
    </row>
    <row r="275" spans="1:35" ht="17.25" customHeight="1">
      <c r="B275" s="281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1650"/>
      <c r="O275" s="58"/>
      <c r="P275" s="58"/>
      <c r="Q275" s="58"/>
      <c r="R275" s="58"/>
      <c r="S275" s="58"/>
      <c r="T275" s="58"/>
      <c r="U275" s="58"/>
      <c r="V275" s="58"/>
      <c r="X275" s="58"/>
      <c r="Y275" s="58"/>
      <c r="Z275" s="58"/>
      <c r="AA275" s="60"/>
      <c r="AB275" s="60"/>
      <c r="AC275" s="60"/>
      <c r="AD275" s="60"/>
    </row>
    <row r="276" spans="1:35">
      <c r="D276" s="148"/>
      <c r="E276" s="58"/>
      <c r="G276" s="241"/>
      <c r="H276" s="241"/>
      <c r="N276" s="147"/>
      <c r="O276" s="148"/>
      <c r="S276" s="1667"/>
      <c r="V276" s="149"/>
      <c r="Y276" s="148"/>
      <c r="Z276" s="58"/>
    </row>
    <row r="277" spans="1:35">
      <c r="D277" s="148"/>
      <c r="N277" s="147"/>
      <c r="O277" s="148"/>
      <c r="V277" s="149"/>
      <c r="Y277" s="148"/>
    </row>
    <row r="278" spans="1:35">
      <c r="N278" s="147"/>
      <c r="O278" s="148"/>
      <c r="Z278" s="58"/>
    </row>
    <row r="279" spans="1:35">
      <c r="N279" s="147"/>
      <c r="O279" s="148"/>
      <c r="V279" s="149"/>
      <c r="Z279" s="58"/>
    </row>
    <row r="280" spans="1:35">
      <c r="N280" s="147"/>
      <c r="O280" s="148"/>
      <c r="R280" s="149"/>
      <c r="S280" s="149"/>
      <c r="T280" s="149"/>
      <c r="V280" s="149"/>
      <c r="Z280" s="58"/>
    </row>
    <row r="281" spans="1:35">
      <c r="V281" s="150"/>
      <c r="Z281" s="58"/>
    </row>
    <row r="282" spans="1:35">
      <c r="V282" s="150"/>
      <c r="Z282" s="58"/>
    </row>
    <row r="283" spans="1:35">
      <c r="V283" s="149"/>
      <c r="Z283" s="58"/>
    </row>
    <row r="284" spans="1:35">
      <c r="V284" s="149"/>
    </row>
    <row r="285" spans="1:35">
      <c r="V285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72:AI272"/>
    <mergeCell ref="A273:AI273"/>
    <mergeCell ref="AA12:AB13"/>
    <mergeCell ref="AC12:AD13"/>
    <mergeCell ref="AE12:AF13"/>
    <mergeCell ref="AG12:AH13"/>
    <mergeCell ref="AI12:AI14"/>
    <mergeCell ref="A271:AI271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26" sqref="D26"/>
    </sheetView>
  </sheetViews>
  <sheetFormatPr defaultColWidth="9.109375" defaultRowHeight="13.8"/>
  <cols>
    <col min="1" max="1" width="8.109375" style="1096" customWidth="1"/>
    <col min="2" max="2" width="110.88671875" style="1097" customWidth="1"/>
    <col min="3" max="16384" width="9.109375" style="1097"/>
  </cols>
  <sheetData>
    <row r="1" spans="1:2" ht="6" customHeight="1"/>
    <row r="2" spans="1:2" ht="30" customHeight="1">
      <c r="A2" s="2114" t="s">
        <v>3803</v>
      </c>
      <c r="B2" s="2114"/>
    </row>
    <row r="3" spans="1:2" ht="12" customHeight="1">
      <c r="A3" s="2115"/>
      <c r="B3" s="2115"/>
    </row>
    <row r="4" spans="1:2" ht="10.5" customHeight="1">
      <c r="A4" s="2116"/>
      <c r="B4" s="2116"/>
    </row>
    <row r="5" spans="1:2" ht="19.5" customHeight="1">
      <c r="A5" s="1098" t="s">
        <v>2388</v>
      </c>
      <c r="B5" s="1099" t="s">
        <v>3804</v>
      </c>
    </row>
    <row r="6" spans="1:2" ht="18" customHeight="1">
      <c r="A6" s="1100">
        <v>1.1000000000000001</v>
      </c>
      <c r="B6" s="1102" t="s">
        <v>3760</v>
      </c>
    </row>
    <row r="7" spans="1:2" ht="18" customHeight="1">
      <c r="A7" s="1101">
        <v>1.2</v>
      </c>
      <c r="B7" s="1102" t="s">
        <v>3764</v>
      </c>
    </row>
    <row r="8" spans="1:2" ht="18" customHeight="1">
      <c r="A8" s="1101">
        <v>1.3</v>
      </c>
      <c r="B8" s="1102" t="s">
        <v>3761</v>
      </c>
    </row>
    <row r="9" spans="1:2" ht="18" customHeight="1">
      <c r="A9" s="1101">
        <v>1.4</v>
      </c>
      <c r="B9" s="1102" t="s">
        <v>3762</v>
      </c>
    </row>
    <row r="10" spans="1:2" ht="18" customHeight="1">
      <c r="A10" s="1101">
        <v>1.5</v>
      </c>
      <c r="B10" s="1102" t="s">
        <v>3805</v>
      </c>
    </row>
    <row r="11" spans="1:2" ht="18" customHeight="1">
      <c r="A11" s="1101">
        <v>1.6</v>
      </c>
      <c r="B11" s="1102" t="s">
        <v>3806</v>
      </c>
    </row>
    <row r="12" spans="1:2" ht="18" customHeight="1">
      <c r="A12" s="1101" t="s">
        <v>3596</v>
      </c>
      <c r="B12" s="1102" t="s">
        <v>3807</v>
      </c>
    </row>
    <row r="13" spans="1:2" ht="18" customHeight="1">
      <c r="A13" s="1101">
        <v>2.1</v>
      </c>
      <c r="B13" s="1102" t="s">
        <v>3808</v>
      </c>
    </row>
    <row r="14" spans="1:2" ht="18" customHeight="1">
      <c r="A14" s="1101">
        <v>2.2000000000000002</v>
      </c>
      <c r="B14" s="1102" t="s">
        <v>3809</v>
      </c>
    </row>
    <row r="15" spans="1:2" ht="18" customHeight="1">
      <c r="A15" s="1101">
        <v>2.2999999999999998</v>
      </c>
      <c r="B15" s="1102" t="s">
        <v>3810</v>
      </c>
    </row>
    <row r="16" spans="1:2" ht="18" customHeight="1">
      <c r="A16" s="1101">
        <v>2.4</v>
      </c>
      <c r="B16" s="1102" t="s">
        <v>3811</v>
      </c>
    </row>
    <row r="17" spans="1:2" ht="18" customHeight="1">
      <c r="A17" s="1101">
        <v>2.5</v>
      </c>
      <c r="B17" s="1102" t="s">
        <v>3812</v>
      </c>
    </row>
    <row r="18" spans="1:2" ht="18" customHeight="1">
      <c r="A18" s="1101">
        <v>2.6</v>
      </c>
      <c r="B18" s="1102" t="s">
        <v>3813</v>
      </c>
    </row>
    <row r="19" spans="1:2" ht="18" customHeight="1">
      <c r="A19" s="1101">
        <v>2.7</v>
      </c>
      <c r="B19" s="1102" t="s">
        <v>3814</v>
      </c>
    </row>
    <row r="20" spans="1:2" ht="18" customHeight="1">
      <c r="A20" s="1101" t="s">
        <v>3050</v>
      </c>
      <c r="B20" s="1102" t="s">
        <v>3821</v>
      </c>
    </row>
    <row r="21" spans="1:2" ht="18" customHeight="1">
      <c r="A21" s="1101" t="s">
        <v>3172</v>
      </c>
      <c r="B21" s="1102" t="s">
        <v>3765</v>
      </c>
    </row>
    <row r="22" spans="1:2" ht="18" customHeight="1">
      <c r="A22" s="1101">
        <v>2.8</v>
      </c>
      <c r="B22" s="1102" t="s">
        <v>3815</v>
      </c>
    </row>
    <row r="23" spans="1:2" ht="18" customHeight="1">
      <c r="A23" s="1101" t="s">
        <v>3048</v>
      </c>
      <c r="B23" s="1102" t="s">
        <v>3822</v>
      </c>
    </row>
    <row r="24" spans="1:2" ht="18" customHeight="1">
      <c r="A24" s="1101" t="s">
        <v>2978</v>
      </c>
      <c r="B24" s="1102" t="s">
        <v>3766</v>
      </c>
    </row>
    <row r="25" spans="1:2" ht="18" customHeight="1">
      <c r="A25" s="1101" t="s">
        <v>2980</v>
      </c>
      <c r="B25" s="1102" t="s">
        <v>3768</v>
      </c>
    </row>
    <row r="26" spans="1:2" ht="18" customHeight="1">
      <c r="A26" s="1101" t="s">
        <v>2982</v>
      </c>
      <c r="B26" s="1102" t="s">
        <v>3767</v>
      </c>
    </row>
    <row r="27" spans="1:2" ht="18" customHeight="1">
      <c r="A27" s="1101" t="s">
        <v>2984</v>
      </c>
      <c r="B27" s="1102" t="s">
        <v>3769</v>
      </c>
    </row>
    <row r="28" spans="1:2" ht="18" customHeight="1">
      <c r="A28" s="1101" t="s">
        <v>2986</v>
      </c>
      <c r="B28" s="1102" t="s">
        <v>3770</v>
      </c>
    </row>
    <row r="29" spans="1:2" ht="18" customHeight="1">
      <c r="A29" s="1101" t="s">
        <v>2988</v>
      </c>
      <c r="B29" s="1102" t="s">
        <v>3771</v>
      </c>
    </row>
    <row r="30" spans="1:2" ht="18" customHeight="1">
      <c r="A30" s="1101" t="s">
        <v>2990</v>
      </c>
      <c r="B30" s="1102" t="s">
        <v>3772</v>
      </c>
    </row>
    <row r="31" spans="1:2" ht="18" customHeight="1">
      <c r="A31" s="1101" t="s">
        <v>2992</v>
      </c>
      <c r="B31" s="1102" t="s">
        <v>3773</v>
      </c>
    </row>
    <row r="32" spans="1:2" ht="18" customHeight="1">
      <c r="A32" s="1101" t="s">
        <v>2994</v>
      </c>
      <c r="B32" s="1102" t="s">
        <v>3774</v>
      </c>
    </row>
    <row r="33" spans="1:2" ht="18" customHeight="1">
      <c r="A33" s="1101" t="s">
        <v>2996</v>
      </c>
      <c r="B33" s="1102" t="s">
        <v>3775</v>
      </c>
    </row>
    <row r="34" spans="1:2" ht="18" customHeight="1">
      <c r="A34" s="1101" t="s">
        <v>2998</v>
      </c>
      <c r="B34" s="1102" t="s">
        <v>3776</v>
      </c>
    </row>
    <row r="35" spans="1:2" ht="18" customHeight="1">
      <c r="A35" s="1101" t="s">
        <v>3000</v>
      </c>
      <c r="B35" s="1102" t="s">
        <v>3816</v>
      </c>
    </row>
    <row r="36" spans="1:2" ht="18" customHeight="1">
      <c r="A36" s="1101" t="s">
        <v>3001</v>
      </c>
      <c r="B36" s="1102" t="s">
        <v>3817</v>
      </c>
    </row>
    <row r="37" spans="1:2" ht="18" customHeight="1">
      <c r="A37" s="1101" t="s">
        <v>3003</v>
      </c>
      <c r="B37" s="1102" t="s">
        <v>3777</v>
      </c>
    </row>
    <row r="38" spans="1:2" ht="18" customHeight="1">
      <c r="A38" s="1101" t="s">
        <v>3005</v>
      </c>
      <c r="B38" s="1102" t="s">
        <v>3778</v>
      </c>
    </row>
    <row r="39" spans="1:2" ht="18" customHeight="1">
      <c r="A39" s="1101" t="s">
        <v>3007</v>
      </c>
      <c r="B39" s="1102" t="s">
        <v>3779</v>
      </c>
    </row>
    <row r="40" spans="1:2" ht="18" customHeight="1">
      <c r="A40" s="1101" t="s">
        <v>3008</v>
      </c>
      <c r="B40" s="1102" t="s">
        <v>3780</v>
      </c>
    </row>
    <row r="41" spans="1:2" ht="18" customHeight="1">
      <c r="A41" s="1101" t="s">
        <v>3597</v>
      </c>
      <c r="B41" s="1102" t="s">
        <v>3818</v>
      </c>
    </row>
    <row r="42" spans="1:2" ht="18" customHeight="1">
      <c r="A42" s="1101" t="s">
        <v>3009</v>
      </c>
      <c r="B42" s="1102" t="s">
        <v>3819</v>
      </c>
    </row>
    <row r="43" spans="1:2" ht="18" customHeight="1">
      <c r="A43" s="1101" t="s">
        <v>3010</v>
      </c>
      <c r="B43" s="1102" t="s">
        <v>3781</v>
      </c>
    </row>
    <row r="44" spans="1:2" ht="18" customHeight="1">
      <c r="A44" s="1101" t="s">
        <v>3011</v>
      </c>
      <c r="B44" s="1102" t="s">
        <v>3782</v>
      </c>
    </row>
    <row r="45" spans="1:2" ht="18" customHeight="1">
      <c r="A45" s="1101" t="s">
        <v>3012</v>
      </c>
      <c r="B45" s="1102" t="s">
        <v>3783</v>
      </c>
    </row>
    <row r="46" spans="1:2" ht="18" customHeight="1">
      <c r="A46" s="1101" t="s">
        <v>3014</v>
      </c>
      <c r="B46" s="1102" t="s">
        <v>3784</v>
      </c>
    </row>
    <row r="47" spans="1:2" ht="18" customHeight="1">
      <c r="A47" s="1101" t="s">
        <v>3016</v>
      </c>
      <c r="B47" s="1102" t="s">
        <v>3785</v>
      </c>
    </row>
    <row r="48" spans="1:2" ht="18" customHeight="1">
      <c r="A48" s="1101" t="s">
        <v>3018</v>
      </c>
      <c r="B48" s="1102" t="s">
        <v>3786</v>
      </c>
    </row>
    <row r="49" spans="1:2" ht="18" customHeight="1">
      <c r="A49" s="1101" t="s">
        <v>3020</v>
      </c>
      <c r="B49" s="1102" t="s">
        <v>3787</v>
      </c>
    </row>
    <row r="50" spans="1:2" ht="18" customHeight="1">
      <c r="A50" s="1101" t="s">
        <v>3021</v>
      </c>
      <c r="B50" s="1102" t="s">
        <v>3788</v>
      </c>
    </row>
    <row r="51" spans="1:2" ht="18" customHeight="1">
      <c r="A51" s="1101" t="s">
        <v>3023</v>
      </c>
      <c r="B51" s="1102" t="s">
        <v>4019</v>
      </c>
    </row>
    <row r="52" spans="1:2" ht="18" customHeight="1">
      <c r="A52" s="1101" t="s">
        <v>3024</v>
      </c>
      <c r="B52" s="1102" t="s">
        <v>3789</v>
      </c>
    </row>
    <row r="53" spans="1:2" ht="18" customHeight="1">
      <c r="A53" s="1101" t="s">
        <v>3026</v>
      </c>
      <c r="B53" s="1102" t="s">
        <v>3790</v>
      </c>
    </row>
    <row r="54" spans="1:2" ht="18" customHeight="1">
      <c r="A54" s="1101" t="s">
        <v>3174</v>
      </c>
      <c r="B54" s="1102" t="s">
        <v>3791</v>
      </c>
    </row>
    <row r="55" spans="1:2" ht="18" customHeight="1">
      <c r="A55" s="1101" t="s">
        <v>3175</v>
      </c>
      <c r="B55" s="1102" t="s">
        <v>3982</v>
      </c>
    </row>
    <row r="56" spans="1:2" ht="18" customHeight="1">
      <c r="A56" s="1101" t="s">
        <v>3176</v>
      </c>
      <c r="B56" s="1102" t="s">
        <v>3792</v>
      </c>
    </row>
    <row r="57" spans="1:2" ht="18" customHeight="1">
      <c r="A57" s="1101" t="s">
        <v>3177</v>
      </c>
      <c r="B57" s="1102" t="s">
        <v>3793</v>
      </c>
    </row>
    <row r="58" spans="1:2" ht="18" customHeight="1">
      <c r="A58" s="1101" t="s">
        <v>3880</v>
      </c>
      <c r="B58" s="1102" t="s">
        <v>3881</v>
      </c>
    </row>
    <row r="59" spans="1:2" ht="18" customHeight="1">
      <c r="A59" s="1101" t="s">
        <v>3027</v>
      </c>
      <c r="B59" s="1102" t="s">
        <v>3794</v>
      </c>
    </row>
    <row r="60" spans="1:2" ht="18" customHeight="1">
      <c r="A60" s="1101" t="s">
        <v>3028</v>
      </c>
      <c r="B60" s="1102" t="s">
        <v>3795</v>
      </c>
    </row>
    <row r="61" spans="1:2" ht="18" customHeight="1">
      <c r="A61" s="1101" t="s">
        <v>3030</v>
      </c>
      <c r="B61" s="1102" t="s">
        <v>3820</v>
      </c>
    </row>
    <row r="62" spans="1:2" ht="18" customHeight="1">
      <c r="A62" s="1101" t="s">
        <v>3032</v>
      </c>
      <c r="B62" s="1102" t="s">
        <v>3796</v>
      </c>
    </row>
    <row r="63" spans="1:2" ht="18" customHeight="1">
      <c r="A63" s="1101" t="s">
        <v>3180</v>
      </c>
      <c r="B63" s="1102" t="s">
        <v>3797</v>
      </c>
    </row>
    <row r="64" spans="1:2" ht="18" customHeight="1">
      <c r="A64" s="1101" t="s">
        <v>3728</v>
      </c>
      <c r="B64" s="1102" t="s">
        <v>3798</v>
      </c>
    </row>
    <row r="65" spans="1:2" ht="18" customHeight="1">
      <c r="A65" s="1101" t="s">
        <v>3916</v>
      </c>
      <c r="B65" s="1102" t="s">
        <v>3918</v>
      </c>
    </row>
    <row r="66" spans="1:2" ht="18" customHeight="1">
      <c r="A66" s="1101" t="s">
        <v>3182</v>
      </c>
      <c r="B66" s="1640" t="s">
        <v>3799</v>
      </c>
    </row>
    <row r="67" spans="1:2" ht="18" customHeight="1">
      <c r="A67" s="1101" t="s">
        <v>3183</v>
      </c>
      <c r="B67" s="1102" t="s">
        <v>3800</v>
      </c>
    </row>
    <row r="68" spans="1:2" ht="18" customHeight="1">
      <c r="A68" s="1101" t="s">
        <v>307</v>
      </c>
      <c r="B68" s="1102" t="s">
        <v>3801</v>
      </c>
    </row>
    <row r="69" spans="1:2" ht="18" customHeight="1">
      <c r="A69" s="1101" t="s">
        <v>308</v>
      </c>
      <c r="B69" s="1102" t="s">
        <v>3802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2"/>
  <sheetViews>
    <sheetView showGridLines="0" view="pageBreakPreview" zoomScale="85" zoomScaleSheetLayoutView="85" workbookViewId="0">
      <pane xSplit="1" ySplit="12" topLeftCell="C60" activePane="bottomRight" state="frozen"/>
      <selection activeCell="G291" sqref="G291"/>
      <selection pane="topRight" activeCell="G291" sqref="G291"/>
      <selection pane="bottomLeft" activeCell="G291" sqref="G291"/>
      <selection pane="bottomRight" activeCell="T80" sqref="T80"/>
    </sheetView>
  </sheetViews>
  <sheetFormatPr defaultColWidth="8.88671875" defaultRowHeight="15.6"/>
  <cols>
    <col min="1" max="1" width="7.6640625" style="1123" customWidth="1"/>
    <col min="2" max="2" width="12.109375" style="1123" customWidth="1"/>
    <col min="3" max="3" width="17.88671875" style="1123" customWidth="1"/>
    <col min="4" max="4" width="11.109375" style="1123" customWidth="1"/>
    <col min="5" max="5" width="13.109375" style="1124" bestFit="1" customWidth="1"/>
    <col min="6" max="6" width="14.33203125" style="1124" customWidth="1"/>
    <col min="7" max="7" width="9.5546875" style="1124" customWidth="1"/>
    <col min="8" max="8" width="14.33203125" style="1124" customWidth="1"/>
    <col min="9" max="9" width="9.5546875" style="1124" customWidth="1"/>
    <col min="10" max="10" width="14.33203125" style="1124" customWidth="1"/>
    <col min="11" max="11" width="9.5546875" style="1124" customWidth="1"/>
    <col min="12" max="12" width="14.33203125" style="1124" customWidth="1"/>
    <col min="13" max="13" width="9.5546875" style="1124" customWidth="1"/>
    <col min="14" max="14" width="14.33203125" style="1124" customWidth="1"/>
    <col min="15" max="15" width="9.5546875" style="1124" customWidth="1"/>
    <col min="16" max="16" width="14.33203125" style="1124" customWidth="1"/>
    <col min="17" max="17" width="9.5546875" style="1124" customWidth="1"/>
    <col min="18" max="18" width="14.33203125" style="1124" customWidth="1"/>
    <col min="19" max="20" width="16.6640625" style="1124" customWidth="1"/>
    <col min="21" max="21" width="9.5546875" style="1125" customWidth="1"/>
    <col min="22" max="22" width="14.33203125" style="1124" customWidth="1"/>
    <col min="23" max="23" width="9.5546875" style="1124" customWidth="1"/>
    <col min="24" max="24" width="14.33203125" style="1124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5.109375" style="1124" customWidth="1"/>
    <col min="34" max="77" width="8.88671875" style="1124"/>
    <col min="78" max="78" width="0" style="1124" hidden="1" customWidth="1"/>
    <col min="79" max="16384" width="8.88671875" style="1124"/>
  </cols>
  <sheetData>
    <row r="1" spans="1:80" ht="10.5" customHeight="1"/>
    <row r="2" spans="1:80" ht="38.25" customHeight="1">
      <c r="A2" s="2373" t="s">
        <v>3047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  <c r="R2" s="2373"/>
      <c r="S2" s="2373"/>
      <c r="T2" s="2373"/>
      <c r="U2" s="2373"/>
      <c r="V2" s="2373"/>
      <c r="W2" s="2373"/>
      <c r="X2" s="2373"/>
      <c r="Y2" s="2373"/>
      <c r="Z2" s="2373"/>
      <c r="AA2" s="2373"/>
      <c r="AB2" s="2373"/>
      <c r="AC2" s="2373"/>
      <c r="AD2" s="2373"/>
      <c r="AE2" s="2373"/>
      <c r="AF2" s="2373"/>
      <c r="AG2" s="2373"/>
    </row>
    <row r="3" spans="1:80" ht="38.25" customHeight="1">
      <c r="A3" s="2374" t="s">
        <v>3046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  <c r="R3" s="2374"/>
      <c r="S3" s="2374"/>
      <c r="T3" s="2374"/>
      <c r="U3" s="2374"/>
      <c r="V3" s="2374"/>
      <c r="W3" s="2374"/>
      <c r="X3" s="2374"/>
      <c r="Y3" s="2374"/>
      <c r="Z3" s="2374"/>
      <c r="AA3" s="2374"/>
      <c r="AB3" s="2374"/>
      <c r="AC3" s="2374"/>
      <c r="AD3" s="2374"/>
      <c r="AE3" s="2374"/>
      <c r="AF3" s="2374"/>
      <c r="AG3" s="2374"/>
    </row>
    <row r="4" spans="1:80" ht="15.75" customHeight="1">
      <c r="A4" s="1126"/>
      <c r="B4" s="1126"/>
      <c r="C4" s="1126"/>
      <c r="D4" s="1126"/>
      <c r="E4" s="1126"/>
      <c r="F4" s="1126"/>
      <c r="G4" s="1126"/>
      <c r="H4" s="1126"/>
      <c r="I4" s="1126"/>
      <c r="J4" s="1126"/>
      <c r="K4" s="1126"/>
      <c r="L4" s="1126"/>
      <c r="M4" s="1126"/>
      <c r="N4" s="1126"/>
      <c r="O4" s="1126"/>
      <c r="P4" s="1126"/>
      <c r="Q4" s="1126"/>
      <c r="R4" s="1126"/>
      <c r="S4" s="1126"/>
      <c r="T4" s="1126"/>
      <c r="U4" s="1126"/>
      <c r="V4" s="1126"/>
      <c r="W4" s="1126"/>
      <c r="X4" s="1126"/>
      <c r="Y4" s="1126"/>
      <c r="Z4" s="1126"/>
      <c r="AA4" s="1126"/>
      <c r="AB4" s="1126"/>
      <c r="AC4" s="1126"/>
      <c r="AD4" s="1126"/>
      <c r="AE4" s="1126"/>
      <c r="AF4" s="1126"/>
      <c r="AG4" s="1126"/>
    </row>
    <row r="5" spans="1:80" ht="15.75" customHeight="1">
      <c r="A5" s="2375" t="s">
        <v>8</v>
      </c>
      <c r="B5" s="2375"/>
      <c r="C5" s="2375"/>
      <c r="D5" s="2375"/>
      <c r="E5" s="2375"/>
      <c r="F5" s="2375"/>
      <c r="G5" s="2375"/>
      <c r="H5" s="2375"/>
      <c r="I5" s="2375"/>
      <c r="J5" s="2375"/>
      <c r="K5" s="2375"/>
      <c r="L5" s="2375"/>
      <c r="M5" s="2375"/>
      <c r="N5" s="2375"/>
      <c r="O5" s="2375"/>
      <c r="P5" s="2375"/>
      <c r="Q5" s="2375"/>
      <c r="R5" s="2375"/>
      <c r="S5" s="2375"/>
      <c r="T5" s="2375"/>
      <c r="U5" s="2375"/>
      <c r="V5" s="2375"/>
      <c r="W5" s="2375"/>
      <c r="X5" s="2375"/>
      <c r="Y5" s="2375"/>
      <c r="Z5" s="2375"/>
      <c r="AA5" s="2375"/>
      <c r="AB5" s="2375"/>
      <c r="AC5" s="2375"/>
      <c r="AD5" s="2375"/>
      <c r="AE5" s="2375"/>
      <c r="AF5" s="2375"/>
      <c r="AG5" s="2375"/>
    </row>
    <row r="6" spans="1:80" s="1127" customFormat="1" ht="22.5" customHeight="1">
      <c r="A6" s="2376" t="s">
        <v>182</v>
      </c>
      <c r="B6" s="2377" t="s">
        <v>3045</v>
      </c>
      <c r="C6" s="2377"/>
      <c r="D6" s="2377"/>
      <c r="E6" s="2377" t="s">
        <v>2490</v>
      </c>
      <c r="F6" s="2377"/>
      <c r="G6" s="2377"/>
      <c r="H6" s="2377"/>
      <c r="I6" s="2377"/>
      <c r="J6" s="2377"/>
      <c r="K6" s="2377"/>
      <c r="L6" s="2377"/>
      <c r="M6" s="2377"/>
      <c r="N6" s="2377"/>
      <c r="O6" s="2377"/>
      <c r="P6" s="2377"/>
      <c r="Q6" s="2377"/>
      <c r="R6" s="2377"/>
      <c r="S6" s="2377"/>
      <c r="T6" s="2377"/>
      <c r="U6" s="2377"/>
      <c r="V6" s="2377"/>
      <c r="W6" s="2377"/>
      <c r="X6" s="2377"/>
      <c r="Y6" s="2377"/>
      <c r="Z6" s="2377"/>
      <c r="AA6" s="2377"/>
      <c r="AB6" s="2377"/>
      <c r="AC6" s="2377"/>
      <c r="AD6" s="2377"/>
      <c r="AE6" s="2377"/>
      <c r="AF6" s="2377"/>
      <c r="AG6" s="2376" t="s">
        <v>165</v>
      </c>
      <c r="CA6" s="1128"/>
      <c r="CB6" s="1129"/>
    </row>
    <row r="7" spans="1:80" s="1127" customFormat="1" ht="13.95" customHeight="1">
      <c r="A7" s="2376"/>
      <c r="B7" s="2377"/>
      <c r="C7" s="2377"/>
      <c r="D7" s="2377"/>
      <c r="E7" s="2369" t="s">
        <v>166</v>
      </c>
      <c r="F7" s="2370"/>
      <c r="G7" s="2369" t="s">
        <v>2650</v>
      </c>
      <c r="H7" s="2370"/>
      <c r="I7" s="2369" t="s">
        <v>2435</v>
      </c>
      <c r="J7" s="2370"/>
      <c r="K7" s="2369" t="s">
        <v>2436</v>
      </c>
      <c r="L7" s="2370"/>
      <c r="M7" s="2369" t="s">
        <v>167</v>
      </c>
      <c r="N7" s="2370"/>
      <c r="O7" s="2369" t="s">
        <v>2437</v>
      </c>
      <c r="P7" s="2370"/>
      <c r="Q7" s="2357" t="s">
        <v>168</v>
      </c>
      <c r="R7" s="2358"/>
      <c r="S7" s="2369" t="s">
        <v>2651</v>
      </c>
      <c r="T7" s="2370"/>
      <c r="U7" s="2369" t="s">
        <v>2652</v>
      </c>
      <c r="V7" s="2370"/>
      <c r="W7" s="2357" t="s">
        <v>169</v>
      </c>
      <c r="X7" s="2358"/>
      <c r="Y7" s="2361" t="s">
        <v>170</v>
      </c>
      <c r="Z7" s="2362"/>
      <c r="AA7" s="2365" t="s">
        <v>2653</v>
      </c>
      <c r="AB7" s="2366"/>
      <c r="AC7" s="2361" t="s">
        <v>171</v>
      </c>
      <c r="AD7" s="2362"/>
      <c r="AE7" s="2361" t="s">
        <v>1068</v>
      </c>
      <c r="AF7" s="2362"/>
      <c r="AG7" s="2376"/>
      <c r="CB7" s="1130"/>
    </row>
    <row r="8" spans="1:80" s="1127" customFormat="1" ht="59.25" customHeight="1">
      <c r="A8" s="2376"/>
      <c r="B8" s="2377"/>
      <c r="C8" s="2377"/>
      <c r="D8" s="2377"/>
      <c r="E8" s="2371"/>
      <c r="F8" s="2372"/>
      <c r="G8" s="2371"/>
      <c r="H8" s="2372"/>
      <c r="I8" s="2371"/>
      <c r="J8" s="2372"/>
      <c r="K8" s="2371"/>
      <c r="L8" s="2372"/>
      <c r="M8" s="2371"/>
      <c r="N8" s="2372"/>
      <c r="O8" s="2371"/>
      <c r="P8" s="2372"/>
      <c r="Q8" s="2359"/>
      <c r="R8" s="2360"/>
      <c r="S8" s="2371"/>
      <c r="T8" s="2372"/>
      <c r="U8" s="2371"/>
      <c r="V8" s="2372"/>
      <c r="W8" s="2359"/>
      <c r="X8" s="2360"/>
      <c r="Y8" s="2363"/>
      <c r="Z8" s="2364"/>
      <c r="AA8" s="2367"/>
      <c r="AB8" s="2368"/>
      <c r="AC8" s="2363"/>
      <c r="AD8" s="2364"/>
      <c r="AE8" s="2363"/>
      <c r="AF8" s="2364"/>
      <c r="AG8" s="2376"/>
      <c r="CB8" s="1130"/>
    </row>
    <row r="9" spans="1:80" s="1132" customFormat="1" ht="54.75" customHeight="1">
      <c r="A9" s="2376"/>
      <c r="B9" s="1131" t="s">
        <v>155</v>
      </c>
      <c r="C9" s="1131" t="s">
        <v>3043</v>
      </c>
      <c r="D9" s="1131" t="s">
        <v>3042</v>
      </c>
      <c r="E9" s="1131" t="s">
        <v>3038</v>
      </c>
      <c r="F9" s="1131" t="s">
        <v>3044</v>
      </c>
      <c r="G9" s="1131" t="s">
        <v>3038</v>
      </c>
      <c r="H9" s="1131" t="s">
        <v>3044</v>
      </c>
      <c r="I9" s="1131" t="s">
        <v>3038</v>
      </c>
      <c r="J9" s="1131" t="s">
        <v>3044</v>
      </c>
      <c r="K9" s="1131" t="s">
        <v>3038</v>
      </c>
      <c r="L9" s="1131" t="s">
        <v>3044</v>
      </c>
      <c r="M9" s="1131" t="s">
        <v>3038</v>
      </c>
      <c r="N9" s="1131" t="s">
        <v>3044</v>
      </c>
      <c r="O9" s="1131" t="s">
        <v>3038</v>
      </c>
      <c r="P9" s="1131" t="s">
        <v>3044</v>
      </c>
      <c r="Q9" s="1131" t="s">
        <v>3038</v>
      </c>
      <c r="R9" s="1131" t="s">
        <v>3044</v>
      </c>
      <c r="S9" s="1131" t="s">
        <v>3038</v>
      </c>
      <c r="T9" s="1131" t="s">
        <v>3044</v>
      </c>
      <c r="U9" s="1131" t="s">
        <v>3038</v>
      </c>
      <c r="V9" s="1131" t="s">
        <v>3044</v>
      </c>
      <c r="W9" s="1131" t="s">
        <v>3038</v>
      </c>
      <c r="X9" s="1131" t="s">
        <v>3044</v>
      </c>
      <c r="Y9" s="1131" t="s">
        <v>3038</v>
      </c>
      <c r="Z9" s="1131" t="s">
        <v>3044</v>
      </c>
      <c r="AA9" s="1131" t="s">
        <v>3038</v>
      </c>
      <c r="AB9" s="1131" t="s">
        <v>3044</v>
      </c>
      <c r="AC9" s="1131" t="s">
        <v>3038</v>
      </c>
      <c r="AD9" s="1131" t="s">
        <v>3044</v>
      </c>
      <c r="AE9" s="1131" t="s">
        <v>3038</v>
      </c>
      <c r="AF9" s="1131" t="s">
        <v>3044</v>
      </c>
      <c r="AG9" s="2376"/>
      <c r="CB9" s="1133"/>
    </row>
    <row r="10" spans="1:80" s="1134" customFormat="1" ht="16.5" customHeight="1">
      <c r="A10" s="2356" t="s">
        <v>304</v>
      </c>
      <c r="B10" s="2351" t="s">
        <v>3041</v>
      </c>
      <c r="C10" s="2351"/>
      <c r="D10" s="2351"/>
      <c r="E10" s="2351" t="s">
        <v>1187</v>
      </c>
      <c r="F10" s="2351"/>
      <c r="G10" s="2351"/>
      <c r="H10" s="2351"/>
      <c r="I10" s="2351"/>
      <c r="J10" s="2351"/>
      <c r="K10" s="2351"/>
      <c r="L10" s="2351"/>
      <c r="M10" s="2351"/>
      <c r="N10" s="2351"/>
      <c r="O10" s="2351"/>
      <c r="P10" s="2351"/>
      <c r="Q10" s="2351"/>
      <c r="R10" s="2351"/>
      <c r="S10" s="2351"/>
      <c r="T10" s="2351"/>
      <c r="U10" s="2351"/>
      <c r="V10" s="2351"/>
      <c r="W10" s="2351"/>
      <c r="X10" s="2351"/>
      <c r="Y10" s="2351"/>
      <c r="Z10" s="2351"/>
      <c r="AA10" s="2351"/>
      <c r="AB10" s="2351"/>
      <c r="AC10" s="2351"/>
      <c r="AD10" s="2351"/>
      <c r="AE10" s="2351"/>
      <c r="AF10" s="2351"/>
      <c r="AG10" s="2354" t="s">
        <v>1188</v>
      </c>
      <c r="CB10" s="1135"/>
    </row>
    <row r="11" spans="1:80" s="1134" customFormat="1" ht="42.75" customHeight="1">
      <c r="A11" s="2356"/>
      <c r="B11" s="2351"/>
      <c r="C11" s="2351"/>
      <c r="D11" s="2351"/>
      <c r="E11" s="2351" t="s">
        <v>175</v>
      </c>
      <c r="F11" s="2351"/>
      <c r="G11" s="2351" t="s">
        <v>2654</v>
      </c>
      <c r="H11" s="2351"/>
      <c r="I11" s="2351" t="s">
        <v>2655</v>
      </c>
      <c r="J11" s="2351"/>
      <c r="K11" s="2351" t="s">
        <v>2657</v>
      </c>
      <c r="L11" s="2351"/>
      <c r="M11" s="2351" t="s">
        <v>176</v>
      </c>
      <c r="N11" s="2351"/>
      <c r="O11" s="2351" t="s">
        <v>2658</v>
      </c>
      <c r="P11" s="2351"/>
      <c r="Q11" s="2351" t="s">
        <v>3040</v>
      </c>
      <c r="R11" s="2351"/>
      <c r="S11" s="2351" t="s">
        <v>2656</v>
      </c>
      <c r="T11" s="2351"/>
      <c r="U11" s="2351" t="s">
        <v>2659</v>
      </c>
      <c r="V11" s="2351"/>
      <c r="W11" s="2351" t="s">
        <v>178</v>
      </c>
      <c r="X11" s="2351"/>
      <c r="Y11" s="2351" t="s">
        <v>3039</v>
      </c>
      <c r="Z11" s="2351"/>
      <c r="AA11" s="2351" t="s">
        <v>1070</v>
      </c>
      <c r="AB11" s="2351"/>
      <c r="AC11" s="2351" t="s">
        <v>1071</v>
      </c>
      <c r="AD11" s="2351"/>
      <c r="AE11" s="2351" t="s">
        <v>1068</v>
      </c>
      <c r="AF11" s="2351"/>
      <c r="AG11" s="2355"/>
      <c r="CB11" s="1135"/>
    </row>
    <row r="12" spans="1:80" s="1134" customFormat="1" ht="35.25" customHeight="1">
      <c r="A12" s="2356"/>
      <c r="B12" s="1136" t="s">
        <v>105</v>
      </c>
      <c r="C12" s="1136" t="s">
        <v>3061</v>
      </c>
      <c r="D12" s="1137" t="s">
        <v>179</v>
      </c>
      <c r="E12" s="1136" t="s">
        <v>3038</v>
      </c>
      <c r="F12" s="1136" t="s">
        <v>3037</v>
      </c>
      <c r="G12" s="1136" t="s">
        <v>3038</v>
      </c>
      <c r="H12" s="1136" t="s">
        <v>3037</v>
      </c>
      <c r="I12" s="1136" t="s">
        <v>3038</v>
      </c>
      <c r="J12" s="1136" t="s">
        <v>3037</v>
      </c>
      <c r="K12" s="1136" t="s">
        <v>3038</v>
      </c>
      <c r="L12" s="1136" t="s">
        <v>3037</v>
      </c>
      <c r="M12" s="1136" t="s">
        <v>3038</v>
      </c>
      <c r="N12" s="1136" t="s">
        <v>3037</v>
      </c>
      <c r="O12" s="1136" t="s">
        <v>3038</v>
      </c>
      <c r="P12" s="1136" t="s">
        <v>3037</v>
      </c>
      <c r="Q12" s="1136" t="s">
        <v>3038</v>
      </c>
      <c r="R12" s="1136" t="s">
        <v>3037</v>
      </c>
      <c r="S12" s="1136" t="s">
        <v>3038</v>
      </c>
      <c r="T12" s="1136" t="s">
        <v>3037</v>
      </c>
      <c r="U12" s="1136" t="s">
        <v>3038</v>
      </c>
      <c r="V12" s="1136" t="s">
        <v>3037</v>
      </c>
      <c r="W12" s="1136" t="s">
        <v>3038</v>
      </c>
      <c r="X12" s="1136" t="s">
        <v>3037</v>
      </c>
      <c r="Y12" s="1136" t="s">
        <v>3038</v>
      </c>
      <c r="Z12" s="1136" t="s">
        <v>3037</v>
      </c>
      <c r="AA12" s="1136" t="s">
        <v>3038</v>
      </c>
      <c r="AB12" s="1136" t="s">
        <v>3037</v>
      </c>
      <c r="AC12" s="1136" t="s">
        <v>3038</v>
      </c>
      <c r="AD12" s="1136" t="s">
        <v>3037</v>
      </c>
      <c r="AE12" s="1136" t="s">
        <v>3038</v>
      </c>
      <c r="AF12" s="1136" t="s">
        <v>3037</v>
      </c>
      <c r="AG12" s="2355"/>
      <c r="CB12" s="1135"/>
    </row>
    <row r="13" spans="1:80" ht="15" customHeight="1">
      <c r="A13" s="1138" t="s">
        <v>2407</v>
      </c>
      <c r="B13" s="1138"/>
      <c r="C13" s="1138"/>
      <c r="D13" s="1138"/>
      <c r="E13" s="1139"/>
      <c r="F13" s="1139"/>
      <c r="G13" s="1139"/>
      <c r="H13" s="1139"/>
      <c r="I13" s="1139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</row>
    <row r="14" spans="1:80" ht="15" customHeight="1">
      <c r="A14" s="1138" t="s">
        <v>18</v>
      </c>
      <c r="B14" s="1139">
        <v>15513.610178430001</v>
      </c>
      <c r="C14" s="1139">
        <v>1306.8619599600004</v>
      </c>
      <c r="D14" s="1140">
        <f>C14/B14*100</f>
        <v>8.4239705969732999</v>
      </c>
      <c r="E14" s="1141">
        <v>2414.2416905399996</v>
      </c>
      <c r="F14" s="1141">
        <v>12.63777533</v>
      </c>
      <c r="G14" s="1141">
        <v>622.88632794000011</v>
      </c>
      <c r="H14" s="1141">
        <v>6.5194999999999999</v>
      </c>
      <c r="I14" s="1141">
        <v>482.03446362000005</v>
      </c>
      <c r="J14" s="1141">
        <v>58.257205120000002</v>
      </c>
      <c r="K14" s="1141">
        <v>466.63706786</v>
      </c>
      <c r="L14" s="1141">
        <v>0</v>
      </c>
      <c r="M14" s="1141">
        <v>1135.2953768500001</v>
      </c>
      <c r="N14" s="1141">
        <v>3.2130904600000001</v>
      </c>
      <c r="O14" s="1141">
        <v>1177.10613827</v>
      </c>
      <c r="P14" s="1141">
        <v>0.41225699999999998</v>
      </c>
      <c r="Q14" s="1141">
        <v>6768.8706715900007</v>
      </c>
      <c r="R14" s="1141">
        <v>236.12697776000002</v>
      </c>
      <c r="S14" s="1141">
        <v>38.46201275</v>
      </c>
      <c r="T14" s="1141">
        <v>0.1963</v>
      </c>
      <c r="U14" s="1141">
        <v>1.09727281</v>
      </c>
      <c r="V14" s="1141">
        <v>0</v>
      </c>
      <c r="W14" s="1141">
        <v>648.99629937000088</v>
      </c>
      <c r="X14" s="1141">
        <v>19.574868360000018</v>
      </c>
      <c r="Y14" s="1141">
        <v>22.149604879999998</v>
      </c>
      <c r="Z14" s="1141">
        <v>0</v>
      </c>
      <c r="AA14" s="1141">
        <v>1.42187361</v>
      </c>
      <c r="AB14" s="1141">
        <v>0</v>
      </c>
      <c r="AC14" s="1141">
        <v>32.041896259999994</v>
      </c>
      <c r="AD14" s="1141">
        <v>0</v>
      </c>
      <c r="AE14" s="1141">
        <v>58.569548089999998</v>
      </c>
      <c r="AF14" s="1141">
        <v>0</v>
      </c>
      <c r="AG14" s="1141">
        <v>340.32591054999995</v>
      </c>
    </row>
    <row r="15" spans="1:80" ht="15" customHeight="1">
      <c r="A15" s="1138" t="s">
        <v>19</v>
      </c>
      <c r="B15" s="1139">
        <v>15696.35984816</v>
      </c>
      <c r="C15" s="1139">
        <v>1297.7919746600001</v>
      </c>
      <c r="D15" s="1140">
        <f>C15/B15*100</f>
        <v>8.2681079384920775</v>
      </c>
      <c r="E15" s="1141">
        <v>2509.13364744</v>
      </c>
      <c r="F15" s="1141">
        <v>12.63777533</v>
      </c>
      <c r="G15" s="1141">
        <v>619.72263909000003</v>
      </c>
      <c r="H15" s="1141">
        <v>6.5194999999999999</v>
      </c>
      <c r="I15" s="1141">
        <v>476.02636567000002</v>
      </c>
      <c r="J15" s="1141">
        <v>58.257205120000002</v>
      </c>
      <c r="K15" s="1141">
        <v>464.59826734000001</v>
      </c>
      <c r="L15" s="1141">
        <v>0</v>
      </c>
      <c r="M15" s="1141">
        <v>1132.1902052399998</v>
      </c>
      <c r="N15" s="1141">
        <v>3.2130904600000001</v>
      </c>
      <c r="O15" s="1141">
        <v>1172.1177573999998</v>
      </c>
      <c r="P15" s="1141">
        <v>0.41225699999999998</v>
      </c>
      <c r="Q15" s="1141">
        <v>6863.4079564399999</v>
      </c>
      <c r="R15" s="1141">
        <v>236.12697776000002</v>
      </c>
      <c r="S15" s="1141">
        <v>29.683142759999999</v>
      </c>
      <c r="T15" s="1141">
        <v>0.1963</v>
      </c>
      <c r="U15" s="1141">
        <v>0.91211142000000001</v>
      </c>
      <c r="V15" s="1141">
        <v>0</v>
      </c>
      <c r="W15" s="1141">
        <v>676.40979200000038</v>
      </c>
      <c r="X15" s="1141">
        <v>19.574868360000018</v>
      </c>
      <c r="Y15" s="1141">
        <v>22.525823389999999</v>
      </c>
      <c r="Z15" s="1141">
        <v>0</v>
      </c>
      <c r="AA15" s="1141">
        <v>2.1686598300000002</v>
      </c>
      <c r="AB15" s="1141">
        <v>0</v>
      </c>
      <c r="AC15" s="1141">
        <v>31.934630070000001</v>
      </c>
      <c r="AD15" s="1141">
        <v>0</v>
      </c>
      <c r="AE15" s="1141">
        <v>60.798901380000004</v>
      </c>
      <c r="AF15" s="1141">
        <v>0</v>
      </c>
      <c r="AG15" s="1141">
        <v>380.30935400999994</v>
      </c>
    </row>
    <row r="16" spans="1:80" ht="15" customHeight="1">
      <c r="A16" s="1138" t="s">
        <v>20</v>
      </c>
      <c r="B16" s="1139">
        <v>15637.419790710004</v>
      </c>
      <c r="C16" s="1139">
        <v>1386.7515801299999</v>
      </c>
      <c r="D16" s="1140">
        <f>C16/B16*100</f>
        <v>8.868161107715812</v>
      </c>
      <c r="E16" s="1141">
        <v>2491.16302649</v>
      </c>
      <c r="F16" s="1141">
        <v>16.335075500000002</v>
      </c>
      <c r="G16" s="1141">
        <v>618.83212729000013</v>
      </c>
      <c r="H16" s="1141">
        <v>8.2195</v>
      </c>
      <c r="I16" s="1141">
        <v>477.48468552999998</v>
      </c>
      <c r="J16" s="1141">
        <v>49.985756860000002</v>
      </c>
      <c r="K16" s="1141">
        <v>468.44416342</v>
      </c>
      <c r="L16" s="1141">
        <v>0</v>
      </c>
      <c r="M16" s="1141">
        <v>1123.7267305099999</v>
      </c>
      <c r="N16" s="1141">
        <v>5.4507941799999999</v>
      </c>
      <c r="O16" s="1141">
        <v>1168.1839398400002</v>
      </c>
      <c r="P16" s="1141">
        <v>0.36818300000000004</v>
      </c>
      <c r="Q16" s="1141">
        <v>6713.4936255599996</v>
      </c>
      <c r="R16" s="1141">
        <v>247.25936539999998</v>
      </c>
      <c r="S16" s="1141">
        <v>21.88924733</v>
      </c>
      <c r="T16" s="1141">
        <v>0.1963</v>
      </c>
      <c r="U16" s="1141">
        <v>0.87011189000000011</v>
      </c>
      <c r="V16" s="1141">
        <v>0</v>
      </c>
      <c r="W16" s="1141">
        <v>700.58631011000614</v>
      </c>
      <c r="X16" s="1141">
        <v>17.787493460000071</v>
      </c>
      <c r="Y16" s="1141">
        <v>21.527021420000001</v>
      </c>
      <c r="Z16" s="1141">
        <v>0</v>
      </c>
      <c r="AA16" s="1141">
        <v>2.8118310100000001</v>
      </c>
      <c r="AB16" s="1141">
        <v>0</v>
      </c>
      <c r="AC16" s="1141">
        <v>33.808806990000001</v>
      </c>
      <c r="AD16" s="1141">
        <v>0</v>
      </c>
      <c r="AE16" s="1141">
        <v>62.244114789999998</v>
      </c>
      <c r="AF16" s="1141">
        <v>0</v>
      </c>
      <c r="AG16" s="1141">
        <v>438.66103153000006</v>
      </c>
    </row>
    <row r="17" spans="1:33" ht="15" customHeight="1">
      <c r="A17" s="1138" t="s">
        <v>21</v>
      </c>
      <c r="B17" s="1139" t="s">
        <v>2452</v>
      </c>
      <c r="C17" s="1139">
        <v>1232.4418596000003</v>
      </c>
      <c r="D17" s="1140">
        <v>8.1366227187470628</v>
      </c>
      <c r="E17" s="1141">
        <v>2438.4841425700001</v>
      </c>
      <c r="F17" s="1141">
        <v>16.335075500000002</v>
      </c>
      <c r="G17" s="1141">
        <v>615.28646822999997</v>
      </c>
      <c r="H17" s="1141">
        <v>8.2195</v>
      </c>
      <c r="I17" s="1141">
        <v>533.32108911</v>
      </c>
      <c r="J17" s="1141">
        <v>49.985756860000002</v>
      </c>
      <c r="K17" s="1141">
        <v>457.99721402000006</v>
      </c>
      <c r="L17" s="1141">
        <v>0</v>
      </c>
      <c r="M17" s="1141">
        <v>1132.2547219600001</v>
      </c>
      <c r="N17" s="1141">
        <v>5.4507941799999999</v>
      </c>
      <c r="O17" s="1141">
        <v>1101.1423324299999</v>
      </c>
      <c r="P17" s="1141">
        <v>0.36818300000000004</v>
      </c>
      <c r="Q17" s="1141">
        <v>6456.9184454100005</v>
      </c>
      <c r="R17" s="1141">
        <v>247.25936539999998</v>
      </c>
      <c r="S17" s="1141">
        <v>21.84150567</v>
      </c>
      <c r="T17" s="1141">
        <v>0.1963</v>
      </c>
      <c r="U17" s="1141">
        <v>0.9398473100000001</v>
      </c>
      <c r="V17" s="1141">
        <v>0</v>
      </c>
      <c r="W17" s="1141">
        <v>693.85578610999789</v>
      </c>
      <c r="X17" s="1141">
        <v>17.787493460000071</v>
      </c>
      <c r="Y17" s="1141">
        <v>21.27810659</v>
      </c>
      <c r="Z17" s="1141">
        <v>0</v>
      </c>
      <c r="AA17" s="1141">
        <v>2.0920272899999999</v>
      </c>
      <c r="AB17" s="1141">
        <v>0</v>
      </c>
      <c r="AC17" s="1141">
        <v>32.488884880000001</v>
      </c>
      <c r="AD17" s="1141">
        <v>0</v>
      </c>
      <c r="AE17" s="1141">
        <v>60.855100419999999</v>
      </c>
      <c r="AF17" s="1141">
        <v>0</v>
      </c>
      <c r="AG17" s="1141">
        <v>379.41717933000007</v>
      </c>
    </row>
    <row r="18" spans="1:33" ht="15" customHeight="1">
      <c r="A18" s="1138" t="s">
        <v>22</v>
      </c>
      <c r="B18" s="1139" t="s">
        <v>2469</v>
      </c>
      <c r="C18" s="1139">
        <v>1084.8214846800001</v>
      </c>
      <c r="D18" s="1140">
        <v>7.3468984276062175</v>
      </c>
      <c r="E18" s="1141">
        <v>2397.2323801900002</v>
      </c>
      <c r="F18" s="1141">
        <v>16.335075500000002</v>
      </c>
      <c r="G18" s="1141">
        <v>614.95264886999996</v>
      </c>
      <c r="H18" s="1141">
        <v>8.2195</v>
      </c>
      <c r="I18" s="1141">
        <v>532.95972023000002</v>
      </c>
      <c r="J18" s="1141">
        <v>49.985756860000002</v>
      </c>
      <c r="K18" s="1141">
        <v>426.51841343000001</v>
      </c>
      <c r="L18" s="1141">
        <v>0</v>
      </c>
      <c r="M18" s="1141">
        <v>1153.8423967900001</v>
      </c>
      <c r="N18" s="1141">
        <v>5.4507941799999999</v>
      </c>
      <c r="O18" s="1141">
        <v>961.53081285999986</v>
      </c>
      <c r="P18" s="1141">
        <v>0.36818300000000004</v>
      </c>
      <c r="Q18" s="1141">
        <v>6328.02045034</v>
      </c>
      <c r="R18" s="1141">
        <v>247.25936539999998</v>
      </c>
      <c r="S18" s="1141">
        <v>21.86739691</v>
      </c>
      <c r="T18" s="1141">
        <v>0.1963</v>
      </c>
      <c r="U18" s="1141">
        <v>0.84922034000000002</v>
      </c>
      <c r="V18" s="1141">
        <v>0</v>
      </c>
      <c r="W18" s="1141">
        <v>789.95859090999954</v>
      </c>
      <c r="X18" s="1141">
        <v>17.787493460000071</v>
      </c>
      <c r="Y18" s="1141">
        <v>24.635880090000001</v>
      </c>
      <c r="Z18" s="1141">
        <v>0</v>
      </c>
      <c r="AA18" s="1141">
        <v>2.3880537299999998</v>
      </c>
      <c r="AB18" s="1141">
        <v>0</v>
      </c>
      <c r="AC18" s="1141">
        <v>30.33864049</v>
      </c>
      <c r="AD18" s="1141">
        <v>0</v>
      </c>
      <c r="AE18" s="1141">
        <v>50.181441739999997</v>
      </c>
      <c r="AF18" s="1141">
        <v>0</v>
      </c>
      <c r="AG18" s="1141">
        <v>328.48196079000002</v>
      </c>
    </row>
    <row r="19" spans="1:33" ht="15" customHeight="1">
      <c r="A19" s="1138" t="s">
        <v>23</v>
      </c>
      <c r="B19" s="1139">
        <v>14550.65617651</v>
      </c>
      <c r="C19" s="1139">
        <v>1065.51597606</v>
      </c>
      <c r="D19" s="1140">
        <f t="shared" ref="D19:D25" si="0">C19/B19*100</f>
        <v>7.3228036119781761</v>
      </c>
      <c r="E19" s="1141">
        <v>2378.5687752399999</v>
      </c>
      <c r="F19" s="1141">
        <v>16.409448959999999</v>
      </c>
      <c r="G19" s="1141">
        <v>551.70009227000003</v>
      </c>
      <c r="H19" s="1141">
        <v>10.54</v>
      </c>
      <c r="I19" s="1141">
        <v>524.94022820999999</v>
      </c>
      <c r="J19" s="1141">
        <v>27.794923600000001</v>
      </c>
      <c r="K19" s="1141">
        <v>420.78440397000003</v>
      </c>
      <c r="L19" s="1141">
        <v>0</v>
      </c>
      <c r="M19" s="1141">
        <v>1164.4747104199998</v>
      </c>
      <c r="N19" s="1141">
        <v>7.36333371</v>
      </c>
      <c r="O19" s="1141">
        <v>915.38829026000008</v>
      </c>
      <c r="P19" s="1141">
        <v>0.34300000000000003</v>
      </c>
      <c r="Q19" s="1141">
        <v>6300.7536029399989</v>
      </c>
      <c r="R19" s="1141">
        <v>239.29632063000003</v>
      </c>
      <c r="S19" s="1141">
        <v>21.8536298</v>
      </c>
      <c r="T19" s="1141">
        <v>0.18129999999999999</v>
      </c>
      <c r="U19" s="1141">
        <v>0.84922034000000002</v>
      </c>
      <c r="V19" s="1141">
        <v>0</v>
      </c>
      <c r="W19" s="1141">
        <v>790.16273786000045</v>
      </c>
      <c r="X19" s="1141">
        <v>17.973708639999931</v>
      </c>
      <c r="Y19" s="1141">
        <v>23.671721489999999</v>
      </c>
      <c r="Z19" s="1141">
        <v>0</v>
      </c>
      <c r="AA19" s="1141">
        <v>2.07621023</v>
      </c>
      <c r="AB19" s="1141">
        <v>0</v>
      </c>
      <c r="AC19" s="1141">
        <v>27.111899879999999</v>
      </c>
      <c r="AD19" s="1141">
        <v>3.1752000000000002E-2</v>
      </c>
      <c r="AE19" s="1141">
        <v>42.870890000000003</v>
      </c>
      <c r="AF19" s="1141">
        <v>0</v>
      </c>
      <c r="AG19" s="1141">
        <v>321.80638771000002</v>
      </c>
    </row>
    <row r="20" spans="1:33" ht="15" customHeight="1">
      <c r="A20" s="1138" t="s">
        <v>24</v>
      </c>
      <c r="B20" s="1139">
        <v>14585.314835289999</v>
      </c>
      <c r="C20" s="1139">
        <v>1062.4228878200001</v>
      </c>
      <c r="D20" s="1140">
        <f t="shared" si="0"/>
        <v>7.2841957806039774</v>
      </c>
      <c r="E20" s="1141">
        <v>2362.6748973000003</v>
      </c>
      <c r="F20" s="1141">
        <v>16.409448959999999</v>
      </c>
      <c r="G20" s="1141">
        <v>553.27334117999999</v>
      </c>
      <c r="H20" s="1141">
        <v>10.54</v>
      </c>
      <c r="I20" s="1141">
        <v>525.54540322000003</v>
      </c>
      <c r="J20" s="1141">
        <v>27.794923600000001</v>
      </c>
      <c r="K20" s="1141">
        <v>428.79080331</v>
      </c>
      <c r="L20" s="1141">
        <v>0</v>
      </c>
      <c r="M20" s="1141">
        <v>1183.6976434199998</v>
      </c>
      <c r="N20" s="1141">
        <v>7.36333371</v>
      </c>
      <c r="O20" s="1141">
        <v>917.40482293999992</v>
      </c>
      <c r="P20" s="1141">
        <v>0.34300000000000003</v>
      </c>
      <c r="Q20" s="1141">
        <v>6321.2446722200002</v>
      </c>
      <c r="R20" s="1141">
        <v>239.29632063000003</v>
      </c>
      <c r="S20" s="1141">
        <v>23.083901919999999</v>
      </c>
      <c r="T20" s="1141">
        <v>0.18129999999999999</v>
      </c>
      <c r="U20" s="1141">
        <v>0.84922034000000002</v>
      </c>
      <c r="V20" s="1141">
        <v>0</v>
      </c>
      <c r="W20" s="1141">
        <v>792.41411878999861</v>
      </c>
      <c r="X20" s="1141">
        <v>17.973708639999931</v>
      </c>
      <c r="Y20" s="1141">
        <v>24.128914219999999</v>
      </c>
      <c r="Z20" s="1141">
        <v>0</v>
      </c>
      <c r="AA20" s="1141">
        <v>2.1125600200000001</v>
      </c>
      <c r="AB20" s="1141">
        <v>0</v>
      </c>
      <c r="AC20" s="1141">
        <v>24.82214767</v>
      </c>
      <c r="AD20" s="1141">
        <v>3.1752000000000002E-2</v>
      </c>
      <c r="AE20" s="1141">
        <v>42.91571338</v>
      </c>
      <c r="AF20" s="1141">
        <v>0</v>
      </c>
      <c r="AG20" s="1141">
        <v>320.60784153999998</v>
      </c>
    </row>
    <row r="21" spans="1:33" ht="15" customHeight="1">
      <c r="A21" s="1138" t="s">
        <v>25</v>
      </c>
      <c r="B21" s="1139">
        <v>14685.09807815</v>
      </c>
      <c r="C21" s="1139">
        <v>1065.4106116100002</v>
      </c>
      <c r="D21" s="1140">
        <f t="shared" si="0"/>
        <v>7.2550459379990633</v>
      </c>
      <c r="E21" s="1141">
        <v>2378.7448912700002</v>
      </c>
      <c r="F21" s="1141">
        <v>16.409448959999999</v>
      </c>
      <c r="G21" s="1141">
        <v>534.86959417999992</v>
      </c>
      <c r="H21" s="1141">
        <v>10.54</v>
      </c>
      <c r="I21" s="1141">
        <v>529.93283752000002</v>
      </c>
      <c r="J21" s="1141">
        <v>27.794923600000001</v>
      </c>
      <c r="K21" s="1141">
        <v>433.14310065000006</v>
      </c>
      <c r="L21" s="1141">
        <v>0</v>
      </c>
      <c r="M21" s="1141">
        <v>1187.6001615399998</v>
      </c>
      <c r="N21" s="1141">
        <v>7.36333371</v>
      </c>
      <c r="O21" s="1141">
        <v>901.43872137000005</v>
      </c>
      <c r="P21" s="1141">
        <v>0.34300000000000003</v>
      </c>
      <c r="Q21" s="1141">
        <v>6420.2874057599984</v>
      </c>
      <c r="R21" s="1141">
        <v>239.29632063000003</v>
      </c>
      <c r="S21" s="1141">
        <v>22.210392549999998</v>
      </c>
      <c r="T21" s="1141">
        <v>0.18129999999999999</v>
      </c>
      <c r="U21" s="1141">
        <v>0.82019887999999996</v>
      </c>
      <c r="V21" s="1141">
        <v>0</v>
      </c>
      <c r="W21" s="1141">
        <v>795.34511342000008</v>
      </c>
      <c r="X21" s="1141">
        <v>17.973708639999931</v>
      </c>
      <c r="Y21" s="1141">
        <v>26.211952490000002</v>
      </c>
      <c r="Z21" s="1141">
        <v>0</v>
      </c>
      <c r="AA21" s="1141">
        <v>2.35648737</v>
      </c>
      <c r="AB21" s="1141">
        <v>0</v>
      </c>
      <c r="AC21" s="1141">
        <v>24.204323889999998</v>
      </c>
      <c r="AD21" s="1141">
        <v>3.1752000000000002E-2</v>
      </c>
      <c r="AE21" s="1141">
        <v>42.588498110000003</v>
      </c>
      <c r="AF21" s="1141">
        <v>0</v>
      </c>
      <c r="AG21" s="1141">
        <v>316.21093585</v>
      </c>
    </row>
    <row r="22" spans="1:33" ht="15" customHeight="1">
      <c r="A22" s="1138" t="s">
        <v>26</v>
      </c>
      <c r="B22" s="1139">
        <v>14873.658797599997</v>
      </c>
      <c r="C22" s="1139">
        <v>1069.5053916999996</v>
      </c>
      <c r="D22" s="1140">
        <f t="shared" si="0"/>
        <v>7.1906005526533532</v>
      </c>
      <c r="E22" s="1141">
        <v>2481.0149246299998</v>
      </c>
      <c r="F22" s="1141">
        <v>14.726789470000002</v>
      </c>
      <c r="G22" s="1141">
        <v>512.16294926</v>
      </c>
      <c r="H22" s="1141">
        <v>10.54</v>
      </c>
      <c r="I22" s="1141">
        <v>534.42749503999994</v>
      </c>
      <c r="J22" s="1141">
        <v>28.995204609999998</v>
      </c>
      <c r="K22" s="1141">
        <v>433.73405429000002</v>
      </c>
      <c r="L22" s="1141">
        <v>0</v>
      </c>
      <c r="M22" s="1141">
        <v>1182.60945509</v>
      </c>
      <c r="N22" s="1141">
        <v>6.9593881299999998</v>
      </c>
      <c r="O22" s="1141">
        <v>891.58932236999988</v>
      </c>
      <c r="P22" s="1141">
        <v>0.41299999999999998</v>
      </c>
      <c r="Q22" s="1141">
        <v>6541.8174222599991</v>
      </c>
      <c r="R22" s="1141">
        <v>238.56019057999998</v>
      </c>
      <c r="S22" s="1141">
        <v>20.87193864</v>
      </c>
      <c r="T22" s="1141">
        <v>0.18129999999999999</v>
      </c>
      <c r="U22" s="1141">
        <v>0.82180977999999993</v>
      </c>
      <c r="V22" s="1141">
        <v>0</v>
      </c>
      <c r="W22" s="1141">
        <v>788.68885742000145</v>
      </c>
      <c r="X22" s="1141">
        <v>15.592253900000014</v>
      </c>
      <c r="Y22" s="1141">
        <v>27.087395489999999</v>
      </c>
      <c r="Z22" s="1141">
        <v>0</v>
      </c>
      <c r="AA22" s="1141">
        <v>2.3220422200000002</v>
      </c>
      <c r="AB22" s="1141">
        <v>0</v>
      </c>
      <c r="AC22" s="1141">
        <v>29.444507569999999</v>
      </c>
      <c r="AD22" s="1141">
        <v>1.3479E-2</v>
      </c>
      <c r="AE22" s="1141">
        <v>41.579626149999996</v>
      </c>
      <c r="AF22" s="1141">
        <v>0</v>
      </c>
      <c r="AG22" s="1141">
        <v>314.00647365999998</v>
      </c>
    </row>
    <row r="23" spans="1:33" ht="15" customHeight="1">
      <c r="A23" s="1138" t="s">
        <v>27</v>
      </c>
      <c r="B23" s="1139">
        <v>14785.940748229998</v>
      </c>
      <c r="C23" s="1139">
        <v>1006.5232318599999</v>
      </c>
      <c r="D23" s="1140">
        <f t="shared" si="0"/>
        <v>6.8072992378282677</v>
      </c>
      <c r="E23" s="1141">
        <v>2532.0973747600001</v>
      </c>
      <c r="F23" s="1141">
        <v>14.726789470000002</v>
      </c>
      <c r="G23" s="1141">
        <v>502.28735919000002</v>
      </c>
      <c r="H23" s="1141">
        <v>10.54</v>
      </c>
      <c r="I23" s="1141">
        <v>523.18709729999989</v>
      </c>
      <c r="J23" s="1141">
        <v>28.995204609999998</v>
      </c>
      <c r="K23" s="1141">
        <v>432.26422624999998</v>
      </c>
      <c r="L23" s="1141">
        <v>0</v>
      </c>
      <c r="M23" s="1141">
        <v>1221.48748387</v>
      </c>
      <c r="N23" s="1141">
        <v>6.9593881299999998</v>
      </c>
      <c r="O23" s="1141">
        <v>875.18294334000007</v>
      </c>
      <c r="P23" s="1141">
        <v>0.41299999999999998</v>
      </c>
      <c r="Q23" s="1141">
        <v>6526.4718856799991</v>
      </c>
      <c r="R23" s="1141">
        <v>238.56019057999998</v>
      </c>
      <c r="S23" s="1141">
        <v>21.179231559999998</v>
      </c>
      <c r="T23" s="1141">
        <v>0.18129999999999999</v>
      </c>
      <c r="U23" s="1141">
        <v>0.79625563999999993</v>
      </c>
      <c r="V23" s="1141">
        <v>0</v>
      </c>
      <c r="W23" s="1141">
        <v>730.85008213999924</v>
      </c>
      <c r="X23" s="1141">
        <v>15.592253900000014</v>
      </c>
      <c r="Y23" s="1141">
        <v>25.990582490000001</v>
      </c>
      <c r="Z23" s="1141">
        <v>0</v>
      </c>
      <c r="AA23" s="1141">
        <v>2.0200656700000001</v>
      </c>
      <c r="AB23" s="1141">
        <v>0</v>
      </c>
      <c r="AC23" s="1141">
        <v>31.97589159</v>
      </c>
      <c r="AD23" s="1141">
        <v>1.3479E-2</v>
      </c>
      <c r="AE23" s="1141">
        <v>37.645431200000004</v>
      </c>
      <c r="AF23" s="1141">
        <v>0</v>
      </c>
      <c r="AG23" s="1141">
        <v>437.31771748000006</v>
      </c>
    </row>
    <row r="24" spans="1:33" ht="15" customHeight="1">
      <c r="A24" s="1138" t="s">
        <v>28</v>
      </c>
      <c r="B24" s="1139">
        <v>14681.276736810001</v>
      </c>
      <c r="C24" s="1139">
        <v>922.91633637999996</v>
      </c>
      <c r="D24" s="1140">
        <f t="shared" si="0"/>
        <v>6.2863492932191285</v>
      </c>
      <c r="E24" s="1141">
        <v>2579.8380709799999</v>
      </c>
      <c r="F24" s="1141">
        <v>14.726789470000002</v>
      </c>
      <c r="G24" s="1141">
        <v>506.17252259000003</v>
      </c>
      <c r="H24" s="1141">
        <v>10.54</v>
      </c>
      <c r="I24" s="1141">
        <v>524.92194959000005</v>
      </c>
      <c r="J24" s="1141">
        <v>28.995204609999998</v>
      </c>
      <c r="K24" s="1141">
        <v>477.40030588999997</v>
      </c>
      <c r="L24" s="1141">
        <v>0</v>
      </c>
      <c r="M24" s="1141">
        <v>1375.1527625599999</v>
      </c>
      <c r="N24" s="1141">
        <v>6.9593881299999998</v>
      </c>
      <c r="O24" s="1141">
        <v>857.47137640999995</v>
      </c>
      <c r="P24" s="1141">
        <v>0.41299999999999998</v>
      </c>
      <c r="Q24" s="1141">
        <v>6518.7552752199999</v>
      </c>
      <c r="R24" s="1141">
        <v>238.56019057999998</v>
      </c>
      <c r="S24" s="1141">
        <v>24.347565280000001</v>
      </c>
      <c r="T24" s="1141">
        <v>0.18129999999999999</v>
      </c>
      <c r="U24" s="1141">
        <v>0.78461822999999997</v>
      </c>
      <c r="V24" s="1141">
        <v>0</v>
      </c>
      <c r="W24" s="1141">
        <v>497.42503990999904</v>
      </c>
      <c r="X24" s="1141">
        <v>15.592253900000014</v>
      </c>
      <c r="Y24" s="1141">
        <v>6.7282521899999992</v>
      </c>
      <c r="Z24" s="1141">
        <v>0</v>
      </c>
      <c r="AA24" s="1141">
        <v>2.0186709399999998</v>
      </c>
      <c r="AB24" s="1141">
        <v>0</v>
      </c>
      <c r="AC24" s="1141">
        <v>34.947813449999998</v>
      </c>
      <c r="AD24" s="1141">
        <v>1.3479E-2</v>
      </c>
      <c r="AE24" s="1141">
        <v>36.414571500000001</v>
      </c>
      <c r="AF24" s="1141">
        <v>0</v>
      </c>
      <c r="AG24" s="1141">
        <v>449.96527655</v>
      </c>
    </row>
    <row r="25" spans="1:33" ht="15" customHeight="1">
      <c r="A25" s="1138" t="s">
        <v>29</v>
      </c>
      <c r="B25" s="1139">
        <v>14530.42312815</v>
      </c>
      <c r="C25" s="1139">
        <v>893.13990543999989</v>
      </c>
      <c r="D25" s="1140">
        <f t="shared" si="0"/>
        <v>6.1466888993047082</v>
      </c>
      <c r="E25" s="1141">
        <v>2598.7064799199998</v>
      </c>
      <c r="F25" s="1141">
        <v>8.1391568500000009</v>
      </c>
      <c r="G25" s="1141">
        <v>512.73198853999997</v>
      </c>
      <c r="H25" s="1141">
        <v>11.75465</v>
      </c>
      <c r="I25" s="1141">
        <v>531.28475893999996</v>
      </c>
      <c r="J25" s="1141">
        <v>34.965158549999998</v>
      </c>
      <c r="K25" s="1141">
        <v>492.95189799000002</v>
      </c>
      <c r="L25" s="1141">
        <v>0</v>
      </c>
      <c r="M25" s="1141">
        <v>1241.2799363700001</v>
      </c>
      <c r="N25" s="1141">
        <v>8.777420600000001</v>
      </c>
      <c r="O25" s="1141">
        <v>847.85810412000001</v>
      </c>
      <c r="P25" s="1141">
        <v>0.66084100000000001</v>
      </c>
      <c r="Q25" s="1141">
        <v>6477.0138981200007</v>
      </c>
      <c r="R25" s="1141">
        <v>232.25763719999998</v>
      </c>
      <c r="S25" s="1141">
        <v>23.781950299999998</v>
      </c>
      <c r="T25" s="1141">
        <v>0.18279999999999999</v>
      </c>
      <c r="U25" s="1141">
        <v>0.77283535000000003</v>
      </c>
      <c r="V25" s="1141">
        <v>0</v>
      </c>
      <c r="W25" s="1141">
        <v>511.74928207000175</v>
      </c>
      <c r="X25" s="1141">
        <v>16.155075349999983</v>
      </c>
      <c r="Y25" s="1141">
        <v>7.44049213</v>
      </c>
      <c r="Z25" s="1141">
        <v>0</v>
      </c>
      <c r="AA25" s="1141">
        <v>1.9654957500000001</v>
      </c>
      <c r="AB25" s="1141">
        <v>0</v>
      </c>
      <c r="AC25" s="1141">
        <v>40.019494620000003</v>
      </c>
      <c r="AD25" s="1141">
        <v>8.4699999999999999E-4</v>
      </c>
      <c r="AE25" s="1141">
        <v>36.833021939999995</v>
      </c>
      <c r="AF25" s="1141">
        <v>0</v>
      </c>
      <c r="AG25" s="1141">
        <v>472.36382140000001</v>
      </c>
    </row>
    <row r="26" spans="1:33">
      <c r="A26" s="1142">
        <v>2021</v>
      </c>
      <c r="B26" s="1142"/>
      <c r="C26" s="1142"/>
      <c r="D26" s="1142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143"/>
      <c r="R26" s="1143"/>
      <c r="S26" s="1143"/>
      <c r="T26" s="1143"/>
      <c r="U26" s="1144"/>
      <c r="V26" s="1143"/>
      <c r="W26" s="1143"/>
      <c r="X26" s="1143"/>
      <c r="Y26" s="775"/>
      <c r="Z26" s="775"/>
      <c r="AA26" s="775"/>
      <c r="AB26" s="775"/>
      <c r="AC26" s="775"/>
      <c r="AD26" s="775"/>
      <c r="AE26" s="775"/>
      <c r="AF26" s="775"/>
      <c r="AG26" s="1143"/>
    </row>
    <row r="27" spans="1:33">
      <c r="A27" s="1138" t="s">
        <v>18</v>
      </c>
      <c r="B27" s="1139">
        <v>14587.203226590002</v>
      </c>
      <c r="C27" s="1139">
        <v>900.38567629999977</v>
      </c>
      <c r="D27" s="1140">
        <f t="shared" ref="D27:D38" si="1">C27/B27*100</f>
        <v>6.1724352661293498</v>
      </c>
      <c r="E27" s="1141">
        <v>2599.1376953299996</v>
      </c>
      <c r="F27" s="1141">
        <v>8.1391568500000009</v>
      </c>
      <c r="G27" s="1141">
        <v>759.24294873999997</v>
      </c>
      <c r="H27" s="1141">
        <v>11.75465</v>
      </c>
      <c r="I27" s="1141">
        <v>537.99087044999999</v>
      </c>
      <c r="J27" s="1141">
        <v>34.965158549999998</v>
      </c>
      <c r="K27" s="1141">
        <v>527.06655323999996</v>
      </c>
      <c r="L27" s="1141">
        <v>0</v>
      </c>
      <c r="M27" s="1141">
        <v>972.77601623999999</v>
      </c>
      <c r="N27" s="1141">
        <v>8.777420600000001</v>
      </c>
      <c r="O27" s="1141">
        <v>831.50276643999996</v>
      </c>
      <c r="P27" s="1141">
        <v>0.66084100000000001</v>
      </c>
      <c r="Q27" s="1141">
        <v>6549.4246127300003</v>
      </c>
      <c r="R27" s="1141">
        <v>232.25763719999998</v>
      </c>
      <c r="S27" s="1141">
        <v>19.063408680000002</v>
      </c>
      <c r="T27" s="1141">
        <v>0.18279999999999999</v>
      </c>
      <c r="U27" s="1141">
        <v>0.76090519000000001</v>
      </c>
      <c r="V27" s="1141">
        <v>0</v>
      </c>
      <c r="W27" s="1141">
        <v>504.72276179000067</v>
      </c>
      <c r="X27" s="1141">
        <v>16.155075349999983</v>
      </c>
      <c r="Y27" s="1141">
        <v>8.9022348099999995</v>
      </c>
      <c r="Z27" s="1141">
        <v>0</v>
      </c>
      <c r="AA27" s="1141">
        <v>1.8643147600000001</v>
      </c>
      <c r="AB27" s="1141">
        <v>0</v>
      </c>
      <c r="AC27" s="1141">
        <v>29.749525500000001</v>
      </c>
      <c r="AD27" s="1141">
        <v>8.4699999999999999E-4</v>
      </c>
      <c r="AE27" s="1141">
        <v>31.71934984</v>
      </c>
      <c r="AF27" s="1141">
        <v>0</v>
      </c>
      <c r="AG27" s="1141">
        <v>487.78963322999999</v>
      </c>
    </row>
    <row r="28" spans="1:33">
      <c r="A28" s="1138" t="s">
        <v>19</v>
      </c>
      <c r="B28" s="1139">
        <v>14619.545503340001</v>
      </c>
      <c r="C28" s="1139">
        <v>917.51636969999993</v>
      </c>
      <c r="D28" s="1140">
        <f t="shared" si="1"/>
        <v>6.2759568653511346</v>
      </c>
      <c r="E28" s="1141">
        <v>2504.1076695600004</v>
      </c>
      <c r="F28" s="1141">
        <v>8.1391568500000009</v>
      </c>
      <c r="G28" s="1141">
        <v>756.37474811999994</v>
      </c>
      <c r="H28" s="1141">
        <v>11.75465</v>
      </c>
      <c r="I28" s="1141">
        <v>534.84074794000003</v>
      </c>
      <c r="J28" s="1141">
        <v>34.965158549999998</v>
      </c>
      <c r="K28" s="1141">
        <v>687.96381294000003</v>
      </c>
      <c r="L28" s="1141">
        <v>0</v>
      </c>
      <c r="M28" s="1141">
        <v>899.53158280999992</v>
      </c>
      <c r="N28" s="1141">
        <v>8.777420600000001</v>
      </c>
      <c r="O28" s="1141">
        <v>859.87628553000002</v>
      </c>
      <c r="P28" s="1141">
        <v>0.66084100000000001</v>
      </c>
      <c r="Q28" s="1141">
        <v>6539.0817762200004</v>
      </c>
      <c r="R28" s="1141">
        <v>232.25763719999998</v>
      </c>
      <c r="S28" s="1141">
        <v>15.815243430000001</v>
      </c>
      <c r="T28" s="1141">
        <v>0.18279999999999999</v>
      </c>
      <c r="U28" s="1141">
        <v>0.74882589999999993</v>
      </c>
      <c r="V28" s="1141">
        <v>0</v>
      </c>
      <c r="W28" s="1141">
        <v>518.57225738999955</v>
      </c>
      <c r="X28" s="1141">
        <v>16.155075349999983</v>
      </c>
      <c r="Y28" s="1141">
        <v>7.1446817000000005</v>
      </c>
      <c r="Z28" s="1141">
        <v>0</v>
      </c>
      <c r="AA28" s="1141">
        <v>2.7466538899999997</v>
      </c>
      <c r="AB28" s="1141">
        <v>0</v>
      </c>
      <c r="AC28" s="1141">
        <v>31.743005580000002</v>
      </c>
      <c r="AD28" s="1141">
        <v>8.4699999999999999E-4</v>
      </c>
      <c r="AE28" s="1141">
        <v>30.588256080000008</v>
      </c>
      <c r="AF28" s="1141">
        <v>0</v>
      </c>
      <c r="AG28" s="1141">
        <v>460.97720242999998</v>
      </c>
    </row>
    <row r="29" spans="1:33">
      <c r="A29" s="1138" t="s">
        <v>20</v>
      </c>
      <c r="B29" s="1139">
        <v>14728.03039973</v>
      </c>
      <c r="C29" s="1139">
        <v>918.15007710999998</v>
      </c>
      <c r="D29" s="1140">
        <f t="shared" si="1"/>
        <v>6.2340316538648093</v>
      </c>
      <c r="E29" s="1141">
        <v>2507.9805126300002</v>
      </c>
      <c r="F29" s="1141">
        <v>8.8389101100000005</v>
      </c>
      <c r="G29" s="1141">
        <v>757.21330558000011</v>
      </c>
      <c r="H29" s="1141">
        <v>11.75465</v>
      </c>
      <c r="I29" s="1141">
        <v>540.71176303000004</v>
      </c>
      <c r="J29" s="1141">
        <v>30.199528649999998</v>
      </c>
      <c r="K29" s="1141">
        <v>681.49539245999995</v>
      </c>
      <c r="L29" s="1141">
        <v>0</v>
      </c>
      <c r="M29" s="1141">
        <v>910.73295688000007</v>
      </c>
      <c r="N29" s="1141">
        <v>9.2551010300000005</v>
      </c>
      <c r="O29" s="1141">
        <v>853.29803943000002</v>
      </c>
      <c r="P29" s="1141">
        <v>0.93415236000000001</v>
      </c>
      <c r="Q29" s="1141">
        <v>6632.1192125799998</v>
      </c>
      <c r="R29" s="1141">
        <v>237.18815997999999</v>
      </c>
      <c r="S29" s="1141">
        <v>17.884563480000001</v>
      </c>
      <c r="T29" s="1141">
        <v>0.18279999999999999</v>
      </c>
      <c r="U29" s="1141">
        <v>0.7365956199999999</v>
      </c>
      <c r="V29" s="1141">
        <v>0</v>
      </c>
      <c r="W29" s="1141">
        <v>519.57304165000096</v>
      </c>
      <c r="X29" s="1141">
        <v>17.054115289999956</v>
      </c>
      <c r="Y29" s="1141">
        <v>5.8155647699999999</v>
      </c>
      <c r="Z29" s="1141">
        <v>0</v>
      </c>
      <c r="AA29" s="1141">
        <v>2.62603966</v>
      </c>
      <c r="AB29" s="1141">
        <v>0</v>
      </c>
      <c r="AC29" s="1141">
        <v>32.790854270000004</v>
      </c>
      <c r="AD29" s="1141">
        <v>0</v>
      </c>
      <c r="AE29" s="1141">
        <v>31.495063160000008</v>
      </c>
      <c r="AF29" s="1141">
        <v>0</v>
      </c>
      <c r="AG29" s="1141">
        <v>456.53499706000002</v>
      </c>
    </row>
    <row r="30" spans="1:33">
      <c r="A30" s="1138" t="s">
        <v>21</v>
      </c>
      <c r="B30" s="1139">
        <v>14987.495848650002</v>
      </c>
      <c r="C30" s="1139">
        <v>921.53370200000006</v>
      </c>
      <c r="D30" s="1140">
        <f t="shared" si="1"/>
        <v>6.1486836180375466</v>
      </c>
      <c r="E30" s="1141">
        <v>2549.8556796299999</v>
      </c>
      <c r="F30" s="1141">
        <v>8.8389101100000005</v>
      </c>
      <c r="G30" s="1141">
        <v>766.61467655999991</v>
      </c>
      <c r="H30" s="1141">
        <v>11.75465</v>
      </c>
      <c r="I30" s="1141">
        <v>533.94968663999998</v>
      </c>
      <c r="J30" s="1141">
        <v>30.199528649999998</v>
      </c>
      <c r="K30" s="1141">
        <v>688.82102366000004</v>
      </c>
      <c r="L30" s="1141">
        <v>0</v>
      </c>
      <c r="M30" s="1141">
        <v>905.59455224999999</v>
      </c>
      <c r="N30" s="1141">
        <v>9.2551010300000005</v>
      </c>
      <c r="O30" s="1141">
        <v>870.09419116999993</v>
      </c>
      <c r="P30" s="1141">
        <v>0.93415236000000001</v>
      </c>
      <c r="Q30" s="1141">
        <v>6807.4701766500011</v>
      </c>
      <c r="R30" s="1141">
        <v>237.18815997999999</v>
      </c>
      <c r="S30" s="1141">
        <v>17.12009196</v>
      </c>
      <c r="T30" s="1141">
        <v>0.18279999999999999</v>
      </c>
      <c r="U30" s="1141">
        <v>0.69421246000000003</v>
      </c>
      <c r="V30" s="1141">
        <v>0</v>
      </c>
      <c r="W30" s="1141">
        <v>527.80753939999818</v>
      </c>
      <c r="X30" s="1141">
        <v>17.054115289999956</v>
      </c>
      <c r="Y30" s="1141">
        <v>6.7236414600000005</v>
      </c>
      <c r="Z30" s="1141">
        <v>0</v>
      </c>
      <c r="AA30" s="1141">
        <v>2.6595292699999997</v>
      </c>
      <c r="AB30" s="1141">
        <v>0</v>
      </c>
      <c r="AC30" s="1141">
        <v>37.676938090000007</v>
      </c>
      <c r="AD30" s="1141">
        <v>0</v>
      </c>
      <c r="AE30" s="1141">
        <v>35.472790029999999</v>
      </c>
      <c r="AF30" s="1141">
        <v>0</v>
      </c>
      <c r="AG30" s="1141">
        <v>477.63473532</v>
      </c>
    </row>
    <row r="31" spans="1:33">
      <c r="A31" s="1138" t="s">
        <v>22</v>
      </c>
      <c r="B31" s="1139">
        <v>15067.068306839999</v>
      </c>
      <c r="C31" s="1139">
        <v>906.90793024999994</v>
      </c>
      <c r="D31" s="1140">
        <f t="shared" si="1"/>
        <v>6.0191399665872014</v>
      </c>
      <c r="E31" s="1141">
        <v>2551.2740627099997</v>
      </c>
      <c r="F31" s="1141">
        <v>8.8389101100000005</v>
      </c>
      <c r="G31" s="1141">
        <v>758.91417658</v>
      </c>
      <c r="H31" s="1141">
        <v>11.75465</v>
      </c>
      <c r="I31" s="1141">
        <v>536.11958942999991</v>
      </c>
      <c r="J31" s="1141">
        <v>30.199528649999998</v>
      </c>
      <c r="K31" s="1141">
        <v>721.89632615000005</v>
      </c>
      <c r="L31" s="1141">
        <v>0</v>
      </c>
      <c r="M31" s="1141">
        <v>915.36763211999994</v>
      </c>
      <c r="N31" s="1141">
        <v>9.2551010300000005</v>
      </c>
      <c r="O31" s="1141">
        <v>824.98340723000001</v>
      </c>
      <c r="P31" s="1141">
        <v>0.93415236000000001</v>
      </c>
      <c r="Q31" s="1141">
        <v>6914.7730755600005</v>
      </c>
      <c r="R31" s="1141">
        <v>237.18815997999999</v>
      </c>
      <c r="S31" s="1141">
        <v>18.008724699999998</v>
      </c>
      <c r="T31" s="1141">
        <v>0.18279999999999999</v>
      </c>
      <c r="U31" s="1141">
        <v>0.66831650999999992</v>
      </c>
      <c r="V31" s="1141">
        <v>0</v>
      </c>
      <c r="W31" s="1141">
        <v>521.82036075000178</v>
      </c>
      <c r="X31" s="1141">
        <v>17.054115289999956</v>
      </c>
      <c r="Y31" s="1141">
        <v>6.0750850400000003</v>
      </c>
      <c r="Z31" s="1141">
        <v>0</v>
      </c>
      <c r="AA31" s="1141">
        <v>2.6283231300000001</v>
      </c>
      <c r="AB31" s="1141">
        <v>0</v>
      </c>
      <c r="AC31" s="1141">
        <v>37.641860899999998</v>
      </c>
      <c r="AD31" s="1141">
        <v>0</v>
      </c>
      <c r="AE31" s="1141">
        <v>34.582018359999999</v>
      </c>
      <c r="AF31" s="1141">
        <v>0</v>
      </c>
      <c r="AG31" s="1141">
        <v>483.65381840999999</v>
      </c>
    </row>
    <row r="32" spans="1:33">
      <c r="A32" s="1138" t="s">
        <v>23</v>
      </c>
      <c r="B32" s="1139">
        <v>15258.058194190002</v>
      </c>
      <c r="C32" s="1139">
        <v>914.58348045999981</v>
      </c>
      <c r="D32" s="1140">
        <f t="shared" si="1"/>
        <v>5.9941014041239988</v>
      </c>
      <c r="E32" s="1141">
        <v>2549.45211036</v>
      </c>
      <c r="F32" s="1141">
        <v>8.4186830300000004</v>
      </c>
      <c r="G32" s="1141">
        <v>730.72229530000004</v>
      </c>
      <c r="H32" s="1141">
        <v>17.772354199999999</v>
      </c>
      <c r="I32" s="1141">
        <v>538.2262591299999</v>
      </c>
      <c r="J32" s="1141">
        <v>27.820595969999999</v>
      </c>
      <c r="K32" s="1141">
        <v>737.29711373999999</v>
      </c>
      <c r="L32" s="1141">
        <v>0</v>
      </c>
      <c r="M32" s="1141">
        <v>910.15272129000004</v>
      </c>
      <c r="N32" s="1141">
        <v>11.79925588</v>
      </c>
      <c r="O32" s="1141">
        <v>820.05745451000007</v>
      </c>
      <c r="P32" s="1141">
        <v>0.85866142999999995</v>
      </c>
      <c r="Q32" s="1141">
        <v>7066.2354611200008</v>
      </c>
      <c r="R32" s="1141">
        <v>256.90963611999996</v>
      </c>
      <c r="S32" s="1141">
        <v>19.670576650000001</v>
      </c>
      <c r="T32" s="1141">
        <v>0.18279999999999999</v>
      </c>
      <c r="U32" s="1141">
        <v>0.64521456999999993</v>
      </c>
      <c r="V32" s="1141">
        <v>0</v>
      </c>
      <c r="W32" s="1141">
        <v>540.08488187000091</v>
      </c>
      <c r="X32" s="1141">
        <v>18.998977400000044</v>
      </c>
      <c r="Y32" s="1141">
        <v>7.9188054399999999</v>
      </c>
      <c r="Z32" s="1141">
        <v>0</v>
      </c>
      <c r="AA32" s="1141">
        <v>6.781777439999999</v>
      </c>
      <c r="AB32" s="1141">
        <v>0</v>
      </c>
      <c r="AC32" s="1141">
        <v>40.376605959999999</v>
      </c>
      <c r="AD32" s="1141">
        <v>0</v>
      </c>
      <c r="AE32" s="1141">
        <v>33.092472319999999</v>
      </c>
      <c r="AF32" s="1141">
        <v>0</v>
      </c>
      <c r="AG32" s="1141">
        <v>469.41215711000001</v>
      </c>
    </row>
    <row r="33" spans="1:33">
      <c r="A33" s="1138" t="s">
        <v>24</v>
      </c>
      <c r="B33" s="1139">
        <v>15367.672983370003</v>
      </c>
      <c r="C33" s="1139">
        <v>937.46215345000007</v>
      </c>
      <c r="D33" s="1140">
        <f t="shared" si="1"/>
        <v>6.1002219038918044</v>
      </c>
      <c r="E33" s="1141">
        <v>2551.4528833900004</v>
      </c>
      <c r="F33" s="1141">
        <v>8.4186830300000004</v>
      </c>
      <c r="G33" s="1141">
        <v>722.48351907000006</v>
      </c>
      <c r="H33" s="1141">
        <v>17.772354199999999</v>
      </c>
      <c r="I33" s="1141">
        <v>534.04471863000003</v>
      </c>
      <c r="J33" s="1141">
        <v>27.820595969999999</v>
      </c>
      <c r="K33" s="1141">
        <v>771.52513070000009</v>
      </c>
      <c r="L33" s="1141">
        <v>0</v>
      </c>
      <c r="M33" s="1141">
        <v>906.00177702999997</v>
      </c>
      <c r="N33" s="1141">
        <v>11.79925588</v>
      </c>
      <c r="O33" s="1141">
        <v>756.40349149000008</v>
      </c>
      <c r="P33" s="1141">
        <v>0.85866142999999995</v>
      </c>
      <c r="Q33" s="1141">
        <v>7205.9675539399996</v>
      </c>
      <c r="R33" s="1141">
        <v>256.90963611999996</v>
      </c>
      <c r="S33" s="1141">
        <v>19.348759739999998</v>
      </c>
      <c r="T33" s="1141">
        <v>0.18279999999999999</v>
      </c>
      <c r="U33" s="1141">
        <v>0.62182384999999996</v>
      </c>
      <c r="V33" s="1141">
        <v>0</v>
      </c>
      <c r="W33" s="1141">
        <v>542.5170691900006</v>
      </c>
      <c r="X33" s="1141">
        <v>18.998977400000044</v>
      </c>
      <c r="Y33" s="1141">
        <v>7.1080348999999998</v>
      </c>
      <c r="Z33" s="1141">
        <v>0</v>
      </c>
      <c r="AA33" s="1141">
        <v>2.4405054599999998</v>
      </c>
      <c r="AB33" s="1141">
        <v>0</v>
      </c>
      <c r="AC33" s="1141">
        <v>38.923702589999998</v>
      </c>
      <c r="AD33" s="1141">
        <v>0</v>
      </c>
      <c r="AE33" s="1141">
        <v>28.610895909999996</v>
      </c>
      <c r="AF33" s="1141">
        <v>0</v>
      </c>
      <c r="AG33" s="1141">
        <v>470.96209210000001</v>
      </c>
    </row>
    <row r="34" spans="1:33">
      <c r="A34" s="1138" t="s">
        <v>25</v>
      </c>
      <c r="B34" s="1139">
        <v>15607.979105320002</v>
      </c>
      <c r="C34" s="1139">
        <v>904.16886915999987</v>
      </c>
      <c r="D34" s="1140">
        <f t="shared" si="1"/>
        <v>5.7929912838735964</v>
      </c>
      <c r="E34" s="1141">
        <v>2539.6236270300001</v>
      </c>
      <c r="F34" s="1141">
        <v>8.4186830300000004</v>
      </c>
      <c r="G34" s="1141">
        <v>726.17304428</v>
      </c>
      <c r="H34" s="1141">
        <v>17.772354199999999</v>
      </c>
      <c r="I34" s="1141">
        <v>542.56642350000004</v>
      </c>
      <c r="J34" s="1141">
        <v>27.820595969999999</v>
      </c>
      <c r="K34" s="1141">
        <v>808.90830033000009</v>
      </c>
      <c r="L34" s="1141">
        <v>0</v>
      </c>
      <c r="M34" s="1141">
        <v>860.10702729000002</v>
      </c>
      <c r="N34" s="1141">
        <v>11.79925588</v>
      </c>
      <c r="O34" s="1141">
        <v>747.68904634000012</v>
      </c>
      <c r="P34" s="1141">
        <v>0.85866142999999995</v>
      </c>
      <c r="Q34" s="1141">
        <v>7434.7409468600008</v>
      </c>
      <c r="R34" s="1141">
        <v>256.90963611999996</v>
      </c>
      <c r="S34" s="1141">
        <v>19.633418689999999</v>
      </c>
      <c r="T34" s="1141">
        <v>0.18279999999999999</v>
      </c>
      <c r="U34" s="1141">
        <v>0.57414074999999987</v>
      </c>
      <c r="V34" s="1141">
        <v>0</v>
      </c>
      <c r="W34" s="1141">
        <v>602.58762677000243</v>
      </c>
      <c r="X34" s="1141">
        <v>18.998977400000044</v>
      </c>
      <c r="Y34" s="1141">
        <v>5.9090063500000003</v>
      </c>
      <c r="Z34" s="1141">
        <v>0</v>
      </c>
      <c r="AA34" s="1141">
        <v>4.9918723099999998</v>
      </c>
      <c r="AB34" s="1141">
        <v>0</v>
      </c>
      <c r="AC34" s="1141">
        <v>38.096837030000003</v>
      </c>
      <c r="AD34" s="1141">
        <v>0</v>
      </c>
      <c r="AE34" s="1141">
        <v>29.447954600000003</v>
      </c>
      <c r="AF34" s="1141">
        <v>0</v>
      </c>
      <c r="AG34" s="1141">
        <v>516.37639208999997</v>
      </c>
    </row>
    <row r="35" spans="1:33">
      <c r="A35" s="1138" t="s">
        <v>26</v>
      </c>
      <c r="B35" s="1139">
        <v>15957.303832469999</v>
      </c>
      <c r="C35" s="1139">
        <v>871.14004874000011</v>
      </c>
      <c r="D35" s="1140">
        <f t="shared" si="1"/>
        <v>5.4591932188907757</v>
      </c>
      <c r="E35" s="1141">
        <v>2570.6308972100001</v>
      </c>
      <c r="F35" s="1141">
        <v>8.5783721800000006</v>
      </c>
      <c r="G35" s="1141">
        <v>724.51051774999996</v>
      </c>
      <c r="H35" s="1141">
        <v>20.861254200000001</v>
      </c>
      <c r="I35" s="1141">
        <v>546.30608309000002</v>
      </c>
      <c r="J35" s="1141">
        <v>26.665374870000001</v>
      </c>
      <c r="K35" s="1141">
        <v>857.72422443000005</v>
      </c>
      <c r="L35" s="1141">
        <v>0.22206592999999999</v>
      </c>
      <c r="M35" s="1141">
        <v>894.29216449</v>
      </c>
      <c r="N35" s="1141">
        <v>14.04602861</v>
      </c>
      <c r="O35" s="1141">
        <v>751.53076547000012</v>
      </c>
      <c r="P35" s="1141">
        <v>2.3586548299999999</v>
      </c>
      <c r="Q35" s="1141">
        <v>7661.342195369999</v>
      </c>
      <c r="R35" s="1141">
        <v>270.42522850999995</v>
      </c>
      <c r="S35" s="1141">
        <v>34.002924110000002</v>
      </c>
      <c r="T35" s="1141">
        <v>0.18279999999999999</v>
      </c>
      <c r="U35" s="1141">
        <v>0.54093726999999991</v>
      </c>
      <c r="V35" s="1141">
        <v>0</v>
      </c>
      <c r="W35" s="1141">
        <v>606.2895758899989</v>
      </c>
      <c r="X35" s="1141">
        <v>19.802129130000012</v>
      </c>
      <c r="Y35" s="1141">
        <v>9.69962138</v>
      </c>
      <c r="Z35" s="1141">
        <v>0</v>
      </c>
      <c r="AA35" s="1141">
        <v>2.6619728899999999</v>
      </c>
      <c r="AB35" s="1141">
        <v>0</v>
      </c>
      <c r="AC35" s="1141">
        <v>35.039565459999999</v>
      </c>
      <c r="AD35" s="1141">
        <v>0</v>
      </c>
      <c r="AE35" s="1141">
        <v>28.450430659999999</v>
      </c>
      <c r="AF35" s="1141">
        <v>0</v>
      </c>
      <c r="AG35" s="1141">
        <v>604.17383210000003</v>
      </c>
    </row>
    <row r="36" spans="1:33">
      <c r="A36" s="1138" t="s">
        <v>27</v>
      </c>
      <c r="B36" s="1139">
        <v>16415.890409920004</v>
      </c>
      <c r="C36" s="1139">
        <v>815.87446341000009</v>
      </c>
      <c r="D36" s="1140">
        <f t="shared" si="1"/>
        <v>4.9700286919372525</v>
      </c>
      <c r="E36" s="1141">
        <v>2777.5857918800002</v>
      </c>
      <c r="F36" s="1141">
        <v>8.5783721800000006</v>
      </c>
      <c r="G36" s="1141">
        <v>721.01597415000003</v>
      </c>
      <c r="H36" s="1141">
        <v>20.861254200000001</v>
      </c>
      <c r="I36" s="1141">
        <v>547.13436809999996</v>
      </c>
      <c r="J36" s="1141">
        <v>26.665374870000001</v>
      </c>
      <c r="K36" s="1141">
        <v>879.62908294999988</v>
      </c>
      <c r="L36" s="1141">
        <v>0.22206592999999999</v>
      </c>
      <c r="M36" s="1141">
        <v>931.10649753999985</v>
      </c>
      <c r="N36" s="1141">
        <v>14.04602861</v>
      </c>
      <c r="O36" s="1141">
        <v>746.35539194000012</v>
      </c>
      <c r="P36" s="1141">
        <v>2.3586548299999999</v>
      </c>
      <c r="Q36" s="1141">
        <v>7852.5090272500011</v>
      </c>
      <c r="R36" s="1141">
        <v>270.42522850999995</v>
      </c>
      <c r="S36" s="1141">
        <v>74.676198940000006</v>
      </c>
      <c r="T36" s="1141">
        <v>0.18279999999999999</v>
      </c>
      <c r="U36" s="1141">
        <v>2.0888799900000001</v>
      </c>
      <c r="V36" s="1141">
        <v>0</v>
      </c>
      <c r="W36" s="1141">
        <v>620.21419738000429</v>
      </c>
      <c r="X36" s="1141">
        <v>19.802129130000012</v>
      </c>
      <c r="Y36" s="1141">
        <v>10.664287759999999</v>
      </c>
      <c r="Z36" s="1141">
        <v>0</v>
      </c>
      <c r="AA36" s="1141">
        <v>2.5579208099999997</v>
      </c>
      <c r="AB36" s="1141">
        <v>0</v>
      </c>
      <c r="AC36" s="1141">
        <v>38.691770239999997</v>
      </c>
      <c r="AD36" s="1141">
        <v>0</v>
      </c>
      <c r="AE36" s="1141">
        <v>32.644649319999999</v>
      </c>
      <c r="AF36" s="1141">
        <v>0</v>
      </c>
      <c r="AG36" s="1141">
        <v>468.14402078000001</v>
      </c>
    </row>
    <row r="37" spans="1:33">
      <c r="A37" s="1138" t="s">
        <v>28</v>
      </c>
      <c r="B37" s="1139">
        <v>16700.565043179999</v>
      </c>
      <c r="C37" s="1139">
        <v>786.28199433999998</v>
      </c>
      <c r="D37" s="1140">
        <f t="shared" si="1"/>
        <v>4.7081161164729188</v>
      </c>
      <c r="E37" s="1141">
        <v>2859.9485050800004</v>
      </c>
      <c r="F37" s="1141">
        <v>8.5783721800000006</v>
      </c>
      <c r="G37" s="1141">
        <v>713.41384506999998</v>
      </c>
      <c r="H37" s="1141">
        <v>20.861254200000001</v>
      </c>
      <c r="I37" s="1141">
        <v>551.93139554000004</v>
      </c>
      <c r="J37" s="1141">
        <v>26.665374870000001</v>
      </c>
      <c r="K37" s="1141">
        <v>915.78658603000008</v>
      </c>
      <c r="L37" s="1141">
        <v>0.22206592999999999</v>
      </c>
      <c r="M37" s="1141">
        <v>924.56066938999993</v>
      </c>
      <c r="N37" s="1141">
        <v>14.04602861</v>
      </c>
      <c r="O37" s="1141">
        <v>740.65590216999999</v>
      </c>
      <c r="P37" s="1141">
        <v>2.3586548299999999</v>
      </c>
      <c r="Q37" s="1141">
        <v>8052.4229299699991</v>
      </c>
      <c r="R37" s="1141">
        <v>270.42522850999995</v>
      </c>
      <c r="S37" s="1141">
        <v>91.351472839999985</v>
      </c>
      <c r="T37" s="1141">
        <v>0.18279999999999999</v>
      </c>
      <c r="U37" s="1141">
        <v>2.0505073299999999</v>
      </c>
      <c r="V37" s="1141">
        <v>0</v>
      </c>
      <c r="W37" s="1141">
        <v>616.81755486000611</v>
      </c>
      <c r="X37" s="1141">
        <v>19.802129130000012</v>
      </c>
      <c r="Y37" s="1141">
        <v>7.1007471400000002</v>
      </c>
      <c r="Z37" s="1141">
        <v>0</v>
      </c>
      <c r="AA37" s="1141">
        <v>3.1193285900000003</v>
      </c>
      <c r="AB37" s="1141">
        <v>0</v>
      </c>
      <c r="AC37" s="1141">
        <v>42.417387400000003</v>
      </c>
      <c r="AD37" s="1141">
        <v>0</v>
      </c>
      <c r="AE37" s="1141">
        <v>29.564309170000001</v>
      </c>
      <c r="AF37" s="1141">
        <v>0</v>
      </c>
      <c r="AG37" s="1141">
        <v>474.33828768000001</v>
      </c>
    </row>
    <row r="38" spans="1:33">
      <c r="A38" s="1138" t="s">
        <v>29</v>
      </c>
      <c r="B38" s="1139">
        <v>17119.816266530001</v>
      </c>
      <c r="C38" s="1139">
        <v>719.44171244100028</v>
      </c>
      <c r="D38" s="1140">
        <f t="shared" si="1"/>
        <v>4.2023915516403099</v>
      </c>
      <c r="E38" s="1141">
        <v>2982.27763271</v>
      </c>
      <c r="F38" s="1141">
        <v>10.221064380000001</v>
      </c>
      <c r="G38" s="1141">
        <v>718.87065003999999</v>
      </c>
      <c r="H38" s="1141">
        <v>30.155463600000001</v>
      </c>
      <c r="I38" s="1141">
        <v>563.21427218000008</v>
      </c>
      <c r="J38" s="1141">
        <v>28.481477079999998</v>
      </c>
      <c r="K38" s="1141">
        <v>903.04608600000006</v>
      </c>
      <c r="L38" s="1141">
        <v>0.14264178999999999</v>
      </c>
      <c r="M38" s="1141">
        <v>960.22491318999994</v>
      </c>
      <c r="N38" s="1141">
        <v>11.50845487</v>
      </c>
      <c r="O38" s="1141">
        <v>733.94094086000018</v>
      </c>
      <c r="P38" s="1141">
        <v>3.40064806</v>
      </c>
      <c r="Q38" s="1141">
        <v>8320.5240356199993</v>
      </c>
      <c r="R38" s="1141">
        <v>286.74943291900001</v>
      </c>
      <c r="S38" s="1141">
        <v>90.596399309999995</v>
      </c>
      <c r="T38" s="1141">
        <v>0.18279999999999999</v>
      </c>
      <c r="U38" s="1141">
        <v>1.9917215699999999</v>
      </c>
      <c r="V38" s="1141">
        <v>0</v>
      </c>
      <c r="W38" s="1141">
        <v>617.99023107999903</v>
      </c>
      <c r="X38" s="1141">
        <v>35.804449879999979</v>
      </c>
      <c r="Y38" s="1141">
        <v>8.4083914000000011</v>
      </c>
      <c r="Z38" s="1141">
        <v>0</v>
      </c>
      <c r="AA38" s="1141">
        <v>3.6777463099999999</v>
      </c>
      <c r="AB38" s="1141">
        <v>0</v>
      </c>
      <c r="AC38" s="1141">
        <v>56.911928450000005</v>
      </c>
      <c r="AD38" s="1141">
        <v>0</v>
      </c>
      <c r="AE38" s="1141">
        <v>32.053172790000005</v>
      </c>
      <c r="AF38" s="1141">
        <v>0</v>
      </c>
      <c r="AG38" s="1141">
        <v>357.28922269999998</v>
      </c>
    </row>
    <row r="39" spans="1:33">
      <c r="A39" s="1138" t="s">
        <v>2892</v>
      </c>
      <c r="B39" s="1138"/>
      <c r="C39" s="1138"/>
      <c r="D39" s="1138"/>
      <c r="E39" s="1141"/>
      <c r="F39" s="1141"/>
      <c r="G39" s="1141"/>
      <c r="H39" s="1141"/>
      <c r="I39" s="1141"/>
      <c r="J39" s="1141"/>
      <c r="K39" s="1141"/>
      <c r="L39" s="1141"/>
      <c r="M39" s="1141"/>
      <c r="N39" s="1141"/>
      <c r="O39" s="1141"/>
      <c r="P39" s="1141"/>
      <c r="Q39" s="1141"/>
      <c r="R39" s="1141"/>
      <c r="S39" s="1141"/>
      <c r="T39" s="1141"/>
      <c r="U39" s="1141"/>
      <c r="V39" s="1141"/>
      <c r="W39" s="1141"/>
      <c r="X39" s="1141"/>
      <c r="Y39" s="1141"/>
      <c r="Z39" s="1141"/>
      <c r="AA39" s="1141"/>
      <c r="AB39" s="1141"/>
      <c r="AC39" s="1141"/>
      <c r="AD39" s="1141"/>
      <c r="AE39" s="1141"/>
      <c r="AF39" s="1141"/>
      <c r="AG39" s="1141"/>
    </row>
    <row r="40" spans="1:33">
      <c r="A40" s="1138" t="s">
        <v>18</v>
      </c>
      <c r="B40" s="1139">
        <v>17242.149871199999</v>
      </c>
      <c r="C40" s="1139">
        <v>706.5450646810001</v>
      </c>
      <c r="D40" s="1140">
        <f t="shared" ref="D40:D67" si="2">C40/B40*100</f>
        <v>4.0977782350747356</v>
      </c>
      <c r="E40" s="1141">
        <v>2960.8306106</v>
      </c>
      <c r="F40" s="1141">
        <v>10.221064380000001</v>
      </c>
      <c r="G40" s="1141">
        <v>707.68418763</v>
      </c>
      <c r="H40" s="1141">
        <v>30.155463600000001</v>
      </c>
      <c r="I40" s="1141">
        <v>567.29357872000003</v>
      </c>
      <c r="J40" s="1141">
        <v>28.481477079999998</v>
      </c>
      <c r="K40" s="1141">
        <v>910.22202430000004</v>
      </c>
      <c r="L40" s="1141">
        <v>0.14264178999999999</v>
      </c>
      <c r="M40" s="1141">
        <v>948.28755950999994</v>
      </c>
      <c r="N40" s="1141">
        <v>11.50845487</v>
      </c>
      <c r="O40" s="1141">
        <v>741.22516050000002</v>
      </c>
      <c r="P40" s="1141">
        <v>3.40064806</v>
      </c>
      <c r="Q40" s="1141">
        <v>8480.9704156700009</v>
      </c>
      <c r="R40" s="1141">
        <v>286.74943291900001</v>
      </c>
      <c r="S40" s="1141">
        <v>90.016935840000002</v>
      </c>
      <c r="T40" s="1141">
        <v>0.18279999999999999</v>
      </c>
      <c r="U40" s="1141">
        <v>1.95306146</v>
      </c>
      <c r="V40" s="1141">
        <v>0</v>
      </c>
      <c r="W40" s="1141">
        <v>627.47543251999991</v>
      </c>
      <c r="X40" s="1141">
        <v>35.804449879999979</v>
      </c>
      <c r="Y40" s="1141">
        <v>7.6883463699999997</v>
      </c>
      <c r="Z40" s="1141">
        <v>0</v>
      </c>
      <c r="AA40" s="1141">
        <v>4.3864337100000004</v>
      </c>
      <c r="AB40" s="1141">
        <v>0</v>
      </c>
      <c r="AC40" s="1141">
        <v>50.945260220000002</v>
      </c>
      <c r="AD40" s="1141">
        <v>0</v>
      </c>
      <c r="AE40" s="1141">
        <v>29.979366889999998</v>
      </c>
      <c r="AF40" s="1141">
        <v>0</v>
      </c>
      <c r="AG40" s="1141">
        <v>404.33149824999998</v>
      </c>
    </row>
    <row r="41" spans="1:33" ht="15" customHeight="1">
      <c r="A41" s="1138" t="s">
        <v>19</v>
      </c>
      <c r="B41" s="1139">
        <v>17587.221785509999</v>
      </c>
      <c r="C41" s="1139">
        <v>690.22803666099992</v>
      </c>
      <c r="D41" s="1140">
        <f t="shared" si="2"/>
        <v>3.9245996046383769</v>
      </c>
      <c r="E41" s="1141">
        <v>3029.3681515600001</v>
      </c>
      <c r="F41" s="1141">
        <v>10.221064380000001</v>
      </c>
      <c r="G41" s="1141">
        <v>689.92751550000003</v>
      </c>
      <c r="H41" s="1141">
        <v>30.155463600000001</v>
      </c>
      <c r="I41" s="1141">
        <v>563.14749876999997</v>
      </c>
      <c r="J41" s="1141">
        <v>28.481477079999998</v>
      </c>
      <c r="K41" s="1141">
        <v>985.9135400900002</v>
      </c>
      <c r="L41" s="1141">
        <v>0.14264178999999999</v>
      </c>
      <c r="M41" s="1141">
        <v>985.04823421000003</v>
      </c>
      <c r="N41" s="1141">
        <v>11.50845487</v>
      </c>
      <c r="O41" s="1141">
        <v>728.15753729000005</v>
      </c>
      <c r="P41" s="1141">
        <v>3.40064806</v>
      </c>
      <c r="Q41" s="1141">
        <v>8661.6781615899999</v>
      </c>
      <c r="R41" s="1141">
        <v>286.74943291900001</v>
      </c>
      <c r="S41" s="1141">
        <v>92.488529190000008</v>
      </c>
      <c r="T41" s="1141">
        <v>0.18279999999999999</v>
      </c>
      <c r="U41" s="1141">
        <v>1.95306146</v>
      </c>
      <c r="V41" s="1141">
        <v>0</v>
      </c>
      <c r="W41" s="1141">
        <v>643.79415081999889</v>
      </c>
      <c r="X41" s="1141">
        <v>35.804449879999979</v>
      </c>
      <c r="Y41" s="1141">
        <v>25.085493190000001</v>
      </c>
      <c r="Z41" s="1141">
        <v>0</v>
      </c>
      <c r="AA41" s="1141">
        <v>4.2741885100000001</v>
      </c>
      <c r="AB41" s="1141">
        <v>0</v>
      </c>
      <c r="AC41" s="1141">
        <v>48.159196620000003</v>
      </c>
      <c r="AD41" s="1141">
        <v>0</v>
      </c>
      <c r="AE41" s="1141">
        <v>31.352057470000005</v>
      </c>
      <c r="AF41" s="1141">
        <v>0</v>
      </c>
      <c r="AG41" s="1141">
        <v>501.75617211000002</v>
      </c>
    </row>
    <row r="42" spans="1:33" ht="15" customHeight="1">
      <c r="A42" s="1138" t="s">
        <v>20</v>
      </c>
      <c r="B42" s="1139">
        <v>18007.769891450997</v>
      </c>
      <c r="C42" s="1139">
        <v>685.18649990099982</v>
      </c>
      <c r="D42" s="1140">
        <f t="shared" si="2"/>
        <v>3.8049492193160748</v>
      </c>
      <c r="E42" s="1141">
        <v>3069.5291242100002</v>
      </c>
      <c r="F42" s="1141">
        <v>10.905675650000001</v>
      </c>
      <c r="G42" s="1141">
        <v>694.58685251999998</v>
      </c>
      <c r="H42" s="1141">
        <v>34.172563600000004</v>
      </c>
      <c r="I42" s="1141">
        <v>572.11871544999985</v>
      </c>
      <c r="J42" s="1141">
        <v>25.356062120000001</v>
      </c>
      <c r="K42" s="1141">
        <v>1008.85695302</v>
      </c>
      <c r="L42" s="1141">
        <v>0.57942300999999996</v>
      </c>
      <c r="M42" s="1141">
        <v>1004.56486473</v>
      </c>
      <c r="N42" s="1141">
        <v>11.781332059999999</v>
      </c>
      <c r="O42" s="1141">
        <v>734.21636339999998</v>
      </c>
      <c r="P42" s="1141">
        <v>3.3693554999999997</v>
      </c>
      <c r="Q42" s="1141">
        <v>8961.90120785</v>
      </c>
      <c r="R42" s="1141">
        <v>300.92743854999998</v>
      </c>
      <c r="S42" s="1141">
        <v>85.615850129999998</v>
      </c>
      <c r="T42" s="1141">
        <v>0.17280000000000001</v>
      </c>
      <c r="U42" s="1141">
        <v>1.9190493500000001</v>
      </c>
      <c r="V42" s="1141">
        <v>0</v>
      </c>
      <c r="W42" s="1141">
        <v>657.65911172999745</v>
      </c>
      <c r="X42" s="1141">
        <v>38.165659129999987</v>
      </c>
      <c r="Y42" s="1141">
        <v>29.572471480000001</v>
      </c>
      <c r="Z42" s="1141">
        <v>0</v>
      </c>
      <c r="AA42" s="1141">
        <v>4.5490465200000001</v>
      </c>
      <c r="AB42" s="1141">
        <v>0</v>
      </c>
      <c r="AC42" s="1141">
        <v>41.391453429999999</v>
      </c>
      <c r="AD42" s="1141">
        <v>0</v>
      </c>
      <c r="AE42" s="1141">
        <v>30.672018110000003</v>
      </c>
      <c r="AF42" s="1141">
        <v>0</v>
      </c>
      <c r="AG42" s="1141">
        <v>408.66366932</v>
      </c>
    </row>
    <row r="43" spans="1:33" ht="15" customHeight="1">
      <c r="A43" s="1138" t="s">
        <v>21</v>
      </c>
      <c r="B43" s="1139">
        <v>18319.964781931001</v>
      </c>
      <c r="C43" s="1139">
        <v>674.7774830410001</v>
      </c>
      <c r="D43" s="1140">
        <f t="shared" si="2"/>
        <v>3.6832902850694</v>
      </c>
      <c r="E43" s="1141">
        <v>3126.6944463600003</v>
      </c>
      <c r="F43" s="1141">
        <v>10.905675650000001</v>
      </c>
      <c r="G43" s="1141">
        <v>690.44424623000009</v>
      </c>
      <c r="H43" s="1141">
        <v>34.172563600000004</v>
      </c>
      <c r="I43" s="1141">
        <v>567.49188975000004</v>
      </c>
      <c r="J43" s="1141">
        <v>25.356062120000001</v>
      </c>
      <c r="K43" s="1141">
        <v>1069.1928002</v>
      </c>
      <c r="L43" s="1141">
        <v>0.57942300999999996</v>
      </c>
      <c r="M43" s="1141">
        <v>1013.2900403299999</v>
      </c>
      <c r="N43" s="1141">
        <v>11.781332059999999</v>
      </c>
      <c r="O43" s="1141">
        <v>739.3187621300001</v>
      </c>
      <c r="P43" s="1141">
        <v>3.3693554999999997</v>
      </c>
      <c r="Q43" s="1141">
        <v>9159.7569552000004</v>
      </c>
      <c r="R43" s="1141">
        <v>300.92743854999998</v>
      </c>
      <c r="S43" s="1141">
        <v>94.418288130000008</v>
      </c>
      <c r="T43" s="1141">
        <v>0.17280000000000001</v>
      </c>
      <c r="U43" s="1141">
        <v>1.8355293099999999</v>
      </c>
      <c r="V43" s="1141">
        <v>0</v>
      </c>
      <c r="W43" s="1141">
        <v>649.45494428000109</v>
      </c>
      <c r="X43" s="1141">
        <v>38.165659129999987</v>
      </c>
      <c r="Y43" s="1141">
        <v>30.977582609999999</v>
      </c>
      <c r="Z43" s="1141">
        <v>0</v>
      </c>
      <c r="AA43" s="1141">
        <v>3.94607128</v>
      </c>
      <c r="AB43" s="1141">
        <v>0</v>
      </c>
      <c r="AC43" s="1141">
        <v>43.012501450000002</v>
      </c>
      <c r="AD43" s="1141">
        <v>0</v>
      </c>
      <c r="AE43" s="1141">
        <v>29.922932009999997</v>
      </c>
      <c r="AF43" s="1141">
        <v>0</v>
      </c>
      <c r="AG43" s="1141">
        <v>368.50278687000002</v>
      </c>
    </row>
    <row r="44" spans="1:33" ht="15" customHeight="1">
      <c r="A44" s="1138" t="s">
        <v>22</v>
      </c>
      <c r="B44" s="1139">
        <v>18577.875236770997</v>
      </c>
      <c r="C44" s="1139">
        <v>673.7364159409999</v>
      </c>
      <c r="D44" s="1140">
        <f t="shared" si="2"/>
        <v>3.6265525920180597</v>
      </c>
      <c r="E44" s="1141">
        <v>3130.2660092400001</v>
      </c>
      <c r="F44" s="1141">
        <v>10.905675650000001</v>
      </c>
      <c r="G44" s="1141">
        <v>678.71154195999998</v>
      </c>
      <c r="H44" s="1141">
        <v>34.172563600000004</v>
      </c>
      <c r="I44" s="1141">
        <v>572.2245125500001</v>
      </c>
      <c r="J44" s="1141">
        <v>25.356062120000001</v>
      </c>
      <c r="K44" s="1141">
        <v>1095.1174711200001</v>
      </c>
      <c r="L44" s="1141">
        <v>0.57942300999999996</v>
      </c>
      <c r="M44" s="1141">
        <v>981.09731834000002</v>
      </c>
      <c r="N44" s="1141">
        <v>11.781332059999999</v>
      </c>
      <c r="O44" s="1141">
        <v>758.37285073999999</v>
      </c>
      <c r="P44" s="1141">
        <v>3.3693554999999997</v>
      </c>
      <c r="Q44" s="1141">
        <v>9382.4405607000008</v>
      </c>
      <c r="R44" s="1141">
        <v>300.92743854999998</v>
      </c>
      <c r="S44" s="1141">
        <v>94.123444239999998</v>
      </c>
      <c r="T44" s="1141">
        <v>0.17280000000000001</v>
      </c>
      <c r="U44" s="1141">
        <v>1.8355293099999999</v>
      </c>
      <c r="V44" s="1141">
        <v>0</v>
      </c>
      <c r="W44" s="1141">
        <v>678.7666159900001</v>
      </c>
      <c r="X44" s="1141">
        <v>38.165659129999987</v>
      </c>
      <c r="Y44" s="1141">
        <v>12.740430310000001</v>
      </c>
      <c r="Z44" s="1141">
        <v>0</v>
      </c>
      <c r="AA44" s="1141">
        <v>3.33646288</v>
      </c>
      <c r="AB44" s="1141">
        <v>0</v>
      </c>
      <c r="AC44" s="1141">
        <v>42.478322670000004</v>
      </c>
      <c r="AD44" s="1141">
        <v>0</v>
      </c>
      <c r="AE44" s="1141">
        <v>47.197441159999997</v>
      </c>
      <c r="AF44" s="1141">
        <v>0</v>
      </c>
      <c r="AG44" s="1141">
        <v>399.49298209</v>
      </c>
    </row>
    <row r="45" spans="1:33" ht="15" customHeight="1">
      <c r="A45" s="1138" t="s">
        <v>23</v>
      </c>
      <c r="B45" s="1139">
        <v>18818.200924164597</v>
      </c>
      <c r="C45" s="1139">
        <v>661.21798656500005</v>
      </c>
      <c r="D45" s="1140">
        <f t="shared" si="2"/>
        <v>3.5137152017328339</v>
      </c>
      <c r="E45" s="1141">
        <v>3141.3452931399997</v>
      </c>
      <c r="F45" s="1141">
        <v>9.2472452500000006</v>
      </c>
      <c r="G45" s="1141">
        <v>661.80971821000003</v>
      </c>
      <c r="H45" s="1141">
        <v>34.172563599999997</v>
      </c>
      <c r="I45" s="1141">
        <v>571.59913632000007</v>
      </c>
      <c r="J45" s="1141">
        <v>25.708327740000001</v>
      </c>
      <c r="K45" s="1141">
        <v>1181.9055758</v>
      </c>
      <c r="L45" s="1141">
        <v>0.94145000999999995</v>
      </c>
      <c r="M45" s="1141">
        <v>980.58902658</v>
      </c>
      <c r="N45" s="1141">
        <v>10.484738980000001</v>
      </c>
      <c r="O45" s="1141">
        <v>770.25907811999991</v>
      </c>
      <c r="P45" s="1141">
        <v>3.6655512400000001</v>
      </c>
      <c r="Q45" s="1141">
        <v>9603.0551213800009</v>
      </c>
      <c r="R45" s="1141">
        <v>318.85189135959996</v>
      </c>
      <c r="S45" s="1141">
        <v>102.05150716</v>
      </c>
      <c r="T45" s="1141">
        <v>0.1653</v>
      </c>
      <c r="U45" s="1141">
        <v>1.7781839700000002</v>
      </c>
      <c r="V45" s="1141">
        <v>0</v>
      </c>
      <c r="W45" s="1141">
        <v>582.93200697999896</v>
      </c>
      <c r="X45" s="1141">
        <v>41.068734280000079</v>
      </c>
      <c r="Y45" s="1141">
        <v>19.576412949999998</v>
      </c>
      <c r="Z45" s="1141">
        <v>0</v>
      </c>
      <c r="AA45" s="1141">
        <v>3.4066838700000002</v>
      </c>
      <c r="AB45" s="1141">
        <v>0</v>
      </c>
      <c r="AC45" s="1141">
        <v>45.474320989999995</v>
      </c>
      <c r="AD45" s="1141">
        <v>1.1644366399999999</v>
      </c>
      <c r="AE45" s="1141">
        <v>45.730633029999993</v>
      </c>
      <c r="AF45" s="1141">
        <v>0</v>
      </c>
      <c r="AG45" s="1141">
        <v>387.19033960000002</v>
      </c>
    </row>
    <row r="46" spans="1:33" ht="15" customHeight="1">
      <c r="A46" s="1138" t="s">
        <v>24</v>
      </c>
      <c r="B46" s="1139">
        <v>18985.634951354594</v>
      </c>
      <c r="C46" s="1139">
        <v>662.33321448499987</v>
      </c>
      <c r="D46" s="1140">
        <f t="shared" si="2"/>
        <v>3.4886018623135042</v>
      </c>
      <c r="E46" s="1141">
        <v>3106.4631285100004</v>
      </c>
      <c r="F46" s="1141">
        <v>9.2472452500000006</v>
      </c>
      <c r="G46" s="1141">
        <v>606.83484245</v>
      </c>
      <c r="H46" s="1141">
        <v>34.172563599999997</v>
      </c>
      <c r="I46" s="1141">
        <v>571.21172114000001</v>
      </c>
      <c r="J46" s="1141">
        <v>25.708327740000001</v>
      </c>
      <c r="K46" s="1141">
        <v>1202.1347719400001</v>
      </c>
      <c r="L46" s="1141">
        <v>0.94145000999999995</v>
      </c>
      <c r="M46" s="1141">
        <v>1037.67454316</v>
      </c>
      <c r="N46" s="1141">
        <v>10.484738980000001</v>
      </c>
      <c r="O46" s="1141">
        <v>778.42155815000001</v>
      </c>
      <c r="P46" s="1141">
        <v>3.6655512400000001</v>
      </c>
      <c r="Q46" s="1141">
        <v>9789.8246620699974</v>
      </c>
      <c r="R46" s="1141">
        <v>318.85189135959996</v>
      </c>
      <c r="S46" s="1141">
        <v>103.51947823</v>
      </c>
      <c r="T46" s="1141">
        <v>0.1653</v>
      </c>
      <c r="U46" s="1141">
        <v>1.6690754600000002</v>
      </c>
      <c r="V46" s="1141">
        <v>0</v>
      </c>
      <c r="W46" s="1141">
        <v>574.28495352999903</v>
      </c>
      <c r="X46" s="1141">
        <v>41.068734280000079</v>
      </c>
      <c r="Y46" s="1141">
        <v>17.974159960000001</v>
      </c>
      <c r="Z46" s="1141">
        <v>0</v>
      </c>
      <c r="AA46" s="1141">
        <v>3.3428964900000002</v>
      </c>
      <c r="AB46" s="1141">
        <v>0</v>
      </c>
      <c r="AC46" s="1141">
        <v>47.760477650000006</v>
      </c>
      <c r="AD46" s="1141">
        <v>1.1644366399999999</v>
      </c>
      <c r="AE46" s="1141">
        <v>36.715229030000003</v>
      </c>
      <c r="AF46" s="1141">
        <v>0</v>
      </c>
      <c r="AG46" s="1141">
        <v>386.11756955999999</v>
      </c>
    </row>
    <row r="47" spans="1:33" ht="15" customHeight="1">
      <c r="A47" s="1138" t="s">
        <v>25</v>
      </c>
      <c r="B47" s="1139">
        <v>19136.822267444604</v>
      </c>
      <c r="C47" s="1139">
        <v>659.66022400499992</v>
      </c>
      <c r="D47" s="1140">
        <f t="shared" si="2"/>
        <v>3.4470729507019988</v>
      </c>
      <c r="E47" s="1141">
        <v>3122.5418065899999</v>
      </c>
      <c r="F47" s="1141">
        <v>9.2472452500000006</v>
      </c>
      <c r="G47" s="1141">
        <v>574.74920330999998</v>
      </c>
      <c r="H47" s="1141">
        <v>34.172563599999997</v>
      </c>
      <c r="I47" s="1141">
        <v>573.13765513999999</v>
      </c>
      <c r="J47" s="1141">
        <v>25.708327740000001</v>
      </c>
      <c r="K47" s="1141">
        <v>1191.5845493500001</v>
      </c>
      <c r="L47" s="1141">
        <v>0.94145000999999995</v>
      </c>
      <c r="M47" s="1141">
        <v>1061.3058686600002</v>
      </c>
      <c r="N47" s="1141">
        <v>10.484738980000001</v>
      </c>
      <c r="O47" s="1141">
        <v>755.42052295999997</v>
      </c>
      <c r="P47" s="1141">
        <v>3.6655512400000001</v>
      </c>
      <c r="Q47" s="1141">
        <v>10009.314863070002</v>
      </c>
      <c r="R47" s="1141">
        <v>318.85189135959996</v>
      </c>
      <c r="S47" s="1141">
        <v>51.136333960000002</v>
      </c>
      <c r="T47" s="1141">
        <v>0.1653</v>
      </c>
      <c r="U47" s="1141">
        <v>1.6189657100000001</v>
      </c>
      <c r="V47" s="1141">
        <v>0</v>
      </c>
      <c r="W47" s="1141">
        <v>594.79696808999847</v>
      </c>
      <c r="X47" s="1141">
        <v>41.068734280000079</v>
      </c>
      <c r="Y47" s="1141">
        <v>16.119905150000001</v>
      </c>
      <c r="Z47" s="1141">
        <v>0</v>
      </c>
      <c r="AA47" s="1141">
        <v>2.9635350900000001</v>
      </c>
      <c r="AB47" s="1141">
        <v>0</v>
      </c>
      <c r="AC47" s="1141">
        <v>43.59604058</v>
      </c>
      <c r="AD47" s="1141">
        <v>1.1644366399999999</v>
      </c>
      <c r="AE47" s="1141">
        <v>33.405586679999999</v>
      </c>
      <c r="AF47" s="1141">
        <v>0</v>
      </c>
      <c r="AG47" s="1141">
        <v>396.32416848999998</v>
      </c>
    </row>
    <row r="48" spans="1:33" ht="15" customHeight="1">
      <c r="A48" s="1138" t="s">
        <v>26</v>
      </c>
      <c r="B48" s="1139">
        <v>19701.683635566002</v>
      </c>
      <c r="C48" s="1139">
        <v>649.54999275199998</v>
      </c>
      <c r="D48" s="1140">
        <f t="shared" si="2"/>
        <v>3.2969263174006871</v>
      </c>
      <c r="E48" s="1141">
        <v>3194.685129</v>
      </c>
      <c r="F48" s="1141">
        <v>8.1102411799999992</v>
      </c>
      <c r="G48" s="1141">
        <v>602.46409550999999</v>
      </c>
      <c r="H48" s="1141">
        <v>34.172563600000004</v>
      </c>
      <c r="I48" s="1141">
        <v>591.77428609000003</v>
      </c>
      <c r="J48" s="1141">
        <v>26.425179449999998</v>
      </c>
      <c r="K48" s="1141">
        <v>1240.53652147</v>
      </c>
      <c r="L48" s="1141">
        <v>0.91141516</v>
      </c>
      <c r="M48" s="1141">
        <v>1057.6198145200001</v>
      </c>
      <c r="N48" s="1141">
        <v>10.50814787</v>
      </c>
      <c r="O48" s="1141">
        <v>789.14396804</v>
      </c>
      <c r="P48" s="1141">
        <v>3.7018644800000002</v>
      </c>
      <c r="Q48" s="1141">
        <v>10343.172838570001</v>
      </c>
      <c r="R48" s="1141">
        <v>365.40066774399997</v>
      </c>
      <c r="S48" s="1141">
        <v>44.954035770000004</v>
      </c>
      <c r="T48" s="1141">
        <v>0.1653</v>
      </c>
      <c r="U48" s="1141">
        <v>1.55036112</v>
      </c>
      <c r="V48" s="1141">
        <v>0</v>
      </c>
      <c r="W48" s="1141">
        <v>583.94294115000002</v>
      </c>
      <c r="X48" s="1141">
        <v>43.142905089999999</v>
      </c>
      <c r="Y48" s="1141">
        <v>18.844386230000001</v>
      </c>
      <c r="Z48" s="1141">
        <v>0</v>
      </c>
      <c r="AA48" s="1141">
        <v>10.19534859</v>
      </c>
      <c r="AB48" s="1141">
        <v>0</v>
      </c>
      <c r="AC48" s="1141">
        <v>45.510371579999997</v>
      </c>
      <c r="AD48" s="1141">
        <v>0.76020041000000005</v>
      </c>
      <c r="AE48" s="1141">
        <v>34.441060190000002</v>
      </c>
      <c r="AF48" s="1141">
        <v>0</v>
      </c>
      <c r="AG48" s="1141">
        <v>435.90259455</v>
      </c>
    </row>
    <row r="49" spans="1:33" ht="15" customHeight="1">
      <c r="A49" s="1138" t="s">
        <v>27</v>
      </c>
      <c r="B49" s="1139">
        <v>20015.293326605999</v>
      </c>
      <c r="C49" s="1139">
        <v>646.04418552200002</v>
      </c>
      <c r="D49" s="1140">
        <f t="shared" si="2"/>
        <v>3.227752773741388</v>
      </c>
      <c r="E49" s="1141">
        <v>3262.3167929399997</v>
      </c>
      <c r="F49" s="1141">
        <v>8.1102411799999992</v>
      </c>
      <c r="G49" s="1141">
        <v>625.89423504000001</v>
      </c>
      <c r="H49" s="1141">
        <v>34.172563600000004</v>
      </c>
      <c r="I49" s="1141">
        <v>597.12625885</v>
      </c>
      <c r="J49" s="1141">
        <v>26.425179449999998</v>
      </c>
      <c r="K49" s="1141">
        <v>1180.68608058</v>
      </c>
      <c r="L49" s="1141">
        <v>0.91141516</v>
      </c>
      <c r="M49" s="1141">
        <v>1068.7433036300001</v>
      </c>
      <c r="N49" s="1141">
        <v>10.50814787</v>
      </c>
      <c r="O49" s="1141">
        <v>794.39277890000005</v>
      </c>
      <c r="P49" s="1141">
        <v>3.7018644800000002</v>
      </c>
      <c r="Q49" s="1141">
        <v>10584.53099259</v>
      </c>
      <c r="R49" s="1141">
        <v>365.40066774399997</v>
      </c>
      <c r="S49" s="1141">
        <v>39.653100860000002</v>
      </c>
      <c r="T49" s="1141">
        <v>0.1653</v>
      </c>
      <c r="U49" s="1141">
        <v>1.4508957999999998</v>
      </c>
      <c r="V49" s="1141">
        <v>0</v>
      </c>
      <c r="W49" s="1141">
        <v>616.79554154999994</v>
      </c>
      <c r="X49" s="1141">
        <v>43.142905089999999</v>
      </c>
      <c r="Y49" s="1141">
        <v>16.342343849999999</v>
      </c>
      <c r="Z49" s="1141">
        <v>0</v>
      </c>
      <c r="AA49" s="1141">
        <v>9.9599876599999995</v>
      </c>
      <c r="AB49" s="1141">
        <v>0</v>
      </c>
      <c r="AC49" s="1141">
        <v>44.104648169999997</v>
      </c>
      <c r="AD49" s="1141">
        <v>0.76020041000000005</v>
      </c>
      <c r="AE49" s="1141">
        <v>33.953695679999996</v>
      </c>
      <c r="AF49" s="1141">
        <v>0</v>
      </c>
      <c r="AG49" s="1141">
        <v>505.93548070999998</v>
      </c>
    </row>
    <row r="50" spans="1:33" ht="15" customHeight="1">
      <c r="A50" s="1138" t="s">
        <v>28</v>
      </c>
      <c r="B50" s="1139">
        <v>20218.690699965999</v>
      </c>
      <c r="C50" s="1139">
        <v>641.27898531200003</v>
      </c>
      <c r="D50" s="1140">
        <v>3.1717137119718561</v>
      </c>
      <c r="E50" s="1141">
        <v>3332.2321433699999</v>
      </c>
      <c r="F50" s="1141">
        <v>8.1102411799999992</v>
      </c>
      <c r="G50" s="1141">
        <v>623.97471341999994</v>
      </c>
      <c r="H50" s="1141">
        <v>34.172563600000004</v>
      </c>
      <c r="I50" s="1141">
        <v>595.89892781000003</v>
      </c>
      <c r="J50" s="1141">
        <v>26.425179449999998</v>
      </c>
      <c r="K50" s="1141">
        <v>1140.6713948199999</v>
      </c>
      <c r="L50" s="1141">
        <v>0.91141516</v>
      </c>
      <c r="M50" s="1141">
        <v>1052.0862463799999</v>
      </c>
      <c r="N50" s="1141">
        <v>10.50814787</v>
      </c>
      <c r="O50" s="1141">
        <v>797.74826809000001</v>
      </c>
      <c r="P50" s="1141">
        <v>3.7018644800000002</v>
      </c>
      <c r="Q50" s="1141">
        <v>10769.64167906</v>
      </c>
      <c r="R50" s="1141">
        <v>365.40066774399997</v>
      </c>
      <c r="S50" s="1141">
        <v>42.660944639999997</v>
      </c>
      <c r="T50" s="1141">
        <v>0.1653</v>
      </c>
      <c r="U50" s="1141">
        <v>1.3731461600000001</v>
      </c>
      <c r="V50" s="1141">
        <v>0</v>
      </c>
      <c r="W50" s="1141">
        <v>626.87957110000002</v>
      </c>
      <c r="X50" s="1141">
        <v>43.142905089999999</v>
      </c>
      <c r="Y50" s="1141">
        <v>14.977643390000001</v>
      </c>
      <c r="Z50" s="1141">
        <v>0</v>
      </c>
      <c r="AA50" s="1141">
        <v>9.4026232400000005</v>
      </c>
      <c r="AB50" s="1141">
        <v>0</v>
      </c>
      <c r="AC50" s="1141">
        <v>40.997581420000003</v>
      </c>
      <c r="AD50" s="1141">
        <v>0.76020041000000005</v>
      </c>
      <c r="AE50" s="1141">
        <v>35.568346769999998</v>
      </c>
      <c r="AF50" s="1141">
        <v>0</v>
      </c>
      <c r="AG50" s="1141">
        <v>557.58788519999996</v>
      </c>
    </row>
    <row r="51" spans="1:33" ht="15" customHeight="1">
      <c r="A51" s="1138" t="s">
        <v>29</v>
      </c>
      <c r="B51" s="1139">
        <v>20183.981847880001</v>
      </c>
      <c r="C51" s="1139">
        <v>593.74010189999967</v>
      </c>
      <c r="D51" s="1140">
        <v>2.9416400905174336</v>
      </c>
      <c r="E51" s="1141">
        <v>3293.3505839399995</v>
      </c>
      <c r="F51" s="1141">
        <v>9.6084185099999999</v>
      </c>
      <c r="G51" s="1141">
        <v>616.53799353999989</v>
      </c>
      <c r="H51" s="1141">
        <v>33.322665600000001</v>
      </c>
      <c r="I51" s="1141">
        <v>583.66742675000012</v>
      </c>
      <c r="J51" s="1141">
        <v>45.418876850000004</v>
      </c>
      <c r="K51" s="1141">
        <v>1096.1061527500001</v>
      </c>
      <c r="L51" s="1141">
        <v>1.27359847</v>
      </c>
      <c r="M51" s="1141">
        <v>1048.8211127999998</v>
      </c>
      <c r="N51" s="1141">
        <v>10.964478569999999</v>
      </c>
      <c r="O51" s="1141">
        <v>788.56792967000001</v>
      </c>
      <c r="P51" s="1141">
        <v>4.1013922300000001</v>
      </c>
      <c r="Q51" s="1141">
        <v>10889.74969981</v>
      </c>
      <c r="R51" s="1141">
        <v>383.32907554999997</v>
      </c>
      <c r="S51" s="1141">
        <v>11.257418770000001</v>
      </c>
      <c r="T51" s="1141">
        <v>0.18029999999999999</v>
      </c>
      <c r="U51" s="1141">
        <v>1.2991616400000001</v>
      </c>
      <c r="V51" s="1141">
        <v>0</v>
      </c>
      <c r="W51" s="1141">
        <v>627.77080505999993</v>
      </c>
      <c r="X51" s="1141">
        <v>49.57481507</v>
      </c>
      <c r="Y51" s="1141">
        <v>12.71684417</v>
      </c>
      <c r="Z51" s="1141">
        <v>0</v>
      </c>
      <c r="AA51" s="1141">
        <v>9.3437897399999983</v>
      </c>
      <c r="AB51" s="1141">
        <v>0</v>
      </c>
      <c r="AC51" s="1141">
        <v>40.150053489999998</v>
      </c>
      <c r="AD51" s="1141">
        <v>1.0802961100000001</v>
      </c>
      <c r="AE51" s="1141">
        <v>32.048856890000003</v>
      </c>
      <c r="AF51" s="1141">
        <v>0</v>
      </c>
      <c r="AG51" s="1141">
        <v>478.84730696000003</v>
      </c>
    </row>
    <row r="52" spans="1:33" ht="15" customHeight="1">
      <c r="A52" s="1138" t="s">
        <v>3605</v>
      </c>
      <c r="B52" s="1139"/>
      <c r="C52" s="1139"/>
      <c r="D52" s="1140"/>
      <c r="E52" s="1141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41"/>
      <c r="R52" s="1141"/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1"/>
      <c r="AD52" s="1141"/>
      <c r="AE52" s="1141"/>
      <c r="AF52" s="1141"/>
      <c r="AG52" s="1141"/>
    </row>
    <row r="53" spans="1:33" ht="15" customHeight="1">
      <c r="A53" s="1138" t="s">
        <v>18</v>
      </c>
      <c r="B53" s="1139">
        <v>20259.212448210001</v>
      </c>
      <c r="C53" s="1139">
        <v>583.77188913999998</v>
      </c>
      <c r="D53" s="1140">
        <f t="shared" si="2"/>
        <v>2.8815132406175001</v>
      </c>
      <c r="E53" s="1141">
        <v>3237.8077507999997</v>
      </c>
      <c r="F53" s="1141">
        <v>9.6084185099999999</v>
      </c>
      <c r="G53" s="1141">
        <v>602.57609599</v>
      </c>
      <c r="H53" s="1141">
        <v>33.322665600000001</v>
      </c>
      <c r="I53" s="1141">
        <v>571.67550279</v>
      </c>
      <c r="J53" s="1141">
        <v>45.418876850000004</v>
      </c>
      <c r="K53" s="1141">
        <v>1109.8847605699998</v>
      </c>
      <c r="L53" s="1141">
        <v>1.27359847</v>
      </c>
      <c r="M53" s="1141">
        <v>1064.04884924</v>
      </c>
      <c r="N53" s="1141">
        <v>10.964478569999999</v>
      </c>
      <c r="O53" s="1141">
        <v>781.41484682000009</v>
      </c>
      <c r="P53" s="1141">
        <v>4.1013922300000001</v>
      </c>
      <c r="Q53" s="1141">
        <v>11023.7346657</v>
      </c>
      <c r="R53" s="1141">
        <v>383.32907554999997</v>
      </c>
      <c r="S53" s="1141">
        <v>10.611536660000001</v>
      </c>
      <c r="T53" s="1141">
        <v>0.18029999999999999</v>
      </c>
      <c r="U53" s="1141">
        <v>1.26489838</v>
      </c>
      <c r="V53" s="1141">
        <v>0</v>
      </c>
      <c r="W53" s="1141">
        <v>642.86837766000008</v>
      </c>
      <c r="X53" s="1141">
        <v>49.57481507</v>
      </c>
      <c r="Y53" s="1141">
        <v>16.94554686</v>
      </c>
      <c r="Z53" s="1141">
        <v>0</v>
      </c>
      <c r="AA53" s="1141">
        <v>8.3574958899999992</v>
      </c>
      <c r="AB53" s="1141">
        <v>0</v>
      </c>
      <c r="AC53" s="1141">
        <v>35.67089833</v>
      </c>
      <c r="AD53" s="1141">
        <v>1.0802961100000001</v>
      </c>
      <c r="AE53" s="1141">
        <v>29.725416419999995</v>
      </c>
      <c r="AF53" s="1141">
        <v>0</v>
      </c>
      <c r="AG53" s="1141">
        <v>583.94934007999996</v>
      </c>
    </row>
    <row r="54" spans="1:33" ht="15" customHeight="1">
      <c r="A54" s="1138" t="s">
        <v>19</v>
      </c>
      <c r="B54" s="1139">
        <v>20347.050737610003</v>
      </c>
      <c r="C54" s="1139">
        <v>606.13546266000003</v>
      </c>
      <c r="D54" s="1140">
        <f t="shared" si="2"/>
        <v>2.9789843770311335</v>
      </c>
      <c r="E54" s="1141">
        <v>3233.9765252699999</v>
      </c>
      <c r="F54" s="1141">
        <v>9.6084185099999999</v>
      </c>
      <c r="G54" s="1141">
        <v>611.09478416999991</v>
      </c>
      <c r="H54" s="1141">
        <v>33.322665600000001</v>
      </c>
      <c r="I54" s="1141">
        <v>572.88910669000006</v>
      </c>
      <c r="J54" s="1141">
        <v>45.418876850000004</v>
      </c>
      <c r="K54" s="1141">
        <v>1063.7103192499999</v>
      </c>
      <c r="L54" s="1141">
        <v>1.27359847</v>
      </c>
      <c r="M54" s="1141">
        <v>1064.9589326600001</v>
      </c>
      <c r="N54" s="1141">
        <v>10.964478569999999</v>
      </c>
      <c r="O54" s="1141">
        <v>766.25506600999995</v>
      </c>
      <c r="P54" s="1141">
        <v>4.1013922300000001</v>
      </c>
      <c r="Q54" s="1141">
        <v>11165.142844410002</v>
      </c>
      <c r="R54" s="1141">
        <v>383.32907554999997</v>
      </c>
      <c r="S54" s="1141">
        <v>9.3546035100000005</v>
      </c>
      <c r="T54" s="1141">
        <v>0.18029999999999999</v>
      </c>
      <c r="U54" s="1141">
        <v>1.29116666</v>
      </c>
      <c r="V54" s="1141">
        <v>0</v>
      </c>
      <c r="W54" s="1141">
        <v>619.39690105999989</v>
      </c>
      <c r="X54" s="1141">
        <v>49.57481507</v>
      </c>
      <c r="Y54" s="1141">
        <v>17.696519609999999</v>
      </c>
      <c r="Z54" s="1141">
        <v>0</v>
      </c>
      <c r="AA54" s="1141">
        <v>8.277970289999999</v>
      </c>
      <c r="AB54" s="1141">
        <v>0</v>
      </c>
      <c r="AC54" s="1141">
        <v>34.346771109999999</v>
      </c>
      <c r="AD54" s="1141">
        <v>1.0802961100000001</v>
      </c>
      <c r="AE54" s="1141">
        <v>33.66984729</v>
      </c>
      <c r="AF54" s="1141">
        <v>0</v>
      </c>
      <c r="AG54" s="1141">
        <v>483.48919921999999</v>
      </c>
    </row>
    <row r="55" spans="1:33" ht="15" customHeight="1">
      <c r="A55" s="1138" t="s">
        <v>20</v>
      </c>
      <c r="B55" s="1139">
        <v>20664.848433421801</v>
      </c>
      <c r="C55" s="1139">
        <v>590.48680544000013</v>
      </c>
      <c r="D55" s="1140">
        <f t="shared" si="2"/>
        <v>2.8574456151586882</v>
      </c>
      <c r="E55" s="1141">
        <v>3284.0716008599998</v>
      </c>
      <c r="F55" s="1141">
        <v>12.811469809999998</v>
      </c>
      <c r="G55" s="1141">
        <v>634.06538096000008</v>
      </c>
      <c r="H55" s="1141">
        <v>36.5946675</v>
      </c>
      <c r="I55" s="1141">
        <v>527.62397953999994</v>
      </c>
      <c r="J55" s="1141">
        <v>44.699419590000005</v>
      </c>
      <c r="K55" s="1141">
        <v>1056.03426208</v>
      </c>
      <c r="L55" s="1141">
        <v>0.88181993999999997</v>
      </c>
      <c r="M55" s="1141">
        <v>1077.43719143</v>
      </c>
      <c r="N55" s="1141">
        <v>14.49952876</v>
      </c>
      <c r="O55" s="1141">
        <v>796.96831259999988</v>
      </c>
      <c r="P55" s="1141">
        <v>4.0020910000000001</v>
      </c>
      <c r="Q55" s="1141">
        <v>11377.76447181</v>
      </c>
      <c r="R55" s="1141">
        <v>406.86345791181901</v>
      </c>
      <c r="S55" s="1141">
        <v>9.5150901699999988</v>
      </c>
      <c r="T55" s="1141">
        <v>0</v>
      </c>
      <c r="U55" s="1141">
        <v>1.2545707900000003</v>
      </c>
      <c r="V55" s="1141">
        <v>0</v>
      </c>
      <c r="W55" s="1141">
        <v>642.17361158000006</v>
      </c>
      <c r="X55" s="1141">
        <v>52.067696839999996</v>
      </c>
      <c r="Y55" s="1141">
        <v>11.73787692</v>
      </c>
      <c r="Z55" s="1141">
        <v>0</v>
      </c>
      <c r="AA55" s="1141">
        <v>7.5874155999999999</v>
      </c>
      <c r="AB55" s="1141">
        <v>0</v>
      </c>
      <c r="AC55" s="1141">
        <v>41.960857449999999</v>
      </c>
      <c r="AD55" s="1141">
        <v>1.0961894099999998</v>
      </c>
      <c r="AE55" s="1141">
        <v>32.650665430000004</v>
      </c>
      <c r="AF55" s="1141">
        <v>0</v>
      </c>
      <c r="AG55" s="1141">
        <v>467.39142919000005</v>
      </c>
    </row>
    <row r="56" spans="1:33" ht="15" customHeight="1">
      <c r="A56" s="1138" t="s">
        <v>21</v>
      </c>
      <c r="B56" s="1139">
        <v>21005.880584801798</v>
      </c>
      <c r="C56" s="1139">
        <v>591.79680065000002</v>
      </c>
      <c r="D56" s="1140">
        <f t="shared" si="2"/>
        <v>2.8172910831368698</v>
      </c>
      <c r="E56" s="1141">
        <v>3329.8905477400003</v>
      </c>
      <c r="F56" s="1141">
        <v>12.811469809999998</v>
      </c>
      <c r="G56" s="1141">
        <v>640.03991277</v>
      </c>
      <c r="H56" s="1141">
        <v>36.5946675</v>
      </c>
      <c r="I56" s="1141">
        <v>500.78854519000004</v>
      </c>
      <c r="J56" s="1141">
        <v>44.699419590000005</v>
      </c>
      <c r="K56" s="1141">
        <v>1070.94071188</v>
      </c>
      <c r="L56" s="1141">
        <v>0.88181993999999997</v>
      </c>
      <c r="M56" s="1141">
        <v>1050.6385203300001</v>
      </c>
      <c r="N56" s="1141">
        <v>14.49952876</v>
      </c>
      <c r="O56" s="1141">
        <v>820.09704146000001</v>
      </c>
      <c r="P56" s="1141">
        <v>4.0020910000000001</v>
      </c>
      <c r="Q56" s="1141">
        <v>11677.088813060001</v>
      </c>
      <c r="R56" s="1141">
        <v>406.86345791181901</v>
      </c>
      <c r="S56" s="1141">
        <v>9.4727845100000003</v>
      </c>
      <c r="T56" s="1141">
        <v>0</v>
      </c>
      <c r="U56" s="1141">
        <v>1.2504472800000002</v>
      </c>
      <c r="V56" s="1141">
        <v>0</v>
      </c>
      <c r="W56" s="1141">
        <v>638.28868863000002</v>
      </c>
      <c r="X56" s="1141">
        <v>52.067696839999996</v>
      </c>
      <c r="Y56" s="1141">
        <v>11.999786449999998</v>
      </c>
      <c r="Z56" s="1141">
        <v>0</v>
      </c>
      <c r="AA56" s="1141">
        <v>7.2979885100000006</v>
      </c>
      <c r="AB56" s="1141">
        <v>0</v>
      </c>
      <c r="AC56" s="1141">
        <v>46.230109280000001</v>
      </c>
      <c r="AD56" s="1141">
        <v>1.0961894099999998</v>
      </c>
      <c r="AE56" s="1141">
        <v>36.543546300000003</v>
      </c>
      <c r="AF56" s="1141">
        <v>0</v>
      </c>
      <c r="AG56" s="1141">
        <v>515.80844041</v>
      </c>
    </row>
    <row r="57" spans="1:33" ht="15" customHeight="1">
      <c r="A57" s="1138" t="s">
        <v>22</v>
      </c>
      <c r="B57" s="1139">
        <v>21285.5233731218</v>
      </c>
      <c r="C57" s="1139">
        <v>490.09126863</v>
      </c>
      <c r="D57" s="1140">
        <f t="shared" si="2"/>
        <v>2.302462852517221</v>
      </c>
      <c r="E57" s="1141">
        <v>3346.6835495</v>
      </c>
      <c r="F57" s="1141">
        <v>12.811469809999998</v>
      </c>
      <c r="G57" s="1141">
        <v>660.44909041000005</v>
      </c>
      <c r="H57" s="1141">
        <v>36.5946675</v>
      </c>
      <c r="I57" s="1141">
        <v>494.4355683</v>
      </c>
      <c r="J57" s="1141">
        <v>44.699419590000005</v>
      </c>
      <c r="K57" s="1141">
        <v>1112.5208504300001</v>
      </c>
      <c r="L57" s="1141">
        <v>0.88181993999999997</v>
      </c>
      <c r="M57" s="1141">
        <v>1021.98210517</v>
      </c>
      <c r="N57" s="1141">
        <v>14.49952876</v>
      </c>
      <c r="O57" s="1141">
        <v>856.07240155</v>
      </c>
      <c r="P57" s="1141">
        <v>4.0020910000000001</v>
      </c>
      <c r="Q57" s="1141">
        <v>11955.9738413</v>
      </c>
      <c r="R57" s="1141">
        <v>406.86345791181901</v>
      </c>
      <c r="S57" s="1141">
        <v>8.9164827500000001</v>
      </c>
      <c r="T57" s="1141">
        <v>0</v>
      </c>
      <c r="U57" s="1141">
        <v>1.2434237299999999</v>
      </c>
      <c r="V57" s="1141">
        <v>0</v>
      </c>
      <c r="W57" s="1141">
        <v>647.63778065999998</v>
      </c>
      <c r="X57" s="1141">
        <v>52.067696839999996</v>
      </c>
      <c r="Y57" s="1141">
        <v>12.02080232</v>
      </c>
      <c r="Z57" s="1141">
        <v>0</v>
      </c>
      <c r="AA57" s="1141">
        <v>8.3346918399999996</v>
      </c>
      <c r="AB57" s="1141">
        <v>0</v>
      </c>
      <c r="AC57" s="1141">
        <v>59.087088280000003</v>
      </c>
      <c r="AD57" s="1141">
        <v>1.0961894099999998</v>
      </c>
      <c r="AE57" s="1141">
        <v>36.558087489999998</v>
      </c>
      <c r="AF57" s="1141">
        <v>0</v>
      </c>
      <c r="AG57" s="1141">
        <v>596.28195231999996</v>
      </c>
    </row>
    <row r="58" spans="1:33" ht="15" customHeight="1">
      <c r="A58" s="1138" t="s">
        <v>23</v>
      </c>
      <c r="B58" s="1139">
        <v>21966.172727879999</v>
      </c>
      <c r="C58" s="1139">
        <v>502.27205501999998</v>
      </c>
      <c r="D58" s="1140">
        <f t="shared" si="2"/>
        <v>2.2865706340481613</v>
      </c>
      <c r="E58" s="1141">
        <v>3400.0921406000002</v>
      </c>
      <c r="F58" s="1141">
        <v>46.688475240000002</v>
      </c>
      <c r="G58" s="1141">
        <v>670.79581975999997</v>
      </c>
      <c r="H58" s="1141">
        <v>40.2956474</v>
      </c>
      <c r="I58" s="1141">
        <v>499.43349927999998</v>
      </c>
      <c r="J58" s="1141">
        <v>39.175625140000001</v>
      </c>
      <c r="K58" s="1141">
        <v>1155.19152872</v>
      </c>
      <c r="L58" s="1141">
        <v>0.58389230999999997</v>
      </c>
      <c r="M58" s="1141">
        <v>1065.86555006</v>
      </c>
      <c r="N58" s="1141">
        <v>17.412768419999999</v>
      </c>
      <c r="O58" s="1141">
        <v>1089.99946987</v>
      </c>
      <c r="P58" s="1141">
        <v>5.2790910000000002</v>
      </c>
      <c r="Q58" s="1141">
        <v>12165.63551942</v>
      </c>
      <c r="R58" s="1141">
        <v>407.66181237000001</v>
      </c>
      <c r="S58" s="1141">
        <v>8.6067415799999996</v>
      </c>
      <c r="T58" s="1141">
        <v>0</v>
      </c>
      <c r="U58" s="1141">
        <v>1.2157589</v>
      </c>
      <c r="V58" s="1141">
        <v>0</v>
      </c>
      <c r="W58" s="1141">
        <v>667.43708795999999</v>
      </c>
      <c r="X58" s="1141">
        <v>59.18935415</v>
      </c>
      <c r="Y58" s="1141">
        <v>12.08295867</v>
      </c>
      <c r="Z58" s="1141">
        <v>0</v>
      </c>
      <c r="AA58" s="1141">
        <v>7.8582671900000003</v>
      </c>
      <c r="AB58" s="1141">
        <v>0</v>
      </c>
      <c r="AC58" s="1141">
        <v>65.144179429999994</v>
      </c>
      <c r="AD58" s="1141">
        <v>0.60590140000000003</v>
      </c>
      <c r="AE58" s="1141">
        <v>37.649583989999996</v>
      </c>
      <c r="AF58" s="1141">
        <v>0</v>
      </c>
      <c r="AG58" s="1141">
        <v>691.60768736</v>
      </c>
    </row>
    <row r="59" spans="1:33" ht="15" customHeight="1">
      <c r="A59" s="1138" t="s">
        <v>24</v>
      </c>
      <c r="B59" s="1139">
        <v>22041.926831839999</v>
      </c>
      <c r="C59" s="1139">
        <v>494.71576025000002</v>
      </c>
      <c r="D59" s="1140">
        <f t="shared" si="2"/>
        <v>2.2444306435831796</v>
      </c>
      <c r="E59" s="1141">
        <v>3362.6243152799998</v>
      </c>
      <c r="F59" s="1141">
        <v>46.688475240000002</v>
      </c>
      <c r="G59" s="1141">
        <v>652.18895139000006</v>
      </c>
      <c r="H59" s="1141">
        <v>40.2956474</v>
      </c>
      <c r="I59" s="1141">
        <v>496.42099818999998</v>
      </c>
      <c r="J59" s="1141">
        <v>39.175625140000001</v>
      </c>
      <c r="K59" s="1141">
        <v>1126.9368658200001</v>
      </c>
      <c r="L59" s="1141">
        <v>0.58389230999999997</v>
      </c>
      <c r="M59" s="1141">
        <v>1070.5849528399999</v>
      </c>
      <c r="N59" s="1141">
        <v>17.412768419999999</v>
      </c>
      <c r="O59" s="1141">
        <v>1076.02517726</v>
      </c>
      <c r="P59" s="1141">
        <v>5.2790910000000002</v>
      </c>
      <c r="Q59" s="1141">
        <v>12326.41694667</v>
      </c>
      <c r="R59" s="1141">
        <v>407.66181237000001</v>
      </c>
      <c r="S59" s="1141">
        <v>8.4210755299999995</v>
      </c>
      <c r="T59" s="1141">
        <v>0</v>
      </c>
      <c r="U59" s="1141">
        <v>1.1841531000000001</v>
      </c>
      <c r="V59" s="1141">
        <v>0</v>
      </c>
      <c r="W59" s="1141">
        <v>676.12281770000004</v>
      </c>
      <c r="X59" s="1141">
        <v>59.18935415</v>
      </c>
      <c r="Y59" s="1141">
        <v>16.55457453</v>
      </c>
      <c r="Z59" s="1141">
        <v>0</v>
      </c>
      <c r="AA59" s="1141">
        <v>6.5376349600000001</v>
      </c>
      <c r="AB59" s="1141">
        <v>0</v>
      </c>
      <c r="AC59" s="1141">
        <v>70.60986527</v>
      </c>
      <c r="AD59" s="1141">
        <v>0.60590140000000003</v>
      </c>
      <c r="AE59" s="1141">
        <v>39.690175619999998</v>
      </c>
      <c r="AF59" s="1141">
        <v>0</v>
      </c>
      <c r="AG59" s="1141">
        <v>667.30512982000005</v>
      </c>
    </row>
    <row r="60" spans="1:33" ht="15" customHeight="1">
      <c r="A60" s="1138" t="s">
        <v>25</v>
      </c>
      <c r="B60" s="1139">
        <v>22484.122831910001</v>
      </c>
      <c r="C60" s="1139">
        <v>534.25918471</v>
      </c>
      <c r="D60" s="1140">
        <f t="shared" si="2"/>
        <v>2.3761620086497954</v>
      </c>
      <c r="E60" s="1141">
        <v>3406.8716277600001</v>
      </c>
      <c r="F60" s="1141">
        <v>46.688475240000002</v>
      </c>
      <c r="G60" s="1141">
        <v>662.09579918999998</v>
      </c>
      <c r="H60" s="1141">
        <v>40.2956474</v>
      </c>
      <c r="I60" s="1141">
        <v>501.59506807000002</v>
      </c>
      <c r="J60" s="1141">
        <v>39.175625140000001</v>
      </c>
      <c r="K60" s="1141">
        <v>1098.1756047900001</v>
      </c>
      <c r="L60" s="1141">
        <v>0.58389230999999997</v>
      </c>
      <c r="M60" s="1141">
        <v>1084.6226701200001</v>
      </c>
      <c r="N60" s="1141">
        <v>17.412768419999999</v>
      </c>
      <c r="O60" s="1141">
        <v>1098.5173462400001</v>
      </c>
      <c r="P60" s="1141">
        <v>5.2790910000000002</v>
      </c>
      <c r="Q60" s="1141">
        <v>12656.24994496</v>
      </c>
      <c r="R60" s="1141">
        <v>407.66181237000001</v>
      </c>
      <c r="S60" s="1141">
        <v>8.1414122199999994</v>
      </c>
      <c r="T60" s="1141">
        <v>0</v>
      </c>
      <c r="U60" s="1141">
        <v>1.1841531000000001</v>
      </c>
      <c r="V60" s="1141">
        <v>0</v>
      </c>
      <c r="W60" s="1141">
        <v>678.94654989000003</v>
      </c>
      <c r="X60" s="1141">
        <v>59.18935415</v>
      </c>
      <c r="Y60" s="1141">
        <v>14.859283550000001</v>
      </c>
      <c r="Z60" s="1141">
        <v>0</v>
      </c>
      <c r="AA60" s="1141">
        <v>6.6377927999999997</v>
      </c>
      <c r="AB60" s="1141">
        <v>0</v>
      </c>
      <c r="AC60" s="1141">
        <v>76.170175650000004</v>
      </c>
      <c r="AD60" s="1141">
        <v>0.60590140000000003</v>
      </c>
      <c r="AE60" s="1141">
        <v>38.903651429999996</v>
      </c>
      <c r="AF60" s="1141">
        <v>0</v>
      </c>
      <c r="AG60" s="1141">
        <v>857.50713882000002</v>
      </c>
    </row>
    <row r="61" spans="1:33" ht="15" customHeight="1">
      <c r="A61" s="1138" t="s">
        <v>26</v>
      </c>
      <c r="B61" s="1139">
        <v>23018.645831869999</v>
      </c>
      <c r="C61" s="1139">
        <v>519.77127536</v>
      </c>
      <c r="D61" s="1140">
        <f t="shared" si="2"/>
        <v>2.2580445398762827</v>
      </c>
      <c r="E61" s="1141">
        <v>3486.7570254299999</v>
      </c>
      <c r="F61" s="1141">
        <v>55.898312230000002</v>
      </c>
      <c r="G61" s="1141">
        <v>696.49849146999998</v>
      </c>
      <c r="H61" s="1141">
        <v>40.132835200000002</v>
      </c>
      <c r="I61" s="1141">
        <v>522.40519725000001</v>
      </c>
      <c r="J61" s="1141">
        <v>42.560370880000001</v>
      </c>
      <c r="K61" s="1141">
        <v>1118.6349164799999</v>
      </c>
      <c r="L61" s="1141">
        <v>0.30978370999999999</v>
      </c>
      <c r="M61" s="1141">
        <v>1089.5345540999999</v>
      </c>
      <c r="N61" s="1141">
        <v>22.04253855</v>
      </c>
      <c r="O61" s="1141">
        <v>1105.06507093</v>
      </c>
      <c r="P61" s="1141">
        <v>5.3582297900000002</v>
      </c>
      <c r="Q61" s="1141">
        <v>12945.850470400001</v>
      </c>
      <c r="R61" s="1141">
        <v>449.89472573</v>
      </c>
      <c r="S61" s="1141">
        <v>44.925825340000003</v>
      </c>
      <c r="T61" s="1141">
        <v>0</v>
      </c>
      <c r="U61" s="1141">
        <v>1.1291530999999999</v>
      </c>
      <c r="V61" s="1141">
        <v>0</v>
      </c>
      <c r="W61" s="1141">
        <v>685.93276452999999</v>
      </c>
      <c r="X61" s="1141">
        <v>66.84533777</v>
      </c>
      <c r="Y61" s="1141">
        <v>15.7435723</v>
      </c>
      <c r="Z61" s="1141">
        <v>0</v>
      </c>
      <c r="AA61" s="1141">
        <v>6.3298390400000004</v>
      </c>
      <c r="AB61" s="1141">
        <v>0</v>
      </c>
      <c r="AC61" s="1141">
        <v>54.966298879999997</v>
      </c>
      <c r="AD61" s="1141">
        <v>0.90875138</v>
      </c>
      <c r="AE61" s="1141">
        <v>41.150492020000002</v>
      </c>
      <c r="AF61" s="1141">
        <v>0</v>
      </c>
      <c r="AG61" s="1141">
        <v>782.22745200999998</v>
      </c>
    </row>
    <row r="62" spans="1:33" ht="15" customHeight="1">
      <c r="A62" s="1138" t="s">
        <v>27</v>
      </c>
      <c r="B62" s="1139">
        <v>23196.472673640001</v>
      </c>
      <c r="C62" s="1139">
        <v>440.37917463999997</v>
      </c>
      <c r="D62" s="1140">
        <f t="shared" si="2"/>
        <v>1.8984747415517096</v>
      </c>
      <c r="E62" s="1141">
        <v>3433.6060745200002</v>
      </c>
      <c r="F62" s="1141">
        <v>55.898312230000002</v>
      </c>
      <c r="G62" s="1141">
        <v>706.86530153000001</v>
      </c>
      <c r="H62" s="1141">
        <v>40.132835200000002</v>
      </c>
      <c r="I62" s="1141">
        <v>491.88119259000001</v>
      </c>
      <c r="J62" s="1141">
        <v>42.560370880000001</v>
      </c>
      <c r="K62" s="1141">
        <v>1104.4258694099999</v>
      </c>
      <c r="L62" s="1141">
        <v>0.30978370999999999</v>
      </c>
      <c r="M62" s="1141">
        <v>1130.77302792</v>
      </c>
      <c r="N62" s="1141">
        <v>22.04253855</v>
      </c>
      <c r="O62" s="1141">
        <v>1321.41701459</v>
      </c>
      <c r="P62" s="1141">
        <v>5.3582297900000002</v>
      </c>
      <c r="Q62" s="1141">
        <v>13019.06049285</v>
      </c>
      <c r="R62" s="1141">
        <v>449.89472573</v>
      </c>
      <c r="S62" s="1141">
        <v>51.138200580000003</v>
      </c>
      <c r="T62" s="1141">
        <v>0</v>
      </c>
      <c r="U62" s="1141">
        <v>1.0791531000000001</v>
      </c>
      <c r="V62" s="1141">
        <v>0</v>
      </c>
      <c r="W62" s="1141">
        <v>694.01569899000003</v>
      </c>
      <c r="X62" s="1141">
        <v>66.84533777</v>
      </c>
      <c r="Y62" s="1141">
        <v>22.106891319999999</v>
      </c>
      <c r="Z62" s="1141">
        <v>0</v>
      </c>
      <c r="AA62" s="1141">
        <v>5.9397454300000003</v>
      </c>
      <c r="AB62" s="1141">
        <v>0</v>
      </c>
      <c r="AC62" s="1141">
        <v>50.43810526</v>
      </c>
      <c r="AD62" s="1141">
        <v>0.90875138</v>
      </c>
      <c r="AE62" s="1141">
        <v>39.39584567</v>
      </c>
      <c r="AF62" s="1141">
        <v>0</v>
      </c>
      <c r="AG62" s="1141">
        <v>706.56016652000005</v>
      </c>
    </row>
    <row r="63" spans="1:33" ht="15" customHeight="1">
      <c r="A63" s="1138" t="s">
        <v>28</v>
      </c>
      <c r="B63" s="1139">
        <v>23617.991556720001</v>
      </c>
      <c r="C63" s="1139">
        <v>440.25735591</v>
      </c>
      <c r="D63" s="1140">
        <f t="shared" si="2"/>
        <v>1.8640761846861365</v>
      </c>
      <c r="E63" s="1141">
        <v>3505.5060087699999</v>
      </c>
      <c r="F63" s="1141">
        <v>55.898312230000002</v>
      </c>
      <c r="G63" s="1141">
        <v>703.08005479999997</v>
      </c>
      <c r="H63" s="1141">
        <v>40.132835200000002</v>
      </c>
      <c r="I63" s="1141">
        <v>495.80013974000002</v>
      </c>
      <c r="J63" s="1141">
        <v>42.560370880000001</v>
      </c>
      <c r="K63" s="1141">
        <v>1135.6773366899999</v>
      </c>
      <c r="L63" s="1141">
        <v>0.30978370999999999</v>
      </c>
      <c r="M63" s="1141">
        <v>1143.0243782</v>
      </c>
      <c r="N63" s="1141">
        <v>22.04253855</v>
      </c>
      <c r="O63" s="1141">
        <v>1314.2108879</v>
      </c>
      <c r="P63" s="1141">
        <v>5.3582297900000002</v>
      </c>
      <c r="Q63" s="1141">
        <v>13338.71316668</v>
      </c>
      <c r="R63" s="1141">
        <v>449.89472573</v>
      </c>
      <c r="S63" s="1141">
        <v>28.248409150000001</v>
      </c>
      <c r="T63" s="1141">
        <v>0</v>
      </c>
      <c r="U63" s="1141">
        <v>1.03914869</v>
      </c>
      <c r="V63" s="1141">
        <v>0</v>
      </c>
      <c r="W63" s="1141">
        <v>709.20562292</v>
      </c>
      <c r="X63" s="1141">
        <v>66.84533777</v>
      </c>
      <c r="Y63" s="1141">
        <v>22.93932465</v>
      </c>
      <c r="Z63" s="1141">
        <v>0</v>
      </c>
      <c r="AA63" s="1141">
        <v>5.70619839</v>
      </c>
      <c r="AB63" s="1141">
        <v>0</v>
      </c>
      <c r="AC63" s="1141">
        <v>49.985543479999997</v>
      </c>
      <c r="AD63" s="1141">
        <v>0.90875138</v>
      </c>
      <c r="AE63" s="1141">
        <v>40.64709551</v>
      </c>
      <c r="AF63" s="1141">
        <v>0</v>
      </c>
      <c r="AG63" s="1141">
        <v>610.59667779999995</v>
      </c>
    </row>
    <row r="64" spans="1:33" ht="15" customHeight="1">
      <c r="A64" s="1138" t="s">
        <v>29</v>
      </c>
      <c r="B64" s="1139">
        <v>23979.124360810001</v>
      </c>
      <c r="C64" s="1139">
        <v>437.84492763999998</v>
      </c>
      <c r="D64" s="1140">
        <f t="shared" si="2"/>
        <v>1.8259421030218543</v>
      </c>
      <c r="E64" s="1141">
        <v>3476.8485448800002</v>
      </c>
      <c r="F64" s="1141">
        <v>62.497646369999998</v>
      </c>
      <c r="G64" s="1141">
        <v>710.15070306999996</v>
      </c>
      <c r="H64" s="1141">
        <v>42.6828352</v>
      </c>
      <c r="I64" s="1141">
        <v>487.10996204000003</v>
      </c>
      <c r="J64" s="1141">
        <v>45.723689659999998</v>
      </c>
      <c r="K64" s="1141">
        <v>1133.54864195</v>
      </c>
      <c r="L64" s="1141">
        <v>0.20388484000000001</v>
      </c>
      <c r="M64" s="1141">
        <v>1188.0659588000001</v>
      </c>
      <c r="N64" s="1141">
        <v>22.82449128</v>
      </c>
      <c r="O64" s="1141">
        <v>1421.0077585399999</v>
      </c>
      <c r="P64" s="1141">
        <v>5.2806465600000001</v>
      </c>
      <c r="Q64" s="1141">
        <v>13515.026135939999</v>
      </c>
      <c r="R64" s="1141">
        <v>491.29358698999999</v>
      </c>
      <c r="S64" s="1141">
        <v>10.48486535</v>
      </c>
      <c r="T64" s="1141">
        <v>0</v>
      </c>
      <c r="U64" s="1141">
        <v>0.99874423000000001</v>
      </c>
      <c r="V64" s="1141">
        <v>0</v>
      </c>
      <c r="W64" s="1141">
        <v>729.45340526999996</v>
      </c>
      <c r="X64" s="1141">
        <v>71.354744710000006</v>
      </c>
      <c r="Y64" s="1141">
        <v>22.32135551</v>
      </c>
      <c r="Z64" s="1141">
        <v>0</v>
      </c>
      <c r="AA64" s="1141">
        <v>5.89101915</v>
      </c>
      <c r="AB64" s="1141">
        <v>0</v>
      </c>
      <c r="AC64" s="1141">
        <v>50.707049419999997</v>
      </c>
      <c r="AD64" s="1141">
        <v>0.50148901999999995</v>
      </c>
      <c r="AE64" s="1141">
        <v>47.302274390000001</v>
      </c>
      <c r="AF64" s="1141">
        <v>0</v>
      </c>
      <c r="AG64" s="1141">
        <v>568.78507174000003</v>
      </c>
    </row>
    <row r="65" spans="1:84" ht="15" customHeight="1">
      <c r="A65" s="1138" t="s">
        <v>4086</v>
      </c>
      <c r="B65" s="1139"/>
      <c r="C65" s="1139"/>
      <c r="D65" s="1140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41"/>
      <c r="Q65" s="1141"/>
      <c r="R65" s="1141"/>
      <c r="S65" s="1141"/>
      <c r="T65" s="1141"/>
      <c r="U65" s="1141"/>
      <c r="V65" s="1141"/>
      <c r="W65" s="1141"/>
      <c r="X65" s="1141"/>
      <c r="Y65" s="1141"/>
      <c r="Z65" s="1141"/>
      <c r="AA65" s="1141"/>
      <c r="AB65" s="1141"/>
      <c r="AC65" s="1141"/>
      <c r="AD65" s="1141"/>
      <c r="AE65" s="1141"/>
      <c r="AF65" s="1141"/>
      <c r="AG65" s="1141"/>
    </row>
    <row r="66" spans="1:84" ht="15" customHeight="1">
      <c r="A66" s="1138" t="s">
        <v>18</v>
      </c>
      <c r="B66" s="1139">
        <v>24362.526631280001</v>
      </c>
      <c r="C66" s="1139">
        <v>454.06281114000001</v>
      </c>
      <c r="D66" s="1140">
        <v>1.8637755353215748</v>
      </c>
      <c r="E66" s="1141">
        <v>3444.1798715599998</v>
      </c>
      <c r="F66" s="1141">
        <v>62.497646369999998</v>
      </c>
      <c r="G66" s="1141">
        <v>856.90960831999996</v>
      </c>
      <c r="H66" s="1141">
        <v>42.6828352</v>
      </c>
      <c r="I66" s="1141">
        <v>474.97619331999999</v>
      </c>
      <c r="J66" s="1141">
        <v>45.723689659999998</v>
      </c>
      <c r="K66" s="1141">
        <v>1144.13815654</v>
      </c>
      <c r="L66" s="1141">
        <v>0.20388484000000001</v>
      </c>
      <c r="M66" s="1141">
        <v>1386.1662965099999</v>
      </c>
      <c r="N66" s="1141">
        <v>22.82449128</v>
      </c>
      <c r="O66" s="1141">
        <v>1390.6909822099999</v>
      </c>
      <c r="P66" s="1141">
        <v>5.2806465600000001</v>
      </c>
      <c r="Q66" s="1141">
        <v>13604.574583670001</v>
      </c>
      <c r="R66" s="1141">
        <v>491.29358698999999</v>
      </c>
      <c r="S66" s="1141">
        <v>9.7549017199999994</v>
      </c>
      <c r="T66" s="1141">
        <v>0</v>
      </c>
      <c r="U66" s="1141">
        <v>0.95793572999999999</v>
      </c>
      <c r="V66" s="1141">
        <v>0</v>
      </c>
      <c r="W66" s="1141">
        <v>738.74879229999999</v>
      </c>
      <c r="X66" s="1141">
        <v>71.354744710000006</v>
      </c>
      <c r="Y66" s="1141">
        <v>29.311227720000002</v>
      </c>
      <c r="Z66" s="1141">
        <v>0</v>
      </c>
      <c r="AA66" s="1141">
        <v>3.24873491</v>
      </c>
      <c r="AB66" s="1141">
        <v>0</v>
      </c>
      <c r="AC66" s="1141">
        <v>46.113859920000003</v>
      </c>
      <c r="AD66" s="1141">
        <v>0.50148901999999995</v>
      </c>
      <c r="AE66" s="1141">
        <v>36.329661080000001</v>
      </c>
      <c r="AF66" s="1141">
        <v>0</v>
      </c>
      <c r="AG66" s="1141">
        <v>962.53158026999995</v>
      </c>
    </row>
    <row r="67" spans="1:84">
      <c r="A67" s="1145" t="s">
        <v>19</v>
      </c>
      <c r="B67" s="1146">
        <v>24629.126192600001</v>
      </c>
      <c r="C67" s="1146">
        <v>469.15723987000001</v>
      </c>
      <c r="D67" s="1147">
        <f t="shared" si="2"/>
        <v>1.9048878803136819</v>
      </c>
      <c r="E67" s="1148">
        <v>3495.0056662299999</v>
      </c>
      <c r="F67" s="1148">
        <v>62.497646369999998</v>
      </c>
      <c r="G67" s="1148">
        <v>827.1287509</v>
      </c>
      <c r="H67" s="1148">
        <v>42.6828352</v>
      </c>
      <c r="I67" s="1148">
        <v>467.44032426000001</v>
      </c>
      <c r="J67" s="1148">
        <v>45.723689659999998</v>
      </c>
      <c r="K67" s="1148">
        <v>1118.11847324</v>
      </c>
      <c r="L67" s="1148">
        <v>0.20388484000000001</v>
      </c>
      <c r="M67" s="1148">
        <v>1390.6726234499999</v>
      </c>
      <c r="N67" s="1148">
        <v>22.82449128</v>
      </c>
      <c r="O67" s="1148">
        <v>1462.80029496</v>
      </c>
      <c r="P67" s="1148">
        <v>5.2806465600000001</v>
      </c>
      <c r="Q67" s="1148">
        <v>13779.339342359999</v>
      </c>
      <c r="R67" s="1148">
        <v>491.29358698999999</v>
      </c>
      <c r="S67" s="1148">
        <v>9.5166273799999992</v>
      </c>
      <c r="T67" s="1148">
        <v>0</v>
      </c>
      <c r="U67" s="1148">
        <v>0.91671913999999999</v>
      </c>
      <c r="V67" s="1148">
        <v>0</v>
      </c>
      <c r="W67" s="1148">
        <v>750.99694168999997</v>
      </c>
      <c r="X67" s="1148">
        <v>71.354744710000006</v>
      </c>
      <c r="Y67" s="1148">
        <v>25.282118260000001</v>
      </c>
      <c r="Z67" s="1148">
        <v>0</v>
      </c>
      <c r="AA67" s="1148">
        <v>3.0570781299999998</v>
      </c>
      <c r="AB67" s="1148">
        <v>0</v>
      </c>
      <c r="AC67" s="1148">
        <v>47.203366299999999</v>
      </c>
      <c r="AD67" s="1148">
        <v>0.50148901999999995</v>
      </c>
      <c r="AE67" s="1148">
        <v>40.127611799999997</v>
      </c>
      <c r="AF67" s="1148">
        <v>0</v>
      </c>
      <c r="AG67" s="1148">
        <v>704.37689886999999</v>
      </c>
    </row>
    <row r="68" spans="1:84" s="1149" customFormat="1" ht="18" customHeight="1">
      <c r="A68" s="2352" t="s">
        <v>2468</v>
      </c>
      <c r="B68" s="2352"/>
      <c r="C68" s="2352"/>
      <c r="D68" s="2352"/>
      <c r="E68" s="2352"/>
      <c r="F68" s="2352"/>
      <c r="G68" s="2352"/>
      <c r="H68" s="2352"/>
      <c r="I68" s="2352"/>
      <c r="J68" s="2352"/>
      <c r="K68" s="2352"/>
      <c r="L68" s="2352"/>
      <c r="M68" s="2352"/>
      <c r="N68" s="2352"/>
      <c r="O68" s="2352"/>
      <c r="P68" s="2352"/>
      <c r="Q68" s="2352"/>
      <c r="R68" s="2352"/>
      <c r="S68" s="2352"/>
      <c r="T68" s="2352"/>
      <c r="U68" s="2352"/>
      <c r="V68" s="2352"/>
      <c r="W68" s="2352"/>
      <c r="X68" s="2352"/>
      <c r="Y68" s="2352"/>
      <c r="Z68" s="2352"/>
      <c r="AA68" s="2352"/>
      <c r="AB68" s="2352"/>
      <c r="AC68" s="2352"/>
      <c r="AD68" s="2352"/>
      <c r="AE68" s="2352"/>
      <c r="AF68" s="2352"/>
      <c r="AG68" s="2352"/>
    </row>
    <row r="69" spans="1:84" s="1149" customFormat="1" ht="18" customHeight="1">
      <c r="A69" s="2352" t="s">
        <v>3062</v>
      </c>
      <c r="B69" s="2352"/>
      <c r="C69" s="2352"/>
      <c r="D69" s="2352"/>
      <c r="E69" s="2352"/>
      <c r="F69" s="2352"/>
      <c r="G69" s="2352"/>
      <c r="H69" s="2352"/>
      <c r="I69" s="2352"/>
      <c r="J69" s="2352"/>
      <c r="K69" s="2352"/>
      <c r="L69" s="2352"/>
      <c r="M69" s="2352"/>
      <c r="N69" s="2352"/>
      <c r="O69" s="2352"/>
      <c r="P69" s="2352"/>
      <c r="Q69" s="2352"/>
      <c r="R69" s="2352"/>
      <c r="S69" s="2352"/>
      <c r="T69" s="2352"/>
      <c r="U69" s="2352"/>
      <c r="V69" s="2352"/>
      <c r="W69" s="2352"/>
      <c r="X69" s="2352"/>
      <c r="Y69" s="2352"/>
      <c r="Z69" s="2352"/>
      <c r="AA69" s="2352"/>
      <c r="AB69" s="2352"/>
      <c r="AC69" s="2352"/>
      <c r="AD69" s="2352"/>
      <c r="AE69" s="2352"/>
      <c r="AF69" s="2352"/>
      <c r="AG69" s="2352"/>
    </row>
    <row r="70" spans="1:84" s="1149" customFormat="1" ht="18" customHeight="1">
      <c r="A70" s="2353" t="s">
        <v>3063</v>
      </c>
      <c r="B70" s="2353"/>
      <c r="C70" s="2353"/>
      <c r="D70" s="2353"/>
      <c r="E70" s="2353"/>
      <c r="F70" s="2353"/>
      <c r="G70" s="2353"/>
      <c r="H70" s="2353"/>
      <c r="I70" s="2353"/>
      <c r="J70" s="2353"/>
      <c r="K70" s="2353"/>
      <c r="L70" s="2353"/>
      <c r="M70" s="2353"/>
      <c r="N70" s="2353"/>
      <c r="O70" s="2353"/>
      <c r="P70" s="2353"/>
      <c r="Q70" s="2353"/>
      <c r="R70" s="2353"/>
      <c r="S70" s="2353"/>
      <c r="T70" s="2353"/>
      <c r="U70" s="2353"/>
      <c r="V70" s="2353"/>
      <c r="W70" s="2353"/>
      <c r="X70" s="2353"/>
      <c r="Y70" s="2353"/>
      <c r="Z70" s="2353"/>
      <c r="AA70" s="2353"/>
      <c r="AB70" s="2353"/>
      <c r="AC70" s="2353"/>
      <c r="AD70" s="2353"/>
      <c r="AE70" s="2353"/>
      <c r="AF70" s="2353"/>
      <c r="AG70" s="2353"/>
    </row>
    <row r="71" spans="1:84">
      <c r="E71" s="1150"/>
      <c r="F71" s="1150"/>
      <c r="G71" s="1150"/>
      <c r="N71" s="1151"/>
      <c r="O71" s="1150"/>
      <c r="Q71" s="1125"/>
      <c r="W71" s="1125"/>
      <c r="X71" s="1125"/>
      <c r="AB71" s="60"/>
      <c r="AC71" s="1124"/>
    </row>
    <row r="72" spans="1:84" ht="17.25" customHeight="1">
      <c r="E72" s="1125"/>
      <c r="F72" s="1125"/>
      <c r="G72" s="1125"/>
      <c r="I72" s="1125"/>
      <c r="K72" s="1125"/>
      <c r="M72" s="1125"/>
      <c r="N72" s="1151"/>
      <c r="O72" s="1125"/>
      <c r="Q72" s="1125"/>
      <c r="S72" s="1125"/>
      <c r="T72" s="1152"/>
      <c r="W72" s="1125"/>
      <c r="X72" s="1125"/>
      <c r="Y72" s="1125"/>
      <c r="AA72" s="1125"/>
      <c r="AC72" s="1125"/>
      <c r="AE72" s="1125"/>
    </row>
    <row r="73" spans="1:84">
      <c r="D73" s="1532"/>
      <c r="E73" s="1159"/>
      <c r="G73" s="1159"/>
      <c r="H73" s="1153"/>
      <c r="I73" s="1159"/>
      <c r="K73" s="1159"/>
      <c r="M73" s="1159"/>
      <c r="N73" s="1151"/>
      <c r="O73" s="1159"/>
      <c r="Q73" s="1159"/>
      <c r="S73" s="1159"/>
      <c r="T73" s="1152"/>
      <c r="U73" s="1154"/>
      <c r="W73" s="1154"/>
      <c r="X73" s="1125"/>
      <c r="Y73" s="1154"/>
      <c r="AA73" s="1154"/>
      <c r="AC73" s="1154"/>
      <c r="AE73" s="1154"/>
      <c r="AG73" s="1154"/>
    </row>
    <row r="74" spans="1:84" s="61" customFormat="1">
      <c r="A74" s="1123"/>
      <c r="B74" s="1123"/>
      <c r="C74" s="1123"/>
      <c r="D74" s="1532"/>
      <c r="E74" s="1154"/>
      <c r="F74" s="1155"/>
      <c r="G74" s="1124"/>
      <c r="H74" s="1156"/>
      <c r="I74" s="1124"/>
      <c r="J74" s="1157"/>
      <c r="K74" s="1124"/>
      <c r="L74" s="1157"/>
      <c r="M74" s="1124"/>
      <c r="N74" s="1157"/>
      <c r="O74" s="1150"/>
      <c r="P74" s="1157"/>
      <c r="Q74" s="1124"/>
      <c r="R74" s="1157"/>
      <c r="S74" s="1124"/>
      <c r="T74" s="1157"/>
      <c r="U74" s="1125"/>
      <c r="V74" s="1124"/>
      <c r="W74" s="1158"/>
      <c r="X74" s="1158"/>
      <c r="Z74" s="1157"/>
      <c r="AB74" s="1157"/>
      <c r="AD74" s="1157"/>
      <c r="AF74" s="1157"/>
      <c r="AG74" s="1124"/>
      <c r="AH74" s="1124"/>
      <c r="AI74" s="1124"/>
      <c r="AJ74" s="1124"/>
      <c r="AK74" s="1124"/>
      <c r="AL74" s="1124"/>
      <c r="AM74" s="1124"/>
      <c r="AN74" s="1124"/>
      <c r="AO74" s="1124"/>
      <c r="AP74" s="1124"/>
      <c r="AQ74" s="1124"/>
      <c r="AR74" s="1124"/>
      <c r="AS74" s="1124"/>
      <c r="AT74" s="1124"/>
      <c r="AU74" s="1124"/>
      <c r="AV74" s="1124"/>
      <c r="AW74" s="1124"/>
      <c r="AX74" s="1124"/>
      <c r="AY74" s="1124"/>
      <c r="AZ74" s="1124"/>
      <c r="BA74" s="1124"/>
      <c r="BB74" s="1124"/>
      <c r="BC74" s="1124"/>
      <c r="BD74" s="1124"/>
      <c r="BE74" s="1124"/>
      <c r="BF74" s="1124"/>
      <c r="BG74" s="1124"/>
      <c r="BH74" s="1124"/>
      <c r="BI74" s="1124"/>
      <c r="BJ74" s="1124"/>
      <c r="BK74" s="1124"/>
      <c r="BL74" s="1124"/>
      <c r="BM74" s="1124"/>
      <c r="BN74" s="1124"/>
      <c r="BO74" s="1124"/>
      <c r="BP74" s="1124"/>
      <c r="BQ74" s="1124"/>
      <c r="BR74" s="1124"/>
      <c r="BS74" s="1124"/>
      <c r="BT74" s="1124"/>
      <c r="BU74" s="1124"/>
      <c r="BV74" s="1124"/>
      <c r="BW74" s="1124"/>
      <c r="BX74" s="1124"/>
      <c r="BY74" s="1124"/>
      <c r="BZ74" s="1124"/>
      <c r="CA74" s="1124"/>
      <c r="CB74" s="1124"/>
      <c r="CC74" s="1124"/>
      <c r="CD74" s="1124"/>
      <c r="CE74" s="1124"/>
      <c r="CF74" s="1124"/>
    </row>
    <row r="75" spans="1:84" s="61" customFormat="1">
      <c r="A75" s="1123"/>
      <c r="B75" s="1123"/>
      <c r="C75" s="1123"/>
      <c r="D75" s="1123"/>
      <c r="E75" s="1124"/>
      <c r="F75" s="1124"/>
      <c r="G75" s="1124"/>
      <c r="H75" s="1124"/>
      <c r="I75" s="1124"/>
      <c r="J75" s="1124"/>
      <c r="K75" s="1124"/>
      <c r="L75" s="1124"/>
      <c r="M75" s="1124"/>
      <c r="N75" s="1151"/>
      <c r="O75" s="1150"/>
      <c r="P75" s="1124"/>
      <c r="Q75" s="1124"/>
      <c r="R75" s="1124"/>
      <c r="S75" s="1124"/>
      <c r="T75" s="1124"/>
      <c r="U75" s="1125"/>
      <c r="V75" s="1124"/>
      <c r="W75" s="1124"/>
      <c r="X75" s="1125"/>
      <c r="AG75" s="1124"/>
      <c r="AH75" s="1124"/>
      <c r="AI75" s="1124"/>
      <c r="AJ75" s="1124"/>
      <c r="AK75" s="1124"/>
      <c r="AL75" s="1124"/>
      <c r="AM75" s="1124"/>
      <c r="AN75" s="1124"/>
      <c r="AO75" s="1124"/>
      <c r="AP75" s="1124"/>
      <c r="AQ75" s="1124"/>
      <c r="AR75" s="1124"/>
      <c r="AS75" s="1124"/>
      <c r="AT75" s="1124"/>
      <c r="AU75" s="1124"/>
      <c r="AV75" s="1124"/>
      <c r="AW75" s="1124"/>
      <c r="AX75" s="1124"/>
      <c r="AY75" s="1124"/>
      <c r="AZ75" s="1124"/>
      <c r="BA75" s="1124"/>
      <c r="BB75" s="1124"/>
      <c r="BC75" s="1124"/>
      <c r="BD75" s="1124"/>
      <c r="BE75" s="1124"/>
      <c r="BF75" s="1124"/>
      <c r="BG75" s="1124"/>
      <c r="BH75" s="1124"/>
      <c r="BI75" s="1124"/>
      <c r="BJ75" s="1124"/>
      <c r="BK75" s="1124"/>
      <c r="BL75" s="1124"/>
      <c r="BM75" s="1124"/>
      <c r="BN75" s="1124"/>
      <c r="BO75" s="1124"/>
      <c r="BP75" s="1124"/>
      <c r="BQ75" s="1124"/>
      <c r="BR75" s="1124"/>
      <c r="BS75" s="1124"/>
      <c r="BT75" s="1124"/>
      <c r="BU75" s="1124"/>
      <c r="BV75" s="1124"/>
      <c r="BW75" s="1124"/>
      <c r="BX75" s="1124"/>
      <c r="BY75" s="1124"/>
      <c r="BZ75" s="1124"/>
      <c r="CA75" s="1124"/>
      <c r="CB75" s="1124"/>
      <c r="CC75" s="1124"/>
      <c r="CD75" s="1124"/>
      <c r="CE75" s="1124"/>
      <c r="CF75" s="1124"/>
    </row>
    <row r="76" spans="1:84" s="61" customFormat="1">
      <c r="A76" s="1123"/>
      <c r="B76" s="1123"/>
      <c r="C76" s="1123"/>
      <c r="D76" s="1123"/>
      <c r="E76" s="1124"/>
      <c r="F76" s="1124"/>
      <c r="G76" s="1124"/>
      <c r="H76" s="1124"/>
      <c r="I76" s="1124"/>
      <c r="J76" s="1124"/>
      <c r="K76" s="1124"/>
      <c r="L76" s="1124"/>
      <c r="M76" s="1124"/>
      <c r="N76" s="1151"/>
      <c r="O76" s="1150"/>
      <c r="P76" s="1124"/>
      <c r="Q76" s="1124"/>
      <c r="R76" s="1124"/>
      <c r="S76" s="1124"/>
      <c r="T76" s="1152"/>
      <c r="U76" s="1125"/>
      <c r="V76" s="1124"/>
      <c r="W76" s="1124"/>
      <c r="X76" s="1125"/>
      <c r="AG76" s="1124"/>
      <c r="AH76" s="1124"/>
      <c r="AI76" s="1124"/>
      <c r="AJ76" s="1124"/>
      <c r="AK76" s="1124"/>
      <c r="AL76" s="1124"/>
      <c r="AM76" s="1124"/>
      <c r="AN76" s="1124"/>
      <c r="AO76" s="1124"/>
      <c r="AP76" s="1124"/>
      <c r="AQ76" s="1124"/>
      <c r="AR76" s="1124"/>
      <c r="AS76" s="1124"/>
      <c r="AT76" s="1124"/>
      <c r="AU76" s="1124"/>
      <c r="AV76" s="1124"/>
      <c r="AW76" s="1124"/>
      <c r="AX76" s="1124"/>
      <c r="AY76" s="1124"/>
      <c r="AZ76" s="1124"/>
      <c r="BA76" s="1124"/>
      <c r="BB76" s="1124"/>
      <c r="BC76" s="1124"/>
      <c r="BD76" s="1124"/>
      <c r="BE76" s="1124"/>
      <c r="BF76" s="1124"/>
      <c r="BG76" s="1124"/>
      <c r="BH76" s="1124"/>
      <c r="BI76" s="1124"/>
      <c r="BJ76" s="1124"/>
      <c r="BK76" s="1124"/>
      <c r="BL76" s="1124"/>
      <c r="BM76" s="1124"/>
      <c r="BN76" s="1124"/>
      <c r="BO76" s="1124"/>
      <c r="BP76" s="1124"/>
      <c r="BQ76" s="1124"/>
      <c r="BR76" s="1124"/>
      <c r="BS76" s="1124"/>
      <c r="BT76" s="1124"/>
      <c r="BU76" s="1124"/>
      <c r="BV76" s="1124"/>
      <c r="BW76" s="1124"/>
      <c r="BX76" s="1124"/>
      <c r="BY76" s="1124"/>
      <c r="BZ76" s="1124"/>
      <c r="CA76" s="1124"/>
      <c r="CB76" s="1124"/>
      <c r="CC76" s="1124"/>
      <c r="CD76" s="1124"/>
      <c r="CE76" s="1124"/>
      <c r="CF76" s="1124"/>
    </row>
    <row r="77" spans="1:84" s="61" customFormat="1">
      <c r="A77" s="1123"/>
      <c r="B77" s="1123"/>
      <c r="C77" s="1123"/>
      <c r="D77" s="1123"/>
      <c r="E77" s="1124"/>
      <c r="F77" s="1124"/>
      <c r="G77" s="1124"/>
      <c r="H77" s="1124"/>
      <c r="I77" s="1124"/>
      <c r="J77" s="1124"/>
      <c r="K77" s="1124"/>
      <c r="L77" s="1124"/>
      <c r="M77" s="1124"/>
      <c r="N77" s="1151"/>
      <c r="O77" s="1150"/>
      <c r="P77" s="1124"/>
      <c r="Q77" s="1124"/>
      <c r="R77" s="1152"/>
      <c r="S77" s="1124"/>
      <c r="T77" s="1152"/>
      <c r="U77" s="1125"/>
      <c r="V77" s="1124"/>
      <c r="W77" s="1124"/>
      <c r="X77" s="1159"/>
      <c r="AG77" s="1124"/>
      <c r="AH77" s="1124"/>
      <c r="AI77" s="1124"/>
      <c r="AJ77" s="1124"/>
      <c r="AK77" s="1124"/>
      <c r="AL77" s="1124"/>
      <c r="AM77" s="1124"/>
      <c r="AN77" s="1124"/>
      <c r="AO77" s="1124"/>
      <c r="AP77" s="1124"/>
      <c r="AQ77" s="1124"/>
      <c r="AR77" s="1124"/>
      <c r="AS77" s="1124"/>
      <c r="AT77" s="1124"/>
      <c r="AU77" s="1124"/>
      <c r="AV77" s="1124"/>
      <c r="AW77" s="1124"/>
      <c r="AX77" s="1124"/>
      <c r="AY77" s="1124"/>
      <c r="AZ77" s="1124"/>
      <c r="BA77" s="1124"/>
      <c r="BB77" s="1124"/>
      <c r="BC77" s="1124"/>
      <c r="BD77" s="1124"/>
      <c r="BE77" s="1124"/>
      <c r="BF77" s="1124"/>
      <c r="BG77" s="1124"/>
      <c r="BH77" s="1124"/>
      <c r="BI77" s="1124"/>
      <c r="BJ77" s="1124"/>
      <c r="BK77" s="1124"/>
      <c r="BL77" s="1124"/>
      <c r="BM77" s="1124"/>
      <c r="BN77" s="1124"/>
      <c r="BO77" s="1124"/>
      <c r="BP77" s="1124"/>
      <c r="BQ77" s="1124"/>
      <c r="BR77" s="1124"/>
      <c r="BS77" s="1124"/>
      <c r="BT77" s="1124"/>
      <c r="BU77" s="1124"/>
      <c r="BV77" s="1124"/>
      <c r="BW77" s="1124"/>
      <c r="BX77" s="1124"/>
      <c r="BY77" s="1124"/>
      <c r="BZ77" s="1124"/>
      <c r="CA77" s="1124"/>
      <c r="CB77" s="1124"/>
      <c r="CC77" s="1124"/>
      <c r="CD77" s="1124"/>
      <c r="CE77" s="1124"/>
      <c r="CF77" s="1124"/>
    </row>
    <row r="78" spans="1:84" s="61" customFormat="1">
      <c r="A78" s="1123"/>
      <c r="B78" s="1123"/>
      <c r="C78" s="1123"/>
      <c r="D78" s="1123"/>
      <c r="E78" s="1124"/>
      <c r="F78" s="1124"/>
      <c r="G78" s="1124"/>
      <c r="H78" s="1124"/>
      <c r="I78" s="1124"/>
      <c r="J78" s="1124"/>
      <c r="K78" s="1124"/>
      <c r="L78" s="1124"/>
      <c r="M78" s="1124"/>
      <c r="N78" s="1124"/>
      <c r="O78" s="1124"/>
      <c r="P78" s="1124"/>
      <c r="Q78" s="1124"/>
      <c r="R78" s="1124"/>
      <c r="S78" s="1124"/>
      <c r="T78" s="1154"/>
      <c r="U78" s="1125"/>
      <c r="V78" s="1124"/>
      <c r="W78" s="1124"/>
      <c r="X78" s="1125"/>
      <c r="AG78" s="1124"/>
      <c r="AH78" s="1124"/>
      <c r="AI78" s="1124"/>
      <c r="AJ78" s="1124"/>
      <c r="AK78" s="1124"/>
      <c r="AL78" s="1124"/>
      <c r="AM78" s="1124"/>
      <c r="AN78" s="1124"/>
      <c r="AO78" s="1124"/>
      <c r="AP78" s="1124"/>
      <c r="AQ78" s="1124"/>
      <c r="AR78" s="1124"/>
      <c r="AS78" s="1124"/>
      <c r="AT78" s="1124"/>
      <c r="AU78" s="1124"/>
      <c r="AV78" s="1124"/>
      <c r="AW78" s="1124"/>
      <c r="AX78" s="1124"/>
      <c r="AY78" s="1124"/>
      <c r="AZ78" s="1124"/>
      <c r="BA78" s="1124"/>
      <c r="BB78" s="1124"/>
      <c r="BC78" s="1124"/>
      <c r="BD78" s="1124"/>
      <c r="BE78" s="1124"/>
      <c r="BF78" s="1124"/>
      <c r="BG78" s="1124"/>
      <c r="BH78" s="1124"/>
      <c r="BI78" s="1124"/>
      <c r="BJ78" s="1124"/>
      <c r="BK78" s="1124"/>
      <c r="BL78" s="1124"/>
      <c r="BM78" s="1124"/>
      <c r="BN78" s="1124"/>
      <c r="BO78" s="1124"/>
      <c r="BP78" s="1124"/>
      <c r="BQ78" s="1124"/>
      <c r="BR78" s="1124"/>
      <c r="BS78" s="1124"/>
      <c r="BT78" s="1124"/>
      <c r="BU78" s="1124"/>
      <c r="BV78" s="1124"/>
      <c r="BW78" s="1124"/>
      <c r="BX78" s="1124"/>
      <c r="BY78" s="1124"/>
      <c r="BZ78" s="1124"/>
      <c r="CA78" s="1124"/>
      <c r="CB78" s="1124"/>
      <c r="CC78" s="1124"/>
      <c r="CD78" s="1124"/>
      <c r="CE78" s="1124"/>
      <c r="CF78" s="1124"/>
    </row>
    <row r="79" spans="1:84" s="61" customFormat="1">
      <c r="A79" s="1123"/>
      <c r="B79" s="1123"/>
      <c r="C79" s="1123"/>
      <c r="D79" s="1123"/>
      <c r="E79" s="1124"/>
      <c r="F79" s="1124"/>
      <c r="G79" s="1124"/>
      <c r="H79" s="1124"/>
      <c r="I79" s="1124"/>
      <c r="J79" s="1124"/>
      <c r="K79" s="1124"/>
      <c r="L79" s="1124"/>
      <c r="M79" s="1124"/>
      <c r="N79" s="1124"/>
      <c r="O79" s="1124"/>
      <c r="P79" s="1124"/>
      <c r="Q79" s="1124"/>
      <c r="R79" s="1124"/>
      <c r="S79" s="1124"/>
      <c r="T79" s="1154"/>
      <c r="U79" s="1125"/>
      <c r="V79" s="1124"/>
      <c r="W79" s="1124"/>
      <c r="X79" s="1125"/>
      <c r="AG79" s="1124"/>
      <c r="AH79" s="1124"/>
      <c r="AI79" s="1124"/>
      <c r="AJ79" s="1124"/>
      <c r="AK79" s="1124"/>
      <c r="AL79" s="1124"/>
      <c r="AM79" s="1124"/>
      <c r="AN79" s="1124"/>
      <c r="AO79" s="1124"/>
      <c r="AP79" s="1124"/>
      <c r="AQ79" s="1124"/>
      <c r="AR79" s="1124"/>
      <c r="AS79" s="1124"/>
      <c r="AT79" s="1124"/>
      <c r="AU79" s="1124"/>
      <c r="AV79" s="1124"/>
      <c r="AW79" s="1124"/>
      <c r="AX79" s="1124"/>
      <c r="AY79" s="1124"/>
      <c r="AZ79" s="1124"/>
      <c r="BA79" s="1124"/>
      <c r="BB79" s="1124"/>
      <c r="BC79" s="1124"/>
      <c r="BD79" s="1124"/>
      <c r="BE79" s="1124"/>
      <c r="BF79" s="1124"/>
      <c r="BG79" s="1124"/>
      <c r="BH79" s="1124"/>
      <c r="BI79" s="1124"/>
      <c r="BJ79" s="1124"/>
      <c r="BK79" s="1124"/>
      <c r="BL79" s="1124"/>
      <c r="BM79" s="1124"/>
      <c r="BN79" s="1124"/>
      <c r="BO79" s="1124"/>
      <c r="BP79" s="1124"/>
      <c r="BQ79" s="1124"/>
      <c r="BR79" s="1124"/>
      <c r="BS79" s="1124"/>
      <c r="BT79" s="1124"/>
      <c r="BU79" s="1124"/>
      <c r="BV79" s="1124"/>
      <c r="BW79" s="1124"/>
      <c r="BX79" s="1124"/>
      <c r="BY79" s="1124"/>
      <c r="BZ79" s="1124"/>
      <c r="CA79" s="1124"/>
      <c r="CB79" s="1124"/>
      <c r="CC79" s="1124"/>
      <c r="CD79" s="1124"/>
      <c r="CE79" s="1124"/>
      <c r="CF79" s="1124"/>
    </row>
    <row r="80" spans="1:84" s="61" customFormat="1">
      <c r="A80" s="1123"/>
      <c r="B80" s="1123"/>
      <c r="C80" s="1123"/>
      <c r="D80" s="1123"/>
      <c r="E80" s="1124"/>
      <c r="F80" s="1124"/>
      <c r="G80" s="1124"/>
      <c r="H80" s="1124"/>
      <c r="I80" s="1124"/>
      <c r="J80" s="1124"/>
      <c r="K80" s="1124"/>
      <c r="L80" s="1124"/>
      <c r="M80" s="1124"/>
      <c r="N80" s="1124"/>
      <c r="O80" s="1124"/>
      <c r="P80" s="1124"/>
      <c r="Q80" s="1124"/>
      <c r="R80" s="1124"/>
      <c r="S80" s="1124"/>
      <c r="T80" s="1152"/>
      <c r="U80" s="1125"/>
      <c r="V80" s="1124"/>
      <c r="W80" s="1124"/>
      <c r="X80" s="1125"/>
      <c r="AG80" s="1124"/>
      <c r="AH80" s="1124"/>
      <c r="AI80" s="1124"/>
      <c r="AJ80" s="1124"/>
      <c r="AK80" s="1124"/>
      <c r="AL80" s="1124"/>
      <c r="AM80" s="1124"/>
      <c r="AN80" s="1124"/>
      <c r="AO80" s="1124"/>
      <c r="AP80" s="1124"/>
      <c r="AQ80" s="1124"/>
      <c r="AR80" s="1124"/>
      <c r="AS80" s="1124"/>
      <c r="AT80" s="1124"/>
      <c r="AU80" s="1124"/>
      <c r="AV80" s="1124"/>
      <c r="AW80" s="1124"/>
      <c r="AX80" s="1124"/>
      <c r="AY80" s="1124"/>
      <c r="AZ80" s="1124"/>
      <c r="BA80" s="1124"/>
      <c r="BB80" s="1124"/>
      <c r="BC80" s="1124"/>
      <c r="BD80" s="1124"/>
      <c r="BE80" s="1124"/>
      <c r="BF80" s="1124"/>
      <c r="BG80" s="1124"/>
      <c r="BH80" s="1124"/>
      <c r="BI80" s="1124"/>
      <c r="BJ80" s="1124"/>
      <c r="BK80" s="1124"/>
      <c r="BL80" s="1124"/>
      <c r="BM80" s="1124"/>
      <c r="BN80" s="1124"/>
      <c r="BO80" s="1124"/>
      <c r="BP80" s="1124"/>
      <c r="BQ80" s="1124"/>
      <c r="BR80" s="1124"/>
      <c r="BS80" s="1124"/>
      <c r="BT80" s="1124"/>
      <c r="BU80" s="1124"/>
      <c r="BV80" s="1124"/>
      <c r="BW80" s="1124"/>
      <c r="BX80" s="1124"/>
      <c r="BY80" s="1124"/>
      <c r="BZ80" s="1124"/>
      <c r="CA80" s="1124"/>
      <c r="CB80" s="1124"/>
      <c r="CC80" s="1124"/>
      <c r="CD80" s="1124"/>
      <c r="CE80" s="1124"/>
      <c r="CF80" s="1124"/>
    </row>
    <row r="81" spans="1:84" s="61" customFormat="1">
      <c r="A81" s="1123"/>
      <c r="B81" s="1123"/>
      <c r="C81" s="1123"/>
      <c r="D81" s="1123"/>
      <c r="E81" s="1124"/>
      <c r="F81" s="1124"/>
      <c r="G81" s="1124"/>
      <c r="H81" s="1124"/>
      <c r="I81" s="1124"/>
      <c r="J81" s="1124"/>
      <c r="K81" s="1124"/>
      <c r="L81" s="1124"/>
      <c r="M81" s="1124"/>
      <c r="N81" s="1124"/>
      <c r="O81" s="1124"/>
      <c r="P81" s="1124"/>
      <c r="Q81" s="1124"/>
      <c r="R81" s="1124"/>
      <c r="S81" s="1124"/>
      <c r="T81" s="1152"/>
      <c r="U81" s="1125"/>
      <c r="V81" s="1124"/>
      <c r="W81" s="1124"/>
      <c r="X81" s="1124"/>
      <c r="AG81" s="1124"/>
      <c r="AH81" s="1124"/>
      <c r="AI81" s="1124"/>
      <c r="AJ81" s="1124"/>
      <c r="AK81" s="1124"/>
      <c r="AL81" s="1124"/>
      <c r="AM81" s="1124"/>
      <c r="AN81" s="1124"/>
      <c r="AO81" s="1124"/>
      <c r="AP81" s="1124"/>
      <c r="AQ81" s="1124"/>
      <c r="AR81" s="1124"/>
      <c r="AS81" s="1124"/>
      <c r="AT81" s="1124"/>
      <c r="AU81" s="1124"/>
      <c r="AV81" s="1124"/>
      <c r="AW81" s="1124"/>
      <c r="AX81" s="1124"/>
      <c r="AY81" s="1124"/>
      <c r="AZ81" s="1124"/>
      <c r="BA81" s="1124"/>
      <c r="BB81" s="1124"/>
      <c r="BC81" s="1124"/>
      <c r="BD81" s="1124"/>
      <c r="BE81" s="1124"/>
      <c r="BF81" s="1124"/>
      <c r="BG81" s="1124"/>
      <c r="BH81" s="1124"/>
      <c r="BI81" s="1124"/>
      <c r="BJ81" s="1124"/>
      <c r="BK81" s="1124"/>
      <c r="BL81" s="1124"/>
      <c r="BM81" s="1124"/>
      <c r="BN81" s="1124"/>
      <c r="BO81" s="1124"/>
      <c r="BP81" s="1124"/>
      <c r="BQ81" s="1124"/>
      <c r="BR81" s="1124"/>
      <c r="BS81" s="1124"/>
      <c r="BT81" s="1124"/>
      <c r="BU81" s="1124"/>
      <c r="BV81" s="1124"/>
      <c r="BW81" s="1124"/>
      <c r="BX81" s="1124"/>
      <c r="BY81" s="1124"/>
      <c r="BZ81" s="1124"/>
      <c r="CA81" s="1124"/>
      <c r="CB81" s="1124"/>
      <c r="CC81" s="1124"/>
      <c r="CD81" s="1124"/>
      <c r="CE81" s="1124"/>
      <c r="CF81" s="1124"/>
    </row>
    <row r="82" spans="1:84" s="61" customFormat="1">
      <c r="A82" s="1123"/>
      <c r="B82" s="1123"/>
      <c r="C82" s="1123"/>
      <c r="D82" s="1123"/>
      <c r="E82" s="1124"/>
      <c r="F82" s="1124"/>
      <c r="G82" s="1124"/>
      <c r="H82" s="1124"/>
      <c r="I82" s="1124"/>
      <c r="J82" s="1124"/>
      <c r="K82" s="1124"/>
      <c r="L82" s="1124"/>
      <c r="M82" s="1124"/>
      <c r="N82" s="1124"/>
      <c r="O82" s="1124"/>
      <c r="P82" s="1124"/>
      <c r="Q82" s="1124"/>
      <c r="R82" s="1124"/>
      <c r="S82" s="1124"/>
      <c r="T82" s="1152"/>
      <c r="U82" s="1125"/>
      <c r="V82" s="1124"/>
      <c r="W82" s="1124"/>
      <c r="X82" s="1124"/>
      <c r="AG82" s="1124"/>
      <c r="AH82" s="1124"/>
      <c r="AI82" s="1124"/>
      <c r="AJ82" s="1124"/>
      <c r="AK82" s="1124"/>
      <c r="AL82" s="1124"/>
      <c r="AM82" s="1124"/>
      <c r="AN82" s="1124"/>
      <c r="AO82" s="1124"/>
      <c r="AP82" s="1124"/>
      <c r="AQ82" s="1124"/>
      <c r="AR82" s="1124"/>
      <c r="AS82" s="1124"/>
      <c r="AT82" s="1124"/>
      <c r="AU82" s="1124"/>
      <c r="AV82" s="1124"/>
      <c r="AW82" s="1124"/>
      <c r="AX82" s="1124"/>
      <c r="AY82" s="1124"/>
      <c r="AZ82" s="1124"/>
      <c r="BA82" s="1124"/>
      <c r="BB82" s="1124"/>
      <c r="BC82" s="1124"/>
      <c r="BD82" s="1124"/>
      <c r="BE82" s="1124"/>
      <c r="BF82" s="1124"/>
      <c r="BG82" s="1124"/>
      <c r="BH82" s="1124"/>
      <c r="BI82" s="1124"/>
      <c r="BJ82" s="1124"/>
      <c r="BK82" s="1124"/>
      <c r="BL82" s="1124"/>
      <c r="BM82" s="1124"/>
      <c r="BN82" s="1124"/>
      <c r="BO82" s="1124"/>
      <c r="BP82" s="1124"/>
      <c r="BQ82" s="1124"/>
      <c r="BR82" s="1124"/>
      <c r="BS82" s="1124"/>
      <c r="BT82" s="1124"/>
      <c r="BU82" s="1124"/>
      <c r="BV82" s="1124"/>
      <c r="BW82" s="1124"/>
      <c r="BX82" s="1124"/>
      <c r="BY82" s="1124"/>
      <c r="BZ82" s="1124"/>
      <c r="CA82" s="1124"/>
      <c r="CB82" s="1124"/>
      <c r="CC82" s="1124"/>
      <c r="CD82" s="1124"/>
      <c r="CE82" s="1124"/>
      <c r="CF82" s="1124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70:AG70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68:AG68"/>
    <mergeCell ref="A69:AG69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W50"/>
  <sheetViews>
    <sheetView showGridLines="0" view="pageBreakPreview" zoomScale="70" zoomScaleNormal="70" zoomScaleSheetLayoutView="70" workbookViewId="0">
      <pane ySplit="7" topLeftCell="A10" activePane="bottomLeft" state="frozen"/>
      <selection activeCell="G291" sqref="G291"/>
      <selection pane="bottomLeft" activeCell="EF45" sqref="EF45"/>
    </sheetView>
  </sheetViews>
  <sheetFormatPr defaultColWidth="9.109375" defaultRowHeight="13.8"/>
  <cols>
    <col min="1" max="1" width="49.44140625" style="907" customWidth="1"/>
    <col min="2" max="12" width="13.5546875" style="391" hidden="1" customWidth="1"/>
    <col min="13" max="13" width="19" style="391" hidden="1" customWidth="1"/>
    <col min="14" max="23" width="13.5546875" style="391" hidden="1" customWidth="1"/>
    <col min="24" max="24" width="13.33203125" style="391" hidden="1" customWidth="1"/>
    <col min="25" max="25" width="18.109375" style="391" hidden="1" customWidth="1"/>
    <col min="26" max="29" width="14.6640625" style="391" hidden="1" customWidth="1"/>
    <col min="30" max="30" width="14.5546875" style="391" hidden="1" customWidth="1"/>
    <col min="31" max="33" width="14.6640625" style="391" hidden="1" customWidth="1"/>
    <col min="34" max="34" width="17.88671875" style="391" hidden="1" customWidth="1"/>
    <col min="35" max="35" width="15.6640625" style="391" hidden="1" customWidth="1"/>
    <col min="36" max="36" width="14.6640625" style="391" hidden="1" customWidth="1"/>
    <col min="37" max="37" width="16.88671875" style="391" hidden="1" customWidth="1"/>
    <col min="38" max="45" width="14.6640625" style="391" hidden="1" customWidth="1"/>
    <col min="46" max="46" width="19.109375" style="391" hidden="1" customWidth="1"/>
    <col min="47" max="47" width="17.33203125" style="391" hidden="1" customWidth="1"/>
    <col min="48" max="48" width="17.6640625" style="391" hidden="1" customWidth="1"/>
    <col min="49" max="60" width="17.33203125" style="391" hidden="1" customWidth="1"/>
    <col min="61" max="61" width="15" style="391" customWidth="1"/>
    <col min="62" max="72" width="17.33203125" style="391" hidden="1" customWidth="1"/>
    <col min="73" max="73" width="15" style="391" customWidth="1"/>
    <col min="74" max="82" width="17.33203125" style="391" hidden="1" customWidth="1"/>
    <col min="83" max="84" width="17.5546875" style="391" hidden="1" customWidth="1"/>
    <col min="85" max="85" width="15" style="391" customWidth="1"/>
    <col min="86" max="89" width="20.6640625" style="391" hidden="1" customWidth="1"/>
    <col min="90" max="90" width="21.6640625" style="391" hidden="1" customWidth="1"/>
    <col min="91" max="96" width="17.5546875" style="391" hidden="1" customWidth="1"/>
    <col min="97" max="97" width="15" style="391" customWidth="1"/>
    <col min="98" max="108" width="15" style="391" hidden="1" customWidth="1"/>
    <col min="109" max="109" width="15" style="391" customWidth="1"/>
    <col min="110" max="120" width="15" style="391" hidden="1" customWidth="1"/>
    <col min="121" max="121" width="15" style="391" customWidth="1"/>
    <col min="122" max="132" width="15" style="391" hidden="1" customWidth="1"/>
    <col min="133" max="135" width="15" style="391" customWidth="1"/>
    <col min="136" max="139" width="9.109375" style="391"/>
    <col min="140" max="140" width="0" style="391" hidden="1" customWidth="1"/>
    <col min="141" max="16384" width="9.109375" style="391"/>
  </cols>
  <sheetData>
    <row r="1" spans="1:205" ht="14.25" customHeight="1"/>
    <row r="2" spans="1:205" ht="33" customHeight="1">
      <c r="A2" s="2380" t="s">
        <v>3382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101"/>
    </row>
    <row r="3" spans="1:205" ht="40.5" customHeight="1">
      <c r="A3" s="2389" t="s">
        <v>3364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102"/>
    </row>
    <row r="4" spans="1:205" ht="21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</row>
    <row r="5" spans="1:205" ht="21" customHeight="1">
      <c r="A5" s="909" t="s">
        <v>2461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2391" t="s">
        <v>2546</v>
      </c>
      <c r="Z5" s="2391"/>
      <c r="AA5" s="2391"/>
      <c r="AB5" s="2391"/>
      <c r="AC5" s="2391"/>
      <c r="AD5" s="2391"/>
      <c r="AE5" s="2391"/>
      <c r="AF5" s="2391"/>
      <c r="AG5" s="2391"/>
      <c r="AH5" s="2391"/>
      <c r="AI5" s="2391"/>
      <c r="AJ5" s="2391"/>
      <c r="AK5" s="2391"/>
      <c r="AL5" s="2391"/>
      <c r="AM5" s="2391"/>
      <c r="AN5" s="2391"/>
      <c r="AO5" s="2391"/>
      <c r="AP5" s="2391"/>
      <c r="AQ5" s="2391"/>
      <c r="AR5" s="2391"/>
      <c r="AS5" s="2391"/>
      <c r="AT5" s="2391"/>
      <c r="AU5" s="2391"/>
      <c r="AV5" s="2391"/>
      <c r="AW5" s="2391"/>
      <c r="AX5" s="2391"/>
      <c r="AY5" s="2391"/>
      <c r="AZ5" s="2391"/>
      <c r="BA5" s="2391"/>
      <c r="BB5" s="2391"/>
      <c r="BC5" s="2391"/>
      <c r="BD5" s="2391"/>
      <c r="BE5" s="2391"/>
      <c r="BF5" s="2391"/>
      <c r="BG5" s="2391"/>
      <c r="BH5" s="2391"/>
      <c r="BI5" s="2391"/>
      <c r="BJ5" s="2391"/>
      <c r="BK5" s="2391"/>
      <c r="BL5" s="2391"/>
      <c r="BM5" s="2391"/>
      <c r="BN5" s="2391"/>
      <c r="BO5" s="2391"/>
      <c r="BP5" s="2391"/>
      <c r="BQ5" s="2391"/>
      <c r="BR5" s="2391"/>
      <c r="BS5" s="2391"/>
      <c r="BT5" s="2391"/>
      <c r="BU5" s="2391"/>
      <c r="BV5" s="2391"/>
      <c r="BW5" s="2391"/>
      <c r="BX5" s="2391"/>
      <c r="BY5" s="2391"/>
      <c r="BZ5" s="2391"/>
      <c r="CA5" s="2391"/>
      <c r="CB5" s="2391"/>
      <c r="CC5" s="2391"/>
      <c r="CD5" s="2391"/>
      <c r="CE5" s="2391"/>
      <c r="CF5" s="2391"/>
      <c r="CG5" s="2391"/>
      <c r="CH5" s="2391"/>
      <c r="CI5" s="2391"/>
      <c r="CJ5" s="2391"/>
      <c r="CK5" s="2391"/>
      <c r="CL5" s="2391"/>
      <c r="CM5" s="2391"/>
      <c r="CN5" s="2391"/>
      <c r="CO5" s="2391"/>
      <c r="CP5" s="2391"/>
      <c r="CQ5" s="2391"/>
      <c r="CR5" s="2391"/>
      <c r="CS5" s="2391"/>
      <c r="CT5" s="2391"/>
      <c r="CU5" s="2391"/>
      <c r="CV5" s="2391"/>
      <c r="CW5" s="2391"/>
      <c r="CX5" s="2391"/>
      <c r="CY5" s="2391"/>
      <c r="CZ5" s="2391"/>
      <c r="DA5" s="2391"/>
      <c r="DB5" s="2391"/>
      <c r="DC5" s="2391"/>
      <c r="DD5" s="2391"/>
      <c r="DE5" s="2391"/>
      <c r="DF5" s="2391"/>
      <c r="DG5" s="2391"/>
      <c r="DH5" s="2391"/>
      <c r="DI5" s="2391"/>
      <c r="DJ5" s="2391"/>
      <c r="DK5" s="2391"/>
      <c r="DL5" s="2391"/>
      <c r="DM5" s="2391"/>
      <c r="DN5" s="2391"/>
      <c r="DO5" s="2391"/>
      <c r="DP5" s="2391"/>
      <c r="DQ5" s="2391"/>
      <c r="DR5" s="2391"/>
      <c r="DS5" s="2391"/>
      <c r="DT5" s="2391"/>
      <c r="DU5" s="2391"/>
      <c r="DV5" s="2391"/>
      <c r="DW5" s="2391"/>
      <c r="DX5" s="2391"/>
      <c r="DY5" s="2391"/>
      <c r="DZ5" s="2391"/>
      <c r="EA5" s="2391"/>
      <c r="EB5" s="2391"/>
      <c r="EC5" s="2391"/>
      <c r="ED5" s="2391"/>
      <c r="EE5" s="2391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0"/>
      <c r="FY5" s="440"/>
      <c r="FZ5" s="440"/>
      <c r="GA5" s="440"/>
      <c r="GB5" s="440"/>
      <c r="GC5" s="440"/>
      <c r="GD5" s="440"/>
      <c r="GE5" s="440"/>
      <c r="GF5" s="440"/>
      <c r="GG5" s="440"/>
      <c r="GH5" s="440"/>
      <c r="GI5" s="440"/>
      <c r="GJ5" s="440"/>
      <c r="GK5" s="440"/>
      <c r="GL5" s="440"/>
      <c r="GM5" s="440"/>
      <c r="GN5" s="440"/>
      <c r="GO5" s="440"/>
      <c r="GP5" s="440"/>
      <c r="GQ5" s="440"/>
      <c r="GR5" s="440"/>
      <c r="GS5" s="440"/>
      <c r="GT5" s="440"/>
      <c r="GU5" s="440"/>
      <c r="GV5" s="440"/>
      <c r="GW5" s="440"/>
    </row>
    <row r="6" spans="1:205" ht="39.75" customHeight="1">
      <c r="A6" s="2385"/>
      <c r="B6" s="2384">
        <v>2013</v>
      </c>
      <c r="C6" s="2384"/>
      <c r="D6" s="2384"/>
      <c r="E6" s="2384"/>
      <c r="F6" s="2384"/>
      <c r="G6" s="2384"/>
      <c r="H6" s="2384"/>
      <c r="I6" s="2384"/>
      <c r="J6" s="2384"/>
      <c r="K6" s="2384"/>
      <c r="L6" s="2384"/>
      <c r="M6" s="2384"/>
      <c r="N6" s="2384">
        <v>2014</v>
      </c>
      <c r="O6" s="2384"/>
      <c r="P6" s="2384"/>
      <c r="Q6" s="2384"/>
      <c r="R6" s="2384"/>
      <c r="S6" s="2384"/>
      <c r="T6" s="2384"/>
      <c r="U6" s="2384"/>
      <c r="V6" s="2384"/>
      <c r="W6" s="2384"/>
      <c r="X6" s="2384"/>
      <c r="Y6" s="2384"/>
      <c r="Z6" s="2384">
        <v>2015</v>
      </c>
      <c r="AA6" s="2384"/>
      <c r="AB6" s="2384"/>
      <c r="AC6" s="2384"/>
      <c r="AD6" s="2384"/>
      <c r="AE6" s="2384"/>
      <c r="AF6" s="2384"/>
      <c r="AG6" s="2384"/>
      <c r="AH6" s="2384"/>
      <c r="AI6" s="2384"/>
      <c r="AJ6" s="2384"/>
      <c r="AK6" s="2384"/>
      <c r="AL6" s="2384">
        <v>2016</v>
      </c>
      <c r="AM6" s="2384"/>
      <c r="AN6" s="2384"/>
      <c r="AO6" s="2384"/>
      <c r="AP6" s="2384"/>
      <c r="AQ6" s="2384"/>
      <c r="AR6" s="2384"/>
      <c r="AS6" s="2384"/>
      <c r="AT6" s="2384"/>
      <c r="AU6" s="2384"/>
      <c r="AV6" s="2384"/>
      <c r="AW6" s="2384"/>
      <c r="AX6" s="942">
        <v>2017</v>
      </c>
      <c r="AY6" s="942"/>
      <c r="AZ6" s="942"/>
      <c r="BA6" s="942"/>
      <c r="BB6" s="942"/>
      <c r="BC6" s="942"/>
      <c r="BD6" s="942"/>
      <c r="BE6" s="942"/>
      <c r="BF6" s="1001"/>
      <c r="BG6" s="2381">
        <v>2017</v>
      </c>
      <c r="BH6" s="2382"/>
      <c r="BI6" s="2383"/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69">
        <v>2018</v>
      </c>
      <c r="BV6" s="1011">
        <v>2019</v>
      </c>
      <c r="BW6" s="1011"/>
      <c r="BX6" s="1011"/>
      <c r="BY6" s="1011"/>
      <c r="BZ6" s="1011"/>
      <c r="CA6" s="1011"/>
      <c r="CB6" s="1011"/>
      <c r="CC6" s="1011"/>
      <c r="CD6" s="1011"/>
      <c r="CE6" s="2381">
        <v>2019</v>
      </c>
      <c r="CF6" s="2382"/>
      <c r="CG6" s="2383"/>
      <c r="CH6" s="1010">
        <v>2020</v>
      </c>
      <c r="CI6" s="1010">
        <v>2020</v>
      </c>
      <c r="CJ6" s="1010">
        <v>2020</v>
      </c>
      <c r="CK6" s="1010">
        <v>2020</v>
      </c>
      <c r="CL6" s="1010">
        <v>2020</v>
      </c>
      <c r="CM6" s="1010">
        <v>2020</v>
      </c>
      <c r="CN6" s="1010">
        <v>2020</v>
      </c>
      <c r="CO6" s="1010">
        <v>2020</v>
      </c>
      <c r="CP6" s="1010">
        <v>2020</v>
      </c>
      <c r="CQ6" s="1010">
        <v>2020</v>
      </c>
      <c r="CR6" s="1010">
        <v>2020</v>
      </c>
      <c r="CS6" s="1069">
        <v>2020</v>
      </c>
      <c r="CT6" s="1070">
        <v>2021</v>
      </c>
      <c r="CU6" s="2387">
        <v>2021</v>
      </c>
      <c r="CV6" s="2382"/>
      <c r="CW6" s="2382"/>
      <c r="CX6" s="2382"/>
      <c r="CY6" s="2382"/>
      <c r="CZ6" s="2382"/>
      <c r="DA6" s="2382"/>
      <c r="DB6" s="2382"/>
      <c r="DC6" s="2382"/>
      <c r="DD6" s="2382"/>
      <c r="DE6" s="2388"/>
      <c r="DF6" s="2390">
        <v>2022</v>
      </c>
      <c r="DG6" s="2382"/>
      <c r="DH6" s="2382"/>
      <c r="DI6" s="2382"/>
      <c r="DJ6" s="2382"/>
      <c r="DK6" s="2382"/>
      <c r="DL6" s="2382"/>
      <c r="DM6" s="2382"/>
      <c r="DN6" s="2382"/>
      <c r="DO6" s="2382"/>
      <c r="DP6" s="2382"/>
      <c r="DQ6" s="2388"/>
      <c r="DR6" s="2390">
        <v>2023</v>
      </c>
      <c r="DS6" s="2382"/>
      <c r="DT6" s="2382"/>
      <c r="DU6" s="2382"/>
      <c r="DV6" s="2382"/>
      <c r="DW6" s="2382"/>
      <c r="DX6" s="2382"/>
      <c r="DY6" s="2382"/>
      <c r="DZ6" s="2382"/>
      <c r="EA6" s="2382"/>
      <c r="EB6" s="2382"/>
      <c r="EC6" s="2388"/>
      <c r="ED6" s="2390">
        <v>2024</v>
      </c>
      <c r="EE6" s="2388"/>
    </row>
    <row r="7" spans="1:205" ht="39.75" customHeight="1">
      <c r="A7" s="2386"/>
      <c r="B7" s="992" t="s">
        <v>1988</v>
      </c>
      <c r="C7" s="992" t="s">
        <v>1999</v>
      </c>
      <c r="D7" s="992" t="s">
        <v>1998</v>
      </c>
      <c r="E7" s="992" t="s">
        <v>1997</v>
      </c>
      <c r="F7" s="992" t="s">
        <v>1996</v>
      </c>
      <c r="G7" s="992" t="s">
        <v>1995</v>
      </c>
      <c r="H7" s="992" t="s">
        <v>1994</v>
      </c>
      <c r="I7" s="992" t="s">
        <v>1993</v>
      </c>
      <c r="J7" s="992" t="s">
        <v>1992</v>
      </c>
      <c r="K7" s="992" t="s">
        <v>1991</v>
      </c>
      <c r="L7" s="992" t="s">
        <v>1990</v>
      </c>
      <c r="M7" s="992" t="s">
        <v>1989</v>
      </c>
      <c r="N7" s="992" t="s">
        <v>1988</v>
      </c>
      <c r="O7" s="992" t="s">
        <v>1999</v>
      </c>
      <c r="P7" s="992" t="s">
        <v>1998</v>
      </c>
      <c r="Q7" s="992" t="s">
        <v>1997</v>
      </c>
      <c r="R7" s="992" t="s">
        <v>1996</v>
      </c>
      <c r="S7" s="992" t="s">
        <v>1995</v>
      </c>
      <c r="T7" s="992" t="s">
        <v>1994</v>
      </c>
      <c r="U7" s="992" t="s">
        <v>1993</v>
      </c>
      <c r="V7" s="992" t="s">
        <v>1992</v>
      </c>
      <c r="W7" s="992" t="s">
        <v>1991</v>
      </c>
      <c r="X7" s="992" t="s">
        <v>1990</v>
      </c>
      <c r="Y7" s="992" t="s">
        <v>1989</v>
      </c>
      <c r="Z7" s="992" t="s">
        <v>1988</v>
      </c>
      <c r="AA7" s="992" t="s">
        <v>1999</v>
      </c>
      <c r="AB7" s="992" t="s">
        <v>1998</v>
      </c>
      <c r="AC7" s="992" t="s">
        <v>1997</v>
      </c>
      <c r="AD7" s="992" t="s">
        <v>1996</v>
      </c>
      <c r="AE7" s="992" t="s">
        <v>1995</v>
      </c>
      <c r="AF7" s="992" t="s">
        <v>1994</v>
      </c>
      <c r="AG7" s="992" t="s">
        <v>1993</v>
      </c>
      <c r="AH7" s="992" t="s">
        <v>1992</v>
      </c>
      <c r="AI7" s="992" t="s">
        <v>1991</v>
      </c>
      <c r="AJ7" s="992" t="s">
        <v>1990</v>
      </c>
      <c r="AK7" s="992" t="s">
        <v>1989</v>
      </c>
      <c r="AL7" s="992" t="s">
        <v>1988</v>
      </c>
      <c r="AM7" s="992" t="s">
        <v>1999</v>
      </c>
      <c r="AN7" s="992" t="s">
        <v>1998</v>
      </c>
      <c r="AO7" s="992" t="s">
        <v>1997</v>
      </c>
      <c r="AP7" s="992" t="s">
        <v>1996</v>
      </c>
      <c r="AQ7" s="992" t="s">
        <v>1995</v>
      </c>
      <c r="AR7" s="992" t="s">
        <v>1994</v>
      </c>
      <c r="AS7" s="992" t="s">
        <v>1993</v>
      </c>
      <c r="AT7" s="992" t="s">
        <v>1992</v>
      </c>
      <c r="AU7" s="992" t="s">
        <v>1991</v>
      </c>
      <c r="AV7" s="992" t="s">
        <v>1990</v>
      </c>
      <c r="AW7" s="992" t="s">
        <v>1989</v>
      </c>
      <c r="AX7" s="992" t="s">
        <v>1988</v>
      </c>
      <c r="AY7" s="992" t="s">
        <v>1987</v>
      </c>
      <c r="AZ7" s="992" t="s">
        <v>1986</v>
      </c>
      <c r="BA7" s="992" t="s">
        <v>1985</v>
      </c>
      <c r="BB7" s="992" t="s">
        <v>2005</v>
      </c>
      <c r="BC7" s="992" t="s">
        <v>2006</v>
      </c>
      <c r="BD7" s="992" t="s">
        <v>2015</v>
      </c>
      <c r="BE7" s="992" t="s">
        <v>2025</v>
      </c>
      <c r="BF7" s="992" t="s">
        <v>2035</v>
      </c>
      <c r="BG7" s="1022" t="s">
        <v>2048</v>
      </c>
      <c r="BH7" s="1023" t="s">
        <v>2059</v>
      </c>
      <c r="BI7" s="1024" t="s">
        <v>1989</v>
      </c>
      <c r="BJ7" s="1024" t="s">
        <v>1988</v>
      </c>
      <c r="BK7" s="1024" t="s">
        <v>1987</v>
      </c>
      <c r="BL7" s="1024" t="s">
        <v>1986</v>
      </c>
      <c r="BM7" s="1024" t="s">
        <v>1985</v>
      </c>
      <c r="BN7" s="1024" t="s">
        <v>2005</v>
      </c>
      <c r="BO7" s="1024" t="s">
        <v>2006</v>
      </c>
      <c r="BP7" s="1024" t="s">
        <v>2015</v>
      </c>
      <c r="BQ7" s="1024" t="s">
        <v>2025</v>
      </c>
      <c r="BR7" s="1024" t="s">
        <v>2035</v>
      </c>
      <c r="BS7" s="1024" t="s">
        <v>2048</v>
      </c>
      <c r="BT7" s="1024" t="s">
        <v>2059</v>
      </c>
      <c r="BU7" s="1024" t="s">
        <v>1989</v>
      </c>
      <c r="BV7" s="1024" t="s">
        <v>1988</v>
      </c>
      <c r="BW7" s="1024" t="s">
        <v>1987</v>
      </c>
      <c r="BX7" s="1024" t="s">
        <v>1986</v>
      </c>
      <c r="BY7" s="1024" t="s">
        <v>1985</v>
      </c>
      <c r="BZ7" s="1024" t="s">
        <v>2005</v>
      </c>
      <c r="CA7" s="1024" t="s">
        <v>2006</v>
      </c>
      <c r="CB7" s="1024" t="s">
        <v>2015</v>
      </c>
      <c r="CC7" s="1024" t="s">
        <v>2025</v>
      </c>
      <c r="CD7" s="1024" t="s">
        <v>2035</v>
      </c>
      <c r="CE7" s="1024" t="s">
        <v>2048</v>
      </c>
      <c r="CF7" s="1024" t="s">
        <v>2059</v>
      </c>
      <c r="CG7" s="1024" t="s">
        <v>2390</v>
      </c>
      <c r="CH7" s="1024" t="s">
        <v>1988</v>
      </c>
      <c r="CI7" s="1024" t="s">
        <v>1987</v>
      </c>
      <c r="CJ7" s="1024" t="s">
        <v>1986</v>
      </c>
      <c r="CK7" s="1024" t="s">
        <v>1985</v>
      </c>
      <c r="CL7" s="1024" t="s">
        <v>2005</v>
      </c>
      <c r="CM7" s="1024" t="s">
        <v>2462</v>
      </c>
      <c r="CN7" s="1024" t="s">
        <v>2471</v>
      </c>
      <c r="CO7" s="1024" t="s">
        <v>2025</v>
      </c>
      <c r="CP7" s="1024" t="s">
        <v>2035</v>
      </c>
      <c r="CQ7" s="1024" t="s">
        <v>2048</v>
      </c>
      <c r="CR7" s="1024" t="s">
        <v>2059</v>
      </c>
      <c r="CS7" s="1024" t="s">
        <v>1989</v>
      </c>
      <c r="CT7" s="1002" t="s">
        <v>1988</v>
      </c>
      <c r="CU7" s="1002" t="s">
        <v>1987</v>
      </c>
      <c r="CV7" s="1002" t="s">
        <v>1986</v>
      </c>
      <c r="CW7" s="1002" t="s">
        <v>1985</v>
      </c>
      <c r="CX7" s="1002" t="s">
        <v>2005</v>
      </c>
      <c r="CY7" s="1002" t="s">
        <v>2006</v>
      </c>
      <c r="CZ7" s="1002" t="s">
        <v>2015</v>
      </c>
      <c r="DA7" s="1002" t="s">
        <v>2025</v>
      </c>
      <c r="DB7" s="1002" t="s">
        <v>2707</v>
      </c>
      <c r="DC7" s="1002" t="s">
        <v>2048</v>
      </c>
      <c r="DD7" s="1002" t="s">
        <v>2059</v>
      </c>
      <c r="DE7" s="1002" t="s">
        <v>1989</v>
      </c>
      <c r="DF7" s="1002" t="s">
        <v>1988</v>
      </c>
      <c r="DG7" s="1002" t="s">
        <v>1987</v>
      </c>
      <c r="DH7" s="1002" t="s">
        <v>1986</v>
      </c>
      <c r="DI7" s="1002" t="s">
        <v>1985</v>
      </c>
      <c r="DJ7" s="1002" t="s">
        <v>2005</v>
      </c>
      <c r="DK7" s="1002" t="s">
        <v>2006</v>
      </c>
      <c r="DL7" s="1002" t="s">
        <v>2015</v>
      </c>
      <c r="DM7" s="1002" t="s">
        <v>2025</v>
      </c>
      <c r="DN7" s="1002" t="s">
        <v>2035</v>
      </c>
      <c r="DO7" s="1002" t="s">
        <v>2048</v>
      </c>
      <c r="DP7" s="1002" t="s">
        <v>2059</v>
      </c>
      <c r="DQ7" s="1002" t="s">
        <v>1989</v>
      </c>
      <c r="DR7" s="1002" t="s">
        <v>1988</v>
      </c>
      <c r="DS7" s="1002" t="s">
        <v>1987</v>
      </c>
      <c r="DT7" s="1002" t="s">
        <v>1986</v>
      </c>
      <c r="DU7" s="1002" t="s">
        <v>1985</v>
      </c>
      <c r="DV7" s="1002" t="s">
        <v>2005</v>
      </c>
      <c r="DW7" s="1002" t="s">
        <v>2006</v>
      </c>
      <c r="DX7" s="1002" t="s">
        <v>2015</v>
      </c>
      <c r="DY7" s="1002" t="s">
        <v>2025</v>
      </c>
      <c r="DZ7" s="1002" t="s">
        <v>2035</v>
      </c>
      <c r="EA7" s="1002" t="s">
        <v>2048</v>
      </c>
      <c r="EB7" s="1002" t="s">
        <v>2059</v>
      </c>
      <c r="EC7" s="1002" t="s">
        <v>1989</v>
      </c>
      <c r="ED7" s="1002" t="s">
        <v>1988</v>
      </c>
      <c r="EE7" s="1002" t="s">
        <v>1987</v>
      </c>
    </row>
    <row r="8" spans="1:205" ht="19.8">
      <c r="A8" s="944" t="s">
        <v>2820</v>
      </c>
      <c r="B8" s="945">
        <v>4126.3043516400003</v>
      </c>
      <c r="C8" s="945">
        <v>4243.2361221800002</v>
      </c>
      <c r="D8" s="945">
        <v>4395.2306523999996</v>
      </c>
      <c r="E8" s="945">
        <v>4571.7899217900003</v>
      </c>
      <c r="F8" s="945">
        <v>4746.80329867</v>
      </c>
      <c r="G8" s="945">
        <v>4857.1288539999996</v>
      </c>
      <c r="H8" s="945">
        <v>5046.0566906500007</v>
      </c>
      <c r="I8" s="945">
        <v>5191.2890298799994</v>
      </c>
      <c r="J8" s="945">
        <v>5307.5424306999994</v>
      </c>
      <c r="K8" s="945">
        <v>5465.5124227400011</v>
      </c>
      <c r="L8" s="945">
        <v>5613.9864098200005</v>
      </c>
      <c r="M8" s="946">
        <v>5793.5089223899986</v>
      </c>
      <c r="N8" s="946">
        <v>5859.1886001000003</v>
      </c>
      <c r="O8" s="946">
        <v>5931.6637276599995</v>
      </c>
      <c r="P8" s="946">
        <v>6010.4305670099993</v>
      </c>
      <c r="Q8" s="946">
        <v>6158.7468054399997</v>
      </c>
      <c r="R8" s="946">
        <v>6289.4102778899996</v>
      </c>
      <c r="S8" s="946">
        <v>6367.6958379099997</v>
      </c>
      <c r="T8" s="946">
        <v>6502.4703613800002</v>
      </c>
      <c r="U8" s="946">
        <v>6619.28031173</v>
      </c>
      <c r="V8" s="946">
        <v>6769.8166251600005</v>
      </c>
      <c r="W8" s="946">
        <v>6879.0306529</v>
      </c>
      <c r="X8" s="946">
        <v>7023.3350331799993</v>
      </c>
      <c r="Y8" s="946">
        <v>7227.0741123100006</v>
      </c>
      <c r="Z8" s="946">
        <v>7191.1</v>
      </c>
      <c r="AA8" s="946">
        <v>7883.7203339400003</v>
      </c>
      <c r="AB8" s="946">
        <v>7763.6107658199999</v>
      </c>
      <c r="AC8" s="946">
        <v>7664.13878811</v>
      </c>
      <c r="AD8" s="946">
        <v>7509.8486630500011</v>
      </c>
      <c r="AE8" s="946">
        <v>7351.0287925299999</v>
      </c>
      <c r="AF8" s="946">
        <v>7232.2617045400002</v>
      </c>
      <c r="AG8" s="946">
        <v>7146.6956625500006</v>
      </c>
      <c r="AH8" s="946">
        <v>7054.5576469299995</v>
      </c>
      <c r="AI8" s="946">
        <v>7028.7295239699997</v>
      </c>
      <c r="AJ8" s="946">
        <v>7001.6636089399999</v>
      </c>
      <c r="AK8" s="946">
        <v>7855.2649287000004</v>
      </c>
      <c r="AL8" s="946">
        <v>7517.1450385600001</v>
      </c>
      <c r="AM8" s="946">
        <v>7190.3583468900006</v>
      </c>
      <c r="AN8" s="946">
        <v>7033.8865993099998</v>
      </c>
      <c r="AO8" s="946">
        <v>6708.4042415799995</v>
      </c>
      <c r="AP8" s="946">
        <v>6455.65703252</v>
      </c>
      <c r="AQ8" s="946">
        <v>6434.8477373199994</v>
      </c>
      <c r="AR8" s="946">
        <v>5805.6135244399993</v>
      </c>
      <c r="AS8" s="946">
        <v>5840.9066246500006</v>
      </c>
      <c r="AT8" s="946">
        <v>5760.6899252399999</v>
      </c>
      <c r="AU8" s="946">
        <v>5530.4279767500002</v>
      </c>
      <c r="AV8" s="946">
        <v>5552.5847048000005</v>
      </c>
      <c r="AW8" s="946">
        <v>5483.0900506799999</v>
      </c>
      <c r="AX8" s="946">
        <v>5476.4053517699995</v>
      </c>
      <c r="AY8" s="946">
        <v>5191.02785055</v>
      </c>
      <c r="AZ8" s="946">
        <v>5055.7242160200003</v>
      </c>
      <c r="BA8" s="946">
        <v>4950.0008407200003</v>
      </c>
      <c r="BB8" s="946">
        <v>4885.3536417699997</v>
      </c>
      <c r="BC8" s="946">
        <v>4812.5133012899996</v>
      </c>
      <c r="BD8" s="946">
        <v>4686.6050257199995</v>
      </c>
      <c r="BE8" s="946">
        <v>4643.6817562199994</v>
      </c>
      <c r="BF8" s="946">
        <v>4602.1221259900003</v>
      </c>
      <c r="BG8" s="947">
        <v>4440.6486830800004</v>
      </c>
      <c r="BH8" s="998">
        <v>4431.5945002799999</v>
      </c>
      <c r="BI8" s="993">
        <v>4365.8507007500002</v>
      </c>
      <c r="BJ8" s="993">
        <v>4314.8353777100001</v>
      </c>
      <c r="BK8" s="993">
        <v>4367.3201854799991</v>
      </c>
      <c r="BL8" s="993">
        <v>4427.1815962000001</v>
      </c>
      <c r="BM8" s="993">
        <v>4501.5782457400001</v>
      </c>
      <c r="BN8" s="993">
        <v>4612.0409873500003</v>
      </c>
      <c r="BO8" s="993">
        <v>4636.3700653200003</v>
      </c>
      <c r="BP8" s="993">
        <v>4681.5904765300002</v>
      </c>
      <c r="BQ8" s="993">
        <v>4784.8033697199999</v>
      </c>
      <c r="BR8" s="993">
        <v>4858.2214125299997</v>
      </c>
      <c r="BS8" s="993">
        <v>4916.5431760599995</v>
      </c>
      <c r="BT8" s="993">
        <v>5107.7351735099992</v>
      </c>
      <c r="BU8" s="993">
        <v>5129.5981377299995</v>
      </c>
      <c r="BV8" s="993">
        <v>5126.0750779299997</v>
      </c>
      <c r="BW8" s="993">
        <v>5187.9813397300004</v>
      </c>
      <c r="BX8" s="993">
        <v>5252.0117248000006</v>
      </c>
      <c r="BY8" s="993">
        <v>5342.2124332099993</v>
      </c>
      <c r="BZ8" s="993">
        <v>5484.9197545500001</v>
      </c>
      <c r="CA8" s="993">
        <v>5628.2279060400006</v>
      </c>
      <c r="CB8" s="993">
        <v>5750.2444007900003</v>
      </c>
      <c r="CC8" s="993">
        <v>5903.547120870001</v>
      </c>
      <c r="CD8" s="993">
        <v>6074.9968601999999</v>
      </c>
      <c r="CE8" s="993">
        <v>6213.9014835300004</v>
      </c>
      <c r="CF8" s="993">
        <v>6597.5114896300001</v>
      </c>
      <c r="CG8" s="993">
        <v>6742.5924055300002</v>
      </c>
      <c r="CH8" s="993">
        <v>6768.8706715900007</v>
      </c>
      <c r="CI8" s="993">
        <v>6863.4079564399999</v>
      </c>
      <c r="CJ8" s="993">
        <v>6713.4936255599996</v>
      </c>
      <c r="CK8" s="993">
        <v>6456.9184454100005</v>
      </c>
      <c r="CL8" s="993">
        <v>6328.02045034</v>
      </c>
      <c r="CM8" s="993">
        <v>6300.7536029399989</v>
      </c>
      <c r="CN8" s="993">
        <v>6321.2446722200002</v>
      </c>
      <c r="CO8" s="993">
        <v>6420.2874057599984</v>
      </c>
      <c r="CP8" s="993">
        <v>6541.8174222599991</v>
      </c>
      <c r="CQ8" s="993">
        <v>6526.4718856799991</v>
      </c>
      <c r="CR8" s="993">
        <v>6518.7552752199999</v>
      </c>
      <c r="CS8" s="993">
        <v>6477.0138981200007</v>
      </c>
      <c r="CT8" s="993">
        <v>6549.4246127300003</v>
      </c>
      <c r="CU8" s="993">
        <v>6539.0817762200004</v>
      </c>
      <c r="CV8" s="993">
        <v>6632.1192125799998</v>
      </c>
      <c r="CW8" s="993">
        <v>6807.4701766500002</v>
      </c>
      <c r="CX8" s="993">
        <v>6914.7730755599996</v>
      </c>
      <c r="CY8" s="993">
        <v>7066.2354611199999</v>
      </c>
      <c r="CZ8" s="993">
        <v>7205.9675539399996</v>
      </c>
      <c r="DA8" s="993">
        <v>7434.7409468599999</v>
      </c>
      <c r="DB8" s="993">
        <v>7661.3421953699999</v>
      </c>
      <c r="DC8" s="993">
        <v>7852.5090272500001</v>
      </c>
      <c r="DD8" s="993">
        <v>8052.42292997</v>
      </c>
      <c r="DE8" s="993">
        <v>8320.5240356199993</v>
      </c>
      <c r="DF8" s="993">
        <v>8480.9704156700009</v>
      </c>
      <c r="DG8" s="993">
        <v>8661.6781615899999</v>
      </c>
      <c r="DH8" s="993">
        <v>8961.90120785</v>
      </c>
      <c r="DI8" s="993">
        <v>9159.7569552000004</v>
      </c>
      <c r="DJ8" s="993">
        <v>9382.4405607000008</v>
      </c>
      <c r="DK8" s="993">
        <v>9603.0551213800009</v>
      </c>
      <c r="DL8" s="993">
        <v>9789.8246620699992</v>
      </c>
      <c r="DM8" s="993">
        <v>10009.31486307</v>
      </c>
      <c r="DN8" s="993">
        <v>10343.172838570001</v>
      </c>
      <c r="DO8" s="993">
        <v>10584.53099259</v>
      </c>
      <c r="DP8" s="993">
        <v>10769.64167906</v>
      </c>
      <c r="DQ8" s="993">
        <v>10889.74969981</v>
      </c>
      <c r="DR8" s="993">
        <v>11023.7346657</v>
      </c>
      <c r="DS8" s="993">
        <v>11165.14284441</v>
      </c>
      <c r="DT8" s="993">
        <v>11377.76447181</v>
      </c>
      <c r="DU8" s="993">
        <v>11677.08881306</v>
      </c>
      <c r="DV8" s="993">
        <v>11955.9738413</v>
      </c>
      <c r="DW8" s="993">
        <v>12165.63551942</v>
      </c>
      <c r="DX8" s="993">
        <v>12326.41694667</v>
      </c>
      <c r="DY8" s="993">
        <v>12656.24994496</v>
      </c>
      <c r="DZ8" s="993">
        <v>12945.850470400001</v>
      </c>
      <c r="EA8" s="993">
        <v>13019.06049285</v>
      </c>
      <c r="EB8" s="993">
        <v>13338.71316668</v>
      </c>
      <c r="EC8" s="993">
        <v>13515.026135939999</v>
      </c>
      <c r="ED8" s="993">
        <v>13604.574583670001</v>
      </c>
      <c r="EE8" s="993">
        <v>13779.339342359999</v>
      </c>
    </row>
    <row r="9" spans="1:205" ht="19.8">
      <c r="A9" s="948" t="s">
        <v>1981</v>
      </c>
      <c r="B9" s="949">
        <v>203.66571327</v>
      </c>
      <c r="C9" s="949">
        <v>218.70473271999998</v>
      </c>
      <c r="D9" s="949">
        <v>238.41179708999999</v>
      </c>
      <c r="E9" s="949">
        <v>243.85885109000003</v>
      </c>
      <c r="F9" s="949">
        <v>265.22080545</v>
      </c>
      <c r="G9" s="949">
        <v>274.97615418999999</v>
      </c>
      <c r="H9" s="949">
        <v>290.78014209000003</v>
      </c>
      <c r="I9" s="949">
        <v>312.04198859999997</v>
      </c>
      <c r="J9" s="949">
        <v>330.92117612999999</v>
      </c>
      <c r="K9" s="949">
        <v>348.84465638</v>
      </c>
      <c r="L9" s="949">
        <v>364.29915122</v>
      </c>
      <c r="M9" s="950">
        <v>392.48039172999995</v>
      </c>
      <c r="N9" s="950">
        <v>411.19484534000003</v>
      </c>
      <c r="O9" s="950">
        <v>420.94927804000008</v>
      </c>
      <c r="P9" s="950">
        <v>443.73007379000001</v>
      </c>
      <c r="Q9" s="950">
        <v>450.10162295999999</v>
      </c>
      <c r="R9" s="950">
        <v>464.61253657000003</v>
      </c>
      <c r="S9" s="950">
        <v>475.11422660000005</v>
      </c>
      <c r="T9" s="950">
        <v>497.92256012999997</v>
      </c>
      <c r="U9" s="950">
        <v>503.63258666000002</v>
      </c>
      <c r="V9" s="950">
        <v>523.30241130000013</v>
      </c>
      <c r="W9" s="950">
        <v>553.70656314000007</v>
      </c>
      <c r="X9" s="950">
        <v>557.27342995000004</v>
      </c>
      <c r="Y9" s="950">
        <v>591.20049481000001</v>
      </c>
      <c r="Z9" s="950">
        <v>615.70000000000005</v>
      </c>
      <c r="AA9" s="950">
        <v>670.19783125000004</v>
      </c>
      <c r="AB9" s="950">
        <v>685.15657996999994</v>
      </c>
      <c r="AC9" s="950">
        <v>663.63511814000003</v>
      </c>
      <c r="AD9" s="950">
        <v>652.56983934999994</v>
      </c>
      <c r="AE9" s="950">
        <v>642.44542064999996</v>
      </c>
      <c r="AF9" s="950">
        <v>632.48543055999994</v>
      </c>
      <c r="AG9" s="950">
        <v>630.87086547000001</v>
      </c>
      <c r="AH9" s="950">
        <v>626.4003544599999</v>
      </c>
      <c r="AI9" s="950">
        <v>615.49424133000002</v>
      </c>
      <c r="AJ9" s="950">
        <v>618.61007252999991</v>
      </c>
      <c r="AK9" s="950">
        <v>699.13054933000001</v>
      </c>
      <c r="AL9" s="950">
        <v>666.20757859000014</v>
      </c>
      <c r="AM9" s="950">
        <v>626.98112474000004</v>
      </c>
      <c r="AN9" s="950">
        <v>611.00252260999991</v>
      </c>
      <c r="AO9" s="950">
        <v>582.91191372000003</v>
      </c>
      <c r="AP9" s="950">
        <v>559.37772720999999</v>
      </c>
      <c r="AQ9" s="950">
        <v>557.48607903999994</v>
      </c>
      <c r="AR9" s="950">
        <v>543.67737364999994</v>
      </c>
      <c r="AS9" s="950">
        <v>545.19190574999993</v>
      </c>
      <c r="AT9" s="950">
        <v>532.8582217500001</v>
      </c>
      <c r="AU9" s="950">
        <v>517.91066069999999</v>
      </c>
      <c r="AV9" s="950">
        <v>520.19568146000006</v>
      </c>
      <c r="AW9" s="950">
        <v>509.13278719000004</v>
      </c>
      <c r="AX9" s="950">
        <v>520.47701625000002</v>
      </c>
      <c r="AY9" s="950">
        <v>490.09742122</v>
      </c>
      <c r="AZ9" s="950">
        <v>477.26190164999997</v>
      </c>
      <c r="BA9" s="950">
        <v>467.38372360000005</v>
      </c>
      <c r="BB9" s="950">
        <v>462.29563153999993</v>
      </c>
      <c r="BC9" s="950">
        <v>451.14592921000002</v>
      </c>
      <c r="BD9" s="950">
        <v>441.53991751000001</v>
      </c>
      <c r="BE9" s="950">
        <v>439.71609115000001</v>
      </c>
      <c r="BF9" s="950">
        <v>437.43521714999997</v>
      </c>
      <c r="BG9" s="951">
        <v>290.96891877999997</v>
      </c>
      <c r="BH9" s="999">
        <v>282.34570082000005</v>
      </c>
      <c r="BI9" s="994">
        <v>250.62210306</v>
      </c>
      <c r="BJ9" s="994">
        <v>257.14003023999999</v>
      </c>
      <c r="BK9" s="994">
        <v>259.72412456000001</v>
      </c>
      <c r="BL9" s="994">
        <v>271.40057364</v>
      </c>
      <c r="BM9" s="994">
        <v>284.91728982000001</v>
      </c>
      <c r="BN9" s="994">
        <v>298.62170628000001</v>
      </c>
      <c r="BO9" s="994">
        <v>304.15185147</v>
      </c>
      <c r="BP9" s="994">
        <v>319.16409217</v>
      </c>
      <c r="BQ9" s="994">
        <v>341.07483401999997</v>
      </c>
      <c r="BR9" s="994">
        <v>356.43424820000001</v>
      </c>
      <c r="BS9" s="994">
        <v>372.25026803999998</v>
      </c>
      <c r="BT9" s="994">
        <v>390.6231808</v>
      </c>
      <c r="BU9" s="994">
        <v>406.96781119000002</v>
      </c>
      <c r="BV9" s="994">
        <v>419.91047923999997</v>
      </c>
      <c r="BW9" s="994">
        <v>427.04040964999996</v>
      </c>
      <c r="BX9" s="994">
        <v>443.44451572000003</v>
      </c>
      <c r="BY9" s="994">
        <v>453.47729146999995</v>
      </c>
      <c r="BZ9" s="994">
        <v>461.12672806</v>
      </c>
      <c r="CA9" s="994">
        <v>463.17394149999996</v>
      </c>
      <c r="CB9" s="994">
        <v>461.59540937999998</v>
      </c>
      <c r="CC9" s="994">
        <v>474.08514445999998</v>
      </c>
      <c r="CD9" s="994">
        <v>485.27372124999999</v>
      </c>
      <c r="CE9" s="994">
        <v>491.48702281999999</v>
      </c>
      <c r="CF9" s="994">
        <v>507.71564654000008</v>
      </c>
      <c r="CG9" s="994">
        <v>518.95443244000001</v>
      </c>
      <c r="CH9" s="994">
        <v>537.31855610000002</v>
      </c>
      <c r="CI9" s="994">
        <v>539.11662103999993</v>
      </c>
      <c r="CJ9" s="994">
        <v>559.72783935999985</v>
      </c>
      <c r="CK9" s="994">
        <v>543.07001586999991</v>
      </c>
      <c r="CL9" s="994">
        <v>549.38760528</v>
      </c>
      <c r="CM9" s="994">
        <v>557.16447228999994</v>
      </c>
      <c r="CN9" s="994">
        <v>544.86354373000006</v>
      </c>
      <c r="CO9" s="994">
        <v>558.49873916999991</v>
      </c>
      <c r="CP9" s="994">
        <v>575.42596328999991</v>
      </c>
      <c r="CQ9" s="994">
        <v>569.16923495000003</v>
      </c>
      <c r="CR9" s="994">
        <v>576.50752728999987</v>
      </c>
      <c r="CS9" s="994">
        <v>563.62845802000004</v>
      </c>
      <c r="CT9" s="994">
        <v>568.69446108</v>
      </c>
      <c r="CU9" s="994">
        <v>574.44495085000005</v>
      </c>
      <c r="CV9" s="994">
        <v>591.81350957999996</v>
      </c>
      <c r="CW9" s="994">
        <v>590.48644849000004</v>
      </c>
      <c r="CX9" s="994">
        <v>606.50917583</v>
      </c>
      <c r="CY9" s="994">
        <v>625.54050872000005</v>
      </c>
      <c r="CZ9" s="994">
        <v>640.74230924999995</v>
      </c>
      <c r="DA9" s="994">
        <v>662.15613992999999</v>
      </c>
      <c r="DB9" s="994">
        <v>684.94513697000002</v>
      </c>
      <c r="DC9" s="994">
        <v>700.65092701000003</v>
      </c>
      <c r="DD9" s="994">
        <v>736.95427557999994</v>
      </c>
      <c r="DE9" s="994">
        <v>739.10232041999996</v>
      </c>
      <c r="DF9" s="994">
        <v>769.89369518000001</v>
      </c>
      <c r="DG9" s="994">
        <v>758.47734047999995</v>
      </c>
      <c r="DH9" s="994">
        <v>793.02372937999996</v>
      </c>
      <c r="DI9" s="994">
        <v>777.45113690999995</v>
      </c>
      <c r="DJ9" s="994">
        <v>800.07933630000002</v>
      </c>
      <c r="DK9" s="994">
        <v>819.51974065000002</v>
      </c>
      <c r="DL9" s="994">
        <v>822.13604544999998</v>
      </c>
      <c r="DM9" s="994">
        <v>837.00039572000003</v>
      </c>
      <c r="DN9" s="994">
        <v>839.85242621999998</v>
      </c>
      <c r="DO9" s="994">
        <v>849.17063056999996</v>
      </c>
      <c r="DP9" s="994">
        <v>856.66520227000001</v>
      </c>
      <c r="DQ9" s="994">
        <v>837.07543962</v>
      </c>
      <c r="DR9" s="994">
        <v>859.17244278999999</v>
      </c>
      <c r="DS9" s="994">
        <v>850.62589598</v>
      </c>
      <c r="DT9" s="994">
        <v>865.17419215999996</v>
      </c>
      <c r="DU9" s="994">
        <v>870.47928583999999</v>
      </c>
      <c r="DV9" s="994">
        <v>898.96788346999995</v>
      </c>
      <c r="DW9" s="994">
        <v>907.47950351999998</v>
      </c>
      <c r="DX9" s="994">
        <v>949.19194112000002</v>
      </c>
      <c r="DY9" s="994">
        <v>979.87915396999995</v>
      </c>
      <c r="DZ9" s="994">
        <v>1019.7168133500001</v>
      </c>
      <c r="EA9" s="994">
        <v>1054.7945529900001</v>
      </c>
      <c r="EB9" s="994">
        <v>1113.6033006</v>
      </c>
      <c r="EC9" s="994">
        <v>1125.4956545699999</v>
      </c>
      <c r="ED9" s="994">
        <v>1163.33784029</v>
      </c>
      <c r="EE9" s="994">
        <v>1169.6381535</v>
      </c>
    </row>
    <row r="10" spans="1:205" ht="19.8">
      <c r="A10" s="952" t="s">
        <v>189</v>
      </c>
      <c r="B10" s="945">
        <v>3007.3289011500001</v>
      </c>
      <c r="C10" s="945">
        <v>3090.94822531</v>
      </c>
      <c r="D10" s="945">
        <v>3232.0808761899998</v>
      </c>
      <c r="E10" s="945">
        <v>3382.1949422400003</v>
      </c>
      <c r="F10" s="945">
        <v>3521.2867241700001</v>
      </c>
      <c r="G10" s="945">
        <v>3611.3680608599998</v>
      </c>
      <c r="H10" s="945">
        <v>3752.7803082200003</v>
      </c>
      <c r="I10" s="945">
        <v>3866.1565139099994</v>
      </c>
      <c r="J10" s="945">
        <v>3943.9736853999998</v>
      </c>
      <c r="K10" s="945">
        <v>4069.0315271100008</v>
      </c>
      <c r="L10" s="945">
        <v>4191.5899135500003</v>
      </c>
      <c r="M10" s="946">
        <v>4351.2436055999988</v>
      </c>
      <c r="N10" s="946">
        <v>4432.59935219</v>
      </c>
      <c r="O10" s="946">
        <v>4498.9620008599995</v>
      </c>
      <c r="P10" s="946">
        <v>4581.2020761699996</v>
      </c>
      <c r="Q10" s="946">
        <v>4686.7511224899999</v>
      </c>
      <c r="R10" s="946">
        <v>4781.4481067699999</v>
      </c>
      <c r="S10" s="946">
        <v>4836.33447677</v>
      </c>
      <c r="T10" s="946">
        <v>4936.6504720800003</v>
      </c>
      <c r="U10" s="946">
        <v>5031.89298994</v>
      </c>
      <c r="V10" s="946">
        <v>5160.6276893900003</v>
      </c>
      <c r="W10" s="946">
        <v>5251.5533997399998</v>
      </c>
      <c r="X10" s="946">
        <v>5357.8416869699995</v>
      </c>
      <c r="Y10" s="946">
        <v>5450.0291277900005</v>
      </c>
      <c r="Z10" s="946">
        <v>5476</v>
      </c>
      <c r="AA10" s="946">
        <v>5436.8089936800006</v>
      </c>
      <c r="AB10" s="946">
        <v>5361.4729497999997</v>
      </c>
      <c r="AC10" s="946">
        <v>5273.6150356099997</v>
      </c>
      <c r="AD10" s="946">
        <v>5097.1383499100011</v>
      </c>
      <c r="AE10" s="946">
        <v>4939.72438874</v>
      </c>
      <c r="AF10" s="946">
        <v>4841.5917679200002</v>
      </c>
      <c r="AG10" s="946">
        <v>4848.6462036400007</v>
      </c>
      <c r="AH10" s="946">
        <v>4848.7843027899999</v>
      </c>
      <c r="AI10" s="946">
        <v>4848.1079172499994</v>
      </c>
      <c r="AJ10" s="946">
        <v>4885.4220506199999</v>
      </c>
      <c r="AK10" s="946">
        <v>4891.0421081400009</v>
      </c>
      <c r="AL10" s="946">
        <v>4621.8928876800001</v>
      </c>
      <c r="AM10" s="946">
        <v>4491.5980365100004</v>
      </c>
      <c r="AN10" s="946">
        <v>4461.0120295799998</v>
      </c>
      <c r="AO10" s="946">
        <v>4294.3644083999998</v>
      </c>
      <c r="AP10" s="946">
        <v>4189.1209381099998</v>
      </c>
      <c r="AQ10" s="946">
        <v>4187.9195313299997</v>
      </c>
      <c r="AR10" s="946">
        <v>3760.5958005599996</v>
      </c>
      <c r="AS10" s="946">
        <v>3839.45448584</v>
      </c>
      <c r="AT10" s="946">
        <v>3863.7106142900002</v>
      </c>
      <c r="AU10" s="946">
        <v>3779.1657670499999</v>
      </c>
      <c r="AV10" s="946">
        <v>3785.8214143900004</v>
      </c>
      <c r="AW10" s="946">
        <v>3772.5907118</v>
      </c>
      <c r="AX10" s="946">
        <v>3721.2876250199997</v>
      </c>
      <c r="AY10" s="946">
        <v>3656.1013030099998</v>
      </c>
      <c r="AZ10" s="946">
        <v>3594.4524682000001</v>
      </c>
      <c r="BA10" s="946">
        <v>3539.0965781499995</v>
      </c>
      <c r="BB10" s="946">
        <v>3481.7426164899998</v>
      </c>
      <c r="BC10" s="946">
        <v>3445.2088459799998</v>
      </c>
      <c r="BD10" s="946">
        <v>3402.4733747399996</v>
      </c>
      <c r="BE10" s="946">
        <v>3410.58153623</v>
      </c>
      <c r="BF10" s="946">
        <v>3400.0225953600007</v>
      </c>
      <c r="BG10" s="947">
        <v>3412.4216208299999</v>
      </c>
      <c r="BH10" s="998">
        <v>3442.8461192200002</v>
      </c>
      <c r="BI10" s="993">
        <v>3471.2892138500001</v>
      </c>
      <c r="BJ10" s="993">
        <v>3449.2292955399998</v>
      </c>
      <c r="BK10" s="993">
        <v>3513.0055625299992</v>
      </c>
      <c r="BL10" s="993">
        <v>3574.81592219</v>
      </c>
      <c r="BM10" s="993">
        <v>3682.4427891300002</v>
      </c>
      <c r="BN10" s="993">
        <v>3814.11965306</v>
      </c>
      <c r="BO10" s="993">
        <v>3891.0524255800001</v>
      </c>
      <c r="BP10" s="993">
        <v>3955.8652683099999</v>
      </c>
      <c r="BQ10" s="993">
        <v>4085.4636947399999</v>
      </c>
      <c r="BR10" s="993">
        <v>4178.1291030100001</v>
      </c>
      <c r="BS10" s="993">
        <v>4279.5912167699998</v>
      </c>
      <c r="BT10" s="993">
        <v>4464.4627233699994</v>
      </c>
      <c r="BU10" s="993">
        <v>4513.1346076</v>
      </c>
      <c r="BV10" s="993">
        <v>4536.4942556300002</v>
      </c>
      <c r="BW10" s="993">
        <v>4603.84983483</v>
      </c>
      <c r="BX10" s="993">
        <v>4680.1839624900003</v>
      </c>
      <c r="BY10" s="993">
        <v>4808.0851837499995</v>
      </c>
      <c r="BZ10" s="993">
        <v>4951.32120012</v>
      </c>
      <c r="CA10" s="993">
        <v>5060.0660682700009</v>
      </c>
      <c r="CB10" s="993">
        <v>5204.7566673900001</v>
      </c>
      <c r="CC10" s="993">
        <v>5359.9187852500008</v>
      </c>
      <c r="CD10" s="993">
        <v>5523.2813108</v>
      </c>
      <c r="CE10" s="993">
        <v>5669.50177343</v>
      </c>
      <c r="CF10" s="993">
        <v>5775.7028787700001</v>
      </c>
      <c r="CG10" s="993">
        <v>5940.4650871499998</v>
      </c>
      <c r="CH10" s="993">
        <v>5975.9417927800005</v>
      </c>
      <c r="CI10" s="993">
        <v>6077.9394610499994</v>
      </c>
      <c r="CJ10" s="993">
        <v>6117.36039936</v>
      </c>
      <c r="CK10" s="993">
        <v>5874.4547937400002</v>
      </c>
      <c r="CL10" s="993">
        <v>5752.7402079699996</v>
      </c>
      <c r="CM10" s="993">
        <v>5770.7496082799989</v>
      </c>
      <c r="CN10" s="993">
        <v>5786.1615436800002</v>
      </c>
      <c r="CO10" s="993">
        <v>5883.9212861799988</v>
      </c>
      <c r="CP10" s="993">
        <v>6007.4919968799995</v>
      </c>
      <c r="CQ10" s="993">
        <v>6001.6431569499991</v>
      </c>
      <c r="CR10" s="993">
        <v>5999.4493794700002</v>
      </c>
      <c r="CS10" s="993">
        <v>5963.2460082300004</v>
      </c>
      <c r="CT10" s="993">
        <v>6010.0930816600003</v>
      </c>
      <c r="CU10" s="993">
        <v>6087.3657335300004</v>
      </c>
      <c r="CV10" s="993">
        <v>6189.3918133899997</v>
      </c>
      <c r="CW10" s="993">
        <v>6360.06463988</v>
      </c>
      <c r="CX10" s="993">
        <v>6472.6241129399996</v>
      </c>
      <c r="CY10" s="993">
        <v>6628.7720579300003</v>
      </c>
      <c r="CZ10" s="993">
        <v>6767.8801058899999</v>
      </c>
      <c r="DA10" s="993">
        <v>6983.3171064199996</v>
      </c>
      <c r="DB10" s="993">
        <v>7210.6027707399999</v>
      </c>
      <c r="DC10" s="993">
        <v>7404.0979354000001</v>
      </c>
      <c r="DD10" s="993">
        <v>7631.0883191000003</v>
      </c>
      <c r="DE10" s="993">
        <v>7900.48016009</v>
      </c>
      <c r="DF10" s="993">
        <v>8071.2342128800001</v>
      </c>
      <c r="DG10" s="993">
        <v>8248.39990941</v>
      </c>
      <c r="DH10" s="993">
        <v>8494.6713946399996</v>
      </c>
      <c r="DI10" s="993">
        <v>8758.8750861000008</v>
      </c>
      <c r="DJ10" s="993">
        <v>8974.3753586399998</v>
      </c>
      <c r="DK10" s="993">
        <v>9225.88803568</v>
      </c>
      <c r="DL10" s="993">
        <v>9380.4962871299995</v>
      </c>
      <c r="DM10" s="993">
        <v>9611.7658475900007</v>
      </c>
      <c r="DN10" s="993">
        <v>9868.7927778100002</v>
      </c>
      <c r="DO10" s="993">
        <v>10096.88202386</v>
      </c>
      <c r="DP10" s="993">
        <v>10289.376567990001</v>
      </c>
      <c r="DQ10" s="993">
        <v>10431.415731180001</v>
      </c>
      <c r="DR10" s="993">
        <v>10567.255872010001</v>
      </c>
      <c r="DS10" s="993">
        <v>10712.37848313</v>
      </c>
      <c r="DT10" s="993">
        <v>10933.18935895</v>
      </c>
      <c r="DU10" s="993">
        <v>11223.044237939999</v>
      </c>
      <c r="DV10" s="993">
        <v>11494.741782929999</v>
      </c>
      <c r="DW10" s="993">
        <v>11715.447307099999</v>
      </c>
      <c r="DX10" s="993">
        <v>12023.68401734</v>
      </c>
      <c r="DY10" s="993">
        <v>12347.62007504</v>
      </c>
      <c r="DZ10" s="993">
        <v>12617.372115779999</v>
      </c>
      <c r="EA10" s="993">
        <v>12708.01319639</v>
      </c>
      <c r="EB10" s="993">
        <v>13027.26233811</v>
      </c>
      <c r="EC10" s="993">
        <v>13203.44236257</v>
      </c>
      <c r="ED10" s="993">
        <v>13306.711423369999</v>
      </c>
      <c r="EE10" s="993">
        <v>13489.635920389999</v>
      </c>
    </row>
    <row r="11" spans="1:205" ht="19.8">
      <c r="A11" s="948" t="s">
        <v>1981</v>
      </c>
      <c r="B11" s="949">
        <v>109.64487560000001</v>
      </c>
      <c r="C11" s="949">
        <v>121.28549662</v>
      </c>
      <c r="D11" s="949">
        <v>135.66314795</v>
      </c>
      <c r="E11" s="949">
        <v>141.56863710000002</v>
      </c>
      <c r="F11" s="949">
        <v>156.02506714</v>
      </c>
      <c r="G11" s="949">
        <v>162.03606468000001</v>
      </c>
      <c r="H11" s="949">
        <v>176.13505711000002</v>
      </c>
      <c r="I11" s="949">
        <v>187.89264433</v>
      </c>
      <c r="J11" s="949">
        <v>207.07547869000001</v>
      </c>
      <c r="K11" s="949">
        <v>223.52145536999998</v>
      </c>
      <c r="L11" s="949">
        <v>237.69682075</v>
      </c>
      <c r="M11" s="950">
        <v>266.55847694999994</v>
      </c>
      <c r="N11" s="950">
        <v>284.77756248000003</v>
      </c>
      <c r="O11" s="950">
        <v>291.72324699000006</v>
      </c>
      <c r="P11" s="950">
        <v>313.46911776000002</v>
      </c>
      <c r="Q11" s="950">
        <v>320.92036603999998</v>
      </c>
      <c r="R11" s="950">
        <v>333.91315064000003</v>
      </c>
      <c r="S11" s="950">
        <v>342.35854540000003</v>
      </c>
      <c r="T11" s="950">
        <v>361.02467277</v>
      </c>
      <c r="U11" s="950">
        <v>370.31658686000003</v>
      </c>
      <c r="V11" s="950">
        <v>391.44351058000007</v>
      </c>
      <c r="W11" s="950">
        <v>419.36403817000001</v>
      </c>
      <c r="X11" s="950">
        <v>424.89191428999999</v>
      </c>
      <c r="Y11" s="950">
        <v>456.41319727000001</v>
      </c>
      <c r="Z11" s="950">
        <v>475.1</v>
      </c>
      <c r="AA11" s="950">
        <v>480.00369860000001</v>
      </c>
      <c r="AB11" s="950">
        <v>485.77310023999996</v>
      </c>
      <c r="AC11" s="950">
        <v>468.79964336</v>
      </c>
      <c r="AD11" s="950">
        <v>449.80672083000002</v>
      </c>
      <c r="AE11" s="950">
        <v>433.91516184999995</v>
      </c>
      <c r="AF11" s="950">
        <v>419.47817741</v>
      </c>
      <c r="AG11" s="950">
        <v>420.96434250999999</v>
      </c>
      <c r="AH11" s="950">
        <v>418.68461821999995</v>
      </c>
      <c r="AI11" s="950">
        <v>407.58842679999998</v>
      </c>
      <c r="AJ11" s="950">
        <v>415.29304942999994</v>
      </c>
      <c r="AK11" s="950">
        <v>412.26325948000004</v>
      </c>
      <c r="AL11" s="950">
        <v>399.95312090000004</v>
      </c>
      <c r="AM11" s="950">
        <v>374.47164679999997</v>
      </c>
      <c r="AN11" s="950">
        <v>362.67910459999996</v>
      </c>
      <c r="AO11" s="950">
        <v>348.99744654</v>
      </c>
      <c r="AP11" s="950">
        <v>333.85693526</v>
      </c>
      <c r="AQ11" s="950">
        <v>330.08464553999994</v>
      </c>
      <c r="AR11" s="950">
        <v>320.65499043</v>
      </c>
      <c r="AS11" s="950">
        <v>318.32308602999996</v>
      </c>
      <c r="AT11" s="950">
        <v>313.53172043000006</v>
      </c>
      <c r="AU11" s="950">
        <v>305.05788690999998</v>
      </c>
      <c r="AV11" s="950">
        <v>300.33248001000004</v>
      </c>
      <c r="AW11" s="950">
        <v>288.96224673</v>
      </c>
      <c r="AX11" s="950">
        <v>284.23206454000001</v>
      </c>
      <c r="AY11" s="950">
        <v>277.77204289999997</v>
      </c>
      <c r="AZ11" s="950">
        <v>270.14705157999998</v>
      </c>
      <c r="BA11" s="950">
        <v>263.74866704999999</v>
      </c>
      <c r="BB11" s="950">
        <v>258.17544622999998</v>
      </c>
      <c r="BC11" s="950">
        <v>246.80742617000001</v>
      </c>
      <c r="BD11" s="950">
        <f>+BD18+BD25</f>
        <v>229.93546345999997</v>
      </c>
      <c r="BE11" s="950">
        <f>+BE18+BE25</f>
        <v>227.69336883</v>
      </c>
      <c r="BF11" s="950">
        <v>227.49107595999999</v>
      </c>
      <c r="BG11" s="951">
        <v>213.45087240999999</v>
      </c>
      <c r="BH11" s="999">
        <v>211.54716649000002</v>
      </c>
      <c r="BI11" s="994">
        <v>212.30604743000001</v>
      </c>
      <c r="BJ11" s="994">
        <v>217.46054226999999</v>
      </c>
      <c r="BK11" s="994">
        <v>221.55877949000001</v>
      </c>
      <c r="BL11" s="994">
        <v>230.55917048999999</v>
      </c>
      <c r="BM11" s="994">
        <v>243.50049168000001</v>
      </c>
      <c r="BN11" s="994">
        <v>256.83249612999998</v>
      </c>
      <c r="BO11" s="994">
        <v>262.89617716999999</v>
      </c>
      <c r="BP11" s="994">
        <v>276.26869103000001</v>
      </c>
      <c r="BQ11" s="994">
        <v>298.41144423999998</v>
      </c>
      <c r="BR11" s="994">
        <v>314.15537383000003</v>
      </c>
      <c r="BS11" s="994">
        <v>330.54489640999998</v>
      </c>
      <c r="BT11" s="994">
        <v>349.15029573999999</v>
      </c>
      <c r="BU11" s="994">
        <v>367.36550402</v>
      </c>
      <c r="BV11" s="994">
        <v>380.88266944999998</v>
      </c>
      <c r="BW11" s="994">
        <v>387.45413451999997</v>
      </c>
      <c r="BX11" s="994">
        <v>402.55189244000002</v>
      </c>
      <c r="BY11" s="994">
        <v>413.61993129999996</v>
      </c>
      <c r="BZ11" s="994">
        <v>422.32227526999998</v>
      </c>
      <c r="CA11" s="994">
        <v>424.13631291999997</v>
      </c>
      <c r="CB11" s="994">
        <v>426.49689622</v>
      </c>
      <c r="CC11" s="994">
        <v>437.78978567999997</v>
      </c>
      <c r="CD11" s="994">
        <v>449.43599799000003</v>
      </c>
      <c r="CE11" s="994">
        <v>456.18842529</v>
      </c>
      <c r="CF11" s="994">
        <v>472.70109507000006</v>
      </c>
      <c r="CG11" s="994">
        <v>490.05561967999995</v>
      </c>
      <c r="CH11" s="994">
        <v>509.25990904999998</v>
      </c>
      <c r="CI11" s="994">
        <v>511.42879412999997</v>
      </c>
      <c r="CJ11" s="994">
        <v>534.2140569799999</v>
      </c>
      <c r="CK11" s="994">
        <v>518.66140538999991</v>
      </c>
      <c r="CL11" s="994">
        <v>527.34694708999996</v>
      </c>
      <c r="CM11" s="994">
        <v>536.13046166999993</v>
      </c>
      <c r="CN11" s="994">
        <v>524.73806994000006</v>
      </c>
      <c r="CO11" s="994">
        <v>538.29577158999996</v>
      </c>
      <c r="CP11" s="994">
        <v>556.97596984999996</v>
      </c>
      <c r="CQ11" s="994">
        <v>552.20359936</v>
      </c>
      <c r="CR11" s="994">
        <v>560.44335084999989</v>
      </c>
      <c r="CS11" s="994">
        <v>549.11371584000005</v>
      </c>
      <c r="CT11" s="994">
        <v>556.90792784999996</v>
      </c>
      <c r="CU11" s="994">
        <v>563.59105219000003</v>
      </c>
      <c r="CV11" s="994">
        <v>580.83652690999998</v>
      </c>
      <c r="CW11" s="994">
        <v>579.89130905000002</v>
      </c>
      <c r="CX11" s="994">
        <v>594.86313987000005</v>
      </c>
      <c r="CY11" s="994">
        <v>614.36385677999999</v>
      </c>
      <c r="CZ11" s="994">
        <v>629.29816189999997</v>
      </c>
      <c r="DA11" s="994">
        <v>651.10464998999998</v>
      </c>
      <c r="DB11" s="994">
        <v>673.34919431000003</v>
      </c>
      <c r="DC11" s="994">
        <v>689.51766098999997</v>
      </c>
      <c r="DD11" s="994">
        <v>725.02608255999996</v>
      </c>
      <c r="DE11" s="994">
        <v>727.01388551000002</v>
      </c>
      <c r="DF11" s="994">
        <v>757.57995235999999</v>
      </c>
      <c r="DG11" s="994">
        <v>744.93979461000004</v>
      </c>
      <c r="DH11" s="994">
        <v>778.02920731999995</v>
      </c>
      <c r="DI11" s="994">
        <v>763.47521612000003</v>
      </c>
      <c r="DJ11" s="994">
        <v>785.27427822000004</v>
      </c>
      <c r="DK11" s="994">
        <v>804.45849963000001</v>
      </c>
      <c r="DL11" s="994">
        <v>807.52011835999997</v>
      </c>
      <c r="DM11" s="994">
        <v>821.74021418999996</v>
      </c>
      <c r="DN11" s="994">
        <v>824.77940455999999</v>
      </c>
      <c r="DO11" s="994">
        <v>833.79472595000004</v>
      </c>
      <c r="DP11" s="994">
        <v>843.15346564000004</v>
      </c>
      <c r="DQ11" s="994">
        <v>823.70285836000005</v>
      </c>
      <c r="DR11" s="994">
        <v>844.73148661000005</v>
      </c>
      <c r="DS11" s="994">
        <v>835.50161007999998</v>
      </c>
      <c r="DT11" s="994">
        <v>849.14651829000002</v>
      </c>
      <c r="DU11" s="994">
        <v>855.02625657999999</v>
      </c>
      <c r="DV11" s="994">
        <v>882.95018257000004</v>
      </c>
      <c r="DW11" s="994">
        <v>891.44928250999999</v>
      </c>
      <c r="DX11" s="994">
        <v>932.31079018000003</v>
      </c>
      <c r="DY11" s="994">
        <v>961.98355317999994</v>
      </c>
      <c r="DZ11" s="994">
        <v>1002.1262007300001</v>
      </c>
      <c r="EA11" s="994">
        <v>1037.52218492</v>
      </c>
      <c r="EB11" s="994">
        <v>1096.73524484</v>
      </c>
      <c r="EC11" s="994">
        <v>1109.4842685799999</v>
      </c>
      <c r="ED11" s="994">
        <v>1146.86806153</v>
      </c>
      <c r="EE11" s="994">
        <v>1153.1173234299999</v>
      </c>
    </row>
    <row r="12" spans="1:205" ht="19.8">
      <c r="A12" s="952" t="s">
        <v>2818</v>
      </c>
      <c r="B12" s="945">
        <v>1118.9754504900002</v>
      </c>
      <c r="C12" s="945">
        <v>1152.2878968699999</v>
      </c>
      <c r="D12" s="945">
        <v>1163.1497762099998</v>
      </c>
      <c r="E12" s="945">
        <v>1189.5949795500001</v>
      </c>
      <c r="F12" s="945">
        <v>1225.5165745000002</v>
      </c>
      <c r="G12" s="945">
        <v>1245.7607931399998</v>
      </c>
      <c r="H12" s="945">
        <v>1293.27638243</v>
      </c>
      <c r="I12" s="945">
        <v>1325.13251597</v>
      </c>
      <c r="J12" s="945">
        <v>1363.5687453</v>
      </c>
      <c r="K12" s="945">
        <v>1396.4808956300001</v>
      </c>
      <c r="L12" s="945">
        <v>1422.3964962699999</v>
      </c>
      <c r="M12" s="946">
        <v>1442.2653167899998</v>
      </c>
      <c r="N12" s="946">
        <v>1426.58924791</v>
      </c>
      <c r="O12" s="946">
        <v>1432.7017268</v>
      </c>
      <c r="P12" s="946">
        <v>1429.2284908399999</v>
      </c>
      <c r="Q12" s="946">
        <v>1471.9956829499999</v>
      </c>
      <c r="R12" s="946">
        <v>1507.96217112</v>
      </c>
      <c r="S12" s="946">
        <v>1531.3613611399999</v>
      </c>
      <c r="T12" s="946">
        <v>1565.8198892999997</v>
      </c>
      <c r="U12" s="946">
        <v>1587.38732179</v>
      </c>
      <c r="V12" s="946">
        <v>1609.1889357700002</v>
      </c>
      <c r="W12" s="946">
        <v>1627.4772531600001</v>
      </c>
      <c r="X12" s="946">
        <v>1665.4933462099998</v>
      </c>
      <c r="Y12" s="946">
        <v>1777.0449845200001</v>
      </c>
      <c r="Z12" s="946">
        <v>1715.0759568499998</v>
      </c>
      <c r="AA12" s="946">
        <v>2446.9113402600001</v>
      </c>
      <c r="AB12" s="946">
        <v>2402.1378160200002</v>
      </c>
      <c r="AC12" s="946">
        <v>2390.5237525000002</v>
      </c>
      <c r="AD12" s="946">
        <v>2412.7103131399999</v>
      </c>
      <c r="AE12" s="946">
        <v>2411.3044037899999</v>
      </c>
      <c r="AF12" s="946">
        <v>2390.6699366200005</v>
      </c>
      <c r="AG12" s="946">
        <v>2298.0494589099999</v>
      </c>
      <c r="AH12" s="946">
        <v>2205.7733441400001</v>
      </c>
      <c r="AI12" s="946">
        <v>2180.6216067199998</v>
      </c>
      <c r="AJ12" s="946">
        <v>2116.24155832</v>
      </c>
      <c r="AK12" s="946">
        <v>2964.2228205599999</v>
      </c>
      <c r="AL12" s="946">
        <v>2895.2521508799996</v>
      </c>
      <c r="AM12" s="946">
        <v>2698.7603103800002</v>
      </c>
      <c r="AN12" s="946">
        <v>2572.8745697300001</v>
      </c>
      <c r="AO12" s="946">
        <v>2414.0398331800002</v>
      </c>
      <c r="AP12" s="946">
        <v>2266.5360944100003</v>
      </c>
      <c r="AQ12" s="946">
        <v>2246.9282059899997</v>
      </c>
      <c r="AR12" s="946">
        <v>2045.0177238800002</v>
      </c>
      <c r="AS12" s="946">
        <v>2001.4521388100002</v>
      </c>
      <c r="AT12" s="946">
        <v>1896.9793109499999</v>
      </c>
      <c r="AU12" s="946">
        <v>1751.2622097000001</v>
      </c>
      <c r="AV12" s="946">
        <v>1766.7632904100001</v>
      </c>
      <c r="AW12" s="946">
        <v>1710.4993388799999</v>
      </c>
      <c r="AX12" s="946">
        <v>1755.11772675</v>
      </c>
      <c r="AY12" s="946">
        <v>1534.92654754</v>
      </c>
      <c r="AZ12" s="946">
        <v>1461.27174782</v>
      </c>
      <c r="BA12" s="946">
        <v>1410.9042625700004</v>
      </c>
      <c r="BB12" s="946">
        <v>1403.6110252800001</v>
      </c>
      <c r="BC12" s="946">
        <v>1367.3044553100001</v>
      </c>
      <c r="BD12" s="946">
        <v>1284.1316509799999</v>
      </c>
      <c r="BE12" s="946">
        <v>1233.1002199899999</v>
      </c>
      <c r="BF12" s="946">
        <v>1202.0995306299999</v>
      </c>
      <c r="BG12" s="947">
        <v>1028.22706225</v>
      </c>
      <c r="BH12" s="998">
        <v>988.74838106000016</v>
      </c>
      <c r="BI12" s="993">
        <v>894.56148689999986</v>
      </c>
      <c r="BJ12" s="993">
        <v>865.60608217000004</v>
      </c>
      <c r="BK12" s="993">
        <v>854.31462294999994</v>
      </c>
      <c r="BL12" s="993">
        <v>852.36567400999991</v>
      </c>
      <c r="BM12" s="993">
        <v>819.13545660999989</v>
      </c>
      <c r="BN12" s="993">
        <v>797.92133429</v>
      </c>
      <c r="BO12" s="993">
        <v>745.31763974000023</v>
      </c>
      <c r="BP12" s="993">
        <v>725.72520822000001</v>
      </c>
      <c r="BQ12" s="993">
        <v>699.33967497999981</v>
      </c>
      <c r="BR12" s="993">
        <v>680.09230952000007</v>
      </c>
      <c r="BS12" s="993">
        <v>636.95195928999999</v>
      </c>
      <c r="BT12" s="993">
        <v>643.27245014000005</v>
      </c>
      <c r="BU12" s="993">
        <v>616.46353012999998</v>
      </c>
      <c r="BV12" s="993">
        <v>589.58082229999991</v>
      </c>
      <c r="BW12" s="993">
        <v>584.13150489999998</v>
      </c>
      <c r="BX12" s="993">
        <v>571.82776231000003</v>
      </c>
      <c r="BY12" s="993">
        <v>534.12724946000003</v>
      </c>
      <c r="BZ12" s="993">
        <v>533.59855442999992</v>
      </c>
      <c r="CA12" s="993">
        <v>568.16183777000003</v>
      </c>
      <c r="CB12" s="993">
        <v>545.48773340000002</v>
      </c>
      <c r="CC12" s="993">
        <v>543.62833562000003</v>
      </c>
      <c r="CD12" s="993">
        <v>551.71554939999999</v>
      </c>
      <c r="CE12" s="993">
        <v>544.39971009999999</v>
      </c>
      <c r="CF12" s="993">
        <v>821.80861086000004</v>
      </c>
      <c r="CG12" s="993">
        <v>802.12731838000002</v>
      </c>
      <c r="CH12" s="993">
        <v>792.92887881000001</v>
      </c>
      <c r="CI12" s="993">
        <v>785.46849539000004</v>
      </c>
      <c r="CJ12" s="993">
        <v>596.13322619999997</v>
      </c>
      <c r="CK12" s="993">
        <v>582.46365166999999</v>
      </c>
      <c r="CL12" s="993">
        <v>575.28024237</v>
      </c>
      <c r="CM12" s="993">
        <v>530.00399465999999</v>
      </c>
      <c r="CN12" s="993">
        <v>535.08312854000008</v>
      </c>
      <c r="CO12" s="993">
        <v>536.36611958000003</v>
      </c>
      <c r="CP12" s="993">
        <v>534.32542537999996</v>
      </c>
      <c r="CQ12" s="993">
        <v>524.82872872999997</v>
      </c>
      <c r="CR12" s="993">
        <v>519.30589574999999</v>
      </c>
      <c r="CS12" s="993">
        <v>513.76788988999999</v>
      </c>
      <c r="CT12" s="993">
        <v>539.33153106999998</v>
      </c>
      <c r="CU12" s="993">
        <v>451.71604268999999</v>
      </c>
      <c r="CV12" s="993">
        <v>442.72739919000003</v>
      </c>
      <c r="CW12" s="993">
        <v>447.40553677000003</v>
      </c>
      <c r="CX12" s="993">
        <v>442.14896262000002</v>
      </c>
      <c r="CY12" s="993">
        <v>437.46340319000001</v>
      </c>
      <c r="CZ12" s="993">
        <v>438.08744804999998</v>
      </c>
      <c r="DA12" s="993">
        <v>451.42384043999999</v>
      </c>
      <c r="DB12" s="993">
        <v>450.73942462999997</v>
      </c>
      <c r="DC12" s="993">
        <v>448.41109184999999</v>
      </c>
      <c r="DD12" s="993">
        <v>421.33461087000001</v>
      </c>
      <c r="DE12" s="993">
        <v>420.04387552999998</v>
      </c>
      <c r="DF12" s="993">
        <v>409.73620278999999</v>
      </c>
      <c r="DG12" s="993">
        <v>413.27825217999998</v>
      </c>
      <c r="DH12" s="993">
        <v>467.22981320999997</v>
      </c>
      <c r="DI12" s="993">
        <v>400.88186910000002</v>
      </c>
      <c r="DJ12" s="993">
        <v>408.06520205999999</v>
      </c>
      <c r="DK12" s="993">
        <v>377.16708569999997</v>
      </c>
      <c r="DL12" s="993">
        <v>409.32837494</v>
      </c>
      <c r="DM12" s="993">
        <v>397.54901547999998</v>
      </c>
      <c r="DN12" s="993">
        <v>474.38006075999999</v>
      </c>
      <c r="DO12" s="993">
        <v>487.64896872999998</v>
      </c>
      <c r="DP12" s="993">
        <v>480.26511106999999</v>
      </c>
      <c r="DQ12" s="993">
        <v>458.33396863000002</v>
      </c>
      <c r="DR12" s="993">
        <v>456.47879368999997</v>
      </c>
      <c r="DS12" s="993">
        <v>452.76436128</v>
      </c>
      <c r="DT12" s="993">
        <v>444.57511285999999</v>
      </c>
      <c r="DU12" s="993">
        <v>454.04457511999999</v>
      </c>
      <c r="DV12" s="993">
        <v>461.23205837</v>
      </c>
      <c r="DW12" s="993">
        <v>450.18821231999999</v>
      </c>
      <c r="DX12" s="993">
        <v>302.73292932999999</v>
      </c>
      <c r="DY12" s="993">
        <v>308.62986991999998</v>
      </c>
      <c r="DZ12" s="993">
        <v>328.47835462</v>
      </c>
      <c r="EA12" s="993">
        <v>311.04729645999998</v>
      </c>
      <c r="EB12" s="993">
        <v>311.45082857</v>
      </c>
      <c r="EC12" s="993">
        <v>311.58377337000002</v>
      </c>
      <c r="ED12" s="993">
        <v>297.8631603</v>
      </c>
      <c r="EE12" s="993">
        <v>289.70342197000002</v>
      </c>
    </row>
    <row r="13" spans="1:205" ht="19.8">
      <c r="A13" s="948" t="s">
        <v>1981</v>
      </c>
      <c r="B13" s="949">
        <v>94.020837669999992</v>
      </c>
      <c r="C13" s="949">
        <v>97.419236099999992</v>
      </c>
      <c r="D13" s="949">
        <v>102.74864914</v>
      </c>
      <c r="E13" s="949">
        <v>102.29021399000001</v>
      </c>
      <c r="F13" s="949">
        <v>109.19573831</v>
      </c>
      <c r="G13" s="949">
        <v>112.94008950999999</v>
      </c>
      <c r="H13" s="949">
        <v>114.64508498000001</v>
      </c>
      <c r="I13" s="949">
        <v>124.14934427</v>
      </c>
      <c r="J13" s="949">
        <v>123.84569744</v>
      </c>
      <c r="K13" s="949">
        <v>125.32320101000001</v>
      </c>
      <c r="L13" s="949">
        <v>126.60233047</v>
      </c>
      <c r="M13" s="950">
        <v>125.92191477999999</v>
      </c>
      <c r="N13" s="950">
        <v>126.41728286000001</v>
      </c>
      <c r="O13" s="950">
        <v>129.22603105000002</v>
      </c>
      <c r="P13" s="950">
        <v>130.26095602999999</v>
      </c>
      <c r="Q13" s="950">
        <v>129.18125692000001</v>
      </c>
      <c r="R13" s="950">
        <v>130.69938593000001</v>
      </c>
      <c r="S13" s="950">
        <v>132.7556812</v>
      </c>
      <c r="T13" s="950">
        <v>136.89788735999997</v>
      </c>
      <c r="U13" s="950">
        <v>133.31599979999999</v>
      </c>
      <c r="V13" s="950">
        <v>131.85890072000001</v>
      </c>
      <c r="W13" s="950">
        <v>134.34252497</v>
      </c>
      <c r="X13" s="950">
        <v>132.38151565999999</v>
      </c>
      <c r="Y13" s="950">
        <v>134.78729754</v>
      </c>
      <c r="Z13" s="950">
        <v>140.59290402999997</v>
      </c>
      <c r="AA13" s="950">
        <v>190.19413265</v>
      </c>
      <c r="AB13" s="950">
        <v>199.38347973</v>
      </c>
      <c r="AC13" s="950">
        <v>194.83547478</v>
      </c>
      <c r="AD13" s="950">
        <v>202.76311851999998</v>
      </c>
      <c r="AE13" s="950">
        <v>208.53025879999998</v>
      </c>
      <c r="AF13" s="950">
        <v>213.00725315</v>
      </c>
      <c r="AG13" s="950">
        <v>209.90652295999999</v>
      </c>
      <c r="AH13" s="950">
        <v>207.71573623999998</v>
      </c>
      <c r="AI13" s="950">
        <v>207.90581453000001</v>
      </c>
      <c r="AJ13" s="950">
        <v>203.3170231</v>
      </c>
      <c r="AK13" s="950">
        <v>286.86728984999996</v>
      </c>
      <c r="AL13" s="950">
        <v>266.25445769000004</v>
      </c>
      <c r="AM13" s="950">
        <v>252.50947794000001</v>
      </c>
      <c r="AN13" s="950">
        <v>248.32341800999998</v>
      </c>
      <c r="AO13" s="950">
        <v>233.91446717999997</v>
      </c>
      <c r="AP13" s="950">
        <v>225.52079194999999</v>
      </c>
      <c r="AQ13" s="950">
        <v>227.4014335</v>
      </c>
      <c r="AR13" s="950">
        <v>223.02238321999997</v>
      </c>
      <c r="AS13" s="950">
        <v>226.86881971999998</v>
      </c>
      <c r="AT13" s="950">
        <v>219.32650132000001</v>
      </c>
      <c r="AU13" s="950">
        <v>212.85277379000001</v>
      </c>
      <c r="AV13" s="950">
        <v>219.86320144999999</v>
      </c>
      <c r="AW13" s="950">
        <v>220.17054046000001</v>
      </c>
      <c r="AX13" s="950">
        <v>236.24495171000001</v>
      </c>
      <c r="AY13" s="950">
        <v>212.32537832000003</v>
      </c>
      <c r="AZ13" s="950">
        <v>207.11485006999999</v>
      </c>
      <c r="BA13" s="950">
        <v>203.63505655000003</v>
      </c>
      <c r="BB13" s="950">
        <v>204.12018530999998</v>
      </c>
      <c r="BC13" s="950">
        <v>204.33850304000001</v>
      </c>
      <c r="BD13" s="950">
        <f>+BD20+BD27</f>
        <v>195.60445405000002</v>
      </c>
      <c r="BE13" s="950">
        <f>+BE20+BE27</f>
        <v>196.02272232000001</v>
      </c>
      <c r="BF13" s="950">
        <v>193.94414118999998</v>
      </c>
      <c r="BG13" s="951">
        <v>77.518046370000008</v>
      </c>
      <c r="BH13" s="999">
        <v>70.79853433000001</v>
      </c>
      <c r="BI13" s="994">
        <v>38.316055630000001</v>
      </c>
      <c r="BJ13" s="994">
        <v>39.679487969999997</v>
      </c>
      <c r="BK13" s="994">
        <v>38.165345070000001</v>
      </c>
      <c r="BL13" s="994">
        <v>40.841403150000005</v>
      </c>
      <c r="BM13" s="994">
        <v>41.416798139999997</v>
      </c>
      <c r="BN13" s="994">
        <v>41.789210150000002</v>
      </c>
      <c r="BO13" s="994">
        <v>41.255674299999995</v>
      </c>
      <c r="BP13" s="994">
        <v>42.895401139999997</v>
      </c>
      <c r="BQ13" s="994">
        <v>42.663389779999996</v>
      </c>
      <c r="BR13" s="994">
        <v>42.278874369999997</v>
      </c>
      <c r="BS13" s="994">
        <v>41.705371630000002</v>
      </c>
      <c r="BT13" s="994">
        <v>41.472885060000003</v>
      </c>
      <c r="BU13" s="994">
        <v>39.602307170000003</v>
      </c>
      <c r="BV13" s="994">
        <v>39.027809789999999</v>
      </c>
      <c r="BW13" s="994">
        <v>39.586275130000004</v>
      </c>
      <c r="BX13" s="994">
        <v>40.892623279999995</v>
      </c>
      <c r="BY13" s="994">
        <v>39.85736017</v>
      </c>
      <c r="BZ13" s="994">
        <v>38.804452789999999</v>
      </c>
      <c r="CA13" s="994">
        <v>39.037628580000003</v>
      </c>
      <c r="CB13" s="994">
        <v>35.098513160000003</v>
      </c>
      <c r="CC13" s="994">
        <v>36.295358780000001</v>
      </c>
      <c r="CD13" s="994">
        <v>35.83772325999999</v>
      </c>
      <c r="CE13" s="994">
        <v>35.298597530000002</v>
      </c>
      <c r="CF13" s="994">
        <v>35.014551470000008</v>
      </c>
      <c r="CG13" s="994">
        <v>28.898812760000002</v>
      </c>
      <c r="CH13" s="994">
        <v>28.058647050000001</v>
      </c>
      <c r="CI13" s="994">
        <v>27.687826909999998</v>
      </c>
      <c r="CJ13" s="994">
        <v>25.513782379999999</v>
      </c>
      <c r="CK13" s="994">
        <v>24.40861048</v>
      </c>
      <c r="CL13" s="994">
        <v>22.040658190000002</v>
      </c>
      <c r="CM13" s="994">
        <v>21.03401062</v>
      </c>
      <c r="CN13" s="994">
        <v>20.125473790000001</v>
      </c>
      <c r="CO13" s="994">
        <v>20.202967579999999</v>
      </c>
      <c r="CP13" s="994">
        <v>18.44999344</v>
      </c>
      <c r="CQ13" s="994">
        <v>16.965635590000002</v>
      </c>
      <c r="CR13" s="994">
        <v>16.064176440000001</v>
      </c>
      <c r="CS13" s="994">
        <v>14.514742180000001</v>
      </c>
      <c r="CT13" s="994">
        <v>11.78653323</v>
      </c>
      <c r="CU13" s="994">
        <v>10.85389866</v>
      </c>
      <c r="CV13" s="994">
        <v>10.97698267</v>
      </c>
      <c r="CW13" s="994">
        <v>10.595139440000001</v>
      </c>
      <c r="CX13" s="994">
        <v>11.646035960000001</v>
      </c>
      <c r="CY13" s="994">
        <v>11.176651939999999</v>
      </c>
      <c r="CZ13" s="994">
        <v>11.44414735</v>
      </c>
      <c r="DA13" s="994">
        <v>11.05148994</v>
      </c>
      <c r="DB13" s="994">
        <v>11.59594266</v>
      </c>
      <c r="DC13" s="994">
        <v>11.133266020000001</v>
      </c>
      <c r="DD13" s="994">
        <v>11.92819302</v>
      </c>
      <c r="DE13" s="994">
        <v>12.08843491</v>
      </c>
      <c r="DF13" s="994">
        <v>12.31374282</v>
      </c>
      <c r="DG13" s="994">
        <v>13.537545870000001</v>
      </c>
      <c r="DH13" s="994">
        <v>14.99452206</v>
      </c>
      <c r="DI13" s="994">
        <v>13.97592079</v>
      </c>
      <c r="DJ13" s="994">
        <v>14.80505808</v>
      </c>
      <c r="DK13" s="994">
        <v>15.061241020000001</v>
      </c>
      <c r="DL13" s="994">
        <v>14.61592709</v>
      </c>
      <c r="DM13" s="994">
        <v>15.260181530000001</v>
      </c>
      <c r="DN13" s="994">
        <v>15.07302166</v>
      </c>
      <c r="DO13" s="994">
        <v>15.37590462</v>
      </c>
      <c r="DP13" s="994">
        <v>13.51173663</v>
      </c>
      <c r="DQ13" s="994">
        <v>13.37258126</v>
      </c>
      <c r="DR13" s="994">
        <v>14.440956180000001</v>
      </c>
      <c r="DS13" s="994">
        <v>15.1242859</v>
      </c>
      <c r="DT13" s="994">
        <v>16.027673870000001</v>
      </c>
      <c r="DU13" s="994">
        <v>15.453029259999999</v>
      </c>
      <c r="DV13" s="994">
        <v>16.017700900000001</v>
      </c>
      <c r="DW13" s="994">
        <v>16.030221010000002</v>
      </c>
      <c r="DX13" s="994">
        <v>16.881150940000001</v>
      </c>
      <c r="DY13" s="994">
        <v>17.89560079</v>
      </c>
      <c r="DZ13" s="994">
        <v>17.590612620000002</v>
      </c>
      <c r="EA13" s="994">
        <v>17.272368069999999</v>
      </c>
      <c r="EB13" s="994">
        <v>16.868055760000001</v>
      </c>
      <c r="EC13" s="994">
        <v>16.011385990000001</v>
      </c>
      <c r="ED13" s="994">
        <v>16.469778760000001</v>
      </c>
      <c r="EE13" s="994">
        <v>16.520830069999999</v>
      </c>
    </row>
    <row r="14" spans="1:205" ht="19.8">
      <c r="A14" s="953"/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1"/>
      <c r="BH14" s="999"/>
      <c r="BI14" s="994"/>
      <c r="BJ14" s="994"/>
      <c r="BK14" s="994"/>
      <c r="BL14" s="994"/>
      <c r="BM14" s="994"/>
      <c r="BN14" s="994"/>
      <c r="BO14" s="994"/>
      <c r="BP14" s="994"/>
      <c r="BQ14" s="994"/>
      <c r="BR14" s="994"/>
      <c r="BS14" s="994"/>
      <c r="BT14" s="994"/>
      <c r="BU14" s="994"/>
      <c r="BV14" s="994"/>
      <c r="BW14" s="994"/>
      <c r="BX14" s="994"/>
      <c r="BY14" s="994"/>
      <c r="BZ14" s="994"/>
      <c r="CA14" s="994"/>
      <c r="CB14" s="994"/>
      <c r="CC14" s="994"/>
      <c r="CD14" s="994"/>
      <c r="CE14" s="994"/>
      <c r="CF14" s="994"/>
      <c r="CG14" s="994"/>
      <c r="CH14" s="994"/>
      <c r="CI14" s="994"/>
      <c r="CJ14" s="994"/>
      <c r="CK14" s="994"/>
      <c r="CL14" s="994"/>
      <c r="CM14" s="994"/>
      <c r="CN14" s="994"/>
      <c r="CO14" s="994"/>
      <c r="CP14" s="994"/>
      <c r="CQ14" s="994"/>
      <c r="CR14" s="994"/>
      <c r="CS14" s="994"/>
      <c r="CT14" s="994"/>
      <c r="CU14" s="994"/>
      <c r="CV14" s="994"/>
      <c r="CW14" s="994"/>
      <c r="CX14" s="994"/>
      <c r="CY14" s="994"/>
      <c r="CZ14" s="994"/>
      <c r="DA14" s="994"/>
      <c r="DB14" s="994"/>
      <c r="DC14" s="994"/>
      <c r="DD14" s="994"/>
      <c r="DE14" s="994"/>
      <c r="DF14" s="994"/>
      <c r="DG14" s="994"/>
      <c r="DH14" s="994"/>
      <c r="DI14" s="994"/>
      <c r="DJ14" s="994"/>
      <c r="DK14" s="994"/>
      <c r="DL14" s="994"/>
      <c r="DM14" s="994"/>
      <c r="DN14" s="994"/>
      <c r="DO14" s="1499"/>
      <c r="DP14" s="1499"/>
      <c r="DQ14" s="994"/>
      <c r="DR14" s="994"/>
      <c r="DS14" s="994"/>
      <c r="DU14" s="994"/>
      <c r="DV14" s="994"/>
      <c r="DW14" s="994"/>
      <c r="DX14" s="994"/>
      <c r="DY14" s="994"/>
      <c r="DZ14" s="994"/>
      <c r="EA14" s="994"/>
      <c r="EB14" s="994"/>
      <c r="EC14" s="994"/>
      <c r="ED14" s="994"/>
      <c r="EE14" s="994"/>
    </row>
    <row r="15" spans="1:205" ht="19.8">
      <c r="A15" s="944" t="s">
        <v>1982</v>
      </c>
      <c r="B15" s="945">
        <v>900.60585729000013</v>
      </c>
      <c r="C15" s="945">
        <v>950.57219040999985</v>
      </c>
      <c r="D15" s="945">
        <v>996.88648498999987</v>
      </c>
      <c r="E15" s="945">
        <v>1019.9999033800001</v>
      </c>
      <c r="F15" s="945">
        <v>1056.58259172</v>
      </c>
      <c r="G15" s="945">
        <v>1065.4933399699999</v>
      </c>
      <c r="H15" s="945">
        <v>1111.6408226399999</v>
      </c>
      <c r="I15" s="945">
        <v>1136.14903099</v>
      </c>
      <c r="J15" s="945">
        <v>1143.6819962499999</v>
      </c>
      <c r="K15" s="945">
        <v>1161.5112751700001</v>
      </c>
      <c r="L15" s="945">
        <v>1193.3673344699998</v>
      </c>
      <c r="M15" s="946">
        <v>1197.2686757699998</v>
      </c>
      <c r="N15" s="946">
        <v>1211.98588965</v>
      </c>
      <c r="O15" s="946">
        <v>1207.63733701</v>
      </c>
      <c r="P15" s="946">
        <v>1214.0799898999999</v>
      </c>
      <c r="Q15" s="946">
        <v>1216.4959126199999</v>
      </c>
      <c r="R15" s="946">
        <v>1215.3632283300001</v>
      </c>
      <c r="S15" s="946">
        <v>1219.2263878199999</v>
      </c>
      <c r="T15" s="946">
        <v>1240.9546323099999</v>
      </c>
      <c r="U15" s="946">
        <v>1233.9687647400001</v>
      </c>
      <c r="V15" s="946">
        <v>1261.43159197</v>
      </c>
      <c r="W15" s="946">
        <v>1351.8882853300001</v>
      </c>
      <c r="X15" s="946">
        <v>1330.6987049299996</v>
      </c>
      <c r="Y15" s="946">
        <v>1385.0197001899999</v>
      </c>
      <c r="Z15" s="946">
        <v>1311.0651004399999</v>
      </c>
      <c r="AA15" s="946">
        <v>1425.4692462</v>
      </c>
      <c r="AB15" s="946">
        <v>1399.8752783299999</v>
      </c>
      <c r="AC15" s="946">
        <v>1351.86210308</v>
      </c>
      <c r="AD15" s="946">
        <v>1298.47358366</v>
      </c>
      <c r="AE15" s="946">
        <v>1269.33684449</v>
      </c>
      <c r="AF15" s="946">
        <v>1239.51924272</v>
      </c>
      <c r="AG15" s="946">
        <v>1230.4760736800001</v>
      </c>
      <c r="AH15" s="946">
        <v>1224.8822823800001</v>
      </c>
      <c r="AI15" s="946">
        <v>1224.3304192000001</v>
      </c>
      <c r="AJ15" s="946">
        <v>1224.72476719</v>
      </c>
      <c r="AK15" s="946">
        <v>1378.28589246</v>
      </c>
      <c r="AL15" s="946">
        <v>1303.85585406</v>
      </c>
      <c r="AM15" s="946">
        <v>1175.80363145</v>
      </c>
      <c r="AN15" s="946">
        <v>1121.45123601</v>
      </c>
      <c r="AO15" s="946">
        <v>1023.35903047</v>
      </c>
      <c r="AP15" s="946">
        <v>971.12926259000005</v>
      </c>
      <c r="AQ15" s="946">
        <v>966.63641978999988</v>
      </c>
      <c r="AR15" s="946">
        <v>928.42608434999988</v>
      </c>
      <c r="AS15" s="946">
        <v>947.20206422999991</v>
      </c>
      <c r="AT15" s="946">
        <v>948.41009122999992</v>
      </c>
      <c r="AU15" s="946">
        <v>931.91115173999992</v>
      </c>
      <c r="AV15" s="946">
        <v>956.51083137000012</v>
      </c>
      <c r="AW15" s="946">
        <v>927.1332988600002</v>
      </c>
      <c r="AX15" s="946">
        <v>927.58185118000017</v>
      </c>
      <c r="AY15" s="946">
        <v>853.2964447899999</v>
      </c>
      <c r="AZ15" s="946">
        <v>819.37947613000006</v>
      </c>
      <c r="BA15" s="946">
        <v>786.26425278000011</v>
      </c>
      <c r="BB15" s="946">
        <v>778.8260818199999</v>
      </c>
      <c r="BC15" s="946">
        <v>774.13354226000001</v>
      </c>
      <c r="BD15" s="946">
        <v>738.80413793999992</v>
      </c>
      <c r="BE15" s="946">
        <v>727.41019257999994</v>
      </c>
      <c r="BF15" s="946">
        <v>730.70115837000003</v>
      </c>
      <c r="BG15" s="947">
        <v>590.24756845999991</v>
      </c>
      <c r="BH15" s="998">
        <v>582.04044521000014</v>
      </c>
      <c r="BI15" s="993">
        <v>543.30810801999996</v>
      </c>
      <c r="BJ15" s="993">
        <v>550.75529954000001</v>
      </c>
      <c r="BK15" s="993">
        <v>557.33276310999997</v>
      </c>
      <c r="BL15" s="993">
        <v>591.15895278000005</v>
      </c>
      <c r="BM15" s="993">
        <v>619.11887791999993</v>
      </c>
      <c r="BN15" s="993">
        <v>653.56950983000002</v>
      </c>
      <c r="BO15" s="993">
        <v>656.55613108000011</v>
      </c>
      <c r="BP15" s="993">
        <v>679.97903689999998</v>
      </c>
      <c r="BQ15" s="993">
        <v>723.75890384999991</v>
      </c>
      <c r="BR15" s="993">
        <v>745.79158969000014</v>
      </c>
      <c r="BS15" s="993">
        <v>768.90804795999998</v>
      </c>
      <c r="BT15" s="993">
        <v>893.22626745000002</v>
      </c>
      <c r="BU15" s="993">
        <v>811.36751290000007</v>
      </c>
      <c r="BV15" s="993">
        <v>819.18702222999991</v>
      </c>
      <c r="BW15" s="993">
        <v>838.24865369999998</v>
      </c>
      <c r="BX15" s="993">
        <v>856.02496470000006</v>
      </c>
      <c r="BY15" s="993">
        <v>856.65193785999986</v>
      </c>
      <c r="BZ15" s="993">
        <v>877.4790348800002</v>
      </c>
      <c r="CA15" s="993">
        <v>873.94398125999999</v>
      </c>
      <c r="CB15" s="993">
        <v>878.39827879999984</v>
      </c>
      <c r="CC15" s="993">
        <v>910.97332156000004</v>
      </c>
      <c r="CD15" s="993">
        <v>953.58534950000012</v>
      </c>
      <c r="CE15" s="993">
        <v>962.07433335999997</v>
      </c>
      <c r="CF15" s="993">
        <v>1229.7827718500002</v>
      </c>
      <c r="CG15" s="993">
        <v>1245.7138055</v>
      </c>
      <c r="CH15" s="993">
        <v>1252.339164</v>
      </c>
      <c r="CI15" s="993">
        <v>1240.2199248000002</v>
      </c>
      <c r="CJ15" s="993">
        <v>1090.3233226799998</v>
      </c>
      <c r="CK15" s="993">
        <v>1033.68304902</v>
      </c>
      <c r="CL15" s="993">
        <v>1021.0171224699999</v>
      </c>
      <c r="CM15" s="993">
        <v>983.69759620999992</v>
      </c>
      <c r="CN15" s="993">
        <v>964.8480044800001</v>
      </c>
      <c r="CO15" s="993">
        <v>977.73233870000001</v>
      </c>
      <c r="CP15" s="993">
        <v>996.19034121999994</v>
      </c>
      <c r="CQ15" s="993">
        <v>986.76210618999994</v>
      </c>
      <c r="CR15" s="993">
        <v>987.15488375999996</v>
      </c>
      <c r="CS15" s="993">
        <v>979.85564850000003</v>
      </c>
      <c r="CT15" s="993">
        <v>1070.6237539799999</v>
      </c>
      <c r="CU15" s="993">
        <v>990.48333212</v>
      </c>
      <c r="CV15" s="993">
        <v>1011.08760856</v>
      </c>
      <c r="CW15" s="993">
        <v>1026.6856471599999</v>
      </c>
      <c r="CX15" s="993">
        <v>1046.1485375499999</v>
      </c>
      <c r="CY15" s="993">
        <v>1063.8948554799999</v>
      </c>
      <c r="CZ15" s="993">
        <v>1085.64384124</v>
      </c>
      <c r="DA15" s="993">
        <v>1121.09482424</v>
      </c>
      <c r="DB15" s="993">
        <v>1153.28905764</v>
      </c>
      <c r="DC15" s="993">
        <v>1178.6006223100001</v>
      </c>
      <c r="DD15" s="993">
        <v>1192.1786739900001</v>
      </c>
      <c r="DE15" s="993">
        <v>1210.3452948300001</v>
      </c>
      <c r="DF15" s="993">
        <v>1237.44017336</v>
      </c>
      <c r="DG15" s="993">
        <v>1236.7436855999999</v>
      </c>
      <c r="DH15" s="993">
        <v>1169.16633454</v>
      </c>
      <c r="DI15" s="993">
        <v>1157.51785397</v>
      </c>
      <c r="DJ15" s="993">
        <v>1184.9242915299999</v>
      </c>
      <c r="DK15" s="993">
        <v>1201.8656761499999</v>
      </c>
      <c r="DL15" s="993">
        <v>1238.8237559300001</v>
      </c>
      <c r="DM15" s="993">
        <v>1258.5100226100001</v>
      </c>
      <c r="DN15" s="993">
        <v>1333.5797947000001</v>
      </c>
      <c r="DO15" s="993">
        <v>1344.8701734599999</v>
      </c>
      <c r="DP15" s="993">
        <v>1347.5477421200001</v>
      </c>
      <c r="DQ15" s="993">
        <v>1236.62546101</v>
      </c>
      <c r="DR15" s="993">
        <v>1254.11241131</v>
      </c>
      <c r="DS15" s="993">
        <v>1250.3295038399999</v>
      </c>
      <c r="DT15" s="993">
        <v>1256.7764737800001</v>
      </c>
      <c r="DU15" s="993">
        <v>1285.3631535699999</v>
      </c>
      <c r="DV15" s="993">
        <v>1318.90314397</v>
      </c>
      <c r="DW15" s="993">
        <v>1329.3988748700001</v>
      </c>
      <c r="DX15" s="993">
        <v>1397.96991142</v>
      </c>
      <c r="DY15" s="993">
        <v>1425.44792975</v>
      </c>
      <c r="DZ15" s="993">
        <v>1493.681644</v>
      </c>
      <c r="EA15" s="993">
        <v>1510.20216026</v>
      </c>
      <c r="EB15" s="993">
        <v>1573.8528462199999</v>
      </c>
      <c r="EC15" s="993">
        <v>1595.82888729</v>
      </c>
      <c r="ED15" s="993">
        <v>1600.4926245199999</v>
      </c>
      <c r="EE15" s="993">
        <v>1609.7222822000001</v>
      </c>
    </row>
    <row r="16" spans="1:205" ht="19.8">
      <c r="A16" s="948" t="s">
        <v>1981</v>
      </c>
      <c r="B16" s="949">
        <v>203.66571327</v>
      </c>
      <c r="C16" s="949">
        <v>218.70473271999998</v>
      </c>
      <c r="D16" s="949">
        <v>238.41179708999999</v>
      </c>
      <c r="E16" s="949">
        <v>243.85885109000003</v>
      </c>
      <c r="F16" s="949">
        <v>265.22080545</v>
      </c>
      <c r="G16" s="949">
        <v>274.97615418999999</v>
      </c>
      <c r="H16" s="949">
        <v>290.78014209000003</v>
      </c>
      <c r="I16" s="949">
        <v>312.04198859999997</v>
      </c>
      <c r="J16" s="949">
        <v>330.92117612999999</v>
      </c>
      <c r="K16" s="949">
        <v>348.84465638</v>
      </c>
      <c r="L16" s="949">
        <v>364.29915122</v>
      </c>
      <c r="M16" s="950">
        <v>392.48039172999995</v>
      </c>
      <c r="N16" s="950">
        <v>411.19484534000003</v>
      </c>
      <c r="O16" s="950">
        <v>420.94927804000008</v>
      </c>
      <c r="P16" s="950">
        <v>443.73007379000001</v>
      </c>
      <c r="Q16" s="950">
        <v>450.10162295999999</v>
      </c>
      <c r="R16" s="950">
        <v>464.61253657000003</v>
      </c>
      <c r="S16" s="950">
        <v>475.11422660000005</v>
      </c>
      <c r="T16" s="950">
        <v>497.92256012999997</v>
      </c>
      <c r="U16" s="950">
        <v>503.63258666000002</v>
      </c>
      <c r="V16" s="950">
        <v>523.30241130000013</v>
      </c>
      <c r="W16" s="950">
        <v>553.70656314000007</v>
      </c>
      <c r="X16" s="950">
        <v>557.27342995000004</v>
      </c>
      <c r="Y16" s="950">
        <v>591.20049481000001</v>
      </c>
      <c r="Z16" s="950">
        <v>615.73123925999994</v>
      </c>
      <c r="AA16" s="950">
        <v>670.19783125000004</v>
      </c>
      <c r="AB16" s="950">
        <v>669.15657996999994</v>
      </c>
      <c r="AC16" s="950">
        <v>647.63511814000003</v>
      </c>
      <c r="AD16" s="950">
        <v>636.56983934999994</v>
      </c>
      <c r="AE16" s="950">
        <v>626.44542064999996</v>
      </c>
      <c r="AF16" s="950">
        <v>616.48543055999994</v>
      </c>
      <c r="AG16" s="950">
        <v>614.87086547000001</v>
      </c>
      <c r="AH16" s="950">
        <v>610.4003544599999</v>
      </c>
      <c r="AI16" s="950">
        <v>599.49424133000002</v>
      </c>
      <c r="AJ16" s="950">
        <v>602.61007252999991</v>
      </c>
      <c r="AK16" s="950">
        <v>683.13054933000001</v>
      </c>
      <c r="AL16" s="950">
        <v>650.20757859000014</v>
      </c>
      <c r="AM16" s="950">
        <v>610.98112474000004</v>
      </c>
      <c r="AN16" s="950">
        <v>595.00252260999991</v>
      </c>
      <c r="AO16" s="950">
        <v>566.91191372000003</v>
      </c>
      <c r="AP16" s="950">
        <v>543.37772720999999</v>
      </c>
      <c r="AQ16" s="950">
        <v>541.48607903999994</v>
      </c>
      <c r="AR16" s="950">
        <v>527.67737364999994</v>
      </c>
      <c r="AS16" s="950">
        <v>529.19190574999993</v>
      </c>
      <c r="AT16" s="950">
        <v>516.8582217500001</v>
      </c>
      <c r="AU16" s="950">
        <v>501.91066069999999</v>
      </c>
      <c r="AV16" s="950">
        <v>504.19568146000006</v>
      </c>
      <c r="AW16" s="950">
        <v>493.13278719000004</v>
      </c>
      <c r="AX16" s="950">
        <v>504.47701625000002</v>
      </c>
      <c r="AY16" s="950">
        <v>474.09742122</v>
      </c>
      <c r="AZ16" s="950">
        <v>461.26190164999997</v>
      </c>
      <c r="BA16" s="950">
        <v>451.38372360000005</v>
      </c>
      <c r="BB16" s="950">
        <v>446.29563153999993</v>
      </c>
      <c r="BC16" s="950">
        <v>435.14592921000002</v>
      </c>
      <c r="BD16" s="950">
        <v>425.53991751000001</v>
      </c>
      <c r="BE16" s="950">
        <v>423.71609115000001</v>
      </c>
      <c r="BF16" s="950">
        <v>421.43521714999997</v>
      </c>
      <c r="BG16" s="951">
        <v>290.96891877999997</v>
      </c>
      <c r="BH16" s="999">
        <v>282.34570082000005</v>
      </c>
      <c r="BI16" s="994">
        <v>250.62210306</v>
      </c>
      <c r="BJ16" s="994">
        <v>257.14003023999999</v>
      </c>
      <c r="BK16" s="994">
        <v>259.72412456000001</v>
      </c>
      <c r="BL16" s="994">
        <v>271.40057364</v>
      </c>
      <c r="BM16" s="994">
        <v>284.91728982000001</v>
      </c>
      <c r="BN16" s="994">
        <v>298.62170628000001</v>
      </c>
      <c r="BO16" s="994">
        <v>304.15185147</v>
      </c>
      <c r="BP16" s="994">
        <v>319.16409217</v>
      </c>
      <c r="BQ16" s="994">
        <v>341.07483401999997</v>
      </c>
      <c r="BR16" s="994">
        <v>356.43424820000001</v>
      </c>
      <c r="BS16" s="994">
        <v>372.25026803999998</v>
      </c>
      <c r="BT16" s="994">
        <v>390.6231808</v>
      </c>
      <c r="BU16" s="994">
        <v>406.96781119000002</v>
      </c>
      <c r="BV16" s="994">
        <v>419.91047923999997</v>
      </c>
      <c r="BW16" s="994">
        <v>427.04040964999996</v>
      </c>
      <c r="BX16" s="994">
        <v>443.44451572000003</v>
      </c>
      <c r="BY16" s="994">
        <v>453.47729146999995</v>
      </c>
      <c r="BZ16" s="994">
        <v>461.12672806</v>
      </c>
      <c r="CA16" s="994">
        <v>463.17394149999996</v>
      </c>
      <c r="CB16" s="994">
        <v>461.59540937999998</v>
      </c>
      <c r="CC16" s="994">
        <v>474.08514445999998</v>
      </c>
      <c r="CD16" s="994">
        <v>485.27372124999999</v>
      </c>
      <c r="CE16" s="994">
        <v>491.48702281999999</v>
      </c>
      <c r="CF16" s="994">
        <v>507.71564654000008</v>
      </c>
      <c r="CG16" s="994">
        <v>518.95443244000001</v>
      </c>
      <c r="CH16" s="994">
        <v>537.31855610000002</v>
      </c>
      <c r="CI16" s="994">
        <v>539.11662103999993</v>
      </c>
      <c r="CJ16" s="994">
        <v>559.72783935999985</v>
      </c>
      <c r="CK16" s="994">
        <v>543.07001586999991</v>
      </c>
      <c r="CL16" s="994">
        <v>549.38760528</v>
      </c>
      <c r="CM16" s="994">
        <v>557.16447228999994</v>
      </c>
      <c r="CN16" s="994">
        <v>544.86354373000006</v>
      </c>
      <c r="CO16" s="994">
        <v>558.49873916999991</v>
      </c>
      <c r="CP16" s="994">
        <v>575.42596328999991</v>
      </c>
      <c r="CQ16" s="994">
        <v>569.16923495000003</v>
      </c>
      <c r="CR16" s="994">
        <v>576.50752728999987</v>
      </c>
      <c r="CS16" s="994">
        <v>563.62845802000004</v>
      </c>
      <c r="CT16" s="994">
        <v>568.69446108</v>
      </c>
      <c r="CU16" s="994">
        <v>574.44495085000005</v>
      </c>
      <c r="CV16" s="994">
        <v>591.81350957999996</v>
      </c>
      <c r="CW16" s="994">
        <v>590.48644849000004</v>
      </c>
      <c r="CX16" s="994">
        <v>606.50917583</v>
      </c>
      <c r="CY16" s="994">
        <v>625.54050872000005</v>
      </c>
      <c r="CZ16" s="994">
        <v>640.74230924999995</v>
      </c>
      <c r="DA16" s="994">
        <v>662.15613992999999</v>
      </c>
      <c r="DB16" s="994">
        <v>684.94513697000002</v>
      </c>
      <c r="DC16" s="994">
        <v>700.65092701000003</v>
      </c>
      <c r="DD16" s="994">
        <v>736.95427557999994</v>
      </c>
      <c r="DE16" s="994">
        <v>739.10232041999996</v>
      </c>
      <c r="DF16" s="994">
        <v>769.89369518000001</v>
      </c>
      <c r="DG16" s="994">
        <v>758.47734047999995</v>
      </c>
      <c r="DH16" s="994">
        <v>793.02372937999996</v>
      </c>
      <c r="DI16" s="994">
        <v>777.45113690999995</v>
      </c>
      <c r="DJ16" s="994">
        <v>800.07933630000002</v>
      </c>
      <c r="DK16" s="994">
        <v>819.51974065000002</v>
      </c>
      <c r="DL16" s="994">
        <v>822.13604544999998</v>
      </c>
      <c r="DM16" s="994">
        <v>837.00039572000003</v>
      </c>
      <c r="DN16" s="994">
        <v>839.85242621999998</v>
      </c>
      <c r="DO16" s="994">
        <v>849.17063056999996</v>
      </c>
      <c r="DP16" s="994">
        <v>856.66520227000001</v>
      </c>
      <c r="DQ16" s="994">
        <v>837.07543962</v>
      </c>
      <c r="DR16" s="994">
        <v>859.17244278999999</v>
      </c>
      <c r="DS16" s="994">
        <v>850.62589598</v>
      </c>
      <c r="DT16" s="994">
        <v>865.17419215999996</v>
      </c>
      <c r="DU16" s="994">
        <v>870.47928583999999</v>
      </c>
      <c r="DV16" s="994">
        <v>898.96788346999995</v>
      </c>
      <c r="DW16" s="994">
        <v>907.47950351999998</v>
      </c>
      <c r="DX16" s="994">
        <v>949.19194112000002</v>
      </c>
      <c r="DY16" s="994">
        <v>979.87915396999995</v>
      </c>
      <c r="DZ16" s="994">
        <v>1019.7168133500001</v>
      </c>
      <c r="EA16" s="994">
        <v>1054.7945529900001</v>
      </c>
      <c r="EB16" s="994">
        <v>1113.6033006</v>
      </c>
      <c r="EC16" s="994">
        <v>1125.4956545699999</v>
      </c>
      <c r="ED16" s="994">
        <v>1163.33784029</v>
      </c>
      <c r="EE16" s="994">
        <v>1169.6381535</v>
      </c>
    </row>
    <row r="17" spans="1:135" ht="19.8">
      <c r="A17" s="952" t="s">
        <v>189</v>
      </c>
      <c r="B17" s="945">
        <v>609.98843933000001</v>
      </c>
      <c r="C17" s="945">
        <v>656.49909121999997</v>
      </c>
      <c r="D17" s="945">
        <v>701.92516712999998</v>
      </c>
      <c r="E17" s="945">
        <v>731.44125720000011</v>
      </c>
      <c r="F17" s="945">
        <v>760.48448848999999</v>
      </c>
      <c r="G17" s="945">
        <v>770.39997973000004</v>
      </c>
      <c r="H17" s="945">
        <v>805.61746755999991</v>
      </c>
      <c r="I17" s="945">
        <v>829.10918615999992</v>
      </c>
      <c r="J17" s="945">
        <v>835.82118426999989</v>
      </c>
      <c r="K17" s="945">
        <v>857.87827353000011</v>
      </c>
      <c r="L17" s="945">
        <v>888.63796394999986</v>
      </c>
      <c r="M17" s="946">
        <v>888.12996307000003</v>
      </c>
      <c r="N17" s="946">
        <v>904.16322344999992</v>
      </c>
      <c r="O17" s="946">
        <v>895.12180990999991</v>
      </c>
      <c r="P17" s="946">
        <v>904.80045456999994</v>
      </c>
      <c r="Q17" s="946">
        <v>905.24252146999982</v>
      </c>
      <c r="R17" s="946">
        <v>901.09880698000006</v>
      </c>
      <c r="S17" s="946">
        <v>900.24967968999999</v>
      </c>
      <c r="T17" s="946">
        <v>915.09319684000002</v>
      </c>
      <c r="U17" s="946">
        <v>912.95840167000006</v>
      </c>
      <c r="V17" s="946">
        <v>942.92982947999997</v>
      </c>
      <c r="W17" s="946">
        <v>1016.9287079800001</v>
      </c>
      <c r="X17" s="946">
        <v>997.2352578399998</v>
      </c>
      <c r="Y17" s="946">
        <v>977.98140193999996</v>
      </c>
      <c r="Z17" s="946">
        <v>968.88357872999995</v>
      </c>
      <c r="AA17" s="946">
        <v>965.98321618</v>
      </c>
      <c r="AB17" s="946">
        <v>945.55585615999996</v>
      </c>
      <c r="AC17" s="946">
        <v>897.77618342000005</v>
      </c>
      <c r="AD17" s="946">
        <v>841.56811607000009</v>
      </c>
      <c r="AE17" s="946">
        <v>803.36280742999998</v>
      </c>
      <c r="AF17" s="946">
        <v>772.35495680999998</v>
      </c>
      <c r="AG17" s="946">
        <v>791.52401495000004</v>
      </c>
      <c r="AH17" s="946">
        <v>787.25923029</v>
      </c>
      <c r="AI17" s="946">
        <v>783.74404987999992</v>
      </c>
      <c r="AJ17" s="946">
        <v>784.94925456999999</v>
      </c>
      <c r="AK17" s="946">
        <v>751.65466551999998</v>
      </c>
      <c r="AL17" s="946">
        <v>711.14529013000003</v>
      </c>
      <c r="AM17" s="946">
        <v>655.56222794999985</v>
      </c>
      <c r="AN17" s="946">
        <v>634.49537610000004</v>
      </c>
      <c r="AO17" s="946">
        <v>592.76317563999999</v>
      </c>
      <c r="AP17" s="946">
        <v>569.01163725999993</v>
      </c>
      <c r="AQ17" s="946">
        <v>569.31059256999993</v>
      </c>
      <c r="AR17" s="946">
        <v>536.32840003999991</v>
      </c>
      <c r="AS17" s="946">
        <v>549.27154977999987</v>
      </c>
      <c r="AT17" s="946">
        <v>567.66931407999994</v>
      </c>
      <c r="AU17" s="946">
        <v>562.34147214999996</v>
      </c>
      <c r="AV17" s="946">
        <v>565.88238289000014</v>
      </c>
      <c r="AW17" s="946">
        <v>539.54233646000012</v>
      </c>
      <c r="AX17" s="946">
        <v>541.8727236200001</v>
      </c>
      <c r="AY17" s="946">
        <v>518.64094012999988</v>
      </c>
      <c r="AZ17" s="946">
        <v>505.94148887999995</v>
      </c>
      <c r="BA17" s="946">
        <v>487.23929886000002</v>
      </c>
      <c r="BB17" s="946">
        <v>475.84873889999994</v>
      </c>
      <c r="BC17" s="946">
        <v>469.91294165000005</v>
      </c>
      <c r="BD17" s="946">
        <v>450.04298356999993</v>
      </c>
      <c r="BE17" s="946">
        <v>438.61807252999995</v>
      </c>
      <c r="BF17" s="946">
        <v>436.71122155</v>
      </c>
      <c r="BG17" s="947">
        <v>424.28998446999998</v>
      </c>
      <c r="BH17" s="998">
        <v>421.63518451000004</v>
      </c>
      <c r="BI17" s="993">
        <v>418.85624995000001</v>
      </c>
      <c r="BJ17" s="993">
        <v>421.45611431000003</v>
      </c>
      <c r="BK17" s="993">
        <v>430.35341854000001</v>
      </c>
      <c r="BL17" s="993">
        <v>438.67542004000001</v>
      </c>
      <c r="BM17" s="993">
        <v>466.66641277999997</v>
      </c>
      <c r="BN17" s="993">
        <v>492.80811220000004</v>
      </c>
      <c r="BO17" s="993">
        <v>519.90613167000004</v>
      </c>
      <c r="BP17" s="993">
        <v>539.81792658999996</v>
      </c>
      <c r="BQ17" s="993">
        <v>581.98641012999997</v>
      </c>
      <c r="BR17" s="993">
        <v>606.8003140400001</v>
      </c>
      <c r="BS17" s="993">
        <v>631.44229213999995</v>
      </c>
      <c r="BT17" s="993">
        <v>753.18105435999996</v>
      </c>
      <c r="BU17" s="993">
        <v>672.37315248000004</v>
      </c>
      <c r="BV17" s="993">
        <v>684.85038641999995</v>
      </c>
      <c r="BW17" s="993">
        <v>699.43741843999999</v>
      </c>
      <c r="BX17" s="993">
        <v>716.43170017000011</v>
      </c>
      <c r="BY17" s="993">
        <v>718.00917579999987</v>
      </c>
      <c r="BZ17" s="993">
        <v>726.14553650000016</v>
      </c>
      <c r="CA17" s="993">
        <v>721.18303600000002</v>
      </c>
      <c r="CB17" s="993">
        <v>732.49618717999988</v>
      </c>
      <c r="CC17" s="993">
        <v>759.52979725</v>
      </c>
      <c r="CD17" s="993">
        <v>786.10046945000011</v>
      </c>
      <c r="CE17" s="993">
        <v>799.54609864999998</v>
      </c>
      <c r="CF17" s="993">
        <v>814.48292012000013</v>
      </c>
      <c r="CG17" s="993">
        <v>840.34779018999996</v>
      </c>
      <c r="CH17" s="993">
        <v>851.04530885999986</v>
      </c>
      <c r="CI17" s="993">
        <v>843.63151432000006</v>
      </c>
      <c r="CJ17" s="993">
        <v>866.42355911999982</v>
      </c>
      <c r="CK17" s="993">
        <v>816.60505552999996</v>
      </c>
      <c r="CL17" s="993">
        <v>801.06182613999988</v>
      </c>
      <c r="CM17" s="993">
        <v>791.14280289999988</v>
      </c>
      <c r="CN17" s="993">
        <v>767.58009878000007</v>
      </c>
      <c r="CO17" s="993">
        <v>777.64792884999997</v>
      </c>
      <c r="CP17" s="993">
        <v>804.74775201999989</v>
      </c>
      <c r="CQ17" s="993">
        <v>796.14798833999998</v>
      </c>
      <c r="CR17" s="993">
        <v>800.60930597999993</v>
      </c>
      <c r="CS17" s="993">
        <v>792.62490864000006</v>
      </c>
      <c r="CT17" s="993">
        <v>802.99152891999995</v>
      </c>
      <c r="CU17" s="993">
        <v>815.78543519000004</v>
      </c>
      <c r="CV17" s="993">
        <v>836.80092327</v>
      </c>
      <c r="CW17" s="993">
        <v>845.87102186000004</v>
      </c>
      <c r="CX17" s="993">
        <v>863.39912361999995</v>
      </c>
      <c r="CY17" s="993">
        <v>885.28534869999999</v>
      </c>
      <c r="CZ17" s="993">
        <v>906.30949879000002</v>
      </c>
      <c r="DA17" s="993">
        <v>931.00928870999996</v>
      </c>
      <c r="DB17" s="993">
        <v>964.71036547999995</v>
      </c>
      <c r="DC17" s="993">
        <v>990.70441163999999</v>
      </c>
      <c r="DD17" s="993">
        <v>1022.58226715</v>
      </c>
      <c r="DE17" s="993">
        <v>1042.9495256</v>
      </c>
      <c r="DF17" s="993">
        <v>1070.7539405299999</v>
      </c>
      <c r="DG17" s="993">
        <v>1067.53859016</v>
      </c>
      <c r="DH17" s="993">
        <v>1095.0130248999999</v>
      </c>
      <c r="DI17" s="993">
        <v>1099.44437343</v>
      </c>
      <c r="DJ17" s="993">
        <v>1123.52381919</v>
      </c>
      <c r="DK17" s="993">
        <v>1144.0622717199999</v>
      </c>
      <c r="DL17" s="993">
        <v>1141.6269637299999</v>
      </c>
      <c r="DM17" s="993">
        <v>1155.91317908</v>
      </c>
      <c r="DN17" s="993">
        <v>1161.2330764000001</v>
      </c>
      <c r="DO17" s="993">
        <v>1166.94683826</v>
      </c>
      <c r="DP17" s="993">
        <v>1175.27724932</v>
      </c>
      <c r="DQ17" s="993">
        <v>1175.9490978199999</v>
      </c>
      <c r="DR17" s="993">
        <v>1194.96634853</v>
      </c>
      <c r="DS17" s="993">
        <v>1189.6569112300001</v>
      </c>
      <c r="DT17" s="993">
        <v>1202.26653173</v>
      </c>
      <c r="DU17" s="993">
        <v>1229.29056461</v>
      </c>
      <c r="DV17" s="993">
        <v>1259.3398829800001</v>
      </c>
      <c r="DW17" s="993">
        <v>1273.3482454800001</v>
      </c>
      <c r="DX17" s="993">
        <v>1344.5107129099999</v>
      </c>
      <c r="DY17" s="993">
        <v>1367.95508331</v>
      </c>
      <c r="DZ17" s="993">
        <v>1417.17217626</v>
      </c>
      <c r="EA17" s="993">
        <v>1445.6641120100001</v>
      </c>
      <c r="EB17" s="993">
        <v>1507.1422811899999</v>
      </c>
      <c r="EC17" s="993">
        <v>1525.8745198500001</v>
      </c>
      <c r="ED17" s="993">
        <v>1542.34921196</v>
      </c>
      <c r="EE17" s="993">
        <v>1552.2877883900001</v>
      </c>
    </row>
    <row r="18" spans="1:135" ht="19.8">
      <c r="A18" s="948" t="s">
        <v>1984</v>
      </c>
      <c r="B18" s="949">
        <v>109.64487560000001</v>
      </c>
      <c r="C18" s="949">
        <v>121.28549662</v>
      </c>
      <c r="D18" s="949">
        <v>135.66314795</v>
      </c>
      <c r="E18" s="949">
        <v>141.56863710000002</v>
      </c>
      <c r="F18" s="949">
        <v>156.02506714</v>
      </c>
      <c r="G18" s="949">
        <v>162.03606468000001</v>
      </c>
      <c r="H18" s="949">
        <v>176.13505711000002</v>
      </c>
      <c r="I18" s="949">
        <v>187.89264433</v>
      </c>
      <c r="J18" s="949">
        <v>207.07547869000001</v>
      </c>
      <c r="K18" s="949">
        <v>223.52145536999998</v>
      </c>
      <c r="L18" s="949">
        <v>237.69682075</v>
      </c>
      <c r="M18" s="950">
        <v>266.55847694999994</v>
      </c>
      <c r="N18" s="950">
        <v>284.77756248000003</v>
      </c>
      <c r="O18" s="950">
        <v>291.72324699000006</v>
      </c>
      <c r="P18" s="950">
        <v>313.46911776000002</v>
      </c>
      <c r="Q18" s="950">
        <v>320.92036603999998</v>
      </c>
      <c r="R18" s="950">
        <v>333.91315064000003</v>
      </c>
      <c r="S18" s="950">
        <v>342.35854540000003</v>
      </c>
      <c r="T18" s="950">
        <v>361.02467277</v>
      </c>
      <c r="U18" s="950">
        <v>370.31658686000003</v>
      </c>
      <c r="V18" s="950">
        <v>391.44351058000007</v>
      </c>
      <c r="W18" s="950">
        <v>419.36403817000001</v>
      </c>
      <c r="X18" s="950">
        <v>424.89191428999999</v>
      </c>
      <c r="Y18" s="950">
        <v>456.41319727000001</v>
      </c>
      <c r="Z18" s="950">
        <v>475.13833523</v>
      </c>
      <c r="AA18" s="950">
        <v>480.00369860000001</v>
      </c>
      <c r="AB18" s="950">
        <v>477.77310023999996</v>
      </c>
      <c r="AC18" s="950">
        <v>460.79964336</v>
      </c>
      <c r="AD18" s="950">
        <v>441.80672083000002</v>
      </c>
      <c r="AE18" s="950">
        <v>425.91516184999995</v>
      </c>
      <c r="AF18" s="950">
        <v>411.47817741</v>
      </c>
      <c r="AG18" s="950">
        <v>412.96434250999999</v>
      </c>
      <c r="AH18" s="950">
        <v>410.68461821999995</v>
      </c>
      <c r="AI18" s="950">
        <v>399.58842679999998</v>
      </c>
      <c r="AJ18" s="950">
        <v>407.29304942999994</v>
      </c>
      <c r="AK18" s="950">
        <v>404.26325948000004</v>
      </c>
      <c r="AL18" s="950">
        <v>391.95312090000004</v>
      </c>
      <c r="AM18" s="950">
        <v>366.47164679999997</v>
      </c>
      <c r="AN18" s="950">
        <v>354.67910459999996</v>
      </c>
      <c r="AO18" s="950">
        <v>340.99744654</v>
      </c>
      <c r="AP18" s="950">
        <v>325.85693526</v>
      </c>
      <c r="AQ18" s="950">
        <v>322.08464553999994</v>
      </c>
      <c r="AR18" s="950">
        <v>312.65499043</v>
      </c>
      <c r="AS18" s="950">
        <v>310.32308602999996</v>
      </c>
      <c r="AT18" s="950">
        <v>305.53172043000006</v>
      </c>
      <c r="AU18" s="950">
        <v>297.05788690999998</v>
      </c>
      <c r="AV18" s="950">
        <v>292.33248001000004</v>
      </c>
      <c r="AW18" s="950">
        <v>280.96224673</v>
      </c>
      <c r="AX18" s="950">
        <v>276.23206454000001</v>
      </c>
      <c r="AY18" s="950">
        <v>269.77204289999997</v>
      </c>
      <c r="AZ18" s="950">
        <v>262.14705157999998</v>
      </c>
      <c r="BA18" s="950">
        <v>255.74866705000002</v>
      </c>
      <c r="BB18" s="950">
        <v>250.17544622999998</v>
      </c>
      <c r="BC18" s="950">
        <v>238.80742617000001</v>
      </c>
      <c r="BD18" s="950">
        <v>229.93546345999997</v>
      </c>
      <c r="BE18" s="950">
        <v>227.69336883</v>
      </c>
      <c r="BF18" s="950">
        <v>227.49107595999999</v>
      </c>
      <c r="BG18" s="951">
        <v>213.45087240999999</v>
      </c>
      <c r="BH18" s="999">
        <v>211.54716649000002</v>
      </c>
      <c r="BI18" s="994">
        <v>212.30604743000001</v>
      </c>
      <c r="BJ18" s="994">
        <v>217.46054226999999</v>
      </c>
      <c r="BK18" s="994">
        <v>221.55877949000001</v>
      </c>
      <c r="BL18" s="994">
        <v>230.55917048999999</v>
      </c>
      <c r="BM18" s="994">
        <v>243.50049168000001</v>
      </c>
      <c r="BN18" s="994">
        <v>256.83249612999998</v>
      </c>
      <c r="BO18" s="994">
        <v>262.89617716999999</v>
      </c>
      <c r="BP18" s="994">
        <v>276.26869103000001</v>
      </c>
      <c r="BQ18" s="994">
        <v>298.41144423999998</v>
      </c>
      <c r="BR18" s="994">
        <v>314.15537383000003</v>
      </c>
      <c r="BS18" s="994">
        <v>330.54489640999998</v>
      </c>
      <c r="BT18" s="994">
        <v>349.15029573999999</v>
      </c>
      <c r="BU18" s="994">
        <v>367.36550402</v>
      </c>
      <c r="BV18" s="994">
        <v>380.88266944999998</v>
      </c>
      <c r="BW18" s="994">
        <v>387.45413451999997</v>
      </c>
      <c r="BX18" s="994">
        <v>402.55189244000002</v>
      </c>
      <c r="BY18" s="994">
        <v>413.61993129999996</v>
      </c>
      <c r="BZ18" s="994">
        <v>422.32227526999998</v>
      </c>
      <c r="CA18" s="994">
        <v>424.13631291999997</v>
      </c>
      <c r="CB18" s="994">
        <v>426.49689622</v>
      </c>
      <c r="CC18" s="994">
        <v>437.78978567999997</v>
      </c>
      <c r="CD18" s="994">
        <v>449.43599799000003</v>
      </c>
      <c r="CE18" s="994">
        <v>456.18842529</v>
      </c>
      <c r="CF18" s="994">
        <v>472.70109507000006</v>
      </c>
      <c r="CG18" s="994">
        <v>490.05561967999995</v>
      </c>
      <c r="CH18" s="994">
        <v>509.25990904999998</v>
      </c>
      <c r="CI18" s="994">
        <v>511.42879412999997</v>
      </c>
      <c r="CJ18" s="994">
        <v>534.2140569799999</v>
      </c>
      <c r="CK18" s="994">
        <v>518.66140538999991</v>
      </c>
      <c r="CL18" s="994">
        <v>527.34694708999996</v>
      </c>
      <c r="CM18" s="994">
        <v>536.13046166999993</v>
      </c>
      <c r="CN18" s="994">
        <v>524.73806994000006</v>
      </c>
      <c r="CO18" s="994">
        <v>538.29577158999996</v>
      </c>
      <c r="CP18" s="994">
        <v>556.97596984999996</v>
      </c>
      <c r="CQ18" s="994">
        <v>552.20359936</v>
      </c>
      <c r="CR18" s="994">
        <v>560.44335084999989</v>
      </c>
      <c r="CS18" s="994">
        <v>549.11371584000005</v>
      </c>
      <c r="CT18" s="994">
        <v>556.90792784999996</v>
      </c>
      <c r="CU18" s="994">
        <v>563.59105219000003</v>
      </c>
      <c r="CV18" s="994">
        <v>580.83652690999998</v>
      </c>
      <c r="CW18" s="994">
        <v>579.89130905000002</v>
      </c>
      <c r="CX18" s="994">
        <v>594.86313987000005</v>
      </c>
      <c r="CY18" s="994">
        <v>614.36385677999999</v>
      </c>
      <c r="CZ18" s="994">
        <v>629.29816189999997</v>
      </c>
      <c r="DA18" s="994">
        <v>651.10464998999998</v>
      </c>
      <c r="DB18" s="994">
        <v>673.34919431000003</v>
      </c>
      <c r="DC18" s="994">
        <v>689.51766098999997</v>
      </c>
      <c r="DD18" s="994">
        <v>725.02608255999996</v>
      </c>
      <c r="DE18" s="994">
        <v>727.01388551000002</v>
      </c>
      <c r="DF18" s="994">
        <v>757.57995235999999</v>
      </c>
      <c r="DG18" s="994">
        <v>744.93979461000004</v>
      </c>
      <c r="DH18" s="994">
        <v>778.02920731999995</v>
      </c>
      <c r="DI18" s="994">
        <v>763.47521612000003</v>
      </c>
      <c r="DJ18" s="994">
        <v>785.27427822000004</v>
      </c>
      <c r="DK18" s="994">
        <v>804.45849963000001</v>
      </c>
      <c r="DL18" s="994">
        <v>807.52011835999997</v>
      </c>
      <c r="DM18" s="994">
        <v>821.74021418999996</v>
      </c>
      <c r="DN18" s="994">
        <v>824.77940455999999</v>
      </c>
      <c r="DO18" s="994">
        <v>833.79472595000004</v>
      </c>
      <c r="DP18" s="994">
        <v>843.15346564000004</v>
      </c>
      <c r="DQ18" s="994">
        <v>823.70285836000005</v>
      </c>
      <c r="DR18" s="994">
        <v>844.73148661000005</v>
      </c>
      <c r="DS18" s="994">
        <v>835.50161007999998</v>
      </c>
      <c r="DT18" s="994">
        <v>849.14651829000002</v>
      </c>
      <c r="DU18" s="994">
        <v>855.02625657999999</v>
      </c>
      <c r="DV18" s="994">
        <v>882.95018257000004</v>
      </c>
      <c r="DW18" s="994">
        <v>891.44928250999999</v>
      </c>
      <c r="DX18" s="994">
        <v>932.31079018000003</v>
      </c>
      <c r="DY18" s="994">
        <v>961.98355317999994</v>
      </c>
      <c r="DZ18" s="994">
        <v>1002.1262007300001</v>
      </c>
      <c r="EA18" s="994">
        <v>1037.52218492</v>
      </c>
      <c r="EB18" s="994">
        <v>1096.73524484</v>
      </c>
      <c r="EC18" s="994">
        <v>1109.4842685799999</v>
      </c>
      <c r="ED18" s="994">
        <v>1146.86806153</v>
      </c>
      <c r="EE18" s="994">
        <v>1153.1173234299999</v>
      </c>
    </row>
    <row r="19" spans="1:135" ht="19.8">
      <c r="A19" s="952" t="s">
        <v>2818</v>
      </c>
      <c r="B19" s="945">
        <v>290.61741796000007</v>
      </c>
      <c r="C19" s="945">
        <v>294.07309918999994</v>
      </c>
      <c r="D19" s="945">
        <v>294.96131785999995</v>
      </c>
      <c r="E19" s="945">
        <v>288.55864617999998</v>
      </c>
      <c r="F19" s="945">
        <v>296.09810323000005</v>
      </c>
      <c r="G19" s="945">
        <v>295.09336023999992</v>
      </c>
      <c r="H19" s="945">
        <v>306.02335507999999</v>
      </c>
      <c r="I19" s="945">
        <v>307.03984482999999</v>
      </c>
      <c r="J19" s="945">
        <v>307.86081197999999</v>
      </c>
      <c r="K19" s="945">
        <v>303.63300164000003</v>
      </c>
      <c r="L19" s="945">
        <v>304.72937051999997</v>
      </c>
      <c r="M19" s="946">
        <v>309.13871269999993</v>
      </c>
      <c r="N19" s="946">
        <v>307.82266619999996</v>
      </c>
      <c r="O19" s="946">
        <v>312.51552710000004</v>
      </c>
      <c r="P19" s="946">
        <v>309.27953532999999</v>
      </c>
      <c r="Q19" s="946">
        <v>311.25339115000003</v>
      </c>
      <c r="R19" s="946">
        <v>314.26442135000002</v>
      </c>
      <c r="S19" s="946">
        <v>318.97670812999996</v>
      </c>
      <c r="T19" s="946">
        <v>325.86143546999989</v>
      </c>
      <c r="U19" s="946">
        <v>321.01036306999993</v>
      </c>
      <c r="V19" s="946">
        <v>318.50176249000003</v>
      </c>
      <c r="W19" s="946">
        <v>334.95957734999996</v>
      </c>
      <c r="X19" s="946">
        <v>333.46344708999993</v>
      </c>
      <c r="Y19" s="946">
        <v>407.03829824999997</v>
      </c>
      <c r="Z19" s="946">
        <v>342.18152170999991</v>
      </c>
      <c r="AA19" s="946">
        <v>459.48603001999999</v>
      </c>
      <c r="AB19" s="946">
        <v>454.31942216999994</v>
      </c>
      <c r="AC19" s="946">
        <v>454.08591966000006</v>
      </c>
      <c r="AD19" s="946">
        <v>456.90546758999994</v>
      </c>
      <c r="AE19" s="946">
        <v>465.97403705999994</v>
      </c>
      <c r="AF19" s="946">
        <v>467.16428591000005</v>
      </c>
      <c r="AG19" s="946">
        <v>438.95205873000003</v>
      </c>
      <c r="AH19" s="946">
        <v>437.62305208999999</v>
      </c>
      <c r="AI19" s="946">
        <v>440.58636932000002</v>
      </c>
      <c r="AJ19" s="946">
        <v>439.77551262000003</v>
      </c>
      <c r="AK19" s="946">
        <v>626.63122694000003</v>
      </c>
      <c r="AL19" s="946">
        <v>592.71056392999992</v>
      </c>
      <c r="AM19" s="946">
        <v>520.24140350000005</v>
      </c>
      <c r="AN19" s="946">
        <v>486.95585990999996</v>
      </c>
      <c r="AO19" s="946">
        <v>430.59585483000001</v>
      </c>
      <c r="AP19" s="946">
        <v>402.11762533000007</v>
      </c>
      <c r="AQ19" s="946">
        <v>397.32582721999995</v>
      </c>
      <c r="AR19" s="946">
        <v>392.09768430999992</v>
      </c>
      <c r="AS19" s="946">
        <v>397.93051445000003</v>
      </c>
      <c r="AT19" s="946">
        <v>380.74077714999999</v>
      </c>
      <c r="AU19" s="946">
        <v>369.56967959000002</v>
      </c>
      <c r="AV19" s="946">
        <v>390.62844847999997</v>
      </c>
      <c r="AW19" s="946">
        <v>387.59096240000008</v>
      </c>
      <c r="AX19" s="946">
        <v>385.70912756000007</v>
      </c>
      <c r="AY19" s="946">
        <v>334.65550466000008</v>
      </c>
      <c r="AZ19" s="946">
        <v>313.43798725000005</v>
      </c>
      <c r="BA19" s="946">
        <v>299.02495392000003</v>
      </c>
      <c r="BB19" s="946">
        <v>302.97734292000001</v>
      </c>
      <c r="BC19" s="946">
        <v>304.22060061000002</v>
      </c>
      <c r="BD19" s="946">
        <v>288.76115437000004</v>
      </c>
      <c r="BE19" s="946">
        <v>288.79212004999999</v>
      </c>
      <c r="BF19" s="946">
        <v>293.98993681999997</v>
      </c>
      <c r="BG19" s="947">
        <v>165.95758398999999</v>
      </c>
      <c r="BH19" s="998">
        <v>160.40526070000004</v>
      </c>
      <c r="BI19" s="993">
        <v>124.45185807</v>
      </c>
      <c r="BJ19" s="993">
        <v>129.29918523000001</v>
      </c>
      <c r="BK19" s="993">
        <v>126.97934456999999</v>
      </c>
      <c r="BL19" s="993">
        <v>152.48353274000002</v>
      </c>
      <c r="BM19" s="993">
        <v>152.45246513999996</v>
      </c>
      <c r="BN19" s="993">
        <v>160.76139762999998</v>
      </c>
      <c r="BO19" s="993">
        <v>136.64999941000002</v>
      </c>
      <c r="BP19" s="993">
        <v>140.16111031</v>
      </c>
      <c r="BQ19" s="993">
        <v>141.77249371999997</v>
      </c>
      <c r="BR19" s="993">
        <v>138.99127564999998</v>
      </c>
      <c r="BS19" s="993">
        <v>137.46575582</v>
      </c>
      <c r="BT19" s="993">
        <v>140.04521309</v>
      </c>
      <c r="BU19" s="993">
        <v>138.99436041999999</v>
      </c>
      <c r="BV19" s="993">
        <v>134.33663581000002</v>
      </c>
      <c r="BW19" s="993">
        <v>138.81123526000002</v>
      </c>
      <c r="BX19" s="993">
        <v>139.59326453</v>
      </c>
      <c r="BY19" s="993">
        <v>138.64276206</v>
      </c>
      <c r="BZ19" s="993">
        <v>151.33349837999998</v>
      </c>
      <c r="CA19" s="993">
        <v>152.76094526</v>
      </c>
      <c r="CB19" s="993">
        <v>145.90209161999999</v>
      </c>
      <c r="CC19" s="993">
        <v>151.44352431000002</v>
      </c>
      <c r="CD19" s="993">
        <v>167.48488004999999</v>
      </c>
      <c r="CE19" s="993">
        <v>162.52823470999999</v>
      </c>
      <c r="CF19" s="993">
        <v>415.29985173000006</v>
      </c>
      <c r="CG19" s="993">
        <v>405.36601531000002</v>
      </c>
      <c r="CH19" s="993">
        <v>401.29385514000001</v>
      </c>
      <c r="CI19" s="993">
        <v>396.58841047999999</v>
      </c>
      <c r="CJ19" s="993">
        <v>223.89976356</v>
      </c>
      <c r="CK19" s="993">
        <v>217.07799349000001</v>
      </c>
      <c r="CL19" s="993">
        <v>219.95529633000001</v>
      </c>
      <c r="CM19" s="993">
        <v>192.55479331000001</v>
      </c>
      <c r="CN19" s="993">
        <v>197.2679057</v>
      </c>
      <c r="CO19" s="993">
        <v>200.08440985000001</v>
      </c>
      <c r="CP19" s="993">
        <v>191.44258920000001</v>
      </c>
      <c r="CQ19" s="993">
        <v>190.61411785000001</v>
      </c>
      <c r="CR19" s="993">
        <v>186.54557778</v>
      </c>
      <c r="CS19" s="993">
        <v>187.23073986</v>
      </c>
      <c r="CT19" s="993">
        <v>267.63222506</v>
      </c>
      <c r="CU19" s="993">
        <v>174.69789693000001</v>
      </c>
      <c r="CV19" s="993">
        <v>174.28668529000001</v>
      </c>
      <c r="CW19" s="993">
        <v>180.81462529999999</v>
      </c>
      <c r="CX19" s="993">
        <v>182.74941393</v>
      </c>
      <c r="CY19" s="993">
        <v>178.60950678</v>
      </c>
      <c r="CZ19" s="993">
        <v>179.33434245000001</v>
      </c>
      <c r="DA19" s="993">
        <v>190.08553552999999</v>
      </c>
      <c r="DB19" s="993">
        <v>188.57869216</v>
      </c>
      <c r="DC19" s="993">
        <v>187.89621066999999</v>
      </c>
      <c r="DD19" s="993">
        <v>169.59640683999999</v>
      </c>
      <c r="DE19" s="993">
        <v>167.39576923000001</v>
      </c>
      <c r="DF19" s="993">
        <v>166.68623282999999</v>
      </c>
      <c r="DG19" s="993">
        <v>169.20509544000001</v>
      </c>
      <c r="DH19" s="993">
        <v>74.153309640000003</v>
      </c>
      <c r="DI19" s="993">
        <v>58.073480539999998</v>
      </c>
      <c r="DJ19" s="993">
        <v>61.40047234</v>
      </c>
      <c r="DK19" s="993">
        <v>57.803404430000001</v>
      </c>
      <c r="DL19" s="993">
        <v>97.196792200000004</v>
      </c>
      <c r="DM19" s="993">
        <v>102.59684353</v>
      </c>
      <c r="DN19" s="993">
        <v>172.34671829999999</v>
      </c>
      <c r="DO19" s="993">
        <v>177.9233352</v>
      </c>
      <c r="DP19" s="993">
        <v>172.2704928</v>
      </c>
      <c r="DQ19" s="993">
        <v>60.676363189999996</v>
      </c>
      <c r="DR19" s="993">
        <v>59.146062780000001</v>
      </c>
      <c r="DS19" s="993">
        <v>60.672592610000002</v>
      </c>
      <c r="DT19" s="993">
        <v>54.509942049999999</v>
      </c>
      <c r="DU19" s="993">
        <v>56.072588959999997</v>
      </c>
      <c r="DV19" s="993">
        <v>59.563260990000003</v>
      </c>
      <c r="DW19" s="993">
        <v>56.050629389999997</v>
      </c>
      <c r="DX19" s="993">
        <v>53.45919851</v>
      </c>
      <c r="DY19" s="993">
        <v>57.492846440000001</v>
      </c>
      <c r="DZ19" s="993">
        <v>76.509467740000005</v>
      </c>
      <c r="EA19" s="993">
        <v>64.538048250000003</v>
      </c>
      <c r="EB19" s="993">
        <v>66.710565029999998</v>
      </c>
      <c r="EC19" s="993">
        <v>69.954367439999999</v>
      </c>
      <c r="ED19" s="993">
        <v>58.143412560000002</v>
      </c>
      <c r="EE19" s="993">
        <v>57.434493809999999</v>
      </c>
    </row>
    <row r="20" spans="1:135" ht="19.8">
      <c r="A20" s="948" t="s">
        <v>1981</v>
      </c>
      <c r="B20" s="949">
        <v>94.020837669999992</v>
      </c>
      <c r="C20" s="949">
        <v>97.419236099999992</v>
      </c>
      <c r="D20" s="949">
        <v>102.74864914</v>
      </c>
      <c r="E20" s="949">
        <v>102.29021399000001</v>
      </c>
      <c r="F20" s="949">
        <v>109.19573831</v>
      </c>
      <c r="G20" s="949">
        <v>112.94008950999999</v>
      </c>
      <c r="H20" s="949">
        <v>114.64508498000001</v>
      </c>
      <c r="I20" s="949">
        <v>124.14934427</v>
      </c>
      <c r="J20" s="949">
        <v>123.84569744</v>
      </c>
      <c r="K20" s="949">
        <v>125.32320101000001</v>
      </c>
      <c r="L20" s="949">
        <v>126.60233047</v>
      </c>
      <c r="M20" s="950">
        <v>125.92191477999999</v>
      </c>
      <c r="N20" s="950">
        <v>126.41728286000001</v>
      </c>
      <c r="O20" s="950">
        <v>129.22603105000002</v>
      </c>
      <c r="P20" s="950">
        <v>130.26095602999999</v>
      </c>
      <c r="Q20" s="950">
        <v>129.18125692000001</v>
      </c>
      <c r="R20" s="950">
        <v>130.69938593000001</v>
      </c>
      <c r="S20" s="950">
        <v>132.7556812</v>
      </c>
      <c r="T20" s="950">
        <v>136.89788735999997</v>
      </c>
      <c r="U20" s="950">
        <v>133.31599979999999</v>
      </c>
      <c r="V20" s="950">
        <v>131.85890072000001</v>
      </c>
      <c r="W20" s="950">
        <v>134.34252497</v>
      </c>
      <c r="X20" s="950">
        <v>132.38151565999999</v>
      </c>
      <c r="Y20" s="950">
        <v>134.78729754</v>
      </c>
      <c r="Z20" s="950">
        <v>140.59290402999997</v>
      </c>
      <c r="AA20" s="950">
        <v>190.19413265</v>
      </c>
      <c r="AB20" s="950">
        <v>191.38347973</v>
      </c>
      <c r="AC20" s="950">
        <v>186.83547478</v>
      </c>
      <c r="AD20" s="950">
        <v>194.76311851999998</v>
      </c>
      <c r="AE20" s="950">
        <v>200.53025879999998</v>
      </c>
      <c r="AF20" s="950">
        <v>205.00725315</v>
      </c>
      <c r="AG20" s="950">
        <v>201.90652295999999</v>
      </c>
      <c r="AH20" s="950">
        <v>199.71573623999998</v>
      </c>
      <c r="AI20" s="950">
        <v>199.90581453000001</v>
      </c>
      <c r="AJ20" s="950">
        <v>195.3170231</v>
      </c>
      <c r="AK20" s="950">
        <v>278.86728984999996</v>
      </c>
      <c r="AL20" s="950">
        <v>258.25445769000004</v>
      </c>
      <c r="AM20" s="950">
        <v>244.50947794000001</v>
      </c>
      <c r="AN20" s="950">
        <v>240.32341800999998</v>
      </c>
      <c r="AO20" s="950">
        <v>225.91446717999997</v>
      </c>
      <c r="AP20" s="950">
        <v>217.52079194999999</v>
      </c>
      <c r="AQ20" s="950">
        <v>219.4014335</v>
      </c>
      <c r="AR20" s="950">
        <v>215.02238321999997</v>
      </c>
      <c r="AS20" s="950">
        <v>218.86881971999998</v>
      </c>
      <c r="AT20" s="950">
        <v>211.32650132000001</v>
      </c>
      <c r="AU20" s="950">
        <v>204.85277379000001</v>
      </c>
      <c r="AV20" s="950">
        <v>211.86320144999999</v>
      </c>
      <c r="AW20" s="950">
        <v>212.17054046000001</v>
      </c>
      <c r="AX20" s="950">
        <v>228.24495171000001</v>
      </c>
      <c r="AY20" s="950">
        <v>204.32537832000003</v>
      </c>
      <c r="AZ20" s="950">
        <v>199.11485006999999</v>
      </c>
      <c r="BA20" s="950">
        <v>195.63505655000003</v>
      </c>
      <c r="BB20" s="950">
        <v>196.12018530999998</v>
      </c>
      <c r="BC20" s="950">
        <v>196.33850304000001</v>
      </c>
      <c r="BD20" s="950">
        <v>195.60445405000002</v>
      </c>
      <c r="BE20" s="950">
        <v>196.02272232000001</v>
      </c>
      <c r="BF20" s="950">
        <v>193.94414118999998</v>
      </c>
      <c r="BG20" s="951">
        <v>77.518046370000008</v>
      </c>
      <c r="BH20" s="999">
        <v>70.79853433000001</v>
      </c>
      <c r="BI20" s="994">
        <v>38.316055630000001</v>
      </c>
      <c r="BJ20" s="994">
        <v>39.679487969999997</v>
      </c>
      <c r="BK20" s="994">
        <v>38.165345070000001</v>
      </c>
      <c r="BL20" s="994">
        <v>40.841403150000005</v>
      </c>
      <c r="BM20" s="994">
        <v>41.416798139999997</v>
      </c>
      <c r="BN20" s="994">
        <v>41.789210150000002</v>
      </c>
      <c r="BO20" s="994">
        <v>41.255674299999995</v>
      </c>
      <c r="BP20" s="994">
        <v>42.895401139999997</v>
      </c>
      <c r="BQ20" s="994">
        <v>42.663389779999996</v>
      </c>
      <c r="BR20" s="994">
        <v>42.278874369999997</v>
      </c>
      <c r="BS20" s="994">
        <v>41.705371630000002</v>
      </c>
      <c r="BT20" s="994">
        <v>41.472885060000003</v>
      </c>
      <c r="BU20" s="994">
        <v>39.602307170000003</v>
      </c>
      <c r="BV20" s="994">
        <v>39.027809789999999</v>
      </c>
      <c r="BW20" s="994">
        <v>39.586275130000004</v>
      </c>
      <c r="BX20" s="994">
        <v>40.892623279999995</v>
      </c>
      <c r="BY20" s="994">
        <v>39.85736017</v>
      </c>
      <c r="BZ20" s="994">
        <v>38.804452789999999</v>
      </c>
      <c r="CA20" s="994">
        <v>39.037628580000003</v>
      </c>
      <c r="CB20" s="994">
        <v>35.098513160000003</v>
      </c>
      <c r="CC20" s="994">
        <v>36.295358780000001</v>
      </c>
      <c r="CD20" s="994">
        <v>35.83772325999999</v>
      </c>
      <c r="CE20" s="994">
        <v>35.298597530000002</v>
      </c>
      <c r="CF20" s="994">
        <v>35.014551470000008</v>
      </c>
      <c r="CG20" s="994">
        <v>28.898812760000002</v>
      </c>
      <c r="CH20" s="994">
        <v>28.058647050000001</v>
      </c>
      <c r="CI20" s="994">
        <v>27.687826909999998</v>
      </c>
      <c r="CJ20" s="994">
        <v>25.513782379999999</v>
      </c>
      <c r="CK20" s="994">
        <v>24.40861048</v>
      </c>
      <c r="CL20" s="994">
        <v>22.040658190000002</v>
      </c>
      <c r="CM20" s="994">
        <v>21.03401062</v>
      </c>
      <c r="CN20" s="994">
        <v>20.125473790000001</v>
      </c>
      <c r="CO20" s="994">
        <v>20.202967579999999</v>
      </c>
      <c r="CP20" s="994">
        <v>18.44999344</v>
      </c>
      <c r="CQ20" s="994">
        <v>16.965635590000002</v>
      </c>
      <c r="CR20" s="994">
        <v>16.064176440000001</v>
      </c>
      <c r="CS20" s="994">
        <v>14.514742180000001</v>
      </c>
      <c r="CT20" s="994">
        <v>11.78653323</v>
      </c>
      <c r="CU20" s="994">
        <v>10.85389866</v>
      </c>
      <c r="CV20" s="994">
        <v>10.97698267</v>
      </c>
      <c r="CW20" s="994">
        <v>10.595139440000001</v>
      </c>
      <c r="CX20" s="994">
        <v>11.646035960000001</v>
      </c>
      <c r="CY20" s="994">
        <v>11.176651939999999</v>
      </c>
      <c r="CZ20" s="994">
        <v>11.44414735</v>
      </c>
      <c r="DA20" s="994">
        <v>11.05148994</v>
      </c>
      <c r="DB20" s="994">
        <v>11.59594266</v>
      </c>
      <c r="DC20" s="994">
        <v>11.133266020000001</v>
      </c>
      <c r="DD20" s="994">
        <v>11.92819302</v>
      </c>
      <c r="DE20" s="994">
        <v>12.08843491</v>
      </c>
      <c r="DF20" s="994">
        <v>12.31374282</v>
      </c>
      <c r="DG20" s="994">
        <v>13.537545870000001</v>
      </c>
      <c r="DH20" s="994">
        <v>14.99452206</v>
      </c>
      <c r="DI20" s="994">
        <v>13.97592079</v>
      </c>
      <c r="DJ20" s="994">
        <v>14.80505808</v>
      </c>
      <c r="DK20" s="994">
        <v>15.061241020000001</v>
      </c>
      <c r="DL20" s="994">
        <v>14.61592709</v>
      </c>
      <c r="DM20" s="994">
        <v>15.260181530000001</v>
      </c>
      <c r="DN20" s="994">
        <v>15.07302166</v>
      </c>
      <c r="DO20" s="994">
        <v>15.37590462</v>
      </c>
      <c r="DP20" s="994">
        <v>13.51173663</v>
      </c>
      <c r="DQ20" s="994">
        <v>13.37258126</v>
      </c>
      <c r="DR20" s="994">
        <v>14.440956180000001</v>
      </c>
      <c r="DS20" s="994">
        <v>15.1242859</v>
      </c>
      <c r="DT20" s="994">
        <v>16.027673870000001</v>
      </c>
      <c r="DU20" s="994">
        <v>15.453029259999999</v>
      </c>
      <c r="DV20" s="994">
        <v>16.017700900000001</v>
      </c>
      <c r="DW20" s="994">
        <v>16.030221010000002</v>
      </c>
      <c r="DX20" s="994">
        <v>16.881150940000001</v>
      </c>
      <c r="DY20" s="994">
        <v>17.89560079</v>
      </c>
      <c r="DZ20" s="994">
        <v>17.590612620000002</v>
      </c>
      <c r="EA20" s="994">
        <v>17.272368069999999</v>
      </c>
      <c r="EB20" s="994">
        <v>16.868055760000001</v>
      </c>
      <c r="EC20" s="994">
        <v>16.011385990000001</v>
      </c>
      <c r="ED20" s="994">
        <v>16.469778760000001</v>
      </c>
      <c r="EE20" s="994">
        <v>16.520830069999999</v>
      </c>
    </row>
    <row r="21" spans="1:135" ht="19.8">
      <c r="A21" s="953"/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50"/>
      <c r="N21" s="950"/>
      <c r="O21" s="950"/>
      <c r="P21" s="950"/>
      <c r="Q21" s="950"/>
      <c r="R21" s="950"/>
      <c r="S21" s="950"/>
      <c r="T21" s="950"/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950"/>
      <c r="AR21" s="950"/>
      <c r="AS21" s="950"/>
      <c r="AT21" s="950"/>
      <c r="AU21" s="950"/>
      <c r="AV21" s="950"/>
      <c r="AW21" s="950"/>
      <c r="AX21" s="950"/>
      <c r="AY21" s="950"/>
      <c r="AZ21" s="950"/>
      <c r="BA21" s="950"/>
      <c r="BB21" s="950"/>
      <c r="BC21" s="950"/>
      <c r="BD21" s="950"/>
      <c r="BE21" s="950"/>
      <c r="BF21" s="950"/>
      <c r="BG21" s="951"/>
      <c r="BH21" s="999"/>
      <c r="BI21" s="994"/>
      <c r="BJ21" s="994"/>
      <c r="BK21" s="994"/>
      <c r="BL21" s="994"/>
      <c r="BM21" s="994"/>
      <c r="BN21" s="994"/>
      <c r="BO21" s="994"/>
      <c r="BP21" s="994"/>
      <c r="BQ21" s="994"/>
      <c r="BR21" s="994"/>
      <c r="BS21" s="994"/>
      <c r="BT21" s="994"/>
      <c r="BU21" s="994"/>
      <c r="BV21" s="994"/>
      <c r="BW21" s="994"/>
      <c r="BX21" s="994"/>
      <c r="BY21" s="994"/>
      <c r="BZ21" s="994"/>
      <c r="CA21" s="994"/>
      <c r="CB21" s="994"/>
      <c r="CC21" s="994"/>
      <c r="CD21" s="994"/>
      <c r="CE21" s="994"/>
      <c r="CF21" s="994"/>
      <c r="CG21" s="994"/>
      <c r="CH21" s="994"/>
      <c r="CI21" s="994"/>
      <c r="CJ21" s="994"/>
      <c r="CK21" s="994"/>
      <c r="CL21" s="994"/>
      <c r="CM21" s="994"/>
      <c r="CN21" s="994"/>
      <c r="CO21" s="994"/>
      <c r="CP21" s="994"/>
      <c r="CQ21" s="994"/>
      <c r="CR21" s="994"/>
      <c r="CS21" s="994"/>
      <c r="CT21" s="994"/>
      <c r="CU21" s="994"/>
      <c r="CV21" s="994"/>
      <c r="CW21" s="994"/>
      <c r="CX21" s="994"/>
      <c r="CY21" s="994"/>
      <c r="CZ21" s="994"/>
      <c r="DA21" s="994"/>
      <c r="DB21" s="994"/>
      <c r="DC21" s="994"/>
      <c r="DD21" s="994"/>
      <c r="DE21" s="994"/>
      <c r="DF21" s="994"/>
      <c r="DG21" s="994"/>
      <c r="DH21" s="994"/>
      <c r="DI21" s="994"/>
      <c r="DJ21" s="994"/>
      <c r="DK21" s="994"/>
      <c r="DL21" s="994"/>
      <c r="DM21" s="994"/>
      <c r="DN21" s="994"/>
      <c r="DO21" s="994"/>
      <c r="DP21" s="994"/>
      <c r="DQ21" s="994"/>
      <c r="DR21" s="994"/>
      <c r="DS21" s="994"/>
      <c r="DT21" s="994"/>
      <c r="DU21" s="994"/>
      <c r="DV21" s="994"/>
      <c r="DW21" s="994"/>
      <c r="DX21" s="994"/>
      <c r="DY21" s="994"/>
      <c r="DZ21" s="994"/>
      <c r="EA21" s="994"/>
      <c r="EB21" s="994"/>
      <c r="EC21" s="994"/>
      <c r="ED21" s="994"/>
      <c r="EE21" s="994"/>
    </row>
    <row r="22" spans="1:135" ht="19.8">
      <c r="A22" s="944" t="s">
        <v>2819</v>
      </c>
      <c r="B22" s="945">
        <v>3225.6984943500001</v>
      </c>
      <c r="C22" s="949">
        <v>3292.6639317700001</v>
      </c>
      <c r="D22" s="949">
        <v>3398.34416741</v>
      </c>
      <c r="E22" s="949">
        <v>3551.7900184100004</v>
      </c>
      <c r="F22" s="949">
        <v>3690.22070695</v>
      </c>
      <c r="G22" s="949">
        <v>3791.6355140300002</v>
      </c>
      <c r="H22" s="949">
        <v>3934.4158680100004</v>
      </c>
      <c r="I22" s="949">
        <v>4055.1399988899998</v>
      </c>
      <c r="J22" s="949">
        <v>4163.86043445</v>
      </c>
      <c r="K22" s="949">
        <v>4304.0011475700012</v>
      </c>
      <c r="L22" s="949">
        <v>4420.6190753500005</v>
      </c>
      <c r="M22" s="946">
        <v>4596.2402466199992</v>
      </c>
      <c r="N22" s="950">
        <v>4647.2027104500003</v>
      </c>
      <c r="O22" s="950">
        <v>4724.0263906499995</v>
      </c>
      <c r="P22" s="946">
        <v>4796.3505771099999</v>
      </c>
      <c r="Q22" s="946">
        <v>4942.2508928199995</v>
      </c>
      <c r="R22" s="946">
        <v>5074.0470495600002</v>
      </c>
      <c r="S22" s="946">
        <v>5148.4694500899996</v>
      </c>
      <c r="T22" s="946">
        <v>5261.5157290699999</v>
      </c>
      <c r="U22" s="946">
        <v>5385.3115469900004</v>
      </c>
      <c r="V22" s="946">
        <v>5508.3850331900003</v>
      </c>
      <c r="W22" s="946">
        <v>5527.1423675700007</v>
      </c>
      <c r="X22" s="946">
        <v>5692.6363282499997</v>
      </c>
      <c r="Y22" s="946">
        <v>5842.0544121200001</v>
      </c>
      <c r="Z22" s="946">
        <v>5880.0057201899999</v>
      </c>
      <c r="AA22" s="950">
        <v>6458.25108774</v>
      </c>
      <c r="AB22" s="946">
        <v>6363.7354874899993</v>
      </c>
      <c r="AC22" s="946">
        <v>6312.2766850299995</v>
      </c>
      <c r="AD22" s="946">
        <v>6211.3750793900008</v>
      </c>
      <c r="AE22" s="946">
        <v>6081.6919480400002</v>
      </c>
      <c r="AF22" s="946">
        <v>5992.7424618200002</v>
      </c>
      <c r="AG22" s="946">
        <v>5916.2195888700007</v>
      </c>
      <c r="AH22" s="946">
        <v>5829.6753645499994</v>
      </c>
      <c r="AI22" s="946">
        <v>5804.3991047699992</v>
      </c>
      <c r="AJ22" s="946">
        <v>5776.9388417499995</v>
      </c>
      <c r="AK22" s="946">
        <v>6476.9790362400008</v>
      </c>
      <c r="AL22" s="946">
        <v>6213.2891844999995</v>
      </c>
      <c r="AM22" s="946">
        <v>6014.5547154400001</v>
      </c>
      <c r="AN22" s="946">
        <v>5912.4353632999992</v>
      </c>
      <c r="AO22" s="946">
        <v>5685.0452111100003</v>
      </c>
      <c r="AP22" s="946">
        <v>5484.5277699300004</v>
      </c>
      <c r="AQ22" s="946">
        <v>5468.2113175300001</v>
      </c>
      <c r="AR22" s="946">
        <v>4877.1874400899997</v>
      </c>
      <c r="AS22" s="946">
        <v>4893.7045604200002</v>
      </c>
      <c r="AT22" s="946">
        <v>4812.2798340099998</v>
      </c>
      <c r="AU22" s="946">
        <v>4598.5168250099996</v>
      </c>
      <c r="AV22" s="946">
        <v>4596.0738734300003</v>
      </c>
      <c r="AW22" s="946">
        <v>4555.9567518200001</v>
      </c>
      <c r="AX22" s="946">
        <v>4548.8235005899996</v>
      </c>
      <c r="AY22" s="946">
        <v>4337.7314057599997</v>
      </c>
      <c r="AZ22" s="946">
        <v>4236.3447398899998</v>
      </c>
      <c r="BA22" s="946">
        <v>4163.7365879399995</v>
      </c>
      <c r="BB22" s="946">
        <v>4106.5275599500001</v>
      </c>
      <c r="BC22" s="946">
        <v>4038.3797590300001</v>
      </c>
      <c r="BD22" s="946">
        <v>3947.8008877799998</v>
      </c>
      <c r="BE22" s="946">
        <v>3916.2715636399998</v>
      </c>
      <c r="BF22" s="946">
        <v>3871.4209676200003</v>
      </c>
      <c r="BG22" s="947">
        <v>3850.40111462</v>
      </c>
      <c r="BH22" s="998">
        <v>3849.5540550700007</v>
      </c>
      <c r="BI22" s="993">
        <v>3822.5425927300003</v>
      </c>
      <c r="BJ22" s="993">
        <v>3764.08007817</v>
      </c>
      <c r="BK22" s="993">
        <v>3809.9874223699994</v>
      </c>
      <c r="BL22" s="993">
        <v>3836.0226434199999</v>
      </c>
      <c r="BM22" s="993">
        <v>3882.4593678199999</v>
      </c>
      <c r="BN22" s="993">
        <v>3958.47147752</v>
      </c>
      <c r="BO22" s="993">
        <v>3979.8139342400004</v>
      </c>
      <c r="BP22" s="993">
        <v>4001.6114396299999</v>
      </c>
      <c r="BQ22" s="993">
        <v>4061.0444658699998</v>
      </c>
      <c r="BR22" s="993">
        <v>4112.4298228400003</v>
      </c>
      <c r="BS22" s="993">
        <v>4147.6351281000007</v>
      </c>
      <c r="BT22" s="993">
        <v>4214.5089060600003</v>
      </c>
      <c r="BU22" s="993">
        <v>4318.2306248300001</v>
      </c>
      <c r="BV22" s="993">
        <v>4306.8880557000002</v>
      </c>
      <c r="BW22" s="993">
        <v>4349.73268603</v>
      </c>
      <c r="BX22" s="993">
        <v>4395.9867601000005</v>
      </c>
      <c r="BY22" s="993">
        <v>4485.5604953500006</v>
      </c>
      <c r="BZ22" s="993">
        <v>4607.4407196699995</v>
      </c>
      <c r="CA22" s="993">
        <v>4754.2839247800002</v>
      </c>
      <c r="CB22" s="993">
        <v>4871.84612199</v>
      </c>
      <c r="CC22" s="993">
        <v>4992.573799310001</v>
      </c>
      <c r="CD22" s="993">
        <v>5121.4115106999998</v>
      </c>
      <c r="CE22" s="993">
        <v>5251.8271501700001</v>
      </c>
      <c r="CF22" s="993">
        <v>5367.7287177799999</v>
      </c>
      <c r="CG22" s="993">
        <v>5496.8786000300006</v>
      </c>
      <c r="CH22" s="993">
        <v>5516.5315075900007</v>
      </c>
      <c r="CI22" s="993">
        <v>5623.1880316399993</v>
      </c>
      <c r="CJ22" s="993">
        <v>5623.1703028800002</v>
      </c>
      <c r="CK22" s="993">
        <v>5423.2353963900005</v>
      </c>
      <c r="CL22" s="993">
        <v>5307.0033278700002</v>
      </c>
      <c r="CM22" s="993">
        <v>5317.0560067299994</v>
      </c>
      <c r="CN22" s="993">
        <v>5356.3966677400003</v>
      </c>
      <c r="CO22" s="993">
        <v>5442.5550670599996</v>
      </c>
      <c r="CP22" s="993">
        <v>5545.6270810399992</v>
      </c>
      <c r="CQ22" s="993">
        <v>5539.7097794899992</v>
      </c>
      <c r="CR22" s="993">
        <v>5531.6003914600005</v>
      </c>
      <c r="CS22" s="993">
        <v>5497.1582496199999</v>
      </c>
      <c r="CT22" s="993">
        <v>5478.8008587499999</v>
      </c>
      <c r="CU22" s="993">
        <v>5548.5984441000001</v>
      </c>
      <c r="CV22" s="993">
        <v>5621.0316040199996</v>
      </c>
      <c r="CW22" s="993">
        <v>5780.7845294899998</v>
      </c>
      <c r="CX22" s="993">
        <v>5868.6245380099999</v>
      </c>
      <c r="CY22" s="993">
        <v>6002.3406056399999</v>
      </c>
      <c r="CZ22" s="993">
        <v>6120.3237127000002</v>
      </c>
      <c r="DA22" s="993">
        <v>6313.6461226199999</v>
      </c>
      <c r="DB22" s="993">
        <v>6508.0531377300003</v>
      </c>
      <c r="DC22" s="993">
        <v>6673.9084049399999</v>
      </c>
      <c r="DD22" s="993">
        <v>6860.2442559800002</v>
      </c>
      <c r="DE22" s="993">
        <v>7110.1787407900001</v>
      </c>
      <c r="DF22" s="993">
        <v>7243.5302423100002</v>
      </c>
      <c r="DG22" s="993">
        <v>7424.9344759899996</v>
      </c>
      <c r="DH22" s="993">
        <v>7792.7348733099998</v>
      </c>
      <c r="DI22" s="993">
        <v>8002.2391012300004</v>
      </c>
      <c r="DJ22" s="993">
        <v>8197.5162691700007</v>
      </c>
      <c r="DK22" s="993">
        <v>8401.1894452300003</v>
      </c>
      <c r="DL22" s="993">
        <v>8551.0009061399996</v>
      </c>
      <c r="DM22" s="993">
        <v>8750.8048404599995</v>
      </c>
      <c r="DN22" s="993">
        <v>9009.5930438699997</v>
      </c>
      <c r="DO22" s="993">
        <v>9239.6608191300002</v>
      </c>
      <c r="DP22" s="993">
        <v>9422.0939369400003</v>
      </c>
      <c r="DQ22" s="993">
        <v>9653.1242387999991</v>
      </c>
      <c r="DR22" s="993">
        <v>9769.6222543900003</v>
      </c>
      <c r="DS22" s="993">
        <v>9914.8133405699991</v>
      </c>
      <c r="DT22" s="993">
        <v>10120.987998029999</v>
      </c>
      <c r="DU22" s="993">
        <v>10391.725659490001</v>
      </c>
      <c r="DV22" s="993">
        <v>10637.07069733</v>
      </c>
      <c r="DW22" s="993">
        <v>10836.236644549999</v>
      </c>
      <c r="DX22" s="993">
        <v>10928.447035249999</v>
      </c>
      <c r="DY22" s="993">
        <v>11230.80201521</v>
      </c>
      <c r="DZ22" s="993">
        <v>11452.1688264</v>
      </c>
      <c r="EA22" s="993">
        <v>11508.85833259</v>
      </c>
      <c r="EB22" s="993">
        <v>11764.86032046</v>
      </c>
      <c r="EC22" s="993">
        <v>11919.19724865</v>
      </c>
      <c r="ED22" s="993">
        <v>12004.08195915</v>
      </c>
      <c r="EE22" s="993">
        <v>12169.617060160001</v>
      </c>
    </row>
    <row r="23" spans="1:135" ht="19.8">
      <c r="A23" s="948" t="s">
        <v>1981</v>
      </c>
      <c r="B23" s="949">
        <v>0</v>
      </c>
      <c r="C23" s="949">
        <v>0</v>
      </c>
      <c r="D23" s="949">
        <v>0</v>
      </c>
      <c r="E23" s="949">
        <v>0</v>
      </c>
      <c r="F23" s="949">
        <v>0</v>
      </c>
      <c r="G23" s="949">
        <v>0</v>
      </c>
      <c r="H23" s="949">
        <v>0</v>
      </c>
      <c r="I23" s="949">
        <v>0</v>
      </c>
      <c r="J23" s="949">
        <v>0</v>
      </c>
      <c r="K23" s="949">
        <v>0</v>
      </c>
      <c r="L23" s="949">
        <v>0</v>
      </c>
      <c r="M23" s="950">
        <v>0</v>
      </c>
      <c r="N23" s="950">
        <v>0</v>
      </c>
      <c r="O23" s="950">
        <v>0</v>
      </c>
      <c r="P23" s="950">
        <v>0</v>
      </c>
      <c r="Q23" s="950">
        <v>0</v>
      </c>
      <c r="R23" s="950">
        <v>0</v>
      </c>
      <c r="S23" s="950">
        <v>0</v>
      </c>
      <c r="T23" s="950">
        <v>0</v>
      </c>
      <c r="U23" s="950">
        <v>0</v>
      </c>
      <c r="V23" s="950">
        <v>0</v>
      </c>
      <c r="W23" s="950">
        <v>0</v>
      </c>
      <c r="X23" s="950">
        <v>0</v>
      </c>
      <c r="Y23" s="950">
        <v>0</v>
      </c>
      <c r="Z23" s="950">
        <v>0</v>
      </c>
      <c r="AA23" s="950">
        <v>0</v>
      </c>
      <c r="AB23" s="950">
        <v>16</v>
      </c>
      <c r="AC23" s="950">
        <v>16</v>
      </c>
      <c r="AD23" s="950">
        <v>16</v>
      </c>
      <c r="AE23" s="950">
        <v>16</v>
      </c>
      <c r="AF23" s="950">
        <v>16</v>
      </c>
      <c r="AG23" s="950">
        <v>16</v>
      </c>
      <c r="AH23" s="950">
        <v>16</v>
      </c>
      <c r="AI23" s="950">
        <v>16</v>
      </c>
      <c r="AJ23" s="950">
        <v>16</v>
      </c>
      <c r="AK23" s="950">
        <v>0</v>
      </c>
      <c r="AL23" s="950">
        <v>16</v>
      </c>
      <c r="AM23" s="950">
        <v>16</v>
      </c>
      <c r="AN23" s="950">
        <v>16</v>
      </c>
      <c r="AO23" s="950">
        <v>16</v>
      </c>
      <c r="AP23" s="950">
        <v>16</v>
      </c>
      <c r="AQ23" s="950">
        <v>16</v>
      </c>
      <c r="AR23" s="950">
        <v>16</v>
      </c>
      <c r="AS23" s="950">
        <v>16</v>
      </c>
      <c r="AT23" s="950">
        <v>16</v>
      </c>
      <c r="AU23" s="950">
        <v>16</v>
      </c>
      <c r="AV23" s="950">
        <v>16</v>
      </c>
      <c r="AW23" s="950">
        <v>0</v>
      </c>
      <c r="AX23" s="950">
        <v>16</v>
      </c>
      <c r="AY23" s="950">
        <v>16</v>
      </c>
      <c r="AZ23" s="950">
        <v>16</v>
      </c>
      <c r="BA23" s="950">
        <v>16</v>
      </c>
      <c r="BB23" s="950">
        <v>16</v>
      </c>
      <c r="BC23" s="950">
        <v>16</v>
      </c>
      <c r="BD23" s="950">
        <v>0</v>
      </c>
      <c r="BE23" s="950">
        <v>0</v>
      </c>
      <c r="BF23" s="950">
        <v>0</v>
      </c>
      <c r="BG23" s="951">
        <v>0</v>
      </c>
      <c r="BH23" s="999">
        <v>0</v>
      </c>
      <c r="BI23" s="994">
        <v>0</v>
      </c>
      <c r="BJ23" s="994">
        <v>0</v>
      </c>
      <c r="BK23" s="994">
        <v>0</v>
      </c>
      <c r="BL23" s="994">
        <v>0</v>
      </c>
      <c r="BM23" s="994">
        <v>0</v>
      </c>
      <c r="BN23" s="994">
        <v>0</v>
      </c>
      <c r="BO23" s="994">
        <v>0</v>
      </c>
      <c r="BP23" s="994">
        <v>0</v>
      </c>
      <c r="BQ23" s="994">
        <v>0</v>
      </c>
      <c r="BR23" s="994">
        <v>0</v>
      </c>
      <c r="BS23" s="994">
        <v>0</v>
      </c>
      <c r="BT23" s="994">
        <v>0</v>
      </c>
      <c r="BU23" s="994">
        <v>0</v>
      </c>
      <c r="BV23" s="994">
        <v>0</v>
      </c>
      <c r="BW23" s="994">
        <v>0</v>
      </c>
      <c r="BX23" s="994">
        <v>0</v>
      </c>
      <c r="BY23" s="994">
        <v>0</v>
      </c>
      <c r="BZ23" s="994">
        <v>0</v>
      </c>
      <c r="CA23" s="994">
        <v>0</v>
      </c>
      <c r="CB23" s="994">
        <v>0</v>
      </c>
      <c r="CC23" s="994">
        <v>0</v>
      </c>
      <c r="CD23" s="994">
        <v>0</v>
      </c>
      <c r="CE23" s="994">
        <v>0</v>
      </c>
      <c r="CF23" s="994">
        <v>0</v>
      </c>
      <c r="CG23" s="994">
        <v>0</v>
      </c>
      <c r="CH23" s="994">
        <v>0</v>
      </c>
      <c r="CI23" s="994">
        <v>0</v>
      </c>
      <c r="CJ23" s="994">
        <v>0</v>
      </c>
      <c r="CK23" s="994">
        <v>0</v>
      </c>
      <c r="CL23" s="994">
        <v>0</v>
      </c>
      <c r="CM23" s="994">
        <v>0</v>
      </c>
      <c r="CN23" s="994">
        <v>0</v>
      </c>
      <c r="CO23" s="994">
        <v>0</v>
      </c>
      <c r="CP23" s="994">
        <v>0</v>
      </c>
      <c r="CQ23" s="994">
        <v>0</v>
      </c>
      <c r="CR23" s="994">
        <v>0</v>
      </c>
      <c r="CS23" s="994">
        <v>0</v>
      </c>
      <c r="CT23" s="994">
        <v>0</v>
      </c>
      <c r="CU23" s="994">
        <v>0</v>
      </c>
      <c r="CV23" s="994">
        <v>0</v>
      </c>
      <c r="CW23" s="994">
        <v>0</v>
      </c>
      <c r="CX23" s="994">
        <v>0</v>
      </c>
      <c r="CY23" s="994">
        <v>0</v>
      </c>
      <c r="CZ23" s="994">
        <v>0</v>
      </c>
      <c r="DA23" s="994">
        <v>0</v>
      </c>
      <c r="DB23" s="994">
        <v>0</v>
      </c>
      <c r="DC23" s="994">
        <v>0</v>
      </c>
      <c r="DD23" s="994">
        <v>0</v>
      </c>
      <c r="DE23" s="994">
        <v>0</v>
      </c>
      <c r="DF23" s="994">
        <v>0</v>
      </c>
      <c r="DG23" s="994">
        <v>0</v>
      </c>
      <c r="DH23" s="994">
        <v>0</v>
      </c>
      <c r="DI23" s="994">
        <v>0</v>
      </c>
      <c r="DJ23" s="994">
        <v>0</v>
      </c>
      <c r="DK23" s="994">
        <v>0</v>
      </c>
      <c r="DL23" s="994">
        <v>0</v>
      </c>
      <c r="DM23" s="994">
        <v>0</v>
      </c>
      <c r="DN23" s="994">
        <v>0</v>
      </c>
      <c r="DO23" s="994">
        <v>0</v>
      </c>
      <c r="DP23" s="994">
        <v>0</v>
      </c>
      <c r="DQ23" s="994">
        <v>0</v>
      </c>
      <c r="DR23" s="994">
        <v>0</v>
      </c>
      <c r="DS23" s="994">
        <v>0</v>
      </c>
      <c r="DT23" s="994">
        <v>0</v>
      </c>
      <c r="DU23" s="994">
        <v>0</v>
      </c>
      <c r="DV23" s="994">
        <v>0</v>
      </c>
      <c r="DW23" s="994">
        <v>0</v>
      </c>
      <c r="DX23" s="994">
        <v>0</v>
      </c>
      <c r="DY23" s="994">
        <v>0</v>
      </c>
      <c r="DZ23" s="994">
        <v>0</v>
      </c>
      <c r="EA23" s="994">
        <v>0</v>
      </c>
      <c r="EB23" s="994">
        <v>0</v>
      </c>
      <c r="EC23" s="994">
        <v>0</v>
      </c>
      <c r="ED23" s="994">
        <v>0</v>
      </c>
      <c r="EE23" s="994">
        <v>0</v>
      </c>
    </row>
    <row r="24" spans="1:135" ht="19.8">
      <c r="A24" s="952" t="s">
        <v>189</v>
      </c>
      <c r="B24" s="945">
        <v>2397.3404618200002</v>
      </c>
      <c r="C24" s="949">
        <v>2434.4491340899999</v>
      </c>
      <c r="D24" s="949">
        <v>2530.1557090599999</v>
      </c>
      <c r="E24" s="949">
        <v>2650.7536850400002</v>
      </c>
      <c r="F24" s="949">
        <v>2760.8022356800002</v>
      </c>
      <c r="G24" s="949">
        <v>2840.96808113</v>
      </c>
      <c r="H24" s="949">
        <v>2947.1628406600003</v>
      </c>
      <c r="I24" s="949">
        <v>3037.0473277499996</v>
      </c>
      <c r="J24" s="949">
        <v>3108.15250113</v>
      </c>
      <c r="K24" s="949">
        <v>3211.1532535800006</v>
      </c>
      <c r="L24" s="949">
        <v>3302.9519496000003</v>
      </c>
      <c r="M24" s="946">
        <v>3463.1136425299992</v>
      </c>
      <c r="N24" s="950">
        <v>3528.4361287400002</v>
      </c>
      <c r="O24" s="950">
        <v>3603.8401909499999</v>
      </c>
      <c r="P24" s="946">
        <v>3676.4016216</v>
      </c>
      <c r="Q24" s="946">
        <v>3781.5086010199998</v>
      </c>
      <c r="R24" s="946">
        <v>3880.3492997900003</v>
      </c>
      <c r="S24" s="946">
        <v>3936.0847970799996</v>
      </c>
      <c r="T24" s="946">
        <v>4021.5572752400003</v>
      </c>
      <c r="U24" s="946">
        <v>4118.9345882699999</v>
      </c>
      <c r="V24" s="946">
        <v>4217.6978599100003</v>
      </c>
      <c r="W24" s="946">
        <v>4234.6246917600001</v>
      </c>
      <c r="X24" s="946">
        <v>4360.6064291299999</v>
      </c>
      <c r="Y24" s="946">
        <v>4472.0477258500005</v>
      </c>
      <c r="Z24" s="946">
        <v>4507.1112850500003</v>
      </c>
      <c r="AA24" s="950">
        <v>4470.8257775000002</v>
      </c>
      <c r="AB24" s="946">
        <v>4415.9170936399996</v>
      </c>
      <c r="AC24" s="946">
        <v>4375.8388521899997</v>
      </c>
      <c r="AD24" s="946">
        <v>4255.5702338400006</v>
      </c>
      <c r="AE24" s="946">
        <v>4136.3615813100005</v>
      </c>
      <c r="AF24" s="946">
        <v>4069.23681111</v>
      </c>
      <c r="AG24" s="946">
        <v>4057.1221886900003</v>
      </c>
      <c r="AH24" s="946">
        <v>4061.5250724999996</v>
      </c>
      <c r="AI24" s="946">
        <v>4064.3638673699993</v>
      </c>
      <c r="AJ24" s="946">
        <v>4100.4727960499995</v>
      </c>
      <c r="AK24" s="946">
        <v>4139.3874426200009</v>
      </c>
      <c r="AL24" s="946">
        <v>3910.7475975500001</v>
      </c>
      <c r="AM24" s="946">
        <v>3836.0358085600001</v>
      </c>
      <c r="AN24" s="946">
        <v>3826.5166534799996</v>
      </c>
      <c r="AO24" s="946">
        <v>3701.6012327600001</v>
      </c>
      <c r="AP24" s="946">
        <v>3620.1093008500002</v>
      </c>
      <c r="AQ24" s="946">
        <v>3618.60893876</v>
      </c>
      <c r="AR24" s="946">
        <v>3224.2674005199997</v>
      </c>
      <c r="AS24" s="946">
        <v>3290.18293606</v>
      </c>
      <c r="AT24" s="946">
        <v>3296.0413002100004</v>
      </c>
      <c r="AU24" s="946">
        <v>3216.8242949</v>
      </c>
      <c r="AV24" s="946">
        <v>3219.9390315000001</v>
      </c>
      <c r="AW24" s="946">
        <v>3233.0483753399999</v>
      </c>
      <c r="AX24" s="946">
        <v>3179.4149013999995</v>
      </c>
      <c r="AY24" s="946">
        <v>3137.46036288</v>
      </c>
      <c r="AZ24" s="946">
        <v>3088.5109793199999</v>
      </c>
      <c r="BA24" s="946">
        <v>3051.8572792899995</v>
      </c>
      <c r="BB24" s="946">
        <v>3005.8938775900001</v>
      </c>
      <c r="BC24" s="946">
        <v>2975.2959043299998</v>
      </c>
      <c r="BD24" s="946">
        <v>2952.4303911699999</v>
      </c>
      <c r="BE24" s="946">
        <v>2971.9634636999999</v>
      </c>
      <c r="BF24" s="946">
        <v>2963.3113738100005</v>
      </c>
      <c r="BG24" s="947">
        <v>2988.1316363599999</v>
      </c>
      <c r="BH24" s="998">
        <v>3021.2109347100004</v>
      </c>
      <c r="BI24" s="993">
        <v>3052.4329639000002</v>
      </c>
      <c r="BJ24" s="993">
        <v>3027.7731812299999</v>
      </c>
      <c r="BK24" s="993">
        <v>3082.6521439899993</v>
      </c>
      <c r="BL24" s="993">
        <v>3136.14050215</v>
      </c>
      <c r="BM24" s="993">
        <v>3215.7763763500002</v>
      </c>
      <c r="BN24" s="993">
        <v>3321.3115408600002</v>
      </c>
      <c r="BO24" s="993">
        <v>3371.1462939100002</v>
      </c>
      <c r="BP24" s="993">
        <v>3416.0473417200001</v>
      </c>
      <c r="BQ24" s="993">
        <v>3503.47728461</v>
      </c>
      <c r="BR24" s="993">
        <v>3571.32878897</v>
      </c>
      <c r="BS24" s="993">
        <v>3648.1489246300002</v>
      </c>
      <c r="BT24" s="993">
        <v>3711.2816690099999</v>
      </c>
      <c r="BU24" s="993">
        <v>3840.7614551199999</v>
      </c>
      <c r="BV24" s="993">
        <v>3851.64386921</v>
      </c>
      <c r="BW24" s="993">
        <v>3904.4124163900001</v>
      </c>
      <c r="BX24" s="993">
        <v>3963.7522623200002</v>
      </c>
      <c r="BY24" s="993">
        <v>4090.0760079500001</v>
      </c>
      <c r="BZ24" s="993">
        <v>4225.1756636199998</v>
      </c>
      <c r="CA24" s="993">
        <v>4338.8830322700005</v>
      </c>
      <c r="CB24" s="993">
        <v>4472.2604802100004</v>
      </c>
      <c r="CC24" s="993">
        <v>4600.3889880000006</v>
      </c>
      <c r="CD24" s="993">
        <v>4737.1808413500003</v>
      </c>
      <c r="CE24" s="993">
        <v>4869.9556747799998</v>
      </c>
      <c r="CF24" s="993">
        <v>4961.2199586500001</v>
      </c>
      <c r="CG24" s="993">
        <v>5100.1172969600002</v>
      </c>
      <c r="CH24" s="993">
        <v>5124.8964839200007</v>
      </c>
      <c r="CI24" s="993">
        <v>5234.3079467299995</v>
      </c>
      <c r="CJ24" s="993">
        <v>5250.9368402400005</v>
      </c>
      <c r="CK24" s="993">
        <v>5057.8497382100004</v>
      </c>
      <c r="CL24" s="993">
        <v>4951.67838183</v>
      </c>
      <c r="CM24" s="993">
        <v>4979.6068053799991</v>
      </c>
      <c r="CN24" s="993">
        <v>5018.5814449</v>
      </c>
      <c r="CO24" s="993">
        <v>5106.2733573299993</v>
      </c>
      <c r="CP24" s="993">
        <v>5202.7442448599995</v>
      </c>
      <c r="CQ24" s="993">
        <v>5205.4951686099994</v>
      </c>
      <c r="CR24" s="993">
        <v>5198.8400734900006</v>
      </c>
      <c r="CS24" s="993">
        <v>5170.6210995900001</v>
      </c>
      <c r="CT24" s="993">
        <v>5207.1015527400004</v>
      </c>
      <c r="CU24" s="993">
        <v>5271.5802983399999</v>
      </c>
      <c r="CV24" s="993">
        <v>5352.59089012</v>
      </c>
      <c r="CW24" s="993">
        <v>5514.19361802</v>
      </c>
      <c r="CX24" s="993">
        <v>5609.2249893199996</v>
      </c>
      <c r="CY24" s="993">
        <v>5743.4867092300001</v>
      </c>
      <c r="CZ24" s="993">
        <v>5861.5706071000004</v>
      </c>
      <c r="DA24" s="993">
        <v>6052.3078177099997</v>
      </c>
      <c r="DB24" s="993">
        <v>6245.8924052599996</v>
      </c>
      <c r="DC24" s="993">
        <v>6413.3935237599999</v>
      </c>
      <c r="DD24" s="993">
        <v>6608.5060519500003</v>
      </c>
      <c r="DE24" s="993">
        <v>6857.53063449</v>
      </c>
      <c r="DF24" s="993">
        <v>7000.4802723499997</v>
      </c>
      <c r="DG24" s="993">
        <v>7180.8613192499997</v>
      </c>
      <c r="DH24" s="993">
        <v>7399.6583697400001</v>
      </c>
      <c r="DI24" s="993">
        <v>7659.4307126699996</v>
      </c>
      <c r="DJ24" s="993">
        <v>7850.85153945</v>
      </c>
      <c r="DK24" s="993">
        <v>8081.8257639599997</v>
      </c>
      <c r="DL24" s="993">
        <v>8238.8693234000002</v>
      </c>
      <c r="DM24" s="993">
        <v>8455.8526685100005</v>
      </c>
      <c r="DN24" s="993">
        <v>8707.5597014100003</v>
      </c>
      <c r="DO24" s="993">
        <v>8929.9351855999994</v>
      </c>
      <c r="DP24" s="993">
        <v>9114.0993186699998</v>
      </c>
      <c r="DQ24" s="993">
        <v>9255.4666333599998</v>
      </c>
      <c r="DR24" s="993">
        <v>9372.2895234799998</v>
      </c>
      <c r="DS24" s="993">
        <v>9522.7215718999996</v>
      </c>
      <c r="DT24" s="993">
        <v>9730.9228272199998</v>
      </c>
      <c r="DU24" s="993">
        <v>9993.7536733300003</v>
      </c>
      <c r="DV24" s="993">
        <v>10235.40189995</v>
      </c>
      <c r="DW24" s="993">
        <v>10442.09906162</v>
      </c>
      <c r="DX24" s="993">
        <v>10679.17330443</v>
      </c>
      <c r="DY24" s="993">
        <v>10979.66499173</v>
      </c>
      <c r="DZ24" s="993">
        <v>11200.19993952</v>
      </c>
      <c r="EA24" s="993">
        <v>11262.349084379999</v>
      </c>
      <c r="EB24" s="993">
        <v>11520.120056919999</v>
      </c>
      <c r="EC24" s="993">
        <v>11677.56784272</v>
      </c>
      <c r="ED24" s="993">
        <v>11764.36221141</v>
      </c>
      <c r="EE24" s="993">
        <v>11937.348131999999</v>
      </c>
    </row>
    <row r="25" spans="1:135" ht="19.8">
      <c r="A25" s="948" t="s">
        <v>1981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8</v>
      </c>
      <c r="AC25" s="950">
        <v>8</v>
      </c>
      <c r="AD25" s="950">
        <v>8</v>
      </c>
      <c r="AE25" s="950">
        <v>8</v>
      </c>
      <c r="AF25" s="950">
        <v>8</v>
      </c>
      <c r="AG25" s="950">
        <v>8</v>
      </c>
      <c r="AH25" s="950">
        <v>8</v>
      </c>
      <c r="AI25" s="950">
        <v>8</v>
      </c>
      <c r="AJ25" s="950">
        <v>8</v>
      </c>
      <c r="AK25" s="950">
        <v>0</v>
      </c>
      <c r="AL25" s="950">
        <v>8</v>
      </c>
      <c r="AM25" s="950">
        <v>8</v>
      </c>
      <c r="AN25" s="950">
        <v>8</v>
      </c>
      <c r="AO25" s="950">
        <v>8</v>
      </c>
      <c r="AP25" s="950">
        <v>8</v>
      </c>
      <c r="AQ25" s="950">
        <v>8</v>
      </c>
      <c r="AR25" s="950">
        <v>8</v>
      </c>
      <c r="AS25" s="950">
        <v>8</v>
      </c>
      <c r="AT25" s="950">
        <v>8</v>
      </c>
      <c r="AU25" s="950">
        <v>8</v>
      </c>
      <c r="AV25" s="950">
        <v>8</v>
      </c>
      <c r="AW25" s="950">
        <v>0</v>
      </c>
      <c r="AX25" s="950">
        <v>8</v>
      </c>
      <c r="AY25" s="950">
        <v>8</v>
      </c>
      <c r="AZ25" s="950">
        <v>8</v>
      </c>
      <c r="BA25" s="950">
        <v>8</v>
      </c>
      <c r="BB25" s="950">
        <v>8</v>
      </c>
      <c r="BC25" s="950">
        <v>8</v>
      </c>
      <c r="BD25" s="950">
        <v>0</v>
      </c>
      <c r="BE25" s="950">
        <v>0</v>
      </c>
      <c r="BF25" s="950">
        <v>0</v>
      </c>
      <c r="BG25" s="951">
        <v>0</v>
      </c>
      <c r="BH25" s="999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0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994">
        <v>0</v>
      </c>
      <c r="DE25" s="994">
        <v>0</v>
      </c>
      <c r="DF25" s="994">
        <v>0</v>
      </c>
      <c r="DG25" s="994">
        <v>0</v>
      </c>
      <c r="DH25" s="994">
        <v>0</v>
      </c>
      <c r="DI25" s="994">
        <v>0</v>
      </c>
      <c r="DJ25" s="994">
        <v>0</v>
      </c>
      <c r="DK25" s="994">
        <v>0</v>
      </c>
      <c r="DL25" s="994">
        <v>0</v>
      </c>
      <c r="DM25" s="994">
        <v>0</v>
      </c>
      <c r="DN25" s="994">
        <v>0</v>
      </c>
      <c r="DO25" s="994">
        <v>0</v>
      </c>
      <c r="DP25" s="994">
        <v>0</v>
      </c>
      <c r="DQ25" s="994">
        <v>0</v>
      </c>
      <c r="DR25" s="994">
        <v>0</v>
      </c>
      <c r="DS25" s="994">
        <v>0</v>
      </c>
      <c r="DT25" s="994">
        <v>0</v>
      </c>
      <c r="DU25" s="994">
        <v>0</v>
      </c>
      <c r="DV25" s="994">
        <v>0</v>
      </c>
      <c r="DW25" s="994">
        <v>0</v>
      </c>
      <c r="DX25" s="994">
        <v>0</v>
      </c>
      <c r="DY25" s="994">
        <v>0</v>
      </c>
      <c r="DZ25" s="994">
        <v>0</v>
      </c>
      <c r="EA25" s="994">
        <v>0</v>
      </c>
      <c r="EB25" s="994">
        <v>0</v>
      </c>
      <c r="EC25" s="994">
        <v>0</v>
      </c>
      <c r="ED25" s="994">
        <v>0</v>
      </c>
      <c r="EE25" s="994">
        <v>0</v>
      </c>
    </row>
    <row r="26" spans="1:135" ht="19.8">
      <c r="A26" s="952" t="s">
        <v>2818</v>
      </c>
      <c r="B26" s="945">
        <v>828.35803253000006</v>
      </c>
      <c r="C26" s="949">
        <v>858.21479768000006</v>
      </c>
      <c r="D26" s="949">
        <v>868.18845834999991</v>
      </c>
      <c r="E26" s="949">
        <v>901.03633337000008</v>
      </c>
      <c r="F26" s="949">
        <v>929.41847127000005</v>
      </c>
      <c r="G26" s="949">
        <v>950.66743289999999</v>
      </c>
      <c r="H26" s="949">
        <v>987.25302735000002</v>
      </c>
      <c r="I26" s="949">
        <v>1018.0926711400001</v>
      </c>
      <c r="J26" s="949">
        <v>1055.7079333199999</v>
      </c>
      <c r="K26" s="949">
        <v>1092.8478939900001</v>
      </c>
      <c r="L26" s="949">
        <v>1117.66712575</v>
      </c>
      <c r="M26" s="946">
        <v>1133.12660409</v>
      </c>
      <c r="N26" s="950">
        <v>1118.7665817100001</v>
      </c>
      <c r="O26" s="950">
        <v>1120.1861996999999</v>
      </c>
      <c r="P26" s="946">
        <v>1119.9489555099999</v>
      </c>
      <c r="Q26" s="946">
        <v>1160.7422918</v>
      </c>
      <c r="R26" s="946">
        <v>1193.69774977</v>
      </c>
      <c r="S26" s="946">
        <v>1212.38465301</v>
      </c>
      <c r="T26" s="946">
        <v>1239.9584538299998</v>
      </c>
      <c r="U26" s="946">
        <v>1266.3769587199999</v>
      </c>
      <c r="V26" s="946">
        <v>1290.68717328</v>
      </c>
      <c r="W26" s="946">
        <v>1292.5176758100001</v>
      </c>
      <c r="X26" s="946">
        <v>1332.02989912</v>
      </c>
      <c r="Y26" s="946">
        <v>1370.00668627</v>
      </c>
      <c r="Z26" s="946">
        <v>1372.8944351399998</v>
      </c>
      <c r="AA26" s="950">
        <v>1987.42531024</v>
      </c>
      <c r="AB26" s="946">
        <v>1947.8183938500001</v>
      </c>
      <c r="AC26" s="946">
        <v>1936.4378328400001</v>
      </c>
      <c r="AD26" s="946">
        <v>1955.80484555</v>
      </c>
      <c r="AE26" s="946">
        <v>1945.3303667299999</v>
      </c>
      <c r="AF26" s="946">
        <v>1923.5056507100003</v>
      </c>
      <c r="AG26" s="946">
        <v>1859.09740018</v>
      </c>
      <c r="AH26" s="946">
        <v>1768.1502920500002</v>
      </c>
      <c r="AI26" s="946">
        <v>1740.0352373999999</v>
      </c>
      <c r="AJ26" s="946">
        <v>1676.4660457</v>
      </c>
      <c r="AK26" s="946">
        <v>2337.5915936199999</v>
      </c>
      <c r="AL26" s="946">
        <v>2302.5415869499998</v>
      </c>
      <c r="AM26" s="946">
        <v>2178.51890688</v>
      </c>
      <c r="AN26" s="946">
        <v>2085.91870982</v>
      </c>
      <c r="AO26" s="946">
        <v>1983.4439783500002</v>
      </c>
      <c r="AP26" s="946">
        <v>1864.41846908</v>
      </c>
      <c r="AQ26" s="946">
        <v>1849.6023787699999</v>
      </c>
      <c r="AR26" s="946">
        <v>1652.9200395700002</v>
      </c>
      <c r="AS26" s="946">
        <v>1603.52162436</v>
      </c>
      <c r="AT26" s="946">
        <v>1516.2385337999999</v>
      </c>
      <c r="AU26" s="946">
        <v>1381.69253011</v>
      </c>
      <c r="AV26" s="946">
        <v>1376.13484193</v>
      </c>
      <c r="AW26" s="946">
        <v>1322.9083764799998</v>
      </c>
      <c r="AX26" s="946">
        <v>1369.4085991899999</v>
      </c>
      <c r="AY26" s="946">
        <v>1200.2710428799999</v>
      </c>
      <c r="AZ26" s="946">
        <v>1147.8337605699999</v>
      </c>
      <c r="BA26" s="946">
        <v>1111.8793086500002</v>
      </c>
      <c r="BB26" s="946">
        <v>1100.6336823600002</v>
      </c>
      <c r="BC26" s="946">
        <v>1063.0838547000001</v>
      </c>
      <c r="BD26" s="946">
        <v>995.37049660999992</v>
      </c>
      <c r="BE26" s="946">
        <v>944.30809993999992</v>
      </c>
      <c r="BF26" s="946">
        <v>908.10959380999986</v>
      </c>
      <c r="BG26" s="947">
        <v>862.26947826000003</v>
      </c>
      <c r="BH26" s="998">
        <v>828.34312036000006</v>
      </c>
      <c r="BI26" s="993">
        <v>770.10962882999991</v>
      </c>
      <c r="BJ26" s="993">
        <v>736.30689694</v>
      </c>
      <c r="BK26" s="993">
        <v>727.33527837999998</v>
      </c>
      <c r="BL26" s="993">
        <v>699.88214126999992</v>
      </c>
      <c r="BM26" s="993">
        <v>666.68299146999993</v>
      </c>
      <c r="BN26" s="993">
        <v>637.15993665999997</v>
      </c>
      <c r="BO26" s="993">
        <v>608.66764033000015</v>
      </c>
      <c r="BP26" s="993">
        <v>585.56409790999999</v>
      </c>
      <c r="BQ26" s="993">
        <v>557.56718125999987</v>
      </c>
      <c r="BR26" s="993">
        <v>541.10103387000004</v>
      </c>
      <c r="BS26" s="993">
        <v>499.48620347000002</v>
      </c>
      <c r="BT26" s="993">
        <v>503.22723704999999</v>
      </c>
      <c r="BU26" s="993">
        <v>477.46916971000002</v>
      </c>
      <c r="BV26" s="993">
        <v>455.24418648999995</v>
      </c>
      <c r="BW26" s="993">
        <v>445.32026963999994</v>
      </c>
      <c r="BX26" s="993">
        <v>432.23449778000003</v>
      </c>
      <c r="BY26" s="993">
        <v>395.48448740000003</v>
      </c>
      <c r="BZ26" s="993">
        <v>382.26505605</v>
      </c>
      <c r="CA26" s="993">
        <v>415.40089251000001</v>
      </c>
      <c r="CB26" s="993">
        <v>399.58564178</v>
      </c>
      <c r="CC26" s="993">
        <v>392.18481131000004</v>
      </c>
      <c r="CD26" s="993">
        <v>384.23066934999997</v>
      </c>
      <c r="CE26" s="993">
        <v>381.87147539</v>
      </c>
      <c r="CF26" s="993">
        <v>406.50875912999999</v>
      </c>
      <c r="CG26" s="993">
        <v>396.76130307</v>
      </c>
      <c r="CH26" s="993">
        <v>391.63502367000007</v>
      </c>
      <c r="CI26" s="993">
        <v>388.88008491000005</v>
      </c>
      <c r="CJ26" s="993">
        <v>372.23346263999997</v>
      </c>
      <c r="CK26" s="993">
        <v>365.38565818000001</v>
      </c>
      <c r="CL26" s="993">
        <v>355.32494603999999</v>
      </c>
      <c r="CM26" s="993">
        <v>337.44920135000001</v>
      </c>
      <c r="CN26" s="993">
        <v>337.81522284000005</v>
      </c>
      <c r="CO26" s="993">
        <v>336.28170972999999</v>
      </c>
      <c r="CP26" s="993">
        <v>342.88283617999997</v>
      </c>
      <c r="CQ26" s="993">
        <v>334.21461088000001</v>
      </c>
      <c r="CR26" s="993">
        <v>332.76031796999996</v>
      </c>
      <c r="CS26" s="993">
        <v>326.53715002999996</v>
      </c>
      <c r="CT26" s="993">
        <v>271.69930600999999</v>
      </c>
      <c r="CU26" s="993">
        <v>277.01814575999998</v>
      </c>
      <c r="CV26" s="993">
        <v>268.44071389999999</v>
      </c>
      <c r="CW26" s="993">
        <v>266.59091146999998</v>
      </c>
      <c r="CX26" s="993">
        <v>259.39954869000002</v>
      </c>
      <c r="CY26" s="993">
        <v>258.85389641</v>
      </c>
      <c r="CZ26" s="993">
        <v>258.75310560000003</v>
      </c>
      <c r="DA26" s="993">
        <v>261.33830490999998</v>
      </c>
      <c r="DB26" s="993">
        <v>262.16073247000003</v>
      </c>
      <c r="DC26" s="993">
        <v>260.51488117999997</v>
      </c>
      <c r="DD26" s="993">
        <v>251.73820402999999</v>
      </c>
      <c r="DE26" s="993">
        <v>252.64810629999999</v>
      </c>
      <c r="DF26" s="993">
        <v>243.04996996</v>
      </c>
      <c r="DG26" s="993">
        <v>244.07315674</v>
      </c>
      <c r="DH26" s="993">
        <v>393.07650357</v>
      </c>
      <c r="DI26" s="993">
        <v>342.80838856000003</v>
      </c>
      <c r="DJ26" s="993">
        <v>346.66472972000003</v>
      </c>
      <c r="DK26" s="993">
        <v>319.36368126999997</v>
      </c>
      <c r="DL26" s="993">
        <v>312.13158274</v>
      </c>
      <c r="DM26" s="993">
        <v>294.95217194999998</v>
      </c>
      <c r="DN26" s="993">
        <v>302.03334245999997</v>
      </c>
      <c r="DO26" s="993">
        <v>309.72563352999998</v>
      </c>
      <c r="DP26" s="993">
        <v>307.99461826999999</v>
      </c>
      <c r="DQ26" s="993">
        <v>397.65760544</v>
      </c>
      <c r="DR26" s="993">
        <v>397.33273091000001</v>
      </c>
      <c r="DS26" s="993">
        <v>392.09176867000002</v>
      </c>
      <c r="DT26" s="993">
        <v>390.06517080999998</v>
      </c>
      <c r="DU26" s="993">
        <v>397.97198615999997</v>
      </c>
      <c r="DV26" s="993">
        <v>401.66879738</v>
      </c>
      <c r="DW26" s="993">
        <v>394.13758293000001</v>
      </c>
      <c r="DX26" s="993">
        <v>249.27373082</v>
      </c>
      <c r="DY26" s="993">
        <v>251.13702348000001</v>
      </c>
      <c r="DZ26" s="993">
        <v>251.96888688000001</v>
      </c>
      <c r="EA26" s="993">
        <v>246.50924821000001</v>
      </c>
      <c r="EB26" s="993">
        <v>244.74026354</v>
      </c>
      <c r="EC26" s="993">
        <v>241.62940592999999</v>
      </c>
      <c r="ED26" s="993">
        <v>239.71974774</v>
      </c>
      <c r="EE26" s="993">
        <v>232.26892816</v>
      </c>
    </row>
    <row r="27" spans="1:135" ht="19.8">
      <c r="A27" s="948" t="s">
        <v>1981</v>
      </c>
      <c r="B27" s="949">
        <v>0</v>
      </c>
      <c r="C27" s="949">
        <v>0</v>
      </c>
      <c r="D27" s="949">
        <v>0</v>
      </c>
      <c r="E27" s="949">
        <v>0</v>
      </c>
      <c r="F27" s="949">
        <v>0</v>
      </c>
      <c r="G27" s="949">
        <v>0</v>
      </c>
      <c r="H27" s="949">
        <v>0</v>
      </c>
      <c r="I27" s="949">
        <v>0</v>
      </c>
      <c r="J27" s="949">
        <v>0</v>
      </c>
      <c r="K27" s="949">
        <v>0</v>
      </c>
      <c r="L27" s="949">
        <v>0</v>
      </c>
      <c r="M27" s="950">
        <v>0</v>
      </c>
      <c r="N27" s="950">
        <v>0</v>
      </c>
      <c r="O27" s="950">
        <v>0</v>
      </c>
      <c r="P27" s="950">
        <v>0</v>
      </c>
      <c r="Q27" s="950">
        <v>0</v>
      </c>
      <c r="R27" s="950">
        <v>0</v>
      </c>
      <c r="S27" s="950">
        <v>0</v>
      </c>
      <c r="T27" s="950">
        <v>0</v>
      </c>
      <c r="U27" s="950">
        <v>0</v>
      </c>
      <c r="V27" s="950">
        <v>0</v>
      </c>
      <c r="W27" s="950">
        <v>0</v>
      </c>
      <c r="X27" s="950">
        <v>0</v>
      </c>
      <c r="Y27" s="950">
        <v>0</v>
      </c>
      <c r="Z27" s="950">
        <v>0</v>
      </c>
      <c r="AA27" s="950">
        <v>0</v>
      </c>
      <c r="AB27" s="950">
        <v>8</v>
      </c>
      <c r="AC27" s="950">
        <v>8</v>
      </c>
      <c r="AD27" s="950">
        <v>8</v>
      </c>
      <c r="AE27" s="950">
        <v>8</v>
      </c>
      <c r="AF27" s="950">
        <v>8</v>
      </c>
      <c r="AG27" s="950">
        <v>8</v>
      </c>
      <c r="AH27" s="950">
        <v>8</v>
      </c>
      <c r="AI27" s="950">
        <v>8</v>
      </c>
      <c r="AJ27" s="950">
        <v>8</v>
      </c>
      <c r="AK27" s="950">
        <v>0</v>
      </c>
      <c r="AL27" s="950">
        <v>8</v>
      </c>
      <c r="AM27" s="950">
        <v>8</v>
      </c>
      <c r="AN27" s="950">
        <v>8</v>
      </c>
      <c r="AO27" s="950">
        <v>8</v>
      </c>
      <c r="AP27" s="950">
        <v>8</v>
      </c>
      <c r="AQ27" s="950">
        <v>8</v>
      </c>
      <c r="AR27" s="950">
        <v>8</v>
      </c>
      <c r="AS27" s="950">
        <v>8</v>
      </c>
      <c r="AT27" s="950">
        <v>8</v>
      </c>
      <c r="AU27" s="950">
        <v>8</v>
      </c>
      <c r="AV27" s="950">
        <v>8</v>
      </c>
      <c r="AW27" s="950">
        <v>0</v>
      </c>
      <c r="AX27" s="950">
        <v>8</v>
      </c>
      <c r="AY27" s="950">
        <v>8</v>
      </c>
      <c r="AZ27" s="950">
        <v>8</v>
      </c>
      <c r="BA27" s="950">
        <v>8</v>
      </c>
      <c r="BB27" s="950">
        <v>8</v>
      </c>
      <c r="BC27" s="950">
        <v>8</v>
      </c>
      <c r="BD27" s="950">
        <v>0</v>
      </c>
      <c r="BE27" s="950">
        <v>0</v>
      </c>
      <c r="BF27" s="950">
        <v>0</v>
      </c>
      <c r="BG27" s="951">
        <v>0</v>
      </c>
      <c r="BH27" s="999">
        <v>0</v>
      </c>
      <c r="BI27" s="994">
        <v>0</v>
      </c>
      <c r="BJ27" s="994">
        <v>0</v>
      </c>
      <c r="BK27" s="994">
        <v>0</v>
      </c>
      <c r="BL27" s="994">
        <v>0</v>
      </c>
      <c r="BM27" s="994">
        <v>0</v>
      </c>
      <c r="BN27" s="994">
        <v>0</v>
      </c>
      <c r="BO27" s="994">
        <v>0</v>
      </c>
      <c r="BP27" s="994">
        <v>0</v>
      </c>
      <c r="BQ27" s="994"/>
      <c r="BR27" s="994">
        <v>0</v>
      </c>
      <c r="BS27" s="994">
        <v>0</v>
      </c>
      <c r="BT27" s="994">
        <v>0</v>
      </c>
      <c r="BU27" s="994">
        <v>0</v>
      </c>
      <c r="BV27" s="994">
        <v>0</v>
      </c>
      <c r="BW27" s="994">
        <v>0</v>
      </c>
      <c r="BX27" s="994">
        <v>0</v>
      </c>
      <c r="BY27" s="994">
        <v>0</v>
      </c>
      <c r="BZ27" s="994">
        <v>0</v>
      </c>
      <c r="CA27" s="994">
        <v>0</v>
      </c>
      <c r="CB27" s="994">
        <v>0</v>
      </c>
      <c r="CC27" s="994">
        <v>0</v>
      </c>
      <c r="CD27" s="994">
        <v>0</v>
      </c>
      <c r="CE27" s="994">
        <v>0</v>
      </c>
      <c r="CF27" s="994">
        <v>0</v>
      </c>
      <c r="CG27" s="994">
        <v>0</v>
      </c>
      <c r="CH27" s="994">
        <v>0</v>
      </c>
      <c r="CI27" s="994">
        <v>0</v>
      </c>
      <c r="CJ27" s="994">
        <v>0</v>
      </c>
      <c r="CK27" s="994">
        <v>0</v>
      </c>
      <c r="CL27" s="994">
        <v>0</v>
      </c>
      <c r="CM27" s="994">
        <v>0</v>
      </c>
      <c r="CN27" s="994">
        <v>0</v>
      </c>
      <c r="CO27" s="994">
        <v>0</v>
      </c>
      <c r="CP27" s="994">
        <v>0</v>
      </c>
      <c r="CQ27" s="994">
        <v>0</v>
      </c>
      <c r="CR27" s="994">
        <v>0</v>
      </c>
      <c r="CS27" s="994">
        <v>0</v>
      </c>
      <c r="CT27" s="994">
        <v>0</v>
      </c>
      <c r="CU27" s="994">
        <v>0</v>
      </c>
      <c r="CV27" s="994">
        <v>0</v>
      </c>
      <c r="CW27" s="994">
        <v>0</v>
      </c>
      <c r="CX27" s="994">
        <v>0</v>
      </c>
      <c r="CY27" s="994">
        <v>0</v>
      </c>
      <c r="CZ27" s="994">
        <v>0</v>
      </c>
      <c r="DA27" s="994">
        <v>0</v>
      </c>
      <c r="DB27" s="994">
        <v>0</v>
      </c>
      <c r="DC27" s="994">
        <v>0</v>
      </c>
      <c r="DD27" s="994">
        <v>0</v>
      </c>
      <c r="DE27" s="994">
        <v>0</v>
      </c>
      <c r="DF27" s="994">
        <v>0</v>
      </c>
      <c r="DG27" s="994">
        <v>0</v>
      </c>
      <c r="DH27" s="994">
        <v>0</v>
      </c>
      <c r="DI27" s="994">
        <v>0</v>
      </c>
      <c r="DJ27" s="994">
        <v>0</v>
      </c>
      <c r="DK27" s="994">
        <v>0</v>
      </c>
      <c r="DL27" s="994">
        <v>0</v>
      </c>
      <c r="DM27" s="994">
        <v>0</v>
      </c>
      <c r="DN27" s="994">
        <v>0</v>
      </c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994">
        <v>0</v>
      </c>
      <c r="DW27" s="994">
        <v>0</v>
      </c>
      <c r="DX27" s="994">
        <v>0</v>
      </c>
      <c r="DY27" s="994">
        <v>0</v>
      </c>
      <c r="DZ27" s="994">
        <v>0</v>
      </c>
      <c r="EA27" s="994">
        <v>0</v>
      </c>
      <c r="EB27" s="994">
        <v>0</v>
      </c>
      <c r="EC27" s="994">
        <v>0</v>
      </c>
      <c r="ED27" s="994">
        <v>0</v>
      </c>
      <c r="EE27" s="994">
        <v>0</v>
      </c>
    </row>
    <row r="28" spans="1:135" ht="19.8">
      <c r="A28" s="953"/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1"/>
      <c r="BH28" s="999"/>
      <c r="BI28" s="994"/>
      <c r="BJ28" s="994"/>
      <c r="BK28" s="994"/>
      <c r="BL28" s="994"/>
      <c r="BM28" s="994"/>
      <c r="BN28" s="994"/>
      <c r="BO28" s="994"/>
      <c r="BP28" s="994"/>
      <c r="BQ28" s="994"/>
      <c r="BR28" s="994"/>
      <c r="BS28" s="994"/>
      <c r="BT28" s="994"/>
      <c r="BU28" s="994"/>
      <c r="BV28" s="994"/>
      <c r="BW28" s="994"/>
      <c r="BX28" s="994"/>
      <c r="BY28" s="994"/>
      <c r="BZ28" s="994"/>
      <c r="CA28" s="994"/>
      <c r="CB28" s="994"/>
      <c r="CC28" s="994"/>
      <c r="CD28" s="994"/>
      <c r="CE28" s="994"/>
      <c r="CF28" s="994"/>
      <c r="CG28" s="994"/>
      <c r="CH28" s="994"/>
      <c r="CI28" s="994"/>
      <c r="CJ28" s="994"/>
      <c r="CK28" s="994"/>
      <c r="CL28" s="994"/>
      <c r="CM28" s="995"/>
      <c r="CN28" s="995"/>
      <c r="CO28" s="995"/>
      <c r="CP28" s="995"/>
      <c r="CQ28" s="995"/>
      <c r="CR28" s="995"/>
      <c r="CS28" s="995"/>
      <c r="CT28" s="995"/>
      <c r="CU28" s="995"/>
      <c r="CV28" s="995"/>
      <c r="CW28" s="995"/>
      <c r="CX28" s="995"/>
      <c r="CY28" s="995"/>
      <c r="CZ28" s="995"/>
      <c r="DA28" s="995"/>
      <c r="DB28" s="995"/>
      <c r="DC28" s="995"/>
      <c r="DD28" s="995"/>
      <c r="DE28" s="995"/>
      <c r="DF28" s="995"/>
      <c r="DG28" s="995"/>
      <c r="DH28" s="995"/>
      <c r="DI28" s="995"/>
      <c r="DJ28" s="995"/>
      <c r="DK28" s="995"/>
      <c r="DL28" s="995"/>
      <c r="DM28" s="995"/>
      <c r="DN28" s="995"/>
      <c r="DO28" s="995"/>
      <c r="DP28" s="995"/>
      <c r="DQ28" s="995"/>
      <c r="DR28" s="995"/>
      <c r="DS28" s="995"/>
      <c r="DT28" s="995"/>
      <c r="DU28" s="995"/>
      <c r="DV28" s="995"/>
      <c r="DW28" s="995"/>
      <c r="DX28" s="995"/>
      <c r="DY28" s="995"/>
      <c r="DZ28" s="995"/>
      <c r="EA28" s="995"/>
      <c r="EB28" s="995"/>
      <c r="EC28" s="995"/>
      <c r="ED28" s="995"/>
      <c r="EE28" s="995"/>
    </row>
    <row r="29" spans="1:135" ht="41.25" customHeight="1">
      <c r="A29" s="954" t="s">
        <v>1983</v>
      </c>
      <c r="B29" s="949"/>
      <c r="C29" s="949"/>
      <c r="D29" s="949"/>
      <c r="E29" s="949"/>
      <c r="F29" s="949"/>
      <c r="G29" s="949"/>
      <c r="H29" s="949"/>
      <c r="I29" s="949"/>
      <c r="J29" s="949"/>
      <c r="K29" s="949"/>
      <c r="L29" s="949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1"/>
      <c r="BH29" s="999"/>
      <c r="BI29" s="994"/>
      <c r="BJ29" s="994"/>
      <c r="BK29" s="994"/>
      <c r="BL29" s="994"/>
      <c r="BM29" s="994"/>
      <c r="BN29" s="994"/>
      <c r="BO29" s="994"/>
      <c r="BP29" s="994"/>
      <c r="BQ29" s="994"/>
      <c r="BR29" s="994"/>
      <c r="BS29" s="994"/>
      <c r="BT29" s="994"/>
      <c r="BU29" s="994"/>
      <c r="BV29" s="994"/>
      <c r="BW29" s="994"/>
      <c r="BX29" s="994"/>
      <c r="BY29" s="994"/>
      <c r="BZ29" s="994"/>
      <c r="CA29" s="994"/>
      <c r="CB29" s="994"/>
      <c r="CC29" s="994"/>
      <c r="CD29" s="994"/>
      <c r="CE29" s="994"/>
      <c r="CF29" s="994"/>
      <c r="CG29" s="994"/>
      <c r="CH29" s="994"/>
      <c r="CI29" s="994"/>
      <c r="CJ29" s="994"/>
      <c r="CK29" s="994"/>
      <c r="CL29" s="994"/>
      <c r="CM29" s="995"/>
      <c r="CN29" s="995"/>
      <c r="CO29" s="995"/>
      <c r="CP29" s="995"/>
      <c r="CQ29" s="995"/>
      <c r="CR29" s="995"/>
      <c r="CS29" s="995"/>
      <c r="CT29" s="995"/>
      <c r="CU29" s="995"/>
      <c r="CV29" s="995"/>
      <c r="CW29" s="995"/>
      <c r="CX29" s="995"/>
      <c r="CY29" s="995"/>
      <c r="CZ29" s="995"/>
      <c r="DA29" s="995"/>
      <c r="DB29" s="995"/>
      <c r="DC29" s="995"/>
      <c r="DD29" s="995"/>
      <c r="DE29" s="995"/>
      <c r="DF29" s="995"/>
      <c r="DG29" s="995"/>
      <c r="DH29" s="995"/>
      <c r="DI29" s="995"/>
      <c r="DJ29" s="995"/>
      <c r="DK29" s="995"/>
      <c r="DL29" s="995"/>
      <c r="DM29" s="995"/>
      <c r="DN29" s="995"/>
      <c r="DO29" s="995"/>
      <c r="DP29" s="995"/>
      <c r="DQ29" s="995"/>
      <c r="DR29" s="995"/>
      <c r="DS29" s="995"/>
      <c r="DT29" s="995"/>
      <c r="DU29" s="995"/>
      <c r="DV29" s="995"/>
      <c r="DW29" s="995"/>
      <c r="DX29" s="995"/>
      <c r="DY29" s="995"/>
      <c r="DZ29" s="995"/>
      <c r="EA29" s="995"/>
      <c r="EB29" s="995"/>
      <c r="EC29" s="995"/>
      <c r="ED29" s="995"/>
      <c r="EE29" s="995"/>
    </row>
    <row r="30" spans="1:135" ht="19.8">
      <c r="A30" s="944" t="s">
        <v>2820</v>
      </c>
      <c r="B30" s="945">
        <v>272.67881498000003</v>
      </c>
      <c r="C30" s="945">
        <v>359.02593193999996</v>
      </c>
      <c r="D30" s="945">
        <v>366.28520785000001</v>
      </c>
      <c r="E30" s="945">
        <v>372.98676511000002</v>
      </c>
      <c r="F30" s="945">
        <v>386.54387264000002</v>
      </c>
      <c r="G30" s="945">
        <v>389.45620566000002</v>
      </c>
      <c r="H30" s="945">
        <v>412.70977631999995</v>
      </c>
      <c r="I30" s="945">
        <v>423.76617785999997</v>
      </c>
      <c r="J30" s="945">
        <v>437.49721646</v>
      </c>
      <c r="K30" s="945">
        <v>452.40257305</v>
      </c>
      <c r="L30" s="945">
        <v>460.76891406999994</v>
      </c>
      <c r="M30" s="946">
        <v>482.11562631000004</v>
      </c>
      <c r="N30" s="946">
        <v>483.23776134000002</v>
      </c>
      <c r="O30" s="946">
        <v>495.39960737999996</v>
      </c>
      <c r="P30" s="946">
        <v>506.57074372999995</v>
      </c>
      <c r="Q30" s="946">
        <v>533.02023578000001</v>
      </c>
      <c r="R30" s="946">
        <v>551.73327573999995</v>
      </c>
      <c r="S30" s="946">
        <v>567.58760265000001</v>
      </c>
      <c r="T30" s="946">
        <v>582.92561438999996</v>
      </c>
      <c r="U30" s="946">
        <v>598.83034479000003</v>
      </c>
      <c r="V30" s="946">
        <v>614.08958798999993</v>
      </c>
      <c r="W30" s="946">
        <v>641.89225454000007</v>
      </c>
      <c r="X30" s="946">
        <v>660.09351493999998</v>
      </c>
      <c r="Y30" s="946">
        <v>679.11283858000002</v>
      </c>
      <c r="Z30" s="946">
        <v>677.95499341999994</v>
      </c>
      <c r="AA30" s="946">
        <v>771.73225639999998</v>
      </c>
      <c r="AB30" s="946">
        <v>753.71312087000013</v>
      </c>
      <c r="AC30" s="946">
        <v>748.66183816000012</v>
      </c>
      <c r="AD30" s="946">
        <v>749.55159920999995</v>
      </c>
      <c r="AE30" s="946">
        <v>745.93669023999996</v>
      </c>
      <c r="AF30" s="946">
        <v>757.69892616000004</v>
      </c>
      <c r="AG30" s="946">
        <v>751.91467955999997</v>
      </c>
      <c r="AH30" s="946">
        <v>739.78435850999995</v>
      </c>
      <c r="AI30" s="946">
        <v>751.81580917999997</v>
      </c>
      <c r="AJ30" s="946">
        <v>748.08192299999996</v>
      </c>
      <c r="AK30" s="946">
        <v>880.72505242000011</v>
      </c>
      <c r="AL30" s="946">
        <v>811.0402048599999</v>
      </c>
      <c r="AM30" s="946">
        <v>783.76632770000003</v>
      </c>
      <c r="AN30" s="946">
        <v>763.8745416999999</v>
      </c>
      <c r="AO30" s="946">
        <v>738.01668403000008</v>
      </c>
      <c r="AP30" s="946">
        <v>716.69890667999994</v>
      </c>
      <c r="AQ30" s="946">
        <v>719.14867206000008</v>
      </c>
      <c r="AR30" s="946">
        <v>657.26503673000002</v>
      </c>
      <c r="AS30" s="946">
        <v>665.60540446000005</v>
      </c>
      <c r="AT30" s="946">
        <v>657.34467082000003</v>
      </c>
      <c r="AU30" s="946">
        <v>646.34575470999994</v>
      </c>
      <c r="AV30" s="946">
        <v>661.06228379000015</v>
      </c>
      <c r="AW30" s="946">
        <v>665.73477027000013</v>
      </c>
      <c r="AX30" s="946">
        <v>681.83137897000006</v>
      </c>
      <c r="AY30" s="946">
        <v>632.64201438999999</v>
      </c>
      <c r="AZ30" s="946">
        <v>610.76733786</v>
      </c>
      <c r="BA30" s="946">
        <v>595.77246644999991</v>
      </c>
      <c r="BB30" s="946">
        <v>581.15557859</v>
      </c>
      <c r="BC30" s="946">
        <v>571.18280148999997</v>
      </c>
      <c r="BD30" s="946">
        <v>554.68489107000005</v>
      </c>
      <c r="BE30" s="946">
        <v>535.19037398</v>
      </c>
      <c r="BF30" s="946">
        <v>530.13135216000001</v>
      </c>
      <c r="BG30" s="947">
        <v>529.99811298999998</v>
      </c>
      <c r="BH30" s="998">
        <v>526.92094969999994</v>
      </c>
      <c r="BI30" s="993">
        <v>517.11569663</v>
      </c>
      <c r="BJ30" s="993">
        <v>507.97328806999997</v>
      </c>
      <c r="BK30" s="993">
        <v>497.89654602000002</v>
      </c>
      <c r="BL30" s="993">
        <v>489.73070645999996</v>
      </c>
      <c r="BM30" s="993">
        <v>488.00750074999996</v>
      </c>
      <c r="BN30" s="993">
        <v>485.08234200999999</v>
      </c>
      <c r="BO30" s="993">
        <v>485.05006433</v>
      </c>
      <c r="BP30" s="993">
        <v>479.83478747000004</v>
      </c>
      <c r="BQ30" s="993">
        <v>483.12685699999997</v>
      </c>
      <c r="BR30" s="993">
        <v>482.89917081999994</v>
      </c>
      <c r="BS30" s="993">
        <v>492.29400535000002</v>
      </c>
      <c r="BT30" s="993">
        <v>496.13333681999995</v>
      </c>
      <c r="BU30" s="993">
        <v>498.93539314000009</v>
      </c>
      <c r="BV30" s="993">
        <v>492.81278032</v>
      </c>
      <c r="BW30" s="993">
        <v>493.26012724999998</v>
      </c>
      <c r="BX30" s="993">
        <v>487.32868370999995</v>
      </c>
      <c r="BY30" s="993">
        <v>492.65310284999998</v>
      </c>
      <c r="BZ30" s="993">
        <v>497.26279029</v>
      </c>
      <c r="CA30" s="993">
        <v>499.16815884999994</v>
      </c>
      <c r="CB30" s="993">
        <v>502.78400377000003</v>
      </c>
      <c r="CC30" s="993">
        <v>520.7409637400001</v>
      </c>
      <c r="CD30" s="993">
        <v>554.85532910999996</v>
      </c>
      <c r="CE30" s="993">
        <v>583.14589721000004</v>
      </c>
      <c r="CF30" s="993">
        <v>609.54569919000005</v>
      </c>
      <c r="CG30" s="993">
        <v>631.12492333</v>
      </c>
      <c r="CH30" s="993">
        <v>646.95950151</v>
      </c>
      <c r="CI30" s="993">
        <v>681.27256480000005</v>
      </c>
      <c r="CJ30" s="993">
        <v>689.29681297999991</v>
      </c>
      <c r="CK30" s="993">
        <v>668.30457297999988</v>
      </c>
      <c r="CL30" s="993">
        <v>668.41397458000006</v>
      </c>
      <c r="CM30" s="993">
        <v>681.5656199099999</v>
      </c>
      <c r="CN30" s="993">
        <v>696.90350420000004</v>
      </c>
      <c r="CO30" s="993">
        <v>737.74179296999989</v>
      </c>
      <c r="CP30" s="993">
        <v>791.91491760999997</v>
      </c>
      <c r="CQ30" s="993">
        <v>806.95521597000004</v>
      </c>
      <c r="CR30" s="993">
        <v>823.83446077000008</v>
      </c>
      <c r="CS30" s="993">
        <v>847.01616554999998</v>
      </c>
      <c r="CT30" s="993">
        <v>870.45602943999995</v>
      </c>
      <c r="CU30" s="993">
        <v>917.35028901999999</v>
      </c>
      <c r="CV30" s="993">
        <v>956.05765241999995</v>
      </c>
      <c r="CW30" s="993">
        <v>1017.37114936</v>
      </c>
      <c r="CX30" s="993">
        <v>1057.01394095</v>
      </c>
      <c r="CY30" s="993">
        <v>1108.7236668</v>
      </c>
      <c r="CZ30" s="993">
        <v>1146.33472542</v>
      </c>
      <c r="DA30" s="993">
        <v>1195.1316801400001</v>
      </c>
      <c r="DB30" s="993">
        <v>1262.51678855</v>
      </c>
      <c r="DC30" s="993">
        <v>1323.7164956399999</v>
      </c>
      <c r="DD30" s="993">
        <v>1382.0720508700001</v>
      </c>
      <c r="DE30" s="993">
        <v>1482.6818957200001</v>
      </c>
      <c r="DF30" s="993">
        <v>1506.29295331</v>
      </c>
      <c r="DG30" s="993">
        <v>1555.2585764099999</v>
      </c>
      <c r="DH30" s="993">
        <v>1598.0928808599999</v>
      </c>
      <c r="DI30" s="993">
        <v>1666.77661885</v>
      </c>
      <c r="DJ30" s="993">
        <v>1720.7115685700001</v>
      </c>
      <c r="DK30" s="993">
        <v>1781.6961222299999</v>
      </c>
      <c r="DL30" s="993">
        <v>1812.3609288800001</v>
      </c>
      <c r="DM30" s="993">
        <v>1881.4084877600001</v>
      </c>
      <c r="DN30" s="993">
        <v>1974.59517626</v>
      </c>
      <c r="DO30" s="993">
        <v>2029.53524752</v>
      </c>
      <c r="DP30" s="993">
        <v>2075.8685030299998</v>
      </c>
      <c r="DQ30" s="993">
        <v>2155.8144383700001</v>
      </c>
      <c r="DR30" s="993">
        <v>2188.1992616799998</v>
      </c>
      <c r="DS30" s="993">
        <v>2232.7743186799999</v>
      </c>
      <c r="DT30" s="993">
        <v>2287.6928814600001</v>
      </c>
      <c r="DU30" s="993">
        <v>2376.7047663399999</v>
      </c>
      <c r="DV30" s="993">
        <v>2450.4101804900001</v>
      </c>
      <c r="DW30" s="993">
        <v>2522.3750501099998</v>
      </c>
      <c r="DX30" s="993">
        <v>2557.5612022800001</v>
      </c>
      <c r="DY30" s="993">
        <v>2646.1917606400002</v>
      </c>
      <c r="DZ30" s="993">
        <v>2720.6554996599998</v>
      </c>
      <c r="EA30" s="993">
        <v>2780.6480710999999</v>
      </c>
      <c r="EB30" s="993">
        <v>2855.09244102</v>
      </c>
      <c r="EC30" s="993">
        <v>2929.0039273799998</v>
      </c>
      <c r="ED30" s="993">
        <v>2942.0653151800002</v>
      </c>
      <c r="EE30" s="993">
        <v>3006.62184385</v>
      </c>
    </row>
    <row r="31" spans="1:135" ht="19.8">
      <c r="A31" s="948" t="s">
        <v>2046</v>
      </c>
      <c r="B31" s="949">
        <v>11.665991419999999</v>
      </c>
      <c r="C31" s="949">
        <v>11.523793819999998</v>
      </c>
      <c r="D31" s="949">
        <v>10.10378326</v>
      </c>
      <c r="E31" s="949">
        <v>8.993742619999999</v>
      </c>
      <c r="F31" s="949">
        <v>8.3227118700000009</v>
      </c>
      <c r="G31" s="949">
        <v>6.3980030399999999</v>
      </c>
      <c r="H31" s="949">
        <v>5.1318788200000007</v>
      </c>
      <c r="I31" s="949">
        <v>5.4508166199999994</v>
      </c>
      <c r="J31" s="949">
        <v>5.4632299099999999</v>
      </c>
      <c r="K31" s="949">
        <v>5.5337916899999993</v>
      </c>
      <c r="L31" s="949">
        <v>4.8565150399999997</v>
      </c>
      <c r="M31" s="950">
        <v>5.0479488899999998</v>
      </c>
      <c r="N31" s="950">
        <v>5.8006153299999994</v>
      </c>
      <c r="O31" s="950">
        <v>7.3033445399999994</v>
      </c>
      <c r="P31" s="950">
        <v>7.4907250200000002</v>
      </c>
      <c r="Q31" s="950">
        <v>5.8173987399999998</v>
      </c>
      <c r="R31" s="950">
        <v>5.6184352899999999</v>
      </c>
      <c r="S31" s="950">
        <v>5.4648539100000004</v>
      </c>
      <c r="T31" s="950">
        <v>5.19164666</v>
      </c>
      <c r="U31" s="950">
        <v>5.2359622799999999</v>
      </c>
      <c r="V31" s="950">
        <v>5.8143270200000003</v>
      </c>
      <c r="W31" s="950">
        <v>1.75407695</v>
      </c>
      <c r="X31" s="950">
        <v>1.8773441600000003</v>
      </c>
      <c r="Y31" s="950">
        <v>2.3225509099999999</v>
      </c>
      <c r="Z31" s="950">
        <v>2.92190598</v>
      </c>
      <c r="AA31" s="950">
        <v>2.3887699600000003</v>
      </c>
      <c r="AB31" s="950">
        <v>1.6473105100000001</v>
      </c>
      <c r="AC31" s="950">
        <v>1.6185725099999999</v>
      </c>
      <c r="AD31" s="950">
        <v>1.6293175800000002</v>
      </c>
      <c r="AE31" s="950">
        <v>1.5761123100000001</v>
      </c>
      <c r="AF31" s="950">
        <v>1.4593500600000002</v>
      </c>
      <c r="AG31" s="950">
        <v>2.3021889400000002</v>
      </c>
      <c r="AH31" s="950">
        <v>2.1414991099999998</v>
      </c>
      <c r="AI31" s="950">
        <v>2.1175625399999998</v>
      </c>
      <c r="AJ31" s="950">
        <v>1.9722381000000002</v>
      </c>
      <c r="AK31" s="950">
        <v>2.6402125700000001</v>
      </c>
      <c r="AL31" s="950">
        <v>2.4963374500000004</v>
      </c>
      <c r="AM31" s="950">
        <v>2.4401623900000002</v>
      </c>
      <c r="AN31" s="950">
        <v>2.2345190499999998</v>
      </c>
      <c r="AO31" s="950">
        <v>2.2265072400000001</v>
      </c>
      <c r="AP31" s="950">
        <v>1.9796334400000002</v>
      </c>
      <c r="AQ31" s="950">
        <v>1.95754315</v>
      </c>
      <c r="AR31" s="950">
        <v>1.9282084099999999</v>
      </c>
      <c r="AS31" s="950">
        <v>2.0729705599999999</v>
      </c>
      <c r="AT31" s="950">
        <v>1.9159617300000003</v>
      </c>
      <c r="AU31" s="950">
        <v>2.2200388900000001</v>
      </c>
      <c r="AV31" s="950">
        <v>2.6808842199999998</v>
      </c>
      <c r="AW31" s="950">
        <v>2.24852776</v>
      </c>
      <c r="AX31" s="950">
        <v>2.4794825300000003</v>
      </c>
      <c r="AY31" s="950">
        <v>2.3579425800000005</v>
      </c>
      <c r="AZ31" s="950">
        <v>2.1688250199999999</v>
      </c>
      <c r="BA31" s="950">
        <v>2.08557462</v>
      </c>
      <c r="BB31" s="950">
        <v>2.0443868699999999</v>
      </c>
      <c r="BC31" s="950">
        <v>2.0016392999999999</v>
      </c>
      <c r="BD31" s="950">
        <v>2.1388442200000002</v>
      </c>
      <c r="BE31" s="950">
        <v>2.1018385400000001</v>
      </c>
      <c r="BF31" s="950">
        <v>2.0534932499999998</v>
      </c>
      <c r="BG31" s="951">
        <v>2.25105997</v>
      </c>
      <c r="BH31" s="999">
        <v>2.2048226900000003</v>
      </c>
      <c r="BI31" s="994">
        <v>2.4143416599999998</v>
      </c>
      <c r="BJ31" s="994">
        <v>2.3759964099999999</v>
      </c>
      <c r="BK31" s="994">
        <v>2.4378097899999998</v>
      </c>
      <c r="BL31" s="994">
        <v>2.4133876499999998</v>
      </c>
      <c r="BM31" s="994">
        <v>2.5785538199999998</v>
      </c>
      <c r="BN31" s="994">
        <v>2.5744293899999997</v>
      </c>
      <c r="BO31" s="994">
        <v>4.7268699999999999</v>
      </c>
      <c r="BP31" s="994">
        <v>4.4050357499999997</v>
      </c>
      <c r="BQ31" s="994">
        <v>4.2290871599999997</v>
      </c>
      <c r="BR31" s="994">
        <v>3.9918088599999999</v>
      </c>
      <c r="BS31" s="994">
        <v>3.5675663200000001</v>
      </c>
      <c r="BT31" s="994">
        <v>3.3283696100000002</v>
      </c>
      <c r="BU31" s="994">
        <v>3.1805052600000003</v>
      </c>
      <c r="BV31" s="994">
        <v>2.9701421799999999</v>
      </c>
      <c r="BW31" s="994">
        <v>3.1883401999999998</v>
      </c>
      <c r="BX31" s="994">
        <v>3.1790216099999999</v>
      </c>
      <c r="BY31" s="994">
        <v>3.09324596</v>
      </c>
      <c r="BZ31" s="994">
        <v>3.18956164</v>
      </c>
      <c r="CA31" s="994">
        <v>3.1477512399999998</v>
      </c>
      <c r="CB31" s="994">
        <v>3.1242413499999997</v>
      </c>
      <c r="CC31" s="994">
        <v>3.2774207</v>
      </c>
      <c r="CD31" s="994">
        <v>3.2221700900000001</v>
      </c>
      <c r="CE31" s="994">
        <v>3.2662529200000003</v>
      </c>
      <c r="CF31" s="994">
        <v>3.3004244199999997</v>
      </c>
      <c r="CG31" s="994">
        <v>3.2625066999999999</v>
      </c>
      <c r="CH31" s="994">
        <v>3.3999820599999997</v>
      </c>
      <c r="CI31" s="994">
        <v>3.4847108799999997</v>
      </c>
      <c r="CJ31" s="994">
        <v>2.5279894999999999</v>
      </c>
      <c r="CK31" s="994">
        <v>2.39337051</v>
      </c>
      <c r="CL31" s="994">
        <v>2.2453814599999999</v>
      </c>
      <c r="CM31" s="994">
        <v>2.1464873999999998</v>
      </c>
      <c r="CN31" s="994">
        <v>2.2143180900000003</v>
      </c>
      <c r="CO31" s="994">
        <v>2.4281120299999999</v>
      </c>
      <c r="CP31" s="994">
        <v>2.4148618000000002</v>
      </c>
      <c r="CQ31" s="994">
        <v>2.4827142200000001</v>
      </c>
      <c r="CR31" s="994">
        <v>2.75136074</v>
      </c>
      <c r="CS31" s="994">
        <v>2.9439745299999998</v>
      </c>
      <c r="CT31" s="994">
        <v>3.1482708100000001</v>
      </c>
      <c r="CU31" s="994">
        <v>3.3866623300000001</v>
      </c>
      <c r="CV31" s="994">
        <v>3.3809535500000001</v>
      </c>
      <c r="CW31" s="994">
        <v>3.8016113499999999</v>
      </c>
      <c r="CX31" s="994">
        <v>4.0656111199999998</v>
      </c>
      <c r="CY31" s="994">
        <v>4.5109838299999998</v>
      </c>
      <c r="CZ31" s="994">
        <v>4.4166667300000002</v>
      </c>
      <c r="DA31" s="994">
        <v>4.6010758000000003</v>
      </c>
      <c r="DB31" s="994">
        <v>5.2130893499999997</v>
      </c>
      <c r="DC31" s="994">
        <v>5.1594443800000001</v>
      </c>
      <c r="DD31" s="994">
        <v>4.9639494900000001</v>
      </c>
      <c r="DE31" s="994">
        <v>5.0732786000000001</v>
      </c>
      <c r="DF31" s="994">
        <v>5.0556020899999998</v>
      </c>
      <c r="DG31" s="994">
        <v>5.1197994099999997</v>
      </c>
      <c r="DH31" s="994">
        <v>5.2617754699999999</v>
      </c>
      <c r="DI31" s="994">
        <v>5.9950323799999996</v>
      </c>
      <c r="DJ31" s="994">
        <v>5.7913128599999997</v>
      </c>
      <c r="DK31" s="994">
        <v>5.7365052099999998</v>
      </c>
      <c r="DL31" s="994">
        <v>5.8475957200000002</v>
      </c>
      <c r="DM31" s="994">
        <v>5.3874728599999999</v>
      </c>
      <c r="DN31" s="994">
        <v>5.8565148699999998</v>
      </c>
      <c r="DO31" s="994">
        <v>5.8656411999999998</v>
      </c>
      <c r="DP31" s="994">
        <v>5.6749050499999996</v>
      </c>
      <c r="DQ31" s="994">
        <v>6.0105865300000003</v>
      </c>
      <c r="DR31" s="994">
        <v>6.2242347999999996</v>
      </c>
      <c r="DS31" s="994">
        <v>6.2788415200000003</v>
      </c>
      <c r="DT31" s="994">
        <v>6.7875966600000002</v>
      </c>
      <c r="DU31" s="994">
        <v>7.1554161299999999</v>
      </c>
      <c r="DV31" s="994">
        <v>7.4383986999999996</v>
      </c>
      <c r="DW31" s="994">
        <v>7.6867107900000002</v>
      </c>
      <c r="DX31" s="994">
        <v>7.8593162699999999</v>
      </c>
      <c r="DY31" s="994">
        <v>8.2861307199999992</v>
      </c>
      <c r="DZ31" s="994">
        <v>8.3383518599999995</v>
      </c>
      <c r="EA31" s="994">
        <v>9.0095761700000008</v>
      </c>
      <c r="EB31" s="994">
        <v>8.8228928799999995</v>
      </c>
      <c r="EC31" s="994">
        <v>9.1729147300000005</v>
      </c>
      <c r="ED31" s="994">
        <v>8.6974387600000007</v>
      </c>
      <c r="EE31" s="994">
        <v>9.19463352</v>
      </c>
    </row>
    <row r="32" spans="1:135" ht="19.8">
      <c r="A32" s="952" t="s">
        <v>189</v>
      </c>
      <c r="B32" s="945">
        <v>206.01277819000003</v>
      </c>
      <c r="C32" s="945">
        <v>206.24183859999997</v>
      </c>
      <c r="D32" s="945">
        <v>207.99468272000001</v>
      </c>
      <c r="E32" s="945">
        <v>209.44924777</v>
      </c>
      <c r="F32" s="945">
        <v>214.97742352</v>
      </c>
      <c r="G32" s="945">
        <v>215.15407178000001</v>
      </c>
      <c r="H32" s="945">
        <v>231.21717366999997</v>
      </c>
      <c r="I32" s="945">
        <v>235.85972078999998</v>
      </c>
      <c r="J32" s="945">
        <v>240.92595475000002</v>
      </c>
      <c r="K32" s="945">
        <v>248.18221870000002</v>
      </c>
      <c r="L32" s="945">
        <v>251.56011939999996</v>
      </c>
      <c r="M32" s="946">
        <v>265.16506777000001</v>
      </c>
      <c r="N32" s="946">
        <v>267.49959387000001</v>
      </c>
      <c r="O32" s="946">
        <v>272.72542234999997</v>
      </c>
      <c r="P32" s="946">
        <v>281.74299936999995</v>
      </c>
      <c r="Q32" s="946">
        <v>293.76095478999997</v>
      </c>
      <c r="R32" s="946">
        <v>302.88108328000004</v>
      </c>
      <c r="S32" s="946">
        <v>311.64141061000004</v>
      </c>
      <c r="T32" s="946">
        <v>323.36571130999999</v>
      </c>
      <c r="U32" s="946">
        <v>338.85350122</v>
      </c>
      <c r="V32" s="946">
        <v>349.28093107999996</v>
      </c>
      <c r="W32" s="946">
        <v>359.42962325000002</v>
      </c>
      <c r="X32" s="946">
        <v>371.02160003</v>
      </c>
      <c r="Y32" s="946">
        <v>377.99344522000001</v>
      </c>
      <c r="Z32" s="946">
        <v>372.90574200000003</v>
      </c>
      <c r="AA32" s="946">
        <v>372.94675346999998</v>
      </c>
      <c r="AB32" s="946">
        <v>373.62167606000003</v>
      </c>
      <c r="AC32" s="946">
        <v>375.66253075000003</v>
      </c>
      <c r="AD32" s="946">
        <v>384.88759128999993</v>
      </c>
      <c r="AE32" s="946">
        <v>382.85943972999996</v>
      </c>
      <c r="AF32" s="946">
        <v>386.29111969000002</v>
      </c>
      <c r="AG32" s="946">
        <v>400.46862042999999</v>
      </c>
      <c r="AH32" s="946">
        <v>405.79542025000001</v>
      </c>
      <c r="AI32" s="946">
        <v>416.49926476999997</v>
      </c>
      <c r="AJ32" s="946">
        <v>428.80805249999997</v>
      </c>
      <c r="AK32" s="946">
        <v>434.80194277000004</v>
      </c>
      <c r="AL32" s="946">
        <v>366.31668212999995</v>
      </c>
      <c r="AM32" s="946">
        <v>356.40318117000004</v>
      </c>
      <c r="AN32" s="946">
        <v>350.93198239999992</v>
      </c>
      <c r="AO32" s="946">
        <v>345.49040946999997</v>
      </c>
      <c r="AP32" s="946">
        <v>335.97606766999996</v>
      </c>
      <c r="AQ32" s="946">
        <v>339.83453107999998</v>
      </c>
      <c r="AR32" s="946">
        <v>289.36437895</v>
      </c>
      <c r="AS32" s="946">
        <v>299.69996061000001</v>
      </c>
      <c r="AT32" s="946">
        <v>302.17158533000003</v>
      </c>
      <c r="AU32" s="946">
        <v>295.37841709999998</v>
      </c>
      <c r="AV32" s="946">
        <v>300.59230580000008</v>
      </c>
      <c r="AW32" s="946">
        <v>307.70435321000002</v>
      </c>
      <c r="AX32" s="946">
        <v>304.00834398999996</v>
      </c>
      <c r="AY32" s="946">
        <v>297.12416555000004</v>
      </c>
      <c r="AZ32" s="946">
        <v>287.48643079999999</v>
      </c>
      <c r="BA32" s="946">
        <v>279.94497047999999</v>
      </c>
      <c r="BB32" s="946">
        <v>275.65714543999997</v>
      </c>
      <c r="BC32" s="946">
        <v>272.97474375000002</v>
      </c>
      <c r="BD32" s="946">
        <v>263.70685930999997</v>
      </c>
      <c r="BE32" s="946">
        <v>248.39097108999999</v>
      </c>
      <c r="BF32" s="946">
        <v>250.05002745000002</v>
      </c>
      <c r="BG32" s="947">
        <v>256.3154164</v>
      </c>
      <c r="BH32" s="998">
        <v>262.12926420999997</v>
      </c>
      <c r="BI32" s="993">
        <v>261.34056944000002</v>
      </c>
      <c r="BJ32" s="993">
        <v>258.18413527000001</v>
      </c>
      <c r="BK32" s="993">
        <v>258.27071828999999</v>
      </c>
      <c r="BL32" s="993">
        <v>258.90817895999999</v>
      </c>
      <c r="BM32" s="993">
        <v>268.46038837999998</v>
      </c>
      <c r="BN32" s="993">
        <v>271.84689605</v>
      </c>
      <c r="BO32" s="993">
        <v>276.55666523999997</v>
      </c>
      <c r="BP32" s="993">
        <v>279.35927966000003</v>
      </c>
      <c r="BQ32" s="993">
        <v>291.78393928999998</v>
      </c>
      <c r="BR32" s="993">
        <v>297.71001393999995</v>
      </c>
      <c r="BS32" s="993">
        <v>308.02306279000004</v>
      </c>
      <c r="BT32" s="993">
        <v>312.19513056</v>
      </c>
      <c r="BU32" s="993">
        <v>332.37794060000004</v>
      </c>
      <c r="BV32" s="993">
        <v>332.47758635000002</v>
      </c>
      <c r="BW32" s="993">
        <v>335.36860554000003</v>
      </c>
      <c r="BX32" s="993">
        <v>336.54563528999995</v>
      </c>
      <c r="BY32" s="993">
        <v>345.72233060999997</v>
      </c>
      <c r="BZ32" s="993">
        <v>353.80590186000001</v>
      </c>
      <c r="CA32" s="993">
        <v>361.63556456999999</v>
      </c>
      <c r="CB32" s="993">
        <v>374.49174133999998</v>
      </c>
      <c r="CC32" s="993">
        <v>393.86556942000004</v>
      </c>
      <c r="CD32" s="993">
        <v>428.09673523999999</v>
      </c>
      <c r="CE32" s="993">
        <v>457.72493866000002</v>
      </c>
      <c r="CF32" s="993">
        <v>483.45621274000001</v>
      </c>
      <c r="CG32" s="993">
        <v>516.13452961999997</v>
      </c>
      <c r="CH32" s="993">
        <v>534.04344287000004</v>
      </c>
      <c r="CI32" s="993">
        <v>568.71692010000004</v>
      </c>
      <c r="CJ32" s="993">
        <v>590.64108635999992</v>
      </c>
      <c r="CK32" s="993">
        <v>576.61205611999992</v>
      </c>
      <c r="CL32" s="993">
        <v>578.65627194000001</v>
      </c>
      <c r="CM32" s="993">
        <v>596.63866455999994</v>
      </c>
      <c r="CN32" s="993">
        <v>615.81695192000007</v>
      </c>
      <c r="CO32" s="993">
        <v>653.61888014999988</v>
      </c>
      <c r="CP32" s="993">
        <v>706.31736523999996</v>
      </c>
      <c r="CQ32" s="993">
        <v>725.05000373000007</v>
      </c>
      <c r="CR32" s="993">
        <v>746.02773898000009</v>
      </c>
      <c r="CS32" s="993">
        <v>774.32475574</v>
      </c>
      <c r="CT32" s="993">
        <v>803.47819879999997</v>
      </c>
      <c r="CU32" s="993">
        <v>845.86415020000004</v>
      </c>
      <c r="CV32" s="993">
        <v>886.44422012999996</v>
      </c>
      <c r="CW32" s="993">
        <v>948.27504234000003</v>
      </c>
      <c r="CX32" s="993">
        <v>991.11260102999995</v>
      </c>
      <c r="CY32" s="993">
        <v>1042.6331689799999</v>
      </c>
      <c r="CZ32" s="993">
        <v>1079.5643858599999</v>
      </c>
      <c r="DA32" s="993">
        <v>1123.56992285</v>
      </c>
      <c r="DB32" s="993">
        <v>1184.9027717700001</v>
      </c>
      <c r="DC32" s="993">
        <v>1246.00459239</v>
      </c>
      <c r="DD32" s="993">
        <v>1310.2361610200001</v>
      </c>
      <c r="DE32" s="993">
        <v>1409.64506142</v>
      </c>
      <c r="DF32" s="993">
        <v>1441.6069358899999</v>
      </c>
      <c r="DG32" s="993">
        <v>1489.3340302300001</v>
      </c>
      <c r="DH32" s="993">
        <v>1536.1537671200001</v>
      </c>
      <c r="DI32" s="993">
        <v>1606.2221210299999</v>
      </c>
      <c r="DJ32" s="993">
        <v>1658.79838685</v>
      </c>
      <c r="DK32" s="993">
        <v>1721.21652122</v>
      </c>
      <c r="DL32" s="993">
        <v>1752.1568994899999</v>
      </c>
      <c r="DM32" s="993">
        <v>1817.06798374</v>
      </c>
      <c r="DN32" s="993">
        <v>1903.0837067800001</v>
      </c>
      <c r="DO32" s="993">
        <v>1956.5149077999999</v>
      </c>
      <c r="DP32" s="993">
        <v>2004.9951021300001</v>
      </c>
      <c r="DQ32" s="993">
        <v>2085.5088300399998</v>
      </c>
      <c r="DR32" s="993">
        <v>2119.97613817</v>
      </c>
      <c r="DS32" s="993">
        <v>2169.7705457100001</v>
      </c>
      <c r="DT32" s="993">
        <v>2227.19230419</v>
      </c>
      <c r="DU32" s="993">
        <v>2309.3177658999998</v>
      </c>
      <c r="DV32" s="993">
        <v>2375.9532370000002</v>
      </c>
      <c r="DW32" s="993">
        <v>2450.86552183</v>
      </c>
      <c r="DX32" s="993">
        <v>2487.79507401</v>
      </c>
      <c r="DY32" s="993">
        <v>2570.10568061</v>
      </c>
      <c r="DZ32" s="993">
        <v>2638.0180185600002</v>
      </c>
      <c r="EA32" s="993">
        <v>2703.4634759099999</v>
      </c>
      <c r="EB32" s="993">
        <v>2773.9825030100001</v>
      </c>
      <c r="EC32" s="993">
        <v>2849.18865405</v>
      </c>
      <c r="ED32" s="993">
        <v>2867.1498882000001</v>
      </c>
      <c r="EE32" s="993">
        <v>2935.0168851799999</v>
      </c>
    </row>
    <row r="33" spans="1:135" ht="19.8">
      <c r="A33" s="948" t="s">
        <v>2046</v>
      </c>
      <c r="B33" s="949">
        <v>10.802982139999999</v>
      </c>
      <c r="C33" s="949">
        <v>8.1329728599999989</v>
      </c>
      <c r="D33" s="949">
        <v>6.7229109999999999</v>
      </c>
      <c r="E33" s="949">
        <v>5.4661558999999995</v>
      </c>
      <c r="F33" s="949">
        <v>4.3115086300000005</v>
      </c>
      <c r="G33" s="949">
        <v>3.3148517599999998</v>
      </c>
      <c r="H33" s="949">
        <v>2.3809180100000003</v>
      </c>
      <c r="I33" s="949">
        <v>2.6333968099999998</v>
      </c>
      <c r="J33" s="949">
        <v>2.25008512</v>
      </c>
      <c r="K33" s="949">
        <v>2.1885534699999996</v>
      </c>
      <c r="L33" s="949">
        <v>1.5480120799999999</v>
      </c>
      <c r="M33" s="950">
        <v>1.5633621099999999</v>
      </c>
      <c r="N33" s="950">
        <v>2.4531099300000001</v>
      </c>
      <c r="O33" s="950">
        <v>3.8184975099999998</v>
      </c>
      <c r="P33" s="950">
        <v>4.1245636299999999</v>
      </c>
      <c r="Q33" s="950">
        <v>2.0196780400000001</v>
      </c>
      <c r="R33" s="950">
        <v>1.76982789</v>
      </c>
      <c r="S33" s="950">
        <v>1.5285124799999998</v>
      </c>
      <c r="T33" s="950">
        <v>1.51632013</v>
      </c>
      <c r="U33" s="950">
        <v>1.4441512299999999</v>
      </c>
      <c r="V33" s="950">
        <v>1.58071154</v>
      </c>
      <c r="W33" s="950">
        <v>1.20626265</v>
      </c>
      <c r="X33" s="950">
        <v>1.3224486200000001</v>
      </c>
      <c r="Y33" s="950">
        <v>1.81027596</v>
      </c>
      <c r="Z33" s="950">
        <v>2.42611263</v>
      </c>
      <c r="AA33" s="950">
        <v>1.7477252000000001</v>
      </c>
      <c r="AB33" s="950">
        <v>1.0307506099999999</v>
      </c>
      <c r="AC33" s="950">
        <v>1.01922687</v>
      </c>
      <c r="AD33" s="950">
        <v>0.94218992000000013</v>
      </c>
      <c r="AE33" s="950">
        <v>0.91047699000000004</v>
      </c>
      <c r="AF33" s="950">
        <v>0.77989602000000002</v>
      </c>
      <c r="AG33" s="950">
        <v>1.6671743400000001</v>
      </c>
      <c r="AH33" s="950">
        <v>1.52911675</v>
      </c>
      <c r="AI33" s="950">
        <v>1.52438506</v>
      </c>
      <c r="AJ33" s="950">
        <v>1.4057442200000001</v>
      </c>
      <c r="AK33" s="950">
        <v>1.63034495</v>
      </c>
      <c r="AL33" s="950">
        <v>1.5263793300000001</v>
      </c>
      <c r="AM33" s="950">
        <v>1.4705016100000001</v>
      </c>
      <c r="AN33" s="950">
        <v>1.29562373</v>
      </c>
      <c r="AO33" s="950">
        <v>1.3523485900000001</v>
      </c>
      <c r="AP33" s="950">
        <v>1.1217394300000001</v>
      </c>
      <c r="AQ33" s="950">
        <v>1.0856645899999999</v>
      </c>
      <c r="AR33" s="950">
        <v>1.04517138</v>
      </c>
      <c r="AS33" s="950">
        <v>1.1791342600000001</v>
      </c>
      <c r="AT33" s="950">
        <v>1.0431134800000001</v>
      </c>
      <c r="AU33" s="950">
        <v>1.35942407</v>
      </c>
      <c r="AV33" s="950">
        <v>1.32063284</v>
      </c>
      <c r="AW33" s="950">
        <v>0.85414243000000001</v>
      </c>
      <c r="AX33" s="950">
        <v>0.97209926000000002</v>
      </c>
      <c r="AY33" s="950">
        <v>0.98929397000000008</v>
      </c>
      <c r="AZ33" s="950">
        <v>0.86773648000000003</v>
      </c>
      <c r="BA33" s="950">
        <v>0.83290308999999996</v>
      </c>
      <c r="BB33" s="950">
        <v>0.94038392999999998</v>
      </c>
      <c r="BC33" s="950">
        <v>0.89924897000000004</v>
      </c>
      <c r="BD33" s="950">
        <v>1.0457569600000001</v>
      </c>
      <c r="BE33" s="950">
        <v>1.0236554899999999</v>
      </c>
      <c r="BF33" s="950">
        <v>0.9843602600000001</v>
      </c>
      <c r="BG33" s="951">
        <v>1.19594008</v>
      </c>
      <c r="BH33" s="999">
        <v>1.1582653600000001</v>
      </c>
      <c r="BI33" s="994">
        <v>1.3762848299999999</v>
      </c>
      <c r="BJ33" s="994">
        <v>1.34139966</v>
      </c>
      <c r="BK33" s="994">
        <v>1.4116536599999998</v>
      </c>
      <c r="BL33" s="994">
        <v>1.39579187</v>
      </c>
      <c r="BM33" s="994">
        <v>1.5600829199999997</v>
      </c>
      <c r="BN33" s="994">
        <v>1.5633534899999999</v>
      </c>
      <c r="BO33" s="994">
        <v>3.7217441</v>
      </c>
      <c r="BP33" s="994">
        <v>3.4033149499999999</v>
      </c>
      <c r="BQ33" s="994">
        <v>3.2358612600000001</v>
      </c>
      <c r="BR33" s="994">
        <v>3.0045329599999997</v>
      </c>
      <c r="BS33" s="994">
        <v>2.5862404200000002</v>
      </c>
      <c r="BT33" s="994">
        <v>2.3529937100000002</v>
      </c>
      <c r="BU33" s="994">
        <v>2.2110793600000003</v>
      </c>
      <c r="BV33" s="994">
        <v>2.0041162799999999</v>
      </c>
      <c r="BW33" s="994">
        <v>2.2257142999999999</v>
      </c>
      <c r="BX33" s="994">
        <v>2.2191353999999999</v>
      </c>
      <c r="BY33" s="994">
        <v>2.13675975</v>
      </c>
      <c r="BZ33" s="994">
        <v>2.2556950100000002</v>
      </c>
      <c r="CA33" s="994">
        <v>2.19727769</v>
      </c>
      <c r="CB33" s="994">
        <v>2.1823825499999998</v>
      </c>
      <c r="CC33" s="994">
        <v>2.3449348699999999</v>
      </c>
      <c r="CD33" s="994">
        <v>2.3011172800000002</v>
      </c>
      <c r="CE33" s="994">
        <v>2.3572990100000002</v>
      </c>
      <c r="CF33" s="994">
        <v>2.4036836699999999</v>
      </c>
      <c r="CG33" s="994">
        <v>2.3773618999999999</v>
      </c>
      <c r="CH33" s="994">
        <v>2.5277913399999998</v>
      </c>
      <c r="CI33" s="994">
        <v>2.6247733599999998</v>
      </c>
      <c r="CJ33" s="994">
        <v>1.6804426699999999</v>
      </c>
      <c r="CK33" s="994">
        <v>1.5591166400000001</v>
      </c>
      <c r="CL33" s="994">
        <v>1.4239023200000001</v>
      </c>
      <c r="CM33" s="994">
        <v>1.33770067</v>
      </c>
      <c r="CN33" s="994">
        <v>1.4190204300000002</v>
      </c>
      <c r="CO33" s="994">
        <v>1.6318296399999999</v>
      </c>
      <c r="CP33" s="994">
        <v>1.62972669</v>
      </c>
      <c r="CQ33" s="994">
        <v>1.71254986</v>
      </c>
      <c r="CR33" s="994">
        <v>1.9964790400000001</v>
      </c>
      <c r="CS33" s="994">
        <v>2.1999899799999998</v>
      </c>
      <c r="CT33" s="994">
        <v>2.4197597700000002</v>
      </c>
      <c r="CU33" s="994">
        <v>2.6733546100000001</v>
      </c>
      <c r="CV33" s="994">
        <v>2.6835476200000001</v>
      </c>
      <c r="CW33" s="994">
        <v>3.1203832999999999</v>
      </c>
      <c r="CX33" s="994">
        <v>3.4001759800000002</v>
      </c>
      <c r="CY33" s="994">
        <v>3.8618468199999998</v>
      </c>
      <c r="CZ33" s="994">
        <v>3.7838712600000002</v>
      </c>
      <c r="DA33" s="994">
        <v>4.0558672900000001</v>
      </c>
      <c r="DB33" s="994">
        <v>4.6544826099999996</v>
      </c>
      <c r="DC33" s="994">
        <v>4.60083764</v>
      </c>
      <c r="DD33" s="994">
        <v>4.9639494900000001</v>
      </c>
      <c r="DE33" s="994">
        <v>5.0732786000000001</v>
      </c>
      <c r="DF33" s="994">
        <v>5.0556020899999998</v>
      </c>
      <c r="DG33" s="994">
        <v>5.1197994099999997</v>
      </c>
      <c r="DH33" s="994">
        <v>5.2617754699999999</v>
      </c>
      <c r="DI33" s="994">
        <v>5.9950323799999996</v>
      </c>
      <c r="DJ33" s="994">
        <v>5.7913128599999997</v>
      </c>
      <c r="DK33" s="994">
        <v>5.7365052099999998</v>
      </c>
      <c r="DL33" s="994">
        <v>5.8475957200000002</v>
      </c>
      <c r="DM33" s="994">
        <v>5.3874728599999999</v>
      </c>
      <c r="DN33" s="994">
        <v>5.8565148699999998</v>
      </c>
      <c r="DO33" s="994">
        <v>5.8656411999999998</v>
      </c>
      <c r="DP33" s="994">
        <v>5.6749050499999996</v>
      </c>
      <c r="DQ33" s="994">
        <v>6.0105865300000003</v>
      </c>
      <c r="DR33" s="994">
        <v>6.2242347999999996</v>
      </c>
      <c r="DS33" s="994">
        <v>6.2788415200000003</v>
      </c>
      <c r="DT33" s="994">
        <v>6.7875966600000002</v>
      </c>
      <c r="DU33" s="994">
        <v>6.7984161299999997</v>
      </c>
      <c r="DV33" s="994">
        <v>7.1101983500000001</v>
      </c>
      <c r="DW33" s="994">
        <v>7.3877478400000003</v>
      </c>
      <c r="DX33" s="994">
        <v>7.5905283299999997</v>
      </c>
      <c r="DY33" s="994">
        <v>8.0474824399999996</v>
      </c>
      <c r="DZ33" s="994">
        <v>8.1301852599999993</v>
      </c>
      <c r="EA33" s="994">
        <v>8.8162267500000002</v>
      </c>
      <c r="EB33" s="994">
        <v>8.6528624199999999</v>
      </c>
      <c r="EC33" s="994">
        <v>9.0179141200000004</v>
      </c>
      <c r="ED33" s="994">
        <v>8.5574864799999997</v>
      </c>
      <c r="EE33" s="994">
        <v>9.0698048100000008</v>
      </c>
    </row>
    <row r="34" spans="1:135" ht="19.8">
      <c r="A34" s="952" t="s">
        <v>2818</v>
      </c>
      <c r="B34" s="945">
        <v>66.666036790000007</v>
      </c>
      <c r="C34" s="945">
        <v>152.78409334000003</v>
      </c>
      <c r="D34" s="945">
        <v>158.29052512999999</v>
      </c>
      <c r="E34" s="945">
        <v>163.53751734000002</v>
      </c>
      <c r="F34" s="945">
        <v>171.56644912000002</v>
      </c>
      <c r="G34" s="945">
        <v>174.30213388000001</v>
      </c>
      <c r="H34" s="945">
        <v>181.49260264999998</v>
      </c>
      <c r="I34" s="945">
        <v>187.90645706999999</v>
      </c>
      <c r="J34" s="945">
        <v>196.57126171000002</v>
      </c>
      <c r="K34" s="945">
        <v>204.22035434999998</v>
      </c>
      <c r="L34" s="945">
        <v>209.20879467</v>
      </c>
      <c r="M34" s="946">
        <v>216.95055854</v>
      </c>
      <c r="N34" s="946">
        <v>215.73816747000001</v>
      </c>
      <c r="O34" s="946">
        <v>222.67418502999999</v>
      </c>
      <c r="P34" s="946">
        <v>224.82774436</v>
      </c>
      <c r="Q34" s="946">
        <v>239.25928099000001</v>
      </c>
      <c r="R34" s="946">
        <v>248.85219245999997</v>
      </c>
      <c r="S34" s="946">
        <v>255.94619204</v>
      </c>
      <c r="T34" s="946">
        <v>259.55990308000003</v>
      </c>
      <c r="U34" s="946">
        <v>259.97684357000003</v>
      </c>
      <c r="V34" s="946">
        <v>264.80865691000002</v>
      </c>
      <c r="W34" s="946">
        <v>282.46263128999999</v>
      </c>
      <c r="X34" s="946">
        <v>289.07191491000003</v>
      </c>
      <c r="Y34" s="946">
        <v>301.11939336</v>
      </c>
      <c r="Z34" s="946">
        <v>305.04925141999996</v>
      </c>
      <c r="AA34" s="946">
        <v>398.78550293000001</v>
      </c>
      <c r="AB34" s="946">
        <v>380.0914448100001</v>
      </c>
      <c r="AC34" s="946">
        <v>372.99930741000003</v>
      </c>
      <c r="AD34" s="946">
        <v>364.66400791999996</v>
      </c>
      <c r="AE34" s="946">
        <v>363.07725050999994</v>
      </c>
      <c r="AF34" s="946">
        <v>371.40780647000003</v>
      </c>
      <c r="AG34" s="946">
        <v>351.44605912999998</v>
      </c>
      <c r="AH34" s="946">
        <v>333.98893826</v>
      </c>
      <c r="AI34" s="946">
        <v>335.31654441000001</v>
      </c>
      <c r="AJ34" s="946">
        <v>319.27387050000004</v>
      </c>
      <c r="AK34" s="946">
        <v>445.92310965000001</v>
      </c>
      <c r="AL34" s="946">
        <v>444.72352273000001</v>
      </c>
      <c r="AM34" s="946">
        <v>427.36314652999999</v>
      </c>
      <c r="AN34" s="946">
        <v>412.94255929999997</v>
      </c>
      <c r="AO34" s="946">
        <v>392.52627456000005</v>
      </c>
      <c r="AP34" s="946">
        <v>380.72283900999997</v>
      </c>
      <c r="AQ34" s="946">
        <v>379.31414098000005</v>
      </c>
      <c r="AR34" s="946">
        <v>367.90065778000007</v>
      </c>
      <c r="AS34" s="946">
        <v>365.90544384999998</v>
      </c>
      <c r="AT34" s="946">
        <v>355.17308549000001</v>
      </c>
      <c r="AU34" s="946">
        <v>350.96733761000002</v>
      </c>
      <c r="AV34" s="946">
        <v>360.46997799000007</v>
      </c>
      <c r="AW34" s="946">
        <v>358.03041706000005</v>
      </c>
      <c r="AX34" s="946">
        <v>377.82303498000005</v>
      </c>
      <c r="AY34" s="946">
        <v>335.51784884</v>
      </c>
      <c r="AZ34" s="946">
        <v>323.28090706</v>
      </c>
      <c r="BA34" s="946">
        <v>315.82749596999997</v>
      </c>
      <c r="BB34" s="946">
        <v>305.49843315000004</v>
      </c>
      <c r="BC34" s="946">
        <v>298.20805774000002</v>
      </c>
      <c r="BD34" s="946">
        <v>290.97803176000002</v>
      </c>
      <c r="BE34" s="946">
        <v>286.79940289000001</v>
      </c>
      <c r="BF34" s="946">
        <v>280.08132470999999</v>
      </c>
      <c r="BG34" s="947">
        <v>273.68269659000003</v>
      </c>
      <c r="BH34" s="998">
        <v>264.79168549000002</v>
      </c>
      <c r="BI34" s="993">
        <v>255.77512719000001</v>
      </c>
      <c r="BJ34" s="993">
        <v>249.78915279999998</v>
      </c>
      <c r="BK34" s="993">
        <v>239.62582773000003</v>
      </c>
      <c r="BL34" s="993">
        <v>230.82252749999998</v>
      </c>
      <c r="BM34" s="993">
        <v>219.54711236999998</v>
      </c>
      <c r="BN34" s="993">
        <v>213.23544595999999</v>
      </c>
      <c r="BO34" s="993">
        <v>208.49339909000003</v>
      </c>
      <c r="BP34" s="993">
        <v>200.47550780999998</v>
      </c>
      <c r="BQ34" s="993">
        <v>191.34291770999997</v>
      </c>
      <c r="BR34" s="993">
        <v>185.18915687999998</v>
      </c>
      <c r="BS34" s="993">
        <v>184.27094256000001</v>
      </c>
      <c r="BT34" s="993">
        <v>183.93820625999996</v>
      </c>
      <c r="BU34" s="993">
        <v>166.55745254000001</v>
      </c>
      <c r="BV34" s="993">
        <v>160.33519397000001</v>
      </c>
      <c r="BW34" s="993">
        <v>157.89152170999998</v>
      </c>
      <c r="BX34" s="993">
        <v>150.78304842</v>
      </c>
      <c r="BY34" s="993">
        <v>146.93077224000001</v>
      </c>
      <c r="BZ34" s="993">
        <v>143.45688843000002</v>
      </c>
      <c r="CA34" s="993">
        <v>137.53259427999998</v>
      </c>
      <c r="CB34" s="993">
        <v>128.29226243000002</v>
      </c>
      <c r="CC34" s="993">
        <v>126.87539432000001</v>
      </c>
      <c r="CD34" s="993">
        <v>126.75859387</v>
      </c>
      <c r="CE34" s="993">
        <v>125.42095855000001</v>
      </c>
      <c r="CF34" s="993">
        <v>126.08948645000001</v>
      </c>
      <c r="CG34" s="993">
        <v>114.99039371000001</v>
      </c>
      <c r="CH34" s="993">
        <v>112.91605864</v>
      </c>
      <c r="CI34" s="993">
        <v>112.55564470000002</v>
      </c>
      <c r="CJ34" s="993">
        <v>98.655726619999996</v>
      </c>
      <c r="CK34" s="993">
        <v>91.692516859999984</v>
      </c>
      <c r="CL34" s="993">
        <v>89.757702639999991</v>
      </c>
      <c r="CM34" s="993">
        <v>84.926955349999986</v>
      </c>
      <c r="CN34" s="993">
        <v>81.086552280000006</v>
      </c>
      <c r="CO34" s="993">
        <v>84.12291282000001</v>
      </c>
      <c r="CP34" s="993">
        <v>85.597552369999988</v>
      </c>
      <c r="CQ34" s="993">
        <v>81.905212239999997</v>
      </c>
      <c r="CR34" s="993">
        <v>77.806721789999997</v>
      </c>
      <c r="CS34" s="993">
        <v>72.691409809999996</v>
      </c>
      <c r="CT34" s="993">
        <v>66.977830639999993</v>
      </c>
      <c r="CU34" s="993">
        <v>71.486138819999994</v>
      </c>
      <c r="CV34" s="993">
        <v>69.613432290000006</v>
      </c>
      <c r="CW34" s="993">
        <v>69.096107020000005</v>
      </c>
      <c r="CX34" s="993">
        <v>65.901339919999998</v>
      </c>
      <c r="CY34" s="993">
        <v>66.090497819999996</v>
      </c>
      <c r="CZ34" s="993">
        <v>66.770339559999996</v>
      </c>
      <c r="DA34" s="993">
        <v>71.561757290000003</v>
      </c>
      <c r="DB34" s="993">
        <v>77.61401678</v>
      </c>
      <c r="DC34" s="993">
        <v>77.711903250000006</v>
      </c>
      <c r="DD34" s="993">
        <v>71.835889850000001</v>
      </c>
      <c r="DE34" s="993">
        <v>73.036834299999995</v>
      </c>
      <c r="DF34" s="993">
        <v>64.686017419999999</v>
      </c>
      <c r="DG34" s="993">
        <v>65.924546179999993</v>
      </c>
      <c r="DH34" s="993">
        <v>61.939113740000003</v>
      </c>
      <c r="DI34" s="993">
        <v>60.554497820000002</v>
      </c>
      <c r="DJ34" s="993">
        <v>61.913181719999997</v>
      </c>
      <c r="DK34" s="993">
        <v>60.479601010000003</v>
      </c>
      <c r="DL34" s="993">
        <v>60.204029390000002</v>
      </c>
      <c r="DM34" s="993">
        <v>64.340504019999997</v>
      </c>
      <c r="DN34" s="993">
        <v>71.511469480000002</v>
      </c>
      <c r="DO34" s="993">
        <v>73.020339719999996</v>
      </c>
      <c r="DP34" s="993">
        <v>70.873400899999993</v>
      </c>
      <c r="DQ34" s="993">
        <v>70.305608329999998</v>
      </c>
      <c r="DR34" s="993">
        <v>68.223123509999994</v>
      </c>
      <c r="DS34" s="993">
        <v>63.00377297</v>
      </c>
      <c r="DT34" s="993">
        <v>60.500577270000001</v>
      </c>
      <c r="DU34" s="993">
        <v>67.387000439999994</v>
      </c>
      <c r="DV34" s="993">
        <v>74.45694349</v>
      </c>
      <c r="DW34" s="993">
        <v>71.509528279999998</v>
      </c>
      <c r="DX34" s="993">
        <v>69.766128269999996</v>
      </c>
      <c r="DY34" s="993">
        <v>76.086080030000005</v>
      </c>
      <c r="DZ34" s="993">
        <v>82.637481100000002</v>
      </c>
      <c r="EA34" s="993">
        <v>77.184595189999996</v>
      </c>
      <c r="EB34" s="993">
        <v>81.109938009999993</v>
      </c>
      <c r="EC34" s="993">
        <v>79.815273329999997</v>
      </c>
      <c r="ED34" s="993">
        <v>74.915426980000007</v>
      </c>
      <c r="EE34" s="993">
        <v>71.604958670000002</v>
      </c>
    </row>
    <row r="35" spans="1:135" ht="19.8">
      <c r="A35" s="948" t="s">
        <v>2046</v>
      </c>
      <c r="B35" s="949">
        <v>0.86300927999999999</v>
      </c>
      <c r="C35" s="949">
        <v>3.3908209600000001</v>
      </c>
      <c r="D35" s="949">
        <v>3.3808722600000003</v>
      </c>
      <c r="E35" s="949">
        <v>3.5275867200000004</v>
      </c>
      <c r="F35" s="949">
        <v>4.0112032400000004</v>
      </c>
      <c r="G35" s="949">
        <v>3.08315128</v>
      </c>
      <c r="H35" s="949">
        <v>2.75096081</v>
      </c>
      <c r="I35" s="949">
        <v>2.8174198100000001</v>
      </c>
      <c r="J35" s="949">
        <v>3.2131447899999999</v>
      </c>
      <c r="K35" s="949">
        <v>3.3452382200000002</v>
      </c>
      <c r="L35" s="949">
        <v>3.3085029599999998</v>
      </c>
      <c r="M35" s="950">
        <v>3.4845867799999999</v>
      </c>
      <c r="N35" s="950">
        <v>3.3475053999999997</v>
      </c>
      <c r="O35" s="950">
        <v>3.4848470299999996</v>
      </c>
      <c r="P35" s="950">
        <v>3.3661613900000003</v>
      </c>
      <c r="Q35" s="950">
        <v>3.7977207000000002</v>
      </c>
      <c r="R35" s="950">
        <v>3.8486074000000001</v>
      </c>
      <c r="S35" s="950">
        <v>3.9363414300000001</v>
      </c>
      <c r="T35" s="950">
        <v>3.6753265299999995</v>
      </c>
      <c r="U35" s="950">
        <v>3.7918110500000002</v>
      </c>
      <c r="V35" s="950">
        <v>4.2336154800000001</v>
      </c>
      <c r="W35" s="950">
        <v>0.54781430000000009</v>
      </c>
      <c r="X35" s="950">
        <v>0.55489554000000008</v>
      </c>
      <c r="Y35" s="950">
        <v>0.51227495000000001</v>
      </c>
      <c r="Z35" s="950">
        <v>0.49579334999999997</v>
      </c>
      <c r="AA35" s="950">
        <v>0.64104475999999999</v>
      </c>
      <c r="AB35" s="950">
        <v>0.61655990000000005</v>
      </c>
      <c r="AC35" s="950">
        <v>0.59934564000000001</v>
      </c>
      <c r="AD35" s="950">
        <v>0.68712766000000003</v>
      </c>
      <c r="AE35" s="950">
        <v>0.66563531999999992</v>
      </c>
      <c r="AF35" s="950">
        <v>0.67945404000000009</v>
      </c>
      <c r="AG35" s="950">
        <v>0.63501459999999998</v>
      </c>
      <c r="AH35" s="950">
        <v>0.61238236000000001</v>
      </c>
      <c r="AI35" s="950">
        <v>0.59317748000000003</v>
      </c>
      <c r="AJ35" s="950">
        <v>0.56649388000000001</v>
      </c>
      <c r="AK35" s="950">
        <v>1.0098676200000001</v>
      </c>
      <c r="AL35" s="950">
        <v>0.96995812000000003</v>
      </c>
      <c r="AM35" s="950">
        <v>0.96966078</v>
      </c>
      <c r="AN35" s="950">
        <v>0.93889531999999998</v>
      </c>
      <c r="AO35" s="950">
        <v>0.87415865000000004</v>
      </c>
      <c r="AP35" s="950">
        <v>0.85789400999999998</v>
      </c>
      <c r="AQ35" s="950">
        <v>0.87187856000000008</v>
      </c>
      <c r="AR35" s="950">
        <v>0.88303703</v>
      </c>
      <c r="AS35" s="950">
        <v>0.89383630000000003</v>
      </c>
      <c r="AT35" s="950">
        <v>0.87284824999999999</v>
      </c>
      <c r="AU35" s="950">
        <v>0.86061482</v>
      </c>
      <c r="AV35" s="950">
        <v>1.3602513799999998</v>
      </c>
      <c r="AW35" s="950">
        <v>1.3943853299999998</v>
      </c>
      <c r="AX35" s="950">
        <v>1.5073832700000001</v>
      </c>
      <c r="AY35" s="950">
        <v>1.3686486100000002</v>
      </c>
      <c r="AZ35" s="950">
        <v>1.3010885400000001</v>
      </c>
      <c r="BA35" s="950">
        <v>1.25267153</v>
      </c>
      <c r="BB35" s="950">
        <v>1.10400294</v>
      </c>
      <c r="BC35" s="950">
        <v>1.10239033</v>
      </c>
      <c r="BD35" s="950">
        <v>1.0930872600000001</v>
      </c>
      <c r="BE35" s="950">
        <v>1.07818305</v>
      </c>
      <c r="BF35" s="950">
        <v>1.0691329899999999</v>
      </c>
      <c r="BG35" s="951">
        <v>1.0551198899999998</v>
      </c>
      <c r="BH35" s="999">
        <v>1.04655733</v>
      </c>
      <c r="BI35" s="994">
        <v>1.0380568299999999</v>
      </c>
      <c r="BJ35" s="994">
        <v>1.03459675</v>
      </c>
      <c r="BK35" s="994">
        <v>1.0261561299999999</v>
      </c>
      <c r="BL35" s="994">
        <v>1.0175957799999999</v>
      </c>
      <c r="BM35" s="994">
        <v>1.0184709000000001</v>
      </c>
      <c r="BN35" s="994">
        <v>1.0110759</v>
      </c>
      <c r="BO35" s="994">
        <v>1.0051259000000001</v>
      </c>
      <c r="BP35" s="994">
        <v>1.0017208</v>
      </c>
      <c r="BQ35" s="994">
        <v>0.99322589999999999</v>
      </c>
      <c r="BR35" s="994">
        <v>0.98727589999999998</v>
      </c>
      <c r="BS35" s="994">
        <v>0.98132589999999997</v>
      </c>
      <c r="BT35" s="994">
        <v>0.97537590000000007</v>
      </c>
      <c r="BU35" s="994">
        <v>0.96942590000000006</v>
      </c>
      <c r="BV35" s="994">
        <v>0.96602589999999999</v>
      </c>
      <c r="BW35" s="994">
        <v>0.96262590000000003</v>
      </c>
      <c r="BX35" s="994">
        <v>0.95988620999999996</v>
      </c>
      <c r="BY35" s="994">
        <v>0.95648621</v>
      </c>
      <c r="BZ35" s="994">
        <v>0.93386663000000003</v>
      </c>
      <c r="CA35" s="994">
        <v>0.95047355</v>
      </c>
      <c r="CB35" s="994">
        <v>0.9418588</v>
      </c>
      <c r="CC35" s="994">
        <v>0.93248582999999996</v>
      </c>
      <c r="CD35" s="994">
        <v>0.92105281000000006</v>
      </c>
      <c r="CE35" s="994">
        <v>0.90895391000000003</v>
      </c>
      <c r="CF35" s="994">
        <v>0.89674074999999998</v>
      </c>
      <c r="CG35" s="994">
        <v>0.88514480000000006</v>
      </c>
      <c r="CH35" s="994">
        <v>0.87219071999999997</v>
      </c>
      <c r="CI35" s="994">
        <v>0.85993752000000001</v>
      </c>
      <c r="CJ35" s="994">
        <v>0.84754682999999997</v>
      </c>
      <c r="CK35" s="994">
        <v>0.83425386999999995</v>
      </c>
      <c r="CL35" s="994">
        <v>0.82147914</v>
      </c>
      <c r="CM35" s="994">
        <v>0.80878673000000001</v>
      </c>
      <c r="CN35" s="994">
        <v>0.79529766000000002</v>
      </c>
      <c r="CO35" s="994">
        <v>0.79628239000000001</v>
      </c>
      <c r="CP35" s="994">
        <v>0.78513511000000002</v>
      </c>
      <c r="CQ35" s="994">
        <v>0.77016435999999999</v>
      </c>
      <c r="CR35" s="994">
        <v>0.75488169999999999</v>
      </c>
      <c r="CS35" s="994">
        <v>0.74398455000000008</v>
      </c>
      <c r="CT35" s="994">
        <v>0.72851104</v>
      </c>
      <c r="CU35" s="994">
        <v>0.71330771999999998</v>
      </c>
      <c r="CV35" s="994">
        <v>0.69740592999999995</v>
      </c>
      <c r="CW35" s="994">
        <v>0.68122804999999997</v>
      </c>
      <c r="CX35" s="994">
        <v>0.66543514000000004</v>
      </c>
      <c r="CY35" s="994">
        <v>0.64913701000000001</v>
      </c>
      <c r="CZ35" s="994">
        <v>0.63279547000000003</v>
      </c>
      <c r="DA35" s="994">
        <v>0.54520851000000004</v>
      </c>
      <c r="DB35" s="994">
        <v>0.55860673999999999</v>
      </c>
      <c r="DC35" s="994">
        <v>0.55860673999999999</v>
      </c>
      <c r="DD35" s="994">
        <v>0</v>
      </c>
      <c r="DE35" s="994">
        <v>0</v>
      </c>
      <c r="DF35" s="994">
        <v>0</v>
      </c>
      <c r="DG35" s="994">
        <v>0</v>
      </c>
      <c r="DH35" s="994">
        <v>0</v>
      </c>
      <c r="DI35" s="994">
        <v>0</v>
      </c>
      <c r="DJ35" s="994">
        <v>0</v>
      </c>
      <c r="DK35" s="994">
        <v>0</v>
      </c>
      <c r="DL35" s="994">
        <v>0</v>
      </c>
      <c r="DM35" s="994">
        <v>0</v>
      </c>
      <c r="DN35" s="994">
        <v>0</v>
      </c>
      <c r="DO35" s="994">
        <v>0</v>
      </c>
      <c r="DP35" s="994">
        <v>0</v>
      </c>
      <c r="DQ35" s="994">
        <v>0</v>
      </c>
      <c r="DR35" s="994">
        <v>0</v>
      </c>
      <c r="DS35" s="994">
        <v>0</v>
      </c>
      <c r="DT35" s="994">
        <v>0</v>
      </c>
      <c r="DU35" s="994">
        <v>0.35699999999999998</v>
      </c>
      <c r="DV35" s="994">
        <v>0.32820034999999997</v>
      </c>
      <c r="DW35" s="994">
        <v>0.29896295000000001</v>
      </c>
      <c r="DX35" s="994">
        <v>0.26878794</v>
      </c>
      <c r="DY35" s="994">
        <v>0.23864827999999999</v>
      </c>
      <c r="DZ35" s="994">
        <v>0.20816660000000001</v>
      </c>
      <c r="EA35" s="994">
        <v>0.19334941999999999</v>
      </c>
      <c r="EB35" s="994">
        <v>0.17003045999999999</v>
      </c>
      <c r="EC35" s="994">
        <v>0.15500061000000001</v>
      </c>
      <c r="ED35" s="994">
        <v>0.13995228000000001</v>
      </c>
      <c r="EE35" s="994">
        <v>0.12482871</v>
      </c>
    </row>
    <row r="36" spans="1:135" ht="19.8">
      <c r="A36" s="953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1"/>
      <c r="BH36" s="999"/>
      <c r="BI36" s="994"/>
      <c r="BJ36" s="994"/>
      <c r="BK36" s="994"/>
      <c r="BL36" s="994"/>
      <c r="BM36" s="994"/>
      <c r="BN36" s="994"/>
      <c r="BO36" s="994"/>
      <c r="BP36" s="994"/>
      <c r="BQ36" s="994"/>
      <c r="BR36" s="994"/>
      <c r="BS36" s="994"/>
      <c r="BT36" s="994"/>
      <c r="BU36" s="994"/>
      <c r="BV36" s="994"/>
      <c r="BW36" s="994"/>
      <c r="BX36" s="994"/>
      <c r="BY36" s="994"/>
      <c r="BZ36" s="994"/>
      <c r="CA36" s="994"/>
      <c r="CB36" s="994"/>
      <c r="CC36" s="994"/>
      <c r="CD36" s="994"/>
      <c r="CE36" s="994"/>
      <c r="CF36" s="994"/>
      <c r="CG36" s="994"/>
      <c r="CH36" s="994"/>
      <c r="CI36" s="994"/>
      <c r="CJ36" s="994"/>
      <c r="CK36" s="994"/>
      <c r="CL36" s="994"/>
      <c r="CM36" s="994"/>
      <c r="CN36" s="994"/>
      <c r="CO36" s="994"/>
      <c r="CP36" s="994"/>
      <c r="CQ36" s="994"/>
      <c r="CR36" s="994"/>
      <c r="CS36" s="994"/>
      <c r="CT36" s="994"/>
      <c r="CU36" s="994"/>
      <c r="CV36" s="994"/>
      <c r="CW36" s="994"/>
      <c r="CX36" s="994"/>
      <c r="CY36" s="994"/>
      <c r="CZ36" s="994"/>
      <c r="DA36" s="994"/>
      <c r="DB36" s="994"/>
      <c r="DC36" s="994"/>
      <c r="DD36" s="994"/>
      <c r="DE36" s="994"/>
      <c r="DF36" s="994"/>
      <c r="DG36" s="994"/>
      <c r="DH36" s="994"/>
      <c r="DI36" s="994"/>
      <c r="DJ36" s="994"/>
      <c r="DK36" s="994"/>
      <c r="DL36" s="994"/>
      <c r="DM36" s="994"/>
      <c r="DN36" s="994"/>
      <c r="DO36" s="994"/>
      <c r="DP36" s="994"/>
      <c r="DQ36" s="994"/>
      <c r="DR36" s="994"/>
      <c r="DS36" s="994"/>
      <c r="DT36" s="994"/>
      <c r="DU36" s="994"/>
      <c r="DV36" s="994"/>
      <c r="DW36" s="994"/>
      <c r="DX36" s="994"/>
      <c r="DY36" s="994"/>
      <c r="DZ36" s="994"/>
      <c r="EA36" s="994"/>
      <c r="EB36" s="994"/>
      <c r="EC36" s="994"/>
      <c r="ED36" s="994"/>
      <c r="EE36" s="994"/>
    </row>
    <row r="37" spans="1:135" ht="19.8">
      <c r="A37" s="944" t="s">
        <v>1982</v>
      </c>
      <c r="B37" s="945">
        <v>17.766566539999999</v>
      </c>
      <c r="C37" s="945">
        <v>22.945062950000001</v>
      </c>
      <c r="D37" s="945">
        <v>21.668987950000002</v>
      </c>
      <c r="E37" s="945">
        <v>21.677562789999996</v>
      </c>
      <c r="F37" s="945">
        <v>21.911337209999999</v>
      </c>
      <c r="G37" s="945">
        <v>20.999708079999998</v>
      </c>
      <c r="H37" s="945">
        <v>20.948338400000001</v>
      </c>
      <c r="I37" s="945">
        <v>19.60692826</v>
      </c>
      <c r="J37" s="945">
        <v>17.095820400000001</v>
      </c>
      <c r="K37" s="945">
        <v>18.329791440000001</v>
      </c>
      <c r="L37" s="945">
        <v>21.740978640000002</v>
      </c>
      <c r="M37" s="946">
        <v>23.579365899999999</v>
      </c>
      <c r="N37" s="946">
        <v>23.967542090000002</v>
      </c>
      <c r="O37" s="946">
        <v>25.871231269999996</v>
      </c>
      <c r="P37" s="946">
        <v>26.226864130000003</v>
      </c>
      <c r="Q37" s="946">
        <v>28.49794116</v>
      </c>
      <c r="R37" s="946">
        <v>29.580274790000001</v>
      </c>
      <c r="S37" s="946">
        <v>31.649486629999998</v>
      </c>
      <c r="T37" s="946">
        <v>33.67329032</v>
      </c>
      <c r="U37" s="946">
        <v>34.50216743</v>
      </c>
      <c r="V37" s="946">
        <v>33.88321397</v>
      </c>
      <c r="W37" s="946">
        <v>36.337116999999999</v>
      </c>
      <c r="X37" s="946">
        <v>33.49902685</v>
      </c>
      <c r="Y37" s="946">
        <v>30.961195279999998</v>
      </c>
      <c r="Z37" s="946">
        <v>31.949608130000001</v>
      </c>
      <c r="AA37" s="946">
        <v>38.919785779999998</v>
      </c>
      <c r="AB37" s="946">
        <v>36.929363539999997</v>
      </c>
      <c r="AC37" s="946">
        <v>34.486364129999998</v>
      </c>
      <c r="AD37" s="946">
        <v>35.404588740000008</v>
      </c>
      <c r="AE37" s="946">
        <v>34.925877159999999</v>
      </c>
      <c r="AF37" s="946">
        <v>36.199890539999998</v>
      </c>
      <c r="AG37" s="946">
        <v>39.381006429999999</v>
      </c>
      <c r="AH37" s="946">
        <v>38.355364870000002</v>
      </c>
      <c r="AI37" s="946">
        <v>41.731077889999995</v>
      </c>
      <c r="AJ37" s="946">
        <v>41.657239560000001</v>
      </c>
      <c r="AK37" s="946">
        <v>41.139814020000003</v>
      </c>
      <c r="AL37" s="946">
        <v>36.345547910000001</v>
      </c>
      <c r="AM37" s="946">
        <v>32.933906229999998</v>
      </c>
      <c r="AN37" s="946">
        <v>32.869697770000002</v>
      </c>
      <c r="AO37" s="946">
        <v>33.604306729999998</v>
      </c>
      <c r="AP37" s="946">
        <v>32.265850780000001</v>
      </c>
      <c r="AQ37" s="946">
        <v>34.613343759999999</v>
      </c>
      <c r="AR37" s="946">
        <v>43.827408309999996</v>
      </c>
      <c r="AS37" s="946">
        <v>48.971976049999995</v>
      </c>
      <c r="AT37" s="946">
        <v>48.929506879999998</v>
      </c>
      <c r="AU37" s="946">
        <v>50.346966810000005</v>
      </c>
      <c r="AV37" s="946">
        <v>51.656373370000004</v>
      </c>
      <c r="AW37" s="946">
        <v>46.230817819999999</v>
      </c>
      <c r="AX37" s="946">
        <v>45.553140759999998</v>
      </c>
      <c r="AY37" s="946">
        <v>43.219002640000006</v>
      </c>
      <c r="AZ37" s="946">
        <v>42.961399950000001</v>
      </c>
      <c r="BA37" s="946">
        <v>42.567978479999994</v>
      </c>
      <c r="BB37" s="946">
        <v>43.444897570000002</v>
      </c>
      <c r="BC37" s="946">
        <v>45.054142570000003</v>
      </c>
      <c r="BD37" s="946">
        <v>38.349922409999998</v>
      </c>
      <c r="BE37" s="946">
        <v>30.918805550000002</v>
      </c>
      <c r="BF37" s="946">
        <v>32.352323630000001</v>
      </c>
      <c r="BG37" s="947">
        <v>32.16380041</v>
      </c>
      <c r="BH37" s="998">
        <v>30.314506189999996</v>
      </c>
      <c r="BI37" s="993">
        <v>30.351168469999998</v>
      </c>
      <c r="BJ37" s="993">
        <v>29.9115468</v>
      </c>
      <c r="BK37" s="993">
        <v>30.50109102</v>
      </c>
      <c r="BL37" s="993">
        <v>29.268843299999997</v>
      </c>
      <c r="BM37" s="993">
        <v>28.754794849999996</v>
      </c>
      <c r="BN37" s="993">
        <v>29.3187648</v>
      </c>
      <c r="BO37" s="993">
        <v>29.03480441</v>
      </c>
      <c r="BP37" s="993">
        <v>29.281016949999998</v>
      </c>
      <c r="BQ37" s="993">
        <v>30.092502039999999</v>
      </c>
      <c r="BR37" s="993">
        <v>31.740528149999996</v>
      </c>
      <c r="BS37" s="993">
        <v>32.981479800000002</v>
      </c>
      <c r="BT37" s="993">
        <v>32.3277176</v>
      </c>
      <c r="BU37" s="993">
        <v>31.824480560000001</v>
      </c>
      <c r="BV37" s="993">
        <v>32.316656039999998</v>
      </c>
      <c r="BW37" s="993">
        <v>32.858558200000004</v>
      </c>
      <c r="BX37" s="993">
        <v>31.658665549999998</v>
      </c>
      <c r="BY37" s="993">
        <v>28.140884570000001</v>
      </c>
      <c r="BZ37" s="993">
        <v>27.768869719999998</v>
      </c>
      <c r="CA37" s="993">
        <v>28.445168290000002</v>
      </c>
      <c r="CB37" s="993">
        <v>31.251241359999998</v>
      </c>
      <c r="CC37" s="993">
        <v>34.789028260000002</v>
      </c>
      <c r="CD37" s="993">
        <v>40.496305579999998</v>
      </c>
      <c r="CE37" s="993">
        <v>45.179075760000003</v>
      </c>
      <c r="CF37" s="993">
        <v>47.26933923</v>
      </c>
      <c r="CG37" s="993">
        <v>48.460994929999998</v>
      </c>
      <c r="CH37" s="993">
        <v>47.091091359999993</v>
      </c>
      <c r="CI37" s="993">
        <v>49.691688419999991</v>
      </c>
      <c r="CJ37" s="993">
        <v>48.539318809999997</v>
      </c>
      <c r="CK37" s="993">
        <v>43.602762060000011</v>
      </c>
      <c r="CL37" s="993">
        <v>43.33771346999999</v>
      </c>
      <c r="CM37" s="993">
        <v>41.439723709999996</v>
      </c>
      <c r="CN37" s="993">
        <v>41.738506699999995</v>
      </c>
      <c r="CO37" s="993">
        <v>47.721358759999994</v>
      </c>
      <c r="CP37" s="993">
        <v>57.084244719999994</v>
      </c>
      <c r="CQ37" s="993">
        <v>58.694032039999996</v>
      </c>
      <c r="CR37" s="993">
        <v>60.689577670000006</v>
      </c>
      <c r="CS37" s="993">
        <v>66.059513080000002</v>
      </c>
      <c r="CT37" s="993">
        <v>67.224040759999994</v>
      </c>
      <c r="CU37" s="993">
        <v>71.991596610000002</v>
      </c>
      <c r="CV37" s="993">
        <v>75.544221550000003</v>
      </c>
      <c r="CW37" s="993">
        <v>82.102439349999997</v>
      </c>
      <c r="CX37" s="993">
        <v>84.99988424</v>
      </c>
      <c r="CY37" s="993">
        <v>86.743387010000006</v>
      </c>
      <c r="CZ37" s="993">
        <v>86.788193320000005</v>
      </c>
      <c r="DA37" s="993">
        <v>93.071777269999998</v>
      </c>
      <c r="DB37" s="993">
        <v>106.35065351</v>
      </c>
      <c r="DC37" s="993">
        <v>112.33308402999999</v>
      </c>
      <c r="DD37" s="993">
        <v>115.04752805</v>
      </c>
      <c r="DE37" s="993">
        <v>122.36977136</v>
      </c>
      <c r="DF37" s="993">
        <v>122.23483948000001</v>
      </c>
      <c r="DG37" s="993">
        <v>131.69014238</v>
      </c>
      <c r="DH37" s="993">
        <v>134.84683136000001</v>
      </c>
      <c r="DI37" s="993">
        <v>139.54824948000001</v>
      </c>
      <c r="DJ37" s="993">
        <v>141.02214283999999</v>
      </c>
      <c r="DK37" s="993">
        <v>138.69091433</v>
      </c>
      <c r="DL37" s="993">
        <v>138.83422530000001</v>
      </c>
      <c r="DM37" s="993">
        <v>146.96351751</v>
      </c>
      <c r="DN37" s="993">
        <v>149.62944887</v>
      </c>
      <c r="DO37" s="993">
        <v>147.70071213</v>
      </c>
      <c r="DP37" s="993">
        <v>146.98120374000001</v>
      </c>
      <c r="DQ37" s="993">
        <v>156.76234754999999</v>
      </c>
      <c r="DR37" s="993">
        <v>158.17856487</v>
      </c>
      <c r="DS37" s="993">
        <v>159.9750775</v>
      </c>
      <c r="DT37" s="993">
        <v>161.98581701000001</v>
      </c>
      <c r="DU37" s="993">
        <v>164.27255177999999</v>
      </c>
      <c r="DV37" s="993">
        <v>168.04869883999999</v>
      </c>
      <c r="DW37" s="993">
        <v>165.18052918000001</v>
      </c>
      <c r="DX37" s="993">
        <v>157.18929076000001</v>
      </c>
      <c r="DY37" s="993">
        <v>168.21587991000001</v>
      </c>
      <c r="DZ37" s="993">
        <v>176.53917430999999</v>
      </c>
      <c r="EA37" s="993">
        <v>178.87528545999999</v>
      </c>
      <c r="EB37" s="993">
        <v>184.99126476000001</v>
      </c>
      <c r="EC37" s="993">
        <v>188.13916682000001</v>
      </c>
      <c r="ED37" s="993">
        <v>179.73408726</v>
      </c>
      <c r="EE37" s="993">
        <v>184.58767689000001</v>
      </c>
    </row>
    <row r="38" spans="1:135" ht="19.8">
      <c r="A38" s="948" t="s">
        <v>2046</v>
      </c>
      <c r="B38" s="949">
        <v>11.5349111</v>
      </c>
      <c r="C38" s="949">
        <v>8.7454138299999986</v>
      </c>
      <c r="D38" s="949">
        <v>7.4834635</v>
      </c>
      <c r="E38" s="949">
        <v>6.3343823800000001</v>
      </c>
      <c r="F38" s="949">
        <v>5.2639893000000004</v>
      </c>
      <c r="G38" s="949">
        <v>3.3985690399999999</v>
      </c>
      <c r="H38" s="949">
        <v>2.3517269500000002</v>
      </c>
      <c r="I38" s="949">
        <v>2.6045756299999998</v>
      </c>
      <c r="J38" s="949">
        <v>2.2216393700000001</v>
      </c>
      <c r="K38" s="949">
        <v>2.1604887799999997</v>
      </c>
      <c r="L38" s="949">
        <v>1.5203341699999999</v>
      </c>
      <c r="M38" s="950">
        <v>1.5360767799999999</v>
      </c>
      <c r="N38" s="950">
        <v>2.4355099300000003</v>
      </c>
      <c r="O38" s="950">
        <v>3.8018975099999999</v>
      </c>
      <c r="P38" s="950">
        <v>4.1089636299999999</v>
      </c>
      <c r="Q38" s="950">
        <v>2.0403715399999998</v>
      </c>
      <c r="R38" s="950">
        <v>1.7954462699999998</v>
      </c>
      <c r="S38" s="950">
        <v>1.5700264399999999</v>
      </c>
      <c r="T38" s="950">
        <v>1.5603955899999999</v>
      </c>
      <c r="U38" s="950">
        <v>1.5018018899999999</v>
      </c>
      <c r="V38" s="950">
        <v>1.6854109500000001</v>
      </c>
      <c r="W38" s="950">
        <v>1.189103</v>
      </c>
      <c r="X38" s="950">
        <v>1.2639828200000001</v>
      </c>
      <c r="Y38" s="950">
        <v>1.7534115100000001</v>
      </c>
      <c r="Z38" s="950">
        <v>2.30992482</v>
      </c>
      <c r="AA38" s="950">
        <v>1.59539184</v>
      </c>
      <c r="AB38" s="950">
        <v>0.88308518999999996</v>
      </c>
      <c r="AC38" s="950">
        <v>0.87671334999999995</v>
      </c>
      <c r="AD38" s="950">
        <v>0.80485080000000009</v>
      </c>
      <c r="AE38" s="950">
        <v>0.77840816000000002</v>
      </c>
      <c r="AF38" s="950">
        <v>0.68138962999999997</v>
      </c>
      <c r="AG38" s="950">
        <v>1.5731318300000001</v>
      </c>
      <c r="AH38" s="950">
        <v>1.43631756</v>
      </c>
      <c r="AI38" s="950">
        <v>1.43864952</v>
      </c>
      <c r="AJ38" s="950">
        <v>1.30903426</v>
      </c>
      <c r="AK38" s="950">
        <v>1.51176186</v>
      </c>
      <c r="AL38" s="950">
        <v>1.4251186200000001</v>
      </c>
      <c r="AM38" s="950">
        <v>1.3765356100000001</v>
      </c>
      <c r="AN38" s="950">
        <v>1.2053403300000001</v>
      </c>
      <c r="AO38" s="950">
        <v>1.2640906200000002</v>
      </c>
      <c r="AP38" s="950">
        <v>1.04201564</v>
      </c>
      <c r="AQ38" s="950">
        <v>1.01320839</v>
      </c>
      <c r="AR38" s="950">
        <v>0.97756821999999999</v>
      </c>
      <c r="AS38" s="950">
        <v>1.11871374</v>
      </c>
      <c r="AT38" s="950">
        <v>0.98844832000000005</v>
      </c>
      <c r="AU38" s="950">
        <v>1.3092847299999999</v>
      </c>
      <c r="AV38" s="950">
        <v>1.27273364</v>
      </c>
      <c r="AW38" s="950">
        <v>1.0344267</v>
      </c>
      <c r="AX38" s="950">
        <v>1.0607885000000001</v>
      </c>
      <c r="AY38" s="950">
        <v>1.0726359000000001</v>
      </c>
      <c r="AZ38" s="950">
        <v>0.91915500000000006</v>
      </c>
      <c r="BA38" s="950">
        <v>0.8736124999999999</v>
      </c>
      <c r="BB38" s="950">
        <v>0.36208768999999996</v>
      </c>
      <c r="BC38" s="950">
        <v>0.23066812000000003</v>
      </c>
      <c r="BD38" s="950">
        <v>0.24405977999999998</v>
      </c>
      <c r="BE38" s="950">
        <v>0.25227676999999998</v>
      </c>
      <c r="BF38" s="950">
        <v>0.24375025</v>
      </c>
      <c r="BG38" s="951">
        <v>0.35830021000000001</v>
      </c>
      <c r="BH38" s="999">
        <v>0.35419796999999997</v>
      </c>
      <c r="BI38" s="994">
        <v>0.36119773999999999</v>
      </c>
      <c r="BJ38" s="994">
        <v>0.36235640999999996</v>
      </c>
      <c r="BK38" s="994">
        <v>0.39989142</v>
      </c>
      <c r="BL38" s="994">
        <v>0.39846996999999995</v>
      </c>
      <c r="BM38" s="994">
        <v>0.33978878999999995</v>
      </c>
      <c r="BN38" s="994">
        <v>0.36381722999999999</v>
      </c>
      <c r="BO38" s="994">
        <v>2.54297269</v>
      </c>
      <c r="BP38" s="994">
        <v>2.2374503699999999</v>
      </c>
      <c r="BQ38" s="994">
        <v>2.0874465099999999</v>
      </c>
      <c r="BR38" s="994">
        <v>1.8746427999999999</v>
      </c>
      <c r="BS38" s="994">
        <v>1.4887859900000002</v>
      </c>
      <c r="BT38" s="994">
        <v>1.2045232000000001</v>
      </c>
      <c r="BU38" s="994">
        <v>1.0837054400000001</v>
      </c>
      <c r="BV38" s="994">
        <v>0.89506249999999987</v>
      </c>
      <c r="BW38" s="994">
        <v>0.75036230000000004</v>
      </c>
      <c r="BX38" s="994">
        <v>0.57132547000000011</v>
      </c>
      <c r="BY38" s="994">
        <v>0.52914781</v>
      </c>
      <c r="BZ38" s="994">
        <v>0.63896408999999998</v>
      </c>
      <c r="CA38" s="994">
        <v>0.57437948999999999</v>
      </c>
      <c r="CB38" s="994">
        <v>0.51882867999999993</v>
      </c>
      <c r="CC38" s="994">
        <v>0.68072688000000003</v>
      </c>
      <c r="CD38" s="994">
        <v>0.52285970000000004</v>
      </c>
      <c r="CE38" s="994">
        <v>0.51437451000000001</v>
      </c>
      <c r="CF38" s="994">
        <v>0.48719140000000005</v>
      </c>
      <c r="CG38" s="994">
        <v>0.42552722000000004</v>
      </c>
      <c r="CH38" s="994">
        <v>0.39722900999999994</v>
      </c>
      <c r="CI38" s="994">
        <v>0.36940772999999999</v>
      </c>
      <c r="CJ38" s="994">
        <v>0.36653124000000004</v>
      </c>
      <c r="CK38" s="994">
        <v>0.28337787000000003</v>
      </c>
      <c r="CL38" s="994">
        <v>0.30021001000000003</v>
      </c>
      <c r="CM38" s="994">
        <v>0.28515431999999996</v>
      </c>
      <c r="CN38" s="994">
        <v>0.37293921000000008</v>
      </c>
      <c r="CO38" s="994">
        <v>0.49764842000000004</v>
      </c>
      <c r="CP38" s="994">
        <v>0.36592247</v>
      </c>
      <c r="CQ38" s="994">
        <v>0.25118241000000002</v>
      </c>
      <c r="CR38" s="994">
        <v>0.27674666999999997</v>
      </c>
      <c r="CS38" s="994">
        <v>0.27608162999999997</v>
      </c>
      <c r="CT38" s="994">
        <v>0.46219247000000002</v>
      </c>
      <c r="CU38" s="994">
        <v>0.56687575000000001</v>
      </c>
      <c r="CV38" s="994">
        <v>0.53270629000000003</v>
      </c>
      <c r="CW38" s="994">
        <v>0.60319575999999997</v>
      </c>
      <c r="CX38" s="994">
        <v>0.41461442999999998</v>
      </c>
      <c r="CY38" s="994">
        <v>0.31843502000000001</v>
      </c>
      <c r="CZ38" s="994">
        <v>0.30499907999999998</v>
      </c>
      <c r="DA38" s="994">
        <v>0.30876005000000001</v>
      </c>
      <c r="DB38" s="994">
        <v>0.42037141</v>
      </c>
      <c r="DC38" s="994">
        <v>0.40252679000000002</v>
      </c>
      <c r="DD38" s="994">
        <v>0.55342272999999997</v>
      </c>
      <c r="DE38" s="994">
        <v>0.64217281000000004</v>
      </c>
      <c r="DF38" s="994">
        <v>0.71022571000000001</v>
      </c>
      <c r="DG38" s="994">
        <v>0.64493073999999995</v>
      </c>
      <c r="DH38" s="994">
        <v>0.68237418000000005</v>
      </c>
      <c r="DI38" s="994">
        <v>0.94961397000000003</v>
      </c>
      <c r="DJ38" s="994">
        <v>0.87858758000000003</v>
      </c>
      <c r="DK38" s="994">
        <v>0.91519410000000001</v>
      </c>
      <c r="DL38" s="994">
        <v>0.96344719999999995</v>
      </c>
      <c r="DM38" s="994">
        <v>0.87638466999999998</v>
      </c>
      <c r="DN38" s="994">
        <v>0.84080500000000002</v>
      </c>
      <c r="DO38" s="994">
        <v>0.86569633999999995</v>
      </c>
      <c r="DP38" s="994">
        <v>0.72011053999999997</v>
      </c>
      <c r="DQ38" s="994">
        <v>0.74036040000000003</v>
      </c>
      <c r="DR38" s="994">
        <v>0.78825100999999997</v>
      </c>
      <c r="DS38" s="994">
        <v>0.71948924999999997</v>
      </c>
      <c r="DT38" s="994">
        <v>0.75144358</v>
      </c>
      <c r="DU38" s="994">
        <v>0.65806865999999997</v>
      </c>
      <c r="DV38" s="994">
        <v>0.75942299000000002</v>
      </c>
      <c r="DW38" s="994">
        <v>0.78439424000000002</v>
      </c>
      <c r="DX38" s="994">
        <v>0.84094745000000004</v>
      </c>
      <c r="DY38" s="994">
        <v>0.87639286000000005</v>
      </c>
      <c r="DZ38" s="994">
        <v>0.93074446</v>
      </c>
      <c r="EA38" s="994">
        <v>1.1749112399999999</v>
      </c>
      <c r="EB38" s="994">
        <v>1.0346146899999999</v>
      </c>
      <c r="EC38" s="994">
        <v>0.97046854000000005</v>
      </c>
      <c r="ED38" s="994">
        <v>0.79904686000000003</v>
      </c>
      <c r="EE38" s="994">
        <v>0.84896824000000004</v>
      </c>
    </row>
    <row r="39" spans="1:135" ht="19.8">
      <c r="A39" s="952" t="s">
        <v>189</v>
      </c>
      <c r="B39" s="945">
        <v>11.92087025</v>
      </c>
      <c r="C39" s="945">
        <v>11.30333484</v>
      </c>
      <c r="D39" s="945">
        <v>9.8703165500000001</v>
      </c>
      <c r="E39" s="945">
        <v>10.148716599999998</v>
      </c>
      <c r="F39" s="945">
        <v>9.2684165099999998</v>
      </c>
      <c r="G39" s="945">
        <v>8.5808643999999994</v>
      </c>
      <c r="H39" s="945">
        <v>8.2488839800000004</v>
      </c>
      <c r="I39" s="945">
        <v>7.466381730000001</v>
      </c>
      <c r="J39" s="945">
        <v>5.2174483399999998</v>
      </c>
      <c r="K39" s="945">
        <v>5.4203100400000004</v>
      </c>
      <c r="L39" s="945">
        <v>7.1184755400000004</v>
      </c>
      <c r="M39" s="946">
        <v>6.1160053899999998</v>
      </c>
      <c r="N39" s="946">
        <v>5.7401400899999997</v>
      </c>
      <c r="O39" s="946">
        <v>6.6274293699999998</v>
      </c>
      <c r="P39" s="946">
        <v>6.2699264699999997</v>
      </c>
      <c r="Q39" s="946">
        <v>6.6026964799999996</v>
      </c>
      <c r="R39" s="946">
        <v>7.17239073</v>
      </c>
      <c r="S39" s="946">
        <v>8.2141341699999995</v>
      </c>
      <c r="T39" s="946">
        <v>9.7843277200000003</v>
      </c>
      <c r="U39" s="946">
        <v>10.724633259999999</v>
      </c>
      <c r="V39" s="946">
        <v>11.77824375</v>
      </c>
      <c r="W39" s="946">
        <v>13.411098170000001</v>
      </c>
      <c r="X39" s="946">
        <v>13.667500309999999</v>
      </c>
      <c r="Y39" s="946">
        <v>14.70599423</v>
      </c>
      <c r="Z39" s="946">
        <v>14.07346353</v>
      </c>
      <c r="AA39" s="946">
        <v>14.068576529999998</v>
      </c>
      <c r="AB39" s="946">
        <v>12.01670811</v>
      </c>
      <c r="AC39" s="946">
        <v>11.382791529999999</v>
      </c>
      <c r="AD39" s="946">
        <v>18.674629780000004</v>
      </c>
      <c r="AE39" s="946">
        <v>19.300063470000001</v>
      </c>
      <c r="AF39" s="946">
        <v>22.53721642</v>
      </c>
      <c r="AG39" s="946">
        <v>30.118103459999997</v>
      </c>
      <c r="AH39" s="946">
        <v>30.15136137</v>
      </c>
      <c r="AI39" s="946">
        <v>34.611326409999997</v>
      </c>
      <c r="AJ39" s="946">
        <v>35.71719204</v>
      </c>
      <c r="AK39" s="946">
        <v>32.958157780000001</v>
      </c>
      <c r="AL39" s="946">
        <v>29.366114639999999</v>
      </c>
      <c r="AM39" s="946">
        <v>27.630427989999998</v>
      </c>
      <c r="AN39" s="946">
        <v>26.588653300000001</v>
      </c>
      <c r="AO39" s="946">
        <v>25.902973109999998</v>
      </c>
      <c r="AP39" s="946">
        <v>25.02723237</v>
      </c>
      <c r="AQ39" s="946">
        <v>28.063079129999998</v>
      </c>
      <c r="AR39" s="946">
        <v>35.962084779999998</v>
      </c>
      <c r="AS39" s="946">
        <v>41.607678259999993</v>
      </c>
      <c r="AT39" s="946">
        <v>41.774195280000001</v>
      </c>
      <c r="AU39" s="946">
        <v>42.721844090000005</v>
      </c>
      <c r="AV39" s="946">
        <v>43.940196740000005</v>
      </c>
      <c r="AW39" s="946">
        <v>38.132575619999997</v>
      </c>
      <c r="AX39" s="946">
        <v>37.10323528</v>
      </c>
      <c r="AY39" s="946">
        <v>36.094409620000008</v>
      </c>
      <c r="AZ39" s="946">
        <v>35.69789351</v>
      </c>
      <c r="BA39" s="946">
        <v>33.158797839999998</v>
      </c>
      <c r="BB39" s="946">
        <v>35.273736460000002</v>
      </c>
      <c r="BC39" s="946">
        <v>36.219755130000003</v>
      </c>
      <c r="BD39" s="946">
        <v>29.019705129999998</v>
      </c>
      <c r="BE39" s="946">
        <v>20.014748579999999</v>
      </c>
      <c r="BF39" s="946">
        <v>20.77238783</v>
      </c>
      <c r="BG39" s="947">
        <v>20.672951390000001</v>
      </c>
      <c r="BH39" s="998">
        <v>20.026565809999997</v>
      </c>
      <c r="BI39" s="993">
        <v>20.415131989999999</v>
      </c>
      <c r="BJ39" s="993">
        <v>19.6547631</v>
      </c>
      <c r="BK39" s="993">
        <v>20.65259129</v>
      </c>
      <c r="BL39" s="993">
        <v>19.258885929999998</v>
      </c>
      <c r="BM39" s="993">
        <v>19.985703829999999</v>
      </c>
      <c r="BN39" s="993">
        <v>20.61373721</v>
      </c>
      <c r="BO39" s="993">
        <v>20.44980108</v>
      </c>
      <c r="BP39" s="993">
        <v>21.273892229999998</v>
      </c>
      <c r="BQ39" s="993">
        <v>22.00244971</v>
      </c>
      <c r="BR39" s="993">
        <v>25.232507499999997</v>
      </c>
      <c r="BS39" s="993">
        <v>25.257107349999998</v>
      </c>
      <c r="BT39" s="993">
        <v>24.73990388</v>
      </c>
      <c r="BU39" s="993">
        <v>24.519227100000002</v>
      </c>
      <c r="BV39" s="993">
        <v>23.320074699999999</v>
      </c>
      <c r="BW39" s="993">
        <v>23.716396120000002</v>
      </c>
      <c r="BX39" s="993">
        <v>24.250418719999999</v>
      </c>
      <c r="BY39" s="993">
        <v>21.221790410000001</v>
      </c>
      <c r="BZ39" s="993">
        <v>20.543553129999999</v>
      </c>
      <c r="CA39" s="993">
        <v>21.378526910000001</v>
      </c>
      <c r="CB39" s="993">
        <v>23.893826619999999</v>
      </c>
      <c r="CC39" s="993">
        <v>26.19338595</v>
      </c>
      <c r="CD39" s="993">
        <v>30.091885659999999</v>
      </c>
      <c r="CE39" s="993">
        <v>35.193090269999999</v>
      </c>
      <c r="CF39" s="993">
        <v>38.15926743</v>
      </c>
      <c r="CG39" s="993">
        <v>40.603942499999995</v>
      </c>
      <c r="CH39" s="993">
        <v>39.914343669999994</v>
      </c>
      <c r="CI39" s="993">
        <v>42.656396609999994</v>
      </c>
      <c r="CJ39" s="993">
        <v>44.235507569999996</v>
      </c>
      <c r="CK39" s="993">
        <v>39.541192840000008</v>
      </c>
      <c r="CL39" s="993">
        <v>38.927257359999992</v>
      </c>
      <c r="CM39" s="993">
        <v>38.006109349999996</v>
      </c>
      <c r="CN39" s="993">
        <v>39.351897229999992</v>
      </c>
      <c r="CO39" s="993">
        <v>41.363689199999996</v>
      </c>
      <c r="CP39" s="993">
        <v>46.662537349999994</v>
      </c>
      <c r="CQ39" s="993">
        <v>48.725828440000001</v>
      </c>
      <c r="CR39" s="993">
        <v>51.755729250000002</v>
      </c>
      <c r="CS39" s="993">
        <v>58.492957259999997</v>
      </c>
      <c r="CT39" s="993">
        <v>60.659039659999998</v>
      </c>
      <c r="CU39" s="993">
        <v>66.375471989999994</v>
      </c>
      <c r="CV39" s="993">
        <v>69.053844080000005</v>
      </c>
      <c r="CW39" s="993">
        <v>75.831936139999996</v>
      </c>
      <c r="CX39" s="993">
        <v>78.973729559999995</v>
      </c>
      <c r="CY39" s="993">
        <v>80.863653799999994</v>
      </c>
      <c r="CZ39" s="993">
        <v>80.70543773</v>
      </c>
      <c r="DA39" s="993">
        <v>82.282902809999996</v>
      </c>
      <c r="DB39" s="993">
        <v>93.128822069999998</v>
      </c>
      <c r="DC39" s="993">
        <v>98.386953300000002</v>
      </c>
      <c r="DD39" s="993">
        <v>103.51733589</v>
      </c>
      <c r="DE39" s="993">
        <v>112.89697231</v>
      </c>
      <c r="DF39" s="993">
        <v>114.1074428</v>
      </c>
      <c r="DG39" s="993">
        <v>121.84802898</v>
      </c>
      <c r="DH39" s="993">
        <v>125.18824146</v>
      </c>
      <c r="DI39" s="993">
        <v>129.94703432</v>
      </c>
      <c r="DJ39" s="993">
        <v>131.79293376999999</v>
      </c>
      <c r="DK39" s="993">
        <v>131.39813095</v>
      </c>
      <c r="DL39" s="993">
        <v>131.0758481</v>
      </c>
      <c r="DM39" s="993">
        <v>134.73950310999999</v>
      </c>
      <c r="DN39" s="993">
        <v>137.38312142999999</v>
      </c>
      <c r="DO39" s="993">
        <v>134.74297874999999</v>
      </c>
      <c r="DP39" s="993">
        <v>134.84768721</v>
      </c>
      <c r="DQ39" s="993">
        <v>142.31787567000001</v>
      </c>
      <c r="DR39" s="993">
        <v>144.99926855000001</v>
      </c>
      <c r="DS39" s="993">
        <v>147.76441459</v>
      </c>
      <c r="DT39" s="993">
        <v>150.94650454999999</v>
      </c>
      <c r="DU39" s="993">
        <v>155.03900834000001</v>
      </c>
      <c r="DV39" s="993">
        <v>155.68621547000001</v>
      </c>
      <c r="DW39" s="993">
        <v>156.31382503</v>
      </c>
      <c r="DX39" s="993">
        <v>150.74743053</v>
      </c>
      <c r="DY39" s="993">
        <v>157.00681295999999</v>
      </c>
      <c r="DZ39" s="993">
        <v>160.34249714000001</v>
      </c>
      <c r="EA39" s="993">
        <v>162.74632106999999</v>
      </c>
      <c r="EB39" s="993">
        <v>166.68267899</v>
      </c>
      <c r="EC39" s="993">
        <v>170.39272326</v>
      </c>
      <c r="ED39" s="993">
        <v>166.25399823000001</v>
      </c>
      <c r="EE39" s="993">
        <v>171.78111436</v>
      </c>
    </row>
    <row r="40" spans="1:135" ht="19.8">
      <c r="A40" s="948" t="s">
        <v>2046</v>
      </c>
      <c r="B40" s="949">
        <v>10.7899505</v>
      </c>
      <c r="C40" s="949">
        <v>8.1206127699999993</v>
      </c>
      <c r="D40" s="949">
        <v>6.7108942599999999</v>
      </c>
      <c r="E40" s="949">
        <v>5.4544876599999998</v>
      </c>
      <c r="F40" s="949">
        <v>4.3001941200000005</v>
      </c>
      <c r="G40" s="949">
        <v>3.2852962799999998</v>
      </c>
      <c r="H40" s="949">
        <v>2.3517269500000002</v>
      </c>
      <c r="I40" s="949">
        <v>2.6045756299999998</v>
      </c>
      <c r="J40" s="949">
        <v>2.2216393700000001</v>
      </c>
      <c r="K40" s="949">
        <v>2.1604887799999997</v>
      </c>
      <c r="L40" s="949">
        <v>1.5203341699999999</v>
      </c>
      <c r="M40" s="950">
        <v>1.5360767799999999</v>
      </c>
      <c r="N40" s="950">
        <v>2.4355099300000003</v>
      </c>
      <c r="O40" s="950">
        <v>3.8018975099999999</v>
      </c>
      <c r="P40" s="950">
        <v>4.1089636299999999</v>
      </c>
      <c r="Q40" s="950">
        <v>2.0050780399999999</v>
      </c>
      <c r="R40" s="950">
        <v>1.7562278899999999</v>
      </c>
      <c r="S40" s="950">
        <v>1.5159124799999999</v>
      </c>
      <c r="T40" s="950">
        <v>1.5047201299999999</v>
      </c>
      <c r="U40" s="950">
        <v>1.4441512299999999</v>
      </c>
      <c r="V40" s="950">
        <v>1.58071154</v>
      </c>
      <c r="W40" s="950">
        <v>1.189103</v>
      </c>
      <c r="X40" s="950">
        <v>1.2639828200000001</v>
      </c>
      <c r="Y40" s="950">
        <v>1.7534115100000001</v>
      </c>
      <c r="Z40" s="950">
        <v>2.30992482</v>
      </c>
      <c r="AA40" s="950">
        <v>1.59539184</v>
      </c>
      <c r="AB40" s="950">
        <v>0.88308518999999996</v>
      </c>
      <c r="AC40" s="950">
        <v>0.87671334999999995</v>
      </c>
      <c r="AD40" s="950">
        <v>0.80485080000000009</v>
      </c>
      <c r="AE40" s="950">
        <v>0.77840816000000002</v>
      </c>
      <c r="AF40" s="950">
        <v>0.68138962999999997</v>
      </c>
      <c r="AG40" s="950">
        <v>1.5731318300000001</v>
      </c>
      <c r="AH40" s="950">
        <v>1.43631756</v>
      </c>
      <c r="AI40" s="950">
        <v>1.43864952</v>
      </c>
      <c r="AJ40" s="950">
        <v>1.30903426</v>
      </c>
      <c r="AK40" s="950">
        <v>1.51176186</v>
      </c>
      <c r="AL40" s="950">
        <v>1.4251186200000001</v>
      </c>
      <c r="AM40" s="950">
        <v>1.3765356100000001</v>
      </c>
      <c r="AN40" s="950">
        <v>1.2053403300000001</v>
      </c>
      <c r="AO40" s="950">
        <v>1.2640906200000002</v>
      </c>
      <c r="AP40" s="950">
        <v>1.04201564</v>
      </c>
      <c r="AQ40" s="950">
        <v>1.01320839</v>
      </c>
      <c r="AR40" s="950">
        <v>0.97756821999999999</v>
      </c>
      <c r="AS40" s="950">
        <v>1.11871374</v>
      </c>
      <c r="AT40" s="950">
        <v>0.98844832000000005</v>
      </c>
      <c r="AU40" s="950">
        <v>1.3092847299999999</v>
      </c>
      <c r="AV40" s="950">
        <v>1.27273364</v>
      </c>
      <c r="AW40" s="950">
        <v>0.81131850000000005</v>
      </c>
      <c r="AX40" s="950">
        <v>0.81930950000000002</v>
      </c>
      <c r="AY40" s="950">
        <v>0.85245090000000001</v>
      </c>
      <c r="AZ40" s="950">
        <v>0.74687551000000008</v>
      </c>
      <c r="BA40" s="950">
        <v>0.72694596999999994</v>
      </c>
      <c r="BB40" s="950">
        <v>0.36208768999999996</v>
      </c>
      <c r="BC40" s="950">
        <v>0.23066812000000003</v>
      </c>
      <c r="BD40" s="950">
        <v>0.24405977999999998</v>
      </c>
      <c r="BE40" s="950">
        <v>0.25227676999999998</v>
      </c>
      <c r="BF40" s="950">
        <v>0.24375025</v>
      </c>
      <c r="BG40" s="951">
        <v>0.35830021000000001</v>
      </c>
      <c r="BH40" s="999">
        <v>0.35419796999999997</v>
      </c>
      <c r="BI40" s="994">
        <v>0.36119773999999999</v>
      </c>
      <c r="BJ40" s="994">
        <v>0.36235640999999996</v>
      </c>
      <c r="BK40" s="994">
        <v>0.39989142</v>
      </c>
      <c r="BL40" s="994">
        <v>0.39846996999999995</v>
      </c>
      <c r="BM40" s="994">
        <v>0.33978878999999995</v>
      </c>
      <c r="BN40" s="994">
        <v>0.36381722999999999</v>
      </c>
      <c r="BO40" s="994">
        <v>2.54297269</v>
      </c>
      <c r="BP40" s="994">
        <v>2.2374503699999999</v>
      </c>
      <c r="BQ40" s="994">
        <v>2.0874465099999999</v>
      </c>
      <c r="BR40" s="994">
        <v>1.8746427999999999</v>
      </c>
      <c r="BS40" s="994">
        <v>1.4887859900000002</v>
      </c>
      <c r="BT40" s="994">
        <v>1.2045232000000001</v>
      </c>
      <c r="BU40" s="994">
        <v>1.0837054400000001</v>
      </c>
      <c r="BV40" s="994">
        <v>0.89506249999999987</v>
      </c>
      <c r="BW40" s="994">
        <v>0.75036230000000004</v>
      </c>
      <c r="BX40" s="994">
        <v>0.57132547000000011</v>
      </c>
      <c r="BY40" s="994">
        <v>0.52914781</v>
      </c>
      <c r="BZ40" s="994">
        <v>0.63896408999999998</v>
      </c>
      <c r="CA40" s="994">
        <v>0.57437948999999999</v>
      </c>
      <c r="CB40" s="994">
        <v>0.51882867999999993</v>
      </c>
      <c r="CC40" s="994">
        <v>0.68072688000000003</v>
      </c>
      <c r="CD40" s="994">
        <v>0.52285970000000004</v>
      </c>
      <c r="CE40" s="994">
        <v>0.51437451000000001</v>
      </c>
      <c r="CF40" s="994">
        <v>0.48719140000000005</v>
      </c>
      <c r="CG40" s="994">
        <v>0.42552722000000004</v>
      </c>
      <c r="CH40" s="994">
        <v>0.39722900999999994</v>
      </c>
      <c r="CI40" s="994">
        <v>0.36940772999999999</v>
      </c>
      <c r="CJ40" s="994">
        <v>0.36653124000000004</v>
      </c>
      <c r="CK40" s="994">
        <v>0.28337787000000003</v>
      </c>
      <c r="CL40" s="994">
        <v>0.30021001000000003</v>
      </c>
      <c r="CM40" s="994">
        <v>0.28515431999999996</v>
      </c>
      <c r="CN40" s="994">
        <v>0.37293921000000008</v>
      </c>
      <c r="CO40" s="994">
        <v>0.49764842000000004</v>
      </c>
      <c r="CP40" s="994">
        <v>0.36592247</v>
      </c>
      <c r="CQ40" s="994">
        <v>0.25118241000000002</v>
      </c>
      <c r="CR40" s="994">
        <v>0.27674666999999997</v>
      </c>
      <c r="CS40" s="994">
        <v>0.27608162999999997</v>
      </c>
      <c r="CT40" s="994">
        <v>0.46219247000000002</v>
      </c>
      <c r="CU40" s="994">
        <v>0.56687575000000001</v>
      </c>
      <c r="CV40" s="994">
        <v>0.53270629000000003</v>
      </c>
      <c r="CW40" s="994">
        <v>0.60319575999999997</v>
      </c>
      <c r="CX40" s="994">
        <v>0.41461442999999998</v>
      </c>
      <c r="CY40" s="994">
        <v>0.31843502000000001</v>
      </c>
      <c r="CZ40" s="994">
        <v>0.30499907999999998</v>
      </c>
      <c r="DA40" s="994">
        <v>0.30876005000000001</v>
      </c>
      <c r="DB40" s="994">
        <v>0.42037141</v>
      </c>
      <c r="DC40" s="994">
        <v>0.40252679000000002</v>
      </c>
      <c r="DD40" s="994">
        <v>0.55342272999999997</v>
      </c>
      <c r="DE40" s="994">
        <v>0.64217281000000004</v>
      </c>
      <c r="DF40" s="994">
        <v>0.71022571000000001</v>
      </c>
      <c r="DG40" s="994">
        <v>0.64493073999999995</v>
      </c>
      <c r="DH40" s="994">
        <v>0.68237418000000005</v>
      </c>
      <c r="DI40" s="994">
        <v>0.94961397000000003</v>
      </c>
      <c r="DJ40" s="994">
        <v>0.87858758000000003</v>
      </c>
      <c r="DK40" s="994">
        <v>0.91519410000000001</v>
      </c>
      <c r="DL40" s="994">
        <v>0.96344719999999995</v>
      </c>
      <c r="DM40" s="994">
        <v>0.87638466999999998</v>
      </c>
      <c r="DN40" s="994">
        <v>0.84080500000000002</v>
      </c>
      <c r="DO40" s="994">
        <v>0.86569633999999995</v>
      </c>
      <c r="DP40" s="994">
        <v>0.72011053999999997</v>
      </c>
      <c r="DQ40" s="994">
        <v>0.74036040000000003</v>
      </c>
      <c r="DR40" s="994">
        <v>0.78825100999999997</v>
      </c>
      <c r="DS40" s="994">
        <v>0.71948924999999997</v>
      </c>
      <c r="DT40" s="994">
        <v>0.75144358</v>
      </c>
      <c r="DU40" s="994">
        <v>0.65806865999999997</v>
      </c>
      <c r="DV40" s="994">
        <v>0.75942299000000002</v>
      </c>
      <c r="DW40" s="994">
        <v>0.78439424000000002</v>
      </c>
      <c r="DX40" s="994">
        <v>0.84094745000000004</v>
      </c>
      <c r="DY40" s="994">
        <v>0.87639286000000005</v>
      </c>
      <c r="DZ40" s="994">
        <v>0.93074446</v>
      </c>
      <c r="EA40" s="994">
        <v>1.1749112399999999</v>
      </c>
      <c r="EB40" s="994">
        <v>1.0346146899999999</v>
      </c>
      <c r="EC40" s="994">
        <v>0.97046854000000005</v>
      </c>
      <c r="ED40" s="994">
        <v>0.79904686000000003</v>
      </c>
      <c r="EE40" s="994">
        <v>0.84896824000000004</v>
      </c>
    </row>
    <row r="41" spans="1:135" ht="19.8">
      <c r="A41" s="952" t="s">
        <v>2818</v>
      </c>
      <c r="B41" s="945">
        <v>5.8456962900000002</v>
      </c>
      <c r="C41" s="945">
        <v>11.641728110000001</v>
      </c>
      <c r="D41" s="945">
        <v>11.7986714</v>
      </c>
      <c r="E41" s="945">
        <v>11.528846189999999</v>
      </c>
      <c r="F41" s="945">
        <v>12.642920699999999</v>
      </c>
      <c r="G41" s="945">
        <v>12.418843679999998</v>
      </c>
      <c r="H41" s="945">
        <v>12.69945442</v>
      </c>
      <c r="I41" s="945">
        <v>12.14054653</v>
      </c>
      <c r="J41" s="945">
        <v>11.87837206</v>
      </c>
      <c r="K41" s="945">
        <v>12.909481400000001</v>
      </c>
      <c r="L41" s="945">
        <v>14.622503099999999</v>
      </c>
      <c r="M41" s="946">
        <v>17.463360510000001</v>
      </c>
      <c r="N41" s="946">
        <v>18.227402000000001</v>
      </c>
      <c r="O41" s="946">
        <v>19.243801899999998</v>
      </c>
      <c r="P41" s="946">
        <v>19.956937660000001</v>
      </c>
      <c r="Q41" s="946">
        <v>21.895244680000001</v>
      </c>
      <c r="R41" s="946">
        <v>22.407884060000001</v>
      </c>
      <c r="S41" s="946">
        <v>23.435352459999997</v>
      </c>
      <c r="T41" s="946">
        <v>23.888962599999999</v>
      </c>
      <c r="U41" s="946">
        <v>23.777534170000003</v>
      </c>
      <c r="V41" s="946">
        <v>22.104970219999998</v>
      </c>
      <c r="W41" s="946">
        <v>22.926018829999997</v>
      </c>
      <c r="X41" s="946">
        <v>19.831526539999999</v>
      </c>
      <c r="Y41" s="946">
        <v>16.25520105</v>
      </c>
      <c r="Z41" s="946">
        <v>17.8761446</v>
      </c>
      <c r="AA41" s="946">
        <v>24.85120925</v>
      </c>
      <c r="AB41" s="946">
        <v>24.912655430000001</v>
      </c>
      <c r="AC41" s="946">
        <v>23.103572600000003</v>
      </c>
      <c r="AD41" s="946">
        <v>16.729958960000001</v>
      </c>
      <c r="AE41" s="946">
        <v>15.625813689999999</v>
      </c>
      <c r="AF41" s="946">
        <v>13.662674119999998</v>
      </c>
      <c r="AG41" s="946">
        <v>9.2629029700000007</v>
      </c>
      <c r="AH41" s="946">
        <v>8.2040035000000007</v>
      </c>
      <c r="AI41" s="946">
        <v>7.1197514800000006</v>
      </c>
      <c r="AJ41" s="946">
        <v>5.9400475199999994</v>
      </c>
      <c r="AK41" s="946">
        <v>8.1816562400000006</v>
      </c>
      <c r="AL41" s="946">
        <v>6.9794332699999995</v>
      </c>
      <c r="AM41" s="946">
        <v>5.3034782400000005</v>
      </c>
      <c r="AN41" s="946">
        <v>6.2810444699999994</v>
      </c>
      <c r="AO41" s="946">
        <v>7.7013336199999998</v>
      </c>
      <c r="AP41" s="946">
        <v>7.2386184099999999</v>
      </c>
      <c r="AQ41" s="946">
        <v>6.55026463</v>
      </c>
      <c r="AR41" s="946">
        <v>7.8653235300000004</v>
      </c>
      <c r="AS41" s="946">
        <v>7.3642977900000002</v>
      </c>
      <c r="AT41" s="946">
        <v>7.1553115999999992</v>
      </c>
      <c r="AU41" s="946">
        <v>7.6251227199999994</v>
      </c>
      <c r="AV41" s="946">
        <v>7.7161766299999996</v>
      </c>
      <c r="AW41" s="946">
        <v>8.0982421999999996</v>
      </c>
      <c r="AX41" s="946">
        <v>8.44990548</v>
      </c>
      <c r="AY41" s="946">
        <v>7.1245930199999998</v>
      </c>
      <c r="AZ41" s="946">
        <v>7.2635064400000005</v>
      </c>
      <c r="BA41" s="946">
        <v>9.4091806399999989</v>
      </c>
      <c r="BB41" s="946">
        <v>8.1711611099999999</v>
      </c>
      <c r="BC41" s="946">
        <v>8.8343874399999986</v>
      </c>
      <c r="BD41" s="946">
        <v>9.3302172799999994</v>
      </c>
      <c r="BE41" s="946">
        <v>10.904056970000001</v>
      </c>
      <c r="BF41" s="946">
        <v>11.579935800000001</v>
      </c>
      <c r="BG41" s="947">
        <v>11.490849019999999</v>
      </c>
      <c r="BH41" s="998">
        <v>10.28794038</v>
      </c>
      <c r="BI41" s="993">
        <v>9.9360364800000003</v>
      </c>
      <c r="BJ41" s="993">
        <v>10.2567837</v>
      </c>
      <c r="BK41" s="993">
        <v>9.8484997300000003</v>
      </c>
      <c r="BL41" s="993">
        <v>10.009957369999999</v>
      </c>
      <c r="BM41" s="993">
        <v>8.7690910199999994</v>
      </c>
      <c r="BN41" s="993">
        <v>8.7050275900000003</v>
      </c>
      <c r="BO41" s="993">
        <v>8.5850033299999993</v>
      </c>
      <c r="BP41" s="993">
        <v>8.0071247200000002</v>
      </c>
      <c r="BQ41" s="993">
        <v>8.0900523300000007</v>
      </c>
      <c r="BR41" s="993">
        <v>6.5080206500000006</v>
      </c>
      <c r="BS41" s="993">
        <v>7.7243724500000006</v>
      </c>
      <c r="BT41" s="993">
        <v>7.5878137199999998</v>
      </c>
      <c r="BU41" s="993">
        <v>7.3052534600000003</v>
      </c>
      <c r="BV41" s="993">
        <v>8.9965813400000005</v>
      </c>
      <c r="BW41" s="993">
        <v>9.1421620800000003</v>
      </c>
      <c r="BX41" s="993">
        <v>7.4082468300000004</v>
      </c>
      <c r="BY41" s="993">
        <v>6.9190941600000002</v>
      </c>
      <c r="BZ41" s="993">
        <v>7.2253165900000003</v>
      </c>
      <c r="CA41" s="993">
        <v>7.0666413800000001</v>
      </c>
      <c r="CB41" s="993">
        <v>7.3574147400000003</v>
      </c>
      <c r="CC41" s="993">
        <v>8.5956423100000006</v>
      </c>
      <c r="CD41" s="993">
        <v>10.40441992</v>
      </c>
      <c r="CE41" s="993">
        <v>9.9859854900000009</v>
      </c>
      <c r="CF41" s="993">
        <v>9.1100718000000001</v>
      </c>
      <c r="CG41" s="993">
        <v>7.8570524299999995</v>
      </c>
      <c r="CH41" s="993">
        <v>7.17674769</v>
      </c>
      <c r="CI41" s="993">
        <v>7.0352918099999995</v>
      </c>
      <c r="CJ41" s="993">
        <v>4.3038112399999999</v>
      </c>
      <c r="CK41" s="993">
        <v>4.06156922</v>
      </c>
      <c r="CL41" s="993">
        <v>4.4104561100000002</v>
      </c>
      <c r="CM41" s="993">
        <v>3.43361436</v>
      </c>
      <c r="CN41" s="993">
        <v>2.3866094700000002</v>
      </c>
      <c r="CO41" s="993">
        <v>6.3576695599999997</v>
      </c>
      <c r="CP41" s="993">
        <v>10.42170737</v>
      </c>
      <c r="CQ41" s="993">
        <v>9.9682035999999989</v>
      </c>
      <c r="CR41" s="993">
        <v>8.9338484200000003</v>
      </c>
      <c r="CS41" s="993">
        <v>7.5665558200000005</v>
      </c>
      <c r="CT41" s="993">
        <v>6.5650010999999999</v>
      </c>
      <c r="CU41" s="993">
        <v>5.6161246199999999</v>
      </c>
      <c r="CV41" s="993">
        <v>6.4903774700000003</v>
      </c>
      <c r="CW41" s="993">
        <v>6.2705032100000002</v>
      </c>
      <c r="CX41" s="993">
        <v>6.0261546800000003</v>
      </c>
      <c r="CY41" s="993">
        <v>5.8797332100000004</v>
      </c>
      <c r="CZ41" s="993">
        <v>6.0827555899999997</v>
      </c>
      <c r="DA41" s="993">
        <v>10.788874460000001</v>
      </c>
      <c r="DB41" s="993">
        <v>13.221831440000001</v>
      </c>
      <c r="DC41" s="993">
        <v>13.94613073</v>
      </c>
      <c r="DD41" s="993">
        <v>11.53019216</v>
      </c>
      <c r="DE41" s="993">
        <v>9.4727990500000008</v>
      </c>
      <c r="DF41" s="993">
        <v>8.1273966800000004</v>
      </c>
      <c r="DG41" s="993">
        <v>9.8421134000000006</v>
      </c>
      <c r="DH41" s="993">
        <v>9.6585899000000008</v>
      </c>
      <c r="DI41" s="993">
        <v>9.6012151600000006</v>
      </c>
      <c r="DJ41" s="993">
        <v>9.2292090699999996</v>
      </c>
      <c r="DK41" s="993">
        <v>7.2927833800000004</v>
      </c>
      <c r="DL41" s="993">
        <v>7.7583772</v>
      </c>
      <c r="DM41" s="993">
        <v>12.2240144</v>
      </c>
      <c r="DN41" s="993">
        <v>12.24632744</v>
      </c>
      <c r="DO41" s="993">
        <v>12.957733380000001</v>
      </c>
      <c r="DP41" s="993">
        <v>12.13351653</v>
      </c>
      <c r="DQ41" s="993">
        <v>14.44447188</v>
      </c>
      <c r="DR41" s="993">
        <v>13.179296320000001</v>
      </c>
      <c r="DS41" s="993">
        <v>12.21066291</v>
      </c>
      <c r="DT41" s="993">
        <v>11.03931246</v>
      </c>
      <c r="DU41" s="993">
        <v>9.23354344</v>
      </c>
      <c r="DV41" s="993">
        <v>12.36248337</v>
      </c>
      <c r="DW41" s="993">
        <v>8.8667041500000003</v>
      </c>
      <c r="DX41" s="993">
        <v>6.4418602299999996</v>
      </c>
      <c r="DY41" s="993">
        <v>11.20906695</v>
      </c>
      <c r="DZ41" s="993">
        <v>16.196677170000001</v>
      </c>
      <c r="EA41" s="993">
        <v>16.12896439</v>
      </c>
      <c r="EB41" s="993">
        <v>18.308585770000001</v>
      </c>
      <c r="EC41" s="993">
        <v>17.746443559999999</v>
      </c>
      <c r="ED41" s="993">
        <v>13.48008903</v>
      </c>
      <c r="EE41" s="993">
        <v>12.806562530000001</v>
      </c>
    </row>
    <row r="42" spans="1:135" ht="19.8">
      <c r="A42" s="948" t="s">
        <v>2046</v>
      </c>
      <c r="B42" s="949">
        <v>0.74496059999999997</v>
      </c>
      <c r="C42" s="949">
        <v>0.62480106000000002</v>
      </c>
      <c r="D42" s="949">
        <v>0.77256924000000005</v>
      </c>
      <c r="E42" s="949">
        <v>0.87989472000000002</v>
      </c>
      <c r="F42" s="949">
        <v>0.96379518000000008</v>
      </c>
      <c r="G42" s="949">
        <v>0.11327276</v>
      </c>
      <c r="H42" s="949">
        <v>0</v>
      </c>
      <c r="I42" s="949">
        <v>0</v>
      </c>
      <c r="J42" s="949">
        <v>0</v>
      </c>
      <c r="K42" s="949">
        <v>0</v>
      </c>
      <c r="L42" s="949">
        <v>0</v>
      </c>
      <c r="M42" s="950">
        <v>0</v>
      </c>
      <c r="N42" s="950">
        <v>0</v>
      </c>
      <c r="O42" s="950">
        <v>0</v>
      </c>
      <c r="P42" s="950">
        <v>0</v>
      </c>
      <c r="Q42" s="950">
        <v>3.5293499999999998E-2</v>
      </c>
      <c r="R42" s="950">
        <v>3.9218379999999997E-2</v>
      </c>
      <c r="S42" s="950">
        <v>5.4113959999999996E-2</v>
      </c>
      <c r="T42" s="950">
        <v>5.5675459999999996E-2</v>
      </c>
      <c r="U42" s="950">
        <v>5.7650660000000006E-2</v>
      </c>
      <c r="V42" s="950">
        <v>0.10469941000000001</v>
      </c>
      <c r="W42" s="950">
        <v>0</v>
      </c>
      <c r="X42" s="950">
        <v>0</v>
      </c>
      <c r="Y42" s="950">
        <v>0</v>
      </c>
      <c r="Z42" s="950">
        <v>0</v>
      </c>
      <c r="AA42" s="950">
        <v>0</v>
      </c>
      <c r="AB42" s="950">
        <v>0</v>
      </c>
      <c r="AC42" s="950">
        <v>0</v>
      </c>
      <c r="AD42" s="950">
        <v>0</v>
      </c>
      <c r="AE42" s="950">
        <v>0</v>
      </c>
      <c r="AF42" s="950">
        <v>0</v>
      </c>
      <c r="AG42" s="950">
        <v>0</v>
      </c>
      <c r="AH42" s="950">
        <v>0</v>
      </c>
      <c r="AI42" s="950">
        <v>0</v>
      </c>
      <c r="AJ42" s="950">
        <v>0</v>
      </c>
      <c r="AK42" s="950">
        <v>0</v>
      </c>
      <c r="AL42" s="950">
        <v>0</v>
      </c>
      <c r="AM42" s="950">
        <v>0</v>
      </c>
      <c r="AN42" s="950">
        <v>0</v>
      </c>
      <c r="AO42" s="950">
        <v>0</v>
      </c>
      <c r="AP42" s="950">
        <v>0</v>
      </c>
      <c r="AQ42" s="950">
        <v>0</v>
      </c>
      <c r="AR42" s="950">
        <v>0</v>
      </c>
      <c r="AS42" s="950">
        <v>0</v>
      </c>
      <c r="AT42" s="950">
        <v>0</v>
      </c>
      <c r="AU42" s="950">
        <v>0</v>
      </c>
      <c r="AV42" s="950">
        <v>0</v>
      </c>
      <c r="AW42" s="950">
        <v>0.22310820000000001</v>
      </c>
      <c r="AX42" s="950">
        <v>0.241479</v>
      </c>
      <c r="AY42" s="950">
        <v>0.22018499999999999</v>
      </c>
      <c r="AZ42" s="950">
        <v>0.17227948999999998</v>
      </c>
      <c r="BA42" s="950">
        <v>0.14666652999999999</v>
      </c>
      <c r="BB42" s="950">
        <v>0</v>
      </c>
      <c r="BC42" s="950">
        <v>0</v>
      </c>
      <c r="BD42" s="950">
        <v>0</v>
      </c>
      <c r="BE42" s="950">
        <v>0</v>
      </c>
      <c r="BF42" s="950">
        <v>0</v>
      </c>
      <c r="BG42" s="951">
        <v>0</v>
      </c>
      <c r="BH42" s="999">
        <v>0</v>
      </c>
      <c r="BI42" s="994">
        <v>0</v>
      </c>
      <c r="BJ42" s="994">
        <v>0</v>
      </c>
      <c r="BK42" s="994">
        <v>0</v>
      </c>
      <c r="BL42" s="994">
        <v>0</v>
      </c>
      <c r="BM42" s="994">
        <v>0</v>
      </c>
      <c r="BN42" s="994">
        <v>0</v>
      </c>
      <c r="BO42" s="994">
        <v>0</v>
      </c>
      <c r="BP42" s="994">
        <v>0</v>
      </c>
      <c r="BQ42" s="994">
        <v>0</v>
      </c>
      <c r="BR42" s="994">
        <v>0</v>
      </c>
      <c r="BS42" s="994">
        <v>0</v>
      </c>
      <c r="BT42" s="994">
        <v>0</v>
      </c>
      <c r="BU42" s="994">
        <v>0</v>
      </c>
      <c r="BV42" s="994">
        <v>0</v>
      </c>
      <c r="BW42" s="994">
        <v>0</v>
      </c>
      <c r="BX42" s="994">
        <v>0</v>
      </c>
      <c r="BY42" s="994">
        <v>0</v>
      </c>
      <c r="BZ42" s="994">
        <v>0</v>
      </c>
      <c r="CA42" s="994">
        <v>0</v>
      </c>
      <c r="CB42" s="994">
        <v>0</v>
      </c>
      <c r="CC42" s="994">
        <v>0</v>
      </c>
      <c r="CD42" s="994">
        <v>0</v>
      </c>
      <c r="CE42" s="994">
        <v>0</v>
      </c>
      <c r="CF42" s="994">
        <v>0</v>
      </c>
      <c r="CG42" s="994">
        <v>0</v>
      </c>
      <c r="CH42" s="994">
        <v>0</v>
      </c>
      <c r="CI42" s="994">
        <v>0</v>
      </c>
      <c r="CJ42" s="994">
        <v>0</v>
      </c>
      <c r="CK42" s="994">
        <v>0</v>
      </c>
      <c r="CL42" s="994">
        <v>0</v>
      </c>
      <c r="CM42" s="994">
        <v>0</v>
      </c>
      <c r="CN42" s="994">
        <v>0</v>
      </c>
      <c r="CO42" s="994">
        <v>0</v>
      </c>
      <c r="CP42" s="994">
        <v>0</v>
      </c>
      <c r="CQ42" s="994">
        <v>0</v>
      </c>
      <c r="CR42" s="994">
        <v>0</v>
      </c>
      <c r="CS42" s="994">
        <v>0</v>
      </c>
      <c r="CT42" s="994">
        <v>0</v>
      </c>
      <c r="CU42" s="994">
        <v>0</v>
      </c>
      <c r="CV42" s="994">
        <v>0</v>
      </c>
      <c r="CW42" s="994">
        <v>0</v>
      </c>
      <c r="CX42" s="994">
        <v>0</v>
      </c>
      <c r="CY42" s="994">
        <v>0</v>
      </c>
      <c r="CZ42" s="994">
        <v>0</v>
      </c>
      <c r="DA42" s="994">
        <v>0</v>
      </c>
      <c r="DB42" s="994">
        <v>0</v>
      </c>
      <c r="DC42" s="994">
        <v>0</v>
      </c>
      <c r="DD42" s="994">
        <v>0</v>
      </c>
      <c r="DE42" s="994">
        <v>0</v>
      </c>
      <c r="DF42" s="994">
        <v>0</v>
      </c>
      <c r="DG42" s="994">
        <v>0</v>
      </c>
      <c r="DH42" s="994">
        <v>0</v>
      </c>
      <c r="DI42" s="994">
        <v>0</v>
      </c>
      <c r="DJ42" s="994">
        <v>0</v>
      </c>
      <c r="DK42" s="994">
        <v>0</v>
      </c>
      <c r="DL42" s="994">
        <v>0</v>
      </c>
      <c r="DM42" s="994">
        <v>0</v>
      </c>
      <c r="DN42" s="994">
        <v>0</v>
      </c>
      <c r="DO42" s="994">
        <v>0</v>
      </c>
      <c r="DP42" s="994">
        <v>0</v>
      </c>
      <c r="DQ42" s="994">
        <v>0</v>
      </c>
      <c r="DR42" s="994">
        <v>0</v>
      </c>
      <c r="DS42" s="994">
        <v>0</v>
      </c>
      <c r="DT42" s="994">
        <v>0</v>
      </c>
      <c r="DU42" s="994">
        <v>0</v>
      </c>
      <c r="DV42" s="994">
        <v>0</v>
      </c>
      <c r="DW42" s="994">
        <v>0</v>
      </c>
      <c r="DX42" s="994">
        <v>0</v>
      </c>
      <c r="DY42" s="994">
        <v>0</v>
      </c>
      <c r="DZ42" s="994">
        <v>0</v>
      </c>
      <c r="EA42" s="994">
        <v>0</v>
      </c>
      <c r="EB42" s="994">
        <v>0</v>
      </c>
      <c r="EC42" s="994">
        <v>0</v>
      </c>
      <c r="ED42" s="994">
        <v>0</v>
      </c>
      <c r="EE42" s="994">
        <v>0</v>
      </c>
    </row>
    <row r="43" spans="1:135" ht="19.8">
      <c r="A43" s="953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1"/>
      <c r="BH43" s="999"/>
      <c r="BI43" s="994"/>
      <c r="BJ43" s="994"/>
      <c r="BK43" s="994"/>
      <c r="BL43" s="994"/>
      <c r="BM43" s="994"/>
      <c r="BN43" s="994"/>
      <c r="BO43" s="994"/>
      <c r="BP43" s="994"/>
      <c r="BQ43" s="994"/>
      <c r="BR43" s="994"/>
      <c r="BS43" s="994"/>
      <c r="BT43" s="994"/>
      <c r="BU43" s="994"/>
      <c r="BV43" s="994"/>
      <c r="BW43" s="994"/>
      <c r="BX43" s="994"/>
      <c r="BY43" s="994"/>
      <c r="BZ43" s="994"/>
      <c r="CA43" s="994"/>
      <c r="CB43" s="994"/>
      <c r="CC43" s="994"/>
      <c r="CD43" s="994"/>
      <c r="CE43" s="994"/>
      <c r="CF43" s="994"/>
      <c r="CG43" s="994"/>
      <c r="CH43" s="994"/>
      <c r="CI43" s="994"/>
      <c r="CJ43" s="994"/>
      <c r="CK43" s="994"/>
      <c r="CL43" s="994"/>
      <c r="CM43" s="994"/>
      <c r="CN43" s="994"/>
      <c r="CO43" s="994"/>
      <c r="CP43" s="994"/>
      <c r="CQ43" s="994"/>
      <c r="CR43" s="994"/>
      <c r="CS43" s="994"/>
      <c r="CT43" s="994"/>
      <c r="CU43" s="994"/>
      <c r="CV43" s="994"/>
      <c r="CW43" s="994"/>
      <c r="CX43" s="994"/>
      <c r="CY43" s="994"/>
      <c r="CZ43" s="994"/>
      <c r="DA43" s="994"/>
      <c r="DB43" s="994"/>
      <c r="DC43" s="994"/>
      <c r="DD43" s="994"/>
      <c r="DE43" s="994"/>
      <c r="DF43" s="994"/>
      <c r="DG43" s="994"/>
      <c r="DH43" s="994"/>
      <c r="DI43" s="994"/>
      <c r="DJ43" s="994"/>
      <c r="DK43" s="994"/>
      <c r="DL43" s="994"/>
      <c r="DM43" s="994"/>
      <c r="DN43" s="994"/>
      <c r="DO43" s="994"/>
      <c r="DP43" s="994"/>
      <c r="DQ43" s="994"/>
      <c r="DR43" s="994"/>
      <c r="DS43" s="994"/>
      <c r="DT43" s="994"/>
      <c r="DU43" s="994"/>
      <c r="DV43" s="994"/>
      <c r="DW43" s="994"/>
      <c r="DX43" s="994"/>
      <c r="DY43" s="994"/>
      <c r="DZ43" s="994"/>
      <c r="EA43" s="994"/>
      <c r="EB43" s="994"/>
      <c r="EC43" s="994"/>
      <c r="ED43" s="994"/>
      <c r="EE43" s="994"/>
    </row>
    <row r="44" spans="1:135" ht="19.8">
      <c r="A44" s="944" t="s">
        <v>2819</v>
      </c>
      <c r="B44" s="945">
        <v>254.91224844000004</v>
      </c>
      <c r="C44" s="945">
        <v>336.08086899</v>
      </c>
      <c r="D44" s="945">
        <v>344.61621990000003</v>
      </c>
      <c r="E44" s="945">
        <v>351.30920232000005</v>
      </c>
      <c r="F44" s="945">
        <v>364.63253543000002</v>
      </c>
      <c r="G44" s="945">
        <v>368.45649758000002</v>
      </c>
      <c r="H44" s="945">
        <v>391.76143791999993</v>
      </c>
      <c r="I44" s="945">
        <v>404.15924959999995</v>
      </c>
      <c r="J44" s="945">
        <v>420.40139606000002</v>
      </c>
      <c r="K44" s="945">
        <v>434.07278160999999</v>
      </c>
      <c r="L44" s="945">
        <v>439.02793542999996</v>
      </c>
      <c r="M44" s="946">
        <v>458.53626041000001</v>
      </c>
      <c r="N44" s="946">
        <v>459.27021924999997</v>
      </c>
      <c r="O44" s="946">
        <v>469.52837610999995</v>
      </c>
      <c r="P44" s="946">
        <v>480.34387959999998</v>
      </c>
      <c r="Q44" s="946">
        <v>504.52229461999997</v>
      </c>
      <c r="R44" s="946">
        <v>522.15300094999998</v>
      </c>
      <c r="S44" s="946">
        <v>535.93811602000005</v>
      </c>
      <c r="T44" s="946">
        <v>549.25232406999999</v>
      </c>
      <c r="U44" s="946">
        <v>564.32817735999993</v>
      </c>
      <c r="V44" s="946">
        <v>580.20637402</v>
      </c>
      <c r="W44" s="946">
        <v>605.55513754000003</v>
      </c>
      <c r="X44" s="946">
        <v>626.59448809000003</v>
      </c>
      <c r="Y44" s="946">
        <v>648.15164330000005</v>
      </c>
      <c r="Z44" s="946">
        <v>646.00538529000005</v>
      </c>
      <c r="AA44" s="946">
        <v>732.81247062</v>
      </c>
      <c r="AB44" s="946">
        <v>716.78375733000007</v>
      </c>
      <c r="AC44" s="946">
        <v>714.17547403000003</v>
      </c>
      <c r="AD44" s="946">
        <v>714.14701046999994</v>
      </c>
      <c r="AE44" s="946">
        <v>711.01081307999993</v>
      </c>
      <c r="AF44" s="946">
        <v>721.49903562000009</v>
      </c>
      <c r="AG44" s="946">
        <v>712.5336731299999</v>
      </c>
      <c r="AH44" s="946">
        <v>701.42899364000004</v>
      </c>
      <c r="AI44" s="946">
        <v>710.08473129000004</v>
      </c>
      <c r="AJ44" s="946">
        <v>706.42468344000008</v>
      </c>
      <c r="AK44" s="946">
        <v>839.58523839999998</v>
      </c>
      <c r="AL44" s="946">
        <v>774.69465694999997</v>
      </c>
      <c r="AM44" s="946">
        <v>750.8324214700001</v>
      </c>
      <c r="AN44" s="946">
        <v>731.00484392999988</v>
      </c>
      <c r="AO44" s="946">
        <v>704.4123773</v>
      </c>
      <c r="AP44" s="946">
        <v>684.4330559</v>
      </c>
      <c r="AQ44" s="946">
        <v>684.53532829999995</v>
      </c>
      <c r="AR44" s="946">
        <v>613.43762842000001</v>
      </c>
      <c r="AS44" s="946">
        <v>616.63342840999996</v>
      </c>
      <c r="AT44" s="946">
        <v>608.41516393999996</v>
      </c>
      <c r="AU44" s="946">
        <v>595.99878790000002</v>
      </c>
      <c r="AV44" s="946">
        <v>609.40591042000005</v>
      </c>
      <c r="AW44" s="946">
        <v>619.50395245000004</v>
      </c>
      <c r="AX44" s="946">
        <v>636.27823821000004</v>
      </c>
      <c r="AY44" s="946">
        <v>589.42301175</v>
      </c>
      <c r="AZ44" s="946">
        <v>567.80593791000001</v>
      </c>
      <c r="BA44" s="946">
        <v>553.20448796999995</v>
      </c>
      <c r="BB44" s="946">
        <v>537.71068102000004</v>
      </c>
      <c r="BC44" s="946">
        <v>526.12865892000002</v>
      </c>
      <c r="BD44" s="946">
        <v>516.33496865999996</v>
      </c>
      <c r="BE44" s="946">
        <v>504.27156843</v>
      </c>
      <c r="BF44" s="946">
        <v>497.77902853000001</v>
      </c>
      <c r="BG44" s="947">
        <v>497.83431258000007</v>
      </c>
      <c r="BH44" s="998">
        <v>496.60644350999996</v>
      </c>
      <c r="BI44" s="993">
        <v>486.76452816000005</v>
      </c>
      <c r="BJ44" s="993">
        <v>478.06174126999997</v>
      </c>
      <c r="BK44" s="993">
        <v>467.39545499999997</v>
      </c>
      <c r="BL44" s="993">
        <v>460.46186316000001</v>
      </c>
      <c r="BM44" s="993">
        <v>459.25270590000002</v>
      </c>
      <c r="BN44" s="993">
        <v>455.76357720999999</v>
      </c>
      <c r="BO44" s="993">
        <v>456.01525992000001</v>
      </c>
      <c r="BP44" s="993">
        <v>450.55377052</v>
      </c>
      <c r="BQ44" s="993">
        <v>453.03435495999997</v>
      </c>
      <c r="BR44" s="993">
        <v>451.15864266999995</v>
      </c>
      <c r="BS44" s="993">
        <v>459.31252555000003</v>
      </c>
      <c r="BT44" s="993">
        <v>463.80561921999998</v>
      </c>
      <c r="BU44" s="993">
        <v>467.11091258000005</v>
      </c>
      <c r="BV44" s="993">
        <v>460.49612428</v>
      </c>
      <c r="BW44" s="993">
        <v>460.40156905000003</v>
      </c>
      <c r="BX44" s="993">
        <v>455.67001815999998</v>
      </c>
      <c r="BY44" s="993">
        <v>464.51221828000001</v>
      </c>
      <c r="BZ44" s="993">
        <v>469.49392057</v>
      </c>
      <c r="CA44" s="993">
        <v>470.72299055999997</v>
      </c>
      <c r="CB44" s="993">
        <v>471.53276241000003</v>
      </c>
      <c r="CC44" s="993">
        <v>485.95193548000009</v>
      </c>
      <c r="CD44" s="993">
        <v>514.35902352999994</v>
      </c>
      <c r="CE44" s="993">
        <v>537.96682145</v>
      </c>
      <c r="CF44" s="993">
        <v>562.27635996000004</v>
      </c>
      <c r="CG44" s="993">
        <v>582.66392840000003</v>
      </c>
      <c r="CH44" s="993">
        <v>599.86841015000005</v>
      </c>
      <c r="CI44" s="993">
        <v>631.58087638000006</v>
      </c>
      <c r="CJ44" s="993">
        <v>640.75749416999997</v>
      </c>
      <c r="CK44" s="993">
        <v>624.70181091999984</v>
      </c>
      <c r="CL44" s="993">
        <v>625.07626111000002</v>
      </c>
      <c r="CM44" s="993">
        <v>640.12589619999994</v>
      </c>
      <c r="CN44" s="993">
        <v>655.16499750000014</v>
      </c>
      <c r="CO44" s="993">
        <v>690.02043420999996</v>
      </c>
      <c r="CP44" s="993">
        <v>734.83067288999996</v>
      </c>
      <c r="CQ44" s="993">
        <v>748.26118393000013</v>
      </c>
      <c r="CR44" s="993">
        <v>763.14488310000002</v>
      </c>
      <c r="CS44" s="993">
        <v>780.95665246999999</v>
      </c>
      <c r="CT44" s="993">
        <v>803.23198867999997</v>
      </c>
      <c r="CU44" s="993">
        <v>845.35869241</v>
      </c>
      <c r="CV44" s="993">
        <v>880.51343086999998</v>
      </c>
      <c r="CW44" s="993">
        <v>935.26871000999995</v>
      </c>
      <c r="CX44" s="993">
        <v>972.01405670999998</v>
      </c>
      <c r="CY44" s="993">
        <v>1021.9802797900001</v>
      </c>
      <c r="CZ44" s="993">
        <v>1059.5465320999999</v>
      </c>
      <c r="DA44" s="993">
        <v>1102.0599028700001</v>
      </c>
      <c r="DB44" s="993">
        <v>1156.16613504</v>
      </c>
      <c r="DC44" s="993">
        <v>1211.3834116099999</v>
      </c>
      <c r="DD44" s="993">
        <v>1267.0245228199999</v>
      </c>
      <c r="DE44" s="993">
        <v>1360.3121243600001</v>
      </c>
      <c r="DF44" s="993">
        <v>1384.0581138299999</v>
      </c>
      <c r="DG44" s="993">
        <v>1423.5684340299999</v>
      </c>
      <c r="DH44" s="993">
        <v>1463.2460495</v>
      </c>
      <c r="DI44" s="993">
        <v>1527.2283693700001</v>
      </c>
      <c r="DJ44" s="993">
        <v>1579.68942573</v>
      </c>
      <c r="DK44" s="993">
        <v>1643.0052079</v>
      </c>
      <c r="DL44" s="993">
        <v>1673.52670358</v>
      </c>
      <c r="DM44" s="993">
        <v>1734.4449702500001</v>
      </c>
      <c r="DN44" s="993">
        <v>1824.96572739</v>
      </c>
      <c r="DO44" s="993">
        <v>1881.8345353899999</v>
      </c>
      <c r="DP44" s="993">
        <v>1928.8872992900001</v>
      </c>
      <c r="DQ44" s="993">
        <v>1999.0520908200001</v>
      </c>
      <c r="DR44" s="993">
        <v>2030.0206968099999</v>
      </c>
      <c r="DS44" s="993">
        <v>2072.7992411800001</v>
      </c>
      <c r="DT44" s="993">
        <v>2125.70706445</v>
      </c>
      <c r="DU44" s="993">
        <v>2212.4322145599999</v>
      </c>
      <c r="DV44" s="993">
        <v>2282.3614816499999</v>
      </c>
      <c r="DW44" s="993">
        <v>2357.1945209300002</v>
      </c>
      <c r="DX44" s="993">
        <v>2400.3719115200001</v>
      </c>
      <c r="DY44" s="993">
        <v>2477.97588073</v>
      </c>
      <c r="DZ44" s="993">
        <v>2544.1163253499999</v>
      </c>
      <c r="EA44" s="993">
        <v>2601.7727856400002</v>
      </c>
      <c r="EB44" s="993">
        <v>2670.1011762600001</v>
      </c>
      <c r="EC44" s="993">
        <v>2740.8647605599999</v>
      </c>
      <c r="ED44" s="993">
        <v>2762.3312279199999</v>
      </c>
      <c r="EE44" s="993">
        <v>2822.0341669600002</v>
      </c>
    </row>
    <row r="45" spans="1:135" ht="19.8">
      <c r="A45" s="948" t="s">
        <v>2046</v>
      </c>
      <c r="B45" s="949">
        <v>0.13108032</v>
      </c>
      <c r="C45" s="949">
        <v>2.7783799899999999</v>
      </c>
      <c r="D45" s="949">
        <v>2.6203197600000001</v>
      </c>
      <c r="E45" s="949">
        <v>2.6593602400000003</v>
      </c>
      <c r="F45" s="949">
        <v>3.05872257</v>
      </c>
      <c r="G45" s="949">
        <v>2.9994339999999999</v>
      </c>
      <c r="H45" s="949">
        <v>2.7801518700000001</v>
      </c>
      <c r="I45" s="949">
        <v>2.8462409900000001</v>
      </c>
      <c r="J45" s="949">
        <v>3.2415905399999998</v>
      </c>
      <c r="K45" s="949">
        <v>3.37330291</v>
      </c>
      <c r="L45" s="949">
        <v>3.3361808699999997</v>
      </c>
      <c r="M45" s="950">
        <v>3.5118721100000001</v>
      </c>
      <c r="N45" s="950">
        <v>3.3651053999999996</v>
      </c>
      <c r="O45" s="950">
        <v>3.5014470299999996</v>
      </c>
      <c r="P45" s="950">
        <v>3.3817613900000003</v>
      </c>
      <c r="Q45" s="950">
        <v>3.7770272000000005</v>
      </c>
      <c r="R45" s="950">
        <v>3.8229890200000001</v>
      </c>
      <c r="S45" s="950">
        <v>3.8948274700000001</v>
      </c>
      <c r="T45" s="950">
        <v>3.6312510699999998</v>
      </c>
      <c r="U45" s="950">
        <v>3.73416039</v>
      </c>
      <c r="V45" s="950">
        <v>4.1289160699999998</v>
      </c>
      <c r="W45" s="950">
        <v>0.56497395000000006</v>
      </c>
      <c r="X45" s="950">
        <v>0.61336134000000009</v>
      </c>
      <c r="Y45" s="950">
        <v>0.56913939999999996</v>
      </c>
      <c r="Z45" s="950">
        <v>0.61198116000000002</v>
      </c>
      <c r="AA45" s="950">
        <v>0.79337811999999996</v>
      </c>
      <c r="AB45" s="950">
        <v>0.7642253200000001</v>
      </c>
      <c r="AC45" s="950">
        <v>0.74185915999999996</v>
      </c>
      <c r="AD45" s="950">
        <v>0.82446678000000007</v>
      </c>
      <c r="AE45" s="950">
        <v>0.79770414999999995</v>
      </c>
      <c r="AF45" s="950">
        <v>0.77796043000000004</v>
      </c>
      <c r="AG45" s="950">
        <v>0.72905710999999995</v>
      </c>
      <c r="AH45" s="950">
        <v>0.70518155000000005</v>
      </c>
      <c r="AI45" s="950">
        <v>0.67891301999999998</v>
      </c>
      <c r="AJ45" s="950">
        <v>0.66320383999999999</v>
      </c>
      <c r="AK45" s="950">
        <v>1.1284507100000001</v>
      </c>
      <c r="AL45" s="950">
        <v>1.0712188300000001</v>
      </c>
      <c r="AM45" s="950">
        <v>1.0636267799999999</v>
      </c>
      <c r="AN45" s="950">
        <v>1.02917872</v>
      </c>
      <c r="AO45" s="950">
        <v>0.96241662000000006</v>
      </c>
      <c r="AP45" s="950">
        <v>0.93761779999999995</v>
      </c>
      <c r="AQ45" s="950">
        <v>0.94433476000000005</v>
      </c>
      <c r="AR45" s="950">
        <v>0.95064019</v>
      </c>
      <c r="AS45" s="950">
        <v>0.95425682000000001</v>
      </c>
      <c r="AT45" s="950">
        <v>0.92751340999999998</v>
      </c>
      <c r="AU45" s="950">
        <v>0.91075415999999998</v>
      </c>
      <c r="AV45" s="950">
        <v>1.4081505799999998</v>
      </c>
      <c r="AW45" s="950">
        <v>1.2141010599999997</v>
      </c>
      <c r="AX45" s="950">
        <v>1.4186940300000002</v>
      </c>
      <c r="AY45" s="950">
        <v>1.2853066800000001</v>
      </c>
      <c r="AZ45" s="950">
        <v>1.2496700200000002</v>
      </c>
      <c r="BA45" s="950">
        <v>1.2119621199999999</v>
      </c>
      <c r="BB45" s="950">
        <v>1.68229918</v>
      </c>
      <c r="BC45" s="950">
        <v>1.7709711800000001</v>
      </c>
      <c r="BD45" s="950">
        <v>1.89478444</v>
      </c>
      <c r="BE45" s="950">
        <v>1.84956177</v>
      </c>
      <c r="BF45" s="950">
        <v>1.8097430000000001</v>
      </c>
      <c r="BG45" s="951">
        <v>1.8927597599999997</v>
      </c>
      <c r="BH45" s="999">
        <v>1.8506247199999999</v>
      </c>
      <c r="BI45" s="994">
        <v>2.0531439200000001</v>
      </c>
      <c r="BJ45" s="994">
        <v>2.0136400000000001</v>
      </c>
      <c r="BK45" s="994">
        <v>2.0379183699999999</v>
      </c>
      <c r="BL45" s="994">
        <v>2.0149176799999999</v>
      </c>
      <c r="BM45" s="994">
        <v>2.2387650299999997</v>
      </c>
      <c r="BN45" s="994">
        <v>2.2106121600000002</v>
      </c>
      <c r="BO45" s="994">
        <v>2.1838973099999999</v>
      </c>
      <c r="BP45" s="994">
        <v>2.1675853800000002</v>
      </c>
      <c r="BQ45" s="994">
        <v>2.1416406499999998</v>
      </c>
      <c r="BR45" s="994">
        <v>2.1171660599999997</v>
      </c>
      <c r="BS45" s="994">
        <v>2.0787803299999998</v>
      </c>
      <c r="BT45" s="994">
        <v>2.1238464100000001</v>
      </c>
      <c r="BU45" s="994">
        <v>2.0967998200000002</v>
      </c>
      <c r="BV45" s="994">
        <v>2.07507968</v>
      </c>
      <c r="BW45" s="994">
        <v>2.4379778999999999</v>
      </c>
      <c r="BX45" s="994">
        <v>2.6076961399999998</v>
      </c>
      <c r="BY45" s="994">
        <v>2.56409815</v>
      </c>
      <c r="BZ45" s="994">
        <v>2.55059755</v>
      </c>
      <c r="CA45" s="994">
        <v>2.5733717499999997</v>
      </c>
      <c r="CB45" s="994">
        <v>2.6054126700000002</v>
      </c>
      <c r="CC45" s="994">
        <v>2.59669382</v>
      </c>
      <c r="CD45" s="994">
        <v>2.6993103899999999</v>
      </c>
      <c r="CE45" s="994">
        <v>2.7518784100000002</v>
      </c>
      <c r="CF45" s="994">
        <v>2.8132330200000002</v>
      </c>
      <c r="CG45" s="994">
        <v>2.8369794800000001</v>
      </c>
      <c r="CH45" s="994">
        <v>3.0027530499999999</v>
      </c>
      <c r="CI45" s="994">
        <v>3.1153031499999999</v>
      </c>
      <c r="CJ45" s="994">
        <v>2.1614582599999999</v>
      </c>
      <c r="CK45" s="994">
        <v>2.1099926399999998</v>
      </c>
      <c r="CL45" s="994">
        <v>1.9451714500000001</v>
      </c>
      <c r="CM45" s="994">
        <v>1.8613330800000001</v>
      </c>
      <c r="CN45" s="994">
        <v>1.8413788800000002</v>
      </c>
      <c r="CO45" s="994">
        <v>1.9304636099999999</v>
      </c>
      <c r="CP45" s="994">
        <v>2.0489393300000001</v>
      </c>
      <c r="CQ45" s="994">
        <v>2.2315318099999999</v>
      </c>
      <c r="CR45" s="994">
        <v>2.4746140699999999</v>
      </c>
      <c r="CS45" s="994">
        <v>2.6678929</v>
      </c>
      <c r="CT45" s="994">
        <v>2.6860783399999999</v>
      </c>
      <c r="CU45" s="994">
        <v>2.8197865800000002</v>
      </c>
      <c r="CV45" s="994">
        <v>2.8482472599999999</v>
      </c>
      <c r="CW45" s="994">
        <v>3.1984155900000002</v>
      </c>
      <c r="CX45" s="994">
        <v>3.6509966899999999</v>
      </c>
      <c r="CY45" s="994">
        <v>4.1925488099999999</v>
      </c>
      <c r="CZ45" s="994">
        <v>4.1116676500000002</v>
      </c>
      <c r="DA45" s="994">
        <v>4.2923157500000002</v>
      </c>
      <c r="DB45" s="994">
        <v>4.7927179400000002</v>
      </c>
      <c r="DC45" s="994">
        <v>4.7569175899999996</v>
      </c>
      <c r="DD45" s="994">
        <v>4.4105267599999998</v>
      </c>
      <c r="DE45" s="994">
        <v>4.4311057900000002</v>
      </c>
      <c r="DF45" s="994">
        <v>4.3453763800000003</v>
      </c>
      <c r="DG45" s="994">
        <v>4.4748686700000002</v>
      </c>
      <c r="DH45" s="994">
        <v>4.5794012899999998</v>
      </c>
      <c r="DI45" s="994">
        <v>5.0454184099999999</v>
      </c>
      <c r="DJ45" s="994">
        <v>4.9127252800000001</v>
      </c>
      <c r="DK45" s="994">
        <v>4.8213111099999999</v>
      </c>
      <c r="DL45" s="994">
        <v>4.8841485200000001</v>
      </c>
      <c r="DM45" s="994">
        <v>4.5110881899999997</v>
      </c>
      <c r="DN45" s="994">
        <v>5.0157098700000002</v>
      </c>
      <c r="DO45" s="994">
        <v>4.9999448600000003</v>
      </c>
      <c r="DP45" s="994">
        <v>4.9547945100000002</v>
      </c>
      <c r="DQ45" s="994">
        <v>5.2702261300000002</v>
      </c>
      <c r="DR45" s="994">
        <v>5.4359837899999999</v>
      </c>
      <c r="DS45" s="994">
        <v>5.5593522699999998</v>
      </c>
      <c r="DT45" s="994">
        <v>6.0361530800000001</v>
      </c>
      <c r="DU45" s="994">
        <v>6.4973474700000002</v>
      </c>
      <c r="DV45" s="994">
        <v>6.6789757099999996</v>
      </c>
      <c r="DW45" s="994">
        <v>6.9023165500000001</v>
      </c>
      <c r="DX45" s="994">
        <v>7.0183688200000001</v>
      </c>
      <c r="DY45" s="994">
        <v>7.4097378599999999</v>
      </c>
      <c r="DZ45" s="994">
        <v>7.4076073999999998</v>
      </c>
      <c r="EA45" s="994">
        <v>7.8346649299999997</v>
      </c>
      <c r="EB45" s="994">
        <v>7.7882781899999998</v>
      </c>
      <c r="EC45" s="994">
        <v>8.2024461899999999</v>
      </c>
      <c r="ED45" s="994">
        <v>7.8983919</v>
      </c>
      <c r="EE45" s="994">
        <v>8.3456652800000004</v>
      </c>
    </row>
    <row r="46" spans="1:135" ht="19.8">
      <c r="A46" s="952" t="s">
        <v>189</v>
      </c>
      <c r="B46" s="945">
        <v>194.09190794000003</v>
      </c>
      <c r="C46" s="945">
        <v>194.93850375999997</v>
      </c>
      <c r="D46" s="945">
        <v>198.12436617</v>
      </c>
      <c r="E46" s="945">
        <v>199.30053117</v>
      </c>
      <c r="F46" s="945">
        <v>205.70900700999999</v>
      </c>
      <c r="G46" s="945">
        <v>206.57320738000001</v>
      </c>
      <c r="H46" s="945">
        <v>222.96828968999998</v>
      </c>
      <c r="I46" s="945">
        <v>228.39333905999999</v>
      </c>
      <c r="J46" s="945">
        <v>235.70850641000001</v>
      </c>
      <c r="K46" s="945">
        <v>242.76190866000002</v>
      </c>
      <c r="L46" s="945">
        <v>244.44164385999997</v>
      </c>
      <c r="M46" s="946">
        <v>259.04906238000001</v>
      </c>
      <c r="N46" s="946">
        <v>261.75945378</v>
      </c>
      <c r="O46" s="946">
        <v>266.09799297999996</v>
      </c>
      <c r="P46" s="946">
        <v>275.47307289999998</v>
      </c>
      <c r="Q46" s="946">
        <v>287.15825830999995</v>
      </c>
      <c r="R46" s="946">
        <v>295.70869255000002</v>
      </c>
      <c r="S46" s="946">
        <v>303.42727644000001</v>
      </c>
      <c r="T46" s="946">
        <v>313.58138358999997</v>
      </c>
      <c r="U46" s="946">
        <v>328.12886795999998</v>
      </c>
      <c r="V46" s="946">
        <v>337.50268732999996</v>
      </c>
      <c r="W46" s="946">
        <v>346.01852508000002</v>
      </c>
      <c r="X46" s="946">
        <v>357.35409972000002</v>
      </c>
      <c r="Y46" s="946">
        <v>363.28745099000002</v>
      </c>
      <c r="Z46" s="946">
        <v>358.83227847000001</v>
      </c>
      <c r="AA46" s="946">
        <v>358.87817694</v>
      </c>
      <c r="AB46" s="946">
        <v>361.60496795</v>
      </c>
      <c r="AC46" s="946">
        <v>364.27973922000001</v>
      </c>
      <c r="AD46" s="946">
        <v>366.21296150999996</v>
      </c>
      <c r="AE46" s="946">
        <v>363.55937625999996</v>
      </c>
      <c r="AF46" s="946">
        <v>363.75390327000002</v>
      </c>
      <c r="AG46" s="946">
        <v>370.35051697</v>
      </c>
      <c r="AH46" s="946">
        <v>375.64405887999999</v>
      </c>
      <c r="AI46" s="946">
        <v>381.88793835999996</v>
      </c>
      <c r="AJ46" s="946">
        <v>393.09086045999999</v>
      </c>
      <c r="AK46" s="946">
        <v>401.84378499000002</v>
      </c>
      <c r="AL46" s="946">
        <v>336.95056748999997</v>
      </c>
      <c r="AM46" s="946">
        <v>328.77275318000005</v>
      </c>
      <c r="AN46" s="946">
        <v>324.34332909999995</v>
      </c>
      <c r="AO46" s="946">
        <v>319.58743635999997</v>
      </c>
      <c r="AP46" s="946">
        <v>310.94883529999998</v>
      </c>
      <c r="AQ46" s="946">
        <v>311.77145194999997</v>
      </c>
      <c r="AR46" s="946">
        <v>253.40229417</v>
      </c>
      <c r="AS46" s="946">
        <v>258.09228235</v>
      </c>
      <c r="AT46" s="946">
        <v>260.39739005000001</v>
      </c>
      <c r="AU46" s="946">
        <v>252.65657300999996</v>
      </c>
      <c r="AV46" s="946">
        <v>256.65210906000004</v>
      </c>
      <c r="AW46" s="946">
        <v>269.57177759000001</v>
      </c>
      <c r="AX46" s="946">
        <v>266.90510870999998</v>
      </c>
      <c r="AY46" s="946">
        <v>261.02975593000002</v>
      </c>
      <c r="AZ46" s="946">
        <v>251.78853728999999</v>
      </c>
      <c r="BA46" s="946">
        <v>246.78617264000002</v>
      </c>
      <c r="BB46" s="946">
        <v>240.38340897999998</v>
      </c>
      <c r="BC46" s="946">
        <v>236.75498862000003</v>
      </c>
      <c r="BD46" s="946">
        <v>234.68715417999999</v>
      </c>
      <c r="BE46" s="946">
        <v>228.37622250999999</v>
      </c>
      <c r="BF46" s="946">
        <v>229.27763962000003</v>
      </c>
      <c r="BG46" s="947">
        <v>235.64246501</v>
      </c>
      <c r="BH46" s="998">
        <v>242.10269839999998</v>
      </c>
      <c r="BI46" s="993">
        <v>240.92543745000003</v>
      </c>
      <c r="BJ46" s="993">
        <v>238.52937216999999</v>
      </c>
      <c r="BK46" s="993">
        <v>237.61812699999999</v>
      </c>
      <c r="BL46" s="993">
        <v>239.64929303</v>
      </c>
      <c r="BM46" s="993">
        <v>248.47468455000001</v>
      </c>
      <c r="BN46" s="993">
        <v>251.23315884000002</v>
      </c>
      <c r="BO46" s="993">
        <v>256.10686415999999</v>
      </c>
      <c r="BP46" s="993">
        <v>258.08538743000003</v>
      </c>
      <c r="BQ46" s="993">
        <v>269.78148957999997</v>
      </c>
      <c r="BR46" s="993">
        <v>272.47750643999996</v>
      </c>
      <c r="BS46" s="993">
        <v>282.76595544000003</v>
      </c>
      <c r="BT46" s="993">
        <v>287.45522668000001</v>
      </c>
      <c r="BU46" s="993">
        <v>307.85871350000002</v>
      </c>
      <c r="BV46" s="993">
        <v>309.15751165</v>
      </c>
      <c r="BW46" s="993">
        <v>311.65220942000002</v>
      </c>
      <c r="BX46" s="993">
        <v>312.29521656999998</v>
      </c>
      <c r="BY46" s="993">
        <v>324.50054019999999</v>
      </c>
      <c r="BZ46" s="993">
        <v>333.26234872999999</v>
      </c>
      <c r="CA46" s="993">
        <v>340.25703765999998</v>
      </c>
      <c r="CB46" s="993">
        <v>350.59791472000001</v>
      </c>
      <c r="CC46" s="993">
        <v>367.67218347000005</v>
      </c>
      <c r="CD46" s="993">
        <v>398.00484957999998</v>
      </c>
      <c r="CE46" s="993">
        <v>422.53184838999999</v>
      </c>
      <c r="CF46" s="993">
        <v>445.29694531000001</v>
      </c>
      <c r="CG46" s="993">
        <v>475.53058712000001</v>
      </c>
      <c r="CH46" s="993">
        <v>494.12909919999998</v>
      </c>
      <c r="CI46" s="993">
        <v>526.06052349000004</v>
      </c>
      <c r="CJ46" s="993">
        <v>546.40557878999994</v>
      </c>
      <c r="CK46" s="993">
        <v>537.07086327999991</v>
      </c>
      <c r="CL46" s="993">
        <v>539.72901458000001</v>
      </c>
      <c r="CM46" s="993">
        <v>558.63255520999996</v>
      </c>
      <c r="CN46" s="993">
        <v>576.4650546900001</v>
      </c>
      <c r="CO46" s="993">
        <v>612.25519094999993</v>
      </c>
      <c r="CP46" s="993">
        <v>659.65482788999998</v>
      </c>
      <c r="CQ46" s="993">
        <v>676.32417529000008</v>
      </c>
      <c r="CR46" s="993">
        <v>694.27200973000004</v>
      </c>
      <c r="CS46" s="993">
        <v>715.83179847999997</v>
      </c>
      <c r="CT46" s="993">
        <v>742.81915914000001</v>
      </c>
      <c r="CU46" s="993">
        <v>779.48867820999999</v>
      </c>
      <c r="CV46" s="993">
        <v>817.39037604999999</v>
      </c>
      <c r="CW46" s="993">
        <v>872.44310619999999</v>
      </c>
      <c r="CX46" s="993">
        <v>912.13887147000003</v>
      </c>
      <c r="CY46" s="993">
        <v>961.76951517999998</v>
      </c>
      <c r="CZ46" s="993">
        <v>998.85894813000004</v>
      </c>
      <c r="DA46" s="993">
        <v>1041.28702004</v>
      </c>
      <c r="DB46" s="993">
        <v>1091.7739497</v>
      </c>
      <c r="DC46" s="993">
        <v>1147.61763909</v>
      </c>
      <c r="DD46" s="993">
        <v>1206.7188251299999</v>
      </c>
      <c r="DE46" s="993">
        <v>1296.7480891099999</v>
      </c>
      <c r="DF46" s="993">
        <v>1327.49949309</v>
      </c>
      <c r="DG46" s="993">
        <v>1367.4860012500001</v>
      </c>
      <c r="DH46" s="993">
        <v>1410.9655256599999</v>
      </c>
      <c r="DI46" s="993">
        <v>1476.2750867100001</v>
      </c>
      <c r="DJ46" s="993">
        <v>1527.0054530800001</v>
      </c>
      <c r="DK46" s="993">
        <v>1589.81839027</v>
      </c>
      <c r="DL46" s="993">
        <v>1621.0810513900001</v>
      </c>
      <c r="DM46" s="993">
        <v>1682.3284806300001</v>
      </c>
      <c r="DN46" s="993">
        <v>1765.70058535</v>
      </c>
      <c r="DO46" s="993">
        <v>1821.7719290499999</v>
      </c>
      <c r="DP46" s="993">
        <v>1870.1474149200001</v>
      </c>
      <c r="DQ46" s="993">
        <v>1943.1909543700001</v>
      </c>
      <c r="DR46" s="993">
        <v>1974.9768696199999</v>
      </c>
      <c r="DS46" s="993">
        <v>2022.00613112</v>
      </c>
      <c r="DT46" s="993">
        <v>2076.2457996399999</v>
      </c>
      <c r="DU46" s="993">
        <v>2154.27875756</v>
      </c>
      <c r="DV46" s="993">
        <v>2220.26702153</v>
      </c>
      <c r="DW46" s="993">
        <v>2294.5516968000002</v>
      </c>
      <c r="DX46" s="993">
        <v>2337.0476434799998</v>
      </c>
      <c r="DY46" s="993">
        <v>2413.0988676500001</v>
      </c>
      <c r="DZ46" s="993">
        <v>2477.6755214200002</v>
      </c>
      <c r="EA46" s="993">
        <v>2540.7171548400001</v>
      </c>
      <c r="EB46" s="993">
        <v>2607.29982402</v>
      </c>
      <c r="EC46" s="993">
        <v>2678.7959307900001</v>
      </c>
      <c r="ED46" s="993">
        <v>2700.8958899700001</v>
      </c>
      <c r="EE46" s="993">
        <v>2763.2357708200002</v>
      </c>
    </row>
    <row r="47" spans="1:135" ht="19.8">
      <c r="A47" s="948" t="s">
        <v>2046</v>
      </c>
      <c r="B47" s="949">
        <v>1.3031639999999999E-2</v>
      </c>
      <c r="C47" s="949">
        <v>1.2360090000000001E-2</v>
      </c>
      <c r="D47" s="949">
        <v>1.201674E-2</v>
      </c>
      <c r="E47" s="949">
        <v>1.166824E-2</v>
      </c>
      <c r="F47" s="949">
        <v>1.131451E-2</v>
      </c>
      <c r="G47" s="949">
        <v>2.9555479999999999E-2</v>
      </c>
      <c r="H47" s="949">
        <v>2.9191060000000001E-2</v>
      </c>
      <c r="I47" s="949">
        <v>2.8821180000000002E-2</v>
      </c>
      <c r="J47" s="949">
        <v>2.8445749999999999E-2</v>
      </c>
      <c r="K47" s="949">
        <v>2.806469E-2</v>
      </c>
      <c r="L47" s="949">
        <v>2.767791E-2</v>
      </c>
      <c r="M47" s="950">
        <v>2.7285330000000003E-2</v>
      </c>
      <c r="N47" s="950">
        <v>1.7600000000000001E-2</v>
      </c>
      <c r="O47" s="950">
        <v>1.66E-2</v>
      </c>
      <c r="P47" s="950">
        <v>1.5599999999999999E-2</v>
      </c>
      <c r="Q47" s="950">
        <v>1.46E-2</v>
      </c>
      <c r="R47" s="950">
        <v>1.3599999999999999E-2</v>
      </c>
      <c r="S47" s="950">
        <v>1.26E-2</v>
      </c>
      <c r="T47" s="950">
        <v>1.1599999999999999E-2</v>
      </c>
      <c r="U47" s="950">
        <v>0</v>
      </c>
      <c r="V47" s="950">
        <v>0</v>
      </c>
      <c r="W47" s="950">
        <v>1.7159650000000002E-2</v>
      </c>
      <c r="X47" s="950">
        <v>5.8465800000000005E-2</v>
      </c>
      <c r="Y47" s="950">
        <v>5.6864449999999997E-2</v>
      </c>
      <c r="Z47" s="950">
        <v>0.11618781</v>
      </c>
      <c r="AA47" s="950">
        <v>0.15233335999999997</v>
      </c>
      <c r="AB47" s="950">
        <v>0.14766542000000002</v>
      </c>
      <c r="AC47" s="950">
        <v>0.14251351999999998</v>
      </c>
      <c r="AD47" s="950">
        <v>0.13733912000000001</v>
      </c>
      <c r="AE47" s="950">
        <v>0.13206883</v>
      </c>
      <c r="AF47" s="950">
        <v>9.8506389999999999E-2</v>
      </c>
      <c r="AG47" s="950">
        <v>9.4042509999999996E-2</v>
      </c>
      <c r="AH47" s="950">
        <v>9.2799190000000004E-2</v>
      </c>
      <c r="AI47" s="950">
        <v>8.5735539999999999E-2</v>
      </c>
      <c r="AJ47" s="950">
        <v>9.6709960000000011E-2</v>
      </c>
      <c r="AK47" s="950">
        <v>0.11858309</v>
      </c>
      <c r="AL47" s="950">
        <v>0.10126071</v>
      </c>
      <c r="AM47" s="950">
        <v>9.3965999999999994E-2</v>
      </c>
      <c r="AN47" s="950">
        <v>9.02834E-2</v>
      </c>
      <c r="AO47" s="950">
        <v>8.8257970000000005E-2</v>
      </c>
      <c r="AP47" s="950">
        <v>7.9723789999999989E-2</v>
      </c>
      <c r="AQ47" s="950">
        <v>7.2456199999999998E-2</v>
      </c>
      <c r="AR47" s="950">
        <v>6.7603160000000009E-2</v>
      </c>
      <c r="AS47" s="950">
        <v>6.0420519999999998E-2</v>
      </c>
      <c r="AT47" s="950">
        <v>5.4665160000000004E-2</v>
      </c>
      <c r="AU47" s="950">
        <v>5.0139339999999998E-2</v>
      </c>
      <c r="AV47" s="950">
        <v>4.7899199999999996E-2</v>
      </c>
      <c r="AW47" s="950">
        <v>4.2823930000000003E-2</v>
      </c>
      <c r="AX47" s="950">
        <v>0.15278976</v>
      </c>
      <c r="AY47" s="950">
        <v>0.13684307000000001</v>
      </c>
      <c r="AZ47" s="950">
        <v>0.12086097</v>
      </c>
      <c r="BA47" s="950">
        <v>0.10595712</v>
      </c>
      <c r="BB47" s="950">
        <v>0.57829624000000002</v>
      </c>
      <c r="BC47" s="950">
        <v>0.66858085</v>
      </c>
      <c r="BD47" s="950">
        <v>0.80169718000000001</v>
      </c>
      <c r="BE47" s="950">
        <v>0.77137871999999996</v>
      </c>
      <c r="BF47" s="950">
        <v>0.74061001000000004</v>
      </c>
      <c r="BG47" s="951">
        <v>0.83763986999999995</v>
      </c>
      <c r="BH47" s="999">
        <v>0.80406739000000005</v>
      </c>
      <c r="BI47" s="994">
        <v>1.01508709</v>
      </c>
      <c r="BJ47" s="994">
        <v>0.97904325000000003</v>
      </c>
      <c r="BK47" s="994">
        <v>1.0117622399999999</v>
      </c>
      <c r="BL47" s="994">
        <v>0.99732189999999998</v>
      </c>
      <c r="BM47" s="994">
        <v>1.2202941299999999</v>
      </c>
      <c r="BN47" s="994">
        <v>1.1995362599999999</v>
      </c>
      <c r="BO47" s="994">
        <v>1.17877141</v>
      </c>
      <c r="BP47" s="994">
        <v>1.16586458</v>
      </c>
      <c r="BQ47" s="994">
        <v>1.1484147499999999</v>
      </c>
      <c r="BR47" s="994">
        <v>1.12989016</v>
      </c>
      <c r="BS47" s="994">
        <v>1.09745443</v>
      </c>
      <c r="BT47" s="994">
        <v>1.1484705100000001</v>
      </c>
      <c r="BU47" s="994">
        <v>1.1273739199999999</v>
      </c>
      <c r="BV47" s="994">
        <v>1.10905378</v>
      </c>
      <c r="BW47" s="994">
        <v>1.475352</v>
      </c>
      <c r="BX47" s="994">
        <v>1.64780993</v>
      </c>
      <c r="BY47" s="994">
        <v>1.60761194</v>
      </c>
      <c r="BZ47" s="994">
        <v>1.61673092</v>
      </c>
      <c r="CA47" s="994">
        <v>1.6228981999999998</v>
      </c>
      <c r="CB47" s="994">
        <v>1.6635538700000001</v>
      </c>
      <c r="CC47" s="994">
        <v>1.66420799</v>
      </c>
      <c r="CD47" s="994">
        <v>1.77825758</v>
      </c>
      <c r="CE47" s="994">
        <v>1.8429245000000001</v>
      </c>
      <c r="CF47" s="994">
        <v>1.91649227</v>
      </c>
      <c r="CG47" s="994">
        <v>1.9518346799999999</v>
      </c>
      <c r="CH47" s="994">
        <v>2.1305623300000001</v>
      </c>
      <c r="CI47" s="994">
        <v>2.25536563</v>
      </c>
      <c r="CJ47" s="994">
        <v>1.3139114299999999</v>
      </c>
      <c r="CK47" s="994">
        <v>1.27573877</v>
      </c>
      <c r="CL47" s="994">
        <v>1.12369231</v>
      </c>
      <c r="CM47" s="994">
        <v>1.0525463500000001</v>
      </c>
      <c r="CN47" s="994">
        <v>1.04608122</v>
      </c>
      <c r="CO47" s="994">
        <v>1.1341812199999999</v>
      </c>
      <c r="CP47" s="994">
        <v>1.2638042199999999</v>
      </c>
      <c r="CQ47" s="994">
        <v>1.46136745</v>
      </c>
      <c r="CR47" s="994">
        <v>1.71973237</v>
      </c>
      <c r="CS47" s="994">
        <v>1.92390835</v>
      </c>
      <c r="CT47" s="994">
        <v>1.9575673</v>
      </c>
      <c r="CU47" s="994">
        <v>2.1064788600000002</v>
      </c>
      <c r="CV47" s="994">
        <v>2.15084133</v>
      </c>
      <c r="CW47" s="994">
        <v>2.5171875400000001</v>
      </c>
      <c r="CX47" s="994">
        <v>2.9855615499999999</v>
      </c>
      <c r="CY47" s="994">
        <v>3.5434117999999999</v>
      </c>
      <c r="CZ47" s="994">
        <v>3.4788721800000002</v>
      </c>
      <c r="DA47" s="994">
        <v>3.7471072400000001</v>
      </c>
      <c r="DB47" s="994">
        <v>4.2341112000000001</v>
      </c>
      <c r="DC47" s="994">
        <v>4.1983108500000004</v>
      </c>
      <c r="DD47" s="994">
        <v>4.4105267599999998</v>
      </c>
      <c r="DE47" s="994">
        <v>4.4311057900000002</v>
      </c>
      <c r="DF47" s="994">
        <v>4.3453763800000003</v>
      </c>
      <c r="DG47" s="994">
        <v>4.4748686700000002</v>
      </c>
      <c r="DH47" s="994">
        <v>4.5794012899999998</v>
      </c>
      <c r="DI47" s="994">
        <v>5.0454184099999999</v>
      </c>
      <c r="DJ47" s="994">
        <v>4.9127252800000001</v>
      </c>
      <c r="DK47" s="994">
        <v>4.8213111099999999</v>
      </c>
      <c r="DL47" s="994">
        <v>4.8841485200000001</v>
      </c>
      <c r="DM47" s="994">
        <v>4.5110881899999997</v>
      </c>
      <c r="DN47" s="994">
        <v>5.0157098700000002</v>
      </c>
      <c r="DO47" s="994">
        <v>4.9999448600000003</v>
      </c>
      <c r="DP47" s="994">
        <v>4.9547945100000002</v>
      </c>
      <c r="DQ47" s="994">
        <v>5.2702261300000002</v>
      </c>
      <c r="DR47" s="994">
        <v>5.4359837899999999</v>
      </c>
      <c r="DS47" s="994">
        <v>5.5593522699999998</v>
      </c>
      <c r="DT47" s="994">
        <v>6.0361530800000001</v>
      </c>
      <c r="DU47" s="994">
        <v>6.14034747</v>
      </c>
      <c r="DV47" s="994">
        <v>6.3507753600000001</v>
      </c>
      <c r="DW47" s="994">
        <v>6.6033536000000002</v>
      </c>
      <c r="DX47" s="994">
        <v>6.7495808799999999</v>
      </c>
      <c r="DY47" s="994">
        <v>7.1710895800000003</v>
      </c>
      <c r="DZ47" s="994">
        <v>7.1994407999999996</v>
      </c>
      <c r="EA47" s="994">
        <v>7.6413155100000001</v>
      </c>
      <c r="EB47" s="994">
        <v>7.6182477300000002</v>
      </c>
      <c r="EC47" s="994">
        <v>8.0474455799999998</v>
      </c>
      <c r="ED47" s="994">
        <v>7.7584396199999999</v>
      </c>
      <c r="EE47" s="994">
        <v>8.2208365699999995</v>
      </c>
    </row>
    <row r="48" spans="1:135" ht="19.8">
      <c r="A48" s="952" t="s">
        <v>2818</v>
      </c>
      <c r="B48" s="945">
        <v>60.8203405</v>
      </c>
      <c r="C48" s="945">
        <v>141.14236523000002</v>
      </c>
      <c r="D48" s="945">
        <v>146.49185373</v>
      </c>
      <c r="E48" s="945">
        <v>152.00867115000003</v>
      </c>
      <c r="F48" s="945">
        <v>158.92352842000003</v>
      </c>
      <c r="G48" s="945">
        <v>161.8832902</v>
      </c>
      <c r="H48" s="945">
        <v>168.79314822999999</v>
      </c>
      <c r="I48" s="945">
        <v>175.76591053999999</v>
      </c>
      <c r="J48" s="945">
        <v>184.69288965000001</v>
      </c>
      <c r="K48" s="945">
        <v>191.31087294999998</v>
      </c>
      <c r="L48" s="945">
        <v>194.58629157000001</v>
      </c>
      <c r="M48" s="946">
        <v>199.48719803</v>
      </c>
      <c r="N48" s="946">
        <v>197.51076547</v>
      </c>
      <c r="O48" s="946">
        <v>203.43038313</v>
      </c>
      <c r="P48" s="946">
        <v>204.8708067</v>
      </c>
      <c r="Q48" s="946">
        <v>217.36403631000002</v>
      </c>
      <c r="R48" s="946">
        <v>226.44430839999998</v>
      </c>
      <c r="S48" s="946">
        <v>232.51083958000001</v>
      </c>
      <c r="T48" s="946">
        <v>235.67094048000001</v>
      </c>
      <c r="U48" s="946">
        <v>236.1993094</v>
      </c>
      <c r="V48" s="946">
        <v>242.70368669000001</v>
      </c>
      <c r="W48" s="946">
        <v>259.53661246000001</v>
      </c>
      <c r="X48" s="946">
        <v>269.24038837000001</v>
      </c>
      <c r="Y48" s="946">
        <v>284.86419231000002</v>
      </c>
      <c r="Z48" s="946">
        <v>287.17310681999999</v>
      </c>
      <c r="AA48" s="946">
        <v>373.93429368</v>
      </c>
      <c r="AB48" s="946">
        <v>355.17878938000007</v>
      </c>
      <c r="AC48" s="946">
        <v>349.89573481000002</v>
      </c>
      <c r="AD48" s="946">
        <v>347.93404895999998</v>
      </c>
      <c r="AE48" s="946">
        <v>347.45143681999997</v>
      </c>
      <c r="AF48" s="946">
        <v>357.74513235000001</v>
      </c>
      <c r="AG48" s="946">
        <v>342.18315615999995</v>
      </c>
      <c r="AH48" s="946">
        <v>325.78493476</v>
      </c>
      <c r="AI48" s="946">
        <v>328.19679293000002</v>
      </c>
      <c r="AJ48" s="946">
        <v>313.33382298000004</v>
      </c>
      <c r="AK48" s="946">
        <v>437.74145341000002</v>
      </c>
      <c r="AL48" s="946">
        <v>437.74408946</v>
      </c>
      <c r="AM48" s="946">
        <v>422.05966828999999</v>
      </c>
      <c r="AN48" s="946">
        <v>406.66151482999999</v>
      </c>
      <c r="AO48" s="946">
        <v>384.82494094000003</v>
      </c>
      <c r="AP48" s="946">
        <v>373.48422059999996</v>
      </c>
      <c r="AQ48" s="946">
        <v>372.76387635000003</v>
      </c>
      <c r="AR48" s="946">
        <v>360.03533425000006</v>
      </c>
      <c r="AS48" s="946">
        <v>358.54114605999996</v>
      </c>
      <c r="AT48" s="946">
        <v>348.01777389</v>
      </c>
      <c r="AU48" s="946">
        <v>343.34221489000004</v>
      </c>
      <c r="AV48" s="946">
        <v>352.75380136000007</v>
      </c>
      <c r="AW48" s="946">
        <v>349.93217486000003</v>
      </c>
      <c r="AX48" s="946">
        <v>369.37312950000006</v>
      </c>
      <c r="AY48" s="946">
        <v>328.39325581999998</v>
      </c>
      <c r="AZ48" s="946">
        <v>316.01740061999999</v>
      </c>
      <c r="BA48" s="946">
        <v>306.41831532999998</v>
      </c>
      <c r="BB48" s="946">
        <v>297.32727204000003</v>
      </c>
      <c r="BC48" s="946">
        <v>289.37367030000001</v>
      </c>
      <c r="BD48" s="946">
        <v>281.64781448000002</v>
      </c>
      <c r="BE48" s="946">
        <v>275.89534592000001</v>
      </c>
      <c r="BF48" s="946">
        <v>268.50138891</v>
      </c>
      <c r="BG48" s="947">
        <v>262.19184757000005</v>
      </c>
      <c r="BH48" s="998">
        <v>254.50374511000001</v>
      </c>
      <c r="BI48" s="993">
        <v>245.83909070999999</v>
      </c>
      <c r="BJ48" s="993">
        <v>239.53236909999998</v>
      </c>
      <c r="BK48" s="993">
        <v>229.77732800000001</v>
      </c>
      <c r="BL48" s="993">
        <v>220.81257012999998</v>
      </c>
      <c r="BM48" s="993">
        <v>210.77802134999999</v>
      </c>
      <c r="BN48" s="993">
        <v>204.53041837000001</v>
      </c>
      <c r="BO48" s="993">
        <v>199.90839576000002</v>
      </c>
      <c r="BP48" s="993">
        <v>192.46838308999997</v>
      </c>
      <c r="BQ48" s="993">
        <v>183.25286537999997</v>
      </c>
      <c r="BR48" s="993">
        <v>178.68113622999999</v>
      </c>
      <c r="BS48" s="993">
        <v>176.54657011</v>
      </c>
      <c r="BT48" s="993">
        <v>176.35039253999997</v>
      </c>
      <c r="BU48" s="993">
        <v>159.25219908000003</v>
      </c>
      <c r="BV48" s="993">
        <v>151.33861263</v>
      </c>
      <c r="BW48" s="993">
        <v>148.74935962999999</v>
      </c>
      <c r="BX48" s="993">
        <v>143.37480159</v>
      </c>
      <c r="BY48" s="993">
        <v>140.01167808000002</v>
      </c>
      <c r="BZ48" s="993">
        <v>136.23157184000002</v>
      </c>
      <c r="CA48" s="993">
        <v>130.46595289999999</v>
      </c>
      <c r="CB48" s="993">
        <v>120.93484769000001</v>
      </c>
      <c r="CC48" s="993">
        <v>118.27975201000001</v>
      </c>
      <c r="CD48" s="993">
        <v>116.35417395</v>
      </c>
      <c r="CE48" s="993">
        <v>115.43497306</v>
      </c>
      <c r="CF48" s="993">
        <v>116.97941465000001</v>
      </c>
      <c r="CG48" s="993">
        <v>107.13334128000001</v>
      </c>
      <c r="CH48" s="993">
        <v>105.73931095</v>
      </c>
      <c r="CI48" s="993">
        <v>105.52035289000001</v>
      </c>
      <c r="CJ48" s="993">
        <v>94.351915379999994</v>
      </c>
      <c r="CK48" s="993">
        <v>87.630947639999988</v>
      </c>
      <c r="CL48" s="993">
        <v>85.347246529999993</v>
      </c>
      <c r="CM48" s="993">
        <v>81.493340989999993</v>
      </c>
      <c r="CN48" s="993">
        <v>78.69994281000001</v>
      </c>
      <c r="CO48" s="993">
        <v>77.765243260000005</v>
      </c>
      <c r="CP48" s="993">
        <v>75.175844999999995</v>
      </c>
      <c r="CQ48" s="993">
        <v>71.937008640000002</v>
      </c>
      <c r="CR48" s="993">
        <v>68.872873369999994</v>
      </c>
      <c r="CS48" s="993">
        <v>65.124853989999991</v>
      </c>
      <c r="CT48" s="993">
        <v>60.412829539999997</v>
      </c>
      <c r="CU48" s="993">
        <v>65.8700142</v>
      </c>
      <c r="CV48" s="993">
        <v>63.12305482</v>
      </c>
      <c r="CW48" s="993">
        <v>62.825603809999997</v>
      </c>
      <c r="CX48" s="993">
        <v>59.87518524</v>
      </c>
      <c r="CY48" s="993">
        <v>60.210764609999998</v>
      </c>
      <c r="CZ48" s="993">
        <v>60.687583969999999</v>
      </c>
      <c r="DA48" s="993">
        <v>60.77288283</v>
      </c>
      <c r="DB48" s="993">
        <v>64.392185339999997</v>
      </c>
      <c r="DC48" s="993">
        <v>63.765772519999999</v>
      </c>
      <c r="DD48" s="993">
        <v>60.305697690000002</v>
      </c>
      <c r="DE48" s="993">
        <v>63.564035250000003</v>
      </c>
      <c r="DF48" s="993">
        <v>56.558620740000002</v>
      </c>
      <c r="DG48" s="993">
        <v>56.082432779999998</v>
      </c>
      <c r="DH48" s="993">
        <v>52.280523840000001</v>
      </c>
      <c r="DI48" s="993">
        <v>50.953282659999999</v>
      </c>
      <c r="DJ48" s="993">
        <v>52.683972650000001</v>
      </c>
      <c r="DK48" s="993">
        <v>53.18681763</v>
      </c>
      <c r="DL48" s="993">
        <v>52.445652189999997</v>
      </c>
      <c r="DM48" s="993">
        <v>52.116489620000003</v>
      </c>
      <c r="DN48" s="993">
        <v>59.265142040000001</v>
      </c>
      <c r="DO48" s="993">
        <v>60.062606340000002</v>
      </c>
      <c r="DP48" s="993">
        <v>58.739884369999999</v>
      </c>
      <c r="DQ48" s="993">
        <v>55.861136449999997</v>
      </c>
      <c r="DR48" s="993">
        <v>55.043827190000002</v>
      </c>
      <c r="DS48" s="993">
        <v>50.793110059999997</v>
      </c>
      <c r="DT48" s="993">
        <v>49.461264810000003</v>
      </c>
      <c r="DU48" s="993">
        <v>58.153457000000003</v>
      </c>
      <c r="DV48" s="993">
        <v>62.094460120000001</v>
      </c>
      <c r="DW48" s="993">
        <v>62.642824130000001</v>
      </c>
      <c r="DX48" s="993">
        <v>63.32426804</v>
      </c>
      <c r="DY48" s="993">
        <v>64.877013079999998</v>
      </c>
      <c r="DZ48" s="993">
        <v>66.440803930000001</v>
      </c>
      <c r="EA48" s="993">
        <v>61.055630800000003</v>
      </c>
      <c r="EB48" s="993">
        <v>62.80135224</v>
      </c>
      <c r="EC48" s="993">
        <v>62.068829770000001</v>
      </c>
      <c r="ED48" s="993">
        <v>61.435337949999997</v>
      </c>
      <c r="EE48" s="993">
        <v>58.798396140000001</v>
      </c>
    </row>
    <row r="49" spans="1:136" ht="19.8">
      <c r="A49" s="955" t="s">
        <v>2046</v>
      </c>
      <c r="B49" s="956">
        <v>0.11804867999999999</v>
      </c>
      <c r="C49" s="956">
        <v>2.7660198999999999</v>
      </c>
      <c r="D49" s="956">
        <v>2.6083030200000001</v>
      </c>
      <c r="E49" s="956">
        <v>2.6476920000000002</v>
      </c>
      <c r="F49" s="956">
        <v>3.04740806</v>
      </c>
      <c r="G49" s="956">
        <v>2.96987852</v>
      </c>
      <c r="H49" s="956">
        <v>2.75096081</v>
      </c>
      <c r="I49" s="956">
        <v>2.8174198100000001</v>
      </c>
      <c r="J49" s="956">
        <v>3.2131447899999999</v>
      </c>
      <c r="K49" s="956">
        <v>3.3452382200000002</v>
      </c>
      <c r="L49" s="956">
        <v>3.3085029599999998</v>
      </c>
      <c r="M49" s="957">
        <v>3.4845867799999999</v>
      </c>
      <c r="N49" s="957">
        <v>3.3475053999999997</v>
      </c>
      <c r="O49" s="957">
        <v>3.4848470299999996</v>
      </c>
      <c r="P49" s="957">
        <v>3.3661613900000003</v>
      </c>
      <c r="Q49" s="957">
        <v>3.7624272000000003</v>
      </c>
      <c r="R49" s="957">
        <v>3.8093890200000002</v>
      </c>
      <c r="S49" s="957">
        <v>3.8822274700000001</v>
      </c>
      <c r="T49" s="957">
        <v>3.6196510699999997</v>
      </c>
      <c r="U49" s="957">
        <v>3.73416039</v>
      </c>
      <c r="V49" s="957">
        <v>4.1289160699999998</v>
      </c>
      <c r="W49" s="957">
        <v>0.54781430000000009</v>
      </c>
      <c r="X49" s="957">
        <v>0.55489554000000008</v>
      </c>
      <c r="Y49" s="957">
        <v>0.51227495000000001</v>
      </c>
      <c r="Z49" s="957">
        <v>0.49579334999999997</v>
      </c>
      <c r="AA49" s="957">
        <v>0.64104475999999999</v>
      </c>
      <c r="AB49" s="957">
        <v>0.61655990000000005</v>
      </c>
      <c r="AC49" s="957">
        <v>0.59934564000000001</v>
      </c>
      <c r="AD49" s="957">
        <v>0.68712766000000003</v>
      </c>
      <c r="AE49" s="957">
        <v>0.66563531999999992</v>
      </c>
      <c r="AF49" s="957">
        <v>0.67945404000000009</v>
      </c>
      <c r="AG49" s="957">
        <v>0.63501459999999998</v>
      </c>
      <c r="AH49" s="957">
        <v>0.61238236000000001</v>
      </c>
      <c r="AI49" s="957">
        <v>0.59317748000000003</v>
      </c>
      <c r="AJ49" s="957">
        <v>0.56649388000000001</v>
      </c>
      <c r="AK49" s="957">
        <v>1.0098676200000001</v>
      </c>
      <c r="AL49" s="957">
        <v>0.96995812000000003</v>
      </c>
      <c r="AM49" s="957">
        <v>0.96966078</v>
      </c>
      <c r="AN49" s="957">
        <v>0.93889531999999998</v>
      </c>
      <c r="AO49" s="957">
        <v>0.87415865000000004</v>
      </c>
      <c r="AP49" s="957">
        <v>0.85789400999999998</v>
      </c>
      <c r="AQ49" s="957">
        <v>0.87187856000000008</v>
      </c>
      <c r="AR49" s="957">
        <v>0.88303703</v>
      </c>
      <c r="AS49" s="957">
        <v>0.89383630000000003</v>
      </c>
      <c r="AT49" s="957">
        <v>0.87284824999999999</v>
      </c>
      <c r="AU49" s="957">
        <v>0.86061482</v>
      </c>
      <c r="AV49" s="957">
        <v>1.3602513799999998</v>
      </c>
      <c r="AW49" s="957">
        <v>1.1712771299999998</v>
      </c>
      <c r="AX49" s="957">
        <v>1.2659042700000001</v>
      </c>
      <c r="AY49" s="957">
        <v>1.1484636100000001</v>
      </c>
      <c r="AZ49" s="957">
        <v>1.1288090500000001</v>
      </c>
      <c r="BA49" s="957">
        <v>1.1060049999999999</v>
      </c>
      <c r="BB49" s="957">
        <v>1.10400294</v>
      </c>
      <c r="BC49" s="957">
        <v>1.10239033</v>
      </c>
      <c r="BD49" s="957">
        <v>1.0930872600000001</v>
      </c>
      <c r="BE49" s="957">
        <v>1.07818305</v>
      </c>
      <c r="BF49" s="957">
        <v>1.0691329899999999</v>
      </c>
      <c r="BG49" s="958">
        <v>1.0551198899999998</v>
      </c>
      <c r="BH49" s="1000">
        <v>1.04655733</v>
      </c>
      <c r="BI49" s="996">
        <v>1.0380568299999999</v>
      </c>
      <c r="BJ49" s="996">
        <v>1.03459675</v>
      </c>
      <c r="BK49" s="996">
        <v>1.0261561299999999</v>
      </c>
      <c r="BL49" s="996">
        <v>1.0175957799999999</v>
      </c>
      <c r="BM49" s="996">
        <v>1.0184709000000001</v>
      </c>
      <c r="BN49" s="996">
        <v>1.0110759</v>
      </c>
      <c r="BO49" s="996">
        <v>1.0051259000000001</v>
      </c>
      <c r="BP49" s="996">
        <v>1.0017208</v>
      </c>
      <c r="BQ49" s="996">
        <v>0.99322589999999999</v>
      </c>
      <c r="BR49" s="996">
        <v>0.98727589999999998</v>
      </c>
      <c r="BS49" s="996">
        <v>0.98132589999999997</v>
      </c>
      <c r="BT49" s="996">
        <v>0.97537590000000007</v>
      </c>
      <c r="BU49" s="996">
        <v>0.96942590000000006</v>
      </c>
      <c r="BV49" s="996">
        <v>0.96602589999999999</v>
      </c>
      <c r="BW49" s="996">
        <v>0.96262590000000003</v>
      </c>
      <c r="BX49" s="996">
        <v>0.95988620999999996</v>
      </c>
      <c r="BY49" s="996">
        <v>0.95648621</v>
      </c>
      <c r="BZ49" s="996">
        <v>0.93386663000000003</v>
      </c>
      <c r="CA49" s="996">
        <v>0.95047355</v>
      </c>
      <c r="CB49" s="996">
        <v>0.9418588</v>
      </c>
      <c r="CC49" s="996">
        <v>0.93248582999999996</v>
      </c>
      <c r="CD49" s="996">
        <v>0.92105281000000006</v>
      </c>
      <c r="CE49" s="996">
        <v>0.90895391000000003</v>
      </c>
      <c r="CF49" s="996">
        <v>0.89674074999999998</v>
      </c>
      <c r="CG49" s="996">
        <v>0.88514480000000006</v>
      </c>
      <c r="CH49" s="996">
        <v>0.87219071999999997</v>
      </c>
      <c r="CI49" s="996">
        <v>0.85993752000000001</v>
      </c>
      <c r="CJ49" s="996">
        <v>0.84754682999999997</v>
      </c>
      <c r="CK49" s="996">
        <v>0.83425386999999995</v>
      </c>
      <c r="CL49" s="996">
        <v>0.82147914</v>
      </c>
      <c r="CM49" s="996">
        <v>0.80878673000000001</v>
      </c>
      <c r="CN49" s="996">
        <v>0.79529766000000002</v>
      </c>
      <c r="CO49" s="996">
        <v>0.79628239000000001</v>
      </c>
      <c r="CP49" s="996">
        <v>0.78513511000000002</v>
      </c>
      <c r="CQ49" s="996">
        <v>0.77016435999999999</v>
      </c>
      <c r="CR49" s="996">
        <v>0.75488169999999999</v>
      </c>
      <c r="CS49" s="996">
        <v>0.74398455000000008</v>
      </c>
      <c r="CT49" s="996">
        <v>0.72851104</v>
      </c>
      <c r="CU49" s="996">
        <v>0.71330771999999998</v>
      </c>
      <c r="CV49" s="996">
        <v>0.69740592999999995</v>
      </c>
      <c r="CW49" s="996">
        <v>0.68122804999999997</v>
      </c>
      <c r="CX49" s="996">
        <v>0.66543514000000004</v>
      </c>
      <c r="CY49" s="996">
        <v>0.64913701000000001</v>
      </c>
      <c r="CZ49" s="996">
        <v>0.63279547000000003</v>
      </c>
      <c r="DA49" s="996">
        <v>0.54520851000000004</v>
      </c>
      <c r="DB49" s="996">
        <v>0.55860673999999999</v>
      </c>
      <c r="DC49" s="996">
        <v>0.55860673999999999</v>
      </c>
      <c r="DD49" s="996">
        <v>0</v>
      </c>
      <c r="DE49" s="996">
        <v>0</v>
      </c>
      <c r="DF49" s="996">
        <v>0</v>
      </c>
      <c r="DG49" s="996">
        <v>0</v>
      </c>
      <c r="DH49" s="996">
        <v>0</v>
      </c>
      <c r="DI49" s="996">
        <v>0</v>
      </c>
      <c r="DJ49" s="996">
        <v>0</v>
      </c>
      <c r="DK49" s="996">
        <v>0</v>
      </c>
      <c r="DL49" s="996">
        <v>0</v>
      </c>
      <c r="DM49" s="996">
        <v>0</v>
      </c>
      <c r="DN49" s="996">
        <v>0</v>
      </c>
      <c r="DO49" s="996">
        <v>0</v>
      </c>
      <c r="DP49" s="996">
        <v>0</v>
      </c>
      <c r="DQ49" s="996">
        <v>0</v>
      </c>
      <c r="DR49" s="996">
        <v>0</v>
      </c>
      <c r="DS49" s="996">
        <v>0</v>
      </c>
      <c r="DT49" s="996">
        <v>0</v>
      </c>
      <c r="DU49" s="996">
        <v>0.35699999999999998</v>
      </c>
      <c r="DV49" s="996">
        <v>0.32820034999999997</v>
      </c>
      <c r="DW49" s="996">
        <v>0.29896295000000001</v>
      </c>
      <c r="DX49" s="996">
        <v>0.26878794</v>
      </c>
      <c r="DY49" s="996">
        <v>0.23864827999999999</v>
      </c>
      <c r="DZ49" s="996">
        <v>0.20816660000000001</v>
      </c>
      <c r="EA49" s="996">
        <v>0.19334941999999999</v>
      </c>
      <c r="EB49" s="996">
        <v>0.17003045999999999</v>
      </c>
      <c r="EC49" s="996">
        <v>0.15500061000000001</v>
      </c>
      <c r="ED49" s="996">
        <v>0.13995228000000001</v>
      </c>
      <c r="EE49" s="996">
        <v>0.12482871</v>
      </c>
    </row>
    <row r="50" spans="1:136" s="890" customFormat="1" ht="39" customHeight="1">
      <c r="A50" s="2378" t="s">
        <v>3373</v>
      </c>
      <c r="B50" s="2378"/>
      <c r="C50" s="2378"/>
      <c r="D50" s="2378"/>
      <c r="E50" s="2378"/>
      <c r="F50" s="2378"/>
      <c r="G50" s="2378"/>
      <c r="H50" s="2378"/>
      <c r="I50" s="2378"/>
      <c r="J50" s="2378"/>
      <c r="K50" s="2378"/>
      <c r="L50" s="2378"/>
      <c r="M50" s="2378"/>
      <c r="N50" s="2378"/>
      <c r="O50" s="2378"/>
      <c r="P50" s="2378"/>
      <c r="Q50" s="2378"/>
      <c r="R50" s="2378"/>
      <c r="S50" s="2378"/>
      <c r="T50" s="2378"/>
      <c r="U50" s="2378"/>
      <c r="V50" s="2378"/>
      <c r="W50" s="2378"/>
      <c r="X50" s="2378"/>
      <c r="Y50" s="2378"/>
      <c r="Z50" s="2378"/>
      <c r="AA50" s="2378"/>
      <c r="AB50" s="2378"/>
      <c r="AC50" s="2378"/>
      <c r="AD50" s="2378"/>
      <c r="AE50" s="2378"/>
      <c r="AF50" s="2378"/>
      <c r="AG50" s="2378"/>
      <c r="AH50" s="2378"/>
      <c r="AI50" s="2378"/>
      <c r="AJ50" s="2378"/>
      <c r="AK50" s="2378"/>
      <c r="AL50" s="2378"/>
      <c r="AM50" s="2378"/>
      <c r="AN50" s="2378"/>
      <c r="AO50" s="2378"/>
      <c r="AP50" s="2378"/>
      <c r="AQ50" s="2378"/>
      <c r="AR50" s="2378"/>
      <c r="AS50" s="2378"/>
      <c r="AT50" s="2378"/>
      <c r="AU50" s="2378"/>
      <c r="AV50" s="2378"/>
      <c r="AW50" s="2378"/>
      <c r="AX50" s="2378"/>
      <c r="AY50" s="2378"/>
      <c r="AZ50" s="2378"/>
      <c r="BA50" s="2378"/>
      <c r="BB50" s="2378"/>
      <c r="BC50" s="2378"/>
      <c r="BD50" s="2378"/>
      <c r="BE50" s="2378"/>
      <c r="BF50" s="2378"/>
      <c r="BG50" s="2378"/>
      <c r="BH50" s="2378"/>
      <c r="BI50" s="2378"/>
      <c r="BJ50" s="2378"/>
      <c r="BK50" s="2378"/>
      <c r="BL50" s="2378"/>
      <c r="BM50" s="2378"/>
      <c r="BN50" s="2378"/>
      <c r="BO50" s="2378"/>
      <c r="BP50" s="2378"/>
      <c r="BQ50" s="2378"/>
      <c r="BR50" s="2378"/>
      <c r="BS50" s="2378"/>
      <c r="BT50" s="2378"/>
      <c r="BU50" s="2378"/>
      <c r="BV50" s="2378"/>
      <c r="BW50" s="2378"/>
      <c r="BX50" s="2378"/>
      <c r="BY50" s="2378"/>
      <c r="BZ50" s="2378"/>
      <c r="CA50" s="2378"/>
      <c r="CB50" s="2378"/>
      <c r="CC50" s="2378"/>
      <c r="CD50" s="2378"/>
      <c r="CE50" s="2378"/>
      <c r="CF50" s="2378"/>
      <c r="CG50" s="2378"/>
      <c r="CH50" s="2378"/>
      <c r="CI50" s="2378"/>
      <c r="CJ50" s="2378"/>
      <c r="CK50" s="2378"/>
      <c r="CL50" s="2378"/>
      <c r="CM50" s="2378"/>
      <c r="CN50" s="2378"/>
      <c r="CO50" s="2378"/>
      <c r="CP50" s="2378"/>
      <c r="CQ50" s="2378"/>
      <c r="CR50" s="2378"/>
      <c r="CS50" s="2378"/>
      <c r="CT50" s="2378"/>
      <c r="CU50" s="2378"/>
      <c r="CV50" s="2378"/>
      <c r="CW50" s="2378"/>
      <c r="CX50" s="2378"/>
      <c r="CY50" s="2378"/>
      <c r="CZ50" s="2378"/>
      <c r="DA50" s="2378"/>
      <c r="DB50" s="2378"/>
      <c r="DC50" s="2378"/>
      <c r="DD50" s="2378"/>
      <c r="DE50" s="2378"/>
      <c r="DF50" s="2378"/>
      <c r="DG50" s="2378"/>
      <c r="DH50" s="2378"/>
      <c r="DI50" s="2378"/>
      <c r="DJ50" s="2378"/>
      <c r="DK50" s="2378"/>
      <c r="DL50" s="2378"/>
      <c r="DM50" s="2378"/>
      <c r="DN50" s="2378"/>
      <c r="DO50" s="2378"/>
      <c r="DP50" s="2378"/>
      <c r="DQ50" s="2378"/>
      <c r="DR50" s="2378"/>
      <c r="DS50" s="2378"/>
      <c r="DT50" s="2378"/>
      <c r="DU50" s="2378"/>
      <c r="DV50" s="2378"/>
      <c r="DW50" s="2378"/>
      <c r="DX50" s="2378"/>
      <c r="DY50" s="2378"/>
      <c r="DZ50" s="2378"/>
      <c r="EA50" s="2379"/>
      <c r="EB50" s="2379"/>
      <c r="EC50" s="2378"/>
      <c r="ED50" s="2105"/>
      <c r="EF50" s="890" t="s">
        <v>4066</v>
      </c>
    </row>
  </sheetData>
  <mergeCells count="15">
    <mergeCell ref="A50:EC50"/>
    <mergeCell ref="A2:EC2"/>
    <mergeCell ref="CE6:CG6"/>
    <mergeCell ref="Z6:AK6"/>
    <mergeCell ref="B6:M6"/>
    <mergeCell ref="N6:Y6"/>
    <mergeCell ref="AL6:AW6"/>
    <mergeCell ref="BG6:BI6"/>
    <mergeCell ref="A6:A7"/>
    <mergeCell ref="CU6:DE6"/>
    <mergeCell ref="A3:EC3"/>
    <mergeCell ref="DF6:DQ6"/>
    <mergeCell ref="DR6:EC6"/>
    <mergeCell ref="Y5:EE5"/>
    <mergeCell ref="ED6:EE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K62"/>
  <sheetViews>
    <sheetView showGridLines="0" view="pageBreakPreview" zoomScale="70" zoomScaleNormal="100" zoomScaleSheetLayoutView="70" workbookViewId="0">
      <selection activeCell="EG39" sqref="EG39"/>
    </sheetView>
  </sheetViews>
  <sheetFormatPr defaultColWidth="9.109375" defaultRowHeight="13.8"/>
  <cols>
    <col min="1" max="1" width="61.44140625" style="91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5" width="13.5546875" style="291" customWidth="1"/>
    <col min="136" max="138" width="9.109375" style="291"/>
    <col min="139" max="139" width="0" style="291" hidden="1" customWidth="1"/>
    <col min="140" max="16384" width="9.109375" style="291"/>
  </cols>
  <sheetData>
    <row r="1" spans="1:141" ht="15.75" customHeight="1"/>
    <row r="2" spans="1:141" s="783" customFormat="1" ht="66" customHeight="1">
      <c r="A2" s="2380" t="s">
        <v>3381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41" s="783" customFormat="1" ht="36" customHeight="1">
      <c r="A3" s="2389" t="s">
        <v>3365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41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</row>
    <row r="5" spans="1:141" s="482" customFormat="1" ht="19.5" customHeight="1">
      <c r="A5" s="2391" t="s">
        <v>2484</v>
      </c>
      <c r="B5" s="2391"/>
      <c r="C5" s="2391"/>
      <c r="D5" s="2391"/>
      <c r="E5" s="2391"/>
      <c r="F5" s="2391"/>
      <c r="G5" s="2391"/>
      <c r="H5" s="2391"/>
      <c r="I5" s="2391"/>
      <c r="J5" s="2391"/>
      <c r="K5" s="2391"/>
      <c r="L5" s="2391"/>
      <c r="M5" s="2391"/>
      <c r="N5" s="2391"/>
      <c r="O5" s="2391"/>
      <c r="P5" s="2391"/>
      <c r="Q5" s="2391"/>
      <c r="R5" s="2391"/>
      <c r="S5" s="2391"/>
      <c r="T5" s="2391"/>
      <c r="U5" s="2391"/>
      <c r="V5" s="2391"/>
      <c r="W5" s="2391"/>
      <c r="X5" s="2391"/>
      <c r="Y5" s="2391"/>
      <c r="Z5" s="2391"/>
      <c r="AA5" s="2391"/>
      <c r="AB5" s="2391"/>
      <c r="AC5" s="2391"/>
      <c r="AD5" s="2391"/>
      <c r="AE5" s="2391"/>
      <c r="AF5" s="2391"/>
      <c r="AG5" s="2391"/>
      <c r="AH5" s="2391"/>
      <c r="AI5" s="2391"/>
      <c r="AJ5" s="2391"/>
      <c r="AK5" s="2391"/>
      <c r="AL5" s="2391"/>
      <c r="AM5" s="2391"/>
      <c r="AN5" s="2391"/>
      <c r="AO5" s="2391"/>
      <c r="AP5" s="2391"/>
      <c r="AQ5" s="2391"/>
      <c r="AR5" s="2391"/>
      <c r="AS5" s="2391"/>
      <c r="AT5" s="2391"/>
      <c r="AU5" s="2391"/>
      <c r="AV5" s="2391"/>
      <c r="AW5" s="2391"/>
      <c r="AX5" s="2391"/>
      <c r="AY5" s="2391"/>
      <c r="AZ5" s="2391"/>
      <c r="BA5" s="2391"/>
      <c r="BB5" s="2391"/>
      <c r="BC5" s="2391"/>
      <c r="BD5" s="2391"/>
      <c r="BE5" s="2391"/>
      <c r="BF5" s="2391"/>
      <c r="BG5" s="2391"/>
      <c r="BH5" s="2391"/>
      <c r="BI5" s="2391"/>
      <c r="BJ5" s="2391"/>
      <c r="BK5" s="2391"/>
      <c r="BL5" s="2391"/>
      <c r="BM5" s="2391"/>
      <c r="BN5" s="2391"/>
      <c r="BO5" s="2391"/>
      <c r="BP5" s="2391"/>
      <c r="BQ5" s="2391"/>
      <c r="BR5" s="2391"/>
      <c r="BS5" s="2391"/>
      <c r="BT5" s="2391"/>
      <c r="BU5" s="2391"/>
      <c r="BV5" s="2391"/>
      <c r="BW5" s="2391"/>
      <c r="BX5" s="2391"/>
      <c r="BY5" s="2391"/>
      <c r="BZ5" s="2391"/>
      <c r="CA5" s="2391"/>
      <c r="CB5" s="2391"/>
      <c r="CC5" s="2391"/>
      <c r="CD5" s="2391"/>
      <c r="CE5" s="2391"/>
      <c r="CF5" s="2391"/>
      <c r="CG5" s="2391"/>
      <c r="CH5" s="2391"/>
      <c r="CI5" s="2391"/>
      <c r="CJ5" s="2391"/>
      <c r="CK5" s="2391"/>
      <c r="CL5" s="2391"/>
      <c r="CM5" s="2391"/>
      <c r="CN5" s="2391"/>
      <c r="CO5" s="2391"/>
      <c r="CP5" s="2391"/>
      <c r="CQ5" s="2391"/>
      <c r="CR5" s="2391"/>
      <c r="CS5" s="2391"/>
      <c r="CT5" s="2391"/>
      <c r="CU5" s="2391"/>
      <c r="CV5" s="2391"/>
      <c r="CW5" s="2391"/>
      <c r="CX5" s="2391"/>
      <c r="CY5" s="2391"/>
      <c r="CZ5" s="2391"/>
      <c r="DA5" s="2391"/>
      <c r="DB5" s="2391"/>
      <c r="DC5" s="2391"/>
      <c r="DD5" s="2391"/>
      <c r="DE5" s="2391"/>
      <c r="DF5" s="2391"/>
      <c r="DG5" s="2391"/>
      <c r="DH5" s="2391"/>
      <c r="DI5" s="2391"/>
      <c r="DJ5" s="2391"/>
      <c r="DK5" s="2391"/>
      <c r="DL5" s="2391"/>
      <c r="DM5" s="2391"/>
      <c r="DN5" s="2391"/>
      <c r="DO5" s="2391"/>
      <c r="DP5" s="2391"/>
      <c r="DQ5" s="2391"/>
      <c r="DR5" s="2391"/>
      <c r="DS5" s="2391"/>
      <c r="DT5" s="2391"/>
      <c r="DU5" s="2391"/>
      <c r="DV5" s="2391"/>
      <c r="DW5" s="2391"/>
      <c r="DX5" s="2391"/>
      <c r="DY5" s="2391"/>
      <c r="DZ5" s="2391"/>
      <c r="EA5" s="2391"/>
      <c r="EB5" s="2391"/>
      <c r="EC5" s="2391"/>
      <c r="ED5" s="2391"/>
      <c r="EE5" s="2391"/>
    </row>
    <row r="6" spans="1:141" ht="36.75" customHeight="1">
      <c r="A6" s="2392"/>
      <c r="B6" s="2394">
        <v>2013</v>
      </c>
      <c r="C6" s="2394"/>
      <c r="D6" s="2394"/>
      <c r="E6" s="2394"/>
      <c r="F6" s="2394"/>
      <c r="G6" s="2394"/>
      <c r="H6" s="2394"/>
      <c r="I6" s="2394"/>
      <c r="J6" s="2394"/>
      <c r="K6" s="2394"/>
      <c r="L6" s="2394"/>
      <c r="M6" s="2394"/>
      <c r="N6" s="2394">
        <v>2014</v>
      </c>
      <c r="O6" s="2394"/>
      <c r="P6" s="2394"/>
      <c r="Q6" s="2394"/>
      <c r="R6" s="2394"/>
      <c r="S6" s="2394"/>
      <c r="T6" s="2394"/>
      <c r="U6" s="2394"/>
      <c r="V6" s="2394"/>
      <c r="W6" s="2394"/>
      <c r="X6" s="2394"/>
      <c r="Y6" s="2394"/>
      <c r="Z6" s="2394">
        <v>2015</v>
      </c>
      <c r="AA6" s="2394"/>
      <c r="AB6" s="2394"/>
      <c r="AC6" s="2394"/>
      <c r="AD6" s="2394"/>
      <c r="AE6" s="2394"/>
      <c r="AF6" s="2394"/>
      <c r="AG6" s="2394"/>
      <c r="AH6" s="2394"/>
      <c r="AI6" s="2394"/>
      <c r="AJ6" s="2394"/>
      <c r="AK6" s="2394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394">
        <v>2016</v>
      </c>
      <c r="AW6" s="2394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71">
        <v>2017</v>
      </c>
      <c r="BJ6" s="1008">
        <v>2018</v>
      </c>
      <c r="BK6" s="1008"/>
      <c r="BL6" s="1008"/>
      <c r="BM6" s="1008"/>
      <c r="BN6" s="1008"/>
      <c r="BO6" s="1008"/>
      <c r="BP6" s="1008"/>
      <c r="BQ6" s="1008"/>
      <c r="BR6" s="1008"/>
      <c r="BS6" s="1008"/>
      <c r="BT6" s="1008"/>
      <c r="BU6" s="1071">
        <v>2018</v>
      </c>
      <c r="BV6" s="2395">
        <v>2019</v>
      </c>
      <c r="BW6" s="2395"/>
      <c r="BX6" s="2395"/>
      <c r="BY6" s="2395"/>
      <c r="BZ6" s="2395"/>
      <c r="CA6" s="2395"/>
      <c r="CB6" s="2395"/>
      <c r="CC6" s="2395"/>
      <c r="CD6" s="2395"/>
      <c r="CE6" s="2395"/>
      <c r="CF6" s="2395"/>
      <c r="CG6" s="2395"/>
      <c r="CH6" s="1009">
        <v>2020</v>
      </c>
      <c r="CI6" s="1009">
        <v>2020</v>
      </c>
      <c r="CJ6" s="1009">
        <v>2020</v>
      </c>
      <c r="CK6" s="1009">
        <v>2020</v>
      </c>
      <c r="CL6" s="1009">
        <v>2020</v>
      </c>
      <c r="CM6" s="1009">
        <v>2020</v>
      </c>
      <c r="CN6" s="1009">
        <v>2020</v>
      </c>
      <c r="CO6" s="1009">
        <v>2020</v>
      </c>
      <c r="CP6" s="1009">
        <v>2020</v>
      </c>
      <c r="CQ6" s="1009">
        <v>2020</v>
      </c>
      <c r="CR6" s="1009">
        <v>2020</v>
      </c>
      <c r="CS6" s="1009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41" ht="36.75" customHeight="1">
      <c r="A7" s="2393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1994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2707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</row>
    <row r="8" spans="1:141" ht="19.8">
      <c r="A8" s="952" t="s">
        <v>2820</v>
      </c>
      <c r="B8" s="961">
        <v>2545.2802623900002</v>
      </c>
      <c r="C8" s="961">
        <v>2061.7468417099999</v>
      </c>
      <c r="D8" s="961">
        <v>2091.2889946699997</v>
      </c>
      <c r="E8" s="961">
        <v>2109.2477075500001</v>
      </c>
      <c r="F8" s="961">
        <v>2131.6553745599999</v>
      </c>
      <c r="G8" s="961">
        <v>2161.65420786</v>
      </c>
      <c r="H8" s="961">
        <v>2166.3154032599996</v>
      </c>
      <c r="I8" s="961">
        <v>2206.2575045100002</v>
      </c>
      <c r="J8" s="961">
        <v>2196.72959614</v>
      </c>
      <c r="K8" s="961">
        <v>2226.3389585700002</v>
      </c>
      <c r="L8" s="961">
        <v>2243.1629202000004</v>
      </c>
      <c r="M8" s="946">
        <v>2219.2283902700001</v>
      </c>
      <c r="N8" s="946">
        <v>2210.9896951999999</v>
      </c>
      <c r="O8" s="946">
        <v>2240.14235426</v>
      </c>
      <c r="P8" s="946">
        <v>2272.40865102</v>
      </c>
      <c r="Q8" s="946">
        <v>2321.8739110800002</v>
      </c>
      <c r="R8" s="946">
        <v>2385.2508984700003</v>
      </c>
      <c r="S8" s="946">
        <v>2428.4529536400005</v>
      </c>
      <c r="T8" s="946">
        <v>2458.2199005100001</v>
      </c>
      <c r="U8" s="946">
        <v>2488.34812272</v>
      </c>
      <c r="V8" s="946">
        <v>2535.67808719</v>
      </c>
      <c r="W8" s="946">
        <v>2540.11589288</v>
      </c>
      <c r="X8" s="946">
        <v>2592.1318579399999</v>
      </c>
      <c r="Y8" s="946">
        <v>2680.0801637600002</v>
      </c>
      <c r="Z8" s="946">
        <v>2648.2543647099997</v>
      </c>
      <c r="AA8" s="946">
        <v>2971.2822920100002</v>
      </c>
      <c r="AB8" s="946">
        <v>2947.4025940699999</v>
      </c>
      <c r="AC8" s="946">
        <v>2959.6171893400006</v>
      </c>
      <c r="AD8" s="946">
        <v>2911.0506619300004</v>
      </c>
      <c r="AE8" s="946">
        <v>2887.6607627200001</v>
      </c>
      <c r="AF8" s="946">
        <v>2862.1415149800005</v>
      </c>
      <c r="AG8" s="946">
        <v>2848.7809637700002</v>
      </c>
      <c r="AH8" s="946">
        <v>2434.07461939</v>
      </c>
      <c r="AI8" s="946">
        <v>2545.9615709599998</v>
      </c>
      <c r="AJ8" s="946">
        <v>2534.4815229100004</v>
      </c>
      <c r="AK8" s="946">
        <v>3157.3044150599999</v>
      </c>
      <c r="AL8" s="946">
        <v>2912.0296419199999</v>
      </c>
      <c r="AM8" s="946">
        <v>2856.1714261600005</v>
      </c>
      <c r="AN8" s="946">
        <v>2799.5562245900001</v>
      </c>
      <c r="AO8" s="946">
        <v>2675.8283182199998</v>
      </c>
      <c r="AP8" s="946">
        <v>2619.5450756</v>
      </c>
      <c r="AQ8" s="946">
        <v>2680.5901613400001</v>
      </c>
      <c r="AR8" s="946">
        <v>2564.5300578299998</v>
      </c>
      <c r="AS8" s="946">
        <v>2503.2051395399999</v>
      </c>
      <c r="AT8" s="946">
        <v>2554.6688971200001</v>
      </c>
      <c r="AU8" s="946">
        <v>2482.4186583199998</v>
      </c>
      <c r="AV8" s="946">
        <v>2382.0426857900002</v>
      </c>
      <c r="AW8" s="946">
        <v>2466.1209143400001</v>
      </c>
      <c r="AX8" s="946">
        <v>2430.8938365399999</v>
      </c>
      <c r="AY8" s="946">
        <v>2312.0636114500003</v>
      </c>
      <c r="AZ8" s="946">
        <v>2207.6584723000001</v>
      </c>
      <c r="BA8" s="946">
        <v>2194.6563012500001</v>
      </c>
      <c r="BB8" s="946">
        <v>2187.5608126100001</v>
      </c>
      <c r="BC8" s="946">
        <v>2173.1752837500003</v>
      </c>
      <c r="BD8" s="946">
        <v>2137.0045377900001</v>
      </c>
      <c r="BE8" s="946">
        <v>2083.4093307000003</v>
      </c>
      <c r="BF8" s="946">
        <v>2176.8072253</v>
      </c>
      <c r="BG8" s="946">
        <v>2104.0158762599999</v>
      </c>
      <c r="BH8" s="1004">
        <v>2091.4603310099997</v>
      </c>
      <c r="BI8" s="993">
        <v>2055.0724328000001</v>
      </c>
      <c r="BJ8" s="993">
        <v>2016.2785655200003</v>
      </c>
      <c r="BK8" s="993">
        <v>1984.4978217599999</v>
      </c>
      <c r="BL8" s="993">
        <v>1986.7088693000001</v>
      </c>
      <c r="BM8" s="993">
        <v>1975.1988343</v>
      </c>
      <c r="BN8" s="993">
        <v>1982.2242698800001</v>
      </c>
      <c r="BO8" s="993">
        <v>2022.7014435700003</v>
      </c>
      <c r="BP8" s="993">
        <v>2013.6922771500001</v>
      </c>
      <c r="BQ8" s="993">
        <v>2031.8779201299999</v>
      </c>
      <c r="BR8" s="993">
        <v>2061.7102180500001</v>
      </c>
      <c r="BS8" s="993">
        <v>2057.1696781199998</v>
      </c>
      <c r="BT8" s="993">
        <v>2075.5315256800004</v>
      </c>
      <c r="BU8" s="993">
        <v>2370.73479671</v>
      </c>
      <c r="BV8" s="993">
        <v>2263.8090061399998</v>
      </c>
      <c r="BW8" s="993">
        <v>2284.6553790399998</v>
      </c>
      <c r="BX8" s="993">
        <v>2301.7151081399998</v>
      </c>
      <c r="BY8" s="993">
        <v>2263.9712495800004</v>
      </c>
      <c r="BZ8" s="993">
        <v>2276.8219025500002</v>
      </c>
      <c r="CA8" s="993">
        <v>2293.1630829699998</v>
      </c>
      <c r="CB8" s="993">
        <v>2279.0723337700001</v>
      </c>
      <c r="CC8" s="993">
        <v>2287.9956283699998</v>
      </c>
      <c r="CD8" s="993">
        <v>2372.6289579099998</v>
      </c>
      <c r="CE8" s="993">
        <v>2403.9295606699998</v>
      </c>
      <c r="CF8" s="993">
        <v>2327.1678500899998</v>
      </c>
      <c r="CG8" s="993">
        <v>2478.6897817899999</v>
      </c>
      <c r="CH8" s="993">
        <v>2414.2416905399996</v>
      </c>
      <c r="CI8" s="993">
        <v>2509.13364744</v>
      </c>
      <c r="CJ8" s="993">
        <v>2491.16302649</v>
      </c>
      <c r="CK8" s="993">
        <v>2438.4841425700001</v>
      </c>
      <c r="CL8" s="993">
        <v>2397.2323801900002</v>
      </c>
      <c r="CM8" s="993">
        <v>2378.5687752399999</v>
      </c>
      <c r="CN8" s="993">
        <v>2362.6748973000003</v>
      </c>
      <c r="CO8" s="993">
        <v>2378.7448912700002</v>
      </c>
      <c r="CP8" s="993">
        <v>2481.0149246299998</v>
      </c>
      <c r="CQ8" s="993">
        <v>2532.0973747600001</v>
      </c>
      <c r="CR8" s="993">
        <v>2579.8380709799999</v>
      </c>
      <c r="CS8" s="993">
        <v>2598.7064799199998</v>
      </c>
      <c r="CT8" s="993">
        <v>2599.13769533</v>
      </c>
      <c r="CU8" s="993">
        <v>2504.10766956</v>
      </c>
      <c r="CV8" s="993">
        <v>2507.9805126299998</v>
      </c>
      <c r="CW8" s="993">
        <v>2549.8556796299999</v>
      </c>
      <c r="CX8" s="993">
        <v>2551.2740627100002</v>
      </c>
      <c r="CY8" s="993">
        <v>2549.45211036</v>
      </c>
      <c r="CZ8" s="993">
        <v>2551.4528833899999</v>
      </c>
      <c r="DA8" s="993">
        <v>2539.6236270300001</v>
      </c>
      <c r="DB8" s="993">
        <v>2570.6308972100001</v>
      </c>
      <c r="DC8" s="993">
        <v>2777.5857918800002</v>
      </c>
      <c r="DD8" s="993">
        <v>2859.9485050799999</v>
      </c>
      <c r="DE8" s="993">
        <v>2982.27763271</v>
      </c>
      <c r="DF8" s="993">
        <v>2960.8306106</v>
      </c>
      <c r="DG8" s="993">
        <v>3029.3681515600001</v>
      </c>
      <c r="DH8" s="993">
        <v>3069.5291242100002</v>
      </c>
      <c r="DI8" s="993">
        <v>3126.6944463599998</v>
      </c>
      <c r="DJ8" s="993">
        <v>3130.2660092400001</v>
      </c>
      <c r="DK8" s="993">
        <v>3141.3452931400002</v>
      </c>
      <c r="DL8" s="993">
        <v>3106.4631285099999</v>
      </c>
      <c r="DM8" s="993">
        <v>3122.5418065899999</v>
      </c>
      <c r="DN8" s="993">
        <v>3194.685129</v>
      </c>
      <c r="DO8" s="993">
        <v>3262.3167929400001</v>
      </c>
      <c r="DP8" s="993">
        <v>3332.2321433699999</v>
      </c>
      <c r="DQ8" s="993">
        <v>3293.35058394</v>
      </c>
      <c r="DR8" s="993">
        <v>3237.8077508000001</v>
      </c>
      <c r="DS8" s="993">
        <v>3233.9765252699999</v>
      </c>
      <c r="DT8" s="993">
        <v>3284.0716008600002</v>
      </c>
      <c r="DU8" s="993">
        <v>3329.8905477399999</v>
      </c>
      <c r="DV8" s="993">
        <v>3346.6835495</v>
      </c>
      <c r="DW8" s="993">
        <v>3400.0921406000002</v>
      </c>
      <c r="DX8" s="993">
        <v>3362.6243152799998</v>
      </c>
      <c r="DY8" s="993">
        <v>3406.8716277600001</v>
      </c>
      <c r="DZ8" s="993">
        <v>3486.7570254299999</v>
      </c>
      <c r="EA8" s="993">
        <v>3433.6060745200002</v>
      </c>
      <c r="EB8" s="993">
        <v>3505.5060087699999</v>
      </c>
      <c r="EC8" s="993">
        <v>3476.8485448800002</v>
      </c>
      <c r="ED8" s="993">
        <v>3444.1798715599998</v>
      </c>
      <c r="EE8" s="993">
        <v>3495.0056662299999</v>
      </c>
      <c r="EJ8" s="346"/>
      <c r="EK8" s="363"/>
    </row>
    <row r="9" spans="1:141" ht="19.8">
      <c r="A9" s="948" t="s">
        <v>2001</v>
      </c>
      <c r="B9" s="962">
        <v>210.72833975000003</v>
      </c>
      <c r="C9" s="962">
        <v>201.05194611000002</v>
      </c>
      <c r="D9" s="962">
        <v>200.77101477000002</v>
      </c>
      <c r="E9" s="962">
        <v>182.57117439000001</v>
      </c>
      <c r="F9" s="962">
        <v>182.31003233999999</v>
      </c>
      <c r="G9" s="962">
        <v>181.90070266000001</v>
      </c>
      <c r="H9" s="962">
        <v>163.44056279</v>
      </c>
      <c r="I9" s="962">
        <v>163.60144422000002</v>
      </c>
      <c r="J9" s="962">
        <v>145.77561133</v>
      </c>
      <c r="K9" s="962">
        <v>143.84403387</v>
      </c>
      <c r="L9" s="962">
        <v>143.75529684999998</v>
      </c>
      <c r="M9" s="950">
        <v>127.61027175000001</v>
      </c>
      <c r="N9" s="950">
        <v>127.48503804999999</v>
      </c>
      <c r="O9" s="950">
        <v>127.75840142</v>
      </c>
      <c r="P9" s="950">
        <v>112.34727477999999</v>
      </c>
      <c r="Q9" s="950">
        <v>114.17179481000001</v>
      </c>
      <c r="R9" s="950">
        <v>113.13557847</v>
      </c>
      <c r="S9" s="950">
        <v>95.009887490000011</v>
      </c>
      <c r="T9" s="950">
        <v>93.125419820000005</v>
      </c>
      <c r="U9" s="950">
        <v>93.076374579999992</v>
      </c>
      <c r="V9" s="950">
        <v>93.026645209999984</v>
      </c>
      <c r="W9" s="950">
        <v>92.965047209999994</v>
      </c>
      <c r="X9" s="950">
        <v>92.131315860000001</v>
      </c>
      <c r="Y9" s="950">
        <v>91.94710164</v>
      </c>
      <c r="Z9" s="950">
        <v>91.813687250000001</v>
      </c>
      <c r="AA9" s="950">
        <v>121.87857197</v>
      </c>
      <c r="AB9" s="950">
        <v>121.75668434000001</v>
      </c>
      <c r="AC9" s="950">
        <v>121.73516959</v>
      </c>
      <c r="AD9" s="950">
        <v>121.80862947</v>
      </c>
      <c r="AE9" s="950">
        <v>121.64354408999999</v>
      </c>
      <c r="AF9" s="950">
        <v>121.80281561000001</v>
      </c>
      <c r="AG9" s="950">
        <v>121.58338336999999</v>
      </c>
      <c r="AH9" s="950">
        <v>121.73925660999998</v>
      </c>
      <c r="AI9" s="950">
        <v>122.20909334000001</v>
      </c>
      <c r="AJ9" s="950">
        <v>121.71696152</v>
      </c>
      <c r="AK9" s="950">
        <v>178.34354354000001</v>
      </c>
      <c r="AL9" s="950">
        <v>179.82826930999997</v>
      </c>
      <c r="AM9" s="950">
        <v>173.59997388000002</v>
      </c>
      <c r="AN9" s="950">
        <v>171.10552432</v>
      </c>
      <c r="AO9" s="950">
        <v>167.20699867000002</v>
      </c>
      <c r="AP9" s="950">
        <v>163.02528090999999</v>
      </c>
      <c r="AQ9" s="950">
        <v>168.69307613999999</v>
      </c>
      <c r="AR9" s="950">
        <v>173.7077171</v>
      </c>
      <c r="AS9" s="950">
        <v>178.89733331000002</v>
      </c>
      <c r="AT9" s="950">
        <v>177.54111907000004</v>
      </c>
      <c r="AU9" s="950">
        <v>167.19110432000002</v>
      </c>
      <c r="AV9" s="950">
        <v>168.31782424000002</v>
      </c>
      <c r="AW9" s="950">
        <v>173.32560854000002</v>
      </c>
      <c r="AX9" s="950">
        <v>171.53802653</v>
      </c>
      <c r="AY9" s="950">
        <v>157.34411894000002</v>
      </c>
      <c r="AZ9" s="950">
        <v>155.25292331</v>
      </c>
      <c r="BA9" s="950">
        <v>140.11120951000001</v>
      </c>
      <c r="BB9" s="950">
        <v>159.83952693999998</v>
      </c>
      <c r="BC9" s="950">
        <v>159.57914094</v>
      </c>
      <c r="BD9" s="950">
        <v>152.78520368</v>
      </c>
      <c r="BE9" s="950">
        <v>144.57737838</v>
      </c>
      <c r="BF9" s="950">
        <v>144.69899185999998</v>
      </c>
      <c r="BG9" s="950">
        <v>131.66550365000001</v>
      </c>
      <c r="BH9" s="1005">
        <v>131.47594361</v>
      </c>
      <c r="BI9" s="994">
        <v>104.20263365999999</v>
      </c>
      <c r="BJ9" s="994">
        <v>92.689036590000001</v>
      </c>
      <c r="BK9" s="994">
        <v>93.408224070000003</v>
      </c>
      <c r="BL9" s="994">
        <v>90.854440240000002</v>
      </c>
      <c r="BM9" s="994">
        <v>77.545824570000008</v>
      </c>
      <c r="BN9" s="994">
        <v>77.800447579999997</v>
      </c>
      <c r="BO9" s="994">
        <v>77.723400350000006</v>
      </c>
      <c r="BP9" s="994">
        <v>64.237752880000002</v>
      </c>
      <c r="BQ9" s="994">
        <v>102.87787882000001</v>
      </c>
      <c r="BR9" s="994">
        <v>102.68763328</v>
      </c>
      <c r="BS9" s="994">
        <v>88.554188229999994</v>
      </c>
      <c r="BT9" s="994">
        <v>76.318497440000002</v>
      </c>
      <c r="BU9" s="994">
        <v>96.202012019999998</v>
      </c>
      <c r="BV9" s="994">
        <v>38.25018008</v>
      </c>
      <c r="BW9" s="994">
        <v>38.158766350000001</v>
      </c>
      <c r="BX9" s="994">
        <v>38.483514249999999</v>
      </c>
      <c r="BY9" s="994">
        <v>12.10047295</v>
      </c>
      <c r="BZ9" s="994">
        <v>11.66881837</v>
      </c>
      <c r="CA9" s="994">
        <v>11.687493969999998</v>
      </c>
      <c r="CB9" s="994">
        <v>11.752212470000002</v>
      </c>
      <c r="CC9" s="994">
        <v>11.67856963</v>
      </c>
      <c r="CD9" s="994">
        <v>11.502353499999998</v>
      </c>
      <c r="CE9" s="994">
        <v>13.16579546</v>
      </c>
      <c r="CF9" s="994">
        <v>14.5535923</v>
      </c>
      <c r="CG9" s="994">
        <v>11.222574190000001</v>
      </c>
      <c r="CH9" s="994">
        <v>11.400066629999998</v>
      </c>
      <c r="CI9" s="994">
        <v>11.474553080000002</v>
      </c>
      <c r="CJ9" s="994">
        <v>11.81805348</v>
      </c>
      <c r="CK9" s="994">
        <v>12.012692649999998</v>
      </c>
      <c r="CL9" s="994">
        <v>10.9793217</v>
      </c>
      <c r="CM9" s="994">
        <v>10.746123109999999</v>
      </c>
      <c r="CN9" s="994">
        <v>10.690615039999999</v>
      </c>
      <c r="CO9" s="994">
        <v>10.685676540000001</v>
      </c>
      <c r="CP9" s="994">
        <v>11.16006915</v>
      </c>
      <c r="CQ9" s="994">
        <v>11.375937049999999</v>
      </c>
      <c r="CR9" s="994">
        <v>11.444378589999999</v>
      </c>
      <c r="CS9" s="994">
        <v>11.614221300000001</v>
      </c>
      <c r="CT9" s="994">
        <v>11.87564218</v>
      </c>
      <c r="CU9" s="994">
        <v>13.582138390000001</v>
      </c>
      <c r="CV9" s="994">
        <v>14.31555097</v>
      </c>
      <c r="CW9" s="994">
        <v>14.205448329999999</v>
      </c>
      <c r="CX9" s="994">
        <v>18.818514100000002</v>
      </c>
      <c r="CY9" s="994">
        <v>15.94230823</v>
      </c>
      <c r="CZ9" s="994">
        <v>16.544833499999999</v>
      </c>
      <c r="DA9" s="994">
        <v>14.00236743</v>
      </c>
      <c r="DB9" s="994">
        <v>14.63769447</v>
      </c>
      <c r="DC9" s="994">
        <v>65.943382479999997</v>
      </c>
      <c r="DD9" s="994">
        <v>66.151392749999999</v>
      </c>
      <c r="DE9" s="994">
        <v>74.340017619999998</v>
      </c>
      <c r="DF9" s="994">
        <v>76.414512049999999</v>
      </c>
      <c r="DG9" s="994">
        <v>74.457225620000003</v>
      </c>
      <c r="DH9" s="994">
        <v>72.886955529999994</v>
      </c>
      <c r="DI9" s="994">
        <v>75.743050960000005</v>
      </c>
      <c r="DJ9" s="994">
        <v>74.900554830000004</v>
      </c>
      <c r="DK9" s="994">
        <v>73.806275319999997</v>
      </c>
      <c r="DL9" s="994">
        <v>74.624624900000001</v>
      </c>
      <c r="DM9" s="994">
        <v>67.34479924</v>
      </c>
      <c r="DN9" s="994">
        <v>64.477835450000001</v>
      </c>
      <c r="DO9" s="994">
        <v>58.015686600000002</v>
      </c>
      <c r="DP9" s="994">
        <v>58.577398879999997</v>
      </c>
      <c r="DQ9" s="994">
        <v>23.52515382</v>
      </c>
      <c r="DR9" s="994">
        <v>27.935211670000001</v>
      </c>
      <c r="DS9" s="994">
        <v>27.925893869999999</v>
      </c>
      <c r="DT9" s="994">
        <v>27.931964239999999</v>
      </c>
      <c r="DU9" s="994">
        <v>27.297500039999999</v>
      </c>
      <c r="DV9" s="994">
        <v>26.71491923</v>
      </c>
      <c r="DW9" s="994">
        <v>26.81205361</v>
      </c>
      <c r="DX9" s="994">
        <v>25.539233729999999</v>
      </c>
      <c r="DY9" s="994">
        <v>25.290198369999999</v>
      </c>
      <c r="DZ9" s="994">
        <v>25.894561620000001</v>
      </c>
      <c r="EA9" s="994">
        <v>25.52373974</v>
      </c>
      <c r="EB9" s="994">
        <v>15.0992488</v>
      </c>
      <c r="EC9" s="994">
        <v>14.880518</v>
      </c>
      <c r="ED9" s="994">
        <v>13.92821885</v>
      </c>
      <c r="EE9" s="994">
        <v>61.365970799999999</v>
      </c>
      <c r="EK9" s="364"/>
    </row>
    <row r="10" spans="1:141" ht="19.8">
      <c r="A10" s="953" t="s">
        <v>2002</v>
      </c>
      <c r="B10" s="961">
        <f>+B8-B9</f>
        <v>2334.5519226400002</v>
      </c>
      <c r="C10" s="961">
        <f t="shared" ref="C10:V10" si="0">+C8-C9</f>
        <v>1860.6948955999999</v>
      </c>
      <c r="D10" s="961">
        <f t="shared" si="0"/>
        <v>1890.5179798999998</v>
      </c>
      <c r="E10" s="961">
        <f t="shared" si="0"/>
        <v>1926.67653316</v>
      </c>
      <c r="F10" s="961">
        <f t="shared" si="0"/>
        <v>1949.34534222</v>
      </c>
      <c r="G10" s="961">
        <f t="shared" si="0"/>
        <v>1979.7535052000001</v>
      </c>
      <c r="H10" s="961">
        <f t="shared" si="0"/>
        <v>2002.8748404699995</v>
      </c>
      <c r="I10" s="961">
        <f t="shared" si="0"/>
        <v>2042.6560602900001</v>
      </c>
      <c r="J10" s="961">
        <f t="shared" si="0"/>
        <v>2050.9539848099998</v>
      </c>
      <c r="K10" s="961">
        <f t="shared" si="0"/>
        <v>2082.4949247</v>
      </c>
      <c r="L10" s="961">
        <f t="shared" si="0"/>
        <v>2099.4076233500004</v>
      </c>
      <c r="M10" s="950">
        <f t="shared" si="0"/>
        <v>2091.6181185200003</v>
      </c>
      <c r="N10" s="946">
        <f t="shared" si="0"/>
        <v>2083.5046571499997</v>
      </c>
      <c r="O10" s="946">
        <f t="shared" si="0"/>
        <v>2112.3839528399999</v>
      </c>
      <c r="P10" s="946">
        <f t="shared" si="0"/>
        <v>2160.0613762399998</v>
      </c>
      <c r="Q10" s="946">
        <f t="shared" si="0"/>
        <v>2207.7021162700003</v>
      </c>
      <c r="R10" s="946">
        <f t="shared" si="0"/>
        <v>2272.1153200000003</v>
      </c>
      <c r="S10" s="946">
        <f t="shared" si="0"/>
        <v>2333.4430661500005</v>
      </c>
      <c r="T10" s="946">
        <f t="shared" si="0"/>
        <v>2365.0944806900002</v>
      </c>
      <c r="U10" s="946">
        <f t="shared" si="0"/>
        <v>2395.27174814</v>
      </c>
      <c r="V10" s="946">
        <f t="shared" si="0"/>
        <v>2442.6514419800001</v>
      </c>
      <c r="W10" s="946">
        <v>2447.1508456699999</v>
      </c>
      <c r="X10" s="946">
        <v>2500.0005420799998</v>
      </c>
      <c r="Y10" s="950">
        <v>2588.1330621200004</v>
      </c>
      <c r="Z10" s="946">
        <v>2556.4406774599997</v>
      </c>
      <c r="AA10" s="946">
        <v>2849.4037200400003</v>
      </c>
      <c r="AB10" s="950">
        <f>+AB8-AB9</f>
        <v>2825.6459097299999</v>
      </c>
      <c r="AC10" s="950">
        <v>2837.8820197500004</v>
      </c>
      <c r="AD10" s="950">
        <v>2789.2420324600002</v>
      </c>
      <c r="AE10" s="950">
        <v>2766.0172186300001</v>
      </c>
      <c r="AF10" s="950">
        <v>2740.3386993700005</v>
      </c>
      <c r="AG10" s="950">
        <v>2727.1975804000003</v>
      </c>
      <c r="AH10" s="950">
        <f>+AH8-AH9</f>
        <v>2312.3353627799997</v>
      </c>
      <c r="AI10" s="950">
        <v>2423.7524776199998</v>
      </c>
      <c r="AJ10" s="950">
        <f>+AJ8-AJ9</f>
        <v>2412.7645613900004</v>
      </c>
      <c r="AK10" s="950">
        <f>+AK8-AK9</f>
        <v>2978.9608715199997</v>
      </c>
      <c r="AL10" s="950">
        <v>2732.2013726099999</v>
      </c>
      <c r="AM10" s="950">
        <f>+AM8-AM9</f>
        <v>2682.5714522800004</v>
      </c>
      <c r="AN10" s="950">
        <f>+AN8-AN9</f>
        <v>2628.4507002700002</v>
      </c>
      <c r="AO10" s="950">
        <f>+AO8-AO9</f>
        <v>2508.62131955</v>
      </c>
      <c r="AP10" s="950">
        <v>2456.5197946899998</v>
      </c>
      <c r="AQ10" s="950">
        <v>2511.8970852000002</v>
      </c>
      <c r="AR10" s="950">
        <v>2390.8223407299997</v>
      </c>
      <c r="AS10" s="950">
        <v>2324.3078062300001</v>
      </c>
      <c r="AT10" s="950">
        <f>+AT8-AT9</f>
        <v>2377.12777805</v>
      </c>
      <c r="AU10" s="950">
        <v>2315.2275540000001</v>
      </c>
      <c r="AV10" s="950">
        <v>2213.7248615500002</v>
      </c>
      <c r="AW10" s="950">
        <v>2292.7953058000003</v>
      </c>
      <c r="AX10" s="950">
        <v>2259.3558100099999</v>
      </c>
      <c r="AY10" s="950">
        <v>2154.7194925100002</v>
      </c>
      <c r="AZ10" s="950">
        <v>2052.4055489900002</v>
      </c>
      <c r="BA10" s="950">
        <v>2054.5450917399999</v>
      </c>
      <c r="BB10" s="950">
        <v>2027.72128567</v>
      </c>
      <c r="BC10" s="950">
        <v>2013.5961428100004</v>
      </c>
      <c r="BD10" s="950">
        <f>+BD8-BD9</f>
        <v>1984.2193341100001</v>
      </c>
      <c r="BE10" s="950">
        <v>1938.8319523200003</v>
      </c>
      <c r="BF10" s="950">
        <v>2032.10823344</v>
      </c>
      <c r="BG10" s="950">
        <v>1972.3503726099998</v>
      </c>
      <c r="BH10" s="1005">
        <v>1959.9843873999996</v>
      </c>
      <c r="BI10" s="994">
        <v>1950.8697991400002</v>
      </c>
      <c r="BJ10" s="994">
        <v>1923.5895289300001</v>
      </c>
      <c r="BK10" s="994">
        <v>1891.0895976899999</v>
      </c>
      <c r="BL10" s="994">
        <v>1895.85442906</v>
      </c>
      <c r="BM10" s="994">
        <v>1897.6530097300001</v>
      </c>
      <c r="BN10" s="994">
        <v>1904.4238223</v>
      </c>
      <c r="BO10" s="994">
        <v>1944.9780432200002</v>
      </c>
      <c r="BP10" s="994">
        <v>1949.4545242700001</v>
      </c>
      <c r="BQ10" s="994">
        <v>1929.0000413099999</v>
      </c>
      <c r="BR10" s="994">
        <v>1959.0225847700001</v>
      </c>
      <c r="BS10" s="994">
        <v>1968.6154898899999</v>
      </c>
      <c r="BT10" s="994">
        <v>1999.2130282400003</v>
      </c>
      <c r="BU10" s="994">
        <v>2274.53278469</v>
      </c>
      <c r="BV10" s="994">
        <v>2225.5588260599998</v>
      </c>
      <c r="BW10" s="994">
        <v>2246.4966126899999</v>
      </c>
      <c r="BX10" s="994">
        <v>2263.2315938899997</v>
      </c>
      <c r="BY10" s="994">
        <v>2251.8707766300004</v>
      </c>
      <c r="BZ10" s="994">
        <v>2265.1530841800004</v>
      </c>
      <c r="CA10" s="994">
        <v>2281.4755889999997</v>
      </c>
      <c r="CB10" s="994">
        <v>2267.3201213000002</v>
      </c>
      <c r="CC10" s="994">
        <v>2276.31705874</v>
      </c>
      <c r="CD10" s="994">
        <v>2361.1266044099998</v>
      </c>
      <c r="CE10" s="994">
        <f t="shared" ref="CE10:CO10" si="1">+CE8-CE9</f>
        <v>2390.7637652099997</v>
      </c>
      <c r="CF10" s="994">
        <f t="shared" si="1"/>
        <v>2312.6142577899996</v>
      </c>
      <c r="CG10" s="994">
        <f t="shared" si="1"/>
        <v>2467.4672075999997</v>
      </c>
      <c r="CH10" s="994">
        <f t="shared" si="1"/>
        <v>2402.8416239099997</v>
      </c>
      <c r="CI10" s="994">
        <f t="shared" si="1"/>
        <v>2497.6590943599999</v>
      </c>
      <c r="CJ10" s="994">
        <f t="shared" si="1"/>
        <v>2479.3449730100001</v>
      </c>
      <c r="CK10" s="994">
        <f t="shared" si="1"/>
        <v>2426.4714499199999</v>
      </c>
      <c r="CL10" s="994">
        <f t="shared" si="1"/>
        <v>2386.2530584900001</v>
      </c>
      <c r="CM10" s="994">
        <f t="shared" si="1"/>
        <v>2367.8226521299998</v>
      </c>
      <c r="CN10" s="994">
        <f t="shared" si="1"/>
        <v>2351.9842822600003</v>
      </c>
      <c r="CO10" s="994">
        <f t="shared" si="1"/>
        <v>2368.0592147300003</v>
      </c>
      <c r="CP10" s="994">
        <f>+CP8-CP9</f>
        <v>2469.85485548</v>
      </c>
      <c r="CQ10" s="994">
        <f>+CQ8-CQ9</f>
        <v>2520.7214377099999</v>
      </c>
      <c r="CR10" s="994">
        <f>+CR8-CR9</f>
        <v>2568.3936923900001</v>
      </c>
      <c r="CS10" s="994">
        <v>2587.0922586199999</v>
      </c>
      <c r="CT10" s="994">
        <v>2587.2620531500002</v>
      </c>
      <c r="CU10" s="994">
        <v>2490.5255311699998</v>
      </c>
      <c r="CV10" s="994">
        <v>2493.6649616599998</v>
      </c>
      <c r="CW10" s="994">
        <v>2535.6502313000001</v>
      </c>
      <c r="CX10" s="994">
        <v>2532.4555486099998</v>
      </c>
      <c r="CY10" s="994">
        <v>2533.50980213</v>
      </c>
      <c r="CZ10" s="994">
        <v>2534.9080498899998</v>
      </c>
      <c r="DA10" s="994">
        <v>2525.6212596</v>
      </c>
      <c r="DB10" s="994">
        <v>2555.99320274</v>
      </c>
      <c r="DC10" s="994">
        <v>2711.6424093999999</v>
      </c>
      <c r="DD10" s="994">
        <v>2793.7971123299999</v>
      </c>
      <c r="DE10" s="994">
        <v>2907.9376150899998</v>
      </c>
      <c r="DF10" s="994">
        <v>2884.4160985499998</v>
      </c>
      <c r="DG10" s="994">
        <v>2954.9109259400002</v>
      </c>
      <c r="DH10" s="994">
        <v>2996.6421686799999</v>
      </c>
      <c r="DI10" s="994">
        <v>3050.9513953999999</v>
      </c>
      <c r="DJ10" s="994">
        <v>3055.36545441</v>
      </c>
      <c r="DK10" s="994">
        <v>3067.53901782</v>
      </c>
      <c r="DL10" s="994">
        <v>3031.8385036099999</v>
      </c>
      <c r="DM10" s="994">
        <v>3055.1970073500001</v>
      </c>
      <c r="DN10" s="994">
        <v>3130.20729355</v>
      </c>
      <c r="DO10" s="994">
        <v>3204.3011063399999</v>
      </c>
      <c r="DP10" s="994">
        <v>3273.6547444900002</v>
      </c>
      <c r="DQ10" s="994">
        <v>3269.82543012</v>
      </c>
      <c r="DR10" s="994">
        <v>3209.87253913</v>
      </c>
      <c r="DS10" s="994">
        <v>3206.0506313999999</v>
      </c>
      <c r="DT10" s="994">
        <v>3256.1396366200001</v>
      </c>
      <c r="DU10" s="994">
        <v>3302.5930477000002</v>
      </c>
      <c r="DV10" s="994">
        <v>3319.9686302700002</v>
      </c>
      <c r="DW10" s="994">
        <v>3373.2800869900002</v>
      </c>
      <c r="DX10" s="994">
        <v>3337.0850815499998</v>
      </c>
      <c r="DY10" s="994">
        <v>3381.5814293899998</v>
      </c>
      <c r="DZ10" s="994">
        <v>3460.86246381</v>
      </c>
      <c r="EA10" s="994">
        <v>3408.0823347800001</v>
      </c>
      <c r="EB10" s="994">
        <v>3490.4067599700002</v>
      </c>
      <c r="EC10" s="994">
        <v>3461.9680268799998</v>
      </c>
      <c r="ED10" s="994">
        <v>3430.2516527100001</v>
      </c>
      <c r="EE10" s="994">
        <v>3433.6396954299998</v>
      </c>
      <c r="EF10" s="510"/>
      <c r="EK10" s="364"/>
    </row>
    <row r="11" spans="1:141" ht="19.8">
      <c r="A11" s="948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995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995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995"/>
      <c r="EE11" s="995"/>
      <c r="EK11" s="364"/>
    </row>
    <row r="12" spans="1:141" ht="19.8">
      <c r="A12" s="952" t="s">
        <v>2821</v>
      </c>
      <c r="B12" s="961">
        <v>547.79937386000006</v>
      </c>
      <c r="C12" s="961">
        <v>461.15776901999993</v>
      </c>
      <c r="D12" s="961">
        <v>466.24857670000006</v>
      </c>
      <c r="E12" s="961">
        <v>468.33977585000002</v>
      </c>
      <c r="F12" s="961">
        <v>476.01826601000005</v>
      </c>
      <c r="G12" s="961">
        <v>484.09310134000003</v>
      </c>
      <c r="H12" s="961">
        <v>499.55653000999996</v>
      </c>
      <c r="I12" s="961">
        <v>501.93890012999998</v>
      </c>
      <c r="J12" s="961">
        <v>501.91481623999999</v>
      </c>
      <c r="K12" s="961">
        <v>517.66920114999994</v>
      </c>
      <c r="L12" s="961">
        <v>519.23505612999998</v>
      </c>
      <c r="M12" s="946">
        <v>472.84640899999999</v>
      </c>
      <c r="N12" s="946">
        <v>466.84179797000002</v>
      </c>
      <c r="O12" s="946">
        <v>489.90728141</v>
      </c>
      <c r="P12" s="946">
        <v>511.79192601000005</v>
      </c>
      <c r="Q12" s="946">
        <v>489.74004228000001</v>
      </c>
      <c r="R12" s="946">
        <v>432.98985758999999</v>
      </c>
      <c r="S12" s="946">
        <v>445.96218444000004</v>
      </c>
      <c r="T12" s="946">
        <v>442.78126667000004</v>
      </c>
      <c r="U12" s="946">
        <v>440.68610980999995</v>
      </c>
      <c r="V12" s="946">
        <v>443.17699164999999</v>
      </c>
      <c r="W12" s="946">
        <v>454.12003304999996</v>
      </c>
      <c r="X12" s="946">
        <v>463.57214304000001</v>
      </c>
      <c r="Y12" s="946">
        <v>507.04773160000002</v>
      </c>
      <c r="Z12" s="946">
        <v>487.24472751000002</v>
      </c>
      <c r="AA12" s="946">
        <v>573.94706654000004</v>
      </c>
      <c r="AB12" s="946">
        <v>572.55932051000002</v>
      </c>
      <c r="AC12" s="946">
        <v>563.29354675000013</v>
      </c>
      <c r="AD12" s="946">
        <v>563.29354675000013</v>
      </c>
      <c r="AE12" s="946">
        <v>527.31939884000008</v>
      </c>
      <c r="AF12" s="946">
        <v>508.21417700999996</v>
      </c>
      <c r="AG12" s="946">
        <v>469.17125914000007</v>
      </c>
      <c r="AH12" s="946">
        <v>452.03731624</v>
      </c>
      <c r="AI12" s="946">
        <v>469.33049527999998</v>
      </c>
      <c r="AJ12" s="946">
        <v>462.11960958999998</v>
      </c>
      <c r="AK12" s="946">
        <v>583.78429917000005</v>
      </c>
      <c r="AL12" s="946">
        <v>542.40457465999998</v>
      </c>
      <c r="AM12" s="946">
        <v>527.97769134000009</v>
      </c>
      <c r="AN12" s="946">
        <v>520.59306574999994</v>
      </c>
      <c r="AO12" s="946">
        <v>461.66289203999997</v>
      </c>
      <c r="AP12" s="946">
        <v>470.37813511000002</v>
      </c>
      <c r="AQ12" s="946">
        <v>501.41213126000002</v>
      </c>
      <c r="AR12" s="946">
        <v>435.33138190000005</v>
      </c>
      <c r="AS12" s="946">
        <v>466.75259310000001</v>
      </c>
      <c r="AT12" s="946">
        <v>466.27957695000003</v>
      </c>
      <c r="AU12" s="946">
        <v>485.93955225999997</v>
      </c>
      <c r="AV12" s="946">
        <v>506.78018202999999</v>
      </c>
      <c r="AW12" s="946">
        <v>566.40946628000006</v>
      </c>
      <c r="AX12" s="946">
        <v>536.33875986999999</v>
      </c>
      <c r="AY12" s="946">
        <v>494.51614584000004</v>
      </c>
      <c r="AZ12" s="946">
        <v>538.28363132000004</v>
      </c>
      <c r="BA12" s="946">
        <v>543.91402454000013</v>
      </c>
      <c r="BB12" s="946">
        <v>533.93324058000007</v>
      </c>
      <c r="BC12" s="946">
        <v>483.73679694999998</v>
      </c>
      <c r="BD12" s="946">
        <v>427.55483678000002</v>
      </c>
      <c r="BE12" s="946">
        <v>389.51799836999999</v>
      </c>
      <c r="BF12" s="946">
        <v>473.85874780000006</v>
      </c>
      <c r="BG12" s="946">
        <v>416.36924562000002</v>
      </c>
      <c r="BH12" s="1004">
        <v>401.73100927000007</v>
      </c>
      <c r="BI12" s="993">
        <v>348.22463987000003</v>
      </c>
      <c r="BJ12" s="993">
        <v>415.30128669000004</v>
      </c>
      <c r="BK12" s="993">
        <v>411.59684244000005</v>
      </c>
      <c r="BL12" s="993">
        <v>406.08091301000002</v>
      </c>
      <c r="BM12" s="993">
        <v>403.30476075000001</v>
      </c>
      <c r="BN12" s="993">
        <v>408.70475506000002</v>
      </c>
      <c r="BO12" s="993">
        <v>430.10997729999997</v>
      </c>
      <c r="BP12" s="993">
        <v>430.46671923000002</v>
      </c>
      <c r="BQ12" s="993">
        <v>428.75811389</v>
      </c>
      <c r="BR12" s="993">
        <v>467.33237649</v>
      </c>
      <c r="BS12" s="993">
        <v>477.63909032999999</v>
      </c>
      <c r="BT12" s="993">
        <v>510.59061911000003</v>
      </c>
      <c r="BU12" s="993">
        <v>571.7083161999999</v>
      </c>
      <c r="BV12" s="993">
        <v>482.17855266999999</v>
      </c>
      <c r="BW12" s="993">
        <v>482.55965781999998</v>
      </c>
      <c r="BX12" s="993">
        <v>483.04261182000005</v>
      </c>
      <c r="BY12" s="993">
        <v>478.32262721999996</v>
      </c>
      <c r="BZ12" s="993">
        <v>483.55668523999998</v>
      </c>
      <c r="CA12" s="993">
        <v>496.07422679000001</v>
      </c>
      <c r="CB12" s="993">
        <v>491.18875980000001</v>
      </c>
      <c r="CC12" s="993">
        <v>506.34737457</v>
      </c>
      <c r="CD12" s="993">
        <v>540.86798296999996</v>
      </c>
      <c r="CE12" s="993">
        <v>558.92817216000003</v>
      </c>
      <c r="CF12" s="993">
        <v>608.86660346999997</v>
      </c>
      <c r="CG12" s="993">
        <v>601.69282852000003</v>
      </c>
      <c r="CH12" s="993">
        <v>571.89430760000005</v>
      </c>
      <c r="CI12" s="993">
        <v>640.07710951000001</v>
      </c>
      <c r="CJ12" s="993">
        <v>645.47851074000005</v>
      </c>
      <c r="CK12" s="993">
        <v>675.10669726000015</v>
      </c>
      <c r="CL12" s="993">
        <v>680.18874404000007</v>
      </c>
      <c r="CM12" s="993">
        <v>663.59134124000002</v>
      </c>
      <c r="CN12" s="993">
        <v>675.50304216000006</v>
      </c>
      <c r="CO12" s="993">
        <v>674.41674845</v>
      </c>
      <c r="CP12" s="993">
        <v>651.93101971999999</v>
      </c>
      <c r="CQ12" s="993">
        <v>640.87907584999994</v>
      </c>
      <c r="CR12" s="993">
        <v>675.45890695999992</v>
      </c>
      <c r="CS12" s="993">
        <v>653.05127392999998</v>
      </c>
      <c r="CT12" s="993">
        <v>664.67954511000005</v>
      </c>
      <c r="CU12" s="993">
        <v>704.31695648000004</v>
      </c>
      <c r="CV12" s="993">
        <v>691.79864625000005</v>
      </c>
      <c r="CW12" s="993">
        <v>708.16397651</v>
      </c>
      <c r="CX12" s="993">
        <v>718.93468077</v>
      </c>
      <c r="CY12" s="993">
        <v>724.43980620000002</v>
      </c>
      <c r="CZ12" s="993">
        <v>751.00939098000003</v>
      </c>
      <c r="DA12" s="993">
        <v>751.57026893</v>
      </c>
      <c r="DB12" s="993">
        <v>778.31647277000002</v>
      </c>
      <c r="DC12" s="993">
        <v>885.70539861999998</v>
      </c>
      <c r="DD12" s="993">
        <v>935.30369561999998</v>
      </c>
      <c r="DE12" s="993">
        <v>967.45121948999997</v>
      </c>
      <c r="DF12" s="993">
        <v>970.51608670999997</v>
      </c>
      <c r="DG12" s="993">
        <v>1017.96249505</v>
      </c>
      <c r="DH12" s="993">
        <v>1044.10107513</v>
      </c>
      <c r="DI12" s="993">
        <v>1127.53605739</v>
      </c>
      <c r="DJ12" s="993">
        <v>1077.89437051</v>
      </c>
      <c r="DK12" s="993">
        <v>1090.2201935400001</v>
      </c>
      <c r="DL12" s="993">
        <v>1078.8626527399999</v>
      </c>
      <c r="DM12" s="993">
        <v>1097.2248855</v>
      </c>
      <c r="DN12" s="993">
        <v>1127.61839693</v>
      </c>
      <c r="DO12" s="993">
        <v>1127.49190101</v>
      </c>
      <c r="DP12" s="993">
        <v>1119.25537635</v>
      </c>
      <c r="DQ12" s="993">
        <v>1103.02309485</v>
      </c>
      <c r="DR12" s="993">
        <v>1073.8989260599999</v>
      </c>
      <c r="DS12" s="993">
        <v>1063.01777483</v>
      </c>
      <c r="DT12" s="993">
        <v>1052.7651534900001</v>
      </c>
      <c r="DU12" s="993">
        <v>1083.78074262</v>
      </c>
      <c r="DV12" s="993">
        <v>1095.6290489200001</v>
      </c>
      <c r="DW12" s="993">
        <v>1114.0128395500001</v>
      </c>
      <c r="DX12" s="993">
        <v>1065.1543059400001</v>
      </c>
      <c r="DY12" s="993">
        <v>1101.7440268800001</v>
      </c>
      <c r="DZ12" s="993">
        <v>1161.85065343</v>
      </c>
      <c r="EA12" s="993">
        <v>1166.5357950600001</v>
      </c>
      <c r="EB12" s="993">
        <v>1204.03085493</v>
      </c>
      <c r="EC12" s="993">
        <v>1196.3240258400001</v>
      </c>
      <c r="ED12" s="993">
        <v>1148.8878860299999</v>
      </c>
      <c r="EE12" s="993">
        <v>1139.9844257</v>
      </c>
      <c r="EK12" s="364"/>
    </row>
    <row r="13" spans="1:141" ht="19.8">
      <c r="A13" s="948" t="s">
        <v>2001</v>
      </c>
      <c r="B13" s="962">
        <v>5.5077418599999994</v>
      </c>
      <c r="C13" s="962">
        <v>2.63905915</v>
      </c>
      <c r="D13" s="962">
        <v>2.4680260000000001</v>
      </c>
      <c r="E13" s="962">
        <v>2.5342519999999999</v>
      </c>
      <c r="F13" s="962">
        <v>2.3572949100000002</v>
      </c>
      <c r="G13" s="962">
        <v>2.39434814</v>
      </c>
      <c r="H13" s="962">
        <v>2.21869454</v>
      </c>
      <c r="I13" s="962">
        <v>2.2175730099999997</v>
      </c>
      <c r="J13" s="962">
        <v>2.1327968099999999</v>
      </c>
      <c r="K13" s="962">
        <v>0.15235691000000001</v>
      </c>
      <c r="L13" s="962">
        <v>0.29234622999999998</v>
      </c>
      <c r="M13" s="950">
        <v>2.1634501200000003</v>
      </c>
      <c r="N13" s="950">
        <v>2.1362026600000004</v>
      </c>
      <c r="O13" s="950">
        <v>2.3648737299999998</v>
      </c>
      <c r="P13" s="950">
        <v>5.0940708700000004</v>
      </c>
      <c r="Q13" s="950">
        <v>6.8845715300000005</v>
      </c>
      <c r="R13" s="950">
        <v>2.0787792600000001</v>
      </c>
      <c r="S13" s="950">
        <v>2.06074666</v>
      </c>
      <c r="T13" s="950">
        <v>7.6648350000000004E-2</v>
      </c>
      <c r="U13" s="950">
        <v>5.512247E-2</v>
      </c>
      <c r="V13" s="950">
        <v>4.9718999999999999E-2</v>
      </c>
      <c r="W13" s="950">
        <v>4.4072029999999998E-2</v>
      </c>
      <c r="X13" s="950">
        <v>0.35506119000000003</v>
      </c>
      <c r="Y13" s="950">
        <v>0.23989473</v>
      </c>
      <c r="Z13" s="950">
        <v>0.23989473</v>
      </c>
      <c r="AA13" s="950">
        <v>0.79525460999999997</v>
      </c>
      <c r="AB13" s="950">
        <v>0.82855666000000006</v>
      </c>
      <c r="AC13" s="950">
        <v>0.80778344000000002</v>
      </c>
      <c r="AD13" s="950">
        <v>0.80778344000000002</v>
      </c>
      <c r="AE13" s="950">
        <v>0.6689949300000001</v>
      </c>
      <c r="AF13" s="950">
        <v>0.65812754000000007</v>
      </c>
      <c r="AG13" s="950">
        <v>0.65335885999999999</v>
      </c>
      <c r="AH13" s="950">
        <v>0.65129349999999997</v>
      </c>
      <c r="AI13" s="950">
        <v>0.92715848999999995</v>
      </c>
      <c r="AJ13" s="950">
        <v>0.92853869</v>
      </c>
      <c r="AK13" s="950">
        <v>1.0040299799999999</v>
      </c>
      <c r="AL13" s="950">
        <v>0.46686704999999995</v>
      </c>
      <c r="AM13" s="950">
        <v>0.46204220000000001</v>
      </c>
      <c r="AN13" s="950">
        <v>0.40823673000000005</v>
      </c>
      <c r="AO13" s="950">
        <v>0.31593367</v>
      </c>
      <c r="AP13" s="950">
        <v>0.25302477000000001</v>
      </c>
      <c r="AQ13" s="950">
        <v>0.31974582000000001</v>
      </c>
      <c r="AR13" s="950">
        <v>0.27171142999999998</v>
      </c>
      <c r="AS13" s="950">
        <v>0.22597698999999999</v>
      </c>
      <c r="AT13" s="950">
        <v>0.17776233</v>
      </c>
      <c r="AU13" s="950">
        <v>0.71739769999999992</v>
      </c>
      <c r="AV13" s="950">
        <v>0.64323420999999992</v>
      </c>
      <c r="AW13" s="950">
        <v>2.1314711800000001</v>
      </c>
      <c r="AX13" s="950">
        <v>2.0823724100000001</v>
      </c>
      <c r="AY13" s="950">
        <v>1.9746137099999999</v>
      </c>
      <c r="AZ13" s="950">
        <v>1.97565612</v>
      </c>
      <c r="BA13" s="950">
        <v>1.8584068</v>
      </c>
      <c r="BB13" s="950">
        <v>1.6786282299999997</v>
      </c>
      <c r="BC13" s="950">
        <v>1.5753026999999999</v>
      </c>
      <c r="BD13" s="950">
        <v>8.106130460000001</v>
      </c>
      <c r="BE13" s="950">
        <v>0.16636626000000002</v>
      </c>
      <c r="BF13" s="950">
        <v>0.11708536</v>
      </c>
      <c r="BG13" s="950">
        <v>0.32004645000000004</v>
      </c>
      <c r="BH13" s="1005">
        <v>0.29585921999999998</v>
      </c>
      <c r="BI13" s="994">
        <v>0.48639188</v>
      </c>
      <c r="BJ13" s="994">
        <v>2.1503560500000001</v>
      </c>
      <c r="BK13" s="994">
        <v>2.7630819099999999</v>
      </c>
      <c r="BL13" s="994">
        <v>0.31837223000000003</v>
      </c>
      <c r="BM13" s="994">
        <v>0.20333888999999999</v>
      </c>
      <c r="BN13" s="994">
        <v>0.6787724100000001</v>
      </c>
      <c r="BO13" s="994">
        <v>0.66258715999999995</v>
      </c>
      <c r="BP13" s="994">
        <v>0.32717798000000003</v>
      </c>
      <c r="BQ13" s="994">
        <v>0.33957270999999994</v>
      </c>
      <c r="BR13" s="994">
        <v>0.26435327999999997</v>
      </c>
      <c r="BS13" s="994">
        <v>0.22467983</v>
      </c>
      <c r="BT13" s="994">
        <v>0.23786702999999998</v>
      </c>
      <c r="BU13" s="994">
        <v>19.977685779999998</v>
      </c>
      <c r="BV13" s="994">
        <v>0.48522019</v>
      </c>
      <c r="BW13" s="994">
        <v>0.47515215</v>
      </c>
      <c r="BX13" s="994">
        <v>0.49968954999999998</v>
      </c>
      <c r="BY13" s="994">
        <v>0.69937490000000002</v>
      </c>
      <c r="BZ13" s="994">
        <v>0.28276412999999995</v>
      </c>
      <c r="CA13" s="994">
        <v>0.41418199999999999</v>
      </c>
      <c r="CB13" s="994">
        <v>0.40737653000000001</v>
      </c>
      <c r="CC13" s="994">
        <v>0.41175471000000002</v>
      </c>
      <c r="CD13" s="994">
        <v>0.29879290999999997</v>
      </c>
      <c r="CE13" s="994">
        <v>2.0134930600000001</v>
      </c>
      <c r="CF13" s="994">
        <v>3.3967754100000001</v>
      </c>
      <c r="CG13" s="994">
        <v>0.14336361</v>
      </c>
      <c r="CH13" s="994">
        <v>0.39326959</v>
      </c>
      <c r="CI13" s="994">
        <v>0.37409959000000004</v>
      </c>
      <c r="CJ13" s="994">
        <v>0.78994218999999999</v>
      </c>
      <c r="CK13" s="994">
        <v>1.1140366799999999</v>
      </c>
      <c r="CL13" s="994">
        <v>0.50187667000000002</v>
      </c>
      <c r="CM13" s="994">
        <v>0.3212313</v>
      </c>
      <c r="CN13" s="994">
        <v>0.33090890000000001</v>
      </c>
      <c r="CO13" s="994">
        <v>0.37815460000000001</v>
      </c>
      <c r="CP13" s="994">
        <v>0.25926663999999999</v>
      </c>
      <c r="CQ13" s="994">
        <v>0.53626451000000008</v>
      </c>
      <c r="CR13" s="994">
        <v>0.61434560999999999</v>
      </c>
      <c r="CS13" s="994">
        <v>0.75184340000000005</v>
      </c>
      <c r="CT13" s="994">
        <v>1.0246679999999999</v>
      </c>
      <c r="CU13" s="994">
        <v>2.4499153300000001</v>
      </c>
      <c r="CV13" s="994">
        <v>3.1986954700000001</v>
      </c>
      <c r="CW13" s="994">
        <v>2.8694846200000002</v>
      </c>
      <c r="CX13" s="994">
        <v>7.51834442</v>
      </c>
      <c r="CY13" s="994">
        <v>4.7008598800000003</v>
      </c>
      <c r="CZ13" s="994">
        <v>5.3360558400000002</v>
      </c>
      <c r="DA13" s="994">
        <v>2.6319630300000001</v>
      </c>
      <c r="DB13" s="994">
        <v>3.2997145300000001</v>
      </c>
      <c r="DC13" s="994">
        <v>42.403330850000003</v>
      </c>
      <c r="DD13" s="994">
        <v>42.402950109999999</v>
      </c>
      <c r="DE13" s="994">
        <v>44.521829850000003</v>
      </c>
      <c r="DF13" s="994">
        <v>46.639314540000001</v>
      </c>
      <c r="DG13" s="994">
        <v>45.234396709999999</v>
      </c>
      <c r="DH13" s="994">
        <v>43.679613359999998</v>
      </c>
      <c r="DI13" s="994">
        <v>45.583866970000003</v>
      </c>
      <c r="DJ13" s="994">
        <v>44.762636539999995</v>
      </c>
      <c r="DK13" s="994">
        <v>43.473463250000002</v>
      </c>
      <c r="DL13" s="994">
        <v>44.330679629999999</v>
      </c>
      <c r="DM13" s="994">
        <v>38.177557749999998</v>
      </c>
      <c r="DN13" s="994">
        <v>34.4314106</v>
      </c>
      <c r="DO13" s="994">
        <v>29.182469900000001</v>
      </c>
      <c r="DP13" s="994">
        <v>27.811703250000001</v>
      </c>
      <c r="DQ13" s="994">
        <v>0.12651493</v>
      </c>
      <c r="DR13" s="994">
        <v>4.2684375899999996</v>
      </c>
      <c r="DS13" s="994">
        <v>4.31986413</v>
      </c>
      <c r="DT13" s="994">
        <v>4.3180392799999998</v>
      </c>
      <c r="DU13" s="994">
        <v>3.8348396999999999</v>
      </c>
      <c r="DV13" s="994">
        <v>3.37831489</v>
      </c>
      <c r="DW13" s="994">
        <v>3.3015791999999999</v>
      </c>
      <c r="DX13" s="994">
        <v>2.2355079500000001</v>
      </c>
      <c r="DY13" s="994">
        <v>2.2585728899999999</v>
      </c>
      <c r="DZ13" s="994">
        <v>2.5916023899999998</v>
      </c>
      <c r="EA13" s="994">
        <v>1.47954586</v>
      </c>
      <c r="EB13" s="994">
        <v>1.4498287700000001</v>
      </c>
      <c r="EC13" s="994">
        <v>1.3779375300000001</v>
      </c>
      <c r="ED13" s="994">
        <v>0.59342698000000005</v>
      </c>
      <c r="EE13" s="994">
        <v>0.33279955</v>
      </c>
      <c r="EK13" s="364"/>
    </row>
    <row r="14" spans="1:141" ht="19.8">
      <c r="A14" s="953" t="s">
        <v>2002</v>
      </c>
      <c r="B14" s="962">
        <f>+B12-B13</f>
        <v>542.29163200000005</v>
      </c>
      <c r="C14" s="962">
        <f t="shared" ref="C14:V14" si="2">+C12-C13</f>
        <v>458.51870986999995</v>
      </c>
      <c r="D14" s="962">
        <f t="shared" si="2"/>
        <v>463.78055070000005</v>
      </c>
      <c r="E14" s="962">
        <f t="shared" si="2"/>
        <v>465.80552385000004</v>
      </c>
      <c r="F14" s="962">
        <f t="shared" si="2"/>
        <v>473.66097110000004</v>
      </c>
      <c r="G14" s="962">
        <f t="shared" si="2"/>
        <v>481.69875320000006</v>
      </c>
      <c r="H14" s="962">
        <f t="shared" si="2"/>
        <v>497.33783546999996</v>
      </c>
      <c r="I14" s="962">
        <f t="shared" si="2"/>
        <v>499.72132711999996</v>
      </c>
      <c r="J14" s="962">
        <f t="shared" si="2"/>
        <v>499.78201942999999</v>
      </c>
      <c r="K14" s="962">
        <f t="shared" si="2"/>
        <v>517.51684423999995</v>
      </c>
      <c r="L14" s="962">
        <f t="shared" si="2"/>
        <v>518.94270989999995</v>
      </c>
      <c r="M14" s="950">
        <f>+M12-M13</f>
        <v>470.68295888</v>
      </c>
      <c r="N14" s="950">
        <f t="shared" si="2"/>
        <v>464.70559531000004</v>
      </c>
      <c r="O14" s="950">
        <f t="shared" si="2"/>
        <v>487.54240768</v>
      </c>
      <c r="P14" s="950">
        <f t="shared" si="2"/>
        <v>506.69785514000006</v>
      </c>
      <c r="Q14" s="950">
        <f t="shared" si="2"/>
        <v>482.85547074999999</v>
      </c>
      <c r="R14" s="950">
        <f t="shared" si="2"/>
        <v>430.91107833000001</v>
      </c>
      <c r="S14" s="950">
        <f t="shared" si="2"/>
        <v>443.90143778000004</v>
      </c>
      <c r="T14" s="950">
        <f t="shared" si="2"/>
        <v>442.70461832000001</v>
      </c>
      <c r="U14" s="950">
        <f t="shared" si="2"/>
        <v>440.63098733999993</v>
      </c>
      <c r="V14" s="950">
        <f t="shared" si="2"/>
        <v>443.12727265000001</v>
      </c>
      <c r="W14" s="950">
        <v>454.07596101999997</v>
      </c>
      <c r="X14" s="950">
        <v>463.21708185</v>
      </c>
      <c r="Y14" s="950">
        <v>506.80783687000002</v>
      </c>
      <c r="Z14" s="950">
        <v>487.00483278000002</v>
      </c>
      <c r="AA14" s="950">
        <v>573.15181193000001</v>
      </c>
      <c r="AB14" s="950">
        <f>+AB12-AB13</f>
        <v>571.73076385000002</v>
      </c>
      <c r="AC14" s="950">
        <v>562.48576331000015</v>
      </c>
      <c r="AD14" s="950">
        <v>562.48576331000015</v>
      </c>
      <c r="AE14" s="950">
        <v>526.65040391000002</v>
      </c>
      <c r="AF14" s="950">
        <v>507.55604946999995</v>
      </c>
      <c r="AG14" s="950">
        <v>468.51790028000005</v>
      </c>
      <c r="AH14" s="950">
        <f>+AH12-AH13</f>
        <v>451.38602273999999</v>
      </c>
      <c r="AI14" s="950">
        <v>468.40333678999997</v>
      </c>
      <c r="AJ14" s="950">
        <f>+AJ12-AJ13</f>
        <v>461.1910709</v>
      </c>
      <c r="AK14" s="950">
        <f>+AK12-AK13</f>
        <v>582.78026919000001</v>
      </c>
      <c r="AL14" s="950">
        <v>541.93770760999996</v>
      </c>
      <c r="AM14" s="950">
        <f>+AM12-AM13</f>
        <v>527.51564914000005</v>
      </c>
      <c r="AN14" s="950">
        <f>+AN12-AN13</f>
        <v>520.18482901999994</v>
      </c>
      <c r="AO14" s="950">
        <f>+AO12-AO13</f>
        <v>461.34695836999998</v>
      </c>
      <c r="AP14" s="950">
        <v>470.12511033999999</v>
      </c>
      <c r="AQ14" s="950">
        <v>501.09238544000004</v>
      </c>
      <c r="AR14" s="950">
        <v>435.05967047000007</v>
      </c>
      <c r="AS14" s="950">
        <v>466.52661611000002</v>
      </c>
      <c r="AT14" s="950">
        <f>+AT12-AT13</f>
        <v>466.10181462000003</v>
      </c>
      <c r="AU14" s="950">
        <v>485.22215455999998</v>
      </c>
      <c r="AV14" s="950">
        <v>506.13694781999999</v>
      </c>
      <c r="AW14" s="950">
        <v>564.27799510000011</v>
      </c>
      <c r="AX14" s="950">
        <v>534.25638746000004</v>
      </c>
      <c r="AY14" s="950">
        <v>492.54153213000006</v>
      </c>
      <c r="AZ14" s="950">
        <v>536.30797519999999</v>
      </c>
      <c r="BA14" s="950">
        <v>542.05561774000012</v>
      </c>
      <c r="BB14" s="950">
        <v>532.25461235000012</v>
      </c>
      <c r="BC14" s="950">
        <v>482.16149424999998</v>
      </c>
      <c r="BD14" s="950">
        <f>+BD12-BD13</f>
        <v>419.44870632000004</v>
      </c>
      <c r="BE14" s="950">
        <v>389.35163210999997</v>
      </c>
      <c r="BF14" s="950">
        <v>473.74166244000008</v>
      </c>
      <c r="BG14" s="950">
        <v>416.04919917000001</v>
      </c>
      <c r="BH14" s="1005">
        <v>401.43515005000006</v>
      </c>
      <c r="BI14" s="994">
        <v>347.73824799000005</v>
      </c>
      <c r="BJ14" s="994">
        <v>413.15093064000001</v>
      </c>
      <c r="BK14" s="994">
        <v>408.83376053000006</v>
      </c>
      <c r="BL14" s="994">
        <v>405.76254077999999</v>
      </c>
      <c r="BM14" s="994">
        <v>403.10142186000002</v>
      </c>
      <c r="BN14" s="994">
        <v>408.02598265</v>
      </c>
      <c r="BO14" s="994">
        <v>429.44739013999998</v>
      </c>
      <c r="BP14" s="994">
        <v>430.13954125000004</v>
      </c>
      <c r="BQ14" s="994">
        <v>428.41854117999998</v>
      </c>
      <c r="BR14" s="994">
        <v>467.06802320999998</v>
      </c>
      <c r="BS14" s="994">
        <v>477.41441049999997</v>
      </c>
      <c r="BT14" s="994">
        <v>510.35275208000002</v>
      </c>
      <c r="BU14" s="994">
        <v>551.7306304199999</v>
      </c>
      <c r="BV14" s="994">
        <v>481.69333247999998</v>
      </c>
      <c r="BW14" s="994">
        <v>482.08450567</v>
      </c>
      <c r="BX14" s="994">
        <v>482.54292227000002</v>
      </c>
      <c r="BY14" s="994">
        <v>477.62325231999995</v>
      </c>
      <c r="BZ14" s="994">
        <v>483.27392111</v>
      </c>
      <c r="CA14" s="994">
        <v>495.66004479000003</v>
      </c>
      <c r="CB14" s="994">
        <v>490.78138326999999</v>
      </c>
      <c r="CC14" s="994">
        <v>505.93561985999997</v>
      </c>
      <c r="CD14" s="994">
        <v>540.56919005999998</v>
      </c>
      <c r="CE14" s="994">
        <f t="shared" ref="CE14:CO14" si="3">+CE12-CE13</f>
        <v>556.91467910000006</v>
      </c>
      <c r="CF14" s="994">
        <f t="shared" si="3"/>
        <v>605.46982805999994</v>
      </c>
      <c r="CG14" s="994">
        <f t="shared" si="3"/>
        <v>601.54946490999998</v>
      </c>
      <c r="CH14" s="994">
        <f t="shared" si="3"/>
        <v>571.50103801</v>
      </c>
      <c r="CI14" s="994">
        <f t="shared" si="3"/>
        <v>639.70300992</v>
      </c>
      <c r="CJ14" s="994">
        <f t="shared" si="3"/>
        <v>644.68856855000001</v>
      </c>
      <c r="CK14" s="994">
        <f t="shared" si="3"/>
        <v>673.99266058000012</v>
      </c>
      <c r="CL14" s="994">
        <f t="shared" si="3"/>
        <v>679.68686737000007</v>
      </c>
      <c r="CM14" s="994">
        <f t="shared" si="3"/>
        <v>663.27010994</v>
      </c>
      <c r="CN14" s="994">
        <f t="shared" si="3"/>
        <v>675.17213326000001</v>
      </c>
      <c r="CO14" s="994">
        <f t="shared" si="3"/>
        <v>674.03859384999998</v>
      </c>
      <c r="CP14" s="994">
        <f>+CP12-CP13</f>
        <v>651.67175308000003</v>
      </c>
      <c r="CQ14" s="994">
        <f>+CQ12-CQ13</f>
        <v>640.34281133999991</v>
      </c>
      <c r="CR14" s="994">
        <f>+CR12-CR13</f>
        <v>674.84456134999994</v>
      </c>
      <c r="CS14" s="994">
        <v>652.29943053</v>
      </c>
      <c r="CT14" s="994">
        <v>663.65487711000003</v>
      </c>
      <c r="CU14" s="994">
        <v>701.86704114999998</v>
      </c>
      <c r="CV14" s="994">
        <v>688.59995077999997</v>
      </c>
      <c r="CW14" s="994">
        <v>705.29449189000002</v>
      </c>
      <c r="CX14" s="994">
        <v>711.41633635000005</v>
      </c>
      <c r="CY14" s="994">
        <v>719.73894631999997</v>
      </c>
      <c r="CZ14" s="994">
        <v>745.67333513999995</v>
      </c>
      <c r="DA14" s="994">
        <v>748.93830590000005</v>
      </c>
      <c r="DB14" s="994">
        <v>775.01675823999994</v>
      </c>
      <c r="DC14" s="994">
        <v>843.30206777000001</v>
      </c>
      <c r="DD14" s="994">
        <v>892.90074550999998</v>
      </c>
      <c r="DE14" s="994">
        <v>922.92938963999995</v>
      </c>
      <c r="DF14" s="994">
        <v>923.87677216999998</v>
      </c>
      <c r="DG14" s="994">
        <v>972.72809833999997</v>
      </c>
      <c r="DH14" s="994">
        <v>1000.42146177</v>
      </c>
      <c r="DI14" s="994">
        <v>1081.9521904200001</v>
      </c>
      <c r="DJ14" s="994">
        <v>1033.1317339700001</v>
      </c>
      <c r="DK14" s="994">
        <v>1046.74673029</v>
      </c>
      <c r="DL14" s="994">
        <v>1034.5319731100001</v>
      </c>
      <c r="DM14" s="994">
        <v>1059.04732775</v>
      </c>
      <c r="DN14" s="994">
        <v>1093.1869863300001</v>
      </c>
      <c r="DO14" s="994">
        <v>1098.3094311100001</v>
      </c>
      <c r="DP14" s="994">
        <v>1091.4436731000001</v>
      </c>
      <c r="DQ14" s="994">
        <v>1102.89657992</v>
      </c>
      <c r="DR14" s="994">
        <v>1069.63048847</v>
      </c>
      <c r="DS14" s="994">
        <v>1058.6979107</v>
      </c>
      <c r="DT14" s="994">
        <v>1048.4471142100001</v>
      </c>
      <c r="DU14" s="994">
        <v>1079.94590292</v>
      </c>
      <c r="DV14" s="994">
        <v>1092.2507340300001</v>
      </c>
      <c r="DW14" s="994">
        <v>1110.71126035</v>
      </c>
      <c r="DX14" s="994">
        <v>1062.91879799</v>
      </c>
      <c r="DY14" s="994">
        <v>1099.48545399</v>
      </c>
      <c r="DZ14" s="994">
        <v>1159.25905104</v>
      </c>
      <c r="EA14" s="994">
        <v>1165.0562491999999</v>
      </c>
      <c r="EB14" s="994">
        <v>1202.58102616</v>
      </c>
      <c r="EC14" s="994">
        <v>1194.9460883100001</v>
      </c>
      <c r="ED14" s="994">
        <v>1148.2944590499999</v>
      </c>
      <c r="EE14" s="994">
        <v>1139.6516261500001</v>
      </c>
      <c r="EF14" s="510"/>
      <c r="EK14" s="364"/>
    </row>
    <row r="15" spans="1:141" ht="19.8">
      <c r="A15" s="944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5"/>
      <c r="CN15" s="995"/>
      <c r="CO15" s="995"/>
      <c r="CP15" s="995"/>
      <c r="CQ15" s="995"/>
      <c r="CR15" s="995"/>
      <c r="CS15" s="995"/>
      <c r="CT15" s="995"/>
      <c r="CU15" s="995"/>
      <c r="CV15" s="995"/>
      <c r="CW15" s="995"/>
      <c r="CX15" s="995"/>
      <c r="CY15" s="995"/>
      <c r="CZ15" s="995"/>
      <c r="DA15" s="995"/>
      <c r="DB15" s="995"/>
      <c r="DC15" s="995"/>
      <c r="DD15" s="995"/>
      <c r="DE15" s="995"/>
      <c r="DF15" s="995"/>
      <c r="DG15" s="995"/>
      <c r="DH15" s="995"/>
      <c r="DI15" s="995"/>
      <c r="DJ15" s="995"/>
      <c r="DK15" s="995"/>
      <c r="DL15" s="995"/>
      <c r="DM15" s="995"/>
      <c r="DN15" s="995"/>
      <c r="DO15" s="995"/>
      <c r="DP15" s="995"/>
      <c r="DQ15" s="995"/>
      <c r="DR15" s="995"/>
      <c r="DS15" s="995"/>
      <c r="DT15" s="995"/>
      <c r="DU15" s="995"/>
      <c r="DV15" s="995"/>
      <c r="DW15" s="995"/>
      <c r="DX15" s="995"/>
      <c r="DY15" s="995"/>
      <c r="DZ15" s="995"/>
      <c r="EA15" s="995"/>
      <c r="EB15" s="995"/>
      <c r="EC15" s="995"/>
      <c r="ED15" s="995"/>
      <c r="EE15" s="995"/>
      <c r="EK15" s="364"/>
    </row>
    <row r="16" spans="1:141" ht="19.8">
      <c r="A16" s="1509" t="s">
        <v>189</v>
      </c>
      <c r="B16" s="962">
        <v>360.45105895</v>
      </c>
      <c r="C16" s="962">
        <v>318.24233717999994</v>
      </c>
      <c r="D16" s="962">
        <v>313.43647246</v>
      </c>
      <c r="E16" s="962">
        <v>321.85083830999997</v>
      </c>
      <c r="F16" s="962">
        <v>334.12885825000001</v>
      </c>
      <c r="G16" s="962">
        <v>339.79430869000004</v>
      </c>
      <c r="H16" s="962">
        <v>361.71528766</v>
      </c>
      <c r="I16" s="962">
        <v>366.94614264000001</v>
      </c>
      <c r="J16" s="962">
        <v>358.76903904</v>
      </c>
      <c r="K16" s="962">
        <v>365.45385947999995</v>
      </c>
      <c r="L16" s="962">
        <v>364.07256399000005</v>
      </c>
      <c r="M16" s="946">
        <v>330.06307307999998</v>
      </c>
      <c r="N16" s="950">
        <v>316.35718559999998</v>
      </c>
      <c r="O16" s="950">
        <v>336.98047983999999</v>
      </c>
      <c r="P16" s="950">
        <v>344.98320585000005</v>
      </c>
      <c r="Q16" s="950">
        <v>322.91731682</v>
      </c>
      <c r="R16" s="950">
        <v>264.36694292999999</v>
      </c>
      <c r="S16" s="950">
        <v>274.35295033000006</v>
      </c>
      <c r="T16" s="950">
        <v>270.74685861000006</v>
      </c>
      <c r="U16" s="950">
        <v>269.53188184999999</v>
      </c>
      <c r="V16" s="950">
        <v>279.76783842000003</v>
      </c>
      <c r="W16" s="950">
        <v>281.97814194</v>
      </c>
      <c r="X16" s="950">
        <v>293.53989395000002</v>
      </c>
      <c r="Y16" s="946">
        <v>324.57534614000002</v>
      </c>
      <c r="Z16" s="950">
        <v>324.57534614000002</v>
      </c>
      <c r="AA16" s="950">
        <v>305.508174</v>
      </c>
      <c r="AB16" s="946">
        <v>304.52716656000001</v>
      </c>
      <c r="AC16" s="946">
        <v>287.61634137000004</v>
      </c>
      <c r="AD16" s="946">
        <v>255.97855405999999</v>
      </c>
      <c r="AE16" s="946">
        <v>246.47158616000002</v>
      </c>
      <c r="AF16" s="946">
        <v>237.40004367</v>
      </c>
      <c r="AG16" s="946">
        <v>237.86356160000003</v>
      </c>
      <c r="AH16" s="946">
        <v>203.50431107</v>
      </c>
      <c r="AI16" s="946">
        <v>242.72090075</v>
      </c>
      <c r="AJ16" s="946">
        <v>202.07795525</v>
      </c>
      <c r="AK16" s="946">
        <v>184.02105592000001</v>
      </c>
      <c r="AL16" s="946">
        <v>159.40219552000002</v>
      </c>
      <c r="AM16" s="946">
        <v>160.21408177000001</v>
      </c>
      <c r="AN16" s="946">
        <v>140.60697213999998</v>
      </c>
      <c r="AO16" s="946">
        <v>128.49288503</v>
      </c>
      <c r="AP16" s="946">
        <v>130.34616259000001</v>
      </c>
      <c r="AQ16" s="946">
        <v>138.47085386000003</v>
      </c>
      <c r="AR16" s="946">
        <v>167.38797790000001</v>
      </c>
      <c r="AS16" s="946">
        <v>182.07254061</v>
      </c>
      <c r="AT16" s="946">
        <v>185.56536626000002</v>
      </c>
      <c r="AU16" s="946">
        <v>190.90417069</v>
      </c>
      <c r="AV16" s="946">
        <v>193.89083522000001</v>
      </c>
      <c r="AW16" s="946">
        <v>237.55405096000001</v>
      </c>
      <c r="AX16" s="946">
        <v>219.55976458000001</v>
      </c>
      <c r="AY16" s="946">
        <v>214.63326011000001</v>
      </c>
      <c r="AZ16" s="946">
        <v>248.24516326</v>
      </c>
      <c r="BA16" s="946">
        <v>253.49772682000003</v>
      </c>
      <c r="BB16" s="946">
        <v>255.56670777000002</v>
      </c>
      <c r="BC16" s="946">
        <v>234.99510544000003</v>
      </c>
      <c r="BD16" s="946">
        <v>155.45955909000003</v>
      </c>
      <c r="BE16" s="946">
        <v>149.00460891</v>
      </c>
      <c r="BF16" s="946">
        <v>153.77621406</v>
      </c>
      <c r="BG16" s="946">
        <v>158.63819907000001</v>
      </c>
      <c r="BH16" s="1004">
        <v>139.16558626000003</v>
      </c>
      <c r="BI16" s="993">
        <v>133.14141452000001</v>
      </c>
      <c r="BJ16" s="993">
        <v>157.83559736000001</v>
      </c>
      <c r="BK16" s="993">
        <v>167.30818128999999</v>
      </c>
      <c r="BL16" s="993">
        <v>164.62750359</v>
      </c>
      <c r="BM16" s="993">
        <v>160.60483623000002</v>
      </c>
      <c r="BN16" s="993">
        <v>166.34017061000003</v>
      </c>
      <c r="BO16" s="993">
        <v>178.54988994999999</v>
      </c>
      <c r="BP16" s="993">
        <v>174.38570898</v>
      </c>
      <c r="BQ16" s="993">
        <v>182.85013850000001</v>
      </c>
      <c r="BR16" s="993">
        <v>180.84660663999998</v>
      </c>
      <c r="BS16" s="993">
        <v>183.08964907000001</v>
      </c>
      <c r="BT16" s="993">
        <v>213.45002787000001</v>
      </c>
      <c r="BU16" s="993">
        <v>263.06649168000001</v>
      </c>
      <c r="BV16" s="993">
        <v>235.82993969</v>
      </c>
      <c r="BW16" s="993">
        <v>239.37729684000001</v>
      </c>
      <c r="BX16" s="993">
        <v>228.21902999000002</v>
      </c>
      <c r="BY16" s="993">
        <v>222.96469893</v>
      </c>
      <c r="BZ16" s="993">
        <v>230.34543789</v>
      </c>
      <c r="CA16" s="993">
        <v>248.29188327</v>
      </c>
      <c r="CB16" s="993">
        <v>250.23764731</v>
      </c>
      <c r="CC16" s="993">
        <v>275.1613433</v>
      </c>
      <c r="CD16" s="993">
        <v>284.31871843000005</v>
      </c>
      <c r="CE16" s="993">
        <v>298.47361185</v>
      </c>
      <c r="CF16" s="993">
        <v>329.35263246</v>
      </c>
      <c r="CG16" s="993">
        <v>336.04326756</v>
      </c>
      <c r="CH16" s="993">
        <v>317.42122813999998</v>
      </c>
      <c r="CI16" s="993">
        <v>365.36718913000004</v>
      </c>
      <c r="CJ16" s="993">
        <v>402.64771755999999</v>
      </c>
      <c r="CK16" s="993">
        <v>442.10030165000006</v>
      </c>
      <c r="CL16" s="993">
        <v>477.45576204000002</v>
      </c>
      <c r="CM16" s="993">
        <v>468.29573277000003</v>
      </c>
      <c r="CN16" s="993">
        <v>485.50756532000003</v>
      </c>
      <c r="CO16" s="993">
        <v>485.92494305999998</v>
      </c>
      <c r="CP16" s="993">
        <v>460.13635391999998</v>
      </c>
      <c r="CQ16" s="993">
        <v>447.90406089999993</v>
      </c>
      <c r="CR16" s="993">
        <v>479.89091425999993</v>
      </c>
      <c r="CS16" s="993">
        <v>471.31668482000003</v>
      </c>
      <c r="CT16" s="993">
        <v>490.27216124</v>
      </c>
      <c r="CU16" s="993">
        <v>519.11666673000002</v>
      </c>
      <c r="CV16" s="993">
        <v>502.20995213999998</v>
      </c>
      <c r="CW16" s="993">
        <v>506.78810271999998</v>
      </c>
      <c r="CX16" s="993">
        <v>508.20650544</v>
      </c>
      <c r="CY16" s="993">
        <v>500.25022797999998</v>
      </c>
      <c r="CZ16" s="993">
        <v>510.37582484000001</v>
      </c>
      <c r="DA16" s="993">
        <v>491.40866926000001</v>
      </c>
      <c r="DB16" s="993">
        <v>486.02634595000001</v>
      </c>
      <c r="DC16" s="993">
        <v>517.46571122</v>
      </c>
      <c r="DD16" s="993">
        <v>550.48439597000004</v>
      </c>
      <c r="DE16" s="993">
        <v>566.48155052000004</v>
      </c>
      <c r="DF16" s="993">
        <v>538.77258428000005</v>
      </c>
      <c r="DG16" s="993">
        <v>580.18168495999998</v>
      </c>
      <c r="DH16" s="993">
        <v>594.67004765000001</v>
      </c>
      <c r="DI16" s="993">
        <v>675.64715052999998</v>
      </c>
      <c r="DJ16" s="993">
        <v>620.91431474000001</v>
      </c>
      <c r="DK16" s="993">
        <v>627.85407011999996</v>
      </c>
      <c r="DL16" s="993">
        <v>633.92985876</v>
      </c>
      <c r="DM16" s="993">
        <v>646.27646086000004</v>
      </c>
      <c r="DN16" s="993">
        <v>676.63606945000004</v>
      </c>
      <c r="DO16" s="993">
        <v>690.33925867999994</v>
      </c>
      <c r="DP16" s="993">
        <v>699.07398133000004</v>
      </c>
      <c r="DQ16" s="993">
        <v>734.98486840999999</v>
      </c>
      <c r="DR16" s="993">
        <v>715.38807298999996</v>
      </c>
      <c r="DS16" s="993">
        <v>702.93222160000005</v>
      </c>
      <c r="DT16" s="993">
        <v>710.93280763999996</v>
      </c>
      <c r="DU16" s="993">
        <v>735.26582646999998</v>
      </c>
      <c r="DV16" s="993">
        <v>744.78299484000001</v>
      </c>
      <c r="DW16" s="993">
        <v>752.10293591000004</v>
      </c>
      <c r="DX16" s="993">
        <v>738.53002537999998</v>
      </c>
      <c r="DY16" s="993">
        <v>758.34435919999999</v>
      </c>
      <c r="DZ16" s="993">
        <v>796.45914569000001</v>
      </c>
      <c r="EA16" s="993">
        <v>791.48623136000003</v>
      </c>
      <c r="EB16" s="993">
        <v>819.31239854</v>
      </c>
      <c r="EC16" s="993">
        <v>823.44251924000002</v>
      </c>
      <c r="ED16" s="993">
        <v>785.56919701000004</v>
      </c>
      <c r="EE16" s="993">
        <v>788.97981824999999</v>
      </c>
      <c r="EK16" s="364"/>
    </row>
    <row r="17" spans="1:141" ht="19.8">
      <c r="A17" s="1510" t="s">
        <v>2001</v>
      </c>
      <c r="B17" s="961">
        <v>2.68189615</v>
      </c>
      <c r="C17" s="961">
        <v>2.63905915</v>
      </c>
      <c r="D17" s="961">
        <v>2.4680260000000001</v>
      </c>
      <c r="E17" s="961">
        <v>2.5342519999999999</v>
      </c>
      <c r="F17" s="961">
        <v>2.3572949100000002</v>
      </c>
      <c r="G17" s="961">
        <v>2.39434814</v>
      </c>
      <c r="H17" s="961">
        <v>2.21869454</v>
      </c>
      <c r="I17" s="961">
        <v>2.2175730099999997</v>
      </c>
      <c r="J17" s="961">
        <v>2.1327968099999999</v>
      </c>
      <c r="K17" s="961">
        <v>0.15235691000000001</v>
      </c>
      <c r="L17" s="961">
        <v>0.29234622999999998</v>
      </c>
      <c r="M17" s="950">
        <v>2.1634501200000003</v>
      </c>
      <c r="N17" s="946">
        <v>2.1362026600000004</v>
      </c>
      <c r="O17" s="946">
        <v>2.3648737299999998</v>
      </c>
      <c r="P17" s="946">
        <v>5.0940708700000004</v>
      </c>
      <c r="Q17" s="946">
        <v>6.8845715300000005</v>
      </c>
      <c r="R17" s="946">
        <v>2.0787792600000001</v>
      </c>
      <c r="S17" s="946">
        <v>2.06074666</v>
      </c>
      <c r="T17" s="946">
        <v>7.6648350000000004E-2</v>
      </c>
      <c r="U17" s="946">
        <v>5.512247E-2</v>
      </c>
      <c r="V17" s="946">
        <v>4.9718999999999999E-2</v>
      </c>
      <c r="W17" s="946">
        <v>4.4072029999999998E-2</v>
      </c>
      <c r="X17" s="946">
        <v>0.35506119000000003</v>
      </c>
      <c r="Y17" s="950">
        <v>0.23989473</v>
      </c>
      <c r="Z17" s="946">
        <v>0.23989473</v>
      </c>
      <c r="AA17" s="946">
        <v>0.79525460999999997</v>
      </c>
      <c r="AB17" s="950">
        <v>0.82855666000000006</v>
      </c>
      <c r="AC17" s="950">
        <v>0.80240469999999997</v>
      </c>
      <c r="AD17" s="950">
        <v>0.67687842000000009</v>
      </c>
      <c r="AE17" s="950">
        <v>0.6689949300000001</v>
      </c>
      <c r="AF17" s="950">
        <v>0.65812754000000007</v>
      </c>
      <c r="AG17" s="950">
        <v>0.65335885999999999</v>
      </c>
      <c r="AH17" s="950">
        <v>0.65129349999999997</v>
      </c>
      <c r="AI17" s="950">
        <v>0.92715848999999995</v>
      </c>
      <c r="AJ17" s="950">
        <v>0.92354548999999997</v>
      </c>
      <c r="AK17" s="950">
        <v>0.52880282999999995</v>
      </c>
      <c r="AL17" s="950">
        <v>0.39843284999999995</v>
      </c>
      <c r="AM17" s="950">
        <v>0.39511707000000001</v>
      </c>
      <c r="AN17" s="950">
        <v>0.29604895000000003</v>
      </c>
      <c r="AO17" s="950">
        <v>0.25150086999999999</v>
      </c>
      <c r="AP17" s="950">
        <v>0.25302477000000001</v>
      </c>
      <c r="AQ17" s="950">
        <v>0.31974582000000001</v>
      </c>
      <c r="AR17" s="950">
        <v>0.27171142999999998</v>
      </c>
      <c r="AS17" s="950">
        <v>0.22597698999999999</v>
      </c>
      <c r="AT17" s="950">
        <v>0.17776233</v>
      </c>
      <c r="AU17" s="950">
        <v>0.71739769999999992</v>
      </c>
      <c r="AV17" s="950">
        <v>0.64323420999999992</v>
      </c>
      <c r="AW17" s="950">
        <v>2.1314711800000001</v>
      </c>
      <c r="AX17" s="950">
        <v>2.0823724100000001</v>
      </c>
      <c r="AY17" s="950">
        <v>1.9746137099999999</v>
      </c>
      <c r="AZ17" s="950">
        <v>1.97565612</v>
      </c>
      <c r="BA17" s="950">
        <v>1.8584068</v>
      </c>
      <c r="BB17" s="950">
        <v>1.6786282299999997</v>
      </c>
      <c r="BC17" s="950">
        <v>1.5753026999999999</v>
      </c>
      <c r="BD17" s="950">
        <v>0.20477506000000001</v>
      </c>
      <c r="BE17" s="950">
        <v>0.16636626000000002</v>
      </c>
      <c r="BF17" s="950">
        <v>0.11708536</v>
      </c>
      <c r="BG17" s="950">
        <v>0.32004645000000004</v>
      </c>
      <c r="BH17" s="1005">
        <v>0.29585921999999998</v>
      </c>
      <c r="BI17" s="994">
        <v>0.48638323</v>
      </c>
      <c r="BJ17" s="994">
        <v>0.45024704999999998</v>
      </c>
      <c r="BK17" s="994">
        <v>0.38293305999999999</v>
      </c>
      <c r="BL17" s="994">
        <v>0.31836331000000001</v>
      </c>
      <c r="BM17" s="994">
        <v>0.20333010999999998</v>
      </c>
      <c r="BN17" s="994">
        <v>0.33927396000000004</v>
      </c>
      <c r="BO17" s="994">
        <v>0.32308872</v>
      </c>
      <c r="BP17" s="994">
        <v>0.32716949000000001</v>
      </c>
      <c r="BQ17" s="994">
        <v>0.33956424999999996</v>
      </c>
      <c r="BR17" s="994">
        <v>0.26434484999999996</v>
      </c>
      <c r="BS17" s="994">
        <v>0.22467161999999999</v>
      </c>
      <c r="BT17" s="994">
        <v>0.23785877999999999</v>
      </c>
      <c r="BU17" s="994">
        <v>18.474877489999997</v>
      </c>
      <c r="BV17" s="994">
        <v>0.48521154999999999</v>
      </c>
      <c r="BW17" s="994">
        <v>0.47514391</v>
      </c>
      <c r="BX17" s="994">
        <v>0.49967707</v>
      </c>
      <c r="BY17" s="994">
        <v>0.69936680000000007</v>
      </c>
      <c r="BZ17" s="994">
        <v>0.28275606999999997</v>
      </c>
      <c r="CA17" s="994">
        <v>0.41417377</v>
      </c>
      <c r="CB17" s="994">
        <v>0.40736844999999999</v>
      </c>
      <c r="CC17" s="994">
        <v>0.41174671000000002</v>
      </c>
      <c r="CD17" s="994">
        <v>0.29878485999999999</v>
      </c>
      <c r="CE17" s="994">
        <v>0.51238484000000006</v>
      </c>
      <c r="CF17" s="994">
        <v>0.62058140000000006</v>
      </c>
      <c r="CG17" s="994">
        <v>0.14326959</v>
      </c>
      <c r="CH17" s="994">
        <v>0.39326959</v>
      </c>
      <c r="CI17" s="994">
        <v>0.37409959000000004</v>
      </c>
      <c r="CJ17" s="994">
        <v>0.78994218999999999</v>
      </c>
      <c r="CK17" s="994">
        <v>1.1140366799999999</v>
      </c>
      <c r="CL17" s="994">
        <v>0.50187667000000002</v>
      </c>
      <c r="CM17" s="994">
        <v>0.3212313</v>
      </c>
      <c r="CN17" s="994">
        <v>0.33090890000000001</v>
      </c>
      <c r="CO17" s="994">
        <v>0.37815460000000001</v>
      </c>
      <c r="CP17" s="994">
        <v>0.25926663999999999</v>
      </c>
      <c r="CQ17" s="994">
        <v>0.53626451000000008</v>
      </c>
      <c r="CR17" s="994">
        <v>0.61434560999999999</v>
      </c>
      <c r="CS17" s="994">
        <v>0.75184340000000005</v>
      </c>
      <c r="CT17" s="994">
        <v>1.0246679999999999</v>
      </c>
      <c r="CU17" s="994">
        <v>2.4499153300000001</v>
      </c>
      <c r="CV17" s="994">
        <v>3.1986954700000001</v>
      </c>
      <c r="CW17" s="994">
        <v>2.8694846200000002</v>
      </c>
      <c r="CX17" s="994">
        <v>7.51834442</v>
      </c>
      <c r="CY17" s="994">
        <v>4.7008598800000003</v>
      </c>
      <c r="CZ17" s="994">
        <v>5.3360558400000002</v>
      </c>
      <c r="DA17" s="994">
        <v>2.6319630300000001</v>
      </c>
      <c r="DB17" s="994">
        <v>1.6285136899999999</v>
      </c>
      <c r="DC17" s="994">
        <v>1.6033249000000001</v>
      </c>
      <c r="DD17" s="994">
        <v>1.60294435</v>
      </c>
      <c r="DE17" s="994">
        <v>3.7218240699999998</v>
      </c>
      <c r="DF17" s="994">
        <v>5.8393088500000001</v>
      </c>
      <c r="DG17" s="994">
        <v>4.4343910199999996</v>
      </c>
      <c r="DH17" s="994">
        <v>2.87960767</v>
      </c>
      <c r="DI17" s="994">
        <v>4.7838615999999998</v>
      </c>
      <c r="DJ17" s="994">
        <v>3.9626365400000001</v>
      </c>
      <c r="DK17" s="994">
        <v>2.6734632500000002</v>
      </c>
      <c r="DL17" s="994">
        <v>3.5306796299999998</v>
      </c>
      <c r="DM17" s="994">
        <v>1.7323910899999999</v>
      </c>
      <c r="DN17" s="994">
        <v>2.3864106</v>
      </c>
      <c r="DO17" s="994">
        <v>1.5149699000000001</v>
      </c>
      <c r="DP17" s="994">
        <v>0.14420325000000001</v>
      </c>
      <c r="DQ17" s="994">
        <v>0.12651493</v>
      </c>
      <c r="DR17" s="994">
        <v>1.843759E-2</v>
      </c>
      <c r="DS17" s="994">
        <v>6.9864129999999997E-2</v>
      </c>
      <c r="DT17" s="994">
        <v>6.8039279999999994E-2</v>
      </c>
      <c r="DU17" s="994">
        <v>0.1161857</v>
      </c>
      <c r="DV17" s="994">
        <v>0.11431489</v>
      </c>
      <c r="DW17" s="994">
        <v>0.11407920000000001</v>
      </c>
      <c r="DX17" s="994">
        <v>0.11050794999999999</v>
      </c>
      <c r="DY17" s="994">
        <v>0.13357289</v>
      </c>
      <c r="DZ17" s="994">
        <v>0.12660239000000001</v>
      </c>
      <c r="EA17" s="994">
        <v>0.10461086999999999</v>
      </c>
      <c r="EB17" s="994">
        <v>0.1025966</v>
      </c>
      <c r="EC17" s="994">
        <v>5.85467E-2</v>
      </c>
      <c r="ED17" s="994">
        <v>8.8275530000000005E-2</v>
      </c>
      <c r="EE17" s="994">
        <v>0.13200000000000001</v>
      </c>
      <c r="EK17" s="364"/>
    </row>
    <row r="18" spans="1:141" ht="19.8">
      <c r="A18" s="1511" t="s">
        <v>2002</v>
      </c>
      <c r="B18" s="962">
        <f>+B16-B17</f>
        <v>357.7691628</v>
      </c>
      <c r="C18" s="962">
        <f t="shared" ref="C18:V18" si="4">+C16-C17</f>
        <v>315.60327802999996</v>
      </c>
      <c r="D18" s="962">
        <f t="shared" si="4"/>
        <v>310.96844646</v>
      </c>
      <c r="E18" s="962">
        <f t="shared" si="4"/>
        <v>319.31658630999999</v>
      </c>
      <c r="F18" s="962">
        <f t="shared" si="4"/>
        <v>331.77156334</v>
      </c>
      <c r="G18" s="962">
        <f t="shared" si="4"/>
        <v>337.39996055000006</v>
      </c>
      <c r="H18" s="962">
        <f t="shared" si="4"/>
        <v>359.49659312</v>
      </c>
      <c r="I18" s="962">
        <f t="shared" si="4"/>
        <v>364.72856962999998</v>
      </c>
      <c r="J18" s="962">
        <f t="shared" si="4"/>
        <v>356.63624222999999</v>
      </c>
      <c r="K18" s="962">
        <f t="shared" si="4"/>
        <v>365.30150256999997</v>
      </c>
      <c r="L18" s="962">
        <f t="shared" si="4"/>
        <v>363.78021776000003</v>
      </c>
      <c r="M18" s="950">
        <f>+M16-M17</f>
        <v>327.89962295999999</v>
      </c>
      <c r="N18" s="950">
        <f t="shared" si="4"/>
        <v>314.22098294</v>
      </c>
      <c r="O18" s="950">
        <f t="shared" si="4"/>
        <v>334.61560610999999</v>
      </c>
      <c r="P18" s="950">
        <f t="shared" si="4"/>
        <v>339.88913498000005</v>
      </c>
      <c r="Q18" s="950">
        <f t="shared" si="4"/>
        <v>316.03274528999998</v>
      </c>
      <c r="R18" s="950">
        <f t="shared" si="4"/>
        <v>262.28816367000002</v>
      </c>
      <c r="S18" s="950">
        <f t="shared" si="4"/>
        <v>272.29220367000005</v>
      </c>
      <c r="T18" s="950">
        <f t="shared" si="4"/>
        <v>270.67021026000003</v>
      </c>
      <c r="U18" s="950">
        <f t="shared" si="4"/>
        <v>269.47675937999998</v>
      </c>
      <c r="V18" s="950">
        <f t="shared" si="4"/>
        <v>279.71811942000005</v>
      </c>
      <c r="W18" s="950">
        <v>281.93406991000001</v>
      </c>
      <c r="X18" s="950">
        <v>293.18483276000001</v>
      </c>
      <c r="Y18" s="950">
        <v>324.33545141000002</v>
      </c>
      <c r="Z18" s="950">
        <v>324.33545141000002</v>
      </c>
      <c r="AA18" s="950">
        <v>304.71291939000002</v>
      </c>
      <c r="AB18" s="950">
        <f>+AB16-AB17</f>
        <v>303.69860990000001</v>
      </c>
      <c r="AC18" s="950">
        <v>286.81393667000003</v>
      </c>
      <c r="AD18" s="950">
        <v>255.30167563999998</v>
      </c>
      <c r="AE18" s="950">
        <v>245.80259123000002</v>
      </c>
      <c r="AF18" s="950">
        <v>236.74191612999999</v>
      </c>
      <c r="AG18" s="950">
        <v>237.21020274000003</v>
      </c>
      <c r="AH18" s="950">
        <f>+AH16-AH17</f>
        <v>202.85301756999999</v>
      </c>
      <c r="AI18" s="950">
        <v>241.79374225999999</v>
      </c>
      <c r="AJ18" s="950">
        <f>+AJ16-AJ17</f>
        <v>201.15440975999999</v>
      </c>
      <c r="AK18" s="950">
        <f>+AK16-AK17</f>
        <v>183.49225309000002</v>
      </c>
      <c r="AL18" s="950">
        <v>159.00376267000001</v>
      </c>
      <c r="AM18" s="950">
        <f>+AM16-AM17</f>
        <v>159.81896470000001</v>
      </c>
      <c r="AN18" s="950">
        <f>+AN16-AN17</f>
        <v>140.31092318999998</v>
      </c>
      <c r="AO18" s="950">
        <f>+AO16-AO17</f>
        <v>128.24138416</v>
      </c>
      <c r="AP18" s="950">
        <v>130.09313782000001</v>
      </c>
      <c r="AQ18" s="950">
        <v>138.15110804000003</v>
      </c>
      <c r="AR18" s="950">
        <v>167.11626647</v>
      </c>
      <c r="AS18" s="950">
        <v>181.84656362000001</v>
      </c>
      <c r="AT18" s="950">
        <f>+AT16-AT17</f>
        <v>185.38760393000001</v>
      </c>
      <c r="AU18" s="950">
        <v>190.18677299000001</v>
      </c>
      <c r="AV18" s="950">
        <v>193.24760101000001</v>
      </c>
      <c r="AW18" s="950">
        <v>235.42257978000001</v>
      </c>
      <c r="AX18" s="950">
        <v>217.47739217</v>
      </c>
      <c r="AY18" s="950">
        <v>212.65864640000001</v>
      </c>
      <c r="AZ18" s="950">
        <v>246.26950714</v>
      </c>
      <c r="BA18" s="950">
        <v>251.63932002000001</v>
      </c>
      <c r="BB18" s="950">
        <v>253.88807954000004</v>
      </c>
      <c r="BC18" s="950">
        <v>233.41980274000002</v>
      </c>
      <c r="BD18" s="950">
        <f>+BD16-BD17</f>
        <v>155.25478403000002</v>
      </c>
      <c r="BE18" s="950">
        <v>148.83824265000001</v>
      </c>
      <c r="BF18" s="950">
        <v>153.6591287</v>
      </c>
      <c r="BG18" s="950">
        <v>158.31815262000001</v>
      </c>
      <c r="BH18" s="1005">
        <v>138.86972704000001</v>
      </c>
      <c r="BI18" s="994">
        <v>132.65503129000001</v>
      </c>
      <c r="BJ18" s="994">
        <v>157.38535031000001</v>
      </c>
      <c r="BK18" s="994">
        <v>166.92524822999999</v>
      </c>
      <c r="BL18" s="994">
        <v>164.30914028000001</v>
      </c>
      <c r="BM18" s="994">
        <v>160.40150612000002</v>
      </c>
      <c r="BN18" s="994">
        <v>166.00089665000002</v>
      </c>
      <c r="BO18" s="994">
        <v>166.00089665000002</v>
      </c>
      <c r="BP18" s="994">
        <v>166.00089665000002</v>
      </c>
      <c r="BQ18" s="994">
        <v>166.00089665000002</v>
      </c>
      <c r="BR18" s="994">
        <v>166.00089665000002</v>
      </c>
      <c r="BS18" s="994">
        <v>166.00089665000002</v>
      </c>
      <c r="BT18" s="994">
        <v>166.00089665000002</v>
      </c>
      <c r="BU18" s="994">
        <v>166.00089665000002</v>
      </c>
      <c r="BV18" s="994">
        <v>166.00089665000002</v>
      </c>
      <c r="BW18" s="994">
        <v>166.00089665000002</v>
      </c>
      <c r="BX18" s="994">
        <v>166.00089665000002</v>
      </c>
      <c r="BY18" s="994">
        <v>166.00089665000002</v>
      </c>
      <c r="BZ18" s="994">
        <v>166.00089665000002</v>
      </c>
      <c r="CA18" s="994">
        <v>166.00089665000002</v>
      </c>
      <c r="CB18" s="994">
        <v>166.00089665000002</v>
      </c>
      <c r="CC18" s="994">
        <v>166.00089665000002</v>
      </c>
      <c r="CD18" s="994">
        <f t="shared" ref="CD18:CO18" si="5">+CD16-CD17</f>
        <v>284.01993357000003</v>
      </c>
      <c r="CE18" s="994">
        <f t="shared" si="5"/>
        <v>297.96122701000002</v>
      </c>
      <c r="CF18" s="994">
        <f t="shared" si="5"/>
        <v>328.73205106</v>
      </c>
      <c r="CG18" s="994">
        <f t="shared" si="5"/>
        <v>335.89999797000002</v>
      </c>
      <c r="CH18" s="994">
        <f t="shared" si="5"/>
        <v>317.02795854999999</v>
      </c>
      <c r="CI18" s="994">
        <f t="shared" si="5"/>
        <v>364.99308954000003</v>
      </c>
      <c r="CJ18" s="994">
        <f t="shared" si="5"/>
        <v>401.85777537000001</v>
      </c>
      <c r="CK18" s="994">
        <f t="shared" si="5"/>
        <v>440.98626497000004</v>
      </c>
      <c r="CL18" s="994">
        <f t="shared" si="5"/>
        <v>476.95388537000002</v>
      </c>
      <c r="CM18" s="994">
        <f t="shared" si="5"/>
        <v>467.97450147000001</v>
      </c>
      <c r="CN18" s="994">
        <f t="shared" si="5"/>
        <v>485.17665642000003</v>
      </c>
      <c r="CO18" s="994">
        <f t="shared" si="5"/>
        <v>485.54678845999996</v>
      </c>
      <c r="CP18" s="994">
        <f>+CP16-CP17</f>
        <v>459.87708727999996</v>
      </c>
      <c r="CQ18" s="994">
        <f>+CQ16-CQ17</f>
        <v>447.36779638999991</v>
      </c>
      <c r="CR18" s="994">
        <f>+CR16-CR17</f>
        <v>479.27656864999994</v>
      </c>
      <c r="CS18" s="994">
        <v>470.56484142000005</v>
      </c>
      <c r="CT18" s="994">
        <v>489.24749323999998</v>
      </c>
      <c r="CU18" s="994">
        <v>516.66675139999995</v>
      </c>
      <c r="CV18" s="994">
        <v>499.01125667000002</v>
      </c>
      <c r="CW18" s="994">
        <v>503.9186181</v>
      </c>
      <c r="CX18" s="994">
        <v>500.68816102</v>
      </c>
      <c r="CY18" s="994">
        <v>495.54936809999998</v>
      </c>
      <c r="CZ18" s="994">
        <v>505.03976899999998</v>
      </c>
      <c r="DA18" s="994">
        <v>488.77670623</v>
      </c>
      <c r="DB18" s="994">
        <v>484.39783225999997</v>
      </c>
      <c r="DC18" s="994">
        <v>515.86238632000004</v>
      </c>
      <c r="DD18" s="994">
        <v>548.88145162000001</v>
      </c>
      <c r="DE18" s="994">
        <v>562.75972645000002</v>
      </c>
      <c r="DF18" s="994">
        <v>532.93327542999998</v>
      </c>
      <c r="DG18" s="994">
        <v>575.74729393999996</v>
      </c>
      <c r="DH18" s="994">
        <v>591.79043997999997</v>
      </c>
      <c r="DI18" s="994">
        <v>670.86328892999995</v>
      </c>
      <c r="DJ18" s="994">
        <v>616.95167820000006</v>
      </c>
      <c r="DK18" s="994">
        <v>625.18060687000002</v>
      </c>
      <c r="DL18" s="994">
        <v>630.39917912999999</v>
      </c>
      <c r="DM18" s="994">
        <v>644.54406976999996</v>
      </c>
      <c r="DN18" s="994">
        <v>674.24965884999995</v>
      </c>
      <c r="DO18" s="994">
        <v>688.82428877999996</v>
      </c>
      <c r="DP18" s="994">
        <v>698.92977808000001</v>
      </c>
      <c r="DQ18" s="994">
        <v>734.85835348000001</v>
      </c>
      <c r="DR18" s="994">
        <v>715.36963539999999</v>
      </c>
      <c r="DS18" s="994">
        <v>702.86235747000001</v>
      </c>
      <c r="DT18" s="994">
        <v>710.86476835999997</v>
      </c>
      <c r="DU18" s="994">
        <v>735.14964077000002</v>
      </c>
      <c r="DV18" s="994">
        <v>744.66867994999996</v>
      </c>
      <c r="DW18" s="994">
        <v>751.98885671000005</v>
      </c>
      <c r="DX18" s="994">
        <v>738.41951743000004</v>
      </c>
      <c r="DY18" s="994">
        <v>758.21078631</v>
      </c>
      <c r="DZ18" s="994">
        <v>796.3325433</v>
      </c>
      <c r="EA18" s="994">
        <v>791.38162049000005</v>
      </c>
      <c r="EB18" s="994">
        <v>819.20980194000003</v>
      </c>
      <c r="EC18" s="994">
        <v>823.38397253999995</v>
      </c>
      <c r="ED18" s="994">
        <v>785.48092148000001</v>
      </c>
      <c r="EE18" s="994">
        <v>788.84781825000005</v>
      </c>
      <c r="EF18" s="510"/>
      <c r="EK18" s="364"/>
    </row>
    <row r="19" spans="1:141" ht="19.8">
      <c r="A19" s="1509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5"/>
      <c r="CN19" s="995"/>
      <c r="CO19" s="995"/>
      <c r="CP19" s="995"/>
      <c r="CQ19" s="995"/>
      <c r="CR19" s="995"/>
      <c r="CS19" s="995"/>
      <c r="CT19" s="995"/>
      <c r="CU19" s="995"/>
      <c r="CV19" s="995"/>
      <c r="CW19" s="995"/>
      <c r="CX19" s="995"/>
      <c r="CY19" s="995"/>
      <c r="CZ19" s="995"/>
      <c r="DA19" s="995"/>
      <c r="DB19" s="995"/>
      <c r="DC19" s="995"/>
      <c r="DD19" s="995"/>
      <c r="DE19" s="995"/>
      <c r="DF19" s="995"/>
      <c r="DG19" s="995"/>
      <c r="DH19" s="995"/>
      <c r="DI19" s="995"/>
      <c r="DJ19" s="995"/>
      <c r="DK19" s="995"/>
      <c r="DL19" s="995"/>
      <c r="DM19" s="995"/>
      <c r="DN19" s="995"/>
      <c r="DO19" s="995"/>
      <c r="DP19" s="995"/>
      <c r="DQ19" s="995"/>
      <c r="DR19" s="995"/>
      <c r="DS19" s="995"/>
      <c r="DT19" s="995"/>
      <c r="DU19" s="995"/>
      <c r="DV19" s="995"/>
      <c r="DW19" s="995"/>
      <c r="DX19" s="995"/>
      <c r="DY19" s="995"/>
      <c r="DZ19" s="995"/>
      <c r="EA19" s="995"/>
      <c r="EB19" s="995"/>
      <c r="EC19" s="995"/>
      <c r="ED19" s="995"/>
      <c r="EE19" s="995"/>
      <c r="EK19" s="364"/>
    </row>
    <row r="20" spans="1:141" ht="19.8">
      <c r="A20" s="1509" t="s">
        <v>2822</v>
      </c>
      <c r="B20" s="962">
        <v>187.34831491000003</v>
      </c>
      <c r="C20" s="962">
        <v>142.91543184</v>
      </c>
      <c r="D20" s="962">
        <v>152.81210424000002</v>
      </c>
      <c r="E20" s="962">
        <v>146.48893754000002</v>
      </c>
      <c r="F20" s="962">
        <v>141.88940776000001</v>
      </c>
      <c r="G20" s="962">
        <v>144.29879265</v>
      </c>
      <c r="H20" s="962">
        <v>137.84124234999999</v>
      </c>
      <c r="I20" s="962">
        <v>134.99275749</v>
      </c>
      <c r="J20" s="962">
        <v>143.1457772</v>
      </c>
      <c r="K20" s="962">
        <v>152.21534166999999</v>
      </c>
      <c r="L20" s="962">
        <v>155.16249213999998</v>
      </c>
      <c r="M20" s="946">
        <v>142.78333591999998</v>
      </c>
      <c r="N20" s="950">
        <v>150.48461237000001</v>
      </c>
      <c r="O20" s="950">
        <v>152.92680157000001</v>
      </c>
      <c r="P20" s="950">
        <v>166.80872016000001</v>
      </c>
      <c r="Q20" s="950">
        <v>166.82272545999999</v>
      </c>
      <c r="R20" s="950">
        <v>168.62291465999999</v>
      </c>
      <c r="S20" s="950">
        <v>171.60923410999999</v>
      </c>
      <c r="T20" s="950">
        <v>172.03440806</v>
      </c>
      <c r="U20" s="950">
        <v>171.15422795999999</v>
      </c>
      <c r="V20" s="950">
        <v>163.40915322999999</v>
      </c>
      <c r="W20" s="950">
        <v>172.14189110999999</v>
      </c>
      <c r="X20" s="950">
        <v>170.03224908999999</v>
      </c>
      <c r="Y20" s="946">
        <v>182.47238546</v>
      </c>
      <c r="Z20" s="950">
        <v>162.66938137</v>
      </c>
      <c r="AA20" s="950">
        <v>268.43889254000004</v>
      </c>
      <c r="AB20" s="946">
        <v>268.03215395000001</v>
      </c>
      <c r="AC20" s="946">
        <v>275.67720538000003</v>
      </c>
      <c r="AD20" s="946">
        <v>272.44533132000004</v>
      </c>
      <c r="AE20" s="946">
        <v>280.84781268</v>
      </c>
      <c r="AF20" s="946">
        <v>270.81413333999996</v>
      </c>
      <c r="AG20" s="946">
        <v>231.30769754000002</v>
      </c>
      <c r="AH20" s="946">
        <v>248.53300517000002</v>
      </c>
      <c r="AI20" s="946">
        <v>226.60959452999998</v>
      </c>
      <c r="AJ20" s="946">
        <v>260.04165433999998</v>
      </c>
      <c r="AK20" s="946">
        <v>399.76324325000002</v>
      </c>
      <c r="AL20" s="946">
        <v>383.00237914000002</v>
      </c>
      <c r="AM20" s="946">
        <v>367.76360957000003</v>
      </c>
      <c r="AN20" s="946">
        <v>379.98609360999995</v>
      </c>
      <c r="AO20" s="946">
        <v>333.17000701000001</v>
      </c>
      <c r="AP20" s="946">
        <v>340.03197252000001</v>
      </c>
      <c r="AQ20" s="946">
        <v>362.94127739999999</v>
      </c>
      <c r="AR20" s="946">
        <v>267.94340400000004</v>
      </c>
      <c r="AS20" s="946">
        <v>284.68005249000004</v>
      </c>
      <c r="AT20" s="946">
        <f>AT12-AT16</f>
        <v>280.71421069000002</v>
      </c>
      <c r="AU20" s="946">
        <v>295.03538156999997</v>
      </c>
      <c r="AV20" s="946">
        <v>312.88934681000001</v>
      </c>
      <c r="AW20" s="946">
        <v>328.85541532000002</v>
      </c>
      <c r="AX20" s="946">
        <v>316.77899529000001</v>
      </c>
      <c r="AY20" s="946">
        <v>279.88288573</v>
      </c>
      <c r="AZ20" s="946">
        <v>290.03846806000001</v>
      </c>
      <c r="BA20" s="946">
        <v>290.41629772000005</v>
      </c>
      <c r="BB20" s="946">
        <v>278.36653281000002</v>
      </c>
      <c r="BC20" s="946">
        <v>248.74169150999998</v>
      </c>
      <c r="BD20" s="946">
        <v>272.09527768999999</v>
      </c>
      <c r="BE20" s="946">
        <v>240.51338946000001</v>
      </c>
      <c r="BF20" s="946">
        <v>320.08253374000003</v>
      </c>
      <c r="BG20" s="946">
        <v>257.73104654999997</v>
      </c>
      <c r="BH20" s="1004">
        <v>262.56542301000002</v>
      </c>
      <c r="BI20" s="993">
        <v>215.08322535000002</v>
      </c>
      <c r="BJ20" s="993">
        <v>257.46568933000003</v>
      </c>
      <c r="BK20" s="993">
        <v>244.28866115000005</v>
      </c>
      <c r="BL20" s="993">
        <v>241.45340942000001</v>
      </c>
      <c r="BM20" s="993">
        <v>242.69992452</v>
      </c>
      <c r="BN20" s="993">
        <v>242.36458445</v>
      </c>
      <c r="BO20" s="993">
        <v>251.56008734999998</v>
      </c>
      <c r="BP20" s="993">
        <v>256.08101025000002</v>
      </c>
      <c r="BQ20" s="993">
        <v>245.90797538999999</v>
      </c>
      <c r="BR20" s="993">
        <v>286.48576985</v>
      </c>
      <c r="BS20" s="993">
        <v>294.54944125999998</v>
      </c>
      <c r="BT20" s="993">
        <v>297.14059124000005</v>
      </c>
      <c r="BU20" s="993">
        <v>308.64182451999989</v>
      </c>
      <c r="BV20" s="993">
        <v>246.34861297999998</v>
      </c>
      <c r="BW20" s="993">
        <v>243.18236097999997</v>
      </c>
      <c r="BX20" s="993">
        <v>254.82358183000002</v>
      </c>
      <c r="BY20" s="993">
        <v>255.35792828999996</v>
      </c>
      <c r="BZ20" s="993">
        <v>253.21124734999998</v>
      </c>
      <c r="CA20" s="993">
        <v>247.78234352000001</v>
      </c>
      <c r="CB20" s="993">
        <v>240.95111249000001</v>
      </c>
      <c r="CC20" s="993">
        <v>231.18603127</v>
      </c>
      <c r="CD20" s="993">
        <v>256.54926453999997</v>
      </c>
      <c r="CE20" s="993">
        <v>260.45456031000003</v>
      </c>
      <c r="CF20" s="993">
        <v>279.51397100999998</v>
      </c>
      <c r="CG20" s="993">
        <v>265.64956096000003</v>
      </c>
      <c r="CH20" s="993">
        <v>254.47307946000001</v>
      </c>
      <c r="CI20" s="993">
        <v>274.70992037999997</v>
      </c>
      <c r="CJ20" s="993">
        <v>242.83079318</v>
      </c>
      <c r="CK20" s="993">
        <v>233.00639561000003</v>
      </c>
      <c r="CL20" s="993">
        <v>202.73298199999999</v>
      </c>
      <c r="CM20" s="993">
        <v>195.29560846999999</v>
      </c>
      <c r="CN20" s="993">
        <v>189.99547684000001</v>
      </c>
      <c r="CO20" s="993">
        <v>188.49180539</v>
      </c>
      <c r="CP20" s="993">
        <v>191.79466580000002</v>
      </c>
      <c r="CQ20" s="993">
        <v>192.97501495</v>
      </c>
      <c r="CR20" s="993">
        <v>195.56799269999999</v>
      </c>
      <c r="CS20" s="993">
        <v>181.73458911</v>
      </c>
      <c r="CT20" s="993">
        <v>174.40738386999999</v>
      </c>
      <c r="CU20" s="993">
        <v>185.20028975</v>
      </c>
      <c r="CV20" s="993">
        <v>189.58869411000001</v>
      </c>
      <c r="CW20" s="993">
        <v>201.37587379000001</v>
      </c>
      <c r="CX20" s="993">
        <v>210.72817533</v>
      </c>
      <c r="CY20" s="993">
        <v>224.18957821999999</v>
      </c>
      <c r="CZ20" s="993">
        <v>240.63356614</v>
      </c>
      <c r="DA20" s="993">
        <v>260.16159966999999</v>
      </c>
      <c r="DB20" s="993">
        <v>292.29012682000001</v>
      </c>
      <c r="DC20" s="993">
        <v>368.23968739999998</v>
      </c>
      <c r="DD20" s="993">
        <v>384.81929965</v>
      </c>
      <c r="DE20" s="993">
        <v>400.96966896999999</v>
      </c>
      <c r="DF20" s="993">
        <v>431.74350242999998</v>
      </c>
      <c r="DG20" s="993">
        <v>437.78081008999999</v>
      </c>
      <c r="DH20" s="993">
        <v>449.43102748000001</v>
      </c>
      <c r="DI20" s="993">
        <v>451.88890686000002</v>
      </c>
      <c r="DJ20" s="993">
        <v>456.98005577000004</v>
      </c>
      <c r="DK20" s="993">
        <v>462.36612342000001</v>
      </c>
      <c r="DL20" s="993">
        <v>444.93279397999999</v>
      </c>
      <c r="DM20" s="993">
        <v>450.94842463999998</v>
      </c>
      <c r="DN20" s="993">
        <v>450.98232747999998</v>
      </c>
      <c r="DO20" s="993">
        <v>437.15264232999999</v>
      </c>
      <c r="DP20" s="993">
        <v>420.18139502000002</v>
      </c>
      <c r="DQ20" s="993">
        <v>368.03822644000002</v>
      </c>
      <c r="DR20" s="993">
        <v>358.51085307</v>
      </c>
      <c r="DS20" s="993">
        <v>360.08555323000002</v>
      </c>
      <c r="DT20" s="993">
        <v>341.83234585000002</v>
      </c>
      <c r="DU20" s="993">
        <v>348.51491614999998</v>
      </c>
      <c r="DV20" s="993">
        <v>350.84605407999999</v>
      </c>
      <c r="DW20" s="993">
        <v>361.90990363999998</v>
      </c>
      <c r="DX20" s="993">
        <v>326.62428055999999</v>
      </c>
      <c r="DY20" s="993">
        <v>343.39966767999999</v>
      </c>
      <c r="DZ20" s="993">
        <v>365.39150774000001</v>
      </c>
      <c r="EA20" s="993">
        <v>375.04956370000002</v>
      </c>
      <c r="EB20" s="993">
        <v>384.71845638999997</v>
      </c>
      <c r="EC20" s="993">
        <v>372.88150660000002</v>
      </c>
      <c r="ED20" s="993">
        <v>363.31868902000002</v>
      </c>
      <c r="EE20" s="993">
        <v>351.00460744999998</v>
      </c>
      <c r="EK20" s="364"/>
    </row>
    <row r="21" spans="1:141" ht="19.8">
      <c r="A21" s="1510" t="s">
        <v>2001</v>
      </c>
      <c r="B21" s="962">
        <v>2.8258457099999998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5.3787399999999999E-3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4.9931999999999997E-3</v>
      </c>
      <c r="AK21" s="950">
        <v>0.47522715000000004</v>
      </c>
      <c r="AL21" s="950">
        <v>6.8434200000000001E-2</v>
      </c>
      <c r="AM21" s="950">
        <v>6.6925129999999999E-2</v>
      </c>
      <c r="AN21" s="950">
        <v>0.11218778</v>
      </c>
      <c r="AO21" s="950">
        <v>6.4432799999999998E-2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7.9013554000000008</v>
      </c>
      <c r="BE21" s="950">
        <v>0</v>
      </c>
      <c r="BF21" s="950">
        <v>0</v>
      </c>
      <c r="BG21" s="950">
        <v>0</v>
      </c>
      <c r="BH21" s="1005">
        <v>0</v>
      </c>
      <c r="BI21" s="994">
        <v>8.6499999999989363E-6</v>
      </c>
      <c r="BJ21" s="994">
        <v>1.7001090000000001</v>
      </c>
      <c r="BK21" s="994">
        <v>2.3801488499999999</v>
      </c>
      <c r="BL21" s="994">
        <v>8.9200000000233537E-6</v>
      </c>
      <c r="BM21" s="994">
        <v>8.7800000000137768E-6</v>
      </c>
      <c r="BN21" s="994">
        <v>0.33949845000000006</v>
      </c>
      <c r="BO21" s="994">
        <v>0.33949843999999996</v>
      </c>
      <c r="BP21" s="994">
        <v>8.4900000000276421E-6</v>
      </c>
      <c r="BQ21" s="994">
        <v>8.4599999999879216E-6</v>
      </c>
      <c r="BR21" s="994">
        <v>8.4300000000037123E-6</v>
      </c>
      <c r="BS21" s="994">
        <v>8.2100000000084883E-6</v>
      </c>
      <c r="BT21" s="994">
        <v>8.2499999999874341E-6</v>
      </c>
      <c r="BU21" s="994">
        <v>1.5028082900000008</v>
      </c>
      <c r="BV21" s="994">
        <v>8.6400000000041999E-6</v>
      </c>
      <c r="BW21" s="994">
        <v>8.2399999999926976E-6</v>
      </c>
      <c r="BX21" s="994">
        <v>1.2479999999981395E-5</v>
      </c>
      <c r="BY21" s="994">
        <v>8.0999999999553651E-6</v>
      </c>
      <c r="BZ21" s="994">
        <v>8.0599999999764194E-6</v>
      </c>
      <c r="CA21" s="994">
        <v>8.2299999999979612E-6</v>
      </c>
      <c r="CB21" s="994">
        <v>8.0800000000214034E-6</v>
      </c>
      <c r="CC21" s="994">
        <v>8.0000000000080007E-6</v>
      </c>
      <c r="CD21" s="994">
        <v>8.0500000000000009E-6</v>
      </c>
      <c r="CE21" s="994">
        <v>1.5011082200000001</v>
      </c>
      <c r="CF21" s="994">
        <v>2.7761940100000002</v>
      </c>
      <c r="CG21" s="994">
        <v>9.4019999999999998E-5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1.67120084</v>
      </c>
      <c r="DC21" s="994">
        <v>40.800005949999999</v>
      </c>
      <c r="DD21" s="994">
        <v>40.800005759999998</v>
      </c>
      <c r="DE21" s="994">
        <v>40.800005779999999</v>
      </c>
      <c r="DF21" s="994">
        <v>40.800005689999999</v>
      </c>
      <c r="DG21" s="994">
        <v>40.800005689999999</v>
      </c>
      <c r="DH21" s="994">
        <v>40.800005689999999</v>
      </c>
      <c r="DI21" s="994">
        <v>40.800005370000001</v>
      </c>
      <c r="DJ21" s="994">
        <v>40.799999999999997</v>
      </c>
      <c r="DK21" s="994">
        <v>40.799999999999997</v>
      </c>
      <c r="DL21" s="994">
        <v>40.799999999999997</v>
      </c>
      <c r="DM21" s="994">
        <v>36.445166659999998</v>
      </c>
      <c r="DN21" s="994">
        <v>32.045000000000002</v>
      </c>
      <c r="DO21" s="994">
        <v>27.6675</v>
      </c>
      <c r="DP21" s="994">
        <v>27.6675</v>
      </c>
      <c r="DQ21" s="994">
        <v>0</v>
      </c>
      <c r="DR21" s="994">
        <v>4.25</v>
      </c>
      <c r="DS21" s="994">
        <v>4.25</v>
      </c>
      <c r="DT21" s="994">
        <v>4.25</v>
      </c>
      <c r="DU21" s="994">
        <v>3.7186539999999999</v>
      </c>
      <c r="DV21" s="994">
        <v>3.2639999999999998</v>
      </c>
      <c r="DW21" s="994">
        <v>3.1875</v>
      </c>
      <c r="DX21" s="994">
        <v>2.125</v>
      </c>
      <c r="DY21" s="994">
        <v>2.125</v>
      </c>
      <c r="DZ21" s="994">
        <v>2.4649999999999999</v>
      </c>
      <c r="EA21" s="994">
        <v>1.3749349900000001</v>
      </c>
      <c r="EB21" s="994">
        <v>1.3472321700000001</v>
      </c>
      <c r="EC21" s="994">
        <v>1.3193908299999999</v>
      </c>
      <c r="ED21" s="994">
        <v>0.50515144999999995</v>
      </c>
      <c r="EE21" s="994">
        <v>0.20079954999999999</v>
      </c>
      <c r="EK21" s="364"/>
    </row>
    <row r="22" spans="1:141" ht="19.8">
      <c r="A22" s="1511" t="s">
        <v>2002</v>
      </c>
      <c r="B22" s="961">
        <f>+B20-B21</f>
        <v>184.52246920000002</v>
      </c>
      <c r="C22" s="962">
        <f t="shared" ref="C22:V22" si="6">+C20-C21</f>
        <v>142.91543184</v>
      </c>
      <c r="D22" s="962">
        <f t="shared" si="6"/>
        <v>152.81210424000002</v>
      </c>
      <c r="E22" s="962">
        <f t="shared" si="6"/>
        <v>146.48893754000002</v>
      </c>
      <c r="F22" s="962">
        <f t="shared" si="6"/>
        <v>141.88940776000001</v>
      </c>
      <c r="G22" s="962">
        <f t="shared" si="6"/>
        <v>144.29879265</v>
      </c>
      <c r="H22" s="962">
        <f t="shared" si="6"/>
        <v>137.84124234999999</v>
      </c>
      <c r="I22" s="962">
        <f t="shared" si="6"/>
        <v>134.99275749</v>
      </c>
      <c r="J22" s="962">
        <f t="shared" si="6"/>
        <v>143.1457772</v>
      </c>
      <c r="K22" s="962">
        <f t="shared" si="6"/>
        <v>152.21534166999999</v>
      </c>
      <c r="L22" s="962">
        <f t="shared" si="6"/>
        <v>155.16249213999998</v>
      </c>
      <c r="M22" s="950">
        <f t="shared" si="6"/>
        <v>142.78333591999998</v>
      </c>
      <c r="N22" s="950">
        <f t="shared" si="6"/>
        <v>150.48461237000001</v>
      </c>
      <c r="O22" s="950">
        <f t="shared" si="6"/>
        <v>152.92680157000001</v>
      </c>
      <c r="P22" s="946">
        <f t="shared" si="6"/>
        <v>166.80872016000001</v>
      </c>
      <c r="Q22" s="946">
        <f t="shared" si="6"/>
        <v>166.82272545999999</v>
      </c>
      <c r="R22" s="946">
        <f t="shared" si="6"/>
        <v>168.62291465999999</v>
      </c>
      <c r="S22" s="946">
        <f t="shared" si="6"/>
        <v>171.60923410999999</v>
      </c>
      <c r="T22" s="946">
        <f t="shared" si="6"/>
        <v>172.03440806</v>
      </c>
      <c r="U22" s="946">
        <f t="shared" si="6"/>
        <v>171.15422795999999</v>
      </c>
      <c r="V22" s="946">
        <f t="shared" si="6"/>
        <v>163.40915322999999</v>
      </c>
      <c r="W22" s="946">
        <v>172.14189110999999</v>
      </c>
      <c r="X22" s="946">
        <v>170.03224908999999</v>
      </c>
      <c r="Y22" s="950">
        <v>182.47238546</v>
      </c>
      <c r="Z22" s="946">
        <v>162.66938137</v>
      </c>
      <c r="AA22" s="950">
        <v>268.43889254000004</v>
      </c>
      <c r="AB22" s="950">
        <f>+AB20-AB21</f>
        <v>268.03215395000001</v>
      </c>
      <c r="AC22" s="950">
        <v>275.67182664000001</v>
      </c>
      <c r="AD22" s="950">
        <v>272.44533132000004</v>
      </c>
      <c r="AE22" s="950">
        <v>280.84781268</v>
      </c>
      <c r="AF22" s="950">
        <v>270.81413333999996</v>
      </c>
      <c r="AG22" s="950">
        <v>231.30769754000002</v>
      </c>
      <c r="AH22" s="950">
        <f>+AH20-AH21</f>
        <v>248.53300517000002</v>
      </c>
      <c r="AI22" s="950">
        <v>226.60959452999998</v>
      </c>
      <c r="AJ22" s="950">
        <f>+AJ20-AJ21</f>
        <v>260.03666113999998</v>
      </c>
      <c r="AK22" s="950">
        <f>+AK20-AK21</f>
        <v>399.28801609999999</v>
      </c>
      <c r="AL22" s="950">
        <v>382.93394494</v>
      </c>
      <c r="AM22" s="950">
        <f>+AM20-AM21</f>
        <v>367.69668444000001</v>
      </c>
      <c r="AN22" s="950">
        <f>+AN20-AN21</f>
        <v>379.87390582999996</v>
      </c>
      <c r="AO22" s="950">
        <f>+AO20-AO21</f>
        <v>333.10557420999999</v>
      </c>
      <c r="AP22" s="950">
        <v>340.03197252000001</v>
      </c>
      <c r="AQ22" s="950">
        <v>362.94127739999999</v>
      </c>
      <c r="AR22" s="950">
        <v>267.94340400000004</v>
      </c>
      <c r="AS22" s="950">
        <v>284.68005249000004</v>
      </c>
      <c r="AT22" s="950">
        <f>AT14-AT18</f>
        <v>280.71421069000002</v>
      </c>
      <c r="AU22" s="950">
        <v>295.03538156999997</v>
      </c>
      <c r="AV22" s="950">
        <v>312.88934681000001</v>
      </c>
      <c r="AW22" s="950">
        <v>328.85541532000013</v>
      </c>
      <c r="AX22" s="950">
        <v>316.77899529000001</v>
      </c>
      <c r="AY22" s="950">
        <v>279.88288573</v>
      </c>
      <c r="AZ22" s="950">
        <v>290.03846806000001</v>
      </c>
      <c r="BA22" s="950">
        <v>290.41629772000005</v>
      </c>
      <c r="BB22" s="950">
        <v>278.36653281000002</v>
      </c>
      <c r="BC22" s="950">
        <v>248.74169150999998</v>
      </c>
      <c r="BD22" s="950">
        <f>+BD20-BD21</f>
        <v>264.19392228999999</v>
      </c>
      <c r="BE22" s="950">
        <v>240.51338946000001</v>
      </c>
      <c r="BF22" s="950">
        <v>320.08253374000003</v>
      </c>
      <c r="BG22" s="950">
        <v>257.73104654999997</v>
      </c>
      <c r="BH22" s="1005">
        <v>262.56542301000002</v>
      </c>
      <c r="BI22" s="994">
        <v>215.08321670000001</v>
      </c>
      <c r="BJ22" s="994">
        <v>255.76558033000003</v>
      </c>
      <c r="BK22" s="994">
        <v>241.90851230000004</v>
      </c>
      <c r="BL22" s="994">
        <v>241.45340050000001</v>
      </c>
      <c r="BM22" s="994">
        <v>242.69991573999999</v>
      </c>
      <c r="BN22" s="994">
        <v>242.02508599999999</v>
      </c>
      <c r="BO22" s="994">
        <v>263.44649348999997</v>
      </c>
      <c r="BP22" s="994">
        <v>264.13864460000002</v>
      </c>
      <c r="BQ22" s="994">
        <v>262.41764452999996</v>
      </c>
      <c r="BR22" s="994">
        <v>301.06712655999996</v>
      </c>
      <c r="BS22" s="994">
        <v>311.41351384999996</v>
      </c>
      <c r="BT22" s="994">
        <v>344.35185543</v>
      </c>
      <c r="BU22" s="994">
        <v>385.72973376999988</v>
      </c>
      <c r="BV22" s="994">
        <v>315.69243582999997</v>
      </c>
      <c r="BW22" s="994">
        <v>316.08360901999998</v>
      </c>
      <c r="BX22" s="994">
        <v>316.54202562</v>
      </c>
      <c r="BY22" s="994">
        <v>311.62235566999993</v>
      </c>
      <c r="BZ22" s="994">
        <v>317.27302445999999</v>
      </c>
      <c r="CA22" s="994">
        <v>329.65914814000001</v>
      </c>
      <c r="CB22" s="994">
        <v>324.78048661999998</v>
      </c>
      <c r="CC22" s="994">
        <v>339.93472320999996</v>
      </c>
      <c r="CD22" s="994">
        <f t="shared" ref="CD22:CN22" si="7">+CD14-CD18</f>
        <v>256.54925648999995</v>
      </c>
      <c r="CE22" s="994">
        <f t="shared" si="7"/>
        <v>258.95345209000004</v>
      </c>
      <c r="CF22" s="994">
        <f t="shared" si="7"/>
        <v>276.73777699999994</v>
      </c>
      <c r="CG22" s="994">
        <f t="shared" si="7"/>
        <v>265.64946693999997</v>
      </c>
      <c r="CH22" s="994">
        <f t="shared" si="7"/>
        <v>254.47307946000001</v>
      </c>
      <c r="CI22" s="994">
        <f t="shared" si="7"/>
        <v>274.70992037999997</v>
      </c>
      <c r="CJ22" s="994">
        <f t="shared" si="7"/>
        <v>242.83079318</v>
      </c>
      <c r="CK22" s="994">
        <f t="shared" si="7"/>
        <v>233.00639561000008</v>
      </c>
      <c r="CL22" s="994">
        <f t="shared" si="7"/>
        <v>202.73298200000005</v>
      </c>
      <c r="CM22" s="994">
        <f t="shared" si="7"/>
        <v>195.29560846999999</v>
      </c>
      <c r="CN22" s="994">
        <f t="shared" si="7"/>
        <v>189.99547683999998</v>
      </c>
      <c r="CO22" s="994">
        <f>+CO20-CO21</f>
        <v>188.49180539</v>
      </c>
      <c r="CP22" s="994">
        <f>+CP20-CP21</f>
        <v>191.79466580000002</v>
      </c>
      <c r="CQ22" s="994">
        <f>+CQ20-CQ21</f>
        <v>192.97501495</v>
      </c>
      <c r="CR22" s="994">
        <f>+CR20-CR21</f>
        <v>195.56799269999999</v>
      </c>
      <c r="CS22" s="994">
        <v>181.73458911</v>
      </c>
      <c r="CT22" s="994">
        <v>174.40738386999999</v>
      </c>
      <c r="CU22" s="994">
        <v>185.20028975</v>
      </c>
      <c r="CV22" s="994">
        <v>189.58869411000001</v>
      </c>
      <c r="CW22" s="994">
        <v>201.37587379000001</v>
      </c>
      <c r="CX22" s="994">
        <v>210.72817533</v>
      </c>
      <c r="CY22" s="994">
        <v>224.18957821999999</v>
      </c>
      <c r="CZ22" s="994">
        <v>240.63356614</v>
      </c>
      <c r="DA22" s="994">
        <v>260.16159966999999</v>
      </c>
      <c r="DB22" s="994">
        <v>290.61892597999997</v>
      </c>
      <c r="DC22" s="994">
        <v>327.43968145000002</v>
      </c>
      <c r="DD22" s="994">
        <v>344.01929388999997</v>
      </c>
      <c r="DE22" s="994">
        <v>360.16966318999999</v>
      </c>
      <c r="DF22" s="994">
        <v>390.94349674</v>
      </c>
      <c r="DG22" s="994">
        <v>396.98080440000001</v>
      </c>
      <c r="DH22" s="994">
        <v>408.63102178999998</v>
      </c>
      <c r="DI22" s="994">
        <v>411.08890149000001</v>
      </c>
      <c r="DJ22" s="994">
        <v>416.18005577000002</v>
      </c>
      <c r="DK22" s="994">
        <v>421.56612342</v>
      </c>
      <c r="DL22" s="994">
        <v>404.13279397999997</v>
      </c>
      <c r="DM22" s="994">
        <v>414.50325798</v>
      </c>
      <c r="DN22" s="994">
        <v>418.93732748000002</v>
      </c>
      <c r="DO22" s="994">
        <v>409.48514232999997</v>
      </c>
      <c r="DP22" s="994">
        <v>392.51389502000001</v>
      </c>
      <c r="DQ22" s="994">
        <v>368.03822644000002</v>
      </c>
      <c r="DR22" s="994">
        <v>354.26085307</v>
      </c>
      <c r="DS22" s="994">
        <v>355.83555323000002</v>
      </c>
      <c r="DT22" s="994">
        <v>337.58234585000002</v>
      </c>
      <c r="DU22" s="994">
        <v>344.79626215000002</v>
      </c>
      <c r="DV22" s="994">
        <v>347.58205407999998</v>
      </c>
      <c r="DW22" s="994">
        <v>358.72240363999998</v>
      </c>
      <c r="DX22" s="994">
        <v>324.49928055999999</v>
      </c>
      <c r="DY22" s="994">
        <v>341.27466767999999</v>
      </c>
      <c r="DZ22" s="994">
        <v>362.92650773999998</v>
      </c>
      <c r="EA22" s="994">
        <v>373.67462870999998</v>
      </c>
      <c r="EB22" s="994">
        <v>383.37122421999999</v>
      </c>
      <c r="EC22" s="994">
        <v>371.56211576999999</v>
      </c>
      <c r="ED22" s="994">
        <v>362.81353756999999</v>
      </c>
      <c r="EE22" s="994">
        <v>350.80380789999998</v>
      </c>
      <c r="EF22" s="510"/>
      <c r="EK22" s="364"/>
    </row>
    <row r="23" spans="1:141" ht="19.8">
      <c r="A23" s="948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5"/>
      <c r="CN23" s="995"/>
      <c r="CO23" s="995"/>
      <c r="CP23" s="995"/>
      <c r="CQ23" s="995"/>
      <c r="CR23" s="995"/>
      <c r="CS23" s="995"/>
      <c r="CT23" s="995"/>
      <c r="CU23" s="995"/>
      <c r="CV23" s="995"/>
      <c r="CW23" s="995"/>
      <c r="CX23" s="995"/>
      <c r="CY23" s="995"/>
      <c r="CZ23" s="995"/>
      <c r="DA23" s="995"/>
      <c r="DB23" s="995"/>
      <c r="DC23" s="995"/>
      <c r="DD23" s="995"/>
      <c r="DE23" s="995"/>
      <c r="DF23" s="995"/>
      <c r="DG23" s="995"/>
      <c r="DH23" s="995"/>
      <c r="DI23" s="995"/>
      <c r="DJ23" s="995"/>
      <c r="DK23" s="995"/>
      <c r="DL23" s="995"/>
      <c r="DM23" s="995"/>
      <c r="DN23" s="995"/>
      <c r="DO23" s="995"/>
      <c r="DP23" s="995"/>
      <c r="DQ23" s="995"/>
      <c r="DR23" s="995"/>
      <c r="DS23" s="995"/>
      <c r="DT23" s="995"/>
      <c r="DU23" s="995"/>
      <c r="DV23" s="995"/>
      <c r="DW23" s="995"/>
      <c r="DX23" s="995"/>
      <c r="DY23" s="995"/>
      <c r="DZ23" s="995"/>
      <c r="EA23" s="995"/>
      <c r="EB23" s="995"/>
      <c r="EC23" s="995"/>
      <c r="ED23" s="995"/>
      <c r="EE23" s="995"/>
      <c r="EK23" s="364"/>
    </row>
    <row r="24" spans="1:141" ht="19.8">
      <c r="A24" s="952" t="s">
        <v>2823</v>
      </c>
      <c r="B24" s="961">
        <v>1997.4808885300001</v>
      </c>
      <c r="C24" s="962">
        <v>1600.5890726900002</v>
      </c>
      <c r="D24" s="962">
        <v>1625.0404179699999</v>
      </c>
      <c r="E24" s="962">
        <v>1640.9079317000001</v>
      </c>
      <c r="F24" s="962">
        <v>1655.63710855</v>
      </c>
      <c r="G24" s="962">
        <v>1677.5611065200001</v>
      </c>
      <c r="H24" s="962">
        <v>1666.7588732499999</v>
      </c>
      <c r="I24" s="962">
        <v>1704.3186043800001</v>
      </c>
      <c r="J24" s="962">
        <v>1694.8147798999998</v>
      </c>
      <c r="K24" s="962">
        <v>1708.6697574200002</v>
      </c>
      <c r="L24" s="962">
        <v>1723.9278640700002</v>
      </c>
      <c r="M24" s="946">
        <v>1746.3819812699999</v>
      </c>
      <c r="N24" s="950">
        <v>1744.1478972300001</v>
      </c>
      <c r="O24" s="950">
        <v>1750.2350728500001</v>
      </c>
      <c r="P24" s="946">
        <v>1760.61672501</v>
      </c>
      <c r="Q24" s="946">
        <v>1832.1338688000001</v>
      </c>
      <c r="R24" s="946">
        <v>1952.2610408800001</v>
      </c>
      <c r="S24" s="946">
        <v>1982.4907692000004</v>
      </c>
      <c r="T24" s="946">
        <v>2015.43863384</v>
      </c>
      <c r="U24" s="946">
        <v>2047.6620129100002</v>
      </c>
      <c r="V24" s="946">
        <v>2092.5010955400003</v>
      </c>
      <c r="W24" s="946">
        <v>2085.99585983</v>
      </c>
      <c r="X24" s="946">
        <v>2128.5597149</v>
      </c>
      <c r="Y24" s="946">
        <v>2173.0324321600001</v>
      </c>
      <c r="Z24" s="946">
        <v>2167.3374378999997</v>
      </c>
      <c r="AA24" s="950">
        <v>2397.3352254700003</v>
      </c>
      <c r="AB24" s="946">
        <v>2374.8432735599999</v>
      </c>
      <c r="AC24" s="946">
        <v>2396.3236425900004</v>
      </c>
      <c r="AD24" s="946">
        <v>2396.3236425900004</v>
      </c>
      <c r="AE24" s="946">
        <v>2360.3413638800002</v>
      </c>
      <c r="AF24" s="946">
        <v>2353.9273379700003</v>
      </c>
      <c r="AG24" s="946">
        <v>2379.6097046300001</v>
      </c>
      <c r="AH24" s="946">
        <v>1982.0373031499998</v>
      </c>
      <c r="AI24" s="946">
        <v>2076.6310756799999</v>
      </c>
      <c r="AJ24" s="946">
        <v>2072.3619133200004</v>
      </c>
      <c r="AK24" s="946">
        <v>2573.5201158899999</v>
      </c>
      <c r="AL24" s="946">
        <v>2369.6250672599999</v>
      </c>
      <c r="AM24" s="946">
        <v>2328.1937348200004</v>
      </c>
      <c r="AN24" s="946">
        <v>2278.9631588400002</v>
      </c>
      <c r="AO24" s="946">
        <v>2214.1654261799999</v>
      </c>
      <c r="AP24" s="946">
        <v>2149.1669404899999</v>
      </c>
      <c r="AQ24" s="946">
        <v>2179.1780300800001</v>
      </c>
      <c r="AR24" s="946">
        <v>2129.1986759299998</v>
      </c>
      <c r="AS24" s="946">
        <v>2036.4525464399999</v>
      </c>
      <c r="AT24" s="946">
        <f>AT8-AT12</f>
        <v>2088.3893201700002</v>
      </c>
      <c r="AU24" s="946">
        <v>1996.4791060599998</v>
      </c>
      <c r="AV24" s="946">
        <v>1875.2625037600001</v>
      </c>
      <c r="AW24" s="946">
        <v>1899.7114480600001</v>
      </c>
      <c r="AX24" s="946">
        <v>1894.5550766699998</v>
      </c>
      <c r="AY24" s="946">
        <v>1817.5474656100002</v>
      </c>
      <c r="AZ24" s="946">
        <v>1669.37484098</v>
      </c>
      <c r="BA24" s="946">
        <v>1650.7422767099999</v>
      </c>
      <c r="BB24" s="946">
        <v>1653.62757203</v>
      </c>
      <c r="BC24" s="946">
        <v>1689.4384868000002</v>
      </c>
      <c r="BD24" s="946">
        <v>1709.4497010099999</v>
      </c>
      <c r="BE24" s="946">
        <v>1693.8913323300001</v>
      </c>
      <c r="BF24" s="946">
        <v>1702.9484775000001</v>
      </c>
      <c r="BG24" s="946">
        <v>1687.6466306399998</v>
      </c>
      <c r="BH24" s="1004">
        <v>1689.7293217399997</v>
      </c>
      <c r="BI24" s="993">
        <v>1706.8477929300002</v>
      </c>
      <c r="BJ24" s="993">
        <v>1600.9772788300002</v>
      </c>
      <c r="BK24" s="993">
        <v>1572.9009793199998</v>
      </c>
      <c r="BL24" s="993">
        <v>1580.6279562899999</v>
      </c>
      <c r="BM24" s="993">
        <v>1571.89407355</v>
      </c>
      <c r="BN24" s="993">
        <v>1573.51951482</v>
      </c>
      <c r="BO24" s="993">
        <v>1592.5914662700002</v>
      </c>
      <c r="BP24" s="993">
        <v>1583.22555792</v>
      </c>
      <c r="BQ24" s="993">
        <v>1603.1198062399999</v>
      </c>
      <c r="BR24" s="993">
        <v>1594.37784156</v>
      </c>
      <c r="BS24" s="993">
        <v>1579.5305877899998</v>
      </c>
      <c r="BT24" s="993">
        <v>1564.9409065700004</v>
      </c>
      <c r="BU24" s="993">
        <v>1799.0264805100001</v>
      </c>
      <c r="BV24" s="993">
        <v>1781.6304534699998</v>
      </c>
      <c r="BW24" s="993">
        <v>1802.0957212199999</v>
      </c>
      <c r="BX24" s="993">
        <v>1818.6724963199997</v>
      </c>
      <c r="BY24" s="993">
        <v>1785.6486223600004</v>
      </c>
      <c r="BZ24" s="993">
        <v>1793.2652173100003</v>
      </c>
      <c r="CA24" s="993">
        <v>1797.0888561799998</v>
      </c>
      <c r="CB24" s="993">
        <v>1787.88357397</v>
      </c>
      <c r="CC24" s="993">
        <v>1781.6482537999998</v>
      </c>
      <c r="CD24" s="993">
        <v>1831.7609749399999</v>
      </c>
      <c r="CE24" s="993">
        <v>1845.00138851</v>
      </c>
      <c r="CF24" s="993">
        <v>1718.3012466199998</v>
      </c>
      <c r="CG24" s="993">
        <v>1876.9969532699997</v>
      </c>
      <c r="CH24" s="993">
        <v>1842.3473829399998</v>
      </c>
      <c r="CI24" s="993">
        <v>1869.0565379299999</v>
      </c>
      <c r="CJ24" s="993">
        <v>1845.6845157499999</v>
      </c>
      <c r="CK24" s="993">
        <v>1763.37744531</v>
      </c>
      <c r="CL24" s="993">
        <v>1717.0436361500001</v>
      </c>
      <c r="CM24" s="993">
        <v>1714.9774339999999</v>
      </c>
      <c r="CN24" s="993">
        <v>1687.1718551400002</v>
      </c>
      <c r="CO24" s="993">
        <v>1704.3281428200003</v>
      </c>
      <c r="CP24" s="993">
        <v>1829.08390491</v>
      </c>
      <c r="CQ24" s="993">
        <v>1891.2182989100002</v>
      </c>
      <c r="CR24" s="993">
        <v>1904.37916402</v>
      </c>
      <c r="CS24" s="993">
        <v>1945.65520599</v>
      </c>
      <c r="CT24" s="993">
        <v>1934.4581502200001</v>
      </c>
      <c r="CU24" s="993">
        <v>1799.7907130799999</v>
      </c>
      <c r="CV24" s="993">
        <v>1816.18186638</v>
      </c>
      <c r="CW24" s="993">
        <v>1841.6917031200001</v>
      </c>
      <c r="CX24" s="993">
        <v>1832.3393819400001</v>
      </c>
      <c r="CY24" s="993">
        <v>1825.01230416</v>
      </c>
      <c r="CZ24" s="993">
        <v>1800.4434924100001</v>
      </c>
      <c r="DA24" s="993">
        <v>1788.0533581</v>
      </c>
      <c r="DB24" s="993">
        <v>1792.31442444</v>
      </c>
      <c r="DC24" s="993">
        <v>1891.8803932599999</v>
      </c>
      <c r="DD24" s="993">
        <v>1924.64480946</v>
      </c>
      <c r="DE24" s="993">
        <v>2014.8264132199999</v>
      </c>
      <c r="DF24" s="993">
        <v>1990.3145238899999</v>
      </c>
      <c r="DG24" s="993">
        <v>2011.40565651</v>
      </c>
      <c r="DH24" s="993">
        <v>2025.4280490799999</v>
      </c>
      <c r="DI24" s="993">
        <v>1999.15838897</v>
      </c>
      <c r="DJ24" s="993">
        <v>2052.3716387300001</v>
      </c>
      <c r="DK24" s="993">
        <v>2051.1250995999999</v>
      </c>
      <c r="DL24" s="993">
        <v>2027.60047577</v>
      </c>
      <c r="DM24" s="993">
        <v>2025.3169210900001</v>
      </c>
      <c r="DN24" s="993">
        <v>2067.0667320699999</v>
      </c>
      <c r="DO24" s="993">
        <v>2134.8248919299999</v>
      </c>
      <c r="DP24" s="993">
        <v>2212.9767670199999</v>
      </c>
      <c r="DQ24" s="993">
        <v>2190.3274890900002</v>
      </c>
      <c r="DR24" s="993">
        <v>2163.90882474</v>
      </c>
      <c r="DS24" s="993">
        <v>2170.9587504400001</v>
      </c>
      <c r="DT24" s="993">
        <v>2231.3064473700001</v>
      </c>
      <c r="DU24" s="993">
        <v>2246.1098051200001</v>
      </c>
      <c r="DV24" s="993">
        <v>2251.05450058</v>
      </c>
      <c r="DW24" s="993">
        <v>2286.0793010500001</v>
      </c>
      <c r="DX24" s="993">
        <v>2297.4700093400002</v>
      </c>
      <c r="DY24" s="993">
        <v>2305.12760088</v>
      </c>
      <c r="DZ24" s="993">
        <v>2324.9063719999999</v>
      </c>
      <c r="EA24" s="993">
        <v>2267.0702794600002</v>
      </c>
      <c r="EB24" s="993">
        <v>2301.4751538400001</v>
      </c>
      <c r="EC24" s="993">
        <v>2280.5245190400001</v>
      </c>
      <c r="ED24" s="993">
        <v>2295.2919855300001</v>
      </c>
      <c r="EE24" s="993">
        <v>2355.0212405299999</v>
      </c>
      <c r="EK24" s="364"/>
    </row>
    <row r="25" spans="1:141" ht="19.8">
      <c r="A25" s="948" t="s">
        <v>2001</v>
      </c>
      <c r="B25" s="962">
        <v>205.22059789000002</v>
      </c>
      <c r="C25" s="962">
        <v>198.41288696000001</v>
      </c>
      <c r="D25" s="962">
        <v>198.30298877000001</v>
      </c>
      <c r="E25" s="962">
        <v>180.03692239</v>
      </c>
      <c r="F25" s="962">
        <v>179.95273742999998</v>
      </c>
      <c r="G25" s="962">
        <v>179.50635452</v>
      </c>
      <c r="H25" s="962">
        <v>161.22186825</v>
      </c>
      <c r="I25" s="962">
        <v>161.38387121000002</v>
      </c>
      <c r="J25" s="962">
        <v>143.64281452</v>
      </c>
      <c r="K25" s="962">
        <v>143.69167696</v>
      </c>
      <c r="L25" s="962">
        <v>143.46295061999999</v>
      </c>
      <c r="M25" s="950">
        <v>125.44682163</v>
      </c>
      <c r="N25" s="950">
        <v>125.34883538999999</v>
      </c>
      <c r="O25" s="950">
        <v>125.39352769</v>
      </c>
      <c r="P25" s="950">
        <v>107.25320391</v>
      </c>
      <c r="Q25" s="950">
        <v>107.28722328000001</v>
      </c>
      <c r="R25" s="950">
        <v>111.05679920999999</v>
      </c>
      <c r="S25" s="950">
        <v>92.949140830000005</v>
      </c>
      <c r="T25" s="950">
        <v>93.048771470000005</v>
      </c>
      <c r="U25" s="950">
        <v>93.021252109999992</v>
      </c>
      <c r="V25" s="950">
        <v>92.976926209999988</v>
      </c>
      <c r="W25" s="950">
        <v>92.920975179999999</v>
      </c>
      <c r="X25" s="950">
        <v>91.77625467</v>
      </c>
      <c r="Y25" s="950">
        <v>91.707206909999996</v>
      </c>
      <c r="Z25" s="950">
        <v>91.137016410000001</v>
      </c>
      <c r="AA25" s="950">
        <v>121.08331736</v>
      </c>
      <c r="AB25" s="950">
        <v>120.92812768</v>
      </c>
      <c r="AC25" s="950">
        <v>120.92738615</v>
      </c>
      <c r="AD25" s="950">
        <v>120.92738615</v>
      </c>
      <c r="AE25" s="950">
        <v>120.97454916</v>
      </c>
      <c r="AF25" s="950">
        <v>121.14468807000002</v>
      </c>
      <c r="AG25" s="950">
        <v>120.93002451</v>
      </c>
      <c r="AH25" s="950">
        <v>121.08796310999999</v>
      </c>
      <c r="AI25" s="950">
        <v>121.28193485000001</v>
      </c>
      <c r="AJ25" s="950">
        <v>120.78842283</v>
      </c>
      <c r="AK25" s="950">
        <v>177.33951356</v>
      </c>
      <c r="AL25" s="950">
        <v>179.36140225999998</v>
      </c>
      <c r="AM25" s="950">
        <v>173.13793168000001</v>
      </c>
      <c r="AN25" s="950">
        <v>170.69728759</v>
      </c>
      <c r="AO25" s="950">
        <v>166.89106500000003</v>
      </c>
      <c r="AP25" s="950">
        <v>162.77225614</v>
      </c>
      <c r="AQ25" s="950">
        <v>168.37333031999998</v>
      </c>
      <c r="AR25" s="950">
        <v>173.43600566999999</v>
      </c>
      <c r="AS25" s="950">
        <v>178.67135632000003</v>
      </c>
      <c r="AT25" s="950">
        <f>AT9-AT13</f>
        <v>177.36335674000003</v>
      </c>
      <c r="AU25" s="950">
        <v>166.47370662000003</v>
      </c>
      <c r="AV25" s="950">
        <v>167.67459003000002</v>
      </c>
      <c r="AW25" s="950">
        <v>171.19413736000001</v>
      </c>
      <c r="AX25" s="950">
        <v>169.45565411999999</v>
      </c>
      <c r="AY25" s="950">
        <v>155.36950523000002</v>
      </c>
      <c r="AZ25" s="950">
        <v>153.27726719</v>
      </c>
      <c r="BA25" s="950">
        <v>138.25280271</v>
      </c>
      <c r="BB25" s="950">
        <v>158.16089871</v>
      </c>
      <c r="BC25" s="950">
        <v>158.00383823999999</v>
      </c>
      <c r="BD25" s="950">
        <v>144.67907321999999</v>
      </c>
      <c r="BE25" s="950">
        <v>144.41101212000001</v>
      </c>
      <c r="BF25" s="950">
        <v>144.58190649999997</v>
      </c>
      <c r="BG25" s="950">
        <v>131.3454572</v>
      </c>
      <c r="BH25" s="1005">
        <v>131.18008438999999</v>
      </c>
      <c r="BI25" s="994">
        <v>103.71624177999999</v>
      </c>
      <c r="BJ25" s="994">
        <v>90.538680540000001</v>
      </c>
      <c r="BK25" s="994">
        <v>90.645142160000006</v>
      </c>
      <c r="BL25" s="994">
        <v>90.536068010000008</v>
      </c>
      <c r="BM25" s="994">
        <v>77.34248568000001</v>
      </c>
      <c r="BN25" s="994">
        <v>77.121675170000003</v>
      </c>
      <c r="BO25" s="994">
        <v>77.060813190000005</v>
      </c>
      <c r="BP25" s="994">
        <v>63.9105749</v>
      </c>
      <c r="BQ25" s="994">
        <v>102.53830611000001</v>
      </c>
      <c r="BR25" s="994">
        <v>102.42328000000001</v>
      </c>
      <c r="BS25" s="994">
        <v>88.329508399999995</v>
      </c>
      <c r="BT25" s="994">
        <v>76.080630409999998</v>
      </c>
      <c r="BU25" s="994">
        <v>76.224326239999996</v>
      </c>
      <c r="BV25" s="994">
        <v>37.76495989</v>
      </c>
      <c r="BW25" s="994">
        <v>37.683614200000001</v>
      </c>
      <c r="BX25" s="994">
        <v>37.9838247</v>
      </c>
      <c r="BY25" s="994">
        <v>11.40109805</v>
      </c>
      <c r="BZ25" s="994">
        <v>11.38605424</v>
      </c>
      <c r="CA25" s="994">
        <v>11.273311969999998</v>
      </c>
      <c r="CB25" s="994">
        <v>11.344835940000001</v>
      </c>
      <c r="CC25" s="994">
        <v>11.26681492</v>
      </c>
      <c r="CD25" s="994">
        <v>11.203560589999999</v>
      </c>
      <c r="CE25" s="994">
        <v>11.1523024</v>
      </c>
      <c r="CF25" s="994">
        <v>11.15681689</v>
      </c>
      <c r="CG25" s="994">
        <v>11.079210580000002</v>
      </c>
      <c r="CH25" s="994">
        <v>11.006797039999999</v>
      </c>
      <c r="CI25" s="994">
        <v>11.100453490000001</v>
      </c>
      <c r="CJ25" s="994">
        <v>11.02811129</v>
      </c>
      <c r="CK25" s="994">
        <v>10.898655969999998</v>
      </c>
      <c r="CL25" s="994">
        <v>10.47744503</v>
      </c>
      <c r="CM25" s="994">
        <v>10.42489181</v>
      </c>
      <c r="CN25" s="994">
        <v>10.359706139999998</v>
      </c>
      <c r="CO25" s="994">
        <v>10.307521940000001</v>
      </c>
      <c r="CP25" s="994">
        <v>10.90080251</v>
      </c>
      <c r="CQ25" s="994">
        <v>10.839672539999999</v>
      </c>
      <c r="CR25" s="994">
        <v>10.83003298</v>
      </c>
      <c r="CS25" s="994">
        <v>10.8623779</v>
      </c>
      <c r="CT25" s="994">
        <v>10.85097418</v>
      </c>
      <c r="CU25" s="994">
        <v>11.132223059999999</v>
      </c>
      <c r="CV25" s="994">
        <v>11.1168555</v>
      </c>
      <c r="CW25" s="994">
        <v>11.33596371</v>
      </c>
      <c r="CX25" s="994">
        <v>11.30016968</v>
      </c>
      <c r="CY25" s="994">
        <v>11.241448350000001</v>
      </c>
      <c r="CZ25" s="994">
        <v>11.208777660000001</v>
      </c>
      <c r="DA25" s="994">
        <v>11.3704044</v>
      </c>
      <c r="DB25" s="994">
        <v>11.33797994</v>
      </c>
      <c r="DC25" s="994">
        <v>23.540051630000001</v>
      </c>
      <c r="DD25" s="994">
        <v>23.74844264</v>
      </c>
      <c r="DE25" s="994">
        <v>29.818187770000002</v>
      </c>
      <c r="DF25" s="994">
        <v>29.775197510000002</v>
      </c>
      <c r="DG25" s="994">
        <v>29.22282891</v>
      </c>
      <c r="DH25" s="994">
        <v>29.20734217</v>
      </c>
      <c r="DI25" s="994">
        <v>30.159183989999999</v>
      </c>
      <c r="DJ25" s="994">
        <v>30.137918290000002</v>
      </c>
      <c r="DK25" s="994">
        <v>30.332812069999999</v>
      </c>
      <c r="DL25" s="994">
        <v>30.293945269999998</v>
      </c>
      <c r="DM25" s="994">
        <v>29.167241489999999</v>
      </c>
      <c r="DN25" s="994">
        <v>30.046424850000001</v>
      </c>
      <c r="DO25" s="994">
        <v>28.833216700000001</v>
      </c>
      <c r="DP25" s="994">
        <v>30.76569563</v>
      </c>
      <c r="DQ25" s="994">
        <v>23.398638890000001</v>
      </c>
      <c r="DR25" s="994">
        <v>23.66677408</v>
      </c>
      <c r="DS25" s="994">
        <v>23.60602974</v>
      </c>
      <c r="DT25" s="994">
        <v>23.613924959999999</v>
      </c>
      <c r="DU25" s="994">
        <v>23.462660339999999</v>
      </c>
      <c r="DV25" s="994">
        <v>23.336604340000001</v>
      </c>
      <c r="DW25" s="994">
        <v>23.51047441</v>
      </c>
      <c r="DX25" s="994">
        <v>23.303725780000001</v>
      </c>
      <c r="DY25" s="994">
        <v>23.031625479999999</v>
      </c>
      <c r="DZ25" s="994">
        <v>23.302959229999999</v>
      </c>
      <c r="EA25" s="994">
        <v>24.044193880000002</v>
      </c>
      <c r="EB25" s="994">
        <v>13.64942003</v>
      </c>
      <c r="EC25" s="994">
        <v>13.50258047</v>
      </c>
      <c r="ED25" s="994">
        <v>13.33479187</v>
      </c>
      <c r="EE25" s="994">
        <v>61.033171250000002</v>
      </c>
      <c r="EK25" s="364"/>
    </row>
    <row r="26" spans="1:141" ht="19.8">
      <c r="A26" s="953" t="s">
        <v>2002</v>
      </c>
      <c r="B26" s="961">
        <f>+B24-B25</f>
        <v>1792.2602906400002</v>
      </c>
      <c r="C26" s="962">
        <f t="shared" ref="C26:V26" si="8">+C24-C25</f>
        <v>1402.1761857300003</v>
      </c>
      <c r="D26" s="962">
        <f t="shared" si="8"/>
        <v>1426.7374292</v>
      </c>
      <c r="E26" s="962">
        <f t="shared" si="8"/>
        <v>1460.8710093100001</v>
      </c>
      <c r="F26" s="962">
        <f t="shared" si="8"/>
        <v>1475.6843711199999</v>
      </c>
      <c r="G26" s="962">
        <f t="shared" si="8"/>
        <v>1498.054752</v>
      </c>
      <c r="H26" s="962">
        <f t="shared" si="8"/>
        <v>1505.5370049999999</v>
      </c>
      <c r="I26" s="962">
        <f t="shared" si="8"/>
        <v>1542.9347331700001</v>
      </c>
      <c r="J26" s="962">
        <f t="shared" si="8"/>
        <v>1551.1719653799998</v>
      </c>
      <c r="K26" s="962">
        <f t="shared" si="8"/>
        <v>1564.9780804600002</v>
      </c>
      <c r="L26" s="962">
        <f t="shared" si="8"/>
        <v>1580.4649134500003</v>
      </c>
      <c r="M26" s="950">
        <f t="shared" si="8"/>
        <v>1620.9351596399999</v>
      </c>
      <c r="N26" s="950">
        <f t="shared" si="8"/>
        <v>1618.7990618400001</v>
      </c>
      <c r="O26" s="950">
        <f t="shared" si="8"/>
        <v>1624.8415451600001</v>
      </c>
      <c r="P26" s="946">
        <f t="shared" si="8"/>
        <v>1653.3635211000001</v>
      </c>
      <c r="Q26" s="946">
        <f t="shared" si="8"/>
        <v>1724.84664552</v>
      </c>
      <c r="R26" s="946">
        <f t="shared" si="8"/>
        <v>1841.2042416700001</v>
      </c>
      <c r="S26" s="946">
        <f t="shared" si="8"/>
        <v>1889.5416283700004</v>
      </c>
      <c r="T26" s="946">
        <f t="shared" si="8"/>
        <v>1922.3898623699999</v>
      </c>
      <c r="U26" s="946">
        <f t="shared" si="8"/>
        <v>1954.6407608000002</v>
      </c>
      <c r="V26" s="946">
        <f t="shared" si="8"/>
        <v>1999.5241693300004</v>
      </c>
      <c r="W26" s="946">
        <v>1993.0748846500001</v>
      </c>
      <c r="X26" s="946">
        <v>2036.7834602299999</v>
      </c>
      <c r="Y26" s="950">
        <v>2081.3252252500001</v>
      </c>
      <c r="Z26" s="946">
        <v>2076.2004214899998</v>
      </c>
      <c r="AA26" s="950">
        <v>2276.2519081100004</v>
      </c>
      <c r="AB26" s="950">
        <f>+AB24-AB25</f>
        <v>2253.9151458799997</v>
      </c>
      <c r="AC26" s="950">
        <v>2275.3962564400003</v>
      </c>
      <c r="AD26" s="950">
        <v>2275.3962564400003</v>
      </c>
      <c r="AE26" s="950">
        <v>2239.3668147200001</v>
      </c>
      <c r="AF26" s="950">
        <v>2232.7826499000003</v>
      </c>
      <c r="AG26" s="950">
        <v>2258.6796801200003</v>
      </c>
      <c r="AH26" s="950">
        <f>+AH24-AH25</f>
        <v>1860.9493400399999</v>
      </c>
      <c r="AI26" s="950">
        <v>1955.3491408299999</v>
      </c>
      <c r="AJ26" s="950">
        <f>+AJ24-AJ25</f>
        <v>1951.5734904900005</v>
      </c>
      <c r="AK26" s="950">
        <f>+AK24-AK25</f>
        <v>2396.1806023300001</v>
      </c>
      <c r="AL26" s="950">
        <v>2190.2636649999999</v>
      </c>
      <c r="AM26" s="950">
        <f>+AM24-AM25</f>
        <v>2155.0558031400005</v>
      </c>
      <c r="AN26" s="950">
        <f>+AN24-AN25</f>
        <v>2108.2658712500001</v>
      </c>
      <c r="AO26" s="950">
        <f>+AO24-AO25</f>
        <v>2047.2743611799999</v>
      </c>
      <c r="AP26" s="950">
        <v>1986.3946843499998</v>
      </c>
      <c r="AQ26" s="950">
        <v>2010.8046997600002</v>
      </c>
      <c r="AR26" s="950">
        <v>1955.7626702599998</v>
      </c>
      <c r="AS26" s="950">
        <v>1857.7811901199998</v>
      </c>
      <c r="AT26" s="950">
        <f>AT10-AT14</f>
        <v>1911.02596343</v>
      </c>
      <c r="AU26" s="950">
        <v>1830.00539944</v>
      </c>
      <c r="AV26" s="950">
        <v>1707.5879137300003</v>
      </c>
      <c r="AW26" s="950">
        <v>1728.5173107000001</v>
      </c>
      <c r="AX26" s="950">
        <v>1725.0994225499999</v>
      </c>
      <c r="AY26" s="950">
        <v>1662.1779603800003</v>
      </c>
      <c r="AZ26" s="950">
        <v>1516.0975737900001</v>
      </c>
      <c r="BA26" s="950">
        <v>1512.4894739999997</v>
      </c>
      <c r="BB26" s="950">
        <v>1495.4666733199999</v>
      </c>
      <c r="BC26" s="950">
        <v>1531.4346485600004</v>
      </c>
      <c r="BD26" s="950">
        <f>BD10-BD14</f>
        <v>1564.7706277900002</v>
      </c>
      <c r="BE26" s="950">
        <v>1549.4803202100002</v>
      </c>
      <c r="BF26" s="950">
        <v>1558.366571</v>
      </c>
      <c r="BG26" s="950">
        <v>1556.3011734399997</v>
      </c>
      <c r="BH26" s="1005">
        <v>1558.5492373499997</v>
      </c>
      <c r="BI26" s="994">
        <v>1603.1315511500002</v>
      </c>
      <c r="BJ26" s="994">
        <v>1510.4385982900001</v>
      </c>
      <c r="BK26" s="994">
        <v>1482.2558371599998</v>
      </c>
      <c r="BL26" s="994">
        <v>1490.0918882800001</v>
      </c>
      <c r="BM26" s="994">
        <v>1494.55158787</v>
      </c>
      <c r="BN26" s="994">
        <v>1496.3978396499999</v>
      </c>
      <c r="BO26" s="994">
        <v>1515.5306530800003</v>
      </c>
      <c r="BP26" s="994">
        <v>1519.31498302</v>
      </c>
      <c r="BQ26" s="994">
        <v>1500.58150013</v>
      </c>
      <c r="BR26" s="994">
        <v>1491.95456156</v>
      </c>
      <c r="BS26" s="994">
        <v>1491.2010793899999</v>
      </c>
      <c r="BT26" s="994">
        <v>1488.8602761600002</v>
      </c>
      <c r="BU26" s="994">
        <v>1722.8021542700001</v>
      </c>
      <c r="BV26" s="994">
        <v>1743.8654935799998</v>
      </c>
      <c r="BW26" s="994">
        <v>1764.4121070199999</v>
      </c>
      <c r="BX26" s="994">
        <v>1780.6886716199997</v>
      </c>
      <c r="BY26" s="994">
        <v>1774.2475243100005</v>
      </c>
      <c r="BZ26" s="994">
        <v>1781.8791630700005</v>
      </c>
      <c r="CA26" s="994">
        <v>1785.8155442099996</v>
      </c>
      <c r="CB26" s="994">
        <v>1776.5387380300003</v>
      </c>
      <c r="CC26" s="994">
        <v>1770.3814388800001</v>
      </c>
      <c r="CD26" s="994">
        <v>1820.5574143499998</v>
      </c>
      <c r="CE26" s="994">
        <f t="shared" ref="CE26:CN26" si="9">+CE10-CE14</f>
        <v>1833.8490861099997</v>
      </c>
      <c r="CF26" s="994">
        <f t="shared" si="9"/>
        <v>1707.1444297299995</v>
      </c>
      <c r="CG26" s="994">
        <f t="shared" si="9"/>
        <v>1865.9177426899996</v>
      </c>
      <c r="CH26" s="994">
        <f t="shared" si="9"/>
        <v>1831.3405858999997</v>
      </c>
      <c r="CI26" s="994">
        <f t="shared" si="9"/>
        <v>1857.9560844399998</v>
      </c>
      <c r="CJ26" s="994">
        <f t="shared" si="9"/>
        <v>1834.65640446</v>
      </c>
      <c r="CK26" s="994">
        <f t="shared" si="9"/>
        <v>1752.4787893399998</v>
      </c>
      <c r="CL26" s="994">
        <f t="shared" si="9"/>
        <v>1706.56619112</v>
      </c>
      <c r="CM26" s="994">
        <f t="shared" si="9"/>
        <v>1704.5525421899997</v>
      </c>
      <c r="CN26" s="994">
        <f t="shared" si="9"/>
        <v>1676.8121490000003</v>
      </c>
      <c r="CO26" s="994">
        <f>+CO24-CO25</f>
        <v>1694.0206208800003</v>
      </c>
      <c r="CP26" s="994">
        <f>+CP24-CP25</f>
        <v>1818.1831024000001</v>
      </c>
      <c r="CQ26" s="994">
        <f>+CQ24-CQ25</f>
        <v>1880.3786263700001</v>
      </c>
      <c r="CR26" s="994">
        <f>+CR24-CR25</f>
        <v>1893.54913104</v>
      </c>
      <c r="CS26" s="994">
        <v>1934.7928280900001</v>
      </c>
      <c r="CT26" s="994">
        <v>1923.60717604</v>
      </c>
      <c r="CU26" s="994">
        <v>1788.65849002</v>
      </c>
      <c r="CV26" s="994">
        <v>1805.06501088</v>
      </c>
      <c r="CW26" s="994">
        <v>1830.3557394100001</v>
      </c>
      <c r="CX26" s="994">
        <v>1821.0392122600001</v>
      </c>
      <c r="CY26" s="994">
        <v>1813.7708558100001</v>
      </c>
      <c r="CZ26" s="994">
        <v>1789.23471475</v>
      </c>
      <c r="DA26" s="994">
        <v>1776.6829537000001</v>
      </c>
      <c r="DB26" s="994">
        <v>1780.9764445000001</v>
      </c>
      <c r="DC26" s="994">
        <v>1868.34034163</v>
      </c>
      <c r="DD26" s="994">
        <v>1900.8963668199999</v>
      </c>
      <c r="DE26" s="994">
        <v>1985.0082254500001</v>
      </c>
      <c r="DF26" s="994">
        <v>1960.5393263799999</v>
      </c>
      <c r="DG26" s="994">
        <v>1982.1828276000001</v>
      </c>
      <c r="DH26" s="994">
        <v>1996.22070691</v>
      </c>
      <c r="DI26" s="994">
        <v>1968.9992049800001</v>
      </c>
      <c r="DJ26" s="994">
        <v>2022.2337204400001</v>
      </c>
      <c r="DK26" s="994">
        <v>2020.7922875300001</v>
      </c>
      <c r="DL26" s="994">
        <v>1997.3065305</v>
      </c>
      <c r="DM26" s="994">
        <v>1996.1496795999999</v>
      </c>
      <c r="DN26" s="994">
        <v>2037.0203072199999</v>
      </c>
      <c r="DO26" s="994">
        <v>2105.9916752300001</v>
      </c>
      <c r="DP26" s="994">
        <v>2182.2110713900001</v>
      </c>
      <c r="DQ26" s="994">
        <v>2166.9288501999999</v>
      </c>
      <c r="DR26" s="994">
        <v>2140.2420506600001</v>
      </c>
      <c r="DS26" s="994">
        <v>2147.3527207000002</v>
      </c>
      <c r="DT26" s="994">
        <v>2207.69252241</v>
      </c>
      <c r="DU26" s="994">
        <v>2222.64714478</v>
      </c>
      <c r="DV26" s="994">
        <v>2227.7178962399998</v>
      </c>
      <c r="DW26" s="994">
        <v>2262.5688266400002</v>
      </c>
      <c r="DX26" s="994">
        <v>2274.16628356</v>
      </c>
      <c r="DY26" s="994">
        <v>2282.0959754</v>
      </c>
      <c r="DZ26" s="994">
        <v>2301.60341277</v>
      </c>
      <c r="EA26" s="994">
        <v>2243.0260855800002</v>
      </c>
      <c r="EB26" s="994">
        <v>2287.8257338100002</v>
      </c>
      <c r="EC26" s="994">
        <v>2267.0219385700002</v>
      </c>
      <c r="ED26" s="994">
        <v>2281.95719366</v>
      </c>
      <c r="EE26" s="994">
        <v>2293.9880692800002</v>
      </c>
      <c r="EF26" s="510"/>
      <c r="EK26" s="364"/>
    </row>
    <row r="27" spans="1:141" ht="19.8">
      <c r="A27" s="948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5"/>
      <c r="CN27" s="995"/>
      <c r="CO27" s="995"/>
      <c r="CP27" s="995"/>
      <c r="CQ27" s="995"/>
      <c r="CR27" s="995"/>
      <c r="CS27" s="995"/>
      <c r="CT27" s="995"/>
      <c r="CU27" s="995"/>
      <c r="CV27" s="995"/>
      <c r="CW27" s="995"/>
      <c r="CX27" s="995"/>
      <c r="CY27" s="995"/>
      <c r="CZ27" s="995"/>
      <c r="DA27" s="995"/>
      <c r="DB27" s="995"/>
      <c r="DC27" s="995"/>
      <c r="DD27" s="995"/>
      <c r="DE27" s="995"/>
      <c r="DF27" s="995"/>
      <c r="DG27" s="995"/>
      <c r="DH27" s="995"/>
      <c r="DI27" s="995"/>
      <c r="DJ27" s="995"/>
      <c r="DK27" s="995"/>
      <c r="DL27" s="995"/>
      <c r="DM27" s="995"/>
      <c r="DN27" s="995"/>
      <c r="DO27" s="995"/>
      <c r="DP27" s="995"/>
      <c r="DQ27" s="995"/>
      <c r="DR27" s="995"/>
      <c r="DS27" s="995"/>
      <c r="DT27" s="995"/>
      <c r="DU27" s="995"/>
      <c r="DV27" s="995"/>
      <c r="DW27" s="995"/>
      <c r="DX27" s="995"/>
      <c r="DY27" s="995"/>
      <c r="DZ27" s="995"/>
      <c r="EA27" s="995"/>
      <c r="EB27" s="995"/>
      <c r="EC27" s="995"/>
      <c r="ED27" s="995"/>
      <c r="EE27" s="995"/>
      <c r="EK27" s="364"/>
    </row>
    <row r="28" spans="1:141" ht="19.8">
      <c r="A28" s="1509" t="s">
        <v>189</v>
      </c>
      <c r="B28" s="962">
        <v>1051.2971380200001</v>
      </c>
      <c r="C28" s="962">
        <v>863.21059308999997</v>
      </c>
      <c r="D28" s="962">
        <v>882.10763730999997</v>
      </c>
      <c r="E28" s="962">
        <v>905.16051578999998</v>
      </c>
      <c r="F28" s="962">
        <v>913.04574754999999</v>
      </c>
      <c r="G28" s="962">
        <v>933.40657168000007</v>
      </c>
      <c r="H28" s="962">
        <v>924.4305399399999</v>
      </c>
      <c r="I28" s="962">
        <v>957.31052016000001</v>
      </c>
      <c r="J28" s="962">
        <v>958.96515810999995</v>
      </c>
      <c r="K28" s="962">
        <v>973.4908184200001</v>
      </c>
      <c r="L28" s="962">
        <v>988.51506726000014</v>
      </c>
      <c r="M28" s="946">
        <v>1010.60045113</v>
      </c>
      <c r="N28" s="950">
        <v>1008.4523689499999</v>
      </c>
      <c r="O28" s="950">
        <v>1020.0525263799999</v>
      </c>
      <c r="P28" s="950">
        <v>1051.4977110699999</v>
      </c>
      <c r="Q28" s="950">
        <v>1120.87929244</v>
      </c>
      <c r="R28" s="950">
        <v>1244.2217160900002</v>
      </c>
      <c r="S28" s="950">
        <v>1299.8950151300003</v>
      </c>
      <c r="T28" s="950">
        <v>1338.0773258300001</v>
      </c>
      <c r="U28" s="950">
        <v>1367.87690959</v>
      </c>
      <c r="V28" s="950">
        <v>1407.27796491</v>
      </c>
      <c r="W28" s="950">
        <v>1397.6033922100003</v>
      </c>
      <c r="X28" s="950">
        <v>1429.5477786399999</v>
      </c>
      <c r="Y28" s="946">
        <v>1454.6981517000002</v>
      </c>
      <c r="Z28" s="950">
        <v>1439.30056423</v>
      </c>
      <c r="AA28" s="950">
        <v>1397.4730488100001</v>
      </c>
      <c r="AB28" s="946">
        <v>1381.4198528599998</v>
      </c>
      <c r="AC28" s="946">
        <v>1378.8735066000002</v>
      </c>
      <c r="AD28" s="946">
        <v>1364.9657972800001</v>
      </c>
      <c r="AE28" s="946">
        <v>1359.8761961599998</v>
      </c>
      <c r="AF28" s="946">
        <v>1369.3943097500003</v>
      </c>
      <c r="AG28" s="946">
        <v>1407.00302829</v>
      </c>
      <c r="AH28" s="946">
        <v>1063.3913725</v>
      </c>
      <c r="AI28" s="946">
        <v>1188.3039646399998</v>
      </c>
      <c r="AJ28" s="946">
        <v>1190.0924234700003</v>
      </c>
      <c r="AK28" s="946">
        <v>1275.0371968100001</v>
      </c>
      <c r="AL28" s="946">
        <v>1051.23363582</v>
      </c>
      <c r="AM28" s="946">
        <v>1044.0403782600001</v>
      </c>
      <c r="AN28" s="946">
        <v>996.13653473000011</v>
      </c>
      <c r="AO28" s="946">
        <v>982.64020602000005</v>
      </c>
      <c r="AP28" s="946">
        <v>974.92539325999985</v>
      </c>
      <c r="AQ28" s="946">
        <v>975.89528699000005</v>
      </c>
      <c r="AR28" s="946">
        <v>1065.5010931499999</v>
      </c>
      <c r="AS28" s="946">
        <v>1068.76417406</v>
      </c>
      <c r="AT28" s="946">
        <v>1075.32838874</v>
      </c>
      <c r="AU28" s="946">
        <v>1075.0922423699999</v>
      </c>
      <c r="AV28" s="946">
        <v>1108.1851466799999</v>
      </c>
      <c r="AW28" s="946">
        <v>1156.56883939</v>
      </c>
      <c r="AX28" s="946">
        <v>1147.4345868799999</v>
      </c>
      <c r="AY28" s="946">
        <v>1149.84479816</v>
      </c>
      <c r="AZ28" s="946">
        <v>1015.70771472</v>
      </c>
      <c r="BA28" s="946">
        <v>1022.98958147</v>
      </c>
      <c r="BB28" s="946">
        <v>987.22345579</v>
      </c>
      <c r="BC28" s="946">
        <v>964.8867610100001</v>
      </c>
      <c r="BD28" s="946">
        <v>1060.38014567</v>
      </c>
      <c r="BE28" s="946">
        <v>1052.1236565500001</v>
      </c>
      <c r="BF28" s="946">
        <v>1039.3215700200001</v>
      </c>
      <c r="BG28" s="946">
        <v>1031.05925112</v>
      </c>
      <c r="BH28" s="1004">
        <v>1010.0085459899999</v>
      </c>
      <c r="BI28" s="993">
        <v>1016.04957896</v>
      </c>
      <c r="BJ28" s="993">
        <v>956.43121764000011</v>
      </c>
      <c r="BK28" s="993">
        <v>966.02915640999993</v>
      </c>
      <c r="BL28" s="993">
        <v>958.65102236999996</v>
      </c>
      <c r="BM28" s="993">
        <v>961.82977522999988</v>
      </c>
      <c r="BN28" s="993">
        <v>959.67023933999997</v>
      </c>
      <c r="BO28" s="993">
        <v>966.37262088</v>
      </c>
      <c r="BP28" s="993">
        <v>971.03824875000009</v>
      </c>
      <c r="BQ28" s="993">
        <v>967.93412117000003</v>
      </c>
      <c r="BR28" s="993">
        <v>961.64227309</v>
      </c>
      <c r="BS28" s="993">
        <v>961.10813742999994</v>
      </c>
      <c r="BT28" s="993">
        <v>963.34728621000011</v>
      </c>
      <c r="BU28" s="993">
        <v>1014.26243864</v>
      </c>
      <c r="BV28" s="993">
        <v>1023.9082962</v>
      </c>
      <c r="BW28" s="993">
        <v>1033.1972142899999</v>
      </c>
      <c r="BX28" s="993">
        <v>1046.28096248</v>
      </c>
      <c r="BY28" s="993">
        <v>1052.9426929600002</v>
      </c>
      <c r="BZ28" s="993">
        <v>1056.23704722</v>
      </c>
      <c r="CA28" s="993">
        <v>1063.4354048999999</v>
      </c>
      <c r="CB28" s="993">
        <v>1027.1542900200002</v>
      </c>
      <c r="CC28" s="993">
        <v>1034.79060226</v>
      </c>
      <c r="CD28" s="993">
        <v>1058.78640051</v>
      </c>
      <c r="CE28" s="993">
        <v>1065.14296881</v>
      </c>
      <c r="CF28" s="993">
        <v>1076.2088567799999</v>
      </c>
      <c r="CG28" s="993">
        <v>1089.2130721799999</v>
      </c>
      <c r="CH28" s="993">
        <v>1057.5495068799999</v>
      </c>
      <c r="CI28" s="993">
        <v>1075.9409679299999</v>
      </c>
      <c r="CJ28" s="993">
        <v>1078.4753086999999</v>
      </c>
      <c r="CK28" s="993">
        <v>1021.2088854299999</v>
      </c>
      <c r="CL28" s="993">
        <v>1004.5878224200001</v>
      </c>
      <c r="CM28" s="993">
        <v>1004.15911483</v>
      </c>
      <c r="CN28" s="993">
        <v>976.8937150700001</v>
      </c>
      <c r="CO28" s="993">
        <v>992.67951362000008</v>
      </c>
      <c r="CP28" s="993">
        <v>1025.9400593599999</v>
      </c>
      <c r="CQ28" s="993">
        <v>1049.9637622800001</v>
      </c>
      <c r="CR28" s="993">
        <v>1075.0392859399999</v>
      </c>
      <c r="CS28" s="993">
        <v>1147.1576494899998</v>
      </c>
      <c r="CT28" s="993">
        <v>1144.93400548</v>
      </c>
      <c r="CU28" s="993">
        <v>1155.10478334</v>
      </c>
      <c r="CV28" s="993">
        <v>1195.09323331</v>
      </c>
      <c r="CW28" s="993">
        <v>1214.11629455</v>
      </c>
      <c r="CX28" s="993">
        <v>1210.9710471400001</v>
      </c>
      <c r="CY28" s="993">
        <v>1262.82692146</v>
      </c>
      <c r="CZ28" s="993">
        <v>1243.6465908499999</v>
      </c>
      <c r="DA28" s="993">
        <v>1233.1549781599999</v>
      </c>
      <c r="DB28" s="993">
        <v>1242.79904579</v>
      </c>
      <c r="DC28" s="993">
        <v>1230.22625498</v>
      </c>
      <c r="DD28" s="993">
        <v>1274.7829105599999</v>
      </c>
      <c r="DE28" s="993">
        <v>1389.2305498799999</v>
      </c>
      <c r="DF28" s="993">
        <v>1376.6963197</v>
      </c>
      <c r="DG28" s="993">
        <v>1398.6838827500001</v>
      </c>
      <c r="DH28" s="993">
        <v>1414.06039059</v>
      </c>
      <c r="DI28" s="993">
        <v>1388.3925193099999</v>
      </c>
      <c r="DJ28" s="993">
        <v>1439.59264749</v>
      </c>
      <c r="DK28" s="993">
        <v>1456.3210184699999</v>
      </c>
      <c r="DL28" s="993">
        <v>1428.8285920400001</v>
      </c>
      <c r="DM28" s="993">
        <v>1428.27844921</v>
      </c>
      <c r="DN28" s="993">
        <v>1473.79725001</v>
      </c>
      <c r="DO28" s="993">
        <v>1528.37586237</v>
      </c>
      <c r="DP28" s="993">
        <v>1584.5292902799999</v>
      </c>
      <c r="DQ28" s="993">
        <v>1603.3771462</v>
      </c>
      <c r="DR28" s="993">
        <v>1577.5519429999999</v>
      </c>
      <c r="DS28" s="993">
        <v>1589.8142436099999</v>
      </c>
      <c r="DT28" s="993">
        <v>1625.6033918799999</v>
      </c>
      <c r="DU28" s="993">
        <v>1636.2413974799999</v>
      </c>
      <c r="DV28" s="993">
        <v>1642.2242879299999</v>
      </c>
      <c r="DW28" s="993">
        <v>1669.9802912</v>
      </c>
      <c r="DX28" s="993">
        <v>1650.69891869</v>
      </c>
      <c r="DY28" s="993">
        <v>1667.19780977</v>
      </c>
      <c r="DZ28" s="993">
        <v>1689.9629520999999</v>
      </c>
      <c r="EA28" s="993">
        <v>1646.65474885</v>
      </c>
      <c r="EB28" s="993">
        <v>1676.9653615899999</v>
      </c>
      <c r="EC28" s="993">
        <v>1707.35678753</v>
      </c>
      <c r="ED28" s="993">
        <v>1731.5636373499999</v>
      </c>
      <c r="EE28" s="993">
        <v>1739.59655073</v>
      </c>
      <c r="EK28" s="364"/>
    </row>
    <row r="29" spans="1:141" ht="19.8">
      <c r="A29" s="1510" t="s">
        <v>2001</v>
      </c>
      <c r="B29" s="962">
        <v>3.5438626200000001</v>
      </c>
      <c r="C29" s="962">
        <v>3.4575012799999998</v>
      </c>
      <c r="D29" s="962">
        <v>3.3476030899999998</v>
      </c>
      <c r="E29" s="962">
        <v>3.2374337299999998</v>
      </c>
      <c r="F29" s="962">
        <v>2.1991751699999997</v>
      </c>
      <c r="G29" s="962">
        <v>1.7754475700000001</v>
      </c>
      <c r="H29" s="962">
        <v>1.5948678000000001</v>
      </c>
      <c r="I29" s="962">
        <v>1.7772183700000002</v>
      </c>
      <c r="J29" s="962">
        <v>1.7345310700000001</v>
      </c>
      <c r="K29" s="962">
        <v>1.78339351</v>
      </c>
      <c r="L29" s="962">
        <v>1.5727561799999998</v>
      </c>
      <c r="M29" s="950">
        <v>1.6424446799999999</v>
      </c>
      <c r="N29" s="950">
        <v>1.5918023700000001</v>
      </c>
      <c r="O29" s="950">
        <v>1.6049320499999999</v>
      </c>
      <c r="P29" s="950">
        <v>1.5796806799999998</v>
      </c>
      <c r="Q29" s="950">
        <v>1.5462502499999999</v>
      </c>
      <c r="R29" s="950">
        <v>5.3023439699999999</v>
      </c>
      <c r="S29" s="950">
        <v>5.3074589000000003</v>
      </c>
      <c r="T29" s="950">
        <v>5.4182640499999994</v>
      </c>
      <c r="U29" s="950">
        <v>5.36839567</v>
      </c>
      <c r="V29" s="950">
        <v>5.3240697699999995</v>
      </c>
      <c r="W29" s="950">
        <v>5.2681187400000002</v>
      </c>
      <c r="X29" s="950">
        <v>4.1233982300000003</v>
      </c>
      <c r="Y29" s="950">
        <v>3.96492887</v>
      </c>
      <c r="Z29" s="950">
        <v>3.34767437</v>
      </c>
      <c r="AA29" s="950">
        <v>3.5906461800000002</v>
      </c>
      <c r="AB29" s="950">
        <v>3.5547388300000002</v>
      </c>
      <c r="AC29" s="950">
        <v>3.53214585</v>
      </c>
      <c r="AD29" s="950">
        <v>3.6589865699999997</v>
      </c>
      <c r="AE29" s="950">
        <v>3.6254759399999998</v>
      </c>
      <c r="AF29" s="950">
        <v>3.54926414</v>
      </c>
      <c r="AG29" s="950">
        <v>3.5032754800000001</v>
      </c>
      <c r="AH29" s="950">
        <v>4.01008926</v>
      </c>
      <c r="AI29" s="950">
        <v>4.0608173999999995</v>
      </c>
      <c r="AJ29" s="950">
        <v>4.0432933499999999</v>
      </c>
      <c r="AK29" s="950">
        <v>4.16292259</v>
      </c>
      <c r="AL29" s="950">
        <v>1.69327747</v>
      </c>
      <c r="AM29" s="950">
        <v>1.6847077099999999</v>
      </c>
      <c r="AN29" s="950">
        <v>1.86719144</v>
      </c>
      <c r="AO29" s="950">
        <v>1.93758754</v>
      </c>
      <c r="AP29" s="950">
        <v>1.8480308000000001</v>
      </c>
      <c r="AQ29" s="950">
        <v>2.2375954300000003</v>
      </c>
      <c r="AR29" s="950">
        <v>2.4268213300000001</v>
      </c>
      <c r="AS29" s="950">
        <v>2.6519140099999996</v>
      </c>
      <c r="AT29" s="950">
        <v>2.5902101800000001</v>
      </c>
      <c r="AU29" s="950">
        <v>2.5286353199999998</v>
      </c>
      <c r="AV29" s="950">
        <v>11.7338779</v>
      </c>
      <c r="AW29" s="950">
        <v>11.816196400000001</v>
      </c>
      <c r="AX29" s="950">
        <v>11.767152449999999</v>
      </c>
      <c r="AY29" s="950">
        <v>11.650934400000001</v>
      </c>
      <c r="AZ29" s="950">
        <v>11.553162560000001</v>
      </c>
      <c r="BA29" s="950">
        <v>11.479703710000001</v>
      </c>
      <c r="BB29" s="950">
        <v>11.310909029999999</v>
      </c>
      <c r="BC29" s="950">
        <v>11.20070823</v>
      </c>
      <c r="BD29" s="950">
        <v>11.11828401</v>
      </c>
      <c r="BE29" s="950">
        <v>10.89785305</v>
      </c>
      <c r="BF29" s="950">
        <v>11.18711498</v>
      </c>
      <c r="BG29" s="950">
        <v>11.084037369999999</v>
      </c>
      <c r="BH29" s="1005">
        <v>10.981226919999999</v>
      </c>
      <c r="BI29" s="994">
        <v>10.840376710000001</v>
      </c>
      <c r="BJ29" s="994">
        <v>10.77751217</v>
      </c>
      <c r="BK29" s="994">
        <v>10.701140429999999</v>
      </c>
      <c r="BL29" s="994">
        <v>10.64202459</v>
      </c>
      <c r="BM29" s="994">
        <v>10.567771369999999</v>
      </c>
      <c r="BN29" s="994">
        <v>10.39085167</v>
      </c>
      <c r="BO29" s="994">
        <v>10.37367792</v>
      </c>
      <c r="BP29" s="994">
        <v>10.34334877</v>
      </c>
      <c r="BQ29" s="994">
        <v>10.290430560000001</v>
      </c>
      <c r="BR29" s="994">
        <v>10.336641</v>
      </c>
      <c r="BS29" s="994">
        <v>10.373628070000001</v>
      </c>
      <c r="BT29" s="994">
        <v>10.590361420000001</v>
      </c>
      <c r="BU29" s="994">
        <v>10.647549029999999</v>
      </c>
      <c r="BV29" s="994">
        <v>10.61796111</v>
      </c>
      <c r="BW29" s="994">
        <v>10.58178126</v>
      </c>
      <c r="BX29" s="994">
        <v>10.927345789999999</v>
      </c>
      <c r="BY29" s="994">
        <v>10.547937340000001</v>
      </c>
      <c r="BZ29" s="994">
        <v>10.57874427</v>
      </c>
      <c r="CA29" s="994">
        <v>10.511925289999999</v>
      </c>
      <c r="CB29" s="994">
        <v>10.629458140000001</v>
      </c>
      <c r="CC29" s="994">
        <v>10.59784282</v>
      </c>
      <c r="CD29" s="994">
        <v>10.580902349999999</v>
      </c>
      <c r="CE29" s="994">
        <v>10.5765098</v>
      </c>
      <c r="CF29" s="994">
        <v>10.62791223</v>
      </c>
      <c r="CG29" s="994">
        <v>10.597242300000001</v>
      </c>
      <c r="CH29" s="994">
        <v>10.572241529999999</v>
      </c>
      <c r="CI29" s="994">
        <v>10.713374400000001</v>
      </c>
      <c r="CJ29" s="994">
        <v>10.688598929999999</v>
      </c>
      <c r="CK29" s="994">
        <v>10.607110369999999</v>
      </c>
      <c r="CL29" s="994">
        <v>10.233971739999999</v>
      </c>
      <c r="CM29" s="994">
        <v>10.229623500000001</v>
      </c>
      <c r="CN29" s="994">
        <v>10.212965539999999</v>
      </c>
      <c r="CO29" s="994">
        <v>10.209457</v>
      </c>
      <c r="CP29" s="994">
        <v>10.85161604</v>
      </c>
      <c r="CQ29" s="994">
        <v>10.839672539999999</v>
      </c>
      <c r="CR29" s="994">
        <v>10.83003298</v>
      </c>
      <c r="CS29" s="994">
        <v>10.8623779</v>
      </c>
      <c r="CT29" s="994">
        <v>10.85097418</v>
      </c>
      <c r="CU29" s="994">
        <v>11.132223059999999</v>
      </c>
      <c r="CV29" s="994">
        <v>11.1168555</v>
      </c>
      <c r="CW29" s="994">
        <v>11.33596371</v>
      </c>
      <c r="CX29" s="994">
        <v>11.30016968</v>
      </c>
      <c r="CY29" s="994">
        <v>11.241448350000001</v>
      </c>
      <c r="CZ29" s="994">
        <v>11.208777660000001</v>
      </c>
      <c r="DA29" s="994">
        <v>11.3704044</v>
      </c>
      <c r="DB29" s="994">
        <v>11.33797994</v>
      </c>
      <c r="DC29" s="994">
        <v>11.64005163</v>
      </c>
      <c r="DD29" s="994">
        <v>11.84844264</v>
      </c>
      <c r="DE29" s="994">
        <v>17.918187769999999</v>
      </c>
      <c r="DF29" s="994">
        <v>17.87519751</v>
      </c>
      <c r="DG29" s="994">
        <v>17.322828909999998</v>
      </c>
      <c r="DH29" s="994">
        <v>17.307342169999998</v>
      </c>
      <c r="DI29" s="994">
        <v>18.25918399</v>
      </c>
      <c r="DJ29" s="994">
        <v>18.23791829</v>
      </c>
      <c r="DK29" s="994">
        <v>18.34781207</v>
      </c>
      <c r="DL29" s="994">
        <v>18.313479099999999</v>
      </c>
      <c r="DM29" s="994">
        <v>18.459762900000001</v>
      </c>
      <c r="DN29" s="994">
        <v>20.62515286</v>
      </c>
      <c r="DO29" s="994">
        <v>20.555549450000001</v>
      </c>
      <c r="DP29" s="994">
        <v>22.498029890000002</v>
      </c>
      <c r="DQ29" s="994">
        <v>23.21601064</v>
      </c>
      <c r="DR29" s="994">
        <v>23.546886799999999</v>
      </c>
      <c r="DS29" s="994">
        <v>23.491617389999998</v>
      </c>
      <c r="DT29" s="994">
        <v>23.504975380000001</v>
      </c>
      <c r="DU29" s="994">
        <v>23.359199919999998</v>
      </c>
      <c r="DV29" s="994">
        <v>23.238642939999998</v>
      </c>
      <c r="DW29" s="994">
        <v>23.163071080000002</v>
      </c>
      <c r="DX29" s="994">
        <v>22.969791900000001</v>
      </c>
      <c r="DY29" s="994">
        <v>22.711186309999999</v>
      </c>
      <c r="DZ29" s="994">
        <v>22.99616236</v>
      </c>
      <c r="EA29" s="994">
        <v>23.751042330000001</v>
      </c>
      <c r="EB29" s="994">
        <v>13.370028019999999</v>
      </c>
      <c r="EC29" s="994">
        <v>13.236993289999999</v>
      </c>
      <c r="ED29" s="994">
        <v>13.082999170000001</v>
      </c>
      <c r="EE29" s="994">
        <v>13.2566851</v>
      </c>
      <c r="EK29" s="364"/>
    </row>
    <row r="30" spans="1:141" ht="19.8">
      <c r="A30" s="1511" t="s">
        <v>2002</v>
      </c>
      <c r="B30" s="961">
        <f>+B28-B29</f>
        <v>1047.7532754000001</v>
      </c>
      <c r="C30" s="961">
        <f t="shared" ref="C30:V30" si="10">+C28-C29</f>
        <v>859.75309181</v>
      </c>
      <c r="D30" s="961">
        <f t="shared" si="10"/>
        <v>878.76003421999997</v>
      </c>
      <c r="E30" s="961">
        <f t="shared" si="10"/>
        <v>901.92308205999996</v>
      </c>
      <c r="F30" s="961">
        <f t="shared" si="10"/>
        <v>910.84657238</v>
      </c>
      <c r="G30" s="961">
        <f t="shared" si="10"/>
        <v>931.63112411000009</v>
      </c>
      <c r="H30" s="961">
        <f t="shared" si="10"/>
        <v>922.83567213999993</v>
      </c>
      <c r="I30" s="961">
        <f t="shared" si="10"/>
        <v>955.53330179</v>
      </c>
      <c r="J30" s="961">
        <f t="shared" si="10"/>
        <v>957.23062703999994</v>
      </c>
      <c r="K30" s="961">
        <f t="shared" si="10"/>
        <v>971.7074249100001</v>
      </c>
      <c r="L30" s="961">
        <f t="shared" si="10"/>
        <v>986.94231108000008</v>
      </c>
      <c r="M30" s="950">
        <f t="shared" si="10"/>
        <v>1008.95800645</v>
      </c>
      <c r="N30" s="946">
        <f t="shared" si="10"/>
        <v>1006.86056658</v>
      </c>
      <c r="O30" s="946">
        <f t="shared" si="10"/>
        <v>1018.4475943299999</v>
      </c>
      <c r="P30" s="946">
        <f t="shared" si="10"/>
        <v>1049.91803039</v>
      </c>
      <c r="Q30" s="946">
        <f t="shared" si="10"/>
        <v>1119.33304219</v>
      </c>
      <c r="R30" s="946">
        <f t="shared" si="10"/>
        <v>1238.9193721200002</v>
      </c>
      <c r="S30" s="946">
        <f t="shared" si="10"/>
        <v>1294.5875562300002</v>
      </c>
      <c r="T30" s="946">
        <f t="shared" si="10"/>
        <v>1332.65906178</v>
      </c>
      <c r="U30" s="946">
        <f t="shared" si="10"/>
        <v>1362.50851392</v>
      </c>
      <c r="V30" s="946">
        <f t="shared" si="10"/>
        <v>1401.95389514</v>
      </c>
      <c r="W30" s="946">
        <v>1392.3352734700002</v>
      </c>
      <c r="X30" s="946">
        <v>1425.4243804099999</v>
      </c>
      <c r="Y30" s="950">
        <v>1450.7332228300002</v>
      </c>
      <c r="Z30" s="946">
        <v>1435.9528898599999</v>
      </c>
      <c r="AA30" s="946">
        <v>1393.8824026300001</v>
      </c>
      <c r="AB30" s="950">
        <f>+AB28-AB29</f>
        <v>1377.8651140299999</v>
      </c>
      <c r="AC30" s="950">
        <v>1375.3413607500001</v>
      </c>
      <c r="AD30" s="950">
        <v>1361.30681071</v>
      </c>
      <c r="AE30" s="950">
        <v>1356.2507202199999</v>
      </c>
      <c r="AF30" s="950">
        <v>1365.8450456100002</v>
      </c>
      <c r="AG30" s="950">
        <v>1403.49975281</v>
      </c>
      <c r="AH30" s="950">
        <f>+AH28-AH29</f>
        <v>1059.3812832399999</v>
      </c>
      <c r="AI30" s="950">
        <v>1184.2431472399999</v>
      </c>
      <c r="AJ30" s="950">
        <f>+AJ28-AJ29</f>
        <v>1186.0491301200002</v>
      </c>
      <c r="AK30" s="950">
        <f>+AK28-AK29</f>
        <v>1270.87427422</v>
      </c>
      <c r="AL30" s="950">
        <v>1049.5403583499999</v>
      </c>
      <c r="AM30" s="950">
        <f>+AM28-AM29</f>
        <v>1042.35567055</v>
      </c>
      <c r="AN30" s="950">
        <f>+AN28-AN29</f>
        <v>994.26934329000005</v>
      </c>
      <c r="AO30" s="950">
        <f>+AO28-AO29</f>
        <v>980.70261848000007</v>
      </c>
      <c r="AP30" s="950">
        <v>973.0773624599999</v>
      </c>
      <c r="AQ30" s="950">
        <v>973.65769155999999</v>
      </c>
      <c r="AR30" s="950">
        <v>1063.0742718199999</v>
      </c>
      <c r="AS30" s="950">
        <v>1066.11226005</v>
      </c>
      <c r="AT30" s="950">
        <f>+AT28-AT29</f>
        <v>1072.7381785600001</v>
      </c>
      <c r="AU30" s="950">
        <v>1072.56360705</v>
      </c>
      <c r="AV30" s="950">
        <v>1096.45126878</v>
      </c>
      <c r="AW30" s="950">
        <v>1144.7526429899999</v>
      </c>
      <c r="AX30" s="950">
        <v>1135.66743443</v>
      </c>
      <c r="AY30" s="950">
        <v>1138.1938637599999</v>
      </c>
      <c r="AZ30" s="950">
        <v>1004.15455216</v>
      </c>
      <c r="BA30" s="950">
        <v>1011.50987776</v>
      </c>
      <c r="BB30" s="950">
        <v>975.91254676000005</v>
      </c>
      <c r="BC30" s="950">
        <v>953.68605278000007</v>
      </c>
      <c r="BD30" s="950">
        <f>+BD28-BD29</f>
        <v>1049.26186166</v>
      </c>
      <c r="BE30" s="950">
        <v>1041.2258035</v>
      </c>
      <c r="BF30" s="950">
        <v>1028.1344550400001</v>
      </c>
      <c r="BG30" s="950">
        <v>1019.97521375</v>
      </c>
      <c r="BH30" s="1005">
        <v>999.02731906999986</v>
      </c>
      <c r="BI30" s="994">
        <v>1005.20920225</v>
      </c>
      <c r="BJ30" s="994">
        <v>945.65370547000009</v>
      </c>
      <c r="BK30" s="994">
        <v>955.32801597999992</v>
      </c>
      <c r="BL30" s="994">
        <v>948.00899777999996</v>
      </c>
      <c r="BM30" s="994">
        <v>951.26200385999994</v>
      </c>
      <c r="BN30" s="994">
        <v>949.27938767000001</v>
      </c>
      <c r="BO30" s="994">
        <v>955.99894296000002</v>
      </c>
      <c r="BP30" s="994">
        <v>960.69489998000006</v>
      </c>
      <c r="BQ30" s="994">
        <v>957.64369061000002</v>
      </c>
      <c r="BR30" s="994">
        <v>951.30563209000002</v>
      </c>
      <c r="BS30" s="994">
        <v>950.73450935999995</v>
      </c>
      <c r="BT30" s="994">
        <v>952.75692479000008</v>
      </c>
      <c r="BU30" s="994">
        <v>1003.61488961</v>
      </c>
      <c r="BV30" s="994">
        <v>1013.29033509</v>
      </c>
      <c r="BW30" s="994">
        <v>1022.61543303</v>
      </c>
      <c r="BX30" s="994">
        <v>1035.3536166900001</v>
      </c>
      <c r="BY30" s="994">
        <v>1042.3947556200001</v>
      </c>
      <c r="BZ30" s="994">
        <v>1045.65830295</v>
      </c>
      <c r="CA30" s="994">
        <v>1052.92347961</v>
      </c>
      <c r="CB30" s="994">
        <v>1016.5248318800002</v>
      </c>
      <c r="CC30" s="994">
        <v>1024.1927594399999</v>
      </c>
      <c r="CD30" s="994">
        <v>1048.2054981599999</v>
      </c>
      <c r="CE30" s="994">
        <f t="shared" ref="CE30:CO30" si="11">+CE28-CE29</f>
        <v>1054.56645901</v>
      </c>
      <c r="CF30" s="994">
        <f t="shared" si="11"/>
        <v>1065.5809445499999</v>
      </c>
      <c r="CG30" s="994">
        <f t="shared" si="11"/>
        <v>1078.6158298799999</v>
      </c>
      <c r="CH30" s="994">
        <f t="shared" si="11"/>
        <v>1046.9772653499999</v>
      </c>
      <c r="CI30" s="994">
        <f t="shared" si="11"/>
        <v>1065.2275935299999</v>
      </c>
      <c r="CJ30" s="994">
        <f t="shared" si="11"/>
        <v>1067.78670977</v>
      </c>
      <c r="CK30" s="994">
        <f t="shared" si="11"/>
        <v>1010.6017750599999</v>
      </c>
      <c r="CL30" s="994">
        <f t="shared" si="11"/>
        <v>994.35385068000005</v>
      </c>
      <c r="CM30" s="994">
        <f t="shared" si="11"/>
        <v>993.92949133000002</v>
      </c>
      <c r="CN30" s="994">
        <f t="shared" si="11"/>
        <v>966.68074953000007</v>
      </c>
      <c r="CO30" s="994">
        <f t="shared" si="11"/>
        <v>982.47005662000004</v>
      </c>
      <c r="CP30" s="994">
        <f>+CP28-CP29</f>
        <v>1015.0884433199999</v>
      </c>
      <c r="CQ30" s="994">
        <f>+CQ28-CQ29</f>
        <v>1039.12408974</v>
      </c>
      <c r="CR30" s="994">
        <f>+CR28-CR29</f>
        <v>1064.20925296</v>
      </c>
      <c r="CS30" s="994">
        <v>1136.2952715899999</v>
      </c>
      <c r="CT30" s="994">
        <v>1134.0830312999999</v>
      </c>
      <c r="CU30" s="994">
        <v>1143.9725602799999</v>
      </c>
      <c r="CV30" s="994">
        <v>1183.97637781</v>
      </c>
      <c r="CW30" s="994">
        <v>1202.78033084</v>
      </c>
      <c r="CX30" s="994">
        <v>1199.6708774599999</v>
      </c>
      <c r="CY30" s="994">
        <v>1251.5854731100001</v>
      </c>
      <c r="CZ30" s="994">
        <v>1232.43781319</v>
      </c>
      <c r="DA30" s="994">
        <v>1221.7845737600001</v>
      </c>
      <c r="DB30" s="994">
        <v>1231.4610658500001</v>
      </c>
      <c r="DC30" s="994">
        <v>1218.58620335</v>
      </c>
      <c r="DD30" s="994">
        <v>1262.9344679200001</v>
      </c>
      <c r="DE30" s="994">
        <v>1371.3123621100001</v>
      </c>
      <c r="DF30" s="994">
        <v>1358.8211221900001</v>
      </c>
      <c r="DG30" s="994">
        <v>1381.3610538400001</v>
      </c>
      <c r="DH30" s="994">
        <v>1396.7530484199999</v>
      </c>
      <c r="DI30" s="994">
        <v>1370.13333532</v>
      </c>
      <c r="DJ30" s="994">
        <v>1421.3547292000001</v>
      </c>
      <c r="DK30" s="994">
        <v>1437.9732064</v>
      </c>
      <c r="DL30" s="994">
        <v>1410.5151129400001</v>
      </c>
      <c r="DM30" s="994">
        <v>1409.81868631</v>
      </c>
      <c r="DN30" s="994">
        <v>1453.1720971499999</v>
      </c>
      <c r="DO30" s="994">
        <v>1507.8203129200001</v>
      </c>
      <c r="DP30" s="994">
        <v>1562.0312603899999</v>
      </c>
      <c r="DQ30" s="994">
        <v>1580.16113556</v>
      </c>
      <c r="DR30" s="994">
        <v>1554.0050561999999</v>
      </c>
      <c r="DS30" s="994">
        <v>1566.3226262200001</v>
      </c>
      <c r="DT30" s="994">
        <v>1602.0984165</v>
      </c>
      <c r="DU30" s="994">
        <v>1612.8821975599999</v>
      </c>
      <c r="DV30" s="994">
        <v>1618.9856449900001</v>
      </c>
      <c r="DW30" s="994">
        <v>1646.81722012</v>
      </c>
      <c r="DX30" s="994">
        <v>1627.72912679</v>
      </c>
      <c r="DY30" s="994">
        <v>1644.4866234599999</v>
      </c>
      <c r="DZ30" s="994">
        <v>1666.96678974</v>
      </c>
      <c r="EA30" s="994">
        <v>1622.90370652</v>
      </c>
      <c r="EB30" s="994">
        <v>1663.5953335700001</v>
      </c>
      <c r="EC30" s="994">
        <v>1694.1197942399999</v>
      </c>
      <c r="ED30" s="994">
        <v>1718.4806381799999</v>
      </c>
      <c r="EE30" s="994">
        <v>1726.3398656300001</v>
      </c>
      <c r="EF30" s="510"/>
      <c r="EK30" s="364"/>
    </row>
    <row r="31" spans="1:141" ht="19.8">
      <c r="A31" s="1510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5"/>
      <c r="CN31" s="995"/>
      <c r="CO31" s="995"/>
      <c r="CP31" s="995"/>
      <c r="CQ31" s="995"/>
      <c r="CR31" s="995"/>
      <c r="CS31" s="995"/>
      <c r="CT31" s="995"/>
      <c r="CU31" s="995"/>
      <c r="CV31" s="995"/>
      <c r="CW31" s="995"/>
      <c r="CX31" s="995"/>
      <c r="CY31" s="995"/>
      <c r="CZ31" s="995"/>
      <c r="DA31" s="995"/>
      <c r="DB31" s="995"/>
      <c r="DC31" s="995"/>
      <c r="DD31" s="995"/>
      <c r="DE31" s="995"/>
      <c r="DF31" s="995"/>
      <c r="DG31" s="995"/>
      <c r="DH31" s="995"/>
      <c r="DI31" s="995"/>
      <c r="DJ31" s="995"/>
      <c r="DK31" s="995"/>
      <c r="DL31" s="995"/>
      <c r="DM31" s="995"/>
      <c r="DN31" s="995"/>
      <c r="DO31" s="995"/>
      <c r="DP31" s="995"/>
      <c r="DQ31" s="995"/>
      <c r="DR31" s="995"/>
      <c r="DS31" s="995"/>
      <c r="DT31" s="995"/>
      <c r="DU31" s="995"/>
      <c r="DV31" s="995"/>
      <c r="DW31" s="995"/>
      <c r="DX31" s="995"/>
      <c r="DY31" s="995"/>
      <c r="DZ31" s="995"/>
      <c r="EA31" s="995"/>
      <c r="EB31" s="995"/>
      <c r="EC31" s="995"/>
      <c r="ED31" s="995"/>
      <c r="EE31" s="995"/>
      <c r="EK31" s="364"/>
    </row>
    <row r="32" spans="1:141" ht="19.8">
      <c r="A32" s="1509" t="s">
        <v>2822</v>
      </c>
      <c r="B32" s="961">
        <v>946.18375050999998</v>
      </c>
      <c r="C32" s="961">
        <v>737.37847960000011</v>
      </c>
      <c r="D32" s="961">
        <v>742.93278065999993</v>
      </c>
      <c r="E32" s="961">
        <v>735.74741590999997</v>
      </c>
      <c r="F32" s="961">
        <v>742.59136100000001</v>
      </c>
      <c r="G32" s="961">
        <v>744.15453484</v>
      </c>
      <c r="H32" s="961">
        <v>742.32833331000006</v>
      </c>
      <c r="I32" s="961">
        <v>747.00808422</v>
      </c>
      <c r="J32" s="961">
        <v>735.84962179000001</v>
      </c>
      <c r="K32" s="961">
        <v>735.17893900000013</v>
      </c>
      <c r="L32" s="961">
        <v>735.41279681000003</v>
      </c>
      <c r="M32" s="946">
        <v>735.78153013999997</v>
      </c>
      <c r="N32" s="946">
        <v>735.69552828000008</v>
      </c>
      <c r="O32" s="946">
        <v>730.18254647000003</v>
      </c>
      <c r="P32" s="946">
        <v>709.11901394000006</v>
      </c>
      <c r="Q32" s="946">
        <v>711.25457635999999</v>
      </c>
      <c r="R32" s="946">
        <v>708.03932479000002</v>
      </c>
      <c r="S32" s="946">
        <v>682.59575407</v>
      </c>
      <c r="T32" s="946">
        <v>677.3613080099999</v>
      </c>
      <c r="U32" s="946">
        <v>679.78510332000008</v>
      </c>
      <c r="V32" s="946">
        <v>685.22313063000001</v>
      </c>
      <c r="W32" s="946">
        <v>688.39246761999993</v>
      </c>
      <c r="X32" s="946">
        <v>699.01193625999997</v>
      </c>
      <c r="Y32" s="946">
        <v>718.33428045999995</v>
      </c>
      <c r="Z32" s="946">
        <v>728.03687366999998</v>
      </c>
      <c r="AA32" s="946">
        <v>999.86217666000005</v>
      </c>
      <c r="AB32" s="946">
        <v>993.42342070000007</v>
      </c>
      <c r="AC32" s="946">
        <v>1017.45013599</v>
      </c>
      <c r="AD32" s="946">
        <v>1017.66097927</v>
      </c>
      <c r="AE32" s="946">
        <v>1000.4651677200002</v>
      </c>
      <c r="AF32" s="946">
        <v>984.53302822000012</v>
      </c>
      <c r="AG32" s="946">
        <v>972.60667634000004</v>
      </c>
      <c r="AH32" s="946">
        <v>918.64593064999985</v>
      </c>
      <c r="AI32" s="946">
        <v>888.32711103999998</v>
      </c>
      <c r="AJ32" s="946">
        <v>882.26948985000001</v>
      </c>
      <c r="AK32" s="946">
        <v>1298.4829190800001</v>
      </c>
      <c r="AL32" s="946">
        <v>1318.3914314399999</v>
      </c>
      <c r="AM32" s="946">
        <v>1284.1533565600002</v>
      </c>
      <c r="AN32" s="946">
        <v>1282.82662411</v>
      </c>
      <c r="AO32" s="946">
        <v>1231.5252201599999</v>
      </c>
      <c r="AP32" s="946">
        <v>1174.2415472299999</v>
      </c>
      <c r="AQ32" s="946">
        <v>1203.2827430900002</v>
      </c>
      <c r="AR32" s="946">
        <v>1063.6975827800002</v>
      </c>
      <c r="AS32" s="946">
        <v>967.68837237999992</v>
      </c>
      <c r="AT32" s="946">
        <f>AT24-AT28</f>
        <v>1013.0609314300002</v>
      </c>
      <c r="AU32" s="946">
        <v>921.38686368999993</v>
      </c>
      <c r="AV32" s="946">
        <v>767.07735708000018</v>
      </c>
      <c r="AW32" s="946">
        <v>743.14260867000007</v>
      </c>
      <c r="AX32" s="946">
        <v>747.12048978999997</v>
      </c>
      <c r="AY32" s="946">
        <v>667.70266745000004</v>
      </c>
      <c r="AZ32" s="946">
        <v>653.66712626000003</v>
      </c>
      <c r="BA32" s="946">
        <v>627.75269524000009</v>
      </c>
      <c r="BB32" s="946">
        <v>666.40411624000001</v>
      </c>
      <c r="BC32" s="946">
        <v>724.55172579000009</v>
      </c>
      <c r="BD32" s="946">
        <v>649.06955533999997</v>
      </c>
      <c r="BE32" s="946">
        <v>641.76767577999999</v>
      </c>
      <c r="BF32" s="946">
        <v>663.62690748</v>
      </c>
      <c r="BG32" s="946">
        <v>656.58737951999979</v>
      </c>
      <c r="BH32" s="1004">
        <v>679.7207757499998</v>
      </c>
      <c r="BI32" s="993">
        <v>690.79821397000023</v>
      </c>
      <c r="BJ32" s="993">
        <v>644.54606119000005</v>
      </c>
      <c r="BK32" s="993">
        <v>606.87182290999988</v>
      </c>
      <c r="BL32" s="993">
        <v>621.97693391999996</v>
      </c>
      <c r="BM32" s="993">
        <v>610.06429832000015</v>
      </c>
      <c r="BN32" s="993">
        <v>613.84927548000007</v>
      </c>
      <c r="BO32" s="993">
        <v>626.21884539000018</v>
      </c>
      <c r="BP32" s="993">
        <v>612.18730916999993</v>
      </c>
      <c r="BQ32" s="993">
        <v>635.18568506999986</v>
      </c>
      <c r="BR32" s="993">
        <v>632.73556846999998</v>
      </c>
      <c r="BS32" s="993">
        <v>618.42245035999986</v>
      </c>
      <c r="BT32" s="993">
        <v>601.59362036000027</v>
      </c>
      <c r="BU32" s="993">
        <v>784.76404187000003</v>
      </c>
      <c r="BV32" s="993">
        <v>757.7221572699998</v>
      </c>
      <c r="BW32" s="993">
        <v>768.89850692999994</v>
      </c>
      <c r="BX32" s="993">
        <v>772.39153383999974</v>
      </c>
      <c r="BY32" s="993">
        <v>732.70592940000029</v>
      </c>
      <c r="BZ32" s="993">
        <v>737.02817009000023</v>
      </c>
      <c r="CA32" s="993">
        <v>733.6534512799999</v>
      </c>
      <c r="CB32" s="993">
        <v>760.72928394999985</v>
      </c>
      <c r="CC32" s="993">
        <v>746.85765153999978</v>
      </c>
      <c r="CD32" s="993">
        <v>772.97457442999996</v>
      </c>
      <c r="CE32" s="993">
        <v>779.85841970000001</v>
      </c>
      <c r="CF32" s="993">
        <v>642.0923898399999</v>
      </c>
      <c r="CG32" s="993">
        <v>787.78388108999991</v>
      </c>
      <c r="CH32" s="993">
        <v>784.79787605999991</v>
      </c>
      <c r="CI32" s="993">
        <v>793.11556999999993</v>
      </c>
      <c r="CJ32" s="993">
        <v>767.20920705000003</v>
      </c>
      <c r="CK32" s="993">
        <v>742.16855987999998</v>
      </c>
      <c r="CL32" s="993">
        <v>712.45581373000005</v>
      </c>
      <c r="CM32" s="993">
        <v>710.81831917</v>
      </c>
      <c r="CN32" s="993">
        <v>710.27814007000006</v>
      </c>
      <c r="CO32" s="993">
        <v>711.64862920000007</v>
      </c>
      <c r="CP32" s="993">
        <v>803.14384555000004</v>
      </c>
      <c r="CQ32" s="993">
        <v>841.25453662999996</v>
      </c>
      <c r="CR32" s="993">
        <v>829.33987808000006</v>
      </c>
      <c r="CS32" s="993">
        <v>798.49755650000009</v>
      </c>
      <c r="CT32" s="993">
        <v>789.52414474</v>
      </c>
      <c r="CU32" s="993">
        <v>644.68592974000001</v>
      </c>
      <c r="CV32" s="993">
        <v>621.08863307000001</v>
      </c>
      <c r="CW32" s="993">
        <v>627.57540857000004</v>
      </c>
      <c r="CX32" s="993">
        <v>621.36833479999996</v>
      </c>
      <c r="CY32" s="993">
        <v>562.18538269999999</v>
      </c>
      <c r="CZ32" s="993">
        <v>556.79690156000004</v>
      </c>
      <c r="DA32" s="993">
        <v>554.89837994000004</v>
      </c>
      <c r="DB32" s="993">
        <v>549.51537865</v>
      </c>
      <c r="DC32" s="993">
        <v>661.65413827999998</v>
      </c>
      <c r="DD32" s="993">
        <v>649.86189890000003</v>
      </c>
      <c r="DE32" s="993">
        <v>625.59586334000005</v>
      </c>
      <c r="DF32" s="993">
        <v>613.61820419000003</v>
      </c>
      <c r="DG32" s="993">
        <v>612.72177376000002</v>
      </c>
      <c r="DH32" s="993">
        <v>611.36765849000005</v>
      </c>
      <c r="DI32" s="993">
        <v>610.76586966000002</v>
      </c>
      <c r="DJ32" s="993">
        <v>612.77899123999987</v>
      </c>
      <c r="DK32" s="993">
        <v>594.80408112999999</v>
      </c>
      <c r="DL32" s="993">
        <v>598.77188373000001</v>
      </c>
      <c r="DM32" s="993">
        <v>597.03847187999997</v>
      </c>
      <c r="DN32" s="993">
        <v>593.26948205999997</v>
      </c>
      <c r="DO32" s="993">
        <v>606.44902955999999</v>
      </c>
      <c r="DP32" s="993">
        <v>628.44747673999996</v>
      </c>
      <c r="DQ32" s="993">
        <v>586.95034289</v>
      </c>
      <c r="DR32" s="993">
        <v>586.35688173999995</v>
      </c>
      <c r="DS32" s="993">
        <v>581.14450682999995</v>
      </c>
      <c r="DT32" s="993">
        <v>605.70305549</v>
      </c>
      <c r="DU32" s="993">
        <v>609.86840763999999</v>
      </c>
      <c r="DV32" s="993">
        <v>608.83021265000002</v>
      </c>
      <c r="DW32" s="993">
        <v>616.09900985000002</v>
      </c>
      <c r="DX32" s="993">
        <v>646.77109065000002</v>
      </c>
      <c r="DY32" s="993">
        <v>637.92979111</v>
      </c>
      <c r="DZ32" s="993">
        <v>634.94341989999998</v>
      </c>
      <c r="EA32" s="993">
        <v>620.41553061000002</v>
      </c>
      <c r="EB32" s="993">
        <v>624.50979225000003</v>
      </c>
      <c r="EC32" s="993">
        <v>573.16773150999995</v>
      </c>
      <c r="ED32" s="993">
        <v>563.72834818000001</v>
      </c>
      <c r="EE32" s="993">
        <v>615.42468980000001</v>
      </c>
      <c r="EK32" s="364"/>
    </row>
    <row r="33" spans="1:141" ht="19.8">
      <c r="A33" s="1510" t="s">
        <v>2001</v>
      </c>
      <c r="B33" s="962">
        <v>201.67673527000002</v>
      </c>
      <c r="C33" s="962">
        <v>194.95538568000001</v>
      </c>
      <c r="D33" s="962">
        <v>194.95538568000001</v>
      </c>
      <c r="E33" s="962">
        <v>176.79948866000001</v>
      </c>
      <c r="F33" s="962">
        <v>177.75356226</v>
      </c>
      <c r="G33" s="962">
        <v>177.73090694999999</v>
      </c>
      <c r="H33" s="962">
        <v>159.62700045</v>
      </c>
      <c r="I33" s="962">
        <v>159.60665284000001</v>
      </c>
      <c r="J33" s="962">
        <v>141.90828345</v>
      </c>
      <c r="K33" s="962">
        <v>141.90828345</v>
      </c>
      <c r="L33" s="962">
        <v>141.89019443999999</v>
      </c>
      <c r="M33" s="950">
        <v>123.80437695000001</v>
      </c>
      <c r="N33" s="950">
        <v>123.75703301999999</v>
      </c>
      <c r="O33" s="950">
        <v>123.78859564</v>
      </c>
      <c r="P33" s="950">
        <v>105.67352323</v>
      </c>
      <c r="Q33" s="950">
        <v>105.74097303000001</v>
      </c>
      <c r="R33" s="950">
        <v>105.75445524</v>
      </c>
      <c r="S33" s="950">
        <v>87.641681930000004</v>
      </c>
      <c r="T33" s="950">
        <v>87.630507420000001</v>
      </c>
      <c r="U33" s="950">
        <v>87.652856439999994</v>
      </c>
      <c r="V33" s="950">
        <v>87.652856439999994</v>
      </c>
      <c r="W33" s="950">
        <v>87.652856439999994</v>
      </c>
      <c r="X33" s="950">
        <v>87.652856439999994</v>
      </c>
      <c r="Y33" s="950">
        <v>87.742278040000002</v>
      </c>
      <c r="Z33" s="950">
        <v>87.789342040000008</v>
      </c>
      <c r="AA33" s="950">
        <v>117.49267118</v>
      </c>
      <c r="AB33" s="950">
        <v>117.37338885</v>
      </c>
      <c r="AC33" s="950">
        <v>117.3952403</v>
      </c>
      <c r="AD33" s="950">
        <v>117.47276448000001</v>
      </c>
      <c r="AE33" s="950">
        <v>117.34907321999999</v>
      </c>
      <c r="AF33" s="950">
        <v>117.59542393000001</v>
      </c>
      <c r="AG33" s="950">
        <v>117.42674903</v>
      </c>
      <c r="AH33" s="950">
        <v>117.07787384999999</v>
      </c>
      <c r="AI33" s="950">
        <v>117.22111745000001</v>
      </c>
      <c r="AJ33" s="950">
        <v>116.74512948</v>
      </c>
      <c r="AK33" s="950">
        <v>173.17659097000001</v>
      </c>
      <c r="AL33" s="950">
        <v>177.66812478999998</v>
      </c>
      <c r="AM33" s="950">
        <v>171.45322397000001</v>
      </c>
      <c r="AN33" s="950">
        <v>168.83009615</v>
      </c>
      <c r="AO33" s="950">
        <v>164.95347746000002</v>
      </c>
      <c r="AP33" s="950">
        <v>160.92422533999999</v>
      </c>
      <c r="AQ33" s="950">
        <v>166.13573488999998</v>
      </c>
      <c r="AR33" s="950">
        <v>171.00918433999999</v>
      </c>
      <c r="AS33" s="950">
        <v>176.01944231000002</v>
      </c>
      <c r="AT33" s="950">
        <f>AT25-AT29</f>
        <v>174.77314656000001</v>
      </c>
      <c r="AU33" s="950">
        <v>163.94507130000002</v>
      </c>
      <c r="AV33" s="950">
        <v>155.94071213000001</v>
      </c>
      <c r="AW33" s="950">
        <v>159.37794096000002</v>
      </c>
      <c r="AX33" s="950">
        <v>157.68850166999999</v>
      </c>
      <c r="AY33" s="950">
        <v>143.71857083</v>
      </c>
      <c r="AZ33" s="950">
        <v>141.72410463</v>
      </c>
      <c r="BA33" s="950">
        <v>126.773099</v>
      </c>
      <c r="BB33" s="950">
        <v>146.84998967999999</v>
      </c>
      <c r="BC33" s="950">
        <v>146.80313000999999</v>
      </c>
      <c r="BD33" s="950">
        <v>133.56078921</v>
      </c>
      <c r="BE33" s="950">
        <v>133.51315907</v>
      </c>
      <c r="BF33" s="950">
        <v>133.39479151999998</v>
      </c>
      <c r="BG33" s="950">
        <v>120.26141982999999</v>
      </c>
      <c r="BH33" s="1005">
        <v>120.19885746999999</v>
      </c>
      <c r="BI33" s="994">
        <v>92.875865069999989</v>
      </c>
      <c r="BJ33" s="994">
        <v>79.761168370000007</v>
      </c>
      <c r="BK33" s="994">
        <v>79.944001730000011</v>
      </c>
      <c r="BL33" s="994">
        <v>79.894043420000003</v>
      </c>
      <c r="BM33" s="994">
        <v>66.774714310000007</v>
      </c>
      <c r="BN33" s="994">
        <v>66.7308235</v>
      </c>
      <c r="BO33" s="994">
        <v>66.687135269999999</v>
      </c>
      <c r="BP33" s="994">
        <v>53.567226130000002</v>
      </c>
      <c r="BQ33" s="994">
        <v>92.247875550000003</v>
      </c>
      <c r="BR33" s="994">
        <v>92.086639000000005</v>
      </c>
      <c r="BS33" s="994">
        <v>77.955880329999999</v>
      </c>
      <c r="BT33" s="994">
        <v>65.490268990000004</v>
      </c>
      <c r="BU33" s="994">
        <v>65.576777210000003</v>
      </c>
      <c r="BV33" s="994">
        <v>27.146998780000001</v>
      </c>
      <c r="BW33" s="994">
        <v>27.101832940000001</v>
      </c>
      <c r="BX33" s="994">
        <v>27.056478910000003</v>
      </c>
      <c r="BY33" s="994">
        <v>0.85316070999999916</v>
      </c>
      <c r="BZ33" s="994">
        <v>0.80730997000000038</v>
      </c>
      <c r="CA33" s="994">
        <v>0.76138667999999932</v>
      </c>
      <c r="CB33" s="994">
        <v>0.71537780000000062</v>
      </c>
      <c r="CC33" s="994">
        <v>0.66897209999999951</v>
      </c>
      <c r="CD33" s="994">
        <v>0.62265824000000003</v>
      </c>
      <c r="CE33" s="994">
        <v>0.57579259999999999</v>
      </c>
      <c r="CF33" s="994">
        <v>0.52890466000000003</v>
      </c>
      <c r="CG33" s="994">
        <v>0.48196828000000003</v>
      </c>
      <c r="CH33" s="994">
        <v>0.43455551000000003</v>
      </c>
      <c r="CI33" s="994">
        <v>0.38707909000000001</v>
      </c>
      <c r="CJ33" s="994">
        <v>0.33951236000000001</v>
      </c>
      <c r="CK33" s="994">
        <v>0.29154559999999996</v>
      </c>
      <c r="CL33" s="994">
        <v>0.24347329000000001</v>
      </c>
      <c r="CM33" s="994">
        <v>0.19526831</v>
      </c>
      <c r="CN33" s="994">
        <v>0.1467406</v>
      </c>
      <c r="CO33" s="994">
        <v>9.8064940000000003E-2</v>
      </c>
      <c r="CP33" s="994">
        <v>4.9186470000000003E-2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11.9</v>
      </c>
      <c r="DD33" s="994">
        <v>11.9</v>
      </c>
      <c r="DE33" s="994">
        <v>11.9</v>
      </c>
      <c r="DF33" s="994">
        <v>11.9</v>
      </c>
      <c r="DG33" s="994">
        <v>11.9</v>
      </c>
      <c r="DH33" s="994">
        <v>11.9</v>
      </c>
      <c r="DI33" s="994">
        <v>11.9</v>
      </c>
      <c r="DJ33" s="994">
        <v>11.9</v>
      </c>
      <c r="DK33" s="994">
        <v>11.984999999999999</v>
      </c>
      <c r="DL33" s="994">
        <v>11.98046617</v>
      </c>
      <c r="DM33" s="994">
        <v>10.707478589999999</v>
      </c>
      <c r="DN33" s="994">
        <v>9.4212719899999993</v>
      </c>
      <c r="DO33" s="994">
        <v>8.2776672500000004</v>
      </c>
      <c r="DP33" s="994">
        <v>8.26766574</v>
      </c>
      <c r="DQ33" s="994">
        <v>0.18262824999999999</v>
      </c>
      <c r="DR33" s="994">
        <v>0.11988728</v>
      </c>
      <c r="DS33" s="994">
        <v>0.11441235</v>
      </c>
      <c r="DT33" s="994">
        <v>0.10894958</v>
      </c>
      <c r="DU33" s="994">
        <v>0.10346042</v>
      </c>
      <c r="DV33" s="994">
        <v>9.7961400000000004E-2</v>
      </c>
      <c r="DW33" s="994">
        <v>0.34740333000000001</v>
      </c>
      <c r="DX33" s="994">
        <v>0.33393388000000002</v>
      </c>
      <c r="DY33" s="994">
        <v>0.32043917</v>
      </c>
      <c r="DZ33" s="994">
        <v>0.30679687</v>
      </c>
      <c r="EA33" s="994">
        <v>0.29315154999999998</v>
      </c>
      <c r="EB33" s="994">
        <v>0.27939201000000002</v>
      </c>
      <c r="EC33" s="994">
        <v>0.26558717999999998</v>
      </c>
      <c r="ED33" s="994">
        <v>0.25179269999999998</v>
      </c>
      <c r="EE33" s="994">
        <v>47.776486149999997</v>
      </c>
      <c r="EK33" s="364"/>
    </row>
    <row r="34" spans="1:141" ht="19.8">
      <c r="A34" s="1512" t="s">
        <v>2002</v>
      </c>
      <c r="B34" s="963">
        <f>+B32-B33</f>
        <v>744.50701523999999</v>
      </c>
      <c r="C34" s="963">
        <f t="shared" ref="C34:V34" si="12">+C32-C33</f>
        <v>542.42309392000016</v>
      </c>
      <c r="D34" s="963">
        <f t="shared" si="12"/>
        <v>547.97739497999987</v>
      </c>
      <c r="E34" s="963">
        <f t="shared" si="12"/>
        <v>558.94792725000002</v>
      </c>
      <c r="F34" s="963">
        <f t="shared" si="12"/>
        <v>564.83779874000004</v>
      </c>
      <c r="G34" s="963">
        <f t="shared" si="12"/>
        <v>566.42362789000003</v>
      </c>
      <c r="H34" s="963">
        <f t="shared" si="12"/>
        <v>582.70133286000009</v>
      </c>
      <c r="I34" s="963">
        <f t="shared" si="12"/>
        <v>587.40143137999996</v>
      </c>
      <c r="J34" s="963">
        <f t="shared" si="12"/>
        <v>593.94133834000002</v>
      </c>
      <c r="K34" s="963">
        <f t="shared" si="12"/>
        <v>593.27065555000013</v>
      </c>
      <c r="L34" s="963">
        <f t="shared" si="12"/>
        <v>593.52260237000007</v>
      </c>
      <c r="M34" s="957">
        <f t="shared" si="12"/>
        <v>611.97715318999997</v>
      </c>
      <c r="N34" s="964">
        <f t="shared" si="12"/>
        <v>611.93849526000008</v>
      </c>
      <c r="O34" s="964">
        <f t="shared" si="12"/>
        <v>606.39395082999999</v>
      </c>
      <c r="P34" s="964">
        <f t="shared" si="12"/>
        <v>603.44549071000006</v>
      </c>
      <c r="Q34" s="964">
        <f t="shared" si="12"/>
        <v>605.51360333000002</v>
      </c>
      <c r="R34" s="964">
        <f t="shared" si="12"/>
        <v>602.28486955000005</v>
      </c>
      <c r="S34" s="964">
        <f t="shared" si="12"/>
        <v>594.95407213999999</v>
      </c>
      <c r="T34" s="964">
        <f t="shared" si="12"/>
        <v>589.73080058999994</v>
      </c>
      <c r="U34" s="964">
        <f t="shared" si="12"/>
        <v>592.13224688000014</v>
      </c>
      <c r="V34" s="964">
        <f t="shared" si="12"/>
        <v>597.57027418999996</v>
      </c>
      <c r="W34" s="964">
        <v>600.73961117999988</v>
      </c>
      <c r="X34" s="964">
        <v>611.35907982000003</v>
      </c>
      <c r="Y34" s="957">
        <v>630.59200241999997</v>
      </c>
      <c r="Z34" s="964">
        <v>640.24753162999991</v>
      </c>
      <c r="AA34" s="964">
        <v>882.36950548000004</v>
      </c>
      <c r="AB34" s="957">
        <f>+AB32-AB33</f>
        <v>876.0500318500001</v>
      </c>
      <c r="AC34" s="957">
        <v>900.05489569000008</v>
      </c>
      <c r="AD34" s="957">
        <v>900.18821478999996</v>
      </c>
      <c r="AE34" s="957">
        <v>883.11609450000014</v>
      </c>
      <c r="AF34" s="957">
        <v>866.93760429000008</v>
      </c>
      <c r="AG34" s="957">
        <v>855.17992731000004</v>
      </c>
      <c r="AH34" s="957">
        <f>+AH32-AH33</f>
        <v>801.56805679999991</v>
      </c>
      <c r="AI34" s="957">
        <v>771.10599359000003</v>
      </c>
      <c r="AJ34" s="957">
        <f>+AJ32-AJ33</f>
        <v>765.52436037000007</v>
      </c>
      <c r="AK34" s="957">
        <f>+AK32-AK33</f>
        <v>1125.3063281100001</v>
      </c>
      <c r="AL34" s="957">
        <v>1140.7233066499998</v>
      </c>
      <c r="AM34" s="957">
        <f>+AM32-AM33</f>
        <v>1112.7001325900003</v>
      </c>
      <c r="AN34" s="957">
        <f>+AN32-AN33</f>
        <v>1113.9965279600001</v>
      </c>
      <c r="AO34" s="957">
        <f>+AO32-AO33</f>
        <v>1066.5717427</v>
      </c>
      <c r="AP34" s="957">
        <v>1013.3173218899999</v>
      </c>
      <c r="AQ34" s="957">
        <v>1037.1470082000001</v>
      </c>
      <c r="AR34" s="957">
        <v>892.68839844000013</v>
      </c>
      <c r="AS34" s="957">
        <v>791.66893006999987</v>
      </c>
      <c r="AT34" s="957">
        <f>AT26-AT30</f>
        <v>838.28778487</v>
      </c>
      <c r="AU34" s="957">
        <v>757.44179239000005</v>
      </c>
      <c r="AV34" s="957">
        <v>611.13664495000035</v>
      </c>
      <c r="AW34" s="957">
        <v>583.76466771000014</v>
      </c>
      <c r="AX34" s="957">
        <v>589.43198811999991</v>
      </c>
      <c r="AY34" s="957">
        <v>523.98409662000006</v>
      </c>
      <c r="AZ34" s="957">
        <v>511.94302163000003</v>
      </c>
      <c r="BA34" s="957">
        <v>500.97959624000009</v>
      </c>
      <c r="BB34" s="957">
        <v>519.55412655999999</v>
      </c>
      <c r="BC34" s="957">
        <v>577.74859578000007</v>
      </c>
      <c r="BD34" s="957">
        <f>+BD32-BD33</f>
        <v>515.50876612999991</v>
      </c>
      <c r="BE34" s="957">
        <v>508.25451670999996</v>
      </c>
      <c r="BF34" s="957">
        <v>530.23211595999999</v>
      </c>
      <c r="BG34" s="957">
        <v>536.32595968999976</v>
      </c>
      <c r="BH34" s="1006">
        <v>559.5219182799998</v>
      </c>
      <c r="BI34" s="996">
        <v>597.9223489000002</v>
      </c>
      <c r="BJ34" s="996">
        <v>564.7848928200001</v>
      </c>
      <c r="BK34" s="996">
        <v>526.92782117999991</v>
      </c>
      <c r="BL34" s="996">
        <v>542.08289049999996</v>
      </c>
      <c r="BM34" s="996">
        <v>543.28958401000011</v>
      </c>
      <c r="BN34" s="996">
        <v>547.11845198000003</v>
      </c>
      <c r="BO34" s="996">
        <v>559.5317101200003</v>
      </c>
      <c r="BP34" s="996">
        <v>558.62008303999994</v>
      </c>
      <c r="BQ34" s="996">
        <v>542.93780951999997</v>
      </c>
      <c r="BR34" s="996">
        <v>540.64892946999998</v>
      </c>
      <c r="BS34" s="996">
        <v>540.46657002999996</v>
      </c>
      <c r="BT34" s="996">
        <v>536.10335137000015</v>
      </c>
      <c r="BU34" s="996">
        <v>719.1872646600001</v>
      </c>
      <c r="BV34" s="996">
        <v>730.57515848999981</v>
      </c>
      <c r="BW34" s="996">
        <v>741.79667398999993</v>
      </c>
      <c r="BX34" s="996">
        <v>745.33505492999961</v>
      </c>
      <c r="BY34" s="996">
        <v>731.8527686900004</v>
      </c>
      <c r="BZ34" s="996">
        <v>736.22086012000045</v>
      </c>
      <c r="CA34" s="996">
        <v>732.89206459999969</v>
      </c>
      <c r="CB34" s="996">
        <v>760.01390615000014</v>
      </c>
      <c r="CC34" s="996">
        <v>746.18867944000021</v>
      </c>
      <c r="CD34" s="996">
        <f t="shared" ref="CD34:CN34" si="13">+CD26-CD30</f>
        <v>772.35191618999988</v>
      </c>
      <c r="CE34" s="996">
        <f t="shared" si="13"/>
        <v>779.28262709999967</v>
      </c>
      <c r="CF34" s="996">
        <f t="shared" si="13"/>
        <v>641.56348517999959</v>
      </c>
      <c r="CG34" s="996">
        <f t="shared" si="13"/>
        <v>787.30191280999975</v>
      </c>
      <c r="CH34" s="996">
        <f t="shared" si="13"/>
        <v>784.3633205499998</v>
      </c>
      <c r="CI34" s="996">
        <f t="shared" si="13"/>
        <v>792.72849090999989</v>
      </c>
      <c r="CJ34" s="996">
        <f t="shared" si="13"/>
        <v>766.86969468999996</v>
      </c>
      <c r="CK34" s="996">
        <f t="shared" si="13"/>
        <v>741.87701427999991</v>
      </c>
      <c r="CL34" s="996">
        <f t="shared" si="13"/>
        <v>712.21234043999993</v>
      </c>
      <c r="CM34" s="996">
        <f t="shared" si="13"/>
        <v>710.62305085999969</v>
      </c>
      <c r="CN34" s="996">
        <f t="shared" si="13"/>
        <v>710.13139947000025</v>
      </c>
      <c r="CO34" s="996">
        <f>+CO32-CO33</f>
        <v>711.5505642600001</v>
      </c>
      <c r="CP34" s="996">
        <f>+CP32-CP33</f>
        <v>803.09465908000004</v>
      </c>
      <c r="CQ34" s="996">
        <f>+CQ32-CQ33</f>
        <v>841.25453662999996</v>
      </c>
      <c r="CR34" s="996">
        <f>+CR32-CR33</f>
        <v>829.33987808000006</v>
      </c>
      <c r="CS34" s="996">
        <v>798.49755650000009</v>
      </c>
      <c r="CT34" s="996">
        <v>789.52414474</v>
      </c>
      <c r="CU34" s="996">
        <v>644.68592974000001</v>
      </c>
      <c r="CV34" s="996">
        <v>621.08863307000001</v>
      </c>
      <c r="CW34" s="996">
        <v>627.57540857000004</v>
      </c>
      <c r="CX34" s="996">
        <v>621.36833479999996</v>
      </c>
      <c r="CY34" s="996">
        <v>562.18538269999999</v>
      </c>
      <c r="CZ34" s="996">
        <v>556.79690156000004</v>
      </c>
      <c r="DA34" s="996">
        <v>554.89837994000004</v>
      </c>
      <c r="DB34" s="996">
        <v>549.51537865</v>
      </c>
      <c r="DC34" s="996">
        <v>649.75413828000001</v>
      </c>
      <c r="DD34" s="996">
        <v>637.96189890000005</v>
      </c>
      <c r="DE34" s="996">
        <v>613.69586333999996</v>
      </c>
      <c r="DF34" s="996">
        <v>601.71820419000005</v>
      </c>
      <c r="DG34" s="996">
        <v>600.82177376000004</v>
      </c>
      <c r="DH34" s="996">
        <v>599.46765848999996</v>
      </c>
      <c r="DI34" s="996">
        <v>598.86586966000004</v>
      </c>
      <c r="DJ34" s="996">
        <v>600.87899123999989</v>
      </c>
      <c r="DK34" s="996">
        <v>582.81908112999997</v>
      </c>
      <c r="DL34" s="996">
        <v>586.79141756000001</v>
      </c>
      <c r="DM34" s="996">
        <v>586.33099329000004</v>
      </c>
      <c r="DN34" s="996">
        <v>583.84821007000005</v>
      </c>
      <c r="DO34" s="996">
        <v>598.17136230999995</v>
      </c>
      <c r="DP34" s="996">
        <v>620.17981099999997</v>
      </c>
      <c r="DQ34" s="996">
        <v>586.76771464000001</v>
      </c>
      <c r="DR34" s="996">
        <v>586.23699446000001</v>
      </c>
      <c r="DS34" s="996">
        <v>581.03009448</v>
      </c>
      <c r="DT34" s="996">
        <v>605.59410591000005</v>
      </c>
      <c r="DU34" s="996">
        <v>609.76494721999995</v>
      </c>
      <c r="DV34" s="996">
        <v>608.73225124999999</v>
      </c>
      <c r="DW34" s="996">
        <v>615.75160652</v>
      </c>
      <c r="DX34" s="996">
        <v>646.43715677</v>
      </c>
      <c r="DY34" s="996">
        <v>637.60935194000001</v>
      </c>
      <c r="DZ34" s="996">
        <v>634.63662303000001</v>
      </c>
      <c r="EA34" s="996">
        <v>620.12237905999996</v>
      </c>
      <c r="EB34" s="996">
        <v>624.23040023999999</v>
      </c>
      <c r="EC34" s="996">
        <v>572.90214433000006</v>
      </c>
      <c r="ED34" s="996">
        <v>563.47655548</v>
      </c>
      <c r="EE34" s="996">
        <v>567.64820365000003</v>
      </c>
      <c r="EF34" s="510"/>
      <c r="EK34" s="364"/>
    </row>
    <row r="35" spans="1:141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41" ht="18">
      <c r="A36" s="91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K36" s="364"/>
    </row>
    <row r="37" spans="1:141" ht="17.399999999999999">
      <c r="A37" s="91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K37" s="364"/>
    </row>
    <row r="38" spans="1:141" ht="18">
      <c r="A38" s="91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K38" s="364"/>
    </row>
    <row r="39" spans="1:141" ht="17.399999999999999">
      <c r="A39" s="91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K39" s="364"/>
    </row>
    <row r="40" spans="1:141" ht="18">
      <c r="A40" s="91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K40" s="364"/>
    </row>
    <row r="41" spans="1:141" ht="17.399999999999999">
      <c r="A41" s="91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K41" s="364"/>
    </row>
    <row r="42" spans="1:141" ht="17.399999999999999">
      <c r="A42" s="91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K42" s="364"/>
    </row>
    <row r="43" spans="1:141" ht="18">
      <c r="A43" s="91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K43" s="364"/>
    </row>
    <row r="44" spans="1:141" ht="17.399999999999999">
      <c r="A44" s="91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K44" s="364"/>
    </row>
    <row r="45" spans="1:141" ht="18">
      <c r="A45" s="91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80"/>
      <c r="CN45" s="480"/>
      <c r="CO45" s="480"/>
      <c r="CP45" s="480"/>
      <c r="CQ45" s="480"/>
      <c r="CR45" s="480"/>
      <c r="CS45" s="480"/>
      <c r="CT45" s="480"/>
      <c r="CU45" s="480"/>
      <c r="CV45" s="480"/>
      <c r="CW45" s="480"/>
      <c r="CX45" s="480"/>
      <c r="CY45" s="480"/>
      <c r="CZ45" s="480"/>
      <c r="DA45" s="480"/>
      <c r="DB45" s="480"/>
      <c r="DC45" s="480"/>
      <c r="DD45" s="480"/>
      <c r="DE45" s="480"/>
      <c r="DF45" s="480"/>
      <c r="DG45" s="480"/>
      <c r="DH45" s="480"/>
      <c r="DI45" s="480"/>
      <c r="DJ45" s="480"/>
      <c r="DK45" s="480"/>
      <c r="DL45" s="480"/>
      <c r="DM45" s="480"/>
      <c r="DN45" s="480"/>
      <c r="DO45" s="480"/>
      <c r="DP45" s="480"/>
      <c r="DQ45" s="480"/>
      <c r="DR45" s="480"/>
      <c r="DS45" s="480"/>
      <c r="DT45" s="480"/>
      <c r="DU45" s="480"/>
      <c r="DV45" s="480"/>
      <c r="DW45" s="480"/>
      <c r="DX45" s="480"/>
      <c r="DY45" s="480"/>
      <c r="DZ45" s="480"/>
      <c r="EA45" s="480"/>
      <c r="EB45" s="480"/>
      <c r="EC45" s="480"/>
      <c r="ED45" s="480"/>
      <c r="EE45" s="480"/>
      <c r="EK45" s="364"/>
    </row>
    <row r="46" spans="1:141" ht="17.399999999999999">
      <c r="A46" s="91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80"/>
      <c r="CN46" s="480"/>
      <c r="CO46" s="480"/>
      <c r="CP46" s="480"/>
      <c r="CQ46" s="480"/>
      <c r="CR46" s="480"/>
      <c r="CS46" s="480"/>
      <c r="CT46" s="480"/>
      <c r="CU46" s="480"/>
      <c r="CV46" s="480"/>
      <c r="CW46" s="480"/>
      <c r="CX46" s="480"/>
      <c r="CY46" s="480"/>
      <c r="CZ46" s="480"/>
      <c r="DA46" s="480"/>
      <c r="DB46" s="480"/>
      <c r="DC46" s="480"/>
      <c r="DD46" s="480"/>
      <c r="DE46" s="480"/>
      <c r="DF46" s="480"/>
      <c r="DG46" s="480"/>
      <c r="DH46" s="480"/>
      <c r="DI46" s="480"/>
      <c r="DJ46" s="480"/>
      <c r="DK46" s="480"/>
      <c r="DL46" s="480"/>
      <c r="DM46" s="480"/>
      <c r="DN46" s="480"/>
      <c r="DO46" s="480"/>
      <c r="DP46" s="480"/>
      <c r="DQ46" s="480"/>
      <c r="DR46" s="480"/>
      <c r="DS46" s="480"/>
      <c r="DT46" s="480"/>
      <c r="DU46" s="480"/>
      <c r="DV46" s="480"/>
      <c r="DW46" s="480"/>
      <c r="DX46" s="480"/>
      <c r="DY46" s="480"/>
      <c r="DZ46" s="480"/>
      <c r="EA46" s="480"/>
      <c r="EB46" s="480"/>
      <c r="EC46" s="480"/>
      <c r="ED46" s="480"/>
      <c r="EE46" s="480"/>
      <c r="EK46" s="364"/>
    </row>
    <row r="47" spans="1:141" ht="18">
      <c r="A47" s="91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80"/>
      <c r="CN47" s="480"/>
      <c r="CO47" s="480"/>
      <c r="CP47" s="480"/>
      <c r="CQ47" s="480"/>
      <c r="CR47" s="480"/>
      <c r="CS47" s="480"/>
      <c r="CT47" s="480"/>
      <c r="CU47" s="480"/>
      <c r="CV47" s="480"/>
      <c r="CW47" s="480"/>
      <c r="CX47" s="480"/>
      <c r="CY47" s="480"/>
      <c r="CZ47" s="480"/>
      <c r="DA47" s="480"/>
      <c r="DB47" s="480"/>
      <c r="DC47" s="480"/>
      <c r="DD47" s="480"/>
      <c r="DE47" s="480"/>
      <c r="DF47" s="480"/>
      <c r="DG47" s="480"/>
      <c r="DH47" s="480"/>
      <c r="DI47" s="480"/>
      <c r="DJ47" s="480"/>
      <c r="DK47" s="480"/>
      <c r="DL47" s="480"/>
      <c r="DM47" s="480"/>
      <c r="DN47" s="480"/>
      <c r="DO47" s="480"/>
      <c r="DP47" s="480"/>
      <c r="DQ47" s="480"/>
      <c r="DR47" s="480"/>
      <c r="DS47" s="480"/>
      <c r="DT47" s="480"/>
      <c r="DU47" s="480"/>
      <c r="DV47" s="480"/>
      <c r="DW47" s="480"/>
      <c r="DX47" s="480"/>
      <c r="DY47" s="480"/>
      <c r="DZ47" s="480"/>
      <c r="EA47" s="480"/>
      <c r="EB47" s="480"/>
      <c r="EC47" s="480"/>
      <c r="ED47" s="480"/>
      <c r="EE47" s="480"/>
      <c r="EK47" s="364"/>
    </row>
    <row r="48" spans="1:141" ht="17.399999999999999">
      <c r="A48" s="91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80"/>
      <c r="CN48" s="480"/>
      <c r="CO48" s="480"/>
      <c r="CP48" s="480"/>
      <c r="CQ48" s="480"/>
      <c r="CR48" s="480"/>
      <c r="CS48" s="480"/>
      <c r="CT48" s="480"/>
      <c r="CU48" s="480"/>
      <c r="CV48" s="480"/>
      <c r="CW48" s="480"/>
      <c r="CX48" s="480"/>
      <c r="CY48" s="480"/>
      <c r="CZ48" s="480"/>
      <c r="DA48" s="480"/>
      <c r="DB48" s="480"/>
      <c r="DC48" s="480"/>
      <c r="DD48" s="480"/>
      <c r="DE48" s="480"/>
      <c r="DF48" s="480"/>
      <c r="DG48" s="480"/>
      <c r="DH48" s="480"/>
      <c r="DI48" s="480"/>
      <c r="DJ48" s="480"/>
      <c r="DK48" s="480"/>
      <c r="DL48" s="480"/>
      <c r="DM48" s="480"/>
      <c r="DN48" s="480"/>
      <c r="DO48" s="480"/>
      <c r="DP48" s="480"/>
      <c r="DQ48" s="480"/>
      <c r="DR48" s="480"/>
      <c r="DS48" s="480"/>
      <c r="DT48" s="480"/>
      <c r="DU48" s="480"/>
      <c r="DV48" s="480"/>
      <c r="DW48" s="480"/>
      <c r="DX48" s="480"/>
      <c r="DY48" s="480"/>
      <c r="DZ48" s="480"/>
      <c r="EA48" s="480"/>
      <c r="EB48" s="480"/>
      <c r="EC48" s="480"/>
      <c r="ED48" s="480"/>
      <c r="EE48" s="480"/>
      <c r="EK48" s="364"/>
    </row>
    <row r="49" spans="1:141" ht="17.399999999999999">
      <c r="A49" s="91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80"/>
      <c r="CN49" s="480"/>
      <c r="CO49" s="480"/>
      <c r="CP49" s="480"/>
      <c r="CQ49" s="480"/>
      <c r="CR49" s="480"/>
      <c r="CS49" s="480"/>
      <c r="CT49" s="480"/>
      <c r="CU49" s="480"/>
      <c r="CV49" s="480"/>
      <c r="CW49" s="480"/>
      <c r="CX49" s="480"/>
      <c r="CY49" s="480"/>
      <c r="CZ49" s="480"/>
      <c r="DA49" s="480"/>
      <c r="DB49" s="480"/>
      <c r="DC49" s="480"/>
      <c r="DD49" s="480"/>
      <c r="DE49" s="480"/>
      <c r="DF49" s="480"/>
      <c r="DG49" s="480"/>
      <c r="DH49" s="480"/>
      <c r="DI49" s="480"/>
      <c r="DJ49" s="480"/>
      <c r="DK49" s="480"/>
      <c r="DL49" s="480"/>
      <c r="DM49" s="480"/>
      <c r="DN49" s="480"/>
      <c r="DO49" s="480"/>
      <c r="DP49" s="480"/>
      <c r="DQ49" s="480"/>
      <c r="DR49" s="480"/>
      <c r="DS49" s="480"/>
      <c r="DT49" s="480"/>
      <c r="DU49" s="480"/>
      <c r="DV49" s="480"/>
      <c r="DW49" s="480"/>
      <c r="DX49" s="480"/>
      <c r="DY49" s="480"/>
      <c r="DZ49" s="480"/>
      <c r="EA49" s="480"/>
      <c r="EB49" s="480"/>
      <c r="EC49" s="480"/>
      <c r="ED49" s="480"/>
      <c r="EE49" s="480"/>
      <c r="EK49" s="364"/>
    </row>
    <row r="50" spans="1:141">
      <c r="A50" s="918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480"/>
      <c r="CN50" s="480"/>
      <c r="CO50" s="480"/>
      <c r="CP50" s="480"/>
      <c r="CQ50" s="480"/>
      <c r="CR50" s="480"/>
      <c r="CS50" s="480"/>
      <c r="CT50" s="480"/>
      <c r="CU50" s="480"/>
      <c r="CV50" s="480"/>
      <c r="CW50" s="480"/>
      <c r="CX50" s="480"/>
      <c r="CY50" s="480"/>
      <c r="CZ50" s="480"/>
      <c r="DA50" s="480"/>
      <c r="DB50" s="480"/>
      <c r="DC50" s="480"/>
      <c r="DD50" s="480"/>
      <c r="DE50" s="480"/>
      <c r="DF50" s="480"/>
      <c r="DG50" s="480"/>
      <c r="DH50" s="480"/>
      <c r="DI50" s="480"/>
      <c r="DJ50" s="480"/>
      <c r="DK50" s="480"/>
      <c r="DL50" s="480"/>
      <c r="DM50" s="480"/>
      <c r="DN50" s="480"/>
      <c r="DO50" s="480"/>
      <c r="DP50" s="480"/>
      <c r="DQ50" s="480"/>
      <c r="DR50" s="480"/>
      <c r="DS50" s="480"/>
      <c r="DT50" s="480"/>
      <c r="DU50" s="480"/>
      <c r="DV50" s="480"/>
      <c r="DW50" s="480"/>
      <c r="DX50" s="480"/>
      <c r="DY50" s="480"/>
      <c r="DZ50" s="480"/>
      <c r="EA50" s="480"/>
      <c r="EB50" s="480"/>
      <c r="EC50" s="480"/>
      <c r="ED50" s="480"/>
      <c r="EE50" s="480"/>
      <c r="EK50" s="364"/>
    </row>
    <row r="51" spans="1:141">
      <c r="A51" s="918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480"/>
      <c r="CN51" s="480"/>
      <c r="CO51" s="480"/>
      <c r="CP51" s="480"/>
      <c r="CQ51" s="480"/>
      <c r="CR51" s="480"/>
      <c r="CS51" s="480"/>
      <c r="CT51" s="480"/>
      <c r="CU51" s="480"/>
      <c r="CV51" s="480"/>
      <c r="CW51" s="480"/>
      <c r="CX51" s="480"/>
      <c r="CY51" s="480"/>
      <c r="CZ51" s="480"/>
      <c r="DA51" s="480"/>
      <c r="DB51" s="480"/>
      <c r="DC51" s="480"/>
      <c r="DD51" s="480"/>
      <c r="DE51" s="480"/>
      <c r="DF51" s="480"/>
      <c r="DG51" s="480"/>
      <c r="DH51" s="480"/>
      <c r="DI51" s="480"/>
      <c r="DJ51" s="480"/>
      <c r="DK51" s="480"/>
      <c r="DL51" s="480"/>
      <c r="DM51" s="480"/>
      <c r="DN51" s="480"/>
      <c r="DO51" s="480"/>
      <c r="DP51" s="480"/>
      <c r="DQ51" s="480"/>
      <c r="DR51" s="480"/>
      <c r="DS51" s="480"/>
      <c r="DT51" s="480"/>
      <c r="DU51" s="480"/>
      <c r="DV51" s="480"/>
      <c r="DW51" s="480"/>
      <c r="DX51" s="480"/>
      <c r="DY51" s="480"/>
      <c r="DZ51" s="480"/>
      <c r="EA51" s="480"/>
      <c r="EB51" s="480"/>
      <c r="EC51" s="480"/>
      <c r="ED51" s="480"/>
      <c r="EE51" s="480"/>
      <c r="EK51" s="364"/>
    </row>
    <row r="52" spans="1:141">
      <c r="A52" s="918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480"/>
      <c r="CN52" s="480"/>
      <c r="CO52" s="480"/>
      <c r="CP52" s="480"/>
      <c r="CQ52" s="480"/>
      <c r="CR52" s="480"/>
      <c r="CS52" s="480"/>
      <c r="CT52" s="480"/>
      <c r="CU52" s="480"/>
      <c r="CV52" s="480"/>
      <c r="CW52" s="480"/>
      <c r="CX52" s="480"/>
      <c r="CY52" s="480"/>
      <c r="CZ52" s="480"/>
      <c r="DA52" s="480"/>
      <c r="DB52" s="480"/>
      <c r="DC52" s="480"/>
      <c r="DD52" s="480"/>
      <c r="DE52" s="480"/>
      <c r="DF52" s="480"/>
      <c r="DG52" s="480"/>
      <c r="DH52" s="480"/>
      <c r="DI52" s="480"/>
      <c r="DJ52" s="480"/>
      <c r="DK52" s="480"/>
      <c r="DL52" s="480"/>
      <c r="DM52" s="480"/>
      <c r="DN52" s="480"/>
      <c r="DO52" s="480"/>
      <c r="DP52" s="480"/>
      <c r="DQ52" s="480"/>
      <c r="DR52" s="480"/>
      <c r="DS52" s="480"/>
      <c r="DT52" s="480"/>
      <c r="DU52" s="480"/>
      <c r="DV52" s="480"/>
      <c r="DW52" s="480"/>
      <c r="DX52" s="480"/>
      <c r="DY52" s="480"/>
      <c r="DZ52" s="480"/>
      <c r="EA52" s="480"/>
      <c r="EB52" s="480"/>
      <c r="EC52" s="480"/>
      <c r="ED52" s="480"/>
      <c r="EE52" s="480"/>
      <c r="EK52" s="364"/>
    </row>
    <row r="53" spans="1:141">
      <c r="A53" s="918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480"/>
      <c r="CN53" s="480"/>
      <c r="CO53" s="480"/>
      <c r="CP53" s="480"/>
      <c r="CQ53" s="480"/>
      <c r="CR53" s="480"/>
      <c r="CS53" s="480"/>
      <c r="CT53" s="480"/>
      <c r="CU53" s="480"/>
      <c r="CV53" s="480"/>
      <c r="CW53" s="480"/>
      <c r="CX53" s="480"/>
      <c r="CY53" s="480"/>
      <c r="CZ53" s="480"/>
      <c r="DA53" s="480"/>
      <c r="DB53" s="480"/>
      <c r="DC53" s="480"/>
      <c r="DD53" s="480"/>
      <c r="DE53" s="480"/>
      <c r="DF53" s="480"/>
      <c r="DG53" s="480"/>
      <c r="DH53" s="480"/>
      <c r="DI53" s="480"/>
      <c r="DJ53" s="480"/>
      <c r="DK53" s="480"/>
      <c r="DL53" s="480"/>
      <c r="DM53" s="480"/>
      <c r="DN53" s="480"/>
      <c r="DO53" s="480"/>
      <c r="DP53" s="480"/>
      <c r="DQ53" s="480"/>
      <c r="DR53" s="480"/>
      <c r="DS53" s="480"/>
      <c r="DT53" s="480"/>
      <c r="DU53" s="480"/>
      <c r="DV53" s="480"/>
      <c r="DW53" s="480"/>
      <c r="DX53" s="480"/>
      <c r="DY53" s="480"/>
      <c r="DZ53" s="480"/>
      <c r="EA53" s="480"/>
      <c r="EB53" s="480"/>
      <c r="EC53" s="480"/>
      <c r="ED53" s="480"/>
      <c r="EE53" s="480"/>
      <c r="EK53" s="364"/>
    </row>
    <row r="54" spans="1:141">
      <c r="A54" s="918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0"/>
      <c r="CP54" s="480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0"/>
      <c r="DC54" s="480"/>
      <c r="DD54" s="480"/>
      <c r="DE54" s="480"/>
      <c r="DF54" s="480"/>
      <c r="DG54" s="480"/>
      <c r="DH54" s="480"/>
      <c r="DI54" s="480"/>
      <c r="DJ54" s="480"/>
      <c r="DK54" s="480"/>
      <c r="DL54" s="480"/>
      <c r="DM54" s="480"/>
      <c r="DN54" s="480"/>
      <c r="DO54" s="480"/>
      <c r="DP54" s="480"/>
      <c r="DQ54" s="480"/>
      <c r="DR54" s="480"/>
      <c r="DS54" s="480"/>
      <c r="DT54" s="480"/>
      <c r="DU54" s="480"/>
      <c r="DV54" s="480"/>
      <c r="DW54" s="480"/>
      <c r="DX54" s="480"/>
      <c r="DY54" s="480"/>
      <c r="DZ54" s="480"/>
      <c r="EA54" s="480"/>
      <c r="EB54" s="480"/>
      <c r="EC54" s="480"/>
      <c r="ED54" s="480"/>
      <c r="EE54" s="480"/>
      <c r="EK54" s="364"/>
    </row>
    <row r="55" spans="1:141">
      <c r="EK55" s="364"/>
    </row>
    <row r="56" spans="1:141">
      <c r="EK56" s="364"/>
    </row>
    <row r="57" spans="1:141">
      <c r="EK57" s="364"/>
    </row>
    <row r="58" spans="1:141">
      <c r="EK58" s="364"/>
    </row>
    <row r="59" spans="1:141">
      <c r="EK59" s="364"/>
    </row>
    <row r="60" spans="1:141">
      <c r="EK60" s="364"/>
    </row>
    <row r="61" spans="1:141">
      <c r="EK61" s="364"/>
    </row>
    <row r="62" spans="1:141">
      <c r="EK62" s="364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L62"/>
  <sheetViews>
    <sheetView showGridLines="0" view="pageBreakPreview" zoomScale="70" zoomScaleNormal="100" zoomScaleSheetLayoutView="70" workbookViewId="0">
      <selection activeCell="EE45" sqref="EE4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7.33203125" style="397" hidden="1" customWidth="1"/>
    <col min="26" max="27" width="14.6640625" style="397" hidden="1" customWidth="1"/>
    <col min="28" max="34" width="16.6640625" style="397" hidden="1" customWidth="1"/>
    <col min="35" max="35" width="18.5546875" style="397" hidden="1" customWidth="1"/>
    <col min="36" max="38" width="16.6640625" style="397" hidden="1" customWidth="1"/>
    <col min="39" max="46" width="14.6640625" style="397" hidden="1" customWidth="1"/>
    <col min="47" max="47" width="20.5546875" style="397" hidden="1" customWidth="1"/>
    <col min="48" max="48" width="18" style="397" hidden="1" customWidth="1"/>
    <col min="49" max="61" width="17.88671875" style="397" hidden="1" customWidth="1"/>
    <col min="62" max="62" width="14.109375" style="397" customWidth="1"/>
    <col min="63" max="73" width="17.88671875" style="397" hidden="1" customWidth="1"/>
    <col min="74" max="74" width="14.109375" style="397" customWidth="1"/>
    <col min="75" max="83" width="17.88671875" style="397" hidden="1" customWidth="1"/>
    <col min="84" max="85" width="16.33203125" style="397" hidden="1" customWidth="1"/>
    <col min="86" max="86" width="14.109375" style="397" customWidth="1"/>
    <col min="87" max="91" width="16.33203125" style="397" hidden="1" customWidth="1"/>
    <col min="92" max="97" width="15" style="397" hidden="1" customWidth="1"/>
    <col min="98" max="98" width="14.109375" style="397" customWidth="1"/>
    <col min="99" max="109" width="14.109375" style="397" hidden="1" customWidth="1"/>
    <col min="110" max="110" width="14.109375" style="397" customWidth="1"/>
    <col min="111" max="121" width="14.109375" style="397" hidden="1" customWidth="1"/>
    <col min="122" max="122" width="14.109375" style="397" customWidth="1"/>
    <col min="123" max="133" width="14.109375" style="397" hidden="1" customWidth="1"/>
    <col min="134" max="136" width="14.109375" style="397" customWidth="1"/>
    <col min="137" max="138" width="9.109375" style="397"/>
    <col min="139" max="139" width="0" style="397" hidden="1" customWidth="1"/>
    <col min="140" max="16384" width="9.109375" style="397"/>
  </cols>
  <sheetData>
    <row r="2" spans="1:142" ht="25.5" customHeight="1">
      <c r="A2" s="2380" t="s">
        <v>3380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  <c r="EF2" s="2380"/>
    </row>
    <row r="3" spans="1:142" ht="36.75" customHeight="1">
      <c r="A3" s="2389" t="s">
        <v>3366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  <c r="EF3" s="2389"/>
    </row>
    <row r="4" spans="1:142" ht="19.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</row>
    <row r="5" spans="1:142" ht="19.5" customHeight="1">
      <c r="A5" s="2400" t="s">
        <v>2416</v>
      </c>
      <c r="B5" s="2400"/>
      <c r="C5" s="2400"/>
      <c r="D5" s="2400"/>
      <c r="E5" s="2400"/>
      <c r="F5" s="2400"/>
      <c r="G5" s="2400"/>
      <c r="H5" s="2400"/>
      <c r="I5" s="2400"/>
      <c r="J5" s="2400"/>
      <c r="K5" s="2400"/>
      <c r="L5" s="2400"/>
      <c r="M5" s="2400"/>
      <c r="N5" s="2400"/>
      <c r="O5" s="2400"/>
      <c r="P5" s="2400"/>
      <c r="Q5" s="2400"/>
      <c r="R5" s="2400"/>
      <c r="S5" s="2400"/>
      <c r="T5" s="2400"/>
      <c r="U5" s="2400"/>
      <c r="V5" s="2400"/>
      <c r="W5" s="2400"/>
      <c r="X5" s="2400"/>
      <c r="Y5" s="2400"/>
      <c r="Z5" s="2400"/>
      <c r="AA5" s="2400"/>
      <c r="AB5" s="2400"/>
      <c r="AC5" s="2400"/>
      <c r="AD5" s="2400"/>
      <c r="AE5" s="2400"/>
      <c r="AF5" s="2400"/>
      <c r="AG5" s="2400"/>
      <c r="AH5" s="2400"/>
      <c r="AI5" s="2400"/>
      <c r="AJ5" s="2400"/>
      <c r="AK5" s="2400"/>
      <c r="AL5" s="2400"/>
      <c r="AM5" s="2400"/>
      <c r="AN5" s="2400"/>
      <c r="AO5" s="2400"/>
      <c r="AP5" s="2400"/>
      <c r="AQ5" s="2400"/>
      <c r="AR5" s="2400"/>
      <c r="AS5" s="2400"/>
      <c r="AT5" s="2400"/>
      <c r="AU5" s="2400"/>
      <c r="AV5" s="2400"/>
      <c r="AW5" s="2400"/>
      <c r="AX5" s="2400"/>
      <c r="AY5" s="2400"/>
      <c r="AZ5" s="2400"/>
      <c r="BA5" s="2400"/>
      <c r="BB5" s="2400"/>
      <c r="BC5" s="2400"/>
      <c r="BD5" s="2400"/>
      <c r="BE5" s="2400"/>
      <c r="BF5" s="2400"/>
      <c r="BG5" s="2400"/>
      <c r="BH5" s="2400"/>
      <c r="BI5" s="2400"/>
      <c r="BJ5" s="2400"/>
      <c r="BK5" s="2400"/>
      <c r="BL5" s="2400"/>
      <c r="BM5" s="2400"/>
      <c r="BN5" s="2400"/>
      <c r="BO5" s="2400"/>
      <c r="BP5" s="2400"/>
      <c r="BQ5" s="2400"/>
      <c r="BR5" s="2400"/>
      <c r="BS5" s="2400"/>
      <c r="BT5" s="2400"/>
      <c r="BU5" s="2400"/>
      <c r="BV5" s="2400"/>
      <c r="BW5" s="2400"/>
      <c r="BX5" s="2400"/>
      <c r="BY5" s="2400"/>
      <c r="BZ5" s="2400"/>
      <c r="CA5" s="2400"/>
      <c r="CB5" s="2400"/>
      <c r="CC5" s="2400"/>
      <c r="CD5" s="2400"/>
      <c r="CE5" s="2400"/>
      <c r="CF5" s="2400"/>
      <c r="CG5" s="2400"/>
      <c r="CH5" s="2400"/>
      <c r="CI5" s="2400"/>
      <c r="CJ5" s="2400"/>
      <c r="CK5" s="2400"/>
      <c r="CL5" s="2400"/>
      <c r="CM5" s="2400"/>
      <c r="CN5" s="2400"/>
      <c r="CO5" s="2400"/>
      <c r="CP5" s="2400"/>
      <c r="CQ5" s="2400"/>
      <c r="CR5" s="2400"/>
      <c r="CS5" s="2400"/>
      <c r="CT5" s="2400"/>
      <c r="CU5" s="2400"/>
      <c r="CV5" s="2400"/>
      <c r="CW5" s="2400"/>
      <c r="CX5" s="2400"/>
      <c r="CY5" s="2400"/>
      <c r="CZ5" s="2400"/>
      <c r="DA5" s="2400"/>
      <c r="DB5" s="2400"/>
      <c r="DC5" s="2400"/>
      <c r="DD5" s="2400"/>
      <c r="DE5" s="2400"/>
      <c r="DF5" s="2400"/>
      <c r="DG5" s="2400"/>
      <c r="DH5" s="2400"/>
      <c r="DI5" s="2400"/>
      <c r="DJ5" s="2400"/>
      <c r="DK5" s="2400"/>
      <c r="DL5" s="2400"/>
      <c r="DM5" s="2400"/>
      <c r="DN5" s="2400"/>
      <c r="DO5" s="2400"/>
      <c r="DP5" s="2400"/>
      <c r="DQ5" s="2400"/>
      <c r="DR5" s="2400"/>
      <c r="DS5" s="2400"/>
      <c r="DT5" s="2400"/>
      <c r="DU5" s="2400"/>
      <c r="DV5" s="2400"/>
      <c r="DW5" s="2400"/>
      <c r="DX5" s="2400"/>
      <c r="DY5" s="2400"/>
      <c r="DZ5" s="2400"/>
      <c r="EA5" s="2400"/>
      <c r="EB5" s="2400"/>
      <c r="EC5" s="2400"/>
      <c r="ED5" s="2400"/>
      <c r="EE5" s="2400"/>
      <c r="EF5" s="2400"/>
    </row>
    <row r="6" spans="1:142" ht="32.25" customHeight="1">
      <c r="A6" s="2401"/>
      <c r="B6" s="2403">
        <v>2013</v>
      </c>
      <c r="C6" s="2404"/>
      <c r="D6" s="2404"/>
      <c r="E6" s="2404"/>
      <c r="F6" s="2404"/>
      <c r="G6" s="2404"/>
      <c r="H6" s="2404"/>
      <c r="I6" s="2404"/>
      <c r="J6" s="2404"/>
      <c r="K6" s="2404"/>
      <c r="L6" s="2404"/>
      <c r="M6" s="2404">
        <v>2013</v>
      </c>
      <c r="N6" s="2404">
        <v>2014</v>
      </c>
      <c r="O6" s="2404"/>
      <c r="P6" s="2404"/>
      <c r="Q6" s="2404"/>
      <c r="R6" s="2404"/>
      <c r="S6" s="2404"/>
      <c r="T6" s="2404"/>
      <c r="U6" s="2404"/>
      <c r="V6" s="2404"/>
      <c r="W6" s="2404"/>
      <c r="X6" s="2404"/>
      <c r="Y6" s="2404">
        <v>2014</v>
      </c>
      <c r="Z6" s="2404">
        <v>2015</v>
      </c>
      <c r="AA6" s="2404"/>
      <c r="AB6" s="2404"/>
      <c r="AC6" s="2404"/>
      <c r="AD6" s="2404"/>
      <c r="AE6" s="2404"/>
      <c r="AF6" s="2404"/>
      <c r="AG6" s="2404"/>
      <c r="AH6" s="2404"/>
      <c r="AI6" s="2404"/>
      <c r="AJ6" s="2404"/>
      <c r="AK6" s="2404"/>
      <c r="AL6" s="2404"/>
      <c r="AM6" s="785">
        <v>2016</v>
      </c>
      <c r="AN6" s="785"/>
      <c r="AO6" s="785"/>
      <c r="AP6" s="785"/>
      <c r="AQ6" s="785"/>
      <c r="AR6" s="785"/>
      <c r="AS6" s="785"/>
      <c r="AT6" s="785"/>
      <c r="AU6" s="785"/>
      <c r="AV6" s="785"/>
      <c r="AW6" s="2404">
        <v>2016</v>
      </c>
      <c r="AX6" s="2404"/>
      <c r="AY6" s="785">
        <v>2017</v>
      </c>
      <c r="AZ6" s="785"/>
      <c r="BA6" s="785"/>
      <c r="BB6" s="785"/>
      <c r="BC6" s="785"/>
      <c r="BD6" s="785"/>
      <c r="BE6" s="785"/>
      <c r="BF6" s="785"/>
      <c r="BG6" s="785"/>
      <c r="BH6" s="785"/>
      <c r="BI6" s="967"/>
      <c r="BJ6" s="1010">
        <v>2017</v>
      </c>
      <c r="BK6" s="1011">
        <v>2018</v>
      </c>
      <c r="BL6" s="1011"/>
      <c r="BM6" s="1011"/>
      <c r="BN6" s="1011"/>
      <c r="BO6" s="1011"/>
      <c r="BP6" s="1011"/>
      <c r="BQ6" s="1011"/>
      <c r="BR6" s="1011"/>
      <c r="BS6" s="1011"/>
      <c r="BT6" s="1011"/>
      <c r="BU6" s="1011"/>
      <c r="BV6" s="1010">
        <v>2018</v>
      </c>
      <c r="BW6" s="2405">
        <v>2019</v>
      </c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2405"/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1012">
        <v>2020</v>
      </c>
      <c r="CU6" s="2396">
        <v>2021</v>
      </c>
      <c r="CV6" s="2397"/>
      <c r="CW6" s="2397"/>
      <c r="CX6" s="2397"/>
      <c r="CY6" s="2397"/>
      <c r="CZ6" s="2397"/>
      <c r="DA6" s="2397"/>
      <c r="DB6" s="2397"/>
      <c r="DC6" s="2397"/>
      <c r="DD6" s="2397"/>
      <c r="DE6" s="2397"/>
      <c r="DF6" s="2398"/>
      <c r="DG6" s="2406">
        <v>2022</v>
      </c>
      <c r="DH6" s="2407"/>
      <c r="DI6" s="2407"/>
      <c r="DJ6" s="2407"/>
      <c r="DK6" s="2407"/>
      <c r="DL6" s="2407"/>
      <c r="DM6" s="2407"/>
      <c r="DN6" s="2407"/>
      <c r="DO6" s="2407"/>
      <c r="DP6" s="2407"/>
      <c r="DQ6" s="2407"/>
      <c r="DR6" s="2408"/>
      <c r="DS6" s="2399">
        <v>2023</v>
      </c>
      <c r="DT6" s="2397"/>
      <c r="DU6" s="2397"/>
      <c r="DV6" s="2397"/>
      <c r="DW6" s="2397"/>
      <c r="DX6" s="2397"/>
      <c r="DY6" s="2397"/>
      <c r="DZ6" s="2397"/>
      <c r="EA6" s="2397"/>
      <c r="EB6" s="2397"/>
      <c r="EC6" s="2397"/>
      <c r="ED6" s="2398"/>
      <c r="EE6" s="2399">
        <v>2024</v>
      </c>
      <c r="EF6" s="2398"/>
    </row>
    <row r="7" spans="1:142" ht="32.25" customHeight="1">
      <c r="A7" s="2402"/>
      <c r="B7" s="972" t="s">
        <v>1988</v>
      </c>
      <c r="C7" s="965" t="s">
        <v>1999</v>
      </c>
      <c r="D7" s="965" t="s">
        <v>1998</v>
      </c>
      <c r="E7" s="965" t="s">
        <v>1997</v>
      </c>
      <c r="F7" s="965" t="s">
        <v>1996</v>
      </c>
      <c r="G7" s="965" t="s">
        <v>1995</v>
      </c>
      <c r="H7" s="965" t="s">
        <v>1994</v>
      </c>
      <c r="I7" s="965" t="s">
        <v>1993</v>
      </c>
      <c r="J7" s="965" t="s">
        <v>1992</v>
      </c>
      <c r="K7" s="965" t="s">
        <v>1991</v>
      </c>
      <c r="L7" s="965" t="s">
        <v>1990</v>
      </c>
      <c r="M7" s="965" t="s">
        <v>1989</v>
      </c>
      <c r="N7" s="965" t="s">
        <v>1988</v>
      </c>
      <c r="O7" s="965" t="s">
        <v>1999</v>
      </c>
      <c r="P7" s="965" t="s">
        <v>1998</v>
      </c>
      <c r="Q7" s="965" t="s">
        <v>1997</v>
      </c>
      <c r="R7" s="965" t="s">
        <v>1996</v>
      </c>
      <c r="S7" s="965" t="s">
        <v>1995</v>
      </c>
      <c r="T7" s="965" t="s">
        <v>1994</v>
      </c>
      <c r="U7" s="965" t="s">
        <v>1993</v>
      </c>
      <c r="V7" s="965" t="s">
        <v>1992</v>
      </c>
      <c r="W7" s="965" t="s">
        <v>1991</v>
      </c>
      <c r="X7" s="965" t="s">
        <v>1990</v>
      </c>
      <c r="Y7" s="965" t="s">
        <v>1989</v>
      </c>
      <c r="Z7" s="965" t="s">
        <v>2003</v>
      </c>
      <c r="AA7" s="965" t="s">
        <v>1988</v>
      </c>
      <c r="AB7" s="965" t="s">
        <v>1999</v>
      </c>
      <c r="AC7" s="965" t="s">
        <v>1998</v>
      </c>
      <c r="AD7" s="965" t="s">
        <v>1997</v>
      </c>
      <c r="AE7" s="965" t="s">
        <v>1996</v>
      </c>
      <c r="AF7" s="965" t="s">
        <v>2000</v>
      </c>
      <c r="AG7" s="965" t="s">
        <v>2004</v>
      </c>
      <c r="AH7" s="965" t="s">
        <v>1993</v>
      </c>
      <c r="AI7" s="965" t="s">
        <v>1992</v>
      </c>
      <c r="AJ7" s="965" t="s">
        <v>1991</v>
      </c>
      <c r="AK7" s="965" t="s">
        <v>1990</v>
      </c>
      <c r="AL7" s="965" t="s">
        <v>1989</v>
      </c>
      <c r="AM7" s="965" t="s">
        <v>1988</v>
      </c>
      <c r="AN7" s="965" t="s">
        <v>1999</v>
      </c>
      <c r="AO7" s="965" t="s">
        <v>1998</v>
      </c>
      <c r="AP7" s="965" t="s">
        <v>1997</v>
      </c>
      <c r="AQ7" s="965" t="s">
        <v>1996</v>
      </c>
      <c r="AR7" s="965" t="s">
        <v>1995</v>
      </c>
      <c r="AS7" s="965" t="s">
        <v>1994</v>
      </c>
      <c r="AT7" s="966" t="s">
        <v>1993</v>
      </c>
      <c r="AU7" s="966" t="s">
        <v>1992</v>
      </c>
      <c r="AV7" s="966" t="s">
        <v>1991</v>
      </c>
      <c r="AW7" s="966" t="s">
        <v>1990</v>
      </c>
      <c r="AX7" s="965" t="s">
        <v>1989</v>
      </c>
      <c r="AY7" s="966" t="s">
        <v>1988</v>
      </c>
      <c r="AZ7" s="966" t="s">
        <v>1987</v>
      </c>
      <c r="BA7" s="966" t="s">
        <v>1986</v>
      </c>
      <c r="BB7" s="966" t="s">
        <v>1985</v>
      </c>
      <c r="BC7" s="966" t="s">
        <v>2005</v>
      </c>
      <c r="BD7" s="966" t="s">
        <v>2006</v>
      </c>
      <c r="BE7" s="965" t="s">
        <v>2015</v>
      </c>
      <c r="BF7" s="965" t="s">
        <v>2025</v>
      </c>
      <c r="BG7" s="965" t="s">
        <v>2035</v>
      </c>
      <c r="BH7" s="965" t="s">
        <v>2048</v>
      </c>
      <c r="BI7" s="968" t="s">
        <v>2059</v>
      </c>
      <c r="BJ7" s="1025" t="s">
        <v>1989</v>
      </c>
      <c r="BK7" s="1025" t="s">
        <v>1988</v>
      </c>
      <c r="BL7" s="1025" t="s">
        <v>1987</v>
      </c>
      <c r="BM7" s="1025" t="s">
        <v>1986</v>
      </c>
      <c r="BN7" s="1025" t="s">
        <v>1985</v>
      </c>
      <c r="BO7" s="1025" t="s">
        <v>2005</v>
      </c>
      <c r="BP7" s="1025" t="s">
        <v>2006</v>
      </c>
      <c r="BQ7" s="1025" t="s">
        <v>2015</v>
      </c>
      <c r="BR7" s="1025" t="s">
        <v>2025</v>
      </c>
      <c r="BS7" s="1025" t="s">
        <v>2035</v>
      </c>
      <c r="BT7" s="1025" t="s">
        <v>2048</v>
      </c>
      <c r="BU7" s="1025" t="s">
        <v>2059</v>
      </c>
      <c r="BV7" s="1025" t="s">
        <v>1989</v>
      </c>
      <c r="BW7" s="1025" t="s">
        <v>1988</v>
      </c>
      <c r="BX7" s="1025" t="s">
        <v>1987</v>
      </c>
      <c r="BY7" s="1025" t="s">
        <v>1986</v>
      </c>
      <c r="BZ7" s="1025" t="s">
        <v>1985</v>
      </c>
      <c r="CA7" s="1025" t="s">
        <v>2005</v>
      </c>
      <c r="CB7" s="1025" t="s">
        <v>2006</v>
      </c>
      <c r="CC7" s="1025" t="s">
        <v>2015</v>
      </c>
      <c r="CD7" s="1025" t="s">
        <v>2025</v>
      </c>
      <c r="CE7" s="1025" t="s">
        <v>2035</v>
      </c>
      <c r="CF7" s="1025" t="s">
        <v>2048</v>
      </c>
      <c r="CG7" s="1025" t="s">
        <v>2059</v>
      </c>
      <c r="CH7" s="1025" t="s">
        <v>1989</v>
      </c>
      <c r="CI7" s="1025" t="s">
        <v>1988</v>
      </c>
      <c r="CJ7" s="1025" t="s">
        <v>1987</v>
      </c>
      <c r="CK7" s="1025" t="s">
        <v>1986</v>
      </c>
      <c r="CL7" s="1025" t="s">
        <v>1985</v>
      </c>
      <c r="CM7" s="1025" t="s">
        <v>2005</v>
      </c>
      <c r="CN7" s="1025" t="s">
        <v>2462</v>
      </c>
      <c r="CO7" s="1025" t="s">
        <v>2471</v>
      </c>
      <c r="CP7" s="1025" t="s">
        <v>2025</v>
      </c>
      <c r="CQ7" s="1025" t="s">
        <v>2035</v>
      </c>
      <c r="CR7" s="1025" t="s">
        <v>2048</v>
      </c>
      <c r="CS7" s="1025" t="s">
        <v>2059</v>
      </c>
      <c r="CT7" s="1025" t="s">
        <v>1989</v>
      </c>
      <c r="CU7" s="1025" t="s">
        <v>1988</v>
      </c>
      <c r="CV7" s="1025" t="s">
        <v>1987</v>
      </c>
      <c r="CW7" s="1025" t="s">
        <v>1986</v>
      </c>
      <c r="CX7" s="1025" t="s">
        <v>1985</v>
      </c>
      <c r="CY7" s="1025" t="s">
        <v>2005</v>
      </c>
      <c r="CZ7" s="1025" t="s">
        <v>2006</v>
      </c>
      <c r="DA7" s="1025" t="s">
        <v>2015</v>
      </c>
      <c r="DB7" s="1025" t="s">
        <v>2025</v>
      </c>
      <c r="DC7" s="1025" t="s">
        <v>2707</v>
      </c>
      <c r="DD7" s="1025" t="s">
        <v>2048</v>
      </c>
      <c r="DE7" s="1025" t="s">
        <v>2059</v>
      </c>
      <c r="DF7" s="1025" t="s">
        <v>1989</v>
      </c>
      <c r="DG7" s="1553" t="s">
        <v>1988</v>
      </c>
      <c r="DH7" s="1553" t="s">
        <v>1987</v>
      </c>
      <c r="DI7" s="1553" t="s">
        <v>1986</v>
      </c>
      <c r="DJ7" s="1553" t="s">
        <v>1985</v>
      </c>
      <c r="DK7" s="1553" t="s">
        <v>2005</v>
      </c>
      <c r="DL7" s="1553" t="s">
        <v>2006</v>
      </c>
      <c r="DM7" s="1553" t="s">
        <v>2015</v>
      </c>
      <c r="DN7" s="1553" t="s">
        <v>2025</v>
      </c>
      <c r="DO7" s="1553" t="s">
        <v>2035</v>
      </c>
      <c r="DP7" s="1553" t="s">
        <v>2048</v>
      </c>
      <c r="DQ7" s="1553" t="s">
        <v>2059</v>
      </c>
      <c r="DR7" s="1553" t="s">
        <v>1989</v>
      </c>
      <c r="DS7" s="1025" t="s">
        <v>1988</v>
      </c>
      <c r="DT7" s="1025" t="s">
        <v>1987</v>
      </c>
      <c r="DU7" s="1025" t="s">
        <v>1986</v>
      </c>
      <c r="DV7" s="1025" t="s">
        <v>1985</v>
      </c>
      <c r="DW7" s="1025" t="s">
        <v>2005</v>
      </c>
      <c r="DX7" s="1025" t="s">
        <v>2006</v>
      </c>
      <c r="DY7" s="1025" t="s">
        <v>2015</v>
      </c>
      <c r="DZ7" s="1025" t="s">
        <v>2025</v>
      </c>
      <c r="EA7" s="1025" t="s">
        <v>2035</v>
      </c>
      <c r="EB7" s="1025" t="s">
        <v>2048</v>
      </c>
      <c r="EC7" s="1025" t="s">
        <v>2059</v>
      </c>
      <c r="ED7" s="1025" t="s">
        <v>1989</v>
      </c>
      <c r="EE7" s="1025" t="s">
        <v>1988</v>
      </c>
      <c r="EF7" s="1025" t="s">
        <v>1987</v>
      </c>
      <c r="EL7" s="509"/>
    </row>
    <row r="8" spans="1:142" ht="19.8">
      <c r="A8" s="976" t="s">
        <v>2820</v>
      </c>
      <c r="B8" s="973">
        <v>105.60011256000001</v>
      </c>
      <c r="C8" s="778">
        <v>114.24578094</v>
      </c>
      <c r="D8" s="778">
        <v>113.97123705000001</v>
      </c>
      <c r="E8" s="778">
        <v>114.12138906000001</v>
      </c>
      <c r="F8" s="778">
        <v>111.37901713000001</v>
      </c>
      <c r="G8" s="778">
        <v>142.61656519000002</v>
      </c>
      <c r="H8" s="778">
        <v>144.08715753000001</v>
      </c>
      <c r="I8" s="778">
        <v>144.24804773000002</v>
      </c>
      <c r="J8" s="778">
        <v>194.41175276000001</v>
      </c>
      <c r="K8" s="778">
        <v>134.66931400999999</v>
      </c>
      <c r="L8" s="778">
        <v>134.62406406000002</v>
      </c>
      <c r="M8" s="779">
        <v>124.95512670000001</v>
      </c>
      <c r="N8" s="779">
        <v>124.80824687999998</v>
      </c>
      <c r="O8" s="779">
        <v>125.00565813</v>
      </c>
      <c r="P8" s="779">
        <v>125.39533259000001</v>
      </c>
      <c r="Q8" s="779">
        <v>120.56247141</v>
      </c>
      <c r="R8" s="779">
        <v>154.12319878</v>
      </c>
      <c r="S8" s="779">
        <v>80.603619979999991</v>
      </c>
      <c r="T8" s="779">
        <v>81.087695370000006</v>
      </c>
      <c r="U8" s="779">
        <v>80.881242159999999</v>
      </c>
      <c r="V8" s="779">
        <v>74.95358816000001</v>
      </c>
      <c r="W8" s="779">
        <v>71.724015960000003</v>
      </c>
      <c r="X8" s="779">
        <v>67.566328909999996</v>
      </c>
      <c r="Y8" s="779">
        <v>61.10191086999999</v>
      </c>
      <c r="Z8" s="779">
        <v>61.10191086999999</v>
      </c>
      <c r="AA8" s="779">
        <v>101.09084375</v>
      </c>
      <c r="AB8" s="779">
        <v>117.08735831</v>
      </c>
      <c r="AC8" s="779">
        <v>116.65805771999999</v>
      </c>
      <c r="AD8" s="779">
        <v>117.63569192</v>
      </c>
      <c r="AE8" s="779">
        <v>117.33302420000001</v>
      </c>
      <c r="AF8" s="779">
        <v>115.0996227</v>
      </c>
      <c r="AG8" s="779">
        <v>114.55282405999998</v>
      </c>
      <c r="AH8" s="779">
        <v>68.411117079999997</v>
      </c>
      <c r="AI8" s="779">
        <v>68.274432439999998</v>
      </c>
      <c r="AJ8" s="779">
        <v>137.60144632999999</v>
      </c>
      <c r="AK8" s="779">
        <v>149.99696</v>
      </c>
      <c r="AL8" s="779">
        <v>181.11935259999998</v>
      </c>
      <c r="AM8" s="779">
        <v>178.93343339</v>
      </c>
      <c r="AN8" s="779">
        <v>170.21498265999998</v>
      </c>
      <c r="AO8" s="779">
        <v>169.33655242000003</v>
      </c>
      <c r="AP8" s="779">
        <v>167.37961919999998</v>
      </c>
      <c r="AQ8" s="779">
        <v>165.93781584000001</v>
      </c>
      <c r="AR8" s="779">
        <v>268.95391513999999</v>
      </c>
      <c r="AS8" s="779">
        <v>254.53764158000004</v>
      </c>
      <c r="AT8" s="779">
        <v>256.97157655999996</v>
      </c>
      <c r="AU8" s="779">
        <v>256.98802446000008</v>
      </c>
      <c r="AV8" s="779">
        <v>260.42991877000003</v>
      </c>
      <c r="AW8" s="779">
        <v>466.18580246999994</v>
      </c>
      <c r="AX8" s="779">
        <v>472.66086626000003</v>
      </c>
      <c r="AY8" s="779">
        <v>327.58225526000001</v>
      </c>
      <c r="AZ8" s="779">
        <v>297.83420001999997</v>
      </c>
      <c r="BA8" s="779">
        <v>293.94586943999997</v>
      </c>
      <c r="BB8" s="779">
        <v>429.96568051999998</v>
      </c>
      <c r="BC8" s="779">
        <v>428.74997167999993</v>
      </c>
      <c r="BD8" s="779">
        <v>428.72081939000003</v>
      </c>
      <c r="BE8" s="779">
        <v>265.08731266000007</v>
      </c>
      <c r="BF8" s="779">
        <v>256.50174501999999</v>
      </c>
      <c r="BG8" s="779">
        <v>251.21038282999999</v>
      </c>
      <c r="BH8" s="779">
        <v>213.59875038000001</v>
      </c>
      <c r="BI8" s="969">
        <v>309.71322092999998</v>
      </c>
      <c r="BJ8" s="993">
        <v>215.59824989000001</v>
      </c>
      <c r="BK8" s="993">
        <v>215.5081476</v>
      </c>
      <c r="BL8" s="993">
        <v>209.76563938999999</v>
      </c>
      <c r="BM8" s="993">
        <v>211.78296318000002</v>
      </c>
      <c r="BN8" s="993">
        <v>211.82697447000001</v>
      </c>
      <c r="BO8" s="993">
        <v>208.76143995000001</v>
      </c>
      <c r="BP8" s="993">
        <v>208.70451044999999</v>
      </c>
      <c r="BQ8" s="993">
        <v>210.57181072</v>
      </c>
      <c r="BR8" s="993">
        <v>202.31794216999998</v>
      </c>
      <c r="BS8" s="993">
        <v>200.46549587999999</v>
      </c>
      <c r="BT8" s="993">
        <v>190.76791687999997</v>
      </c>
      <c r="BU8" s="993">
        <v>190.63270231999999</v>
      </c>
      <c r="BV8" s="993">
        <v>342.04078730000003</v>
      </c>
      <c r="BW8" s="993">
        <v>370.91365987</v>
      </c>
      <c r="BX8" s="993">
        <v>370.16473431999998</v>
      </c>
      <c r="BY8" s="993">
        <v>369.13140736000003</v>
      </c>
      <c r="BZ8" s="993">
        <v>373.12296426000006</v>
      </c>
      <c r="CA8" s="993">
        <v>373.09053128999994</v>
      </c>
      <c r="CB8" s="993">
        <v>373.98671657</v>
      </c>
      <c r="CC8" s="993">
        <v>371.05687373000006</v>
      </c>
      <c r="CD8" s="993">
        <v>339.55006192999997</v>
      </c>
      <c r="CE8" s="993">
        <v>490.34353333000001</v>
      </c>
      <c r="CF8" s="993">
        <v>509.74141729000002</v>
      </c>
      <c r="CG8" s="993">
        <v>581.10745771000006</v>
      </c>
      <c r="CH8" s="993">
        <v>589.48088998000003</v>
      </c>
      <c r="CI8" s="993">
        <v>594.10143878000008</v>
      </c>
      <c r="CJ8" s="993">
        <v>593.81704666000007</v>
      </c>
      <c r="CK8" s="993">
        <v>592.7249453500001</v>
      </c>
      <c r="CL8" s="993">
        <v>591.05934764999995</v>
      </c>
      <c r="CM8" s="993">
        <v>591.25840889999995</v>
      </c>
      <c r="CN8" s="993">
        <v>528.36327950999998</v>
      </c>
      <c r="CO8" s="993">
        <v>531.13333698999998</v>
      </c>
      <c r="CP8" s="993">
        <v>522.54439936999995</v>
      </c>
      <c r="CQ8" s="993">
        <v>499.21446546000004</v>
      </c>
      <c r="CR8" s="993">
        <v>499.89612171000005</v>
      </c>
      <c r="CS8" s="993">
        <v>498.64728910000002</v>
      </c>
      <c r="CT8" s="993">
        <v>507.35427750000002</v>
      </c>
      <c r="CU8" s="993">
        <v>490.96189819</v>
      </c>
      <c r="CV8" s="993">
        <v>490.39742289999998</v>
      </c>
      <c r="CW8" s="993">
        <v>489.63037322999998</v>
      </c>
      <c r="CX8" s="993">
        <v>499.14561572999997</v>
      </c>
      <c r="CY8" s="993">
        <v>494.09345325999999</v>
      </c>
      <c r="CZ8" s="993">
        <v>466.16306940999999</v>
      </c>
      <c r="DA8" s="993">
        <v>462.71752470000001</v>
      </c>
      <c r="DB8" s="993">
        <v>469.61422119999997</v>
      </c>
      <c r="DC8" s="993">
        <v>468.89206789999997</v>
      </c>
      <c r="DD8" s="993">
        <v>465.15443046000001</v>
      </c>
      <c r="DE8" s="993">
        <v>457.63924663</v>
      </c>
      <c r="DF8" s="993">
        <v>462.79192707999999</v>
      </c>
      <c r="DG8" s="993">
        <v>451.95474725000003</v>
      </c>
      <c r="DH8" s="993">
        <v>434.13006897999998</v>
      </c>
      <c r="DI8" s="993">
        <v>436.89270148999998</v>
      </c>
      <c r="DJ8" s="993">
        <v>432.85800519999998</v>
      </c>
      <c r="DK8" s="993">
        <v>419.15604752000002</v>
      </c>
      <c r="DL8" s="993">
        <v>402.01053668999998</v>
      </c>
      <c r="DM8" s="993">
        <v>389.52698802999998</v>
      </c>
      <c r="DN8" s="993">
        <v>359.73674825000001</v>
      </c>
      <c r="DO8" s="993">
        <v>361.50367191999999</v>
      </c>
      <c r="DP8" s="993">
        <v>392.47515770000001</v>
      </c>
      <c r="DQ8" s="993">
        <v>381.69147516999999</v>
      </c>
      <c r="DR8" s="993">
        <v>385.49710412000002</v>
      </c>
      <c r="DS8" s="993">
        <v>412.94644068999997</v>
      </c>
      <c r="DT8" s="993">
        <v>418.67551236000003</v>
      </c>
      <c r="DU8" s="993">
        <v>425.99188239</v>
      </c>
      <c r="DV8" s="993">
        <v>429.33469600000001</v>
      </c>
      <c r="DW8" s="993">
        <v>419.51901660999999</v>
      </c>
      <c r="DX8" s="993">
        <v>400.45803783999997</v>
      </c>
      <c r="DY8" s="993">
        <v>389.23534162999999</v>
      </c>
      <c r="DZ8" s="993">
        <v>375.68114305</v>
      </c>
      <c r="EA8" s="993">
        <v>372.25311664999998</v>
      </c>
      <c r="EB8" s="993">
        <v>366.21069555000003</v>
      </c>
      <c r="EC8" s="993">
        <v>353.37052734999997</v>
      </c>
      <c r="ED8" s="993">
        <v>332.10318666000001</v>
      </c>
      <c r="EE8" s="993">
        <v>527.94817781999996</v>
      </c>
      <c r="EF8" s="993">
        <v>488.17322006000001</v>
      </c>
      <c r="EJ8" s="398"/>
      <c r="EK8" s="399"/>
    </row>
    <row r="9" spans="1:142" ht="19.8">
      <c r="A9" s="977" t="s">
        <v>2001</v>
      </c>
      <c r="B9" s="974">
        <v>99.833261400000012</v>
      </c>
      <c r="C9" s="780">
        <v>109.18165262000001</v>
      </c>
      <c r="D9" s="780">
        <v>108.95689246000002</v>
      </c>
      <c r="E9" s="780">
        <v>109.14540098000002</v>
      </c>
      <c r="F9" s="780">
        <v>109.25280531000001</v>
      </c>
      <c r="G9" s="780">
        <v>139.30455628999999</v>
      </c>
      <c r="H9" s="780">
        <v>139.64007945</v>
      </c>
      <c r="I9" s="780">
        <v>139.67610478</v>
      </c>
      <c r="J9" s="780">
        <v>189.86615598</v>
      </c>
      <c r="K9" s="780">
        <v>130.03386656000001</v>
      </c>
      <c r="L9" s="780">
        <v>129.96822206000002</v>
      </c>
      <c r="M9" s="781">
        <v>120.06069436999999</v>
      </c>
      <c r="N9" s="781">
        <v>120.05746053</v>
      </c>
      <c r="O9" s="781">
        <v>120.16770789000002</v>
      </c>
      <c r="P9" s="781">
        <v>120.18054233999999</v>
      </c>
      <c r="Q9" s="781">
        <v>115.2232376</v>
      </c>
      <c r="R9" s="781">
        <v>152.14953231999999</v>
      </c>
      <c r="S9" s="781">
        <v>79.153501110000008</v>
      </c>
      <c r="T9" s="781">
        <v>78.996829550000001</v>
      </c>
      <c r="U9" s="781">
        <v>78.732712110000008</v>
      </c>
      <c r="V9" s="781">
        <v>72.828690399999999</v>
      </c>
      <c r="W9" s="781">
        <v>69.5330589</v>
      </c>
      <c r="X9" s="781">
        <v>65.303776110000001</v>
      </c>
      <c r="Y9" s="781">
        <v>58.838362320000002</v>
      </c>
      <c r="Z9" s="781">
        <v>58.838362320000002</v>
      </c>
      <c r="AA9" s="781">
        <v>98.861545399999997</v>
      </c>
      <c r="AB9" s="781">
        <v>114.45075898</v>
      </c>
      <c r="AC9" s="781">
        <v>114.02617991</v>
      </c>
      <c r="AD9" s="781">
        <v>114.17508303000001</v>
      </c>
      <c r="AE9" s="781">
        <v>113.89396886</v>
      </c>
      <c r="AF9" s="781">
        <v>111.68409274000001</v>
      </c>
      <c r="AG9" s="781">
        <v>111.42322095999999</v>
      </c>
      <c r="AH9" s="781">
        <v>66.117156039999998</v>
      </c>
      <c r="AI9" s="781">
        <v>66.12176925</v>
      </c>
      <c r="AJ9" s="781">
        <v>135.63681607999999</v>
      </c>
      <c r="AK9" s="781">
        <v>148.16076641000001</v>
      </c>
      <c r="AL9" s="781">
        <v>178.84997107000001</v>
      </c>
      <c r="AM9" s="781">
        <v>176.48653781999997</v>
      </c>
      <c r="AN9" s="781">
        <v>167.83024379</v>
      </c>
      <c r="AO9" s="781">
        <v>166.93833645000001</v>
      </c>
      <c r="AP9" s="781">
        <v>164.85291329</v>
      </c>
      <c r="AQ9" s="781">
        <v>163.43100534000001</v>
      </c>
      <c r="AR9" s="781">
        <v>266.44610976000001</v>
      </c>
      <c r="AS9" s="781">
        <v>252.24556739000005</v>
      </c>
      <c r="AT9" s="781">
        <v>254.95421341000002</v>
      </c>
      <c r="AU9" s="781">
        <v>254.63632139000001</v>
      </c>
      <c r="AV9" s="781">
        <v>255.52576239000001</v>
      </c>
      <c r="AW9" s="781">
        <v>260.15105939000006</v>
      </c>
      <c r="AX9" s="781">
        <v>467.58128439000001</v>
      </c>
      <c r="AY9" s="781">
        <v>322.37858838999995</v>
      </c>
      <c r="AZ9" s="781">
        <v>293.86066755999997</v>
      </c>
      <c r="BA9" s="781">
        <v>290.25207656000003</v>
      </c>
      <c r="BB9" s="781">
        <v>425.62606955999996</v>
      </c>
      <c r="BC9" s="781">
        <v>425.50000281999996</v>
      </c>
      <c r="BD9" s="781">
        <v>425.52510793000005</v>
      </c>
      <c r="BE9" s="781">
        <v>261.93860000000001</v>
      </c>
      <c r="BF9" s="781">
        <v>253.44900000000001</v>
      </c>
      <c r="BG9" s="781">
        <v>247.37909999999999</v>
      </c>
      <c r="BH9" s="781">
        <v>210.82480000000001</v>
      </c>
      <c r="BI9" s="970">
        <v>306.26224999999999</v>
      </c>
      <c r="BJ9" s="994">
        <v>208.66177350000001</v>
      </c>
      <c r="BK9" s="994">
        <v>208.66177350000001</v>
      </c>
      <c r="BL9" s="994">
        <v>202.74784477</v>
      </c>
      <c r="BM9" s="994">
        <v>202.6995</v>
      </c>
      <c r="BN9" s="994">
        <v>202.6995</v>
      </c>
      <c r="BO9" s="994">
        <v>202.6995</v>
      </c>
      <c r="BP9" s="994">
        <v>202.6995</v>
      </c>
      <c r="BQ9" s="994">
        <v>199.29949999999999</v>
      </c>
      <c r="BR9" s="994">
        <v>190.79949999999999</v>
      </c>
      <c r="BS9" s="994">
        <v>189.09950000000001</v>
      </c>
      <c r="BT9" s="994">
        <v>178.89949999999999</v>
      </c>
      <c r="BU9" s="994">
        <v>178.89949999999999</v>
      </c>
      <c r="BV9" s="994">
        <v>308.9495</v>
      </c>
      <c r="BW9" s="994">
        <v>308.9495</v>
      </c>
      <c r="BX9" s="994">
        <v>308.9495</v>
      </c>
      <c r="BY9" s="994">
        <v>308.9495</v>
      </c>
      <c r="BZ9" s="994">
        <v>308.9495</v>
      </c>
      <c r="CA9" s="994">
        <v>308.9495</v>
      </c>
      <c r="CB9" s="994">
        <v>308.9495</v>
      </c>
      <c r="CC9" s="994">
        <v>307.24950000000001</v>
      </c>
      <c r="CD9" s="994">
        <v>278.34949999999998</v>
      </c>
      <c r="CE9" s="994">
        <v>427.9495</v>
      </c>
      <c r="CF9" s="994">
        <v>412.64949999999999</v>
      </c>
      <c r="CG9" s="994">
        <v>501.04950000000002</v>
      </c>
      <c r="CH9" s="994">
        <v>501.04950000000002</v>
      </c>
      <c r="CI9" s="994">
        <v>495.55</v>
      </c>
      <c r="CJ9" s="994">
        <v>495.55</v>
      </c>
      <c r="CK9" s="994">
        <v>495.55</v>
      </c>
      <c r="CL9" s="994">
        <v>495.55</v>
      </c>
      <c r="CM9" s="994">
        <v>495.55</v>
      </c>
      <c r="CN9" s="994">
        <v>435.2</v>
      </c>
      <c r="CO9" s="994">
        <v>426.7</v>
      </c>
      <c r="CP9" s="994">
        <v>418.2</v>
      </c>
      <c r="CQ9" s="994">
        <v>266.05</v>
      </c>
      <c r="CR9" s="994">
        <v>396.1</v>
      </c>
      <c r="CS9" s="994">
        <v>396.10806205</v>
      </c>
      <c r="CT9" s="994">
        <v>396.10806205</v>
      </c>
      <c r="CU9" s="994">
        <v>396.10363931000001</v>
      </c>
      <c r="CV9" s="994">
        <v>396.1</v>
      </c>
      <c r="CW9" s="994">
        <v>396.1</v>
      </c>
      <c r="CX9" s="994">
        <v>396.1</v>
      </c>
      <c r="CY9" s="994">
        <v>396.1</v>
      </c>
      <c r="CZ9" s="994">
        <v>374.42500000000001</v>
      </c>
      <c r="DA9" s="994">
        <v>374.42500000000001</v>
      </c>
      <c r="DB9" s="994">
        <v>374.42500000000001</v>
      </c>
      <c r="DC9" s="994">
        <v>374.42500000000001</v>
      </c>
      <c r="DD9" s="994">
        <v>374.42500000000001</v>
      </c>
      <c r="DE9" s="994">
        <v>374.42500000000001</v>
      </c>
      <c r="DF9" s="994">
        <v>353.245</v>
      </c>
      <c r="DG9" s="994">
        <v>353.28958333000003</v>
      </c>
      <c r="DH9" s="994">
        <v>337.95039630000002</v>
      </c>
      <c r="DI9" s="994">
        <v>337.91075222000001</v>
      </c>
      <c r="DJ9" s="994">
        <v>337.87078543000001</v>
      </c>
      <c r="DK9" s="994">
        <v>323.09736650999997</v>
      </c>
      <c r="DL9" s="994">
        <v>301.38159123000003</v>
      </c>
      <c r="DM9" s="994">
        <v>301.34061893000001</v>
      </c>
      <c r="DN9" s="994">
        <v>285.99933048999998</v>
      </c>
      <c r="DO9" s="994">
        <v>285.92311740999997</v>
      </c>
      <c r="DP9" s="994">
        <v>314.52628662000001</v>
      </c>
      <c r="DQ9" s="994">
        <v>295.79374996000001</v>
      </c>
      <c r="DR9" s="994">
        <v>294.12383328999999</v>
      </c>
      <c r="DS9" s="994">
        <v>321.11232280000002</v>
      </c>
      <c r="DT9" s="994">
        <v>327.97589310000001</v>
      </c>
      <c r="DU9" s="994">
        <v>332.8677907</v>
      </c>
      <c r="DV9" s="994">
        <v>332.85591410000001</v>
      </c>
      <c r="DW9" s="994">
        <v>318.11066978000002</v>
      </c>
      <c r="DX9" s="994">
        <v>296.42916374999999</v>
      </c>
      <c r="DY9" s="994">
        <v>296.40295615000002</v>
      </c>
      <c r="DZ9" s="994">
        <v>281.092691</v>
      </c>
      <c r="EA9" s="994">
        <v>281.13242585</v>
      </c>
      <c r="EB9" s="994">
        <v>281.11834428999998</v>
      </c>
      <c r="EC9" s="994">
        <v>266.37078876999999</v>
      </c>
      <c r="ED9" s="994">
        <v>244.73155449000001</v>
      </c>
      <c r="EE9" s="994">
        <v>448.1180339</v>
      </c>
      <c r="EF9" s="994">
        <v>408.14986567</v>
      </c>
      <c r="EJ9" s="509"/>
      <c r="EK9" s="400"/>
    </row>
    <row r="10" spans="1:142" ht="19.8">
      <c r="A10" s="978" t="s">
        <v>2002</v>
      </c>
      <c r="B10" s="973">
        <f t="shared" ref="B10:V10" si="0">+B8-B9</f>
        <v>5.7668511600000016</v>
      </c>
      <c r="C10" s="778">
        <f t="shared" si="0"/>
        <v>5.0641283199999947</v>
      </c>
      <c r="D10" s="778">
        <f t="shared" si="0"/>
        <v>5.0143445899999932</v>
      </c>
      <c r="E10" s="778">
        <f t="shared" si="0"/>
        <v>4.9759880799999934</v>
      </c>
      <c r="F10" s="778">
        <f t="shared" si="0"/>
        <v>2.1262118199999946</v>
      </c>
      <c r="G10" s="778">
        <f t="shared" si="0"/>
        <v>3.3120089000000235</v>
      </c>
      <c r="H10" s="778">
        <f t="shared" si="0"/>
        <v>4.4470780800000114</v>
      </c>
      <c r="I10" s="778">
        <f t="shared" si="0"/>
        <v>4.5719429500000217</v>
      </c>
      <c r="J10" s="778">
        <f t="shared" si="0"/>
        <v>4.545596780000011</v>
      </c>
      <c r="K10" s="778">
        <f t="shared" si="0"/>
        <v>4.6354474499999867</v>
      </c>
      <c r="L10" s="778">
        <f t="shared" si="0"/>
        <v>4.6558420000000069</v>
      </c>
      <c r="M10" s="781">
        <f t="shared" si="0"/>
        <v>4.894432330000015</v>
      </c>
      <c r="N10" s="779">
        <f t="shared" si="0"/>
        <v>4.7507863499999843</v>
      </c>
      <c r="O10" s="779">
        <f t="shared" si="0"/>
        <v>4.8379502399999836</v>
      </c>
      <c r="P10" s="779">
        <f t="shared" si="0"/>
        <v>5.2147902500000214</v>
      </c>
      <c r="Q10" s="779">
        <f t="shared" si="0"/>
        <v>5.3392338099999961</v>
      </c>
      <c r="R10" s="779">
        <f t="shared" si="0"/>
        <v>1.973666460000004</v>
      </c>
      <c r="S10" s="779">
        <f t="shared" si="0"/>
        <v>1.450118869999983</v>
      </c>
      <c r="T10" s="779">
        <f t="shared" si="0"/>
        <v>2.0908658200000048</v>
      </c>
      <c r="U10" s="779">
        <f t="shared" si="0"/>
        <v>2.1485300499999909</v>
      </c>
      <c r="V10" s="779">
        <f t="shared" si="0"/>
        <v>2.1248977600000103</v>
      </c>
      <c r="W10" s="779">
        <v>2.1909570600000023</v>
      </c>
      <c r="X10" s="779">
        <v>2.2625527999999946</v>
      </c>
      <c r="Y10" s="781">
        <v>2.2635485499999888</v>
      </c>
      <c r="Z10" s="779">
        <v>2.2635485499999888</v>
      </c>
      <c r="AA10" s="779">
        <v>2.2292983500000076</v>
      </c>
      <c r="AB10" s="781">
        <v>2.6365993299999957</v>
      </c>
      <c r="AC10" s="781">
        <v>2.6318778099999918</v>
      </c>
      <c r="AD10" s="781">
        <v>3.4606088899999889</v>
      </c>
      <c r="AE10" s="781">
        <v>3.4390553400000101</v>
      </c>
      <c r="AF10" s="781">
        <v>3.4155299599999864</v>
      </c>
      <c r="AG10" s="781">
        <v>3.1296030999999829</v>
      </c>
      <c r="AH10" s="781">
        <v>2.2939610399999992</v>
      </c>
      <c r="AI10" s="781">
        <f>+AI8-AI9</f>
        <v>2.1526631899999984</v>
      </c>
      <c r="AJ10" s="781">
        <v>1.964630249999999</v>
      </c>
      <c r="AK10" s="781">
        <f>+AK8-AK9</f>
        <v>1.8361935899999935</v>
      </c>
      <c r="AL10" s="781">
        <f>+AL8-AL9</f>
        <v>2.2693815299999756</v>
      </c>
      <c r="AM10" s="781">
        <v>2.4468955700000379</v>
      </c>
      <c r="AN10" s="781">
        <f>+AN8-AN9</f>
        <v>2.3847388699999783</v>
      </c>
      <c r="AO10" s="781">
        <f>+AO8-AO9</f>
        <v>2.3982159700000238</v>
      </c>
      <c r="AP10" s="781">
        <f>+AP8-AP9</f>
        <v>2.5267059099999756</v>
      </c>
      <c r="AQ10" s="781">
        <f>+AQ8-AQ9</f>
        <v>2.5068105000000003</v>
      </c>
      <c r="AR10" s="781">
        <v>2.5078053799999793</v>
      </c>
      <c r="AS10" s="781">
        <f>+AS8-AS9</f>
        <v>2.2920741899999939</v>
      </c>
      <c r="AT10" s="781">
        <f>+AT8-AT9</f>
        <v>2.0173631499999374</v>
      </c>
      <c r="AU10" s="781">
        <f>+AU8-AU9</f>
        <v>2.3517030700000703</v>
      </c>
      <c r="AV10" s="781">
        <v>4.9041563800000176</v>
      </c>
      <c r="AW10" s="781">
        <v>206.03474307999988</v>
      </c>
      <c r="AX10" s="781">
        <v>5.0795818700000268</v>
      </c>
      <c r="AY10" s="781">
        <v>5.2036668700000632</v>
      </c>
      <c r="AZ10" s="781">
        <v>3.9735324600000013</v>
      </c>
      <c r="BA10" s="781">
        <v>3.6937928799999327</v>
      </c>
      <c r="BB10" s="781">
        <v>4.3396109600000159</v>
      </c>
      <c r="BC10" s="781">
        <v>3.2499688599999672</v>
      </c>
      <c r="BD10" s="781">
        <v>3.1957114599999841</v>
      </c>
      <c r="BE10" s="781">
        <f>+BE8-BE9</f>
        <v>3.1487126600000579</v>
      </c>
      <c r="BF10" s="781">
        <v>3.0527450199999748</v>
      </c>
      <c r="BG10" s="781">
        <v>3.8312828299999921</v>
      </c>
      <c r="BH10" s="781">
        <v>2.7739503800000023</v>
      </c>
      <c r="BI10" s="970">
        <v>3.4509709299999827</v>
      </c>
      <c r="BJ10" s="994">
        <v>6.9364763899999957</v>
      </c>
      <c r="BK10" s="994">
        <f>+BK8-BK9</f>
        <v>6.8463740999999914</v>
      </c>
      <c r="BL10" s="994">
        <v>7.0177946199999894</v>
      </c>
      <c r="BM10" s="994">
        <v>9.0834631800000238</v>
      </c>
      <c r="BN10" s="994">
        <v>9.1274744700000099</v>
      </c>
      <c r="BO10" s="994">
        <v>6.06193995000001</v>
      </c>
      <c r="BP10" s="994">
        <v>6.0050104499999861</v>
      </c>
      <c r="BQ10" s="994">
        <v>11.272310720000007</v>
      </c>
      <c r="BR10" s="994">
        <v>11.518442169999986</v>
      </c>
      <c r="BS10" s="994">
        <v>11.365995879999986</v>
      </c>
      <c r="BT10" s="994">
        <v>11.868416879999984</v>
      </c>
      <c r="BU10" s="994">
        <v>11.733202320000004</v>
      </c>
      <c r="BV10" s="994">
        <v>33.091287300000033</v>
      </c>
      <c r="BW10" s="994">
        <v>61.964159870000003</v>
      </c>
      <c r="BX10" s="994">
        <v>61.215234319999979</v>
      </c>
      <c r="BY10" s="994">
        <v>60.181907360000025</v>
      </c>
      <c r="BZ10" s="994">
        <v>64.17346426000006</v>
      </c>
      <c r="CA10" s="994">
        <v>64.141031289999944</v>
      </c>
      <c r="CB10" s="994">
        <v>65.037216569999998</v>
      </c>
      <c r="CC10" s="994">
        <v>63.807373730000052</v>
      </c>
      <c r="CD10" s="994">
        <v>61.200561929999992</v>
      </c>
      <c r="CE10" s="994">
        <v>62.394033330000013</v>
      </c>
      <c r="CF10" s="994">
        <f t="shared" ref="CF10:CP10" si="1">+CF8-CF9</f>
        <v>97.091917290000026</v>
      </c>
      <c r="CG10" s="994">
        <f t="shared" si="1"/>
        <v>80.057957710000039</v>
      </c>
      <c r="CH10" s="994">
        <f t="shared" si="1"/>
        <v>88.431389980000006</v>
      </c>
      <c r="CI10" s="994">
        <f t="shared" si="1"/>
        <v>98.551438780000069</v>
      </c>
      <c r="CJ10" s="994">
        <f t="shared" si="1"/>
        <v>98.267046660000062</v>
      </c>
      <c r="CK10" s="994">
        <f t="shared" si="1"/>
        <v>97.174945350000087</v>
      </c>
      <c r="CL10" s="994">
        <f t="shared" si="1"/>
        <v>95.509347649999938</v>
      </c>
      <c r="CM10" s="994">
        <f t="shared" si="1"/>
        <v>95.708408899999938</v>
      </c>
      <c r="CN10" s="994">
        <f t="shared" si="1"/>
        <v>93.163279509999995</v>
      </c>
      <c r="CO10" s="994">
        <f t="shared" si="1"/>
        <v>104.43333698999999</v>
      </c>
      <c r="CP10" s="994">
        <f t="shared" si="1"/>
        <v>104.34439936999996</v>
      </c>
      <c r="CQ10" s="994">
        <f>+CQ8-CQ9</f>
        <v>233.16446546000003</v>
      </c>
      <c r="CR10" s="994">
        <f>+CR8-CR9</f>
        <v>103.79612171000002</v>
      </c>
      <c r="CS10" s="994">
        <f>+CS8-CS9</f>
        <v>102.53922705000002</v>
      </c>
      <c r="CT10" s="994">
        <f>+CT8-CT9</f>
        <v>111.24621545000002</v>
      </c>
      <c r="CU10" s="994">
        <v>94.858258879999994</v>
      </c>
      <c r="CV10" s="994">
        <f>+CV8-CV9</f>
        <v>94.297422899999958</v>
      </c>
      <c r="CW10" s="994">
        <f>+CW8-CW9</f>
        <v>93.530373229999952</v>
      </c>
      <c r="CX10" s="994">
        <v>103.04561572999995</v>
      </c>
      <c r="CY10" s="994">
        <v>97.993453259999967</v>
      </c>
      <c r="CZ10" s="994">
        <v>91.73806940999998</v>
      </c>
      <c r="DA10" s="994">
        <v>88.292524700000001</v>
      </c>
      <c r="DB10" s="994">
        <v>95.189221199999963</v>
      </c>
      <c r="DC10" s="994">
        <v>94.467067899999961</v>
      </c>
      <c r="DD10" s="994">
        <f>DD8-DD9</f>
        <v>90.729430460000003</v>
      </c>
      <c r="DE10" s="994">
        <v>83.214246629999991</v>
      </c>
      <c r="DF10" s="994">
        <v>109.54692707999999</v>
      </c>
      <c r="DG10" s="994">
        <v>98.665163919999998</v>
      </c>
      <c r="DH10" s="994">
        <f>DH8-DH9</f>
        <v>96.179672679999953</v>
      </c>
      <c r="DI10" s="994">
        <v>98.981949269999973</v>
      </c>
      <c r="DJ10" s="994">
        <f>DJ8-DJ9</f>
        <v>94.987219769999967</v>
      </c>
      <c r="DK10" s="994">
        <v>96.058681010000043</v>
      </c>
      <c r="DL10" s="994">
        <v>100.62894545999995</v>
      </c>
      <c r="DM10" s="994">
        <v>88.186369099999979</v>
      </c>
      <c r="DN10" s="994">
        <v>73.737417760000028</v>
      </c>
      <c r="DO10" s="994">
        <f>DO8-DO9</f>
        <v>75.580554510000013</v>
      </c>
      <c r="DP10" s="994">
        <f>DP8-DP9</f>
        <v>77.948871080000004</v>
      </c>
      <c r="DQ10" s="994">
        <v>85.897725209999976</v>
      </c>
      <c r="DR10" s="994">
        <f>DR8-DR9</f>
        <v>91.373270830000024</v>
      </c>
      <c r="DS10" s="994">
        <f>DS8-DS9</f>
        <v>91.834117889999959</v>
      </c>
      <c r="DT10" s="994">
        <v>90.69961926000002</v>
      </c>
      <c r="DU10" s="994">
        <v>93.12409169</v>
      </c>
      <c r="DV10" s="994">
        <f>DV8-DV9</f>
        <v>96.478781900000001</v>
      </c>
      <c r="DW10" s="994">
        <f>DW8-DW9</f>
        <v>101.40834682999997</v>
      </c>
      <c r="DX10" s="994">
        <v>104.02887408999999</v>
      </c>
      <c r="DY10" s="994">
        <v>92.832385479999971</v>
      </c>
      <c r="DZ10" s="994">
        <f>DZ8-DZ9</f>
        <v>94.588452050000001</v>
      </c>
      <c r="EA10" s="994">
        <f>EA8-EA9</f>
        <v>91.120690799999977</v>
      </c>
      <c r="EB10" s="994">
        <v>85.092351260000044</v>
      </c>
      <c r="EC10" s="994">
        <v>86.999738579999985</v>
      </c>
      <c r="ED10" s="994">
        <v>87.371632169999998</v>
      </c>
      <c r="EE10" s="994">
        <v>79.830143919999955</v>
      </c>
      <c r="EF10" s="994">
        <f>EF8-EF9</f>
        <v>80.023354390000009</v>
      </c>
      <c r="EK10" s="400"/>
    </row>
    <row r="11" spans="1:142" ht="19.8">
      <c r="A11" s="977"/>
      <c r="B11" s="974"/>
      <c r="C11" s="780"/>
      <c r="D11" s="780"/>
      <c r="E11" s="780"/>
      <c r="F11" s="780"/>
      <c r="G11" s="780"/>
      <c r="H11" s="780"/>
      <c r="I11" s="780"/>
      <c r="J11" s="780"/>
      <c r="K11" s="780"/>
      <c r="L11" s="780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781"/>
      <c r="AW11" s="781"/>
      <c r="AX11" s="781"/>
      <c r="AY11" s="781"/>
      <c r="AZ11" s="781"/>
      <c r="BA11" s="781"/>
      <c r="BB11" s="781"/>
      <c r="BC11" s="781"/>
      <c r="BD11" s="781"/>
      <c r="BE11" s="781"/>
      <c r="BF11" s="781"/>
      <c r="BG11" s="781"/>
      <c r="BH11" s="781"/>
      <c r="BI11" s="970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F11" s="994"/>
      <c r="EK11" s="400"/>
    </row>
    <row r="12" spans="1:142" ht="19.8">
      <c r="A12" s="976" t="s">
        <v>2821</v>
      </c>
      <c r="B12" s="973">
        <v>2.8740968499999999</v>
      </c>
      <c r="C12" s="778">
        <v>5.6771662999999997</v>
      </c>
      <c r="D12" s="778">
        <v>5.6291031500000006</v>
      </c>
      <c r="E12" s="778">
        <v>5.6767836799999998</v>
      </c>
      <c r="F12" s="778">
        <v>3.0375995699999998</v>
      </c>
      <c r="G12" s="778">
        <v>35.588423130000002</v>
      </c>
      <c r="H12" s="778">
        <v>37.596644469999994</v>
      </c>
      <c r="I12" s="778">
        <v>37.631974410000005</v>
      </c>
      <c r="J12" s="778">
        <v>87.696098110000008</v>
      </c>
      <c r="K12" s="778">
        <v>27.852188869999999</v>
      </c>
      <c r="L12" s="778">
        <v>27.823703610000003</v>
      </c>
      <c r="M12" s="779">
        <v>17.855383409999998</v>
      </c>
      <c r="N12" s="779">
        <v>18.709724860000001</v>
      </c>
      <c r="O12" s="779">
        <v>18.756983009999999</v>
      </c>
      <c r="P12" s="779">
        <v>18.778273210000002</v>
      </c>
      <c r="Q12" s="779">
        <v>13.86679805</v>
      </c>
      <c r="R12" s="779">
        <v>47.34396228</v>
      </c>
      <c r="S12" s="779">
        <v>4.7781582800000004</v>
      </c>
      <c r="T12" s="779">
        <v>5.5584936800000007</v>
      </c>
      <c r="U12" s="779">
        <v>5.450318610000001</v>
      </c>
      <c r="V12" s="779">
        <v>5.2488262399999996</v>
      </c>
      <c r="W12" s="779">
        <v>5.2819258000000007</v>
      </c>
      <c r="X12" s="779">
        <v>5.2819258000000007</v>
      </c>
      <c r="Y12" s="779">
        <v>5.2045707000000005</v>
      </c>
      <c r="Z12" s="779">
        <v>5.2045707000000005</v>
      </c>
      <c r="AA12" s="779">
        <v>5.5570183500000008</v>
      </c>
      <c r="AB12" s="779">
        <v>7.2793911200000005</v>
      </c>
      <c r="AC12" s="779">
        <v>7.1328719299999994</v>
      </c>
      <c r="AD12" s="779">
        <v>8.1722276300000001</v>
      </c>
      <c r="AE12" s="779">
        <v>8.0734267099999997</v>
      </c>
      <c r="AF12" s="779">
        <v>8.2065346699999999</v>
      </c>
      <c r="AG12" s="779">
        <v>8.8711795200000001</v>
      </c>
      <c r="AH12" s="779">
        <v>8.30218934</v>
      </c>
      <c r="AI12" s="779">
        <v>8.2979213500000011</v>
      </c>
      <c r="AJ12" s="779">
        <v>8.1013510399999991</v>
      </c>
      <c r="AK12" s="779">
        <v>20.627401850000002</v>
      </c>
      <c r="AL12" s="779">
        <v>23.194922470000002</v>
      </c>
      <c r="AM12" s="779">
        <v>19.90441899</v>
      </c>
      <c r="AN12" s="779">
        <v>13.163477129999999</v>
      </c>
      <c r="AO12" s="779">
        <v>13.416103699999999</v>
      </c>
      <c r="AP12" s="779">
        <v>13.205179729999999</v>
      </c>
      <c r="AQ12" s="779">
        <v>12.768704100000001</v>
      </c>
      <c r="AR12" s="779">
        <v>13.140022990000002</v>
      </c>
      <c r="AS12" s="779">
        <v>0.15270802999999999</v>
      </c>
      <c r="AT12" s="779">
        <v>0.36757821000000002</v>
      </c>
      <c r="AU12" s="779">
        <v>0.61966862</v>
      </c>
      <c r="AV12" s="779">
        <v>0.93228266999999998</v>
      </c>
      <c r="AW12" s="779">
        <v>0.87204466999999997</v>
      </c>
      <c r="AX12" s="779">
        <v>0.88605076999999999</v>
      </c>
      <c r="AY12" s="779">
        <v>0.9394104900000001</v>
      </c>
      <c r="AZ12" s="779">
        <v>0.70028387000000003</v>
      </c>
      <c r="BA12" s="779">
        <v>0.77639049999999998</v>
      </c>
      <c r="BB12" s="779">
        <v>140.49145525999998</v>
      </c>
      <c r="BC12" s="779">
        <v>140.44904</v>
      </c>
      <c r="BD12" s="779">
        <v>140.457292</v>
      </c>
      <c r="BE12" s="779">
        <v>0.88446800000000003</v>
      </c>
      <c r="BF12" s="779">
        <v>0.85050000000000003</v>
      </c>
      <c r="BG12" s="779">
        <v>0.85009999999999997</v>
      </c>
      <c r="BH12" s="779">
        <v>0.85009999999999997</v>
      </c>
      <c r="BI12" s="969">
        <v>98.850049999999996</v>
      </c>
      <c r="BJ12" s="993">
        <v>0.816048</v>
      </c>
      <c r="BK12" s="993">
        <v>0.816048</v>
      </c>
      <c r="BL12" s="993">
        <v>0.85246633000000005</v>
      </c>
      <c r="BM12" s="993">
        <v>0.81599706000000005</v>
      </c>
      <c r="BN12" s="993">
        <v>0.81599706000000005</v>
      </c>
      <c r="BO12" s="993">
        <v>0.81599706000000005</v>
      </c>
      <c r="BP12" s="993">
        <v>1.0359970600000001</v>
      </c>
      <c r="BQ12" s="993">
        <v>0.81599706000000005</v>
      </c>
      <c r="BR12" s="993">
        <v>0.88701006000000016</v>
      </c>
      <c r="BS12" s="993">
        <v>0.88659006000000007</v>
      </c>
      <c r="BT12" s="993">
        <v>0.86796406000000015</v>
      </c>
      <c r="BU12" s="993">
        <v>0.87556606000000015</v>
      </c>
      <c r="BV12" s="993">
        <v>0.81627306000000011</v>
      </c>
      <c r="BW12" s="993">
        <v>0.81599706000000005</v>
      </c>
      <c r="BX12" s="993">
        <v>0.81599706000000005</v>
      </c>
      <c r="BY12" s="993">
        <v>0.85869706000000001</v>
      </c>
      <c r="BZ12" s="993">
        <v>5.3198520600000005</v>
      </c>
      <c r="CA12" s="993">
        <v>6.1031830400000002</v>
      </c>
      <c r="CB12" s="993">
        <v>5.9651149399999994</v>
      </c>
      <c r="CC12" s="993">
        <v>5.5109333500000002</v>
      </c>
      <c r="CD12" s="993">
        <v>3.3473536199999998</v>
      </c>
      <c r="CE12" s="993">
        <v>5.0256536199999999</v>
      </c>
      <c r="CF12" s="993">
        <v>4.7232755800000001</v>
      </c>
      <c r="CG12" s="993">
        <v>4.41426593</v>
      </c>
      <c r="CH12" s="993">
        <v>12.232467199999999</v>
      </c>
      <c r="CI12" s="993">
        <v>12.26686754</v>
      </c>
      <c r="CJ12" s="993">
        <v>14.979392259999999</v>
      </c>
      <c r="CK12" s="993">
        <v>12.536416449999999</v>
      </c>
      <c r="CL12" s="993">
        <v>11.443610749999999</v>
      </c>
      <c r="CM12" s="993">
        <v>10.408226000000001</v>
      </c>
      <c r="CN12" s="993">
        <v>9.8113780399999992</v>
      </c>
      <c r="CO12" s="993">
        <v>17.626181409999997</v>
      </c>
      <c r="CP12" s="993">
        <v>17.67343782</v>
      </c>
      <c r="CQ12" s="993">
        <v>8.2604716099999997</v>
      </c>
      <c r="CR12" s="993">
        <v>8.3248418300000004</v>
      </c>
      <c r="CS12" s="993">
        <v>8.4334663400000007</v>
      </c>
      <c r="CT12" s="993">
        <v>15.77184445</v>
      </c>
      <c r="CU12" s="993">
        <v>9.1074707099999994</v>
      </c>
      <c r="CV12" s="993">
        <v>9.3147063299999999</v>
      </c>
      <c r="CW12" s="993">
        <v>10.324791579999999</v>
      </c>
      <c r="CX12" s="993">
        <v>10.417638459999999</v>
      </c>
      <c r="CY12" s="993">
        <v>9.91790007</v>
      </c>
      <c r="CZ12" s="993">
        <v>9.9598734800000006</v>
      </c>
      <c r="DA12" s="993">
        <v>10.232001350000001</v>
      </c>
      <c r="DB12" s="993">
        <v>17.563568650000001</v>
      </c>
      <c r="DC12" s="993">
        <v>19.262387579999999</v>
      </c>
      <c r="DD12" s="993">
        <v>19.288741219999999</v>
      </c>
      <c r="DE12" s="993">
        <v>21.14849049</v>
      </c>
      <c r="DF12" s="993">
        <v>20.29505172</v>
      </c>
      <c r="DG12" s="993">
        <v>13.45003333</v>
      </c>
      <c r="DH12" s="993">
        <v>13.11406302</v>
      </c>
      <c r="DI12" s="993">
        <v>5.3825272899999996</v>
      </c>
      <c r="DJ12" s="993">
        <v>8.1184653699999991</v>
      </c>
      <c r="DK12" s="993">
        <v>8.0094093300000004</v>
      </c>
      <c r="DL12" s="993">
        <v>19.88551245</v>
      </c>
      <c r="DM12" s="993">
        <v>20.127247010000001</v>
      </c>
      <c r="DN12" s="993">
        <v>6.3009873599999997</v>
      </c>
      <c r="DO12" s="993">
        <v>9.0571378800000009</v>
      </c>
      <c r="DP12" s="993">
        <v>8.6594223199999991</v>
      </c>
      <c r="DQ12" s="993">
        <v>7.3743855900000002</v>
      </c>
      <c r="DR12" s="993">
        <v>9.0760900200000005</v>
      </c>
      <c r="DS12" s="993">
        <v>9.2034101800000006</v>
      </c>
      <c r="DT12" s="993">
        <v>5.9431387300000003</v>
      </c>
      <c r="DU12" s="993">
        <v>4.3075684799999996</v>
      </c>
      <c r="DV12" s="993">
        <v>8.8378806999999995</v>
      </c>
      <c r="DW12" s="993">
        <v>14.731244050000001</v>
      </c>
      <c r="DX12" s="993">
        <v>17.696043979999999</v>
      </c>
      <c r="DY12" s="993">
        <v>12.80248913</v>
      </c>
      <c r="DZ12" s="993">
        <v>14.69115274</v>
      </c>
      <c r="EA12" s="993">
        <v>13.673789230000001</v>
      </c>
      <c r="EB12" s="993">
        <v>8.8868704600000008</v>
      </c>
      <c r="EC12" s="993">
        <v>9.4180778699999994</v>
      </c>
      <c r="ED12" s="993">
        <v>11.325291529999999</v>
      </c>
      <c r="EE12" s="993">
        <v>6.5081812899999996</v>
      </c>
      <c r="EF12" s="993">
        <v>6.3179737400000002</v>
      </c>
      <c r="EK12" s="400"/>
    </row>
    <row r="13" spans="1:142" ht="19.8">
      <c r="A13" s="977" t="s">
        <v>2001</v>
      </c>
      <c r="B13" s="974">
        <v>0</v>
      </c>
      <c r="C13" s="780">
        <v>2.7385004300000002</v>
      </c>
      <c r="D13" s="780">
        <v>2.6726596000000002</v>
      </c>
      <c r="E13" s="780">
        <v>2.7278809399999999</v>
      </c>
      <c r="F13" s="780">
        <v>2.8654030399999999</v>
      </c>
      <c r="G13" s="780">
        <v>32.72177473</v>
      </c>
      <c r="H13" s="780">
        <v>33.655512889999997</v>
      </c>
      <c r="I13" s="780">
        <v>33.650943060000003</v>
      </c>
      <c r="J13" s="780">
        <v>83.723708830000007</v>
      </c>
      <c r="K13" s="780">
        <v>23.78030442</v>
      </c>
      <c r="L13" s="780">
        <v>23.753940010000001</v>
      </c>
      <c r="M13" s="781">
        <v>13.789444079999999</v>
      </c>
      <c r="N13" s="781">
        <v>14.63156671</v>
      </c>
      <c r="O13" s="781">
        <v>14.68387617</v>
      </c>
      <c r="P13" s="781">
        <v>14.70000492</v>
      </c>
      <c r="Q13" s="781">
        <v>9.7204927899999998</v>
      </c>
      <c r="R13" s="781">
        <v>46.702109489999998</v>
      </c>
      <c r="S13" s="781">
        <v>4.66469603</v>
      </c>
      <c r="T13" s="781">
        <v>5.4504879500000003</v>
      </c>
      <c r="U13" s="781">
        <v>5.3634673600000005</v>
      </c>
      <c r="V13" s="781">
        <v>5.1646304599999997</v>
      </c>
      <c r="W13" s="781">
        <v>5.1216602500000006</v>
      </c>
      <c r="X13" s="781">
        <v>5.1216602500000006</v>
      </c>
      <c r="Y13" s="781">
        <v>4.9400510800000008</v>
      </c>
      <c r="Z13" s="781">
        <v>4.9400510800000008</v>
      </c>
      <c r="AA13" s="781">
        <v>5.3302484000000003</v>
      </c>
      <c r="AB13" s="781">
        <v>7.0609506200000007</v>
      </c>
      <c r="AC13" s="781">
        <v>6.9243017</v>
      </c>
      <c r="AD13" s="781">
        <v>7.1201833799999994</v>
      </c>
      <c r="AE13" s="781">
        <v>7.0290342199999998</v>
      </c>
      <c r="AF13" s="781">
        <v>7.1699508499999993</v>
      </c>
      <c r="AG13" s="781">
        <v>7.9315527599999998</v>
      </c>
      <c r="AH13" s="781">
        <v>8.1318709200000008</v>
      </c>
      <c r="AI13" s="781">
        <v>8.134775320000001</v>
      </c>
      <c r="AJ13" s="781">
        <v>7.9454957799999999</v>
      </c>
      <c r="AK13" s="781">
        <v>20.48154809</v>
      </c>
      <c r="AL13" s="781">
        <v>23.04907021</v>
      </c>
      <c r="AM13" s="781">
        <v>19.688568229999998</v>
      </c>
      <c r="AN13" s="781">
        <v>12.94840187</v>
      </c>
      <c r="AO13" s="781">
        <v>13.201789939999999</v>
      </c>
      <c r="AP13" s="781">
        <v>12.990761529999999</v>
      </c>
      <c r="AQ13" s="781">
        <v>12.5550879</v>
      </c>
      <c r="AR13" s="781">
        <v>12.927557520000002</v>
      </c>
      <c r="AS13" s="781">
        <v>1.0605599999999999E-3</v>
      </c>
      <c r="AT13" s="781">
        <v>0.26570658000000003</v>
      </c>
      <c r="AU13" s="781">
        <v>0.51981456000000004</v>
      </c>
      <c r="AV13" s="781">
        <v>0.52525555999999995</v>
      </c>
      <c r="AW13" s="781">
        <v>0.27815255999999999</v>
      </c>
      <c r="AX13" s="781">
        <v>0.28437756000000003</v>
      </c>
      <c r="AY13" s="781">
        <v>0.30770656000000002</v>
      </c>
      <c r="AZ13" s="781">
        <v>0.28066756000000004</v>
      </c>
      <c r="BA13" s="781">
        <v>0.55287655999999996</v>
      </c>
      <c r="BB13" s="781">
        <v>139.60606955999998</v>
      </c>
      <c r="BC13" s="781">
        <v>139.56400281999998</v>
      </c>
      <c r="BD13" s="781">
        <v>139.57230793000002</v>
      </c>
      <c r="BE13" s="781">
        <v>0</v>
      </c>
      <c r="BF13" s="781">
        <v>0</v>
      </c>
      <c r="BG13" s="781">
        <v>0</v>
      </c>
      <c r="BH13" s="781">
        <v>0</v>
      </c>
      <c r="BI13" s="970">
        <v>98</v>
      </c>
      <c r="BJ13" s="994">
        <v>0</v>
      </c>
      <c r="BK13" s="994">
        <v>0</v>
      </c>
      <c r="BL13" s="994">
        <v>3.6421269999999999E-2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8.0620499999999994E-3</v>
      </c>
      <c r="CT13" s="994">
        <v>8.0620499999999994E-3</v>
      </c>
      <c r="CU13" s="994">
        <v>3.6393100000000002E-3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0.3</v>
      </c>
      <c r="DG13" s="994">
        <v>0.3</v>
      </c>
      <c r="DH13" s="994">
        <v>0.26794900999999999</v>
      </c>
      <c r="DI13" s="994">
        <v>0.23551254999999999</v>
      </c>
      <c r="DJ13" s="994">
        <v>0.20277876</v>
      </c>
      <c r="DK13" s="994">
        <v>0.16993079</v>
      </c>
      <c r="DL13" s="994">
        <v>0.13644006</v>
      </c>
      <c r="DM13" s="994">
        <v>0.1027981</v>
      </c>
      <c r="DN13" s="994">
        <v>6.8847759999999994E-2</v>
      </c>
      <c r="DO13" s="994">
        <v>0</v>
      </c>
      <c r="DP13" s="994">
        <v>0</v>
      </c>
      <c r="DQ13" s="994">
        <v>0</v>
      </c>
      <c r="DR13" s="994">
        <v>0.02</v>
      </c>
      <c r="DS13" s="994">
        <v>1.8509680000000001E-2</v>
      </c>
      <c r="DT13" s="994">
        <v>1.6948350000000001E-2</v>
      </c>
      <c r="DU13" s="994">
        <v>1.544062E-2</v>
      </c>
      <c r="DV13" s="994">
        <v>1.382917E-2</v>
      </c>
      <c r="DW13" s="994">
        <v>1.2183329999999999E-2</v>
      </c>
      <c r="DX13" s="994">
        <v>1.052578E-2</v>
      </c>
      <c r="DY13" s="994">
        <v>0</v>
      </c>
      <c r="DZ13" s="994">
        <v>0</v>
      </c>
      <c r="EA13" s="994">
        <v>0.05</v>
      </c>
      <c r="EB13" s="994">
        <v>4.6183589999999997E-2</v>
      </c>
      <c r="EC13" s="994">
        <v>4.222654E-2</v>
      </c>
      <c r="ED13" s="994">
        <v>8.8257409999999994E-2</v>
      </c>
      <c r="EE13" s="994">
        <v>8.0001970000000006E-2</v>
      </c>
      <c r="EF13" s="994">
        <v>7.2098889999999999E-2</v>
      </c>
      <c r="EK13" s="400"/>
    </row>
    <row r="14" spans="1:142" ht="19.8">
      <c r="A14" s="978" t="s">
        <v>2002</v>
      </c>
      <c r="B14" s="974">
        <f>+B12-B13</f>
        <v>2.8740968499999999</v>
      </c>
      <c r="C14" s="780">
        <f t="shared" ref="C14:T14" si="2">+C12-C13</f>
        <v>2.9386658699999995</v>
      </c>
      <c r="D14" s="780">
        <f t="shared" si="2"/>
        <v>2.9564435500000004</v>
      </c>
      <c r="E14" s="780">
        <f t="shared" si="2"/>
        <v>2.9489027399999999</v>
      </c>
      <c r="F14" s="780">
        <f t="shared" si="2"/>
        <v>0.1721965299999999</v>
      </c>
      <c r="G14" s="780">
        <f t="shared" si="2"/>
        <v>2.8666484000000025</v>
      </c>
      <c r="H14" s="780">
        <f t="shared" si="2"/>
        <v>3.9411315799999969</v>
      </c>
      <c r="I14" s="780">
        <f t="shared" si="2"/>
        <v>3.9810313500000021</v>
      </c>
      <c r="J14" s="780">
        <f t="shared" si="2"/>
        <v>3.9723892800000016</v>
      </c>
      <c r="K14" s="780">
        <f t="shared" si="2"/>
        <v>4.0718844499999989</v>
      </c>
      <c r="L14" s="780">
        <f t="shared" si="2"/>
        <v>4.0697636000000017</v>
      </c>
      <c r="M14" s="781">
        <f t="shared" si="2"/>
        <v>4.0659393299999991</v>
      </c>
      <c r="N14" s="781">
        <f t="shared" si="2"/>
        <v>4.0781581500000019</v>
      </c>
      <c r="O14" s="781">
        <f t="shared" si="2"/>
        <v>4.0731068399999995</v>
      </c>
      <c r="P14" s="781">
        <f t="shared" si="2"/>
        <v>4.0782682900000022</v>
      </c>
      <c r="Q14" s="781">
        <f t="shared" si="2"/>
        <v>4.1463052600000001</v>
      </c>
      <c r="R14" s="781">
        <f t="shared" si="2"/>
        <v>0.64185279000000151</v>
      </c>
      <c r="S14" s="781">
        <f t="shared" si="2"/>
        <v>0.11346225000000043</v>
      </c>
      <c r="T14" s="781">
        <f t="shared" si="2"/>
        <v>0.10800573000000036</v>
      </c>
      <c r="U14" s="781">
        <f>+U12-U13</f>
        <v>8.6851250000000491E-2</v>
      </c>
      <c r="V14" s="781">
        <f>+V12-V13</f>
        <v>8.4195779999999942E-2</v>
      </c>
      <c r="W14" s="781">
        <v>0.16026555000000009</v>
      </c>
      <c r="X14" s="781">
        <v>0.16026555000000009</v>
      </c>
      <c r="Y14" s="781">
        <v>0.26451961999999973</v>
      </c>
      <c r="Z14" s="781">
        <v>0.26451961999999973</v>
      </c>
      <c r="AA14" s="781">
        <v>0.22676995000000044</v>
      </c>
      <c r="AB14" s="781">
        <v>0.21844049999999982</v>
      </c>
      <c r="AC14" s="781">
        <v>0.20857022999999941</v>
      </c>
      <c r="AD14" s="781">
        <v>1.0520442500000007</v>
      </c>
      <c r="AE14" s="781">
        <v>1.0443924899999999</v>
      </c>
      <c r="AF14" s="781">
        <v>1.0365838200000006</v>
      </c>
      <c r="AG14" s="781">
        <v>0.93962676000000034</v>
      </c>
      <c r="AH14" s="781">
        <v>0.17031841999999919</v>
      </c>
      <c r="AI14" s="781">
        <f>+AI12-AI13</f>
        <v>0.16314603000000005</v>
      </c>
      <c r="AJ14" s="781">
        <v>0.15585525999999916</v>
      </c>
      <c r="AK14" s="781">
        <f>+AK12-AK13</f>
        <v>0.14585376000000139</v>
      </c>
      <c r="AL14" s="781">
        <f>+AL12-AL13</f>
        <v>0.14585226000000162</v>
      </c>
      <c r="AM14" s="781">
        <v>0.21585076000000214</v>
      </c>
      <c r="AN14" s="781">
        <f>+AN12-AN13</f>
        <v>0.21507525999999899</v>
      </c>
      <c r="AO14" s="781">
        <f>+AO12-AO13</f>
        <v>0.21431375999999958</v>
      </c>
      <c r="AP14" s="781">
        <f>+AP12-AP13</f>
        <v>0.21441820000000078</v>
      </c>
      <c r="AQ14" s="781">
        <f>+AQ12-AQ13</f>
        <v>0.21361620000000059</v>
      </c>
      <c r="AR14" s="781">
        <v>0.21246546999999971</v>
      </c>
      <c r="AS14" s="781">
        <f>+AS12-AS13</f>
        <v>0.15164747000000001</v>
      </c>
      <c r="AT14" s="781">
        <f>+AT12-AT13</f>
        <v>0.10187162999999999</v>
      </c>
      <c r="AU14" s="781">
        <f>+AU12-AU13</f>
        <v>9.9854059999999967E-2</v>
      </c>
      <c r="AV14" s="781">
        <v>0.40702711000000003</v>
      </c>
      <c r="AW14" s="781">
        <v>0.59389210999999997</v>
      </c>
      <c r="AX14" s="781">
        <v>0.60167320999999996</v>
      </c>
      <c r="AY14" s="781">
        <v>0.63170393000000002</v>
      </c>
      <c r="AZ14" s="781">
        <v>0.41961630999999999</v>
      </c>
      <c r="BA14" s="781">
        <v>0.22351394000000002</v>
      </c>
      <c r="BB14" s="781">
        <v>0.8853857000000005</v>
      </c>
      <c r="BC14" s="781">
        <v>0.88503718000001186</v>
      </c>
      <c r="BD14" s="781">
        <v>0.88498406999997314</v>
      </c>
      <c r="BE14" s="781">
        <f>+BE12-BE13</f>
        <v>0.88446800000000003</v>
      </c>
      <c r="BF14" s="781">
        <v>0.85050000000000003</v>
      </c>
      <c r="BG14" s="781">
        <v>0.85009999999999997</v>
      </c>
      <c r="BH14" s="781">
        <v>0.85009999999999997</v>
      </c>
      <c r="BI14" s="970">
        <v>0.85004999999999598</v>
      </c>
      <c r="BJ14" s="994">
        <v>0.816048</v>
      </c>
      <c r="BK14" s="994">
        <f>+BK12-BK13</f>
        <v>0.816048</v>
      </c>
      <c r="BL14" s="994">
        <v>0.8160450600000001</v>
      </c>
      <c r="BM14" s="994">
        <v>0.81599706000000005</v>
      </c>
      <c r="BN14" s="994">
        <v>0.81599706000000005</v>
      </c>
      <c r="BO14" s="994">
        <v>0.81599706000000005</v>
      </c>
      <c r="BP14" s="994">
        <v>1.0359970600000001</v>
      </c>
      <c r="BQ14" s="994">
        <v>0.81599706000000005</v>
      </c>
      <c r="BR14" s="994">
        <v>0.88701006000000016</v>
      </c>
      <c r="BS14" s="994">
        <v>0.88659006000000007</v>
      </c>
      <c r="BT14" s="994">
        <v>0.86796406000000015</v>
      </c>
      <c r="BU14" s="994">
        <v>0.87556606000000015</v>
      </c>
      <c r="BV14" s="994">
        <v>0.81627306000000011</v>
      </c>
      <c r="BW14" s="994">
        <v>0.81599706000000005</v>
      </c>
      <c r="BX14" s="994">
        <v>0.81599706000000005</v>
      </c>
      <c r="BY14" s="994">
        <v>0.85869706000000001</v>
      </c>
      <c r="BZ14" s="994">
        <v>5.3198520600000005</v>
      </c>
      <c r="CA14" s="994">
        <v>6.1031830400000002</v>
      </c>
      <c r="CB14" s="994">
        <v>5.9651149399999994</v>
      </c>
      <c r="CC14" s="994">
        <v>5.5109333500000002</v>
      </c>
      <c r="CD14" s="994">
        <v>3.3473536199999998</v>
      </c>
      <c r="CE14" s="994">
        <v>5.0256536199999999</v>
      </c>
      <c r="CF14" s="994">
        <f t="shared" ref="CF14:CP14" si="3">+CF12-CF13</f>
        <v>4.7232755800000001</v>
      </c>
      <c r="CG14" s="994">
        <f t="shared" si="3"/>
        <v>4.41426593</v>
      </c>
      <c r="CH14" s="994">
        <f t="shared" si="3"/>
        <v>12.232467199999999</v>
      </c>
      <c r="CI14" s="994">
        <f t="shared" si="3"/>
        <v>12.26686754</v>
      </c>
      <c r="CJ14" s="994">
        <f t="shared" si="3"/>
        <v>14.979392259999999</v>
      </c>
      <c r="CK14" s="994">
        <f t="shared" si="3"/>
        <v>12.536416449999999</v>
      </c>
      <c r="CL14" s="994">
        <f t="shared" si="3"/>
        <v>11.443610749999999</v>
      </c>
      <c r="CM14" s="994">
        <f t="shared" si="3"/>
        <v>10.408226000000001</v>
      </c>
      <c r="CN14" s="994">
        <f t="shared" si="3"/>
        <v>9.8113780399999992</v>
      </c>
      <c r="CO14" s="994">
        <f t="shared" si="3"/>
        <v>17.626181409999997</v>
      </c>
      <c r="CP14" s="994">
        <f t="shared" si="3"/>
        <v>17.67343782</v>
      </c>
      <c r="CQ14" s="994">
        <f>+CQ12-CQ13</f>
        <v>8.2604716099999997</v>
      </c>
      <c r="CR14" s="994">
        <f>+CR12-CR13</f>
        <v>8.3248418300000004</v>
      </c>
      <c r="CS14" s="994">
        <f>+CS12-CS13</f>
        <v>8.4254042900000012</v>
      </c>
      <c r="CT14" s="994">
        <f>+CT12-CT13</f>
        <v>15.7637824</v>
      </c>
      <c r="CU14" s="994">
        <v>9.1038313999999989</v>
      </c>
      <c r="CV14" s="994">
        <f>+CV12-CV13</f>
        <v>9.3147063299999999</v>
      </c>
      <c r="CW14" s="994">
        <v>10.324791579999999</v>
      </c>
      <c r="CX14" s="994">
        <v>10.417638459999999</v>
      </c>
      <c r="CY14" s="994">
        <v>9.91790007</v>
      </c>
      <c r="CZ14" s="994">
        <v>9.9598734800000006</v>
      </c>
      <c r="DA14" s="994">
        <v>10.232001350000001</v>
      </c>
      <c r="DB14" s="994">
        <v>17.563568650000001</v>
      </c>
      <c r="DC14" s="994">
        <v>19.262387579999999</v>
      </c>
      <c r="DD14" s="994">
        <f>DD12-DD13</f>
        <v>19.288741219999999</v>
      </c>
      <c r="DE14" s="994">
        <v>21.14849049</v>
      </c>
      <c r="DF14" s="994">
        <v>19.995051719999999</v>
      </c>
      <c r="DG14" s="994">
        <v>13.150033329999999</v>
      </c>
      <c r="DH14" s="994">
        <f>DH12-DH13</f>
        <v>12.846114009999999</v>
      </c>
      <c r="DI14" s="994">
        <v>5.1470147399999995</v>
      </c>
      <c r="DJ14" s="994">
        <f>DJ12-DJ13</f>
        <v>7.915686609999999</v>
      </c>
      <c r="DK14" s="994">
        <v>7.83947854</v>
      </c>
      <c r="DL14" s="994">
        <v>19.749072389999998</v>
      </c>
      <c r="DM14" s="994">
        <v>20.02444891</v>
      </c>
      <c r="DN14" s="994">
        <v>6.2321396</v>
      </c>
      <c r="DO14" s="994">
        <f>DO12-DO13</f>
        <v>9.0571378800000009</v>
      </c>
      <c r="DP14" s="994">
        <f>DP12-DP13</f>
        <v>8.6594223199999991</v>
      </c>
      <c r="DQ14" s="994">
        <v>7.3743855900000002</v>
      </c>
      <c r="DR14" s="994">
        <f>DR12-DR13</f>
        <v>9.056090020000001</v>
      </c>
      <c r="DS14" s="994">
        <f>DS12-DS13</f>
        <v>9.1849005000000012</v>
      </c>
      <c r="DT14" s="994">
        <v>5.9261903800000004</v>
      </c>
      <c r="DU14" s="994">
        <v>4.2921278599999999</v>
      </c>
      <c r="DV14" s="994">
        <f>DV12-DV13</f>
        <v>8.8240515300000002</v>
      </c>
      <c r="DW14" s="994">
        <f>DW12-DW13</f>
        <v>14.719060720000002</v>
      </c>
      <c r="DX14" s="994">
        <v>17.685518200000001</v>
      </c>
      <c r="DY14" s="994">
        <v>12.80248913</v>
      </c>
      <c r="DZ14" s="994">
        <f>DZ12-DZ13</f>
        <v>14.69115274</v>
      </c>
      <c r="EA14" s="994">
        <f>EA12-EA13</f>
        <v>13.62378923</v>
      </c>
      <c r="EB14" s="994">
        <v>8.8406868700000008</v>
      </c>
      <c r="EC14" s="994">
        <v>9.3758513299999997</v>
      </c>
      <c r="ED14" s="994">
        <v>11.237034119999999</v>
      </c>
      <c r="EE14" s="994">
        <v>6.4281793199999999</v>
      </c>
      <c r="EF14" s="994">
        <f>EF12-EF13</f>
        <v>6.2458748499999999</v>
      </c>
      <c r="EK14" s="400"/>
    </row>
    <row r="15" spans="1:142" ht="19.8">
      <c r="A15" s="979"/>
      <c r="B15" s="973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/>
      <c r="AH15" s="779"/>
      <c r="AI15" s="779"/>
      <c r="AJ15" s="779"/>
      <c r="AK15" s="779"/>
      <c r="AL15" s="779"/>
      <c r="AM15" s="779"/>
      <c r="AN15" s="779"/>
      <c r="AO15" s="779"/>
      <c r="AP15" s="779"/>
      <c r="AQ15" s="779"/>
      <c r="AR15" s="779"/>
      <c r="AS15" s="779"/>
      <c r="AT15" s="779"/>
      <c r="AU15" s="779"/>
      <c r="AV15" s="779"/>
      <c r="AW15" s="779"/>
      <c r="AX15" s="779"/>
      <c r="AY15" s="779"/>
      <c r="AZ15" s="779"/>
      <c r="BA15" s="779"/>
      <c r="BB15" s="779"/>
      <c r="BC15" s="779"/>
      <c r="BD15" s="779"/>
      <c r="BE15" s="779"/>
      <c r="BF15" s="779"/>
      <c r="BG15" s="779"/>
      <c r="BH15" s="779"/>
      <c r="BI15" s="969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F15" s="993"/>
      <c r="EK15" s="400"/>
    </row>
    <row r="16" spans="1:142" ht="19.8">
      <c r="A16" s="1513" t="s">
        <v>189</v>
      </c>
      <c r="B16" s="974">
        <v>2.8740968499999999</v>
      </c>
      <c r="C16" s="780">
        <v>2.9386658699999999</v>
      </c>
      <c r="D16" s="780">
        <v>2.9564435499999999</v>
      </c>
      <c r="E16" s="780">
        <v>2.9489027400000003</v>
      </c>
      <c r="F16" s="780">
        <v>0.32219652999999998</v>
      </c>
      <c r="G16" s="780">
        <v>32.866648400000003</v>
      </c>
      <c r="H16" s="780">
        <v>33.941131579999997</v>
      </c>
      <c r="I16" s="780">
        <v>33.981031350000002</v>
      </c>
      <c r="J16" s="780">
        <v>83.972389280000002</v>
      </c>
      <c r="K16" s="780">
        <v>24.071884449999999</v>
      </c>
      <c r="L16" s="780">
        <v>24.069763600000002</v>
      </c>
      <c r="M16" s="779">
        <v>14.065939329999999</v>
      </c>
      <c r="N16" s="781">
        <v>14.07815815</v>
      </c>
      <c r="O16" s="781">
        <v>14.073106839999999</v>
      </c>
      <c r="P16" s="781">
        <v>14.07826829</v>
      </c>
      <c r="Q16" s="781">
        <v>9.1463052600000001</v>
      </c>
      <c r="R16" s="781">
        <v>42.691471790000001</v>
      </c>
      <c r="S16" s="781">
        <v>0.11346225</v>
      </c>
      <c r="T16" s="781">
        <v>0.10800572999999999</v>
      </c>
      <c r="U16" s="781">
        <v>8.802625E-2</v>
      </c>
      <c r="V16" s="781">
        <v>8.4195779999999998E-2</v>
      </c>
      <c r="W16" s="781">
        <v>0.16035554999999999</v>
      </c>
      <c r="X16" s="781">
        <v>0.24299873999999999</v>
      </c>
      <c r="Y16" s="779">
        <v>0.26457962000000002</v>
      </c>
      <c r="Z16" s="781">
        <v>0.26457962000000002</v>
      </c>
      <c r="AA16" s="781">
        <v>0.22688995000000001</v>
      </c>
      <c r="AB16" s="779">
        <v>0.2187405</v>
      </c>
      <c r="AC16" s="779">
        <v>0.20887023000000002</v>
      </c>
      <c r="AD16" s="779">
        <v>0.20044687999999999</v>
      </c>
      <c r="AE16" s="779">
        <v>0.19370482</v>
      </c>
      <c r="AF16" s="779">
        <v>0.18688191000000001</v>
      </c>
      <c r="AG16" s="779">
        <v>0.17809070999999999</v>
      </c>
      <c r="AH16" s="779">
        <v>0.17103574999999999</v>
      </c>
      <c r="AI16" s="779">
        <v>0.16386485999999997</v>
      </c>
      <c r="AJ16" s="779">
        <v>0.15657558999999999</v>
      </c>
      <c r="AK16" s="779">
        <v>0.14657559000000001</v>
      </c>
      <c r="AL16" s="779">
        <v>0.14657559000000001</v>
      </c>
      <c r="AM16" s="779">
        <v>0.21657558999999998</v>
      </c>
      <c r="AN16" s="779">
        <v>0.21580158999999999</v>
      </c>
      <c r="AO16" s="779">
        <v>0.21504159</v>
      </c>
      <c r="AP16" s="779">
        <v>0.21514702999999999</v>
      </c>
      <c r="AQ16" s="779">
        <v>0.21434502999999999</v>
      </c>
      <c r="AR16" s="779">
        <v>0.21352603000000001</v>
      </c>
      <c r="AS16" s="779">
        <v>0.15270802999999999</v>
      </c>
      <c r="AT16" s="779">
        <v>0.10293319000000001</v>
      </c>
      <c r="AU16" s="779">
        <v>0.10091662</v>
      </c>
      <c r="AV16" s="779">
        <v>8.0470669999999994E-2</v>
      </c>
      <c r="AW16" s="779">
        <v>5.8098669999999998E-2</v>
      </c>
      <c r="AX16" s="779">
        <v>5.3821769999999998E-2</v>
      </c>
      <c r="AY16" s="779">
        <v>5.3795839999999998E-2</v>
      </c>
      <c r="AZ16" s="779">
        <v>5.3708870000000006E-2</v>
      </c>
      <c r="BA16" s="779">
        <v>5.2142500000000001E-2</v>
      </c>
      <c r="BB16" s="779">
        <v>1.15526E-3</v>
      </c>
      <c r="BC16" s="779">
        <v>0</v>
      </c>
      <c r="BD16" s="779">
        <v>0</v>
      </c>
      <c r="BE16" s="779">
        <v>0</v>
      </c>
      <c r="BF16" s="779">
        <v>0</v>
      </c>
      <c r="BG16" s="779">
        <v>0</v>
      </c>
      <c r="BH16" s="779">
        <v>0</v>
      </c>
      <c r="BI16" s="969">
        <v>98</v>
      </c>
      <c r="BJ16" s="993">
        <v>0</v>
      </c>
      <c r="BK16" s="993">
        <v>0</v>
      </c>
      <c r="BL16" s="993">
        <v>3.6421269999999999E-2</v>
      </c>
      <c r="BM16" s="993">
        <v>0</v>
      </c>
      <c r="BN16" s="993">
        <v>0</v>
      </c>
      <c r="BO16" s="993">
        <v>0</v>
      </c>
      <c r="BP16" s="993">
        <v>0.22</v>
      </c>
      <c r="BQ16" s="993">
        <v>0</v>
      </c>
      <c r="BR16" s="993">
        <v>0</v>
      </c>
      <c r="BS16" s="993">
        <v>0</v>
      </c>
      <c r="BT16" s="993">
        <v>5.2999999999999999E-2</v>
      </c>
      <c r="BU16" s="993">
        <v>0.06</v>
      </c>
      <c r="BV16" s="993">
        <v>0</v>
      </c>
      <c r="BW16" s="993">
        <v>0</v>
      </c>
      <c r="BX16" s="993">
        <v>0</v>
      </c>
      <c r="BY16" s="993">
        <v>4.2700000000000002E-2</v>
      </c>
      <c r="BZ16" s="993">
        <v>2.7526000000000002</v>
      </c>
      <c r="CA16" s="993">
        <v>3.3806359800000001</v>
      </c>
      <c r="CB16" s="993">
        <v>3.0725678799999998</v>
      </c>
      <c r="CC16" s="993">
        <v>2.6066149799999998</v>
      </c>
      <c r="CD16" s="993">
        <v>0.48499999999999999</v>
      </c>
      <c r="CE16" s="993">
        <v>1.825</v>
      </c>
      <c r="CF16" s="993">
        <v>1.7795585199999999</v>
      </c>
      <c r="CG16" s="993">
        <v>1.28561075</v>
      </c>
      <c r="CH16" s="993">
        <v>0.5605</v>
      </c>
      <c r="CI16" s="993">
        <v>0.44965034000000004</v>
      </c>
      <c r="CJ16" s="993">
        <v>0</v>
      </c>
      <c r="CK16" s="993">
        <v>0.03</v>
      </c>
      <c r="CL16" s="993">
        <v>0.61293882</v>
      </c>
      <c r="CM16" s="993">
        <v>0.102275</v>
      </c>
      <c r="CN16" s="993">
        <v>5.4274999999999997E-2</v>
      </c>
      <c r="CO16" s="993">
        <v>0.36679872999999996</v>
      </c>
      <c r="CP16" s="993">
        <v>0.83308603000000003</v>
      </c>
      <c r="CQ16" s="993">
        <v>0.47480538</v>
      </c>
      <c r="CR16" s="993">
        <v>0.57940265000000002</v>
      </c>
      <c r="CS16" s="993">
        <v>0.60308402000000005</v>
      </c>
      <c r="CT16" s="993">
        <v>0.60273133000000001</v>
      </c>
      <c r="CU16" s="993">
        <v>0.86684991</v>
      </c>
      <c r="CV16" s="993">
        <v>1.0713492099999999</v>
      </c>
      <c r="CW16" s="993">
        <v>2.6106340399999999</v>
      </c>
      <c r="CX16" s="993">
        <v>2.1730809199999999</v>
      </c>
      <c r="CY16" s="993">
        <v>2.1469450700000001</v>
      </c>
      <c r="CZ16" s="993">
        <v>2.1902029700000001</v>
      </c>
      <c r="DA16" s="993">
        <v>2.1348768200000001</v>
      </c>
      <c r="DB16" s="993">
        <v>8.9820553000000007</v>
      </c>
      <c r="DC16" s="993">
        <v>8.9468869400000006</v>
      </c>
      <c r="DD16" s="993">
        <v>8.9525543899999995</v>
      </c>
      <c r="DE16" s="993">
        <v>10.852725019999999</v>
      </c>
      <c r="DF16" s="993">
        <v>9.9531312500000002</v>
      </c>
      <c r="DG16" s="993">
        <v>3.1072278199999999</v>
      </c>
      <c r="DH16" s="993">
        <v>2.8498285499999998</v>
      </c>
      <c r="DI16" s="993">
        <v>3.06533853</v>
      </c>
      <c r="DJ16" s="993">
        <v>4.7875149300000004</v>
      </c>
      <c r="DK16" s="993">
        <v>4.7301467300000004</v>
      </c>
      <c r="DL16" s="993">
        <v>4.7049705800000003</v>
      </c>
      <c r="DM16" s="993">
        <v>5.6444419300000002</v>
      </c>
      <c r="DN16" s="993">
        <v>6.1875797500000003</v>
      </c>
      <c r="DO16" s="993">
        <v>6.3937451899999997</v>
      </c>
      <c r="DP16" s="993">
        <v>6.5410887999999998</v>
      </c>
      <c r="DQ16" s="993">
        <v>6.4556837099999997</v>
      </c>
      <c r="DR16" s="993">
        <v>8.1220766799999993</v>
      </c>
      <c r="DS16" s="993">
        <v>8.2516578999999997</v>
      </c>
      <c r="DT16" s="993">
        <v>4.9752378100000003</v>
      </c>
      <c r="DU16" s="993">
        <v>3.3397823600000001</v>
      </c>
      <c r="DV16" s="993">
        <v>3.6645288300000001</v>
      </c>
      <c r="DW16" s="993">
        <v>2.74624405</v>
      </c>
      <c r="DX16" s="993">
        <v>2.9910439800000002</v>
      </c>
      <c r="DY16" s="993">
        <v>3.5013020799999999</v>
      </c>
      <c r="DZ16" s="993">
        <v>4.7208573700000001</v>
      </c>
      <c r="EA16" s="993">
        <v>4.1245191400000003</v>
      </c>
      <c r="EB16" s="993">
        <v>4.4739647099999997</v>
      </c>
      <c r="EC16" s="993">
        <v>4.4073155799999997</v>
      </c>
      <c r="ED16" s="993">
        <v>4.1793010700000002</v>
      </c>
      <c r="EE16" s="993">
        <v>3.4994253899999999</v>
      </c>
      <c r="EF16" s="993">
        <v>3.3045767599999998</v>
      </c>
      <c r="EK16" s="400"/>
    </row>
    <row r="17" spans="1:141" ht="19.8">
      <c r="A17" s="1514" t="s">
        <v>2001</v>
      </c>
      <c r="B17" s="973">
        <v>0</v>
      </c>
      <c r="C17" s="778">
        <v>0</v>
      </c>
      <c r="D17" s="778">
        <v>0</v>
      </c>
      <c r="E17" s="778">
        <v>0</v>
      </c>
      <c r="F17" s="778">
        <v>0.15</v>
      </c>
      <c r="G17" s="778">
        <v>30</v>
      </c>
      <c r="H17" s="778">
        <v>30</v>
      </c>
      <c r="I17" s="778">
        <v>30</v>
      </c>
      <c r="J17" s="778">
        <v>80</v>
      </c>
      <c r="K17" s="778">
        <v>20</v>
      </c>
      <c r="L17" s="778">
        <v>20</v>
      </c>
      <c r="M17" s="781">
        <v>10</v>
      </c>
      <c r="N17" s="779">
        <v>10</v>
      </c>
      <c r="O17" s="779">
        <v>10</v>
      </c>
      <c r="P17" s="779">
        <v>10</v>
      </c>
      <c r="Q17" s="779">
        <v>5</v>
      </c>
      <c r="R17" s="779">
        <v>42.049619</v>
      </c>
      <c r="S17" s="779">
        <v>0</v>
      </c>
      <c r="T17" s="779">
        <v>0</v>
      </c>
      <c r="U17" s="779">
        <v>1.175E-3</v>
      </c>
      <c r="V17" s="779">
        <v>0</v>
      </c>
      <c r="W17" s="779">
        <v>9.0000000000000006E-5</v>
      </c>
      <c r="X17" s="779">
        <v>9.0000000000000006E-5</v>
      </c>
      <c r="Y17" s="781">
        <v>6.0000000000000002E-5</v>
      </c>
      <c r="Z17" s="779">
        <v>6.0000000000000002E-5</v>
      </c>
      <c r="AA17" s="779">
        <v>1.2E-4</v>
      </c>
      <c r="AB17" s="781">
        <v>2.9999999999999997E-4</v>
      </c>
      <c r="AC17" s="781">
        <v>2.9999999999999997E-4</v>
      </c>
      <c r="AD17" s="781">
        <v>9.9499999999999996E-6</v>
      </c>
      <c r="AE17" s="781">
        <v>1.4880899999999999E-3</v>
      </c>
      <c r="AF17" s="781">
        <v>1.58059E-3</v>
      </c>
      <c r="AG17" s="781">
        <v>7.1733000000000007E-4</v>
      </c>
      <c r="AH17" s="781">
        <v>7.1733000000000007E-4</v>
      </c>
      <c r="AI17" s="781">
        <v>7.1883000000000005E-4</v>
      </c>
      <c r="AJ17" s="781">
        <v>7.2033000000000004E-4</v>
      </c>
      <c r="AK17" s="781">
        <v>7.2183000000000002E-4</v>
      </c>
      <c r="AL17" s="781">
        <v>7.2333E-4</v>
      </c>
      <c r="AM17" s="781">
        <v>7.2483000000000009E-4</v>
      </c>
      <c r="AN17" s="781">
        <v>7.2633000000000007E-4</v>
      </c>
      <c r="AO17" s="781">
        <v>7.2783000000000006E-4</v>
      </c>
      <c r="AP17" s="781">
        <v>7.2883000000000008E-4</v>
      </c>
      <c r="AQ17" s="781">
        <v>7.2883000000000008E-4</v>
      </c>
      <c r="AR17" s="781">
        <v>1.0605599999999999E-3</v>
      </c>
      <c r="AS17" s="781">
        <v>1.0605599999999999E-3</v>
      </c>
      <c r="AT17" s="781">
        <v>1.06156E-3</v>
      </c>
      <c r="AU17" s="781">
        <v>1.0625599999999999E-3</v>
      </c>
      <c r="AV17" s="781">
        <v>1.0635599999999999E-3</v>
      </c>
      <c r="AW17" s="781">
        <v>1.06456E-3</v>
      </c>
      <c r="AX17" s="781">
        <v>1.0655599999999999E-3</v>
      </c>
      <c r="AY17" s="781">
        <v>1.06656E-3</v>
      </c>
      <c r="AZ17" s="781">
        <v>1.0675599999999999E-3</v>
      </c>
      <c r="BA17" s="781">
        <v>1.0685599999999999E-3</v>
      </c>
      <c r="BB17" s="781">
        <v>1.06956E-3</v>
      </c>
      <c r="BC17" s="781">
        <v>2.8199999999999997E-6</v>
      </c>
      <c r="BD17" s="781">
        <v>2.8199999999999997E-6</v>
      </c>
      <c r="BE17" s="781">
        <v>0</v>
      </c>
      <c r="BF17" s="781">
        <v>0</v>
      </c>
      <c r="BG17" s="781">
        <v>0</v>
      </c>
      <c r="BH17" s="781">
        <v>0</v>
      </c>
      <c r="BI17" s="970">
        <v>98</v>
      </c>
      <c r="BJ17" s="994">
        <v>0</v>
      </c>
      <c r="BK17" s="994">
        <v>0</v>
      </c>
      <c r="BL17" s="994">
        <v>3.6421269999999999E-2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0.3</v>
      </c>
      <c r="DG17" s="994">
        <v>0.3</v>
      </c>
      <c r="DH17" s="994">
        <v>0.26794900999999999</v>
      </c>
      <c r="DI17" s="994">
        <v>0.23551254999999999</v>
      </c>
      <c r="DJ17" s="994">
        <v>0.20277876</v>
      </c>
      <c r="DK17" s="994">
        <v>0.16993079</v>
      </c>
      <c r="DL17" s="994">
        <v>0.13644006</v>
      </c>
      <c r="DM17" s="994">
        <v>0.1027981</v>
      </c>
      <c r="DN17" s="994">
        <v>6.8847759999999994E-2</v>
      </c>
      <c r="DO17" s="994">
        <v>0</v>
      </c>
      <c r="DP17" s="994">
        <v>0</v>
      </c>
      <c r="DQ17" s="994">
        <v>0</v>
      </c>
      <c r="DR17" s="994">
        <v>0.02</v>
      </c>
      <c r="DS17" s="994">
        <v>1.8509680000000001E-2</v>
      </c>
      <c r="DT17" s="994">
        <v>1.6948350000000001E-2</v>
      </c>
      <c r="DU17" s="994">
        <v>1.544062E-2</v>
      </c>
      <c r="DV17" s="994">
        <v>1.382917E-2</v>
      </c>
      <c r="DW17" s="994">
        <v>1.2183329999999999E-2</v>
      </c>
      <c r="DX17" s="994">
        <v>1.052578E-2</v>
      </c>
      <c r="DY17" s="994">
        <v>0</v>
      </c>
      <c r="DZ17" s="994">
        <v>0</v>
      </c>
      <c r="EA17" s="994">
        <v>0.05</v>
      </c>
      <c r="EB17" s="994">
        <v>4.6183589999999997E-2</v>
      </c>
      <c r="EC17" s="994">
        <v>4.222654E-2</v>
      </c>
      <c r="ED17" s="994">
        <v>8.8257409999999994E-2</v>
      </c>
      <c r="EE17" s="994">
        <v>8.0001970000000006E-2</v>
      </c>
      <c r="EF17" s="994">
        <v>7.2098889999999999E-2</v>
      </c>
      <c r="EK17" s="400"/>
    </row>
    <row r="18" spans="1:141" ht="19.8">
      <c r="A18" s="1515" t="s">
        <v>2002</v>
      </c>
      <c r="B18" s="974">
        <f>+B16-B17</f>
        <v>2.8740968499999999</v>
      </c>
      <c r="C18" s="780">
        <f t="shared" ref="C18:V18" si="4">+C16-C17</f>
        <v>2.9386658699999999</v>
      </c>
      <c r="D18" s="780">
        <f t="shared" si="4"/>
        <v>2.9564435499999999</v>
      </c>
      <c r="E18" s="780">
        <f t="shared" si="4"/>
        <v>2.9489027400000003</v>
      </c>
      <c r="F18" s="780">
        <f t="shared" si="4"/>
        <v>0.17219652999999999</v>
      </c>
      <c r="G18" s="780">
        <f t="shared" si="4"/>
        <v>2.8666484000000025</v>
      </c>
      <c r="H18" s="780">
        <f t="shared" si="4"/>
        <v>3.9411315799999969</v>
      </c>
      <c r="I18" s="780">
        <f t="shared" si="4"/>
        <v>3.9810313500000021</v>
      </c>
      <c r="J18" s="780">
        <f t="shared" si="4"/>
        <v>3.9723892800000016</v>
      </c>
      <c r="K18" s="780">
        <f t="shared" si="4"/>
        <v>4.0718844499999989</v>
      </c>
      <c r="L18" s="780">
        <f t="shared" si="4"/>
        <v>4.0697636000000017</v>
      </c>
      <c r="M18" s="781">
        <f t="shared" si="4"/>
        <v>4.0659393299999991</v>
      </c>
      <c r="N18" s="781">
        <f t="shared" si="4"/>
        <v>4.0781581500000001</v>
      </c>
      <c r="O18" s="781">
        <f t="shared" si="4"/>
        <v>4.0731068399999995</v>
      </c>
      <c r="P18" s="781">
        <f t="shared" si="4"/>
        <v>4.0782682900000005</v>
      </c>
      <c r="Q18" s="781">
        <f t="shared" si="4"/>
        <v>4.1463052600000001</v>
      </c>
      <c r="R18" s="781">
        <f t="shared" si="4"/>
        <v>0.64185279000000151</v>
      </c>
      <c r="S18" s="781">
        <f t="shared" si="4"/>
        <v>0.11346225</v>
      </c>
      <c r="T18" s="781">
        <f t="shared" si="4"/>
        <v>0.10800572999999999</v>
      </c>
      <c r="U18" s="781">
        <f t="shared" si="4"/>
        <v>8.6851250000000005E-2</v>
      </c>
      <c r="V18" s="781">
        <f t="shared" si="4"/>
        <v>8.4195779999999998E-2</v>
      </c>
      <c r="W18" s="781">
        <v>0.16026554999999998</v>
      </c>
      <c r="X18" s="781">
        <v>0.24290873999999998</v>
      </c>
      <c r="Y18" s="781">
        <v>0.26451962000000001</v>
      </c>
      <c r="Z18" s="781">
        <v>0.26451962000000001</v>
      </c>
      <c r="AA18" s="781">
        <v>0.22676995</v>
      </c>
      <c r="AB18" s="781">
        <v>0.21844050000000001</v>
      </c>
      <c r="AC18" s="781">
        <v>0.20857023000000002</v>
      </c>
      <c r="AD18" s="781">
        <v>0.20043692999999999</v>
      </c>
      <c r="AE18" s="781">
        <v>0.19221673</v>
      </c>
      <c r="AF18" s="781">
        <v>0.18530132000000002</v>
      </c>
      <c r="AG18" s="781">
        <v>0.17737338</v>
      </c>
      <c r="AH18" s="781">
        <v>0.17031842</v>
      </c>
      <c r="AI18" s="781">
        <f>+AI16-AI17</f>
        <v>0.16314602999999997</v>
      </c>
      <c r="AJ18" s="781">
        <v>0.15585526</v>
      </c>
      <c r="AK18" s="781">
        <f>+AK16-AK17</f>
        <v>0.14585376</v>
      </c>
      <c r="AL18" s="781">
        <f>+AL16-AL17</f>
        <v>0.14585226000000001</v>
      </c>
      <c r="AM18" s="781">
        <v>0.21585075999999997</v>
      </c>
      <c r="AN18" s="781">
        <f>+AN16-AN17</f>
        <v>0.21507525999999999</v>
      </c>
      <c r="AO18" s="781">
        <f>+AO16-AO17</f>
        <v>0.21431375999999999</v>
      </c>
      <c r="AP18" s="781">
        <f>+AP16-AP17</f>
        <v>0.21441819999999998</v>
      </c>
      <c r="AQ18" s="781">
        <f>+AQ16-AQ17</f>
        <v>0.21361619999999998</v>
      </c>
      <c r="AR18" s="781">
        <v>0.21246547000000002</v>
      </c>
      <c r="AS18" s="781">
        <f>+AS16-AS17</f>
        <v>0.15164747000000001</v>
      </c>
      <c r="AT18" s="781">
        <f>+AT16-AT17</f>
        <v>0.10187163</v>
      </c>
      <c r="AU18" s="781">
        <f>+AU16-AU17</f>
        <v>9.9854059999999994E-2</v>
      </c>
      <c r="AV18" s="781">
        <v>7.9407109999999989E-2</v>
      </c>
      <c r="AW18" s="781">
        <v>5.7034109999999999E-2</v>
      </c>
      <c r="AX18" s="781">
        <v>5.2756209999999998E-2</v>
      </c>
      <c r="AY18" s="781">
        <v>5.2729279999999996E-2</v>
      </c>
      <c r="AZ18" s="781">
        <v>5.2641310000000004E-2</v>
      </c>
      <c r="BA18" s="781">
        <v>5.1073939999999998E-2</v>
      </c>
      <c r="BB18" s="781">
        <v>8.5699999999999969E-5</v>
      </c>
      <c r="BC18" s="781">
        <v>-2.8199999999999997E-6</v>
      </c>
      <c r="BD18" s="781">
        <v>-2.8199999999999997E-6</v>
      </c>
      <c r="BE18" s="781">
        <f>+BE16-BE17</f>
        <v>0</v>
      </c>
      <c r="BF18" s="781">
        <v>0</v>
      </c>
      <c r="BG18" s="781">
        <v>0</v>
      </c>
      <c r="BH18" s="781">
        <v>0</v>
      </c>
      <c r="BI18" s="970">
        <v>0</v>
      </c>
      <c r="BJ18" s="994">
        <v>0</v>
      </c>
      <c r="BK18" s="994">
        <f>+BK16-BK17</f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0.22</v>
      </c>
      <c r="BQ18" s="994">
        <v>0</v>
      </c>
      <c r="BR18" s="994">
        <v>0</v>
      </c>
      <c r="BS18" s="994">
        <v>0</v>
      </c>
      <c r="BT18" s="994">
        <v>5.2999999999999999E-2</v>
      </c>
      <c r="BU18" s="994">
        <v>0.06</v>
      </c>
      <c r="BV18" s="994">
        <v>0</v>
      </c>
      <c r="BW18" s="994">
        <v>0</v>
      </c>
      <c r="BX18" s="994">
        <v>0</v>
      </c>
      <c r="BY18" s="994">
        <v>4.2700000000000002E-2</v>
      </c>
      <c r="BZ18" s="994">
        <v>2.7526000000000002</v>
      </c>
      <c r="CA18" s="994">
        <v>3.3806359800000001</v>
      </c>
      <c r="CB18" s="994">
        <v>3.0725678799999998</v>
      </c>
      <c r="CC18" s="994">
        <v>2.6066149799999998</v>
      </c>
      <c r="CD18" s="994">
        <v>0.48499999999999999</v>
      </c>
      <c r="CE18" s="994">
        <v>1.825</v>
      </c>
      <c r="CF18" s="994">
        <f t="shared" ref="CF18:CP18" si="5">+CF16-CF17</f>
        <v>1.7795585199999999</v>
      </c>
      <c r="CG18" s="994">
        <f t="shared" si="5"/>
        <v>1.28561075</v>
      </c>
      <c r="CH18" s="994">
        <f t="shared" si="5"/>
        <v>0.5605</v>
      </c>
      <c r="CI18" s="994">
        <f t="shared" si="5"/>
        <v>0.44965034000000004</v>
      </c>
      <c r="CJ18" s="994">
        <f t="shared" si="5"/>
        <v>0</v>
      </c>
      <c r="CK18" s="994">
        <f t="shared" si="5"/>
        <v>0.03</v>
      </c>
      <c r="CL18" s="994">
        <f t="shared" si="5"/>
        <v>0.61293882</v>
      </c>
      <c r="CM18" s="994">
        <f t="shared" si="5"/>
        <v>0.102275</v>
      </c>
      <c r="CN18" s="994">
        <f t="shared" si="5"/>
        <v>5.4274999999999997E-2</v>
      </c>
      <c r="CO18" s="994">
        <f t="shared" si="5"/>
        <v>0.36679872999999996</v>
      </c>
      <c r="CP18" s="994">
        <f t="shared" si="5"/>
        <v>0.83308603000000003</v>
      </c>
      <c r="CQ18" s="994">
        <f>+CQ16-CQ17</f>
        <v>0.47480538</v>
      </c>
      <c r="CR18" s="994">
        <f>+CR16-CR17</f>
        <v>0.57940265000000002</v>
      </c>
      <c r="CS18" s="994">
        <f>+CS16-CS17</f>
        <v>0.60308402000000005</v>
      </c>
      <c r="CT18" s="994">
        <f>+CT16-CT17</f>
        <v>0.60273133000000001</v>
      </c>
      <c r="CU18" s="994">
        <v>0.86684991</v>
      </c>
      <c r="CV18" s="994">
        <f>+CV16-CV17</f>
        <v>1.0713492099999999</v>
      </c>
      <c r="CW18" s="994">
        <v>2.6106340399999999</v>
      </c>
      <c r="CX18" s="994">
        <v>2.1730809199999999</v>
      </c>
      <c r="CY18" s="994">
        <v>2.1469450700000001</v>
      </c>
      <c r="CZ18" s="994">
        <v>2.1902029700000001</v>
      </c>
      <c r="DA18" s="994">
        <v>2.1348768200000001</v>
      </c>
      <c r="DB18" s="994">
        <v>8.9820553000000007</v>
      </c>
      <c r="DC18" s="994">
        <v>8.9468869400000006</v>
      </c>
      <c r="DD18" s="994">
        <f>DD16-DD17</f>
        <v>8.9525543899999995</v>
      </c>
      <c r="DE18" s="994">
        <v>10.852725019999999</v>
      </c>
      <c r="DF18" s="994">
        <v>9.6531312499999995</v>
      </c>
      <c r="DG18" s="994">
        <v>2.80722782</v>
      </c>
      <c r="DH18" s="994">
        <f>DH16-DH17</f>
        <v>2.5818795399999996</v>
      </c>
      <c r="DI18" s="994">
        <v>2.8298259799999999</v>
      </c>
      <c r="DJ18" s="994">
        <f>DJ16-DJ17</f>
        <v>4.5847361700000002</v>
      </c>
      <c r="DK18" s="994">
        <v>4.5602159400000009</v>
      </c>
      <c r="DL18" s="994">
        <v>4.5685305200000004</v>
      </c>
      <c r="DM18" s="994">
        <v>5.5416438299999999</v>
      </c>
      <c r="DN18" s="994">
        <v>6.1187319900000006</v>
      </c>
      <c r="DO18" s="994">
        <f>DO16-DO17</f>
        <v>6.3937451899999997</v>
      </c>
      <c r="DP18" s="994">
        <f>DP16-DP17</f>
        <v>6.5410887999999998</v>
      </c>
      <c r="DQ18" s="994">
        <v>6.4556837099999997</v>
      </c>
      <c r="DR18" s="994">
        <f>DR16-DR17</f>
        <v>8.1020766799999997</v>
      </c>
      <c r="DS18" s="994">
        <f>DS16-DS17</f>
        <v>8.2331482200000004</v>
      </c>
      <c r="DT18" s="994">
        <v>4.9582894600000005</v>
      </c>
      <c r="DU18" s="994">
        <v>3.3243417399999999</v>
      </c>
      <c r="DV18" s="994">
        <f>DV16-DV17</f>
        <v>3.6506996599999999</v>
      </c>
      <c r="DW18" s="994">
        <f>DW16-DW17</f>
        <v>2.73406072</v>
      </c>
      <c r="DX18" s="994">
        <v>2.9805182000000001</v>
      </c>
      <c r="DY18" s="994">
        <v>3.5013020799999999</v>
      </c>
      <c r="DZ18" s="994">
        <f>DZ16-DZ17</f>
        <v>4.7208573700000001</v>
      </c>
      <c r="EA18" s="994">
        <f>EA16-EA17</f>
        <v>4.0745191400000005</v>
      </c>
      <c r="EB18" s="994">
        <v>4.4277811199999997</v>
      </c>
      <c r="EC18" s="994">
        <v>4.36508904</v>
      </c>
      <c r="ED18" s="994">
        <v>4.0910436600000004</v>
      </c>
      <c r="EE18" s="994">
        <v>3.4194234199999998</v>
      </c>
      <c r="EF18" s="994">
        <f>EF16-EF17</f>
        <v>3.2324778699999999</v>
      </c>
      <c r="EK18" s="400"/>
    </row>
    <row r="19" spans="1:141" ht="19.8">
      <c r="A19" s="1513"/>
      <c r="B19" s="973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/>
      <c r="AH19" s="779"/>
      <c r="AI19" s="779"/>
      <c r="AJ19" s="779"/>
      <c r="AK19" s="779"/>
      <c r="AL19" s="779"/>
      <c r="AM19" s="779"/>
      <c r="AN19" s="779"/>
      <c r="AO19" s="779"/>
      <c r="AP19" s="779"/>
      <c r="AQ19" s="779"/>
      <c r="AR19" s="779"/>
      <c r="AS19" s="779"/>
      <c r="AT19" s="779"/>
      <c r="AU19" s="779"/>
      <c r="AV19" s="779"/>
      <c r="AW19" s="779"/>
      <c r="AX19" s="779"/>
      <c r="AY19" s="779"/>
      <c r="AZ19" s="779"/>
      <c r="BA19" s="779"/>
      <c r="BB19" s="779"/>
      <c r="BC19" s="779"/>
      <c r="BD19" s="779"/>
      <c r="BE19" s="779"/>
      <c r="BF19" s="779"/>
      <c r="BG19" s="779"/>
      <c r="BH19" s="779"/>
      <c r="BI19" s="969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F19" s="993"/>
      <c r="EK19" s="400"/>
    </row>
    <row r="20" spans="1:141" ht="19.8">
      <c r="A20" s="1513" t="s">
        <v>2822</v>
      </c>
      <c r="B20" s="974">
        <v>0</v>
      </c>
      <c r="C20" s="780">
        <v>2.7385004300000002</v>
      </c>
      <c r="D20" s="780">
        <v>2.6726596000000002</v>
      </c>
      <c r="E20" s="780">
        <v>2.7278809399999999</v>
      </c>
      <c r="F20" s="780">
        <v>2.71540304</v>
      </c>
      <c r="G20" s="780">
        <v>2.7217747299999999</v>
      </c>
      <c r="H20" s="780">
        <v>3.6555128900000002</v>
      </c>
      <c r="I20" s="780">
        <v>3.6509430599999999</v>
      </c>
      <c r="J20" s="780">
        <v>3.7237088300000001</v>
      </c>
      <c r="K20" s="780">
        <v>3.7803044199999998</v>
      </c>
      <c r="L20" s="780">
        <v>3.75394001</v>
      </c>
      <c r="M20" s="779">
        <v>3.78944408</v>
      </c>
      <c r="N20" s="781">
        <v>4.6315667099999995</v>
      </c>
      <c r="O20" s="781">
        <v>4.6838761699999996</v>
      </c>
      <c r="P20" s="781">
        <v>4.7000049199999996</v>
      </c>
      <c r="Q20" s="781">
        <v>4.7204927899999998</v>
      </c>
      <c r="R20" s="781">
        <v>4.6524904899999999</v>
      </c>
      <c r="S20" s="781">
        <v>4.66469603</v>
      </c>
      <c r="T20" s="781">
        <v>5.4504879500000003</v>
      </c>
      <c r="U20" s="781">
        <v>5.3622923600000005</v>
      </c>
      <c r="V20" s="781">
        <v>5.1646304599999997</v>
      </c>
      <c r="W20" s="781">
        <v>5.1215702500000004</v>
      </c>
      <c r="X20" s="781">
        <v>5.1215702500000004</v>
      </c>
      <c r="Y20" s="779">
        <v>4.9399910800000004</v>
      </c>
      <c r="Z20" s="781">
        <v>4.9399910800000004</v>
      </c>
      <c r="AA20" s="781">
        <v>5.3301284000000004</v>
      </c>
      <c r="AB20" s="779">
        <v>7.0606506200000005</v>
      </c>
      <c r="AC20" s="779">
        <v>6.9240016999999998</v>
      </c>
      <c r="AD20" s="779">
        <v>7.9717807499999997</v>
      </c>
      <c r="AE20" s="779">
        <v>7.8797218899999999</v>
      </c>
      <c r="AF20" s="779">
        <v>8.0196527599999996</v>
      </c>
      <c r="AG20" s="779">
        <v>8.6930888100000008</v>
      </c>
      <c r="AH20" s="779">
        <v>8.1311535900000003</v>
      </c>
      <c r="AI20" s="779">
        <v>8.1340564900000007</v>
      </c>
      <c r="AJ20" s="779">
        <v>7.9447754499999999</v>
      </c>
      <c r="AK20" s="779">
        <v>20.480826260000001</v>
      </c>
      <c r="AL20" s="779">
        <v>23.04834688</v>
      </c>
      <c r="AM20" s="779">
        <v>19.687843399999998</v>
      </c>
      <c r="AN20" s="779">
        <v>12.947675539999999</v>
      </c>
      <c r="AO20" s="779">
        <v>13.201062109999999</v>
      </c>
      <c r="AP20" s="779">
        <v>12.990032699999999</v>
      </c>
      <c r="AQ20" s="779">
        <v>12.55435907</v>
      </c>
      <c r="AR20" s="779">
        <v>12.926496960000001</v>
      </c>
      <c r="AS20" s="779">
        <v>0</v>
      </c>
      <c r="AT20" s="779">
        <v>0.26464502000000001</v>
      </c>
      <c r="AU20" s="779">
        <f>AU12-AU16</f>
        <v>0.51875199999999999</v>
      </c>
      <c r="AV20" s="779">
        <v>0.85181200000000001</v>
      </c>
      <c r="AW20" s="779">
        <v>0.81394599999999995</v>
      </c>
      <c r="AX20" s="779">
        <v>0.832229</v>
      </c>
      <c r="AY20" s="779">
        <v>0.88561465000000006</v>
      </c>
      <c r="AZ20" s="779">
        <v>0.64657500000000001</v>
      </c>
      <c r="BA20" s="779">
        <v>0.724248</v>
      </c>
      <c r="BB20" s="779">
        <v>140.49029999999999</v>
      </c>
      <c r="BC20" s="779">
        <v>140.44904</v>
      </c>
      <c r="BD20" s="779">
        <v>140.457292</v>
      </c>
      <c r="BE20" s="779">
        <v>0.88446800000000003</v>
      </c>
      <c r="BF20" s="779">
        <v>0.85050000000000003</v>
      </c>
      <c r="BG20" s="779">
        <v>0.85009999999999997</v>
      </c>
      <c r="BH20" s="779">
        <v>0.85009999999999997</v>
      </c>
      <c r="BI20" s="969">
        <v>0.85004999999999598</v>
      </c>
      <c r="BJ20" s="993">
        <v>0.816048</v>
      </c>
      <c r="BK20" s="993">
        <f>+BK12-BK16</f>
        <v>0.816048</v>
      </c>
      <c r="BL20" s="993">
        <v>0.8160450600000001</v>
      </c>
      <c r="BM20" s="993">
        <v>0.81599706000000005</v>
      </c>
      <c r="BN20" s="993">
        <v>0.81599706000000005</v>
      </c>
      <c r="BO20" s="993">
        <v>0.81599706000000005</v>
      </c>
      <c r="BP20" s="993">
        <v>0.81599706000000016</v>
      </c>
      <c r="BQ20" s="993">
        <v>0.81599706000000005</v>
      </c>
      <c r="BR20" s="993">
        <v>0.88701006000000016</v>
      </c>
      <c r="BS20" s="993">
        <v>0.88659006000000007</v>
      </c>
      <c r="BT20" s="993">
        <v>0.8149640600000001</v>
      </c>
      <c r="BU20" s="993">
        <v>0.81556606000000009</v>
      </c>
      <c r="BV20" s="993">
        <v>0.81627306000000011</v>
      </c>
      <c r="BW20" s="993">
        <v>0.81599706000000005</v>
      </c>
      <c r="BX20" s="993">
        <v>0.81599706000000005</v>
      </c>
      <c r="BY20" s="993">
        <v>0.81599706000000005</v>
      </c>
      <c r="BZ20" s="993">
        <v>2.5672520600000004</v>
      </c>
      <c r="CA20" s="993">
        <v>2.7225470600000001</v>
      </c>
      <c r="CB20" s="993">
        <v>2.8925470599999996</v>
      </c>
      <c r="CC20" s="993">
        <v>2.9043183700000004</v>
      </c>
      <c r="CD20" s="993">
        <v>2.8623536199999999</v>
      </c>
      <c r="CE20" s="993">
        <v>3.2006536200000002</v>
      </c>
      <c r="CF20" s="993">
        <v>2.94371706</v>
      </c>
      <c r="CG20" s="993">
        <v>3.12865518</v>
      </c>
      <c r="CH20" s="993">
        <v>11.671967199999999</v>
      </c>
      <c r="CI20" s="993">
        <v>11.8172172</v>
      </c>
      <c r="CJ20" s="993">
        <v>14.979392259999999</v>
      </c>
      <c r="CK20" s="993">
        <v>12.50641645</v>
      </c>
      <c r="CL20" s="993">
        <v>10.830671929999999</v>
      </c>
      <c r="CM20" s="993">
        <v>10.305951</v>
      </c>
      <c r="CN20" s="993">
        <v>9.7571030399999987</v>
      </c>
      <c r="CO20" s="993">
        <v>17.259382679999998</v>
      </c>
      <c r="CP20" s="993">
        <v>16.84035179</v>
      </c>
      <c r="CQ20" s="993">
        <v>7.7856662300000004</v>
      </c>
      <c r="CR20" s="993">
        <v>7.74543918</v>
      </c>
      <c r="CS20" s="993">
        <v>7.83038232</v>
      </c>
      <c r="CT20" s="993">
        <v>15.16911312</v>
      </c>
      <c r="CU20" s="993">
        <v>8.2406208000000003</v>
      </c>
      <c r="CV20" s="993">
        <v>8.2433571200000006</v>
      </c>
      <c r="CW20" s="993">
        <v>7.7141575400000004</v>
      </c>
      <c r="CX20" s="993">
        <v>8.2445575400000006</v>
      </c>
      <c r="CY20" s="993">
        <v>7.7709549999999998</v>
      </c>
      <c r="CZ20" s="993">
        <v>7.7696705100000001</v>
      </c>
      <c r="DA20" s="993">
        <v>8.0971245300000003</v>
      </c>
      <c r="DB20" s="993">
        <v>8.5815133499999998</v>
      </c>
      <c r="DC20" s="993">
        <v>10.31550064</v>
      </c>
      <c r="DD20" s="993">
        <v>10.336186830000001</v>
      </c>
      <c r="DE20" s="993">
        <v>10.295765469999999</v>
      </c>
      <c r="DF20" s="993">
        <v>10.34192047</v>
      </c>
      <c r="DG20" s="993">
        <v>10.34280551</v>
      </c>
      <c r="DH20" s="993">
        <v>10.26423447</v>
      </c>
      <c r="DI20" s="993">
        <v>2.3171887600000001</v>
      </c>
      <c r="DJ20" s="993">
        <v>3.3309504400000001</v>
      </c>
      <c r="DK20" s="993">
        <v>3.2792626</v>
      </c>
      <c r="DL20" s="993">
        <v>15.180541870000001</v>
      </c>
      <c r="DM20" s="993">
        <v>14.48280508</v>
      </c>
      <c r="DN20" s="993">
        <v>0.11340761000000001</v>
      </c>
      <c r="DO20" s="993">
        <v>2.6633926899999998</v>
      </c>
      <c r="DP20" s="993">
        <v>2.1183335200000002</v>
      </c>
      <c r="DQ20" s="993">
        <v>0.91870187999999997</v>
      </c>
      <c r="DR20" s="993">
        <v>0.95401334000000004</v>
      </c>
      <c r="DS20" s="993">
        <v>0.95175228000000001</v>
      </c>
      <c r="DT20" s="993">
        <v>0.96790092000000005</v>
      </c>
      <c r="DU20" s="993">
        <v>0.96778611999999997</v>
      </c>
      <c r="DV20" s="993">
        <v>5.1733518700000003</v>
      </c>
      <c r="DW20" s="993">
        <v>11.984999999999999</v>
      </c>
      <c r="DX20" s="993">
        <v>14.705</v>
      </c>
      <c r="DY20" s="993">
        <v>9.3011870499999993</v>
      </c>
      <c r="DZ20" s="993">
        <v>9.9702953700000005</v>
      </c>
      <c r="EA20" s="993">
        <v>9.5492700900000003</v>
      </c>
      <c r="EB20" s="993">
        <v>4.4129057500000002</v>
      </c>
      <c r="EC20" s="993">
        <v>5.0107622899999997</v>
      </c>
      <c r="ED20" s="993">
        <v>7.1459904600000002</v>
      </c>
      <c r="EE20" s="993">
        <v>3.0087559000000001</v>
      </c>
      <c r="EF20" s="993">
        <v>3.01339698</v>
      </c>
      <c r="EK20" s="400"/>
    </row>
    <row r="21" spans="1:141" ht="19.8">
      <c r="A21" s="1514" t="s">
        <v>2001</v>
      </c>
      <c r="B21" s="974">
        <v>0</v>
      </c>
      <c r="C21" s="780">
        <v>2.7385004300000002</v>
      </c>
      <c r="D21" s="780">
        <v>2.6726596000000002</v>
      </c>
      <c r="E21" s="780">
        <v>2.7278809399999999</v>
      </c>
      <c r="F21" s="780">
        <v>2.71540304</v>
      </c>
      <c r="G21" s="780">
        <v>2.7217747299999999</v>
      </c>
      <c r="H21" s="780">
        <v>3.6555128900000002</v>
      </c>
      <c r="I21" s="780">
        <v>3.6509430599999999</v>
      </c>
      <c r="J21" s="780">
        <v>3.7237088300000001</v>
      </c>
      <c r="K21" s="780">
        <v>3.7803044199999998</v>
      </c>
      <c r="L21" s="780">
        <v>3.75394001</v>
      </c>
      <c r="M21" s="781">
        <v>3.78944408</v>
      </c>
      <c r="N21" s="781">
        <v>4.6315667099999995</v>
      </c>
      <c r="O21" s="781">
        <v>4.6838761699999996</v>
      </c>
      <c r="P21" s="781">
        <v>4.7000049199999996</v>
      </c>
      <c r="Q21" s="781">
        <v>4.7204927899999998</v>
      </c>
      <c r="R21" s="781">
        <v>4.6524904899999999</v>
      </c>
      <c r="S21" s="781">
        <v>4.66469603</v>
      </c>
      <c r="T21" s="781">
        <v>5.4504879500000003</v>
      </c>
      <c r="U21" s="781">
        <v>5.3622923600000005</v>
      </c>
      <c r="V21" s="781">
        <v>5.1646304599999997</v>
      </c>
      <c r="W21" s="781">
        <v>5.1215702500000004</v>
      </c>
      <c r="X21" s="781">
        <v>5.1215702500000004</v>
      </c>
      <c r="Y21" s="781">
        <v>4.9399910800000004</v>
      </c>
      <c r="Z21" s="781">
        <v>4.9399910800000004</v>
      </c>
      <c r="AA21" s="781">
        <v>5.3301284000000004</v>
      </c>
      <c r="AB21" s="781">
        <v>7.0606506200000005</v>
      </c>
      <c r="AC21" s="781">
        <v>6.9240016999999998</v>
      </c>
      <c r="AD21" s="781">
        <v>7.1201734299999995</v>
      </c>
      <c r="AE21" s="781">
        <v>7.0275461300000002</v>
      </c>
      <c r="AF21" s="781">
        <v>7.1683702599999997</v>
      </c>
      <c r="AG21" s="781">
        <v>7.9308354300000001</v>
      </c>
      <c r="AH21" s="781">
        <v>8.1311535900000003</v>
      </c>
      <c r="AI21" s="781">
        <v>8.1340564900000007</v>
      </c>
      <c r="AJ21" s="781">
        <v>7.9447754499999999</v>
      </c>
      <c r="AK21" s="781">
        <v>20.480826260000001</v>
      </c>
      <c r="AL21" s="781">
        <v>23.04834688</v>
      </c>
      <c r="AM21" s="781">
        <v>19.687843399999998</v>
      </c>
      <c r="AN21" s="781">
        <v>12.947675539999999</v>
      </c>
      <c r="AO21" s="781">
        <v>13.201062109999999</v>
      </c>
      <c r="AP21" s="781">
        <v>12.990032699999999</v>
      </c>
      <c r="AQ21" s="781">
        <v>12.55435907</v>
      </c>
      <c r="AR21" s="781">
        <v>12.926496960000001</v>
      </c>
      <c r="AS21" s="781">
        <v>0</v>
      </c>
      <c r="AT21" s="781">
        <v>0.26464502000000001</v>
      </c>
      <c r="AU21" s="781">
        <f>AU13-AU17</f>
        <v>0.51875199999999999</v>
      </c>
      <c r="AV21" s="781">
        <v>0.52419199999999999</v>
      </c>
      <c r="AW21" s="781">
        <v>0.277088</v>
      </c>
      <c r="AX21" s="781">
        <v>0.28331200000000001</v>
      </c>
      <c r="AY21" s="781">
        <v>0.30664000000000002</v>
      </c>
      <c r="AZ21" s="781">
        <v>0.27960000000000002</v>
      </c>
      <c r="BA21" s="781">
        <v>0.55180799999999997</v>
      </c>
      <c r="BB21" s="781">
        <v>139.60499999999999</v>
      </c>
      <c r="BC21" s="781">
        <v>139.56399999999999</v>
      </c>
      <c r="BD21" s="781">
        <v>139.57220000000001</v>
      </c>
      <c r="BE21" s="781">
        <v>0</v>
      </c>
      <c r="BF21" s="781">
        <v>0</v>
      </c>
      <c r="BG21" s="781">
        <v>0</v>
      </c>
      <c r="BH21" s="781">
        <v>0</v>
      </c>
      <c r="BI21" s="970">
        <v>0</v>
      </c>
      <c r="BJ21" s="994">
        <v>0</v>
      </c>
      <c r="BK21" s="994">
        <f>+BK13-BK17</f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8.0620499999999994E-3</v>
      </c>
      <c r="CT21" s="994">
        <v>8.0620499999999994E-3</v>
      </c>
      <c r="CU21" s="994">
        <v>3.6393100000000002E-3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F21" s="994">
        <v>0</v>
      </c>
      <c r="EK21" s="400"/>
    </row>
    <row r="22" spans="1:141" ht="19.8">
      <c r="A22" s="1515" t="s">
        <v>2002</v>
      </c>
      <c r="B22" s="973">
        <f t="shared" ref="B22:V22" si="6">+B20-B21</f>
        <v>0</v>
      </c>
      <c r="C22" s="780">
        <f t="shared" si="6"/>
        <v>0</v>
      </c>
      <c r="D22" s="780">
        <f t="shared" si="6"/>
        <v>0</v>
      </c>
      <c r="E22" s="780">
        <f t="shared" si="6"/>
        <v>0</v>
      </c>
      <c r="F22" s="780">
        <f t="shared" si="6"/>
        <v>0</v>
      </c>
      <c r="G22" s="780">
        <f t="shared" si="6"/>
        <v>0</v>
      </c>
      <c r="H22" s="780">
        <f t="shared" si="6"/>
        <v>0</v>
      </c>
      <c r="I22" s="780">
        <f t="shared" si="6"/>
        <v>0</v>
      </c>
      <c r="J22" s="780">
        <f t="shared" si="6"/>
        <v>0</v>
      </c>
      <c r="K22" s="780">
        <f t="shared" si="6"/>
        <v>0</v>
      </c>
      <c r="L22" s="780">
        <f t="shared" si="6"/>
        <v>0</v>
      </c>
      <c r="M22" s="781">
        <f t="shared" si="6"/>
        <v>0</v>
      </c>
      <c r="N22" s="781">
        <f t="shared" si="6"/>
        <v>0</v>
      </c>
      <c r="O22" s="781">
        <f t="shared" si="6"/>
        <v>0</v>
      </c>
      <c r="P22" s="779">
        <f t="shared" si="6"/>
        <v>0</v>
      </c>
      <c r="Q22" s="779">
        <f t="shared" si="6"/>
        <v>0</v>
      </c>
      <c r="R22" s="779">
        <f t="shared" si="6"/>
        <v>0</v>
      </c>
      <c r="S22" s="779">
        <f t="shared" si="6"/>
        <v>0</v>
      </c>
      <c r="T22" s="779">
        <f t="shared" si="6"/>
        <v>0</v>
      </c>
      <c r="U22" s="779">
        <f t="shared" si="6"/>
        <v>0</v>
      </c>
      <c r="V22" s="779">
        <f t="shared" si="6"/>
        <v>0</v>
      </c>
      <c r="W22" s="779">
        <v>0</v>
      </c>
      <c r="X22" s="779">
        <v>0</v>
      </c>
      <c r="Y22" s="781">
        <v>0</v>
      </c>
      <c r="Z22" s="779">
        <v>0</v>
      </c>
      <c r="AA22" s="781">
        <v>0</v>
      </c>
      <c r="AB22" s="781">
        <v>0</v>
      </c>
      <c r="AC22" s="781">
        <v>0</v>
      </c>
      <c r="AD22" s="781">
        <v>0.85160732000000028</v>
      </c>
      <c r="AE22" s="781">
        <v>0.85217575999999973</v>
      </c>
      <c r="AF22" s="781">
        <v>0.85128249999999994</v>
      </c>
      <c r="AG22" s="781">
        <v>0.76225338000000065</v>
      </c>
      <c r="AH22" s="781">
        <v>0</v>
      </c>
      <c r="AI22" s="781">
        <f>+AI20-AI21</f>
        <v>0</v>
      </c>
      <c r="AJ22" s="781">
        <v>0</v>
      </c>
      <c r="AK22" s="781">
        <f>+AK20-AK21</f>
        <v>0</v>
      </c>
      <c r="AL22" s="781">
        <f>+AL20-AL21</f>
        <v>0</v>
      </c>
      <c r="AM22" s="781">
        <v>0</v>
      </c>
      <c r="AN22" s="781">
        <f>+AN20-AN21</f>
        <v>0</v>
      </c>
      <c r="AO22" s="781">
        <f>+AO20-AO21</f>
        <v>0</v>
      </c>
      <c r="AP22" s="781">
        <f>+AP20-AP21</f>
        <v>0</v>
      </c>
      <c r="AQ22" s="781">
        <f>+AQ20-AQ21</f>
        <v>0</v>
      </c>
      <c r="AR22" s="781">
        <v>0</v>
      </c>
      <c r="AS22" s="781">
        <f>+AS20-AS21</f>
        <v>0</v>
      </c>
      <c r="AT22" s="781">
        <f>+AT20-AT21</f>
        <v>0</v>
      </c>
      <c r="AU22" s="781">
        <f>AU14-AU18</f>
        <v>0</v>
      </c>
      <c r="AV22" s="781">
        <v>0.32762000000000002</v>
      </c>
      <c r="AW22" s="781">
        <v>0.53685799999999995</v>
      </c>
      <c r="AX22" s="781">
        <v>0.54891699999999999</v>
      </c>
      <c r="AY22" s="781">
        <v>0.57897465000000004</v>
      </c>
      <c r="AZ22" s="781">
        <v>0.366975</v>
      </c>
      <c r="BA22" s="781">
        <v>0.17244000000000004</v>
      </c>
      <c r="BB22" s="781">
        <v>0.88530000000000086</v>
      </c>
      <c r="BC22" s="781">
        <v>0.8850400000000036</v>
      </c>
      <c r="BD22" s="781">
        <v>0.885091999999986</v>
      </c>
      <c r="BE22" s="781">
        <f>+BE20-BE21</f>
        <v>0.88446800000000003</v>
      </c>
      <c r="BF22" s="781">
        <v>0.85050000000000003</v>
      </c>
      <c r="BG22" s="781">
        <v>0.85009999999999997</v>
      </c>
      <c r="BH22" s="781">
        <v>0.85009999999999997</v>
      </c>
      <c r="BI22" s="970">
        <v>0.85004999999999598</v>
      </c>
      <c r="BJ22" s="994">
        <v>0.816048</v>
      </c>
      <c r="BK22" s="994">
        <f>+BK20-BK21</f>
        <v>0.816048</v>
      </c>
      <c r="BL22" s="994">
        <v>0.8160450600000001</v>
      </c>
      <c r="BM22" s="994">
        <v>0.81599706000000005</v>
      </c>
      <c r="BN22" s="994">
        <v>0.81599706000000005</v>
      </c>
      <c r="BO22" s="994">
        <v>0.81599706000000005</v>
      </c>
      <c r="BP22" s="994">
        <v>0.81599706000000016</v>
      </c>
      <c r="BQ22" s="994">
        <v>0.81599706000000005</v>
      </c>
      <c r="BR22" s="994">
        <v>0.88701006000000016</v>
      </c>
      <c r="BS22" s="994">
        <v>0.88659006000000007</v>
      </c>
      <c r="BT22" s="994">
        <v>0.8149640600000001</v>
      </c>
      <c r="BU22" s="994">
        <v>0.81556606000000009</v>
      </c>
      <c r="BV22" s="994">
        <v>0.81627306000000011</v>
      </c>
      <c r="BW22" s="994">
        <v>0.81599706000000005</v>
      </c>
      <c r="BX22" s="994">
        <v>0.81599706000000005</v>
      </c>
      <c r="BY22" s="994">
        <v>0.81599706000000005</v>
      </c>
      <c r="BZ22" s="994">
        <v>2.5672520600000004</v>
      </c>
      <c r="CA22" s="994">
        <v>2.7225470600000001</v>
      </c>
      <c r="CB22" s="994">
        <v>2.8925470599999996</v>
      </c>
      <c r="CC22" s="994">
        <v>2.9043183700000004</v>
      </c>
      <c r="CD22" s="994">
        <v>2.8623536199999999</v>
      </c>
      <c r="CE22" s="994">
        <v>3.2006536200000002</v>
      </c>
      <c r="CF22" s="994">
        <f t="shared" ref="CF22:CP22" si="7">+CF20-CF21</f>
        <v>2.94371706</v>
      </c>
      <c r="CG22" s="994">
        <f t="shared" si="7"/>
        <v>3.12865518</v>
      </c>
      <c r="CH22" s="994">
        <f t="shared" si="7"/>
        <v>11.671967199999999</v>
      </c>
      <c r="CI22" s="994">
        <f t="shared" si="7"/>
        <v>11.8172172</v>
      </c>
      <c r="CJ22" s="994">
        <f t="shared" si="7"/>
        <v>14.979392259999999</v>
      </c>
      <c r="CK22" s="994">
        <f t="shared" si="7"/>
        <v>12.50641645</v>
      </c>
      <c r="CL22" s="994">
        <f t="shared" si="7"/>
        <v>10.830671929999999</v>
      </c>
      <c r="CM22" s="994">
        <f t="shared" si="7"/>
        <v>10.305951</v>
      </c>
      <c r="CN22" s="994">
        <f t="shared" si="7"/>
        <v>9.7571030399999987</v>
      </c>
      <c r="CO22" s="994">
        <f t="shared" si="7"/>
        <v>17.259382679999998</v>
      </c>
      <c r="CP22" s="994">
        <f t="shared" si="7"/>
        <v>16.84035179</v>
      </c>
      <c r="CQ22" s="994">
        <f>+CQ20-CQ21</f>
        <v>7.7856662300000004</v>
      </c>
      <c r="CR22" s="994">
        <f>+CR20-CR21</f>
        <v>7.74543918</v>
      </c>
      <c r="CS22" s="994">
        <f>+CS20-CS21</f>
        <v>7.8223202699999996</v>
      </c>
      <c r="CT22" s="994">
        <f>+CT20-CT21</f>
        <v>15.161051070000001</v>
      </c>
      <c r="CU22" s="994">
        <v>8.2369814899999998</v>
      </c>
      <c r="CV22" s="994">
        <f>+CV20-CV21</f>
        <v>8.2433571200000006</v>
      </c>
      <c r="CW22" s="994">
        <v>7.7141575400000004</v>
      </c>
      <c r="CX22" s="994">
        <v>8.2445575400000006</v>
      </c>
      <c r="CY22" s="994">
        <v>7.7709549999999998</v>
      </c>
      <c r="CZ22" s="994">
        <v>7.7696705100000001</v>
      </c>
      <c r="DA22" s="994">
        <v>8.0971245300000003</v>
      </c>
      <c r="DB22" s="994">
        <v>8.5815133499999998</v>
      </c>
      <c r="DC22" s="994">
        <v>10.31550064</v>
      </c>
      <c r="DD22" s="994">
        <f>DD20-DD21</f>
        <v>10.336186830000001</v>
      </c>
      <c r="DE22" s="994">
        <v>10.295765469999999</v>
      </c>
      <c r="DF22" s="994">
        <v>10.34192047</v>
      </c>
      <c r="DG22" s="994">
        <v>10.34280551</v>
      </c>
      <c r="DH22" s="994">
        <f>DH20-DH21</f>
        <v>10.26423447</v>
      </c>
      <c r="DI22" s="994">
        <v>2.3171887600000001</v>
      </c>
      <c r="DJ22" s="994">
        <f>DJ20-DJ21</f>
        <v>3.3309504400000001</v>
      </c>
      <c r="DK22" s="994">
        <v>3.2792626</v>
      </c>
      <c r="DL22" s="994">
        <v>15.180541870000001</v>
      </c>
      <c r="DM22" s="994">
        <v>14.48280508</v>
      </c>
      <c r="DN22" s="994">
        <v>0.11340761000000001</v>
      </c>
      <c r="DO22" s="994">
        <f>DO20-DO21</f>
        <v>2.6633926899999998</v>
      </c>
      <c r="DP22" s="994">
        <f>DP20-DP21</f>
        <v>2.1183335200000002</v>
      </c>
      <c r="DQ22" s="994">
        <v>0.91870187999999997</v>
      </c>
      <c r="DR22" s="994">
        <f>DR20-DR21</f>
        <v>0.95401334000000004</v>
      </c>
      <c r="DS22" s="994">
        <f>DS20-DS21</f>
        <v>0.95175228000000001</v>
      </c>
      <c r="DT22" s="994">
        <v>0.96790092000000005</v>
      </c>
      <c r="DU22" s="994">
        <v>0.96778611999999997</v>
      </c>
      <c r="DV22" s="994">
        <f>DV20-DV21</f>
        <v>5.1733518700000003</v>
      </c>
      <c r="DW22" s="994">
        <f>DW20-DW21</f>
        <v>11.984999999999999</v>
      </c>
      <c r="DX22" s="994">
        <v>14.705</v>
      </c>
      <c r="DY22" s="994">
        <v>9.3011870499999993</v>
      </c>
      <c r="DZ22" s="994">
        <f>DZ20-DZ21</f>
        <v>9.9702953700000005</v>
      </c>
      <c r="EA22" s="994">
        <f>EA20-EA21</f>
        <v>9.5492700900000003</v>
      </c>
      <c r="EB22" s="994">
        <v>4.4129057500000002</v>
      </c>
      <c r="EC22" s="994">
        <v>5.0107622899999997</v>
      </c>
      <c r="ED22" s="994">
        <v>7.1459904600000002</v>
      </c>
      <c r="EE22" s="994">
        <v>3.0087559000000001</v>
      </c>
      <c r="EF22" s="994">
        <f>EF20-EF21</f>
        <v>3.01339698</v>
      </c>
      <c r="EK22" s="400"/>
    </row>
    <row r="23" spans="1:141" ht="19.8">
      <c r="A23" s="977"/>
      <c r="B23" s="974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/>
      <c r="AP23" s="781"/>
      <c r="AQ23" s="781"/>
      <c r="AR23" s="781"/>
      <c r="AS23" s="781"/>
      <c r="AT23" s="781"/>
      <c r="AU23" s="781"/>
      <c r="AV23" s="781"/>
      <c r="AW23" s="781"/>
      <c r="AX23" s="781"/>
      <c r="AY23" s="781"/>
      <c r="AZ23" s="781"/>
      <c r="BA23" s="781"/>
      <c r="BB23" s="781"/>
      <c r="BC23" s="781"/>
      <c r="BD23" s="781"/>
      <c r="BE23" s="781"/>
      <c r="BF23" s="781"/>
      <c r="BG23" s="781"/>
      <c r="BH23" s="781"/>
      <c r="BI23" s="970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F23" s="994"/>
      <c r="EK23" s="400"/>
    </row>
    <row r="24" spans="1:141" ht="19.8">
      <c r="A24" s="976" t="s">
        <v>2823</v>
      </c>
      <c r="B24" s="973">
        <v>102.72601571000001</v>
      </c>
      <c r="C24" s="780">
        <v>108.56861464000001</v>
      </c>
      <c r="D24" s="780">
        <v>108.34213390000001</v>
      </c>
      <c r="E24" s="780">
        <v>108.44460538000001</v>
      </c>
      <c r="F24" s="780">
        <v>108.34141756000001</v>
      </c>
      <c r="G24" s="780">
        <v>107.02814206000001</v>
      </c>
      <c r="H24" s="780">
        <v>106.49051306000001</v>
      </c>
      <c r="I24" s="780">
        <v>106.61607332000001</v>
      </c>
      <c r="J24" s="780">
        <v>106.71565464999999</v>
      </c>
      <c r="K24" s="780">
        <v>106.81712514</v>
      </c>
      <c r="L24" s="780">
        <v>106.80036045000001</v>
      </c>
      <c r="M24" s="779">
        <v>107.09974329000001</v>
      </c>
      <c r="N24" s="781">
        <v>106.09852201999999</v>
      </c>
      <c r="O24" s="781">
        <v>106.24867512</v>
      </c>
      <c r="P24" s="779">
        <v>106.61705938</v>
      </c>
      <c r="Q24" s="779">
        <v>106.69567336</v>
      </c>
      <c r="R24" s="779">
        <v>106.7792365</v>
      </c>
      <c r="S24" s="779">
        <v>75.825461699999991</v>
      </c>
      <c r="T24" s="779">
        <v>75.529201690000008</v>
      </c>
      <c r="U24" s="779">
        <v>75.430923550000003</v>
      </c>
      <c r="V24" s="779">
        <v>69.70476192000001</v>
      </c>
      <c r="W24" s="779">
        <v>66.442090160000006</v>
      </c>
      <c r="X24" s="779">
        <v>62.258308859999993</v>
      </c>
      <c r="Y24" s="779">
        <v>55.897340169999993</v>
      </c>
      <c r="Z24" s="779">
        <v>55.897340169999993</v>
      </c>
      <c r="AA24" s="781">
        <v>95.533825399999998</v>
      </c>
      <c r="AB24" s="779">
        <v>109.80796719</v>
      </c>
      <c r="AC24" s="779">
        <v>109.52518578999999</v>
      </c>
      <c r="AD24" s="779">
        <v>109.46346429</v>
      </c>
      <c r="AE24" s="779">
        <v>109.25959749</v>
      </c>
      <c r="AF24" s="779">
        <v>106.89308803</v>
      </c>
      <c r="AG24" s="779">
        <v>105.68164453999998</v>
      </c>
      <c r="AH24" s="779">
        <v>60.108927739999999</v>
      </c>
      <c r="AI24" s="779">
        <v>59.976511089999995</v>
      </c>
      <c r="AJ24" s="779">
        <v>129.50009528999999</v>
      </c>
      <c r="AK24" s="779">
        <v>129.36955814999999</v>
      </c>
      <c r="AL24" s="779">
        <v>157.92443012999999</v>
      </c>
      <c r="AM24" s="779">
        <v>159.02901439999999</v>
      </c>
      <c r="AN24" s="779">
        <v>157.05150552999999</v>
      </c>
      <c r="AO24" s="779">
        <v>155.92044872000002</v>
      </c>
      <c r="AP24" s="779">
        <v>154.17443946999998</v>
      </c>
      <c r="AQ24" s="779">
        <v>153.16911174000001</v>
      </c>
      <c r="AR24" s="779">
        <v>255.81389215000002</v>
      </c>
      <c r="AS24" s="779">
        <v>254.38493355000003</v>
      </c>
      <c r="AT24" s="779">
        <v>256.60399834999998</v>
      </c>
      <c r="AU24" s="779">
        <f>AU8-AU12</f>
        <v>256.36835584000005</v>
      </c>
      <c r="AV24" s="779">
        <v>259.49763610000002</v>
      </c>
      <c r="AW24" s="779">
        <v>465.31375779999996</v>
      </c>
      <c r="AX24" s="779">
        <v>471.77481549000004</v>
      </c>
      <c r="AY24" s="779">
        <v>326.64284477000001</v>
      </c>
      <c r="AZ24" s="779">
        <v>297.13391614999995</v>
      </c>
      <c r="BA24" s="779">
        <v>293.16947893999998</v>
      </c>
      <c r="BB24" s="779">
        <v>289.47422525999997</v>
      </c>
      <c r="BC24" s="779">
        <v>288.30093167999996</v>
      </c>
      <c r="BD24" s="779">
        <v>288.26352739000004</v>
      </c>
      <c r="BE24" s="779">
        <v>264.20284466000004</v>
      </c>
      <c r="BF24" s="779">
        <v>255.65124502</v>
      </c>
      <c r="BG24" s="779">
        <v>250.36028282999999</v>
      </c>
      <c r="BH24" s="779">
        <v>212.74865038000002</v>
      </c>
      <c r="BI24" s="969">
        <v>210.86317092999997</v>
      </c>
      <c r="BJ24" s="993">
        <v>214.78220189000001</v>
      </c>
      <c r="BK24" s="993">
        <v>214.69209960000001</v>
      </c>
      <c r="BL24" s="993">
        <v>208.91317305999999</v>
      </c>
      <c r="BM24" s="993">
        <v>210.96696612000002</v>
      </c>
      <c r="BN24" s="993">
        <v>211.01097741000001</v>
      </c>
      <c r="BO24" s="993">
        <v>207.94544289000001</v>
      </c>
      <c r="BP24" s="993">
        <v>207.66851338999999</v>
      </c>
      <c r="BQ24" s="993">
        <v>209.75581366</v>
      </c>
      <c r="BR24" s="993">
        <v>201.43093210999999</v>
      </c>
      <c r="BS24" s="993">
        <v>199.57890581999999</v>
      </c>
      <c r="BT24" s="993">
        <v>189.89995281999998</v>
      </c>
      <c r="BU24" s="993">
        <v>189.75713625999998</v>
      </c>
      <c r="BV24" s="993">
        <v>341.22451424000002</v>
      </c>
      <c r="BW24" s="993">
        <v>370.09766281000003</v>
      </c>
      <c r="BX24" s="993">
        <v>369.34873726000001</v>
      </c>
      <c r="BY24" s="993">
        <v>368.27271030000003</v>
      </c>
      <c r="BZ24" s="993">
        <v>367.80311220000004</v>
      </c>
      <c r="CA24" s="993">
        <v>366.98734824999997</v>
      </c>
      <c r="CB24" s="993">
        <v>368.02160163000002</v>
      </c>
      <c r="CC24" s="993">
        <v>365.54594038000005</v>
      </c>
      <c r="CD24" s="993">
        <v>336.20270830999999</v>
      </c>
      <c r="CE24" s="993">
        <v>485.31787971</v>
      </c>
      <c r="CF24" s="993">
        <v>505.01814171000001</v>
      </c>
      <c r="CG24" s="993">
        <v>576.69319178000001</v>
      </c>
      <c r="CH24" s="993">
        <v>577.24842278000006</v>
      </c>
      <c r="CI24" s="993">
        <v>581.83457124000006</v>
      </c>
      <c r="CJ24" s="993">
        <v>578.83765440000002</v>
      </c>
      <c r="CK24" s="993">
        <v>580.18852890000005</v>
      </c>
      <c r="CL24" s="993">
        <v>579.6157369</v>
      </c>
      <c r="CM24" s="993">
        <v>580.85018289999994</v>
      </c>
      <c r="CN24" s="993">
        <v>518.55190146999996</v>
      </c>
      <c r="CO24" s="993">
        <v>513.50715558000002</v>
      </c>
      <c r="CP24" s="993">
        <v>504.87096155</v>
      </c>
      <c r="CQ24" s="993">
        <v>490.95399385000002</v>
      </c>
      <c r="CR24" s="993">
        <v>491.57127988000002</v>
      </c>
      <c r="CS24" s="993">
        <v>490.21382276000003</v>
      </c>
      <c r="CT24" s="993">
        <v>491.58243305000002</v>
      </c>
      <c r="CU24" s="993">
        <v>481.85442748000003</v>
      </c>
      <c r="CV24" s="993">
        <v>481.08271657</v>
      </c>
      <c r="CW24" s="993">
        <v>479.30558165000002</v>
      </c>
      <c r="CX24" s="993">
        <v>488.72797727</v>
      </c>
      <c r="CY24" s="993">
        <v>484.17555319000002</v>
      </c>
      <c r="CZ24" s="993">
        <v>456.20319592999999</v>
      </c>
      <c r="DA24" s="993">
        <v>452.48552334999999</v>
      </c>
      <c r="DB24" s="993">
        <v>452.05065255</v>
      </c>
      <c r="DC24" s="993">
        <v>449.62968031999998</v>
      </c>
      <c r="DD24" s="993">
        <v>445.86568923999999</v>
      </c>
      <c r="DE24" s="993">
        <v>436.49075613999997</v>
      </c>
      <c r="DF24" s="993">
        <v>442.49687535999999</v>
      </c>
      <c r="DG24" s="993">
        <v>438.50471391999997</v>
      </c>
      <c r="DH24" s="993">
        <v>421.01600595999997</v>
      </c>
      <c r="DI24" s="993">
        <v>431.51017419999999</v>
      </c>
      <c r="DJ24" s="993">
        <v>424.73953983000001</v>
      </c>
      <c r="DK24" s="993">
        <v>411.14663818999998</v>
      </c>
      <c r="DL24" s="993">
        <v>382.12502424000002</v>
      </c>
      <c r="DM24" s="993">
        <v>369.39974102000002</v>
      </c>
      <c r="DN24" s="993">
        <v>353.43576088999998</v>
      </c>
      <c r="DO24" s="993">
        <v>352.44653404000002</v>
      </c>
      <c r="DP24" s="993">
        <v>383.81573537999998</v>
      </c>
      <c r="DQ24" s="993">
        <v>374.31708958000002</v>
      </c>
      <c r="DR24" s="993">
        <v>376.42101409999998</v>
      </c>
      <c r="DS24" s="993">
        <v>403.74303050999998</v>
      </c>
      <c r="DT24" s="993">
        <v>412.73237362999998</v>
      </c>
      <c r="DU24" s="993">
        <v>421.68431391000001</v>
      </c>
      <c r="DV24" s="993">
        <v>420.49681529999998</v>
      </c>
      <c r="DW24" s="993">
        <v>404.78777256000001</v>
      </c>
      <c r="DX24" s="993">
        <v>382.76199386000002</v>
      </c>
      <c r="DY24" s="993">
        <v>376.43285250000002</v>
      </c>
      <c r="DZ24" s="993">
        <v>360.98999031</v>
      </c>
      <c r="EA24" s="993">
        <v>358.57932742000003</v>
      </c>
      <c r="EB24" s="993">
        <v>357.32382509000001</v>
      </c>
      <c r="EC24" s="993">
        <v>343.95244947999998</v>
      </c>
      <c r="ED24" s="993">
        <v>320.77789512999999</v>
      </c>
      <c r="EE24" s="993">
        <v>521.43999653000003</v>
      </c>
      <c r="EF24" s="993">
        <v>481.85524631999999</v>
      </c>
      <c r="EK24" s="400"/>
    </row>
    <row r="25" spans="1:141" ht="19.8">
      <c r="A25" s="977" t="s">
        <v>2001</v>
      </c>
      <c r="B25" s="974">
        <v>99.833261400000012</v>
      </c>
      <c r="C25" s="780">
        <v>106.44315219000001</v>
      </c>
      <c r="D25" s="780">
        <v>106.28423286000002</v>
      </c>
      <c r="E25" s="780">
        <v>106.41752004000001</v>
      </c>
      <c r="F25" s="780">
        <v>106.38740227000001</v>
      </c>
      <c r="G25" s="780">
        <v>106.58278156</v>
      </c>
      <c r="H25" s="780">
        <v>105.98456656</v>
      </c>
      <c r="I25" s="780">
        <v>106.02516172000001</v>
      </c>
      <c r="J25" s="780">
        <v>106.14244715</v>
      </c>
      <c r="K25" s="780">
        <v>106.25356214000001</v>
      </c>
      <c r="L25" s="780">
        <v>106.21428205000001</v>
      </c>
      <c r="M25" s="781">
        <v>106.27125029</v>
      </c>
      <c r="N25" s="781">
        <v>105.42589382</v>
      </c>
      <c r="O25" s="781">
        <v>105.48383172000001</v>
      </c>
      <c r="P25" s="781">
        <v>105.48053741999999</v>
      </c>
      <c r="Q25" s="781">
        <v>105.50274481000001</v>
      </c>
      <c r="R25" s="781">
        <v>105.44742282999999</v>
      </c>
      <c r="S25" s="781">
        <v>74.488805080000006</v>
      </c>
      <c r="T25" s="781">
        <v>73.546341600000005</v>
      </c>
      <c r="U25" s="781">
        <v>73.369244750000007</v>
      </c>
      <c r="V25" s="781">
        <v>67.664059940000001</v>
      </c>
      <c r="W25" s="781">
        <v>64.411398649999995</v>
      </c>
      <c r="X25" s="781">
        <v>60.238754799999995</v>
      </c>
      <c r="Y25" s="781">
        <v>53.898311239999998</v>
      </c>
      <c r="Z25" s="781">
        <v>53.898311239999998</v>
      </c>
      <c r="AA25" s="781">
        <v>93.531296999999995</v>
      </c>
      <c r="AB25" s="781">
        <v>107.38980836</v>
      </c>
      <c r="AC25" s="781">
        <v>107.10187821</v>
      </c>
      <c r="AD25" s="781">
        <v>107.05489965000001</v>
      </c>
      <c r="AE25" s="781">
        <v>106.86493464</v>
      </c>
      <c r="AF25" s="781">
        <v>104.51414189</v>
      </c>
      <c r="AG25" s="781">
        <v>103.49166819999999</v>
      </c>
      <c r="AH25" s="781">
        <v>57.98528512</v>
      </c>
      <c r="AI25" s="781">
        <v>57.986993929999997</v>
      </c>
      <c r="AJ25" s="781">
        <v>127.6913203</v>
      </c>
      <c r="AK25" s="781">
        <v>127.67921832</v>
      </c>
      <c r="AL25" s="781">
        <v>155.80090086000001</v>
      </c>
      <c r="AM25" s="781">
        <v>156.79796958999998</v>
      </c>
      <c r="AN25" s="781">
        <v>154.88184192</v>
      </c>
      <c r="AO25" s="781">
        <v>153.73654651000001</v>
      </c>
      <c r="AP25" s="781">
        <v>151.86215176000002</v>
      </c>
      <c r="AQ25" s="781">
        <v>150.87591744000002</v>
      </c>
      <c r="AR25" s="781">
        <v>253.51855224000002</v>
      </c>
      <c r="AS25" s="781">
        <v>252.24450683000003</v>
      </c>
      <c r="AT25" s="781">
        <v>254.68850683000002</v>
      </c>
      <c r="AU25" s="781">
        <f>AU9-AU13</f>
        <v>254.11650683000002</v>
      </c>
      <c r="AV25" s="781">
        <v>255.00050683000001</v>
      </c>
      <c r="AW25" s="781">
        <v>259.87290683000003</v>
      </c>
      <c r="AX25" s="781">
        <v>467.29690683000001</v>
      </c>
      <c r="AY25" s="781">
        <v>322.07088182999996</v>
      </c>
      <c r="AZ25" s="781">
        <v>293.58</v>
      </c>
      <c r="BA25" s="781">
        <v>289.69920000000002</v>
      </c>
      <c r="BB25" s="781">
        <v>286.02</v>
      </c>
      <c r="BC25" s="781">
        <v>285.93599999999998</v>
      </c>
      <c r="BD25" s="781">
        <v>285.95280000000002</v>
      </c>
      <c r="BE25" s="781">
        <v>261.93860000000001</v>
      </c>
      <c r="BF25" s="781">
        <v>253.44900000000001</v>
      </c>
      <c r="BG25" s="781">
        <v>247.37909999999999</v>
      </c>
      <c r="BH25" s="781">
        <v>210.82480000000001</v>
      </c>
      <c r="BI25" s="970">
        <v>208.26224999999999</v>
      </c>
      <c r="BJ25" s="994">
        <v>208.66177350000001</v>
      </c>
      <c r="BK25" s="994">
        <v>208.66177350000001</v>
      </c>
      <c r="BL25" s="994">
        <v>202.7114235</v>
      </c>
      <c r="BM25" s="994">
        <v>202.6995</v>
      </c>
      <c r="BN25" s="994">
        <v>202.6995</v>
      </c>
      <c r="BO25" s="994">
        <v>202.6995</v>
      </c>
      <c r="BP25" s="994">
        <v>202.6995</v>
      </c>
      <c r="BQ25" s="994">
        <v>199.29949999999999</v>
      </c>
      <c r="BR25" s="994">
        <v>190.79949999999999</v>
      </c>
      <c r="BS25" s="994">
        <v>189.09950000000001</v>
      </c>
      <c r="BT25" s="994">
        <v>178.89949999999999</v>
      </c>
      <c r="BU25" s="994">
        <v>178.89949999999999</v>
      </c>
      <c r="BV25" s="994">
        <v>308.9495</v>
      </c>
      <c r="BW25" s="994">
        <v>308.9495</v>
      </c>
      <c r="BX25" s="994">
        <v>308.9495</v>
      </c>
      <c r="BY25" s="994">
        <v>308.9495</v>
      </c>
      <c r="BZ25" s="994">
        <v>308.9495</v>
      </c>
      <c r="CA25" s="994">
        <v>308.9495</v>
      </c>
      <c r="CB25" s="994">
        <v>308.9495</v>
      </c>
      <c r="CC25" s="994">
        <v>307.24950000000001</v>
      </c>
      <c r="CD25" s="994">
        <v>278.34949999999998</v>
      </c>
      <c r="CE25" s="994">
        <v>427.9495</v>
      </c>
      <c r="CF25" s="994">
        <v>412.64949999999999</v>
      </c>
      <c r="CG25" s="994">
        <v>501.04950000000002</v>
      </c>
      <c r="CH25" s="994">
        <v>501.04950000000002</v>
      </c>
      <c r="CI25" s="994">
        <v>495.55</v>
      </c>
      <c r="CJ25" s="994">
        <v>495.55</v>
      </c>
      <c r="CK25" s="994">
        <v>495.55</v>
      </c>
      <c r="CL25" s="994">
        <v>495.55</v>
      </c>
      <c r="CM25" s="994">
        <v>495.55</v>
      </c>
      <c r="CN25" s="994">
        <v>435.2</v>
      </c>
      <c r="CO25" s="994">
        <v>426.7</v>
      </c>
      <c r="CP25" s="994">
        <v>418.2</v>
      </c>
      <c r="CQ25" s="994">
        <v>266.05</v>
      </c>
      <c r="CR25" s="994">
        <v>396.1</v>
      </c>
      <c r="CS25" s="994">
        <v>396.1</v>
      </c>
      <c r="CT25" s="994">
        <v>396.1</v>
      </c>
      <c r="CU25" s="994">
        <v>396.1</v>
      </c>
      <c r="CV25" s="994">
        <v>396.1</v>
      </c>
      <c r="CW25" s="994">
        <v>396.1</v>
      </c>
      <c r="CX25" s="994">
        <v>396.1</v>
      </c>
      <c r="CY25" s="994">
        <v>396.1</v>
      </c>
      <c r="CZ25" s="994">
        <v>374.42500000000001</v>
      </c>
      <c r="DA25" s="994">
        <v>374.42500000000001</v>
      </c>
      <c r="DB25" s="994">
        <v>374.42500000000001</v>
      </c>
      <c r="DC25" s="994">
        <v>374.42500000000001</v>
      </c>
      <c r="DD25" s="994">
        <v>374.42500000000001</v>
      </c>
      <c r="DE25" s="994">
        <v>374.42500000000001</v>
      </c>
      <c r="DF25" s="994">
        <v>352.94499999999999</v>
      </c>
      <c r="DG25" s="994">
        <v>352.98958333000002</v>
      </c>
      <c r="DH25" s="994">
        <v>337.68244729000003</v>
      </c>
      <c r="DI25" s="994">
        <v>337.67523967</v>
      </c>
      <c r="DJ25" s="994">
        <v>337.66800667000001</v>
      </c>
      <c r="DK25" s="994">
        <v>322.92743572000001</v>
      </c>
      <c r="DL25" s="994">
        <v>301.24515116999999</v>
      </c>
      <c r="DM25" s="994">
        <v>301.23782082999998</v>
      </c>
      <c r="DN25" s="994">
        <v>285.93048272999999</v>
      </c>
      <c r="DO25" s="994">
        <v>285.92311740999997</v>
      </c>
      <c r="DP25" s="994">
        <v>314.52628662000001</v>
      </c>
      <c r="DQ25" s="994">
        <v>295.79374996000001</v>
      </c>
      <c r="DR25" s="994">
        <v>294.10383329000001</v>
      </c>
      <c r="DS25" s="994">
        <v>321.09381311999999</v>
      </c>
      <c r="DT25" s="994">
        <v>327.95894475</v>
      </c>
      <c r="DU25" s="994">
        <v>332.85235008000001</v>
      </c>
      <c r="DV25" s="994">
        <v>332.84208493</v>
      </c>
      <c r="DW25" s="994">
        <v>318.09848645</v>
      </c>
      <c r="DX25" s="994">
        <v>296.41863797000002</v>
      </c>
      <c r="DY25" s="994">
        <v>296.40295615000002</v>
      </c>
      <c r="DZ25" s="994">
        <v>281.092691</v>
      </c>
      <c r="EA25" s="994">
        <v>281.08242584999999</v>
      </c>
      <c r="EB25" s="994">
        <v>281.07216069999998</v>
      </c>
      <c r="EC25" s="994">
        <v>266.32856222999999</v>
      </c>
      <c r="ED25" s="994">
        <v>244.64329708</v>
      </c>
      <c r="EE25" s="994">
        <v>448.03803192999999</v>
      </c>
      <c r="EF25" s="994">
        <v>408.07776677999999</v>
      </c>
      <c r="EK25" s="400"/>
    </row>
    <row r="26" spans="1:141" ht="19.8">
      <c r="A26" s="978" t="s">
        <v>2002</v>
      </c>
      <c r="B26" s="973">
        <f t="shared" ref="B26:V26" si="8">+B24-B25</f>
        <v>2.8927543100000008</v>
      </c>
      <c r="C26" s="780">
        <f t="shared" si="8"/>
        <v>2.1254624500000006</v>
      </c>
      <c r="D26" s="780">
        <f t="shared" si="8"/>
        <v>2.0579010399999902</v>
      </c>
      <c r="E26" s="780">
        <f t="shared" si="8"/>
        <v>2.0270853399999993</v>
      </c>
      <c r="F26" s="780">
        <f t="shared" si="8"/>
        <v>1.954015290000001</v>
      </c>
      <c r="G26" s="780">
        <f t="shared" si="8"/>
        <v>0.44536050000000671</v>
      </c>
      <c r="H26" s="780">
        <f t="shared" si="8"/>
        <v>0.5059465000000074</v>
      </c>
      <c r="I26" s="780">
        <f t="shared" si="8"/>
        <v>0.59091159999999832</v>
      </c>
      <c r="J26" s="780">
        <f t="shared" si="8"/>
        <v>0.57320749999999521</v>
      </c>
      <c r="K26" s="780">
        <f t="shared" si="8"/>
        <v>0.56356299999998782</v>
      </c>
      <c r="L26" s="780">
        <f t="shared" si="8"/>
        <v>0.58607840000000522</v>
      </c>
      <c r="M26" s="781">
        <f t="shared" si="8"/>
        <v>0.82849300000000881</v>
      </c>
      <c r="N26" s="781">
        <f t="shared" si="8"/>
        <v>0.67262819999999124</v>
      </c>
      <c r="O26" s="781">
        <f t="shared" si="8"/>
        <v>0.76484339999998951</v>
      </c>
      <c r="P26" s="779">
        <f t="shared" si="8"/>
        <v>1.1365219600000103</v>
      </c>
      <c r="Q26" s="779">
        <f t="shared" si="8"/>
        <v>1.1929285499999907</v>
      </c>
      <c r="R26" s="779">
        <f t="shared" si="8"/>
        <v>1.3318136700000025</v>
      </c>
      <c r="S26" s="779">
        <f t="shared" si="8"/>
        <v>1.3366566199999852</v>
      </c>
      <c r="T26" s="779">
        <f t="shared" si="8"/>
        <v>1.9828600900000026</v>
      </c>
      <c r="U26" s="779">
        <f t="shared" si="8"/>
        <v>2.0616787999999957</v>
      </c>
      <c r="V26" s="779">
        <f t="shared" si="8"/>
        <v>2.0407019800000086</v>
      </c>
      <c r="W26" s="779">
        <v>2.0306915100000111</v>
      </c>
      <c r="X26" s="779">
        <v>2.0195540599999973</v>
      </c>
      <c r="Y26" s="781">
        <v>1.9990289299999944</v>
      </c>
      <c r="Z26" s="779">
        <v>1.9990289299999944</v>
      </c>
      <c r="AA26" s="781">
        <v>2.0025284000000028</v>
      </c>
      <c r="AB26" s="781">
        <v>2.4181588299999959</v>
      </c>
      <c r="AC26" s="781">
        <v>2.4233075799999995</v>
      </c>
      <c r="AD26" s="781">
        <v>2.4085646399999945</v>
      </c>
      <c r="AE26" s="781">
        <v>2.3946628500000031</v>
      </c>
      <c r="AF26" s="781">
        <v>2.3789461399999965</v>
      </c>
      <c r="AG26" s="781">
        <v>2.189976339999987</v>
      </c>
      <c r="AH26" s="781">
        <v>2.1236426199999983</v>
      </c>
      <c r="AI26" s="781">
        <f>+AI24-AI25</f>
        <v>1.9895171599999983</v>
      </c>
      <c r="AJ26" s="781">
        <v>1.8087749899999892</v>
      </c>
      <c r="AK26" s="781">
        <f>+AK24-AK25</f>
        <v>1.690339829999985</v>
      </c>
      <c r="AL26" s="781">
        <f>+AL24-AL25</f>
        <v>2.1235292699999775</v>
      </c>
      <c r="AM26" s="781">
        <v>2.2310448100000144</v>
      </c>
      <c r="AN26" s="781">
        <f>+AN24-AN25</f>
        <v>2.1696636099999864</v>
      </c>
      <c r="AO26" s="781">
        <f>+AO24-AO25</f>
        <v>2.1839022100000136</v>
      </c>
      <c r="AP26" s="781">
        <f>+AP24-AP25</f>
        <v>2.3122877099999641</v>
      </c>
      <c r="AQ26" s="781">
        <f>+AQ24-AQ25</f>
        <v>2.2931942999999819</v>
      </c>
      <c r="AR26" s="781">
        <v>2.2953399099999956</v>
      </c>
      <c r="AS26" s="781">
        <f>+AS24-AS25</f>
        <v>2.1404267199999936</v>
      </c>
      <c r="AT26" s="781">
        <f>+AT24-AT25</f>
        <v>1.9154915199999607</v>
      </c>
      <c r="AU26" s="781">
        <f>AU10-AU14</f>
        <v>2.2518490100000701</v>
      </c>
      <c r="AV26" s="781">
        <v>4.4971292700000181</v>
      </c>
      <c r="AW26" s="781">
        <v>205.44085096999987</v>
      </c>
      <c r="AX26" s="781">
        <v>4.4779086600000273</v>
      </c>
      <c r="AY26" s="781">
        <v>4.5719629400000628</v>
      </c>
      <c r="AZ26" s="781">
        <v>3.5539161499999636</v>
      </c>
      <c r="BA26" s="781">
        <v>3.4702789399999574</v>
      </c>
      <c r="BB26" s="781">
        <v>3.454225259999987</v>
      </c>
      <c r="BC26" s="781">
        <v>2.3649316799999838</v>
      </c>
      <c r="BD26" s="781">
        <v>2.3107273900000109</v>
      </c>
      <c r="BE26" s="781">
        <f>+BE24-BE25</f>
        <v>2.2642446600000312</v>
      </c>
      <c r="BF26" s="781">
        <v>2.2022450199999923</v>
      </c>
      <c r="BG26" s="781">
        <v>2.9811828299999945</v>
      </c>
      <c r="BH26" s="781">
        <v>1.9238503800000046</v>
      </c>
      <c r="BI26" s="970">
        <v>2.6009209299999725</v>
      </c>
      <c r="BJ26" s="994">
        <v>6.1204283900000007</v>
      </c>
      <c r="BK26" s="994">
        <f>+BK24-BK25</f>
        <v>6.0303260999999964</v>
      </c>
      <c r="BL26" s="994">
        <v>6.201749559999989</v>
      </c>
      <c r="BM26" s="994">
        <v>8.267466120000023</v>
      </c>
      <c r="BN26" s="994">
        <v>8.3114774100000091</v>
      </c>
      <c r="BO26" s="994">
        <v>5.24594289000001</v>
      </c>
      <c r="BP26" s="994">
        <v>4.9690133899999864</v>
      </c>
      <c r="BQ26" s="994">
        <v>10.456313660000006</v>
      </c>
      <c r="BR26" s="994">
        <v>10.631432109999986</v>
      </c>
      <c r="BS26" s="994">
        <v>10.479405819999986</v>
      </c>
      <c r="BT26" s="994">
        <v>11.000452819999984</v>
      </c>
      <c r="BU26" s="994">
        <v>10.857636260000003</v>
      </c>
      <c r="BV26" s="994">
        <v>32.275014240000033</v>
      </c>
      <c r="BW26" s="994">
        <v>61.148162810000002</v>
      </c>
      <c r="BX26" s="994">
        <v>60.399237259999978</v>
      </c>
      <c r="BY26" s="994">
        <v>59.323210300000028</v>
      </c>
      <c r="BZ26" s="994">
        <v>58.853612200000057</v>
      </c>
      <c r="CA26" s="994">
        <v>58.037848249999946</v>
      </c>
      <c r="CB26" s="994">
        <v>59.072101629999999</v>
      </c>
      <c r="CC26" s="994">
        <v>58.29644038000005</v>
      </c>
      <c r="CD26" s="994">
        <v>57.853208309999992</v>
      </c>
      <c r="CE26" s="994">
        <v>57.368379710000013</v>
      </c>
      <c r="CF26" s="994">
        <f t="shared" ref="CF26:CN26" si="9">+CF10-CF14</f>
        <v>92.36864171000002</v>
      </c>
      <c r="CG26" s="994">
        <f t="shared" si="9"/>
        <v>75.64369178000004</v>
      </c>
      <c r="CH26" s="994">
        <f t="shared" si="9"/>
        <v>76.198922780000004</v>
      </c>
      <c r="CI26" s="994">
        <f t="shared" si="9"/>
        <v>86.284571240000076</v>
      </c>
      <c r="CJ26" s="994">
        <f t="shared" si="9"/>
        <v>83.287654400000065</v>
      </c>
      <c r="CK26" s="994">
        <f t="shared" si="9"/>
        <v>84.638528900000082</v>
      </c>
      <c r="CL26" s="994">
        <f t="shared" si="9"/>
        <v>84.065736899999933</v>
      </c>
      <c r="CM26" s="994">
        <f t="shared" si="9"/>
        <v>85.300182899999939</v>
      </c>
      <c r="CN26" s="994">
        <f t="shared" si="9"/>
        <v>83.351901470000001</v>
      </c>
      <c r="CO26" s="994">
        <f t="shared" ref="CO26:CT26" si="10">+CO24-CO25</f>
        <v>86.807155580000028</v>
      </c>
      <c r="CP26" s="994">
        <f t="shared" si="10"/>
        <v>86.670961550000015</v>
      </c>
      <c r="CQ26" s="994">
        <f t="shared" si="10"/>
        <v>224.90399385000001</v>
      </c>
      <c r="CR26" s="994">
        <f t="shared" si="10"/>
        <v>95.471279879999997</v>
      </c>
      <c r="CS26" s="994">
        <f t="shared" si="10"/>
        <v>94.113822760000005</v>
      </c>
      <c r="CT26" s="994">
        <f t="shared" si="10"/>
        <v>95.482433049999997</v>
      </c>
      <c r="CU26" s="994">
        <v>85.754427480000004</v>
      </c>
      <c r="CV26" s="994">
        <f>+CV24-CV25</f>
        <v>84.98271656999998</v>
      </c>
      <c r="CW26" s="994">
        <v>83.205581649999999</v>
      </c>
      <c r="CX26" s="994">
        <v>92.627977269999974</v>
      </c>
      <c r="CY26" s="994">
        <v>88.075553189999994</v>
      </c>
      <c r="CZ26" s="994">
        <v>81.778195929999981</v>
      </c>
      <c r="DA26" s="994">
        <v>78.060523349999983</v>
      </c>
      <c r="DB26" s="994">
        <v>77.625652549999984</v>
      </c>
      <c r="DC26" s="994">
        <v>75.204680319999966</v>
      </c>
      <c r="DD26" s="994">
        <f>DD24-DD25</f>
        <v>71.440689239999983</v>
      </c>
      <c r="DE26" s="994">
        <v>62.065756139999962</v>
      </c>
      <c r="DF26" s="994">
        <v>89.551875359999997</v>
      </c>
      <c r="DG26" s="994">
        <v>85.515130589999956</v>
      </c>
      <c r="DH26" s="994">
        <f>DH24-DH25</f>
        <v>83.333558669999945</v>
      </c>
      <c r="DI26" s="994">
        <v>93.834934529999998</v>
      </c>
      <c r="DJ26" s="994">
        <f>DJ24-DJ25</f>
        <v>87.071533160000001</v>
      </c>
      <c r="DK26" s="994">
        <v>88.219202469999971</v>
      </c>
      <c r="DL26" s="994">
        <v>80.879873070000031</v>
      </c>
      <c r="DM26" s="994">
        <v>68.161920190000046</v>
      </c>
      <c r="DN26" s="994">
        <v>67.505278159999989</v>
      </c>
      <c r="DO26" s="994">
        <f>DO24-DO25</f>
        <v>66.523416630000042</v>
      </c>
      <c r="DP26" s="994">
        <f>DP24-DP25</f>
        <v>69.289448759999971</v>
      </c>
      <c r="DQ26" s="994">
        <v>78.523339620000002</v>
      </c>
      <c r="DR26" s="994">
        <f>DR24-DR25</f>
        <v>82.317180809999968</v>
      </c>
      <c r="DS26" s="994">
        <f>DS24-DS25</f>
        <v>82.64921738999999</v>
      </c>
      <c r="DT26" s="994">
        <v>84.773428879999983</v>
      </c>
      <c r="DU26" s="994">
        <v>88.831963830000007</v>
      </c>
      <c r="DV26" s="994">
        <f>DV24-DV25</f>
        <v>87.654730369999982</v>
      </c>
      <c r="DW26" s="994">
        <f>DW24-DW25</f>
        <v>86.689286110000012</v>
      </c>
      <c r="DX26" s="994">
        <v>86.343355889999998</v>
      </c>
      <c r="DY26" s="994">
        <v>80.029896350000001</v>
      </c>
      <c r="DZ26" s="994">
        <f>DZ24-DZ25</f>
        <v>79.897299309999994</v>
      </c>
      <c r="EA26" s="994">
        <f>EA24-EA25</f>
        <v>77.496901570000034</v>
      </c>
      <c r="EB26" s="994">
        <v>76.25166439000003</v>
      </c>
      <c r="EC26" s="994">
        <v>77.623887249999996</v>
      </c>
      <c r="ED26" s="994">
        <v>76.134598049999994</v>
      </c>
      <c r="EE26" s="994">
        <v>73.401964600000042</v>
      </c>
      <c r="EF26" s="994">
        <f>EF24-EF25</f>
        <v>73.777479540000002</v>
      </c>
      <c r="EK26" s="400"/>
    </row>
    <row r="27" spans="1:141" ht="19.8">
      <c r="A27" s="977"/>
      <c r="B27" s="974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970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F27" s="994"/>
      <c r="EK27" s="400"/>
    </row>
    <row r="28" spans="1:141" ht="19.8">
      <c r="A28" s="1513" t="s">
        <v>189</v>
      </c>
      <c r="B28" s="974">
        <v>102.42453111000002</v>
      </c>
      <c r="C28" s="780">
        <v>101.70884353000001</v>
      </c>
      <c r="D28" s="780">
        <v>101.65635028000001</v>
      </c>
      <c r="E28" s="780">
        <v>101.64458174000001</v>
      </c>
      <c r="F28" s="780">
        <v>101.59897269000001</v>
      </c>
      <c r="G28" s="780">
        <v>100.1832624</v>
      </c>
      <c r="H28" s="780">
        <v>100.30126240000001</v>
      </c>
      <c r="I28" s="780">
        <v>100.43426140000001</v>
      </c>
      <c r="J28" s="780">
        <v>100.41590093999999</v>
      </c>
      <c r="K28" s="780">
        <v>100.45155379000001</v>
      </c>
      <c r="L28" s="780">
        <v>100.50499395000001</v>
      </c>
      <c r="M28" s="779">
        <v>100.72720725000001</v>
      </c>
      <c r="N28" s="781">
        <v>100.57086774</v>
      </c>
      <c r="O28" s="781">
        <v>100.66899729000001</v>
      </c>
      <c r="P28" s="781">
        <v>100.64642674</v>
      </c>
      <c r="Q28" s="781">
        <v>100.71789001</v>
      </c>
      <c r="R28" s="781">
        <v>100.89540627999999</v>
      </c>
      <c r="S28" s="781">
        <v>69.955786869999997</v>
      </c>
      <c r="T28" s="781">
        <v>69.853752950000001</v>
      </c>
      <c r="U28" s="781">
        <v>69.746160020000005</v>
      </c>
      <c r="V28" s="781">
        <v>64.184370560000005</v>
      </c>
      <c r="W28" s="781">
        <v>60.96970701</v>
      </c>
      <c r="X28" s="781">
        <v>56.845041179999996</v>
      </c>
      <c r="Y28" s="779">
        <v>50.600888649999995</v>
      </c>
      <c r="Z28" s="781">
        <v>50.600888649999995</v>
      </c>
      <c r="AA28" s="781">
        <v>50.346050239999997</v>
      </c>
      <c r="AB28" s="779">
        <v>49.374283579999997</v>
      </c>
      <c r="AC28" s="779">
        <v>49.286077309999996</v>
      </c>
      <c r="AD28" s="779">
        <v>49.107607730000005</v>
      </c>
      <c r="AE28" s="779">
        <v>48.928590470000003</v>
      </c>
      <c r="AF28" s="779">
        <v>46.547880760000005</v>
      </c>
      <c r="AG28" s="779">
        <v>46.36426286999999</v>
      </c>
      <c r="AH28" s="779">
        <v>0.79509401999999996</v>
      </c>
      <c r="AI28" s="779">
        <v>0.84137280000000003</v>
      </c>
      <c r="AJ28" s="779">
        <v>70.57170241</v>
      </c>
      <c r="AK28" s="779">
        <v>70.467120410000007</v>
      </c>
      <c r="AL28" s="779">
        <v>70.419156450000003</v>
      </c>
      <c r="AM28" s="779">
        <v>70.5091994</v>
      </c>
      <c r="AN28" s="779">
        <v>70.505287780000003</v>
      </c>
      <c r="AO28" s="779">
        <v>70.541653230000009</v>
      </c>
      <c r="AP28" s="779">
        <v>70.540339590000002</v>
      </c>
      <c r="AQ28" s="779">
        <v>70.538772570000006</v>
      </c>
      <c r="AR28" s="779">
        <v>170.53475010000002</v>
      </c>
      <c r="AS28" s="779">
        <v>170.37969514000002</v>
      </c>
      <c r="AT28" s="779">
        <v>170.15605697000001</v>
      </c>
      <c r="AU28" s="779">
        <v>170.55087729000002</v>
      </c>
      <c r="AV28" s="779">
        <v>172.82853878000003</v>
      </c>
      <c r="AW28" s="779">
        <v>172.81913374000001</v>
      </c>
      <c r="AX28" s="779">
        <v>172.80839894000002</v>
      </c>
      <c r="AY28" s="779">
        <v>3.0786035999999997</v>
      </c>
      <c r="AZ28" s="779">
        <v>2.9807361499999998</v>
      </c>
      <c r="BA28" s="779">
        <v>2.9650297400000003</v>
      </c>
      <c r="BB28" s="779">
        <v>2.9553927599999996</v>
      </c>
      <c r="BC28" s="779">
        <v>1.95134568</v>
      </c>
      <c r="BD28" s="779">
        <v>1.9396695900000001</v>
      </c>
      <c r="BE28" s="779">
        <v>1.9359709599999999</v>
      </c>
      <c r="BF28" s="779">
        <v>1.9164770200000001</v>
      </c>
      <c r="BG28" s="779">
        <v>1.9052659599999999</v>
      </c>
      <c r="BH28" s="779">
        <v>0.89043850999999996</v>
      </c>
      <c r="BI28" s="969">
        <v>0.88637007999999995</v>
      </c>
      <c r="BJ28" s="993">
        <v>0.88637007999999995</v>
      </c>
      <c r="BK28" s="993">
        <v>0.85998198000000003</v>
      </c>
      <c r="BL28" s="993">
        <v>0.85319076000000005</v>
      </c>
      <c r="BM28" s="993">
        <v>0.84891092000000001</v>
      </c>
      <c r="BN28" s="993">
        <v>0.84459498</v>
      </c>
      <c r="BO28" s="993">
        <v>0.7927826899999999</v>
      </c>
      <c r="BP28" s="993">
        <v>0.77263594999999996</v>
      </c>
      <c r="BQ28" s="993">
        <v>0.76893624999999999</v>
      </c>
      <c r="BR28" s="993">
        <v>0.74005490000000007</v>
      </c>
      <c r="BS28" s="993">
        <v>0.63496277000000001</v>
      </c>
      <c r="BT28" s="993">
        <v>0.3196503</v>
      </c>
      <c r="BU28" s="993">
        <v>0.17683373999999999</v>
      </c>
      <c r="BV28" s="993">
        <v>0.17276676999999999</v>
      </c>
      <c r="BW28" s="993">
        <v>0.16860033999999999</v>
      </c>
      <c r="BX28" s="993">
        <v>0.16434305999999999</v>
      </c>
      <c r="BY28" s="993">
        <v>0.16</v>
      </c>
      <c r="BZ28" s="993">
        <v>0.19850000000000001</v>
      </c>
      <c r="CA28" s="993">
        <v>0.21914624999999999</v>
      </c>
      <c r="CB28" s="993">
        <v>0.21779962999999999</v>
      </c>
      <c r="CC28" s="993">
        <v>0.25544844999999999</v>
      </c>
      <c r="CD28" s="993">
        <v>0.29635938000000001</v>
      </c>
      <c r="CE28" s="993">
        <v>0.29049578000000004</v>
      </c>
      <c r="CF28" s="993">
        <v>0.28363678000000003</v>
      </c>
      <c r="CG28" s="993">
        <v>0.49642378000000004</v>
      </c>
      <c r="CH28" s="993">
        <v>0.50451277999999999</v>
      </c>
      <c r="CI28" s="993">
        <v>0.47486658000000004</v>
      </c>
      <c r="CJ28" s="993">
        <v>0.45108908000000003</v>
      </c>
      <c r="CK28" s="993">
        <v>0.27968908000000003</v>
      </c>
      <c r="CL28" s="993">
        <v>0.26768908000000002</v>
      </c>
      <c r="CM28" s="993">
        <v>0.31978908</v>
      </c>
      <c r="CN28" s="993">
        <v>0.30074298999999999</v>
      </c>
      <c r="CO28" s="993">
        <v>0.33967509999999995</v>
      </c>
      <c r="CP28" s="993">
        <v>0.35350007</v>
      </c>
      <c r="CQ28" s="993">
        <v>0.41739736999999999</v>
      </c>
      <c r="CR28" s="993">
        <v>0.54571504000000004</v>
      </c>
      <c r="CS28" s="993">
        <v>0.69856979000000008</v>
      </c>
      <c r="CT28" s="993">
        <v>0.65880846999999998</v>
      </c>
      <c r="CU28" s="993">
        <v>0.64705281999999997</v>
      </c>
      <c r="CV28" s="993">
        <v>0.61856909000000004</v>
      </c>
      <c r="CW28" s="993">
        <v>0.71111603000000001</v>
      </c>
      <c r="CX28" s="993">
        <v>0.67366988000000005</v>
      </c>
      <c r="CY28" s="993">
        <v>1.2456321800000001</v>
      </c>
      <c r="CZ28" s="993">
        <v>1.29669199</v>
      </c>
      <c r="DA28" s="993">
        <v>1.2722749</v>
      </c>
      <c r="DB28" s="993">
        <v>1.1140137000000001</v>
      </c>
      <c r="DC28" s="993">
        <v>1.14861196</v>
      </c>
      <c r="DD28" s="993">
        <v>1.03379903</v>
      </c>
      <c r="DE28" s="993">
        <v>1.0837964899999999</v>
      </c>
      <c r="DF28" s="993">
        <v>1.4348065299999999</v>
      </c>
      <c r="DG28" s="993">
        <v>1.8587417500000001</v>
      </c>
      <c r="DH28" s="993">
        <v>2.0034793999999998</v>
      </c>
      <c r="DI28" s="993">
        <v>2.0042363399999998</v>
      </c>
      <c r="DJ28" s="993">
        <v>2.0254473100000001</v>
      </c>
      <c r="DK28" s="993">
        <v>2.11462197</v>
      </c>
      <c r="DL28" s="993">
        <v>2.1271785699999999</v>
      </c>
      <c r="DM28" s="993">
        <v>2.1280477800000002</v>
      </c>
      <c r="DN28" s="993">
        <v>2.1127762799999998</v>
      </c>
      <c r="DO28" s="993">
        <v>2.0201018500000001</v>
      </c>
      <c r="DP28" s="993">
        <v>2.05921523</v>
      </c>
      <c r="DQ28" s="993">
        <v>1.98951452</v>
      </c>
      <c r="DR28" s="993">
        <v>2.00661589</v>
      </c>
      <c r="DS28" s="993">
        <v>1.9632521199999999</v>
      </c>
      <c r="DT28" s="993">
        <v>1.9655655299999999</v>
      </c>
      <c r="DU28" s="993">
        <v>4.4526657900000002</v>
      </c>
      <c r="DV28" s="993">
        <v>4.4602689099999999</v>
      </c>
      <c r="DW28" s="993">
        <v>4.54253573</v>
      </c>
      <c r="DX28" s="993">
        <v>4.5025647700000002</v>
      </c>
      <c r="DY28" s="993">
        <v>4.4213491300000003</v>
      </c>
      <c r="DZ28" s="993">
        <v>4.4776889999999998</v>
      </c>
      <c r="EA28" s="993">
        <v>3.3174402600000001</v>
      </c>
      <c r="EB28" s="993">
        <v>3.3051423799999999</v>
      </c>
      <c r="EC28" s="993">
        <v>4.7330985700000001</v>
      </c>
      <c r="ED28" s="993">
        <v>4.6694644199999997</v>
      </c>
      <c r="EE28" s="993">
        <v>4.4961696900000003</v>
      </c>
      <c r="EF28" s="993">
        <v>5.0564205700000002</v>
      </c>
      <c r="EK28" s="400"/>
    </row>
    <row r="29" spans="1:141" ht="19.8">
      <c r="A29" s="1514" t="s">
        <v>2001</v>
      </c>
      <c r="B29" s="974">
        <v>99.833261400000012</v>
      </c>
      <c r="C29" s="780">
        <v>99.833261400000012</v>
      </c>
      <c r="D29" s="780">
        <v>99.833261400000012</v>
      </c>
      <c r="E29" s="780">
        <v>99.833261400000012</v>
      </c>
      <c r="F29" s="780">
        <v>99.833261400000012</v>
      </c>
      <c r="G29" s="780">
        <v>100.0132614</v>
      </c>
      <c r="H29" s="780">
        <v>100.06126140000001</v>
      </c>
      <c r="I29" s="780">
        <v>100.10926140000001</v>
      </c>
      <c r="J29" s="780">
        <v>100.10863893999999</v>
      </c>
      <c r="K29" s="780">
        <v>100.12804779000001</v>
      </c>
      <c r="L29" s="780">
        <v>100.13148795000001</v>
      </c>
      <c r="M29" s="781">
        <v>100.13092625</v>
      </c>
      <c r="N29" s="781">
        <v>100.13036274</v>
      </c>
      <c r="O29" s="781">
        <v>100.12849229000001</v>
      </c>
      <c r="P29" s="781">
        <v>100.10675707999999</v>
      </c>
      <c r="Q29" s="781">
        <v>100.10553954000001</v>
      </c>
      <c r="R29" s="781">
        <v>100.12796840999999</v>
      </c>
      <c r="S29" s="781">
        <v>69.155395380000002</v>
      </c>
      <c r="T29" s="781">
        <v>69.058152059999998</v>
      </c>
      <c r="U29" s="781">
        <v>68.953679640000004</v>
      </c>
      <c r="V29" s="781">
        <v>63.411258979999999</v>
      </c>
      <c r="W29" s="781">
        <v>60.194055499999997</v>
      </c>
      <c r="X29" s="781">
        <v>56.067976719999997</v>
      </c>
      <c r="Y29" s="781">
        <v>49.830488969999998</v>
      </c>
      <c r="Z29" s="781">
        <v>49.830488969999998</v>
      </c>
      <c r="AA29" s="781">
        <v>49.579062439999994</v>
      </c>
      <c r="AB29" s="781">
        <v>48.60970777</v>
      </c>
      <c r="AC29" s="781">
        <v>48.514305069999999</v>
      </c>
      <c r="AD29" s="781">
        <v>48.341717340000002</v>
      </c>
      <c r="AE29" s="781">
        <v>48.168516090000004</v>
      </c>
      <c r="AF29" s="781">
        <v>45.792637060000004</v>
      </c>
      <c r="AG29" s="781">
        <v>45.614056979999994</v>
      </c>
      <c r="AH29" s="781">
        <v>9.9994059999999996E-2</v>
      </c>
      <c r="AI29" s="781">
        <v>9.9994059999999996E-2</v>
      </c>
      <c r="AJ29" s="781">
        <v>69.820419060000006</v>
      </c>
      <c r="AK29" s="781">
        <v>69.820419060000006</v>
      </c>
      <c r="AL29" s="781">
        <v>69.820419060000006</v>
      </c>
      <c r="AM29" s="781">
        <v>69.819415669999998</v>
      </c>
      <c r="AN29" s="781">
        <v>69.819415669999998</v>
      </c>
      <c r="AO29" s="781">
        <v>69.819363840000008</v>
      </c>
      <c r="AP29" s="781">
        <v>69.819363840000008</v>
      </c>
      <c r="AQ29" s="781">
        <v>69.819363840000008</v>
      </c>
      <c r="AR29" s="781">
        <v>169.81930683000002</v>
      </c>
      <c r="AS29" s="781">
        <v>169.81930683000002</v>
      </c>
      <c r="AT29" s="781">
        <v>169.81930683000002</v>
      </c>
      <c r="AU29" s="781">
        <v>169.81930683000002</v>
      </c>
      <c r="AV29" s="781">
        <v>169.81930683000002</v>
      </c>
      <c r="AW29" s="781">
        <v>169.81930683000002</v>
      </c>
      <c r="AX29" s="781">
        <v>169.81930683000002</v>
      </c>
      <c r="AY29" s="781">
        <v>9.8881830000000004E-2</v>
      </c>
      <c r="AZ29" s="781">
        <v>0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0</v>
      </c>
      <c r="BH29" s="781">
        <v>0</v>
      </c>
      <c r="BI29" s="970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0.19500000000000001</v>
      </c>
      <c r="DG29" s="994">
        <v>0.23958333000000001</v>
      </c>
      <c r="DH29" s="994">
        <v>0.23244729</v>
      </c>
      <c r="DI29" s="994">
        <v>0.22523967</v>
      </c>
      <c r="DJ29" s="994">
        <v>0.21800667000000001</v>
      </c>
      <c r="DK29" s="994">
        <v>0.21076903999999999</v>
      </c>
      <c r="DL29" s="994">
        <v>0.20348448999999999</v>
      </c>
      <c r="DM29" s="994">
        <v>0.19615415</v>
      </c>
      <c r="DN29" s="994">
        <v>0.18881605000000001</v>
      </c>
      <c r="DO29" s="994">
        <v>0.18145073</v>
      </c>
      <c r="DP29" s="994">
        <v>0.14624993999999999</v>
      </c>
      <c r="DQ29" s="994">
        <v>0.1354166</v>
      </c>
      <c r="DR29" s="994">
        <v>0.28999993000000002</v>
      </c>
      <c r="DS29" s="994">
        <v>0.28458326</v>
      </c>
      <c r="DT29" s="994">
        <v>0.27916658999999999</v>
      </c>
      <c r="DU29" s="994">
        <v>0.27374991999999998</v>
      </c>
      <c r="DV29" s="994">
        <v>0.26348476999999998</v>
      </c>
      <c r="DW29" s="994">
        <v>0.25321961999999998</v>
      </c>
      <c r="DX29" s="994">
        <v>0.24837113999999999</v>
      </c>
      <c r="DY29" s="994">
        <v>0.23268932000000001</v>
      </c>
      <c r="DZ29" s="994">
        <v>0.22242417</v>
      </c>
      <c r="EA29" s="994">
        <v>0.21215902</v>
      </c>
      <c r="EB29" s="994">
        <v>0.20189387</v>
      </c>
      <c r="EC29" s="994">
        <v>0.19162872</v>
      </c>
      <c r="ED29" s="994">
        <v>0.18136357</v>
      </c>
      <c r="EE29" s="994">
        <v>0.17109842</v>
      </c>
      <c r="EF29" s="994">
        <v>0.16083327</v>
      </c>
      <c r="EK29" s="400"/>
    </row>
    <row r="30" spans="1:141" ht="19.8">
      <c r="A30" s="1515" t="s">
        <v>2002</v>
      </c>
      <c r="B30" s="973">
        <f t="shared" ref="B30:V30" si="11">+B28-B29</f>
        <v>2.5912697100000059</v>
      </c>
      <c r="C30" s="778">
        <f t="shared" si="11"/>
        <v>1.875582129999998</v>
      </c>
      <c r="D30" s="778">
        <f t="shared" si="11"/>
        <v>1.8230888800000002</v>
      </c>
      <c r="E30" s="778">
        <f t="shared" si="11"/>
        <v>1.8113203399999946</v>
      </c>
      <c r="F30" s="778">
        <f t="shared" si="11"/>
        <v>1.7657112899999987</v>
      </c>
      <c r="G30" s="778">
        <f t="shared" si="11"/>
        <v>0.17000099999999918</v>
      </c>
      <c r="H30" s="778">
        <f t="shared" si="11"/>
        <v>0.24000100000000657</v>
      </c>
      <c r="I30" s="778">
        <f t="shared" si="11"/>
        <v>0.32500000000000284</v>
      </c>
      <c r="J30" s="778">
        <f t="shared" si="11"/>
        <v>0.30726199999999437</v>
      </c>
      <c r="K30" s="778">
        <f t="shared" si="11"/>
        <v>0.32350599999999474</v>
      </c>
      <c r="L30" s="778">
        <f t="shared" si="11"/>
        <v>0.37350600000000611</v>
      </c>
      <c r="M30" s="781">
        <f t="shared" si="11"/>
        <v>0.59628100000000472</v>
      </c>
      <c r="N30" s="779">
        <f t="shared" si="11"/>
        <v>0.4405050000000017</v>
      </c>
      <c r="O30" s="779">
        <f t="shared" si="11"/>
        <v>0.54050499999999602</v>
      </c>
      <c r="P30" s="779">
        <f t="shared" si="11"/>
        <v>0.53966966000000127</v>
      </c>
      <c r="Q30" s="779">
        <f t="shared" si="11"/>
        <v>0.61235046999999554</v>
      </c>
      <c r="R30" s="779">
        <f t="shared" si="11"/>
        <v>0.76743786999999486</v>
      </c>
      <c r="S30" s="779">
        <f t="shared" si="11"/>
        <v>0.80039148999999554</v>
      </c>
      <c r="T30" s="779">
        <f t="shared" si="11"/>
        <v>0.79560089000000289</v>
      </c>
      <c r="U30" s="779">
        <f t="shared" si="11"/>
        <v>0.79248038000000065</v>
      </c>
      <c r="V30" s="779">
        <f t="shared" si="11"/>
        <v>0.77311158000000546</v>
      </c>
      <c r="W30" s="779">
        <v>0.77565151000000299</v>
      </c>
      <c r="X30" s="779">
        <v>0.77706445999999829</v>
      </c>
      <c r="Y30" s="781">
        <v>0.77039967999999703</v>
      </c>
      <c r="Z30" s="779">
        <v>0.77039967999999703</v>
      </c>
      <c r="AA30" s="779">
        <v>0.76698780000000255</v>
      </c>
      <c r="AB30" s="781">
        <v>0.76457580999999664</v>
      </c>
      <c r="AC30" s="781">
        <v>0.77177223999999711</v>
      </c>
      <c r="AD30" s="781">
        <v>0.7658903900000027</v>
      </c>
      <c r="AE30" s="781">
        <v>0.76007437999999894</v>
      </c>
      <c r="AF30" s="781">
        <v>0.75524370000000118</v>
      </c>
      <c r="AG30" s="781">
        <v>0.7502058899999966</v>
      </c>
      <c r="AH30" s="781">
        <v>0.69509995999999996</v>
      </c>
      <c r="AI30" s="781">
        <f>+AI28-AI29</f>
        <v>0.74137874000000004</v>
      </c>
      <c r="AJ30" s="781">
        <v>0.75128334999999424</v>
      </c>
      <c r="AK30" s="781">
        <f>+AK28-AK29</f>
        <v>0.64670135000000073</v>
      </c>
      <c r="AL30" s="781">
        <f>+AL28-AL29</f>
        <v>0.59873738999999659</v>
      </c>
      <c r="AM30" s="781">
        <v>0.68978373000000204</v>
      </c>
      <c r="AN30" s="781">
        <f>+AN28-AN29</f>
        <v>0.68587211000000536</v>
      </c>
      <c r="AO30" s="781">
        <f>+AO28-AO29</f>
        <v>0.72228939000000025</v>
      </c>
      <c r="AP30" s="781">
        <f>+AP28-AP29</f>
        <v>0.72097574999999381</v>
      </c>
      <c r="AQ30" s="781">
        <f>+AQ28-AQ29</f>
        <v>0.71940872999999783</v>
      </c>
      <c r="AR30" s="781">
        <v>0.71544327000000862</v>
      </c>
      <c r="AS30" s="781">
        <f>+AS28-AS29</f>
        <v>0.56038831000000755</v>
      </c>
      <c r="AT30" s="781">
        <f>+AT28-AT29</f>
        <v>0.33675013999999237</v>
      </c>
      <c r="AU30" s="781">
        <f>+AU28-AU29</f>
        <v>0.73157046000000037</v>
      </c>
      <c r="AV30" s="781">
        <v>3.0092319500000144</v>
      </c>
      <c r="AW30" s="781">
        <v>2.9998269099999959</v>
      </c>
      <c r="AX30" s="781">
        <v>2.9890921100000014</v>
      </c>
      <c r="AY30" s="781">
        <v>2.9797217699999998</v>
      </c>
      <c r="AZ30" s="781">
        <v>2.9807361499999998</v>
      </c>
      <c r="BA30" s="781">
        <v>2.9650297400000003</v>
      </c>
      <c r="BB30" s="781">
        <v>2.9553927599999996</v>
      </c>
      <c r="BC30" s="781">
        <v>1.95134568</v>
      </c>
      <c r="BD30" s="781">
        <v>1.9396695900000001</v>
      </c>
      <c r="BE30" s="781">
        <f>+BE28-BE29</f>
        <v>1.9359709599999999</v>
      </c>
      <c r="BF30" s="781">
        <v>1.9164770200000001</v>
      </c>
      <c r="BG30" s="781">
        <v>1.9052659599999999</v>
      </c>
      <c r="BH30" s="781">
        <v>0.89043850999999996</v>
      </c>
      <c r="BI30" s="970">
        <v>0.88637007999999995</v>
      </c>
      <c r="BJ30" s="994">
        <v>0.88637007999999995</v>
      </c>
      <c r="BK30" s="994">
        <f>+BK28-BK29</f>
        <v>0.85998198000000003</v>
      </c>
      <c r="BL30" s="994">
        <v>0.85319076000000005</v>
      </c>
      <c r="BM30" s="994">
        <v>0.84891092000000001</v>
      </c>
      <c r="BN30" s="994">
        <v>0.84459498</v>
      </c>
      <c r="BO30" s="994">
        <v>0.7927826899999999</v>
      </c>
      <c r="BP30" s="994">
        <v>0.77263594999999996</v>
      </c>
      <c r="BQ30" s="994">
        <v>0.76893624999999999</v>
      </c>
      <c r="BR30" s="994">
        <v>0.74005490000000007</v>
      </c>
      <c r="BS30" s="994">
        <v>0.63496277000000001</v>
      </c>
      <c r="BT30" s="994">
        <v>0.3196503</v>
      </c>
      <c r="BU30" s="994">
        <v>0.17683373999999999</v>
      </c>
      <c r="BV30" s="994">
        <v>0.17276676999999999</v>
      </c>
      <c r="BW30" s="994">
        <v>0.16860033999999999</v>
      </c>
      <c r="BX30" s="994">
        <v>0.16434305999999999</v>
      </c>
      <c r="BY30" s="994">
        <v>0.16</v>
      </c>
      <c r="BZ30" s="994">
        <v>0.19850000000000001</v>
      </c>
      <c r="CA30" s="994">
        <v>0.21914624999999999</v>
      </c>
      <c r="CB30" s="994">
        <v>0.21779962999999999</v>
      </c>
      <c r="CC30" s="994">
        <v>0.25544844999999999</v>
      </c>
      <c r="CD30" s="994">
        <v>0.29635938000000001</v>
      </c>
      <c r="CE30" s="994">
        <v>0.29049578000000004</v>
      </c>
      <c r="CF30" s="994">
        <f t="shared" ref="CF30:CP30" si="12">+CF28-CF29</f>
        <v>0.28363678000000003</v>
      </c>
      <c r="CG30" s="994">
        <f t="shared" si="12"/>
        <v>0.49642378000000004</v>
      </c>
      <c r="CH30" s="994">
        <f t="shared" si="12"/>
        <v>0.50451277999999999</v>
      </c>
      <c r="CI30" s="994">
        <f t="shared" si="12"/>
        <v>0.47486658000000004</v>
      </c>
      <c r="CJ30" s="994">
        <f t="shared" si="12"/>
        <v>0.45108908000000003</v>
      </c>
      <c r="CK30" s="994">
        <f t="shared" si="12"/>
        <v>0.27968908000000003</v>
      </c>
      <c r="CL30" s="994">
        <f t="shared" si="12"/>
        <v>0.26768908000000002</v>
      </c>
      <c r="CM30" s="994">
        <f t="shared" si="12"/>
        <v>0.31978908</v>
      </c>
      <c r="CN30" s="994">
        <f t="shared" si="12"/>
        <v>0.30074298999999999</v>
      </c>
      <c r="CO30" s="994">
        <f t="shared" si="12"/>
        <v>0.33967509999999995</v>
      </c>
      <c r="CP30" s="994">
        <f t="shared" si="12"/>
        <v>0.35350007</v>
      </c>
      <c r="CQ30" s="994">
        <f>+CQ28-CQ29</f>
        <v>0.41739736999999999</v>
      </c>
      <c r="CR30" s="994">
        <f>+CR28-CR29</f>
        <v>0.54571504000000004</v>
      </c>
      <c r="CS30" s="994">
        <f>+CS28-CS29</f>
        <v>0.69856979000000008</v>
      </c>
      <c r="CT30" s="994">
        <f>+CT28-CT29</f>
        <v>0.65880846999999998</v>
      </c>
      <c r="CU30" s="994">
        <v>0.64705281999999997</v>
      </c>
      <c r="CV30" s="994">
        <f>+CV28-CV29</f>
        <v>0.61856909000000004</v>
      </c>
      <c r="CW30" s="994">
        <v>0.71111603000000001</v>
      </c>
      <c r="CX30" s="994">
        <v>0.67366988000000005</v>
      </c>
      <c r="CY30" s="994">
        <v>1.2456321800000001</v>
      </c>
      <c r="CZ30" s="994">
        <v>1.29669199</v>
      </c>
      <c r="DA30" s="994">
        <v>1.2722749</v>
      </c>
      <c r="DB30" s="994">
        <v>1.1140137000000001</v>
      </c>
      <c r="DC30" s="994">
        <v>1.14861196</v>
      </c>
      <c r="DD30" s="994">
        <f>DD28-DD29</f>
        <v>1.03379903</v>
      </c>
      <c r="DE30" s="994">
        <v>1.0837964899999999</v>
      </c>
      <c r="DF30" s="994">
        <v>1.2398065299999999</v>
      </c>
      <c r="DG30" s="994">
        <v>1.61915842</v>
      </c>
      <c r="DH30" s="994">
        <f>DH28-DH29</f>
        <v>1.7710321099999997</v>
      </c>
      <c r="DI30" s="994">
        <v>1.7789966699999997</v>
      </c>
      <c r="DJ30" s="994">
        <f>DJ28-DJ29</f>
        <v>1.80744064</v>
      </c>
      <c r="DK30" s="994">
        <v>1.90385293</v>
      </c>
      <c r="DL30" s="994">
        <v>1.92369408</v>
      </c>
      <c r="DM30" s="994">
        <v>1.9318936300000003</v>
      </c>
      <c r="DN30" s="994">
        <v>1.9239602299999998</v>
      </c>
      <c r="DO30" s="994">
        <f>DO28-DO29</f>
        <v>1.8386511200000002</v>
      </c>
      <c r="DP30" s="994">
        <f>DP28-DP29</f>
        <v>1.91296529</v>
      </c>
      <c r="DQ30" s="994">
        <v>1.8540979200000001</v>
      </c>
      <c r="DR30" s="994">
        <f>DR28-DR29</f>
        <v>1.7166159599999999</v>
      </c>
      <c r="DS30" s="994">
        <f>DS28-DS29</f>
        <v>1.6786688599999999</v>
      </c>
      <c r="DT30" s="994">
        <v>1.6863989399999999</v>
      </c>
      <c r="DU30" s="994">
        <v>4.17891587</v>
      </c>
      <c r="DV30" s="994">
        <f>DV28-DV29</f>
        <v>4.1967841400000001</v>
      </c>
      <c r="DW30" s="994">
        <f>DW28-DW29</f>
        <v>4.2893161099999997</v>
      </c>
      <c r="DX30" s="994">
        <v>4.2541936300000005</v>
      </c>
      <c r="DY30" s="994">
        <v>4.1886598099999999</v>
      </c>
      <c r="DZ30" s="994">
        <f>DZ28-DZ29</f>
        <v>4.2552648299999998</v>
      </c>
      <c r="EA30" s="994">
        <f>EA28-EA29</f>
        <v>3.1052812400000001</v>
      </c>
      <c r="EB30" s="994">
        <v>3.1032485099999998</v>
      </c>
      <c r="EC30" s="994">
        <v>4.5414698500000004</v>
      </c>
      <c r="ED30" s="994">
        <v>4.4881008499999995</v>
      </c>
      <c r="EE30" s="994">
        <v>4.3250712700000005</v>
      </c>
      <c r="EF30" s="994">
        <f>EF28-EF29</f>
        <v>4.8955872999999999</v>
      </c>
      <c r="EK30" s="400"/>
    </row>
    <row r="31" spans="1:141" ht="19.8">
      <c r="A31" s="1514"/>
      <c r="B31" s="974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781"/>
      <c r="AI31" s="781"/>
      <c r="AJ31" s="781"/>
      <c r="AK31" s="781"/>
      <c r="AL31" s="781"/>
      <c r="AM31" s="781"/>
      <c r="AN31" s="781"/>
      <c r="AO31" s="781"/>
      <c r="AP31" s="781"/>
      <c r="AQ31" s="781"/>
      <c r="AR31" s="781"/>
      <c r="AS31" s="781"/>
      <c r="AT31" s="781"/>
      <c r="AU31" s="781"/>
      <c r="AV31" s="781"/>
      <c r="AW31" s="781"/>
      <c r="AX31" s="781"/>
      <c r="AY31" s="781"/>
      <c r="AZ31" s="781"/>
      <c r="BA31" s="781"/>
      <c r="BB31" s="781"/>
      <c r="BC31" s="781"/>
      <c r="BD31" s="781"/>
      <c r="BE31" s="781"/>
      <c r="BF31" s="781"/>
      <c r="BG31" s="781"/>
      <c r="BH31" s="781"/>
      <c r="BI31" s="970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F31" s="994"/>
      <c r="EK31" s="400"/>
    </row>
    <row r="32" spans="1:141" ht="19.8">
      <c r="A32" s="1513" t="s">
        <v>2822</v>
      </c>
      <c r="B32" s="973">
        <v>0.30148459999999999</v>
      </c>
      <c r="C32" s="778">
        <v>6.8597711099999996</v>
      </c>
      <c r="D32" s="778">
        <v>6.6857836199999996</v>
      </c>
      <c r="E32" s="778">
        <v>6.80002364</v>
      </c>
      <c r="F32" s="778">
        <v>6.7424448699999999</v>
      </c>
      <c r="G32" s="778">
        <v>6.8448796600000001</v>
      </c>
      <c r="H32" s="778">
        <v>6.1892506599999999</v>
      </c>
      <c r="I32" s="778">
        <v>6.1818119200000003</v>
      </c>
      <c r="J32" s="778">
        <v>6.2997537100000001</v>
      </c>
      <c r="K32" s="778">
        <v>6.3655713499999997</v>
      </c>
      <c r="L32" s="778">
        <v>6.2953664999999992</v>
      </c>
      <c r="M32" s="779">
        <v>6.37253604</v>
      </c>
      <c r="N32" s="779">
        <v>5.5276542800000001</v>
      </c>
      <c r="O32" s="779">
        <v>5.5796778299999996</v>
      </c>
      <c r="P32" s="779">
        <v>5.9706326399999998</v>
      </c>
      <c r="Q32" s="779">
        <v>5.9777833499999993</v>
      </c>
      <c r="R32" s="779">
        <v>5.8838302200000001</v>
      </c>
      <c r="S32" s="779">
        <v>5.8696748300000001</v>
      </c>
      <c r="T32" s="779">
        <v>5.6754487400000002</v>
      </c>
      <c r="U32" s="779">
        <v>5.6847635299999997</v>
      </c>
      <c r="V32" s="779">
        <v>5.5203913599999996</v>
      </c>
      <c r="W32" s="779">
        <v>5.4723831500000006</v>
      </c>
      <c r="X32" s="779">
        <v>5.4132676799999997</v>
      </c>
      <c r="Y32" s="779">
        <v>5.2964515199999997</v>
      </c>
      <c r="Z32" s="779">
        <v>5.2964515199999997</v>
      </c>
      <c r="AA32" s="779">
        <v>45.187775160000001</v>
      </c>
      <c r="AB32" s="779">
        <v>60.433683610000003</v>
      </c>
      <c r="AC32" s="779">
        <v>60.239108480000006</v>
      </c>
      <c r="AD32" s="779">
        <v>60.355856559999999</v>
      </c>
      <c r="AE32" s="779">
        <v>60.331007019999994</v>
      </c>
      <c r="AF32" s="779">
        <v>60.345207270000003</v>
      </c>
      <c r="AG32" s="779">
        <v>59.317381669999996</v>
      </c>
      <c r="AH32" s="779">
        <v>59.313833719999998</v>
      </c>
      <c r="AI32" s="779">
        <v>59.135138289999993</v>
      </c>
      <c r="AJ32" s="779">
        <v>58.928392880000004</v>
      </c>
      <c r="AK32" s="779">
        <v>58.902437739999996</v>
      </c>
      <c r="AL32" s="779">
        <v>87.505273679999988</v>
      </c>
      <c r="AM32" s="779">
        <v>88.519814999999994</v>
      </c>
      <c r="AN32" s="779">
        <v>86.546217749999997</v>
      </c>
      <c r="AO32" s="779">
        <v>85.378795490000002</v>
      </c>
      <c r="AP32" s="779">
        <v>83.634099879999994</v>
      </c>
      <c r="AQ32" s="779">
        <v>82.630339169999999</v>
      </c>
      <c r="AR32" s="779">
        <v>85.279142050000004</v>
      </c>
      <c r="AS32" s="779">
        <v>84.005238410000004</v>
      </c>
      <c r="AT32" s="779">
        <v>86.447941380000003</v>
      </c>
      <c r="AU32" s="779">
        <f>AU24-AU28</f>
        <v>85.817478550000033</v>
      </c>
      <c r="AV32" s="779">
        <v>86.669097319999992</v>
      </c>
      <c r="AW32" s="779">
        <v>292.49462405999998</v>
      </c>
      <c r="AX32" s="779">
        <v>298.96641655000002</v>
      </c>
      <c r="AY32" s="779">
        <v>323.56424117</v>
      </c>
      <c r="AZ32" s="779">
        <v>294.15317999999996</v>
      </c>
      <c r="BA32" s="779">
        <v>290.2044492</v>
      </c>
      <c r="BB32" s="779">
        <v>286.51883249999997</v>
      </c>
      <c r="BC32" s="779">
        <v>286.34958599999999</v>
      </c>
      <c r="BD32" s="779">
        <v>286.32385780000004</v>
      </c>
      <c r="BE32" s="779">
        <v>262.26687370000002</v>
      </c>
      <c r="BF32" s="779">
        <v>253.734768</v>
      </c>
      <c r="BG32" s="779">
        <v>248.45501686999998</v>
      </c>
      <c r="BH32" s="779">
        <v>211.85821187000002</v>
      </c>
      <c r="BI32" s="969">
        <v>209.97680084999996</v>
      </c>
      <c r="BJ32" s="993">
        <v>213.89583181</v>
      </c>
      <c r="BK32" s="993">
        <f>+BK24-BK28</f>
        <v>213.83211762000002</v>
      </c>
      <c r="BL32" s="993">
        <v>208.0599823</v>
      </c>
      <c r="BM32" s="993">
        <v>210.11805520000001</v>
      </c>
      <c r="BN32" s="993">
        <v>210.16638243</v>
      </c>
      <c r="BO32" s="993">
        <v>207.15266020000001</v>
      </c>
      <c r="BP32" s="993">
        <v>206.89587743999999</v>
      </c>
      <c r="BQ32" s="993">
        <v>208.98687741000001</v>
      </c>
      <c r="BR32" s="993">
        <v>200.69087721</v>
      </c>
      <c r="BS32" s="993">
        <v>198.94394305</v>
      </c>
      <c r="BT32" s="993">
        <v>189.58030251999998</v>
      </c>
      <c r="BU32" s="993">
        <v>189.58030251999998</v>
      </c>
      <c r="BV32" s="993">
        <v>341.05174747000001</v>
      </c>
      <c r="BW32" s="993">
        <v>369.92906247000002</v>
      </c>
      <c r="BX32" s="993">
        <v>369.18439419999999</v>
      </c>
      <c r="BY32" s="993">
        <v>368.1127103</v>
      </c>
      <c r="BZ32" s="993">
        <v>367.60461220000002</v>
      </c>
      <c r="CA32" s="993">
        <v>366.76820199999997</v>
      </c>
      <c r="CB32" s="993">
        <v>367.80380200000002</v>
      </c>
      <c r="CC32" s="993">
        <v>365.29049193000003</v>
      </c>
      <c r="CD32" s="993">
        <v>335.90634892999998</v>
      </c>
      <c r="CE32" s="993">
        <v>485.02738392999998</v>
      </c>
      <c r="CF32" s="993">
        <v>504.73450493000001</v>
      </c>
      <c r="CG32" s="993">
        <v>576.19676800000002</v>
      </c>
      <c r="CH32" s="993">
        <v>576.74391000000003</v>
      </c>
      <c r="CI32" s="993">
        <v>581.35970466000003</v>
      </c>
      <c r="CJ32" s="993">
        <v>578.38656532000005</v>
      </c>
      <c r="CK32" s="993">
        <v>579.90883982000003</v>
      </c>
      <c r="CL32" s="993">
        <v>579.34804782000003</v>
      </c>
      <c r="CM32" s="993">
        <v>580.53039381999997</v>
      </c>
      <c r="CN32" s="993">
        <v>518.25115847999996</v>
      </c>
      <c r="CO32" s="993">
        <v>513.16748047999999</v>
      </c>
      <c r="CP32" s="993">
        <v>504.51746148000001</v>
      </c>
      <c r="CQ32" s="993">
        <v>490.53659648000001</v>
      </c>
      <c r="CR32" s="993">
        <v>491.02556484000002</v>
      </c>
      <c r="CS32" s="993">
        <v>489.51525297000001</v>
      </c>
      <c r="CT32" s="993">
        <v>490.92362458000002</v>
      </c>
      <c r="CU32" s="993">
        <v>481.20737466000003</v>
      </c>
      <c r="CV32" s="993">
        <v>480.46414748000001</v>
      </c>
      <c r="CW32" s="993">
        <v>478.59446561999999</v>
      </c>
      <c r="CX32" s="993">
        <v>488.05430739000002</v>
      </c>
      <c r="CY32" s="993">
        <v>482.92992100999999</v>
      </c>
      <c r="CZ32" s="993">
        <v>454.90650393999999</v>
      </c>
      <c r="DA32" s="993">
        <v>451.21324844999998</v>
      </c>
      <c r="DB32" s="993">
        <v>450.93663885000001</v>
      </c>
      <c r="DC32" s="993">
        <v>448.48106835999999</v>
      </c>
      <c r="DD32" s="993">
        <v>444.83189020999998</v>
      </c>
      <c r="DE32" s="993">
        <v>435.40695964999998</v>
      </c>
      <c r="DF32" s="993">
        <v>441.06206882999999</v>
      </c>
      <c r="DG32" s="993">
        <v>436.64597216999999</v>
      </c>
      <c r="DH32" s="993">
        <v>419.01252656000003</v>
      </c>
      <c r="DI32" s="993">
        <v>429.50593786000002</v>
      </c>
      <c r="DJ32" s="993">
        <v>422.71409252000001</v>
      </c>
      <c r="DK32" s="993">
        <v>409.03201622</v>
      </c>
      <c r="DL32" s="993">
        <v>379.99784567</v>
      </c>
      <c r="DM32" s="993">
        <v>367.27169323999999</v>
      </c>
      <c r="DN32" s="993">
        <v>351.32298460999999</v>
      </c>
      <c r="DO32" s="993">
        <v>350.42643219000001</v>
      </c>
      <c r="DP32" s="993">
        <v>381.75652014999997</v>
      </c>
      <c r="DQ32" s="993">
        <v>372.32757506000002</v>
      </c>
      <c r="DR32" s="993">
        <v>374.41439821</v>
      </c>
      <c r="DS32" s="993">
        <v>401.77977838999999</v>
      </c>
      <c r="DT32" s="993">
        <v>410.76680809999999</v>
      </c>
      <c r="DU32" s="993">
        <v>417.23164811999999</v>
      </c>
      <c r="DV32" s="993">
        <v>416.03654639000001</v>
      </c>
      <c r="DW32" s="993">
        <v>400.24523683000001</v>
      </c>
      <c r="DX32" s="993">
        <v>378.25942909000003</v>
      </c>
      <c r="DY32" s="993">
        <v>372.01150337000001</v>
      </c>
      <c r="DZ32" s="993">
        <v>356.51230131</v>
      </c>
      <c r="EA32" s="993">
        <v>355.26188716000001</v>
      </c>
      <c r="EB32" s="993">
        <v>354.01868271000001</v>
      </c>
      <c r="EC32" s="993">
        <v>339.21935091</v>
      </c>
      <c r="ED32" s="993">
        <v>316.10843070999999</v>
      </c>
      <c r="EE32" s="993">
        <v>516.94382684000004</v>
      </c>
      <c r="EF32" s="993">
        <v>476.79882574999999</v>
      </c>
      <c r="EK32" s="400"/>
    </row>
    <row r="33" spans="1:141" ht="19.8">
      <c r="A33" s="1514" t="s">
        <v>2001</v>
      </c>
      <c r="B33" s="974">
        <v>0</v>
      </c>
      <c r="C33" s="780">
        <v>6.6098907899999997</v>
      </c>
      <c r="D33" s="780">
        <v>6.4509714599999999</v>
      </c>
      <c r="E33" s="780">
        <v>6.5842586399999998</v>
      </c>
      <c r="F33" s="780">
        <v>6.5541408700000003</v>
      </c>
      <c r="G33" s="780">
        <v>6.5695201599999997</v>
      </c>
      <c r="H33" s="780">
        <v>5.92330516</v>
      </c>
      <c r="I33" s="780">
        <v>5.9159003200000004</v>
      </c>
      <c r="J33" s="780">
        <v>6.0338082100000001</v>
      </c>
      <c r="K33" s="780">
        <v>6.1255143499999996</v>
      </c>
      <c r="L33" s="780">
        <v>6.0827940999999992</v>
      </c>
      <c r="M33" s="781">
        <v>6.1403240400000003</v>
      </c>
      <c r="N33" s="781">
        <v>5.2955310799999999</v>
      </c>
      <c r="O33" s="781">
        <v>5.3553394299999999</v>
      </c>
      <c r="P33" s="781">
        <v>5.3737803399999997</v>
      </c>
      <c r="Q33" s="781">
        <v>5.3972052699999997</v>
      </c>
      <c r="R33" s="781">
        <v>5.3194544199999996</v>
      </c>
      <c r="S33" s="781">
        <v>5.3334096999999998</v>
      </c>
      <c r="T33" s="781">
        <v>4.4881895400000005</v>
      </c>
      <c r="U33" s="781">
        <v>4.4155651100000002</v>
      </c>
      <c r="V33" s="781">
        <v>4.2528009600000001</v>
      </c>
      <c r="W33" s="781">
        <v>4.2173431500000005</v>
      </c>
      <c r="X33" s="781">
        <v>4.2173431500000005</v>
      </c>
      <c r="Y33" s="781">
        <v>4.0678222699999997</v>
      </c>
      <c r="Z33" s="781">
        <v>4.0678222699999997</v>
      </c>
      <c r="AA33" s="781">
        <v>43.952234560000001</v>
      </c>
      <c r="AB33" s="781">
        <v>58.780100590000004</v>
      </c>
      <c r="AC33" s="781">
        <v>58.587573140000003</v>
      </c>
      <c r="AD33" s="781">
        <v>58.713182310000001</v>
      </c>
      <c r="AE33" s="781">
        <v>58.696418549999997</v>
      </c>
      <c r="AF33" s="781">
        <v>58.721504830000001</v>
      </c>
      <c r="AG33" s="781">
        <v>57.877611219999999</v>
      </c>
      <c r="AH33" s="781">
        <v>57.88529106</v>
      </c>
      <c r="AI33" s="781">
        <v>57.886999869999997</v>
      </c>
      <c r="AJ33" s="781">
        <v>57.870901240000002</v>
      </c>
      <c r="AK33" s="781">
        <v>57.858799259999998</v>
      </c>
      <c r="AL33" s="781">
        <v>85.980481799999993</v>
      </c>
      <c r="AM33" s="781">
        <v>86.978553919999996</v>
      </c>
      <c r="AN33" s="781">
        <v>85.062426250000001</v>
      </c>
      <c r="AO33" s="781">
        <v>83.917182670000003</v>
      </c>
      <c r="AP33" s="781">
        <v>82.042787919999995</v>
      </c>
      <c r="AQ33" s="781">
        <v>81.056553600000001</v>
      </c>
      <c r="AR33" s="781">
        <v>83.699245410000003</v>
      </c>
      <c r="AS33" s="781">
        <v>82.425200000000004</v>
      </c>
      <c r="AT33" s="781">
        <v>84.869200000000006</v>
      </c>
      <c r="AU33" s="781">
        <f>AU25-AU29</f>
        <v>84.297200000000004</v>
      </c>
      <c r="AV33" s="781">
        <v>85.18119999999999</v>
      </c>
      <c r="AW33" s="781">
        <v>90.053600000000017</v>
      </c>
      <c r="AX33" s="781">
        <v>297.4776</v>
      </c>
      <c r="AY33" s="781">
        <v>321.97199999999998</v>
      </c>
      <c r="AZ33" s="781">
        <v>293.58</v>
      </c>
      <c r="BA33" s="781">
        <v>289.69920000000002</v>
      </c>
      <c r="BB33" s="781">
        <v>286.02</v>
      </c>
      <c r="BC33" s="781">
        <v>285.93599999999998</v>
      </c>
      <c r="BD33" s="781">
        <v>285.95280000000002</v>
      </c>
      <c r="BE33" s="781">
        <v>261.93860000000001</v>
      </c>
      <c r="BF33" s="781">
        <v>253.44900000000001</v>
      </c>
      <c r="BG33" s="781">
        <v>247.37909999999999</v>
      </c>
      <c r="BH33" s="781">
        <v>210.82480000000001</v>
      </c>
      <c r="BI33" s="970">
        <v>208.26224999999999</v>
      </c>
      <c r="BJ33" s="994">
        <v>208.66177350000001</v>
      </c>
      <c r="BK33" s="994">
        <f>+BK25-BK29</f>
        <v>208.66177350000001</v>
      </c>
      <c r="BL33" s="994">
        <v>202.7114235</v>
      </c>
      <c r="BM33" s="994">
        <v>202.6995</v>
      </c>
      <c r="BN33" s="994">
        <v>202.6995</v>
      </c>
      <c r="BO33" s="994">
        <v>202.6995</v>
      </c>
      <c r="BP33" s="994">
        <v>202.6995</v>
      </c>
      <c r="BQ33" s="994">
        <v>199.29949999999999</v>
      </c>
      <c r="BR33" s="994">
        <v>190.79949999999999</v>
      </c>
      <c r="BS33" s="994">
        <v>189.09950000000001</v>
      </c>
      <c r="BT33" s="994">
        <v>178.89949999999999</v>
      </c>
      <c r="BU33" s="994">
        <v>178.89949999999999</v>
      </c>
      <c r="BV33" s="994">
        <v>308.9495</v>
      </c>
      <c r="BW33" s="994">
        <v>308.9495</v>
      </c>
      <c r="BX33" s="994">
        <v>308.9495</v>
      </c>
      <c r="BY33" s="994">
        <v>308.9495</v>
      </c>
      <c r="BZ33" s="994">
        <v>308.9495</v>
      </c>
      <c r="CA33" s="994">
        <v>308.9495</v>
      </c>
      <c r="CB33" s="994">
        <v>308.9495</v>
      </c>
      <c r="CC33" s="994">
        <v>307.24950000000001</v>
      </c>
      <c r="CD33" s="994">
        <v>278.34949999999998</v>
      </c>
      <c r="CE33" s="994">
        <v>427.9495</v>
      </c>
      <c r="CF33" s="994">
        <v>412.64949999999999</v>
      </c>
      <c r="CG33" s="994">
        <v>501.04950000000002</v>
      </c>
      <c r="CH33" s="994">
        <v>501.04950000000002</v>
      </c>
      <c r="CI33" s="994">
        <v>495.55</v>
      </c>
      <c r="CJ33" s="994">
        <v>495.55</v>
      </c>
      <c r="CK33" s="994">
        <v>495.55</v>
      </c>
      <c r="CL33" s="994">
        <v>495.55</v>
      </c>
      <c r="CM33" s="994">
        <v>495.55</v>
      </c>
      <c r="CN33" s="994">
        <v>435.2</v>
      </c>
      <c r="CO33" s="994">
        <v>426.7</v>
      </c>
      <c r="CP33" s="994">
        <v>418.2</v>
      </c>
      <c r="CQ33" s="994">
        <v>266.05</v>
      </c>
      <c r="CR33" s="994">
        <v>396.1</v>
      </c>
      <c r="CS33" s="994">
        <v>396.1</v>
      </c>
      <c r="CT33" s="994">
        <v>396.1</v>
      </c>
      <c r="CU33" s="994">
        <v>396.1</v>
      </c>
      <c r="CV33" s="994">
        <v>396.1</v>
      </c>
      <c r="CW33" s="994">
        <v>396.1</v>
      </c>
      <c r="CX33" s="994">
        <v>396.1</v>
      </c>
      <c r="CY33" s="994">
        <v>396.1</v>
      </c>
      <c r="CZ33" s="994">
        <v>374.42500000000001</v>
      </c>
      <c r="DA33" s="994">
        <v>374.42500000000001</v>
      </c>
      <c r="DB33" s="994">
        <v>374.42500000000001</v>
      </c>
      <c r="DC33" s="994">
        <v>374.42500000000001</v>
      </c>
      <c r="DD33" s="994">
        <v>374.42500000000001</v>
      </c>
      <c r="DE33" s="994">
        <v>374.42500000000001</v>
      </c>
      <c r="DF33" s="994">
        <v>352.75</v>
      </c>
      <c r="DG33" s="994">
        <v>352.75</v>
      </c>
      <c r="DH33" s="994">
        <v>337.45</v>
      </c>
      <c r="DI33" s="994">
        <v>337.45</v>
      </c>
      <c r="DJ33" s="994">
        <v>337.45</v>
      </c>
      <c r="DK33" s="994">
        <v>322.71666668</v>
      </c>
      <c r="DL33" s="994">
        <v>301.04166667999999</v>
      </c>
      <c r="DM33" s="994">
        <v>301.04166667999999</v>
      </c>
      <c r="DN33" s="994">
        <v>285.74166667999998</v>
      </c>
      <c r="DO33" s="994">
        <v>285.74166667999998</v>
      </c>
      <c r="DP33" s="994">
        <v>314.38003667999999</v>
      </c>
      <c r="DQ33" s="994">
        <v>295.65833335999997</v>
      </c>
      <c r="DR33" s="994">
        <v>293.81383335999999</v>
      </c>
      <c r="DS33" s="994">
        <v>320.80922986000002</v>
      </c>
      <c r="DT33" s="994">
        <v>327.67977816000001</v>
      </c>
      <c r="DU33" s="994">
        <v>332.57860016000001</v>
      </c>
      <c r="DV33" s="994">
        <v>332.57860016000001</v>
      </c>
      <c r="DW33" s="994">
        <v>317.84526683000001</v>
      </c>
      <c r="DX33" s="994">
        <v>296.17026683</v>
      </c>
      <c r="DY33" s="994">
        <v>296.17026683</v>
      </c>
      <c r="DZ33" s="994">
        <v>280.87026682999999</v>
      </c>
      <c r="EA33" s="994">
        <v>280.87026682999999</v>
      </c>
      <c r="EB33" s="994">
        <v>280.87026682999999</v>
      </c>
      <c r="EC33" s="994">
        <v>266.13693351000001</v>
      </c>
      <c r="ED33" s="994">
        <v>244.46193350999999</v>
      </c>
      <c r="EE33" s="994">
        <v>447.86693351000002</v>
      </c>
      <c r="EF33" s="994">
        <v>407.91693350999998</v>
      </c>
      <c r="EK33" s="400"/>
    </row>
    <row r="34" spans="1:141" ht="19.8">
      <c r="A34" s="1516" t="s">
        <v>2002</v>
      </c>
      <c r="B34" s="975">
        <f t="shared" ref="B34:V34" si="13">+B32-B33</f>
        <v>0.30148459999999999</v>
      </c>
      <c r="C34" s="786">
        <f t="shared" si="13"/>
        <v>0.24988031999999993</v>
      </c>
      <c r="D34" s="786">
        <f t="shared" si="13"/>
        <v>0.23481215999999971</v>
      </c>
      <c r="E34" s="786">
        <f t="shared" si="13"/>
        <v>0.21576500000000021</v>
      </c>
      <c r="F34" s="786">
        <f t="shared" si="13"/>
        <v>0.18830399999999958</v>
      </c>
      <c r="G34" s="786">
        <f t="shared" si="13"/>
        <v>0.27535950000000042</v>
      </c>
      <c r="H34" s="786">
        <f t="shared" si="13"/>
        <v>0.26594549999999995</v>
      </c>
      <c r="I34" s="786">
        <f t="shared" si="13"/>
        <v>0.26591159999999991</v>
      </c>
      <c r="J34" s="786">
        <f t="shared" si="13"/>
        <v>0.26594549999999995</v>
      </c>
      <c r="K34" s="786">
        <f t="shared" si="13"/>
        <v>0.24005700000000019</v>
      </c>
      <c r="L34" s="786">
        <f t="shared" si="13"/>
        <v>0.21257239999999999</v>
      </c>
      <c r="M34" s="782">
        <f t="shared" si="13"/>
        <v>0.23221199999999964</v>
      </c>
      <c r="N34" s="784">
        <f t="shared" si="13"/>
        <v>0.2321232000000002</v>
      </c>
      <c r="O34" s="784">
        <f t="shared" si="13"/>
        <v>0.22433839999999972</v>
      </c>
      <c r="P34" s="784">
        <f t="shared" si="13"/>
        <v>0.59685230000000011</v>
      </c>
      <c r="Q34" s="784">
        <f t="shared" si="13"/>
        <v>0.58057807999999955</v>
      </c>
      <c r="R34" s="784">
        <f t="shared" si="13"/>
        <v>0.56437580000000054</v>
      </c>
      <c r="S34" s="784">
        <f t="shared" si="13"/>
        <v>0.53626513000000031</v>
      </c>
      <c r="T34" s="784">
        <f t="shared" si="13"/>
        <v>1.1872591999999997</v>
      </c>
      <c r="U34" s="784">
        <f t="shared" si="13"/>
        <v>1.2691984199999995</v>
      </c>
      <c r="V34" s="784">
        <f t="shared" si="13"/>
        <v>1.2675903999999996</v>
      </c>
      <c r="W34" s="784">
        <v>1.2550400000000002</v>
      </c>
      <c r="X34" s="784">
        <v>1.1959245299999992</v>
      </c>
      <c r="Y34" s="782">
        <v>1.22862925</v>
      </c>
      <c r="Z34" s="784">
        <v>1.22862925</v>
      </c>
      <c r="AA34" s="784">
        <v>1.2355406000000002</v>
      </c>
      <c r="AB34" s="782">
        <v>1.6535830199999992</v>
      </c>
      <c r="AC34" s="782">
        <v>1.6515353400000023</v>
      </c>
      <c r="AD34" s="782">
        <v>1.6426742499999989</v>
      </c>
      <c r="AE34" s="782">
        <v>1.6345884699999971</v>
      </c>
      <c r="AF34" s="782">
        <v>1.6237024400000024</v>
      </c>
      <c r="AG34" s="782">
        <v>1.4397704499999975</v>
      </c>
      <c r="AH34" s="782">
        <v>1.428542659999998</v>
      </c>
      <c r="AI34" s="782">
        <f>+AI32-AI33</f>
        <v>1.2481384199999965</v>
      </c>
      <c r="AJ34" s="782">
        <v>1.0574916400000021</v>
      </c>
      <c r="AK34" s="782">
        <f>+AK32-AK33</f>
        <v>1.0436384799999985</v>
      </c>
      <c r="AL34" s="782">
        <f>+AL32-AL33</f>
        <v>1.5247918799999951</v>
      </c>
      <c r="AM34" s="782">
        <v>1.5412610799999982</v>
      </c>
      <c r="AN34" s="782">
        <f>+AN32-AN33</f>
        <v>1.4837914999999953</v>
      </c>
      <c r="AO34" s="782">
        <f>+AO32-AO33</f>
        <v>1.4616128199999991</v>
      </c>
      <c r="AP34" s="782">
        <f>+AP32-AP33</f>
        <v>1.5913119599999987</v>
      </c>
      <c r="AQ34" s="782">
        <f>+AQ32-AQ33</f>
        <v>1.5737855699999983</v>
      </c>
      <c r="AR34" s="782">
        <v>1.5798966400000012</v>
      </c>
      <c r="AS34" s="782">
        <f>+AS32-AS33</f>
        <v>1.5800384100000002</v>
      </c>
      <c r="AT34" s="782">
        <f>+AT32-AT33</f>
        <v>1.5787413799999968</v>
      </c>
      <c r="AU34" s="782">
        <f>AU26-AU30</f>
        <v>1.5202785500000697</v>
      </c>
      <c r="AV34" s="782">
        <v>1.4878973200000036</v>
      </c>
      <c r="AW34" s="782">
        <v>202.44102405999988</v>
      </c>
      <c r="AX34" s="782">
        <v>1.4888165500000259</v>
      </c>
      <c r="AY34" s="782">
        <v>1.5922411700000629</v>
      </c>
      <c r="AZ34" s="782">
        <v>0.57317999999997937</v>
      </c>
      <c r="BA34" s="782">
        <v>0.50524919999998019</v>
      </c>
      <c r="BB34" s="782">
        <v>0.4988324999999918</v>
      </c>
      <c r="BC34" s="782">
        <v>0.41358600000000934</v>
      </c>
      <c r="BD34" s="782">
        <v>0.37105780000001687</v>
      </c>
      <c r="BE34" s="782">
        <f>+BE32-BE33</f>
        <v>0.3282737000000111</v>
      </c>
      <c r="BF34" s="782">
        <v>0.28576799999999025</v>
      </c>
      <c r="BG34" s="782">
        <v>1.0759168699999861</v>
      </c>
      <c r="BH34" s="782">
        <v>1.033411870000009</v>
      </c>
      <c r="BI34" s="971">
        <v>1.7145508499999664</v>
      </c>
      <c r="BJ34" s="996">
        <v>5.2340583099999947</v>
      </c>
      <c r="BK34" s="996">
        <f>+BK32-BK33</f>
        <v>5.17034412000001</v>
      </c>
      <c r="BL34" s="996">
        <v>5.3485588000000064</v>
      </c>
      <c r="BM34" s="996">
        <v>7.4185552000000143</v>
      </c>
      <c r="BN34" s="996">
        <v>7.4668824299999983</v>
      </c>
      <c r="BO34" s="996">
        <v>4.4531602000000134</v>
      </c>
      <c r="BP34" s="996">
        <v>4.196377439999992</v>
      </c>
      <c r="BQ34" s="996">
        <v>9.6873774100000105</v>
      </c>
      <c r="BR34" s="996">
        <v>9.8913772100000017</v>
      </c>
      <c r="BS34" s="996">
        <v>9.8444430499999953</v>
      </c>
      <c r="BT34" s="996">
        <v>10.680802519999986</v>
      </c>
      <c r="BU34" s="996">
        <v>10.680802519999986</v>
      </c>
      <c r="BV34" s="996">
        <v>32.102247470000009</v>
      </c>
      <c r="BW34" s="996">
        <v>60.979562470000019</v>
      </c>
      <c r="BX34" s="996">
        <v>60.234894199999985</v>
      </c>
      <c r="BY34" s="996">
        <v>59.163210300000003</v>
      </c>
      <c r="BZ34" s="996">
        <v>58.655112200000019</v>
      </c>
      <c r="CA34" s="996">
        <v>57.818701999999973</v>
      </c>
      <c r="CB34" s="996">
        <v>58.854302000000018</v>
      </c>
      <c r="CC34" s="996">
        <v>58.040991930000018</v>
      </c>
      <c r="CD34" s="996">
        <v>57.556848930000001</v>
      </c>
      <c r="CE34" s="996">
        <v>57.077883929999985</v>
      </c>
      <c r="CF34" s="996">
        <f t="shared" ref="CF34:CP34" si="14">+CF32-CF33</f>
        <v>92.085004930000025</v>
      </c>
      <c r="CG34" s="996">
        <f t="shared" si="14"/>
        <v>75.147267999999997</v>
      </c>
      <c r="CH34" s="996">
        <f t="shared" si="14"/>
        <v>75.694410000000005</v>
      </c>
      <c r="CI34" s="996">
        <f t="shared" si="14"/>
        <v>85.809704660000023</v>
      </c>
      <c r="CJ34" s="996">
        <f t="shared" si="14"/>
        <v>82.836565320000034</v>
      </c>
      <c r="CK34" s="996">
        <f t="shared" si="14"/>
        <v>84.358839820000014</v>
      </c>
      <c r="CL34" s="996">
        <f t="shared" si="14"/>
        <v>83.798047820000022</v>
      </c>
      <c r="CM34" s="996">
        <f t="shared" si="14"/>
        <v>84.980393819999961</v>
      </c>
      <c r="CN34" s="996">
        <f t="shared" si="14"/>
        <v>83.05115847999997</v>
      </c>
      <c r="CO34" s="996">
        <f t="shared" si="14"/>
        <v>86.467480480000006</v>
      </c>
      <c r="CP34" s="996">
        <f t="shared" si="14"/>
        <v>86.31746148000002</v>
      </c>
      <c r="CQ34" s="996">
        <f>+CQ32-CQ33</f>
        <v>224.48659648</v>
      </c>
      <c r="CR34" s="996">
        <f>+CR32-CR33</f>
        <v>94.925564839999993</v>
      </c>
      <c r="CS34" s="996">
        <f>+CS32-CS33</f>
        <v>93.415252969999983</v>
      </c>
      <c r="CT34" s="996">
        <f>+CT32-CT33</f>
        <v>94.823624580000001</v>
      </c>
      <c r="CU34" s="996">
        <v>85.107374660000005</v>
      </c>
      <c r="CV34" s="996">
        <f>+CV32-CV33</f>
        <v>84.364147479999986</v>
      </c>
      <c r="CW34" s="996">
        <v>82.494465619999971</v>
      </c>
      <c r="CX34" s="996">
        <v>91.954307389999997</v>
      </c>
      <c r="CY34" s="996">
        <v>86.829921009999964</v>
      </c>
      <c r="CZ34" s="996">
        <v>80.481503939999982</v>
      </c>
      <c r="DA34" s="996">
        <v>76.788248449999969</v>
      </c>
      <c r="DB34" s="996">
        <v>76.511638849999997</v>
      </c>
      <c r="DC34" s="996">
        <v>74.056068359999983</v>
      </c>
      <c r="DD34" s="996">
        <f>DD32-DD33</f>
        <v>70.406890209999972</v>
      </c>
      <c r="DE34" s="996">
        <v>60.981959649999965</v>
      </c>
      <c r="DF34" s="996">
        <v>88.312068829999987</v>
      </c>
      <c r="DG34" s="996">
        <v>83.895972169999993</v>
      </c>
      <c r="DH34" s="996">
        <f>DH32-DH33</f>
        <v>81.562526560000038</v>
      </c>
      <c r="DI34" s="996">
        <v>92.055937860000029</v>
      </c>
      <c r="DJ34" s="996">
        <f>DJ32-DJ33</f>
        <v>85.26409252000002</v>
      </c>
      <c r="DK34" s="996">
        <v>86.31534954</v>
      </c>
      <c r="DL34" s="996">
        <v>78.956178990000012</v>
      </c>
      <c r="DM34" s="996">
        <v>66.230026559999999</v>
      </c>
      <c r="DN34" s="996">
        <v>65.581317930000012</v>
      </c>
      <c r="DO34" s="996">
        <f>DO32-DO33</f>
        <v>64.684765510000034</v>
      </c>
      <c r="DP34" s="996">
        <f>DP32-DP33</f>
        <v>67.376483469999982</v>
      </c>
      <c r="DQ34" s="996">
        <v>76.669241700000043</v>
      </c>
      <c r="DR34" s="996">
        <f>DR32-DR33</f>
        <v>80.600564850000012</v>
      </c>
      <c r="DS34" s="996">
        <f>DS32-DS33</f>
        <v>80.970548529999974</v>
      </c>
      <c r="DT34" s="996">
        <v>83.087029939999979</v>
      </c>
      <c r="DU34" s="996">
        <v>84.653047959999981</v>
      </c>
      <c r="DV34" s="996">
        <f>DV32-DV33</f>
        <v>83.457946230000005</v>
      </c>
      <c r="DW34" s="996">
        <f>DW32-DW33</f>
        <v>82.399969999999996</v>
      </c>
      <c r="DX34" s="996">
        <v>82.089162260000023</v>
      </c>
      <c r="DY34" s="996">
        <v>75.841236540000011</v>
      </c>
      <c r="DZ34" s="996">
        <f>DZ32-DZ33</f>
        <v>75.642034480000007</v>
      </c>
      <c r="EA34" s="996">
        <f>EA32-EA33</f>
        <v>74.391620330000023</v>
      </c>
      <c r="EB34" s="996">
        <v>73.148415880000016</v>
      </c>
      <c r="EC34" s="996">
        <v>73.082417399999997</v>
      </c>
      <c r="ED34" s="996">
        <f>ED32-ED33</f>
        <v>71.646497199999999</v>
      </c>
      <c r="EE34" s="996">
        <v>69.076893330000019</v>
      </c>
      <c r="EF34" s="996">
        <f>EF32-EF33</f>
        <v>68.881892240000013</v>
      </c>
      <c r="EK34" s="400"/>
    </row>
    <row r="35" spans="1:141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8"/>
      <c r="EB35" s="2379"/>
      <c r="EC35" s="2379"/>
      <c r="ED35" s="2379"/>
      <c r="EE35" s="2379"/>
      <c r="EF35" s="2378"/>
    </row>
    <row r="36" spans="1:141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EK36" s="400"/>
    </row>
    <row r="37" spans="1:141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K37" s="400"/>
    </row>
    <row r="38" spans="1:141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K38" s="400"/>
    </row>
    <row r="39" spans="1:141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K39" s="400"/>
    </row>
    <row r="40" spans="1:141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K40" s="400"/>
    </row>
    <row r="41" spans="1:141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K41" s="400"/>
    </row>
    <row r="42" spans="1:141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K42" s="400"/>
    </row>
    <row r="43" spans="1:141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K43" s="400"/>
    </row>
    <row r="44" spans="1:141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K44" s="400"/>
    </row>
    <row r="45" spans="1:141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K45" s="400"/>
    </row>
    <row r="46" spans="1:141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K46" s="400"/>
    </row>
    <row r="47" spans="1:141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K47" s="400"/>
    </row>
    <row r="48" spans="1:141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EK48" s="400"/>
    </row>
    <row r="49" spans="1:141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EK49" s="400"/>
    </row>
    <row r="50" spans="1:141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EK50" s="400"/>
    </row>
    <row r="51" spans="1:141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EK51" s="400"/>
    </row>
    <row r="52" spans="1:141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EK52" s="400"/>
    </row>
    <row r="53" spans="1:141">
      <c r="EK53" s="400"/>
    </row>
    <row r="54" spans="1:141">
      <c r="EK54" s="400"/>
    </row>
    <row r="55" spans="1:141">
      <c r="EK55" s="400"/>
    </row>
    <row r="56" spans="1:141">
      <c r="EK56" s="400"/>
    </row>
    <row r="57" spans="1:141">
      <c r="EK57" s="400"/>
    </row>
    <row r="58" spans="1:141">
      <c r="EK58" s="400"/>
    </row>
    <row r="59" spans="1:141">
      <c r="EK59" s="400"/>
    </row>
    <row r="60" spans="1:141">
      <c r="EK60" s="400"/>
    </row>
    <row r="61" spans="1:141">
      <c r="EK61" s="400"/>
    </row>
    <row r="62" spans="1:141">
      <c r="EK62" s="400"/>
    </row>
  </sheetData>
  <mergeCells count="14">
    <mergeCell ref="A35:EF35"/>
    <mergeCell ref="A2:EF2"/>
    <mergeCell ref="A5:EF5"/>
    <mergeCell ref="A6:A7"/>
    <mergeCell ref="B6:M6"/>
    <mergeCell ref="N6:Y6"/>
    <mergeCell ref="Z6:AL6"/>
    <mergeCell ref="AW6:AX6"/>
    <mergeCell ref="BW6:CH6"/>
    <mergeCell ref="CU6:DF6"/>
    <mergeCell ref="A3:EF3"/>
    <mergeCell ref="DG6:DR6"/>
    <mergeCell ref="DS6:ED6"/>
    <mergeCell ref="EE6:EF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L62"/>
  <sheetViews>
    <sheetView showGridLines="0" view="pageBreakPreview" zoomScale="70" zoomScaleNormal="100" zoomScaleSheetLayoutView="70" workbookViewId="0">
      <selection activeCell="EF45" sqref="EF45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5.88671875" style="397" hidden="1" customWidth="1"/>
    <col min="37" max="37" width="16.88671875" style="397" hidden="1" customWidth="1"/>
    <col min="38" max="44" width="14.6640625" style="397" hidden="1" customWidth="1"/>
    <col min="45" max="60" width="14.33203125" style="397" hidden="1" customWidth="1"/>
    <col min="61" max="61" width="14" style="397" customWidth="1"/>
    <col min="62" max="72" width="14.33203125" style="397" hidden="1" customWidth="1"/>
    <col min="73" max="73" width="14" style="397" customWidth="1"/>
    <col min="74" max="82" width="14.33203125" style="397" hidden="1" customWidth="1"/>
    <col min="83" max="84" width="16.5546875" style="397" hidden="1" customWidth="1"/>
    <col min="85" max="85" width="14" style="397" customWidth="1"/>
    <col min="86" max="90" width="16.33203125" style="397" hidden="1" customWidth="1"/>
    <col min="91" max="96" width="16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5" width="14" style="397" customWidth="1"/>
    <col min="136" max="139" width="9.109375" style="397"/>
    <col min="140" max="140" width="0" style="397" hidden="1" customWidth="1"/>
    <col min="141" max="16384" width="9.109375" style="397"/>
  </cols>
  <sheetData>
    <row r="2" spans="1:142" ht="27" customHeight="1">
      <c r="A2" s="2380" t="s">
        <v>3379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42" ht="44.25" customHeight="1">
      <c r="A3" s="2389" t="s">
        <v>3367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42" ht="20.25" customHeight="1">
      <c r="A4" s="908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</row>
    <row r="5" spans="1:142" ht="20.25" customHeight="1">
      <c r="A5" s="2410" t="s">
        <v>2485</v>
      </c>
      <c r="B5" s="2410"/>
      <c r="C5" s="2410"/>
      <c r="D5" s="2410"/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2410"/>
      <c r="U5" s="2410"/>
      <c r="V5" s="2410"/>
      <c r="W5" s="2410"/>
      <c r="X5" s="2410"/>
      <c r="Y5" s="2410"/>
      <c r="Z5" s="2410"/>
      <c r="AA5" s="2410"/>
      <c r="AB5" s="2410"/>
      <c r="AC5" s="2410"/>
      <c r="AD5" s="2410"/>
      <c r="AE5" s="2410"/>
      <c r="AF5" s="2410"/>
      <c r="AG5" s="2410"/>
      <c r="AH5" s="2410"/>
      <c r="AI5" s="2410"/>
      <c r="AJ5" s="2410"/>
      <c r="AK5" s="2410"/>
      <c r="AL5" s="2410"/>
      <c r="AM5" s="2410"/>
      <c r="AN5" s="2410"/>
      <c r="AO5" s="2410"/>
      <c r="AP5" s="2410"/>
      <c r="AQ5" s="2410"/>
      <c r="AR5" s="2410"/>
      <c r="AS5" s="2410"/>
      <c r="AT5" s="2410"/>
      <c r="AU5" s="2410"/>
      <c r="AV5" s="2410"/>
      <c r="AW5" s="2410"/>
      <c r="AX5" s="2410"/>
      <c r="AY5" s="2410"/>
      <c r="AZ5" s="2410"/>
      <c r="BA5" s="2410"/>
      <c r="BB5" s="2410"/>
      <c r="BC5" s="2410"/>
      <c r="BD5" s="2410"/>
      <c r="BE5" s="2410"/>
      <c r="BF5" s="2410"/>
      <c r="BG5" s="2410"/>
      <c r="BH5" s="2410"/>
      <c r="BI5" s="2410"/>
      <c r="BJ5" s="2410"/>
      <c r="BK5" s="2410"/>
      <c r="BL5" s="2410"/>
      <c r="BM5" s="2410"/>
      <c r="BN5" s="2410"/>
      <c r="BO5" s="2410"/>
      <c r="BP5" s="2410"/>
      <c r="BQ5" s="2410"/>
      <c r="BR5" s="2410"/>
      <c r="BS5" s="2410"/>
      <c r="BT5" s="2410"/>
      <c r="BU5" s="2410"/>
      <c r="BV5" s="2410"/>
      <c r="BW5" s="2410"/>
      <c r="BX5" s="2410"/>
      <c r="BY5" s="2410"/>
      <c r="BZ5" s="2410"/>
      <c r="CA5" s="2410"/>
      <c r="CB5" s="2410"/>
      <c r="CC5" s="2410"/>
      <c r="CD5" s="2410"/>
      <c r="CE5" s="2410"/>
      <c r="CF5" s="2410"/>
      <c r="CG5" s="2410"/>
      <c r="CH5" s="2410"/>
      <c r="CI5" s="2410"/>
      <c r="CJ5" s="2410"/>
      <c r="CK5" s="2410"/>
      <c r="CL5" s="2410"/>
      <c r="CM5" s="2410"/>
      <c r="CN5" s="2410"/>
      <c r="CO5" s="2410"/>
      <c r="CP5" s="2410"/>
      <c r="CQ5" s="2410"/>
      <c r="CR5" s="2410"/>
      <c r="CS5" s="2410"/>
      <c r="CT5" s="2410"/>
      <c r="CU5" s="2410"/>
      <c r="CV5" s="2410"/>
      <c r="CW5" s="2410"/>
      <c r="CX5" s="2410"/>
      <c r="CY5" s="2410"/>
      <c r="CZ5" s="2410"/>
      <c r="DA5" s="2410"/>
      <c r="DB5" s="2410"/>
      <c r="DC5" s="2410"/>
      <c r="DD5" s="2410"/>
      <c r="DE5" s="2410"/>
      <c r="DF5" s="2410"/>
      <c r="DG5" s="2410"/>
      <c r="DH5" s="2410"/>
      <c r="DI5" s="2410"/>
      <c r="DJ5" s="2410"/>
      <c r="DK5" s="2410"/>
      <c r="DL5" s="2410"/>
      <c r="DM5" s="2410"/>
      <c r="DN5" s="2410"/>
      <c r="DO5" s="2410"/>
      <c r="DP5" s="2410"/>
      <c r="DQ5" s="2410"/>
      <c r="DR5" s="2410"/>
      <c r="DS5" s="2410"/>
      <c r="DT5" s="2410"/>
      <c r="DU5" s="2410"/>
      <c r="DV5" s="2410"/>
      <c r="DW5" s="2410"/>
      <c r="DX5" s="2410"/>
      <c r="DY5" s="2410"/>
      <c r="DZ5" s="2410"/>
      <c r="EA5" s="2410"/>
      <c r="EB5" s="2410"/>
      <c r="EC5" s="2410"/>
      <c r="ED5" s="2410"/>
      <c r="EE5" s="2410"/>
    </row>
    <row r="6" spans="1:142" ht="30" customHeight="1">
      <c r="A6" s="2411"/>
      <c r="B6" s="2413">
        <v>2013</v>
      </c>
      <c r="C6" s="2413"/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>
        <v>2014</v>
      </c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>
        <v>2015</v>
      </c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980">
        <v>2016</v>
      </c>
      <c r="AM6" s="980"/>
      <c r="AN6" s="980"/>
      <c r="AO6" s="980"/>
      <c r="AP6" s="980"/>
      <c r="AQ6" s="980"/>
      <c r="AR6" s="980"/>
      <c r="AS6" s="980"/>
      <c r="AT6" s="980"/>
      <c r="AU6" s="980"/>
      <c r="AV6" s="2413">
        <v>2016</v>
      </c>
      <c r="AW6" s="2413"/>
      <c r="AX6" s="980">
        <v>2017</v>
      </c>
      <c r="AY6" s="980"/>
      <c r="AZ6" s="980"/>
      <c r="BA6" s="980"/>
      <c r="BB6" s="980"/>
      <c r="BC6" s="980"/>
      <c r="BD6" s="980"/>
      <c r="BE6" s="980"/>
      <c r="BF6" s="980"/>
      <c r="BG6" s="980"/>
      <c r="BH6" s="1014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05">
        <v>2019</v>
      </c>
      <c r="BW6" s="2405"/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42" ht="30" customHeight="1">
      <c r="A7" s="2412"/>
      <c r="B7" s="943" t="s">
        <v>1988</v>
      </c>
      <c r="C7" s="943" t="s">
        <v>1999</v>
      </c>
      <c r="D7" s="943" t="s">
        <v>1998</v>
      </c>
      <c r="E7" s="943" t="s">
        <v>1997</v>
      </c>
      <c r="F7" s="943" t="s">
        <v>1996</v>
      </c>
      <c r="G7" s="943" t="s">
        <v>1995</v>
      </c>
      <c r="H7" s="943" t="s">
        <v>1994</v>
      </c>
      <c r="I7" s="943" t="s">
        <v>1993</v>
      </c>
      <c r="J7" s="943" t="s">
        <v>1992</v>
      </c>
      <c r="K7" s="943" t="s">
        <v>1991</v>
      </c>
      <c r="L7" s="943" t="s">
        <v>1990</v>
      </c>
      <c r="M7" s="943" t="s">
        <v>1989</v>
      </c>
      <c r="N7" s="943" t="s">
        <v>1988</v>
      </c>
      <c r="O7" s="943" t="s">
        <v>1999</v>
      </c>
      <c r="P7" s="943" t="s">
        <v>1998</v>
      </c>
      <c r="Q7" s="943" t="s">
        <v>1997</v>
      </c>
      <c r="R7" s="943" t="s">
        <v>1996</v>
      </c>
      <c r="S7" s="943" t="s">
        <v>1995</v>
      </c>
      <c r="T7" s="943" t="s">
        <v>1994</v>
      </c>
      <c r="U7" s="943" t="s">
        <v>1993</v>
      </c>
      <c r="V7" s="943" t="s">
        <v>1992</v>
      </c>
      <c r="W7" s="943" t="s">
        <v>1991</v>
      </c>
      <c r="X7" s="943" t="s">
        <v>1990</v>
      </c>
      <c r="Y7" s="943" t="s">
        <v>1989</v>
      </c>
      <c r="Z7" s="943" t="s">
        <v>1988</v>
      </c>
      <c r="AA7" s="943" t="s">
        <v>1999</v>
      </c>
      <c r="AB7" s="943" t="s">
        <v>1998</v>
      </c>
      <c r="AC7" s="943" t="s">
        <v>1997</v>
      </c>
      <c r="AD7" s="943" t="s">
        <v>1996</v>
      </c>
      <c r="AE7" s="943" t="s">
        <v>2000</v>
      </c>
      <c r="AF7" s="943" t="s">
        <v>2004</v>
      </c>
      <c r="AG7" s="943" t="s">
        <v>1993</v>
      </c>
      <c r="AH7" s="943" t="s">
        <v>1992</v>
      </c>
      <c r="AI7" s="943" t="s">
        <v>1991</v>
      </c>
      <c r="AJ7" s="943" t="s">
        <v>1990</v>
      </c>
      <c r="AK7" s="943" t="s">
        <v>1989</v>
      </c>
      <c r="AL7" s="943" t="s">
        <v>1988</v>
      </c>
      <c r="AM7" s="943" t="s">
        <v>1999</v>
      </c>
      <c r="AN7" s="943" t="s">
        <v>1998</v>
      </c>
      <c r="AO7" s="943" t="s">
        <v>1997</v>
      </c>
      <c r="AP7" s="943" t="s">
        <v>1996</v>
      </c>
      <c r="AQ7" s="943" t="s">
        <v>1995</v>
      </c>
      <c r="AR7" s="943" t="s">
        <v>1994</v>
      </c>
      <c r="AS7" s="981" t="s">
        <v>1993</v>
      </c>
      <c r="AT7" s="981" t="s">
        <v>1992</v>
      </c>
      <c r="AU7" s="981" t="s">
        <v>1991</v>
      </c>
      <c r="AV7" s="981" t="s">
        <v>1990</v>
      </c>
      <c r="AW7" s="943" t="s">
        <v>1989</v>
      </c>
      <c r="AX7" s="981" t="s">
        <v>1988</v>
      </c>
      <c r="AY7" s="981" t="s">
        <v>1987</v>
      </c>
      <c r="AZ7" s="981" t="s">
        <v>1986</v>
      </c>
      <c r="BA7" s="981" t="s">
        <v>1985</v>
      </c>
      <c r="BB7" s="981" t="s">
        <v>2005</v>
      </c>
      <c r="BC7" s="981" t="s">
        <v>2006</v>
      </c>
      <c r="BD7" s="943" t="s">
        <v>2015</v>
      </c>
      <c r="BE7" s="943" t="s">
        <v>2025</v>
      </c>
      <c r="BF7" s="943" t="s">
        <v>2035</v>
      </c>
      <c r="BG7" s="943" t="s">
        <v>2048</v>
      </c>
      <c r="BH7" s="997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</row>
    <row r="8" spans="1:142" ht="19.8">
      <c r="A8" s="976" t="s">
        <v>2820</v>
      </c>
      <c r="B8" s="945">
        <v>371.37485794999998</v>
      </c>
      <c r="C8" s="945">
        <v>280.68035514999997</v>
      </c>
      <c r="D8" s="945">
        <v>281.22185160999999</v>
      </c>
      <c r="E8" s="945">
        <v>287.03130585000002</v>
      </c>
      <c r="F8" s="945">
        <v>178.76377816000002</v>
      </c>
      <c r="G8" s="945">
        <v>175.03233437</v>
      </c>
      <c r="H8" s="945">
        <v>177.31042966999999</v>
      </c>
      <c r="I8" s="945">
        <v>174.28806896000003</v>
      </c>
      <c r="J8" s="945">
        <v>173.90711790000003</v>
      </c>
      <c r="K8" s="945">
        <v>173.14828112000001</v>
      </c>
      <c r="L8" s="945">
        <v>164.53433554000003</v>
      </c>
      <c r="M8" s="946">
        <v>163.20123968000001</v>
      </c>
      <c r="N8" s="946">
        <v>160.71689906</v>
      </c>
      <c r="O8" s="946">
        <v>160.46908085000001</v>
      </c>
      <c r="P8" s="946">
        <v>161.51403843000003</v>
      </c>
      <c r="Q8" s="946">
        <v>138.43867263000001</v>
      </c>
      <c r="R8" s="946">
        <v>142.12255864000002</v>
      </c>
      <c r="S8" s="946">
        <v>144.79102319</v>
      </c>
      <c r="T8" s="946">
        <v>142.04191179</v>
      </c>
      <c r="U8" s="946">
        <v>144.24005866000002</v>
      </c>
      <c r="V8" s="946">
        <v>146.06559233000002</v>
      </c>
      <c r="W8" s="946">
        <v>148.89360317000001</v>
      </c>
      <c r="X8" s="946">
        <v>148.7892569</v>
      </c>
      <c r="Y8" s="946">
        <v>134.72375214000002</v>
      </c>
      <c r="Z8" s="946">
        <v>134.59415387000001</v>
      </c>
      <c r="AA8" s="946">
        <v>152.31823054</v>
      </c>
      <c r="AB8" s="946">
        <v>151.20703358</v>
      </c>
      <c r="AC8" s="946">
        <v>150.88162495999998</v>
      </c>
      <c r="AD8" s="946">
        <v>158.84689413000001</v>
      </c>
      <c r="AE8" s="946">
        <v>165.13177231999998</v>
      </c>
      <c r="AF8" s="946">
        <v>164.97885882</v>
      </c>
      <c r="AG8" s="946">
        <v>174.28674838000001</v>
      </c>
      <c r="AH8" s="946">
        <v>103.07259006000001</v>
      </c>
      <c r="AI8" s="946">
        <v>109.51482437999999</v>
      </c>
      <c r="AJ8" s="946">
        <v>104.74286409999999</v>
      </c>
      <c r="AK8" s="946">
        <v>135.42070587000001</v>
      </c>
      <c r="AL8" s="946">
        <v>131.40524945999999</v>
      </c>
      <c r="AM8" s="946">
        <v>128.94843634</v>
      </c>
      <c r="AN8" s="946">
        <v>128.82772116000001</v>
      </c>
      <c r="AO8" s="946">
        <v>128.87074984</v>
      </c>
      <c r="AP8" s="946">
        <v>122.35909971000001</v>
      </c>
      <c r="AQ8" s="946">
        <v>119.96831184000001</v>
      </c>
      <c r="AR8" s="946">
        <v>117.08372646000001</v>
      </c>
      <c r="AS8" s="946">
        <v>113.33478391999999</v>
      </c>
      <c r="AT8" s="946">
        <v>115.00534913</v>
      </c>
      <c r="AU8" s="946">
        <v>105.9276667</v>
      </c>
      <c r="AV8" s="946">
        <v>135.64527134000002</v>
      </c>
      <c r="AW8" s="946">
        <v>123.56784676000001</v>
      </c>
      <c r="AX8" s="946">
        <v>128.87327235000001</v>
      </c>
      <c r="AY8" s="946">
        <v>118.27619371999998</v>
      </c>
      <c r="AZ8" s="946">
        <v>119.04739961000001</v>
      </c>
      <c r="BA8" s="946">
        <v>119.22344769</v>
      </c>
      <c r="BB8" s="946">
        <v>127.60648642</v>
      </c>
      <c r="BC8" s="946">
        <v>120.09532649000001</v>
      </c>
      <c r="BD8" s="946">
        <v>117.05413166</v>
      </c>
      <c r="BE8" s="946">
        <v>112.35640069</v>
      </c>
      <c r="BF8" s="946">
        <v>107.00080903</v>
      </c>
      <c r="BG8" s="946">
        <v>105.86911676</v>
      </c>
      <c r="BH8" s="1004">
        <v>102.44545586999999</v>
      </c>
      <c r="BI8" s="993">
        <v>99.875117109999991</v>
      </c>
      <c r="BJ8" s="993">
        <v>90.240412829999997</v>
      </c>
      <c r="BK8" s="993">
        <v>101.59994817</v>
      </c>
      <c r="BL8" s="993">
        <v>99.883356630000009</v>
      </c>
      <c r="BM8" s="993">
        <v>96.823836300000011</v>
      </c>
      <c r="BN8" s="993">
        <v>93.840992059999991</v>
      </c>
      <c r="BO8" s="993">
        <v>87.873353510000001</v>
      </c>
      <c r="BP8" s="993">
        <v>82.337467709999999</v>
      </c>
      <c r="BQ8" s="993">
        <v>90.605755200000004</v>
      </c>
      <c r="BR8" s="993">
        <v>85.885595480000006</v>
      </c>
      <c r="BS8" s="993">
        <v>84.765388059999992</v>
      </c>
      <c r="BT8" s="993">
        <v>82.044815629999988</v>
      </c>
      <c r="BU8" s="993">
        <v>77.111194799999993</v>
      </c>
      <c r="BV8" s="993">
        <v>75.937350960000003</v>
      </c>
      <c r="BW8" s="993">
        <v>73.447471460000003</v>
      </c>
      <c r="BX8" s="993">
        <v>75.018134799999999</v>
      </c>
      <c r="BY8" s="993">
        <v>74.814509780000009</v>
      </c>
      <c r="BZ8" s="993">
        <v>71.28229669000001</v>
      </c>
      <c r="CA8" s="993">
        <v>71.160310750000008</v>
      </c>
      <c r="CB8" s="993">
        <v>37.267150730000004</v>
      </c>
      <c r="CC8" s="993">
        <v>34.743146689999996</v>
      </c>
      <c r="CD8" s="993">
        <v>33.829707839999998</v>
      </c>
      <c r="CE8" s="993">
        <v>32.563461630000006</v>
      </c>
      <c r="CF8" s="993">
        <v>30.051031290000001</v>
      </c>
      <c r="CG8" s="993">
        <v>29.914680269999998</v>
      </c>
      <c r="CH8" s="993">
        <v>28.784889160000002</v>
      </c>
      <c r="CI8" s="993">
        <v>25.905592429999999</v>
      </c>
      <c r="CJ8" s="993">
        <v>26.10718194</v>
      </c>
      <c r="CK8" s="993">
        <v>24.227120580000001</v>
      </c>
      <c r="CL8" s="993">
        <v>23.694239969999998</v>
      </c>
      <c r="CM8" s="993">
        <v>23.336812760000001</v>
      </c>
      <c r="CN8" s="993">
        <v>22.140004189999999</v>
      </c>
      <c r="CO8" s="993">
        <v>12.325194809999999</v>
      </c>
      <c r="CP8" s="993">
        <v>12.9484838</v>
      </c>
      <c r="CQ8" s="993">
        <v>2.39123748</v>
      </c>
      <c r="CR8" s="993">
        <v>7.5252334899999997</v>
      </c>
      <c r="CS8" s="993">
        <v>5.3777110399999994</v>
      </c>
      <c r="CT8" s="993">
        <v>268.28105054999997</v>
      </c>
      <c r="CU8" s="993">
        <v>265.97732522000001</v>
      </c>
      <c r="CV8" s="993">
        <v>267.58293235000002</v>
      </c>
      <c r="CW8" s="993">
        <v>267.46906082999999</v>
      </c>
      <c r="CX8" s="993">
        <v>264.82072332000001</v>
      </c>
      <c r="CY8" s="993">
        <v>264.55922588999999</v>
      </c>
      <c r="CZ8" s="993">
        <v>259.76599436999999</v>
      </c>
      <c r="DA8" s="993">
        <v>256.55882308000002</v>
      </c>
      <c r="DB8" s="993">
        <v>255.61844984999999</v>
      </c>
      <c r="DC8" s="993">
        <v>255.86154368999999</v>
      </c>
      <c r="DD8" s="993">
        <v>255.77459844000001</v>
      </c>
      <c r="DE8" s="993">
        <v>256.07872295999999</v>
      </c>
      <c r="DF8" s="993">
        <v>255.72944038</v>
      </c>
      <c r="DG8" s="993">
        <v>255.79744651999999</v>
      </c>
      <c r="DH8" s="993">
        <v>257.69415103</v>
      </c>
      <c r="DI8" s="993">
        <v>257.58624103</v>
      </c>
      <c r="DJ8" s="993">
        <v>259.55549444000002</v>
      </c>
      <c r="DK8" s="993">
        <v>259.79918151999999</v>
      </c>
      <c r="DL8" s="993">
        <v>217.30785442000001</v>
      </c>
      <c r="DM8" s="993">
        <v>215.01245506000001</v>
      </c>
      <c r="DN8" s="993">
        <v>240.96042359</v>
      </c>
      <c r="DO8" s="993">
        <v>233.41907734</v>
      </c>
      <c r="DP8" s="993">
        <v>242.28323825000001</v>
      </c>
      <c r="DQ8" s="993">
        <v>231.04088942000001</v>
      </c>
      <c r="DR8" s="993">
        <v>189.6296553</v>
      </c>
      <c r="DS8" s="993">
        <v>192.41927181</v>
      </c>
      <c r="DT8" s="993">
        <v>208.07349857</v>
      </c>
      <c r="DU8" s="993">
        <v>210.70521676999999</v>
      </c>
      <c r="DV8" s="993">
        <v>240.9300738</v>
      </c>
      <c r="DW8" s="993">
        <v>270.33778192</v>
      </c>
      <c r="DX8" s="993">
        <v>262.95360976000001</v>
      </c>
      <c r="DY8" s="993">
        <v>286.41465613999998</v>
      </c>
      <c r="DZ8" s="993">
        <v>324.24537481999999</v>
      </c>
      <c r="EA8" s="993">
        <v>340.65460597999999</v>
      </c>
      <c r="EB8" s="993">
        <v>349.70952745</v>
      </c>
      <c r="EC8" s="993">
        <v>378.04751641000001</v>
      </c>
      <c r="ED8" s="993">
        <v>328.96143050000001</v>
      </c>
      <c r="EE8" s="993">
        <v>338.95553083999999</v>
      </c>
      <c r="EK8" s="398"/>
      <c r="EL8" s="399"/>
    </row>
    <row r="9" spans="1:142" ht="19.8">
      <c r="A9" s="977" t="s">
        <v>2001</v>
      </c>
      <c r="B9" s="949">
        <v>226.93125953999999</v>
      </c>
      <c r="C9" s="949">
        <v>226.31229095999998</v>
      </c>
      <c r="D9" s="949">
        <v>226.30729095999999</v>
      </c>
      <c r="E9" s="949">
        <v>220.49555925000001</v>
      </c>
      <c r="F9" s="949">
        <v>113.70055925000001</v>
      </c>
      <c r="G9" s="949">
        <v>106.5400594</v>
      </c>
      <c r="H9" s="949">
        <v>106.24833840000001</v>
      </c>
      <c r="I9" s="949">
        <v>103.12080854000001</v>
      </c>
      <c r="J9" s="949">
        <v>102.8465084</v>
      </c>
      <c r="K9" s="949">
        <v>102.6165084</v>
      </c>
      <c r="L9" s="949">
        <v>93.90580854000001</v>
      </c>
      <c r="M9" s="950">
        <v>91.95650839999999</v>
      </c>
      <c r="N9" s="950">
        <v>89.05440883</v>
      </c>
      <c r="O9" s="950">
        <v>88.705808539999992</v>
      </c>
      <c r="P9" s="950">
        <v>86.555108689999997</v>
      </c>
      <c r="Q9" s="950">
        <v>84.805108689999997</v>
      </c>
      <c r="R9" s="950">
        <v>84.43937154000001</v>
      </c>
      <c r="S9" s="950">
        <v>84.088671690000012</v>
      </c>
      <c r="T9" s="950">
        <v>83.737971830000006</v>
      </c>
      <c r="U9" s="950">
        <v>83.389371540000013</v>
      </c>
      <c r="V9" s="950">
        <v>83.039371540000005</v>
      </c>
      <c r="W9" s="950">
        <v>82.739371540000008</v>
      </c>
      <c r="X9" s="950">
        <v>82.42080854000001</v>
      </c>
      <c r="Y9" s="950">
        <v>82.070808540000002</v>
      </c>
      <c r="Z9" s="950">
        <v>81.970808540000007</v>
      </c>
      <c r="AA9" s="950">
        <v>92.015725040000007</v>
      </c>
      <c r="AB9" s="950">
        <v>91.306626919999999</v>
      </c>
      <c r="AC9" s="950">
        <v>90.495860800000003</v>
      </c>
      <c r="AD9" s="950">
        <v>97.146759790000004</v>
      </c>
      <c r="AE9" s="950">
        <v>95.819570179999999</v>
      </c>
      <c r="AF9" s="950">
        <v>94.546667860000014</v>
      </c>
      <c r="AG9" s="950">
        <v>100.80315203000001</v>
      </c>
      <c r="AH9" s="950">
        <v>35.993458540000006</v>
      </c>
      <c r="AI9" s="950">
        <v>37.116718299999995</v>
      </c>
      <c r="AJ9" s="950">
        <v>32.776145640000003</v>
      </c>
      <c r="AK9" s="950">
        <v>32.133548529999999</v>
      </c>
      <c r="AL9" s="950">
        <v>31.39442798</v>
      </c>
      <c r="AM9" s="950">
        <v>30.285577610000001</v>
      </c>
      <c r="AN9" s="950">
        <v>29.50121386</v>
      </c>
      <c r="AO9" s="950">
        <v>32.281423410000002</v>
      </c>
      <c r="AP9" s="950">
        <v>30.193132200000001</v>
      </c>
      <c r="AQ9" s="950">
        <v>28.086202829999998</v>
      </c>
      <c r="AR9" s="950">
        <v>26.39009274</v>
      </c>
      <c r="AS9" s="950">
        <v>24.508873170000001</v>
      </c>
      <c r="AT9" s="950">
        <v>25.982158550000001</v>
      </c>
      <c r="AU9" s="950">
        <v>23.432755660000002</v>
      </c>
      <c r="AV9" s="950">
        <v>49.645195659999999</v>
      </c>
      <c r="AW9" s="950">
        <v>51.666771699999998</v>
      </c>
      <c r="AX9" s="950">
        <v>54.262324899999996</v>
      </c>
      <c r="AY9" s="950">
        <v>51.674734899999997</v>
      </c>
      <c r="AZ9" s="950">
        <v>65.08411246</v>
      </c>
      <c r="BA9" s="950">
        <v>65.939891240000009</v>
      </c>
      <c r="BB9" s="950">
        <v>65.748473700000005</v>
      </c>
      <c r="BC9" s="950">
        <v>57.915310600000005</v>
      </c>
      <c r="BD9" s="950">
        <v>55.264352819999999</v>
      </c>
      <c r="BE9" s="950">
        <v>54.577801829999999</v>
      </c>
      <c r="BF9" s="950">
        <v>54.331089810000002</v>
      </c>
      <c r="BG9" s="950">
        <v>53.604283550000005</v>
      </c>
      <c r="BH9" s="1005">
        <v>52.750414829999997</v>
      </c>
      <c r="BI9" s="994">
        <v>51.612337960000005</v>
      </c>
      <c r="BJ9" s="994">
        <v>42.36714345</v>
      </c>
      <c r="BK9" s="994">
        <v>40.99879207</v>
      </c>
      <c r="BL9" s="994">
        <v>39.328081230000002</v>
      </c>
      <c r="BM9" s="994">
        <v>38.16989006</v>
      </c>
      <c r="BN9" s="994">
        <v>36.866625620000001</v>
      </c>
      <c r="BO9" s="994">
        <v>35.859079789999996</v>
      </c>
      <c r="BP9" s="994">
        <v>34.817243409999996</v>
      </c>
      <c r="BQ9" s="994">
        <v>45.438266660000004</v>
      </c>
      <c r="BR9" s="994">
        <v>40.729273570000004</v>
      </c>
      <c r="BS9" s="994">
        <v>39.672666399999997</v>
      </c>
      <c r="BT9" s="994">
        <v>38.616435339999995</v>
      </c>
      <c r="BU9" s="994">
        <v>37.068372289999999</v>
      </c>
      <c r="BV9" s="994">
        <v>35.945855510000001</v>
      </c>
      <c r="BW9" s="994">
        <v>35.118421040000001</v>
      </c>
      <c r="BX9" s="994">
        <v>36.69912704</v>
      </c>
      <c r="BY9" s="994">
        <v>36.505678580000001</v>
      </c>
      <c r="BZ9" s="994">
        <v>34.452527740000001</v>
      </c>
      <c r="CA9" s="994">
        <v>34.465849560000002</v>
      </c>
      <c r="CB9" s="994">
        <v>31.25086254</v>
      </c>
      <c r="CC9" s="994">
        <v>30.352338619999998</v>
      </c>
      <c r="CD9" s="994">
        <v>29.449716079999998</v>
      </c>
      <c r="CE9" s="994">
        <v>28.314360640000004</v>
      </c>
      <c r="CF9" s="994">
        <v>27.55791511</v>
      </c>
      <c r="CG9" s="994">
        <v>27.31313725</v>
      </c>
      <c r="CH9" s="994">
        <v>26.348063369999998</v>
      </c>
      <c r="CI9" s="994">
        <v>25.395275239999997</v>
      </c>
      <c r="CJ9" s="994">
        <v>25.764858279999999</v>
      </c>
      <c r="CK9" s="994">
        <v>24.190285169999999</v>
      </c>
      <c r="CL9" s="994">
        <v>23.45346017</v>
      </c>
      <c r="CM9" s="994">
        <v>22.908304080000001</v>
      </c>
      <c r="CN9" s="994">
        <v>21.774004189999999</v>
      </c>
      <c r="CO9" s="994">
        <v>11.905194809999999</v>
      </c>
      <c r="CP9" s="994">
        <v>11.430273440000001</v>
      </c>
      <c r="CQ9" s="994">
        <v>0.91559407999999998</v>
      </c>
      <c r="CR9" s="994">
        <v>5.5972986599999999</v>
      </c>
      <c r="CS9" s="994">
        <v>3.4722591599999997</v>
      </c>
      <c r="CT9" s="994">
        <v>258.48572328</v>
      </c>
      <c r="CU9" s="994">
        <v>256.17170568</v>
      </c>
      <c r="CV9" s="994">
        <v>257.5</v>
      </c>
      <c r="CW9" s="994">
        <v>255.7</v>
      </c>
      <c r="CX9" s="994">
        <v>255.2</v>
      </c>
      <c r="CY9" s="994">
        <v>255</v>
      </c>
      <c r="CZ9" s="994">
        <v>256.10124980000001</v>
      </c>
      <c r="DA9" s="994">
        <v>255</v>
      </c>
      <c r="DB9" s="994">
        <v>255</v>
      </c>
      <c r="DC9" s="994">
        <v>255</v>
      </c>
      <c r="DD9" s="994">
        <v>255</v>
      </c>
      <c r="DE9" s="994">
        <v>255</v>
      </c>
      <c r="DF9" s="994">
        <v>255</v>
      </c>
      <c r="DG9" s="994">
        <v>255</v>
      </c>
      <c r="DH9" s="994">
        <v>255</v>
      </c>
      <c r="DI9" s="994">
        <v>255</v>
      </c>
      <c r="DJ9" s="994">
        <v>255</v>
      </c>
      <c r="DK9" s="994">
        <v>255</v>
      </c>
      <c r="DL9" s="994">
        <v>212.5</v>
      </c>
      <c r="DM9" s="994">
        <v>212.5</v>
      </c>
      <c r="DN9" s="994">
        <v>237.184</v>
      </c>
      <c r="DO9" s="994">
        <v>230.06244519000001</v>
      </c>
      <c r="DP9" s="994">
        <v>240.27335149000001</v>
      </c>
      <c r="DQ9" s="994">
        <v>228.31997842000001</v>
      </c>
      <c r="DR9" s="994">
        <v>185.40361494999999</v>
      </c>
      <c r="DS9" s="994">
        <v>183.14157581000001</v>
      </c>
      <c r="DT9" s="994">
        <v>199.15740824</v>
      </c>
      <c r="DU9" s="994">
        <v>201.39077915999999</v>
      </c>
      <c r="DV9" s="994">
        <v>229.19583703999999</v>
      </c>
      <c r="DW9" s="994">
        <v>257.21084524000003</v>
      </c>
      <c r="DX9" s="994">
        <v>247.80310592999999</v>
      </c>
      <c r="DY9" s="994">
        <v>269.86791536999999</v>
      </c>
      <c r="DZ9" s="994">
        <v>307.85537169000003</v>
      </c>
      <c r="EA9" s="994">
        <v>328.84181409000001</v>
      </c>
      <c r="EB9" s="994">
        <v>328.84181409000001</v>
      </c>
      <c r="EC9" s="994">
        <v>361.01696808999998</v>
      </c>
      <c r="ED9" s="994">
        <v>310.86696809</v>
      </c>
      <c r="EE9" s="994">
        <v>321.04594528000001</v>
      </c>
      <c r="EL9" s="400"/>
    </row>
    <row r="10" spans="1:142" ht="19.8">
      <c r="A10" s="978" t="s">
        <v>2002</v>
      </c>
      <c r="B10" s="945">
        <f>+B8-B9</f>
        <v>144.44359840999999</v>
      </c>
      <c r="C10" s="945">
        <f t="shared" ref="C10:V10" si="0">+C8-C9</f>
        <v>54.368064189999984</v>
      </c>
      <c r="D10" s="945">
        <f t="shared" si="0"/>
        <v>54.914560649999999</v>
      </c>
      <c r="E10" s="945">
        <f t="shared" si="0"/>
        <v>66.53574660000001</v>
      </c>
      <c r="F10" s="945">
        <f t="shared" si="0"/>
        <v>65.063218910000003</v>
      </c>
      <c r="G10" s="945">
        <f t="shared" si="0"/>
        <v>68.492274969999997</v>
      </c>
      <c r="H10" s="945">
        <f t="shared" si="0"/>
        <v>71.062091269999982</v>
      </c>
      <c r="I10" s="945">
        <f t="shared" si="0"/>
        <v>71.167260420000019</v>
      </c>
      <c r="J10" s="945">
        <f t="shared" si="0"/>
        <v>71.060609500000027</v>
      </c>
      <c r="K10" s="945">
        <f t="shared" si="0"/>
        <v>70.531772720000006</v>
      </c>
      <c r="L10" s="945">
        <f t="shared" si="0"/>
        <v>70.62852700000002</v>
      </c>
      <c r="M10" s="950">
        <f t="shared" si="0"/>
        <v>71.244731280000025</v>
      </c>
      <c r="N10" s="946">
        <f t="shared" si="0"/>
        <v>71.662490230000003</v>
      </c>
      <c r="O10" s="946">
        <f t="shared" si="0"/>
        <v>71.763272310000019</v>
      </c>
      <c r="P10" s="946">
        <f t="shared" si="0"/>
        <v>74.958929740000031</v>
      </c>
      <c r="Q10" s="946">
        <f t="shared" si="0"/>
        <v>53.633563940000016</v>
      </c>
      <c r="R10" s="946">
        <f t="shared" si="0"/>
        <v>57.683187100000012</v>
      </c>
      <c r="S10" s="946">
        <f t="shared" si="0"/>
        <v>60.702351499999992</v>
      </c>
      <c r="T10" s="946">
        <f t="shared" si="0"/>
        <v>58.303939959999994</v>
      </c>
      <c r="U10" s="946">
        <f t="shared" si="0"/>
        <v>60.850687120000003</v>
      </c>
      <c r="V10" s="946">
        <f t="shared" si="0"/>
        <v>63.026220790000011</v>
      </c>
      <c r="W10" s="946">
        <v>66.154231629999998</v>
      </c>
      <c r="X10" s="946">
        <v>66.368448359999988</v>
      </c>
      <c r="Y10" s="950">
        <v>52.652943600000015</v>
      </c>
      <c r="Z10" s="946">
        <v>52.623345330000006</v>
      </c>
      <c r="AA10" s="946">
        <v>60.302505499999995</v>
      </c>
      <c r="AB10" s="950">
        <v>59.900406660000002</v>
      </c>
      <c r="AC10" s="950">
        <v>60.385764159999979</v>
      </c>
      <c r="AD10" s="950">
        <v>61.700134340000005</v>
      </c>
      <c r="AE10" s="950">
        <v>69.312202139999982</v>
      </c>
      <c r="AF10" s="950">
        <v>70.432190959999986</v>
      </c>
      <c r="AG10" s="950">
        <v>73.483596349999999</v>
      </c>
      <c r="AH10" s="950">
        <f>+AH8-AH9</f>
        <v>67.079131520000004</v>
      </c>
      <c r="AI10" s="950">
        <v>72.398106079999991</v>
      </c>
      <c r="AJ10" s="950">
        <f>+AJ8-AJ9</f>
        <v>71.966718459999981</v>
      </c>
      <c r="AK10" s="950">
        <f>+AK8-AK9</f>
        <v>103.28715734000001</v>
      </c>
      <c r="AL10" s="950">
        <v>100.01082147999999</v>
      </c>
      <c r="AM10" s="950">
        <f>+AM8-AM9</f>
        <v>98.662858729999996</v>
      </c>
      <c r="AN10" s="950">
        <f>+AN8-AN9</f>
        <v>99.326507300000003</v>
      </c>
      <c r="AO10" s="950">
        <f>+AO8-AO9</f>
        <v>96.58932643</v>
      </c>
      <c r="AP10" s="950">
        <f>+AP8-AP9</f>
        <v>92.165967510000002</v>
      </c>
      <c r="AQ10" s="950">
        <v>91.882109010000022</v>
      </c>
      <c r="AR10" s="950">
        <f>+AR8-AR9</f>
        <v>90.693633720000008</v>
      </c>
      <c r="AS10" s="950">
        <f>+AS8-AS9</f>
        <v>88.825910749999991</v>
      </c>
      <c r="AT10" s="950">
        <f>+AT8-AT9</f>
        <v>89.023190580000005</v>
      </c>
      <c r="AU10" s="950">
        <v>82.494911040000005</v>
      </c>
      <c r="AV10" s="950">
        <v>86.000075680000023</v>
      </c>
      <c r="AW10" s="950">
        <v>71.901075060000011</v>
      </c>
      <c r="AX10" s="950">
        <v>74.610947450000012</v>
      </c>
      <c r="AY10" s="950">
        <v>66.601458819999976</v>
      </c>
      <c r="AZ10" s="950">
        <v>53.963287150000014</v>
      </c>
      <c r="BA10" s="950">
        <v>53.283556449999992</v>
      </c>
      <c r="BB10" s="950">
        <v>61.858012719999991</v>
      </c>
      <c r="BC10" s="950">
        <v>62.18001589</v>
      </c>
      <c r="BD10" s="950">
        <f>+BD8-BD9</f>
        <v>61.789778839999997</v>
      </c>
      <c r="BE10" s="950">
        <v>57.778598860000002</v>
      </c>
      <c r="BF10" s="950">
        <v>52.669719219999998</v>
      </c>
      <c r="BG10" s="950">
        <v>52.264833209999992</v>
      </c>
      <c r="BH10" s="1005">
        <v>49.695041039999992</v>
      </c>
      <c r="BI10" s="994">
        <v>48.262779149999986</v>
      </c>
      <c r="BJ10" s="994">
        <v>47.873269379999996</v>
      </c>
      <c r="BK10" s="994">
        <v>60.601156100000004</v>
      </c>
      <c r="BL10" s="994">
        <v>60.555275400000006</v>
      </c>
      <c r="BM10" s="994">
        <v>58.65394624000001</v>
      </c>
      <c r="BN10" s="994">
        <v>56.97436643999999</v>
      </c>
      <c r="BO10" s="994">
        <v>52.014273720000006</v>
      </c>
      <c r="BP10" s="994">
        <v>47.520224300000002</v>
      </c>
      <c r="BQ10" s="994">
        <v>45.167488540000001</v>
      </c>
      <c r="BR10" s="994">
        <v>45.156321910000003</v>
      </c>
      <c r="BS10" s="994">
        <v>45.092721659999995</v>
      </c>
      <c r="BT10" s="994">
        <v>43.428380289999993</v>
      </c>
      <c r="BU10" s="994">
        <v>40.042822509999993</v>
      </c>
      <c r="BV10" s="994">
        <v>39.991495450000002</v>
      </c>
      <c r="BW10" s="994">
        <v>38.329050420000002</v>
      </c>
      <c r="BX10" s="994">
        <v>38.319007759999998</v>
      </c>
      <c r="BY10" s="994">
        <v>38.308831200000007</v>
      </c>
      <c r="BZ10" s="994">
        <v>36.829768950000009</v>
      </c>
      <c r="CA10" s="994">
        <v>36.694461190000006</v>
      </c>
      <c r="CB10" s="994">
        <v>6.0162881900000045</v>
      </c>
      <c r="CC10" s="994">
        <v>4.3908080699999985</v>
      </c>
      <c r="CD10" s="994">
        <v>4.3799917599999993</v>
      </c>
      <c r="CE10" s="994">
        <f t="shared" ref="CE10:CO10" si="1">+CE8-CE9</f>
        <v>4.2491009900000023</v>
      </c>
      <c r="CF10" s="994">
        <f t="shared" si="1"/>
        <v>2.4931161800000012</v>
      </c>
      <c r="CG10" s="994">
        <f t="shared" si="1"/>
        <v>2.6015430199999976</v>
      </c>
      <c r="CH10" s="994">
        <f t="shared" si="1"/>
        <v>2.4368257900000039</v>
      </c>
      <c r="CI10" s="994">
        <f t="shared" si="1"/>
        <v>0.51031719000000209</v>
      </c>
      <c r="CJ10" s="994">
        <f t="shared" si="1"/>
        <v>0.34232366000000169</v>
      </c>
      <c r="CK10" s="994">
        <f t="shared" si="1"/>
        <v>3.68354100000019E-2</v>
      </c>
      <c r="CL10" s="994">
        <f t="shared" si="1"/>
        <v>0.24077979999999854</v>
      </c>
      <c r="CM10" s="994">
        <f t="shared" si="1"/>
        <v>0.4285086800000002</v>
      </c>
      <c r="CN10" s="994">
        <f t="shared" si="1"/>
        <v>0.36599999999999966</v>
      </c>
      <c r="CO10" s="994">
        <f t="shared" si="1"/>
        <v>0.41999999999999993</v>
      </c>
      <c r="CP10" s="994">
        <f>+CP8-CP9</f>
        <v>1.5182103599999994</v>
      </c>
      <c r="CQ10" s="994">
        <f>+CQ8-CQ9</f>
        <v>1.4756434</v>
      </c>
      <c r="CR10" s="994">
        <f>+CR8-CR9</f>
        <v>1.9279348299999999</v>
      </c>
      <c r="CS10" s="994">
        <f>+CS8-CS9</f>
        <v>1.9054518799999998</v>
      </c>
      <c r="CT10" s="994">
        <v>9.7953272699999996</v>
      </c>
      <c r="CU10" s="994">
        <v>9.8056195400000004</v>
      </c>
      <c r="CV10" s="994">
        <v>10.08293235</v>
      </c>
      <c r="CW10" s="994">
        <v>11.769060830000001</v>
      </c>
      <c r="CX10" s="994">
        <v>9.6207233199999997</v>
      </c>
      <c r="CY10" s="994">
        <v>9.5592258900000004</v>
      </c>
      <c r="CZ10" s="994">
        <v>3.6647445699999999</v>
      </c>
      <c r="DA10" s="994">
        <v>1.55882308</v>
      </c>
      <c r="DB10" s="994">
        <v>0.61844984999999997</v>
      </c>
      <c r="DC10" s="994">
        <v>0.86154368999999997</v>
      </c>
      <c r="DD10" s="994">
        <v>0.77459844</v>
      </c>
      <c r="DE10" s="994">
        <v>1.0787229599999999</v>
      </c>
      <c r="DF10" s="994">
        <v>0.72944038</v>
      </c>
      <c r="DG10" s="994">
        <v>0.79744652000000005</v>
      </c>
      <c r="DH10" s="994">
        <v>2.69415103</v>
      </c>
      <c r="DI10" s="994">
        <v>2.5862410300000001</v>
      </c>
      <c r="DJ10" s="994">
        <v>4.5554944400000004</v>
      </c>
      <c r="DK10" s="994">
        <v>4.7991815200000003</v>
      </c>
      <c r="DL10" s="994">
        <v>4.80785442</v>
      </c>
      <c r="DM10" s="994">
        <v>2.5124550600000002</v>
      </c>
      <c r="DN10" s="994">
        <v>3.7764235899999998</v>
      </c>
      <c r="DO10" s="994">
        <v>3.3566321499999998</v>
      </c>
      <c r="DP10" s="994">
        <v>2.0098867600000001</v>
      </c>
      <c r="DQ10" s="994">
        <v>2.7209110000000001</v>
      </c>
      <c r="DR10" s="994">
        <v>4.2260403499999999</v>
      </c>
      <c r="DS10" s="994">
        <v>9.2776960000000006</v>
      </c>
      <c r="DT10" s="994">
        <v>8.9160903299999994</v>
      </c>
      <c r="DU10" s="994">
        <v>9.3144376100000006</v>
      </c>
      <c r="DV10" s="994">
        <v>11.73423676</v>
      </c>
      <c r="DW10" s="994">
        <v>13.12693668</v>
      </c>
      <c r="DX10" s="994">
        <v>15.15050383</v>
      </c>
      <c r="DY10" s="994">
        <v>16.54674077</v>
      </c>
      <c r="DZ10" s="994">
        <v>16.39000313</v>
      </c>
      <c r="EA10" s="994">
        <v>11.81279189</v>
      </c>
      <c r="EB10" s="994">
        <v>20.86771336</v>
      </c>
      <c r="EC10" s="994">
        <v>17.030548320000001</v>
      </c>
      <c r="ED10" s="994">
        <v>18.094462409999998</v>
      </c>
      <c r="EE10" s="994">
        <v>17.90958556</v>
      </c>
      <c r="EL10" s="400"/>
    </row>
    <row r="11" spans="1:142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L11" s="400"/>
    </row>
    <row r="12" spans="1:142" ht="19.8">
      <c r="A12" s="976" t="s">
        <v>2821</v>
      </c>
      <c r="B12" s="945">
        <v>153.78120507</v>
      </c>
      <c r="C12" s="945">
        <v>148.65791475</v>
      </c>
      <c r="D12" s="945">
        <v>149.27022868999998</v>
      </c>
      <c r="E12" s="945">
        <v>143.65183855000001</v>
      </c>
      <c r="F12" s="945">
        <v>135.64749677</v>
      </c>
      <c r="G12" s="945">
        <v>130.74177667999999</v>
      </c>
      <c r="H12" s="945">
        <v>130.97984638</v>
      </c>
      <c r="I12" s="945">
        <v>129.03827950000002</v>
      </c>
      <c r="J12" s="945">
        <v>129.01520756000002</v>
      </c>
      <c r="K12" s="945">
        <v>129.59552644999999</v>
      </c>
      <c r="L12" s="945">
        <v>121.25965647000001</v>
      </c>
      <c r="M12" s="946">
        <v>119.35814605</v>
      </c>
      <c r="N12" s="946">
        <v>117.36450184</v>
      </c>
      <c r="O12" s="946">
        <v>117.60055367</v>
      </c>
      <c r="P12" s="946">
        <v>118.67695535000001</v>
      </c>
      <c r="Q12" s="946">
        <v>102.68353318000001</v>
      </c>
      <c r="R12" s="946">
        <v>106.42985264000001</v>
      </c>
      <c r="S12" s="946">
        <v>108.76789989000001</v>
      </c>
      <c r="T12" s="946">
        <v>107.82288138</v>
      </c>
      <c r="U12" s="946">
        <v>109.04100210000001</v>
      </c>
      <c r="V12" s="946">
        <v>112.24619067</v>
      </c>
      <c r="W12" s="946">
        <v>113.77042580000001</v>
      </c>
      <c r="X12" s="946">
        <v>113.55535021000001</v>
      </c>
      <c r="Y12" s="946">
        <v>103.86732886000001</v>
      </c>
      <c r="Z12" s="946">
        <v>103.90177465000001</v>
      </c>
      <c r="AA12" s="946">
        <v>91.067124990000011</v>
      </c>
      <c r="AB12" s="946">
        <v>90.604594680000005</v>
      </c>
      <c r="AC12" s="946">
        <v>91.359265249999993</v>
      </c>
      <c r="AD12" s="946">
        <v>93.157632090000007</v>
      </c>
      <c r="AE12" s="946">
        <v>101.16659505</v>
      </c>
      <c r="AF12" s="946">
        <v>104.94196506</v>
      </c>
      <c r="AG12" s="946">
        <v>108.35662965</v>
      </c>
      <c r="AH12" s="946">
        <v>49.770423029999996</v>
      </c>
      <c r="AI12" s="946">
        <v>57.555811949999999</v>
      </c>
      <c r="AJ12" s="946">
        <v>54.139758860000001</v>
      </c>
      <c r="AK12" s="946">
        <v>78.493067609999997</v>
      </c>
      <c r="AL12" s="946">
        <v>75.176960960000002</v>
      </c>
      <c r="AM12" s="946">
        <v>74.036391960000003</v>
      </c>
      <c r="AN12" s="946">
        <v>73.354791779999999</v>
      </c>
      <c r="AO12" s="946">
        <v>71.859168629999999</v>
      </c>
      <c r="AP12" s="946">
        <v>67.612506750000009</v>
      </c>
      <c r="AQ12" s="946">
        <v>67.095835660000006</v>
      </c>
      <c r="AR12" s="946">
        <v>67.364741790000011</v>
      </c>
      <c r="AS12" s="946">
        <v>65.259038129999993</v>
      </c>
      <c r="AT12" s="946">
        <v>64.880237039999997</v>
      </c>
      <c r="AU12" s="946">
        <v>64.275102779999997</v>
      </c>
      <c r="AV12" s="946">
        <v>67.552733880000005</v>
      </c>
      <c r="AW12" s="946">
        <v>66.67463592</v>
      </c>
      <c r="AX12" s="946">
        <v>69.268577239999999</v>
      </c>
      <c r="AY12" s="946">
        <v>61.794307159999995</v>
      </c>
      <c r="AZ12" s="946">
        <v>50.072883250000004</v>
      </c>
      <c r="BA12" s="946">
        <v>48.545962830000001</v>
      </c>
      <c r="BB12" s="946">
        <v>52.638946050000001</v>
      </c>
      <c r="BC12" s="946">
        <v>52.654097829999998</v>
      </c>
      <c r="BD12" s="946">
        <v>52.65178994</v>
      </c>
      <c r="BE12" s="946">
        <v>48.669767230000005</v>
      </c>
      <c r="BF12" s="946">
        <v>44.446705659999999</v>
      </c>
      <c r="BG12" s="946">
        <v>44.446705659999999</v>
      </c>
      <c r="BH12" s="1004">
        <v>41.895587880000001</v>
      </c>
      <c r="BI12" s="993">
        <v>40.486970289999995</v>
      </c>
      <c r="BJ12" s="993">
        <v>40.516970289999996</v>
      </c>
      <c r="BK12" s="993">
        <v>40.512233129999998</v>
      </c>
      <c r="BL12" s="993">
        <v>40.489406039999999</v>
      </c>
      <c r="BM12" s="993">
        <v>40.032493000000002</v>
      </c>
      <c r="BN12" s="993">
        <v>39.967492999999997</v>
      </c>
      <c r="BO12" s="993">
        <v>35.028252999999999</v>
      </c>
      <c r="BP12" s="993">
        <v>35.029253000000004</v>
      </c>
      <c r="BQ12" s="993">
        <v>34.281489000000001</v>
      </c>
      <c r="BR12" s="993">
        <v>34.281489000000001</v>
      </c>
      <c r="BS12" s="993">
        <v>34.281489000000001</v>
      </c>
      <c r="BT12" s="993">
        <v>34.281489000000001</v>
      </c>
      <c r="BU12" s="993">
        <v>30.958452999999999</v>
      </c>
      <c r="BV12" s="993">
        <v>30.747237510000001</v>
      </c>
      <c r="BW12" s="993">
        <v>30.688452999999999</v>
      </c>
      <c r="BX12" s="993">
        <v>31.398453</v>
      </c>
      <c r="BY12" s="993">
        <v>32.080717</v>
      </c>
      <c r="BZ12" s="993">
        <v>31.4415306</v>
      </c>
      <c r="CA12" s="993">
        <v>32.218453000000004</v>
      </c>
      <c r="CB12" s="993">
        <v>2.1000000000000001E-2</v>
      </c>
      <c r="CC12" s="993">
        <v>0</v>
      </c>
      <c r="CD12" s="993">
        <v>0</v>
      </c>
      <c r="CE12" s="993">
        <v>0.03</v>
      </c>
      <c r="CF12" s="993">
        <v>0.03</v>
      </c>
      <c r="CG12" s="993">
        <v>0.89372143999999998</v>
      </c>
      <c r="CH12" s="993">
        <v>0.88461432000000007</v>
      </c>
      <c r="CI12" s="993">
        <v>0.71686643000000005</v>
      </c>
      <c r="CJ12" s="993">
        <v>2.036</v>
      </c>
      <c r="CK12" s="993">
        <v>1.3</v>
      </c>
      <c r="CL12" s="993">
        <v>1.516</v>
      </c>
      <c r="CM12" s="993">
        <v>1.94174388</v>
      </c>
      <c r="CN12" s="993">
        <v>2.0021421200000002</v>
      </c>
      <c r="CO12" s="993">
        <v>0.95909292999999995</v>
      </c>
      <c r="CP12" s="993">
        <v>1.26548393</v>
      </c>
      <c r="CQ12" s="993">
        <v>0.88787187000000001</v>
      </c>
      <c r="CR12" s="993">
        <v>5.7494072300000001</v>
      </c>
      <c r="CS12" s="993">
        <v>3.7100468199999996</v>
      </c>
      <c r="CT12" s="993">
        <v>11.7092613</v>
      </c>
      <c r="CU12" s="993">
        <v>9.48452582</v>
      </c>
      <c r="CV12" s="993">
        <v>11.21559536</v>
      </c>
      <c r="CW12" s="993">
        <v>11.12559536</v>
      </c>
      <c r="CX12" s="993">
        <v>8.5008375399999991</v>
      </c>
      <c r="CY12" s="993">
        <v>8.2499000000000002</v>
      </c>
      <c r="CZ12" s="993">
        <v>3.46744575</v>
      </c>
      <c r="DA12" s="993">
        <v>0.27100000000000002</v>
      </c>
      <c r="DB12" s="993">
        <v>0.32025057000000001</v>
      </c>
      <c r="DC12" s="993">
        <v>0.57429859000000005</v>
      </c>
      <c r="DD12" s="993">
        <v>0.49833171999999998</v>
      </c>
      <c r="DE12" s="993">
        <v>0.51682645000000005</v>
      </c>
      <c r="DF12" s="993">
        <v>0.39538617999999998</v>
      </c>
      <c r="DG12" s="993">
        <v>0.47737679</v>
      </c>
      <c r="DH12" s="993">
        <v>2.3483471699999998</v>
      </c>
      <c r="DI12" s="993">
        <v>2.1962793700000001</v>
      </c>
      <c r="DJ12" s="993">
        <v>2.4106611199999999</v>
      </c>
      <c r="DK12" s="993">
        <v>2.6719665099999999</v>
      </c>
      <c r="DL12" s="993">
        <v>2.6986054500000001</v>
      </c>
      <c r="DM12" s="993">
        <v>1.9727134099999999</v>
      </c>
      <c r="DN12" s="993">
        <v>3.20598882</v>
      </c>
      <c r="DO12" s="993">
        <v>2.7625262899999998</v>
      </c>
      <c r="DP12" s="993">
        <v>1.43855343</v>
      </c>
      <c r="DQ12" s="993">
        <v>1.87287516</v>
      </c>
      <c r="DR12" s="993">
        <v>3.3873726099999999</v>
      </c>
      <c r="DS12" s="993">
        <v>6.9602505299999997</v>
      </c>
      <c r="DT12" s="993">
        <v>6.5578963999999997</v>
      </c>
      <c r="DU12" s="993">
        <v>7.0018801499999999</v>
      </c>
      <c r="DV12" s="993">
        <v>9.4850048200000003</v>
      </c>
      <c r="DW12" s="993">
        <v>13.13405785</v>
      </c>
      <c r="DX12" s="993">
        <v>15.013605070000001</v>
      </c>
      <c r="DY12" s="993">
        <v>12.67139085</v>
      </c>
      <c r="DZ12" s="993">
        <v>11.53174447</v>
      </c>
      <c r="EA12" s="993">
        <v>6.5840635499999998</v>
      </c>
      <c r="EB12" s="993">
        <v>9.5141592799999994</v>
      </c>
      <c r="EC12" s="993">
        <v>6.5688306900000004</v>
      </c>
      <c r="ED12" s="993">
        <v>4.1499550300000001</v>
      </c>
      <c r="EE12" s="993">
        <v>6.1079965999999999</v>
      </c>
      <c r="EL12" s="400"/>
    </row>
    <row r="13" spans="1:142" ht="19.8">
      <c r="A13" s="977" t="s">
        <v>2001</v>
      </c>
      <c r="B13" s="949">
        <v>117.11030854000001</v>
      </c>
      <c r="C13" s="949">
        <v>116.60910796</v>
      </c>
      <c r="D13" s="949">
        <v>116.60910796</v>
      </c>
      <c r="E13" s="949">
        <v>111.03770825000001</v>
      </c>
      <c r="F13" s="949">
        <v>104.25770825000001</v>
      </c>
      <c r="G13" s="949">
        <v>97.137008399999999</v>
      </c>
      <c r="H13" s="949">
        <v>94.867008400000003</v>
      </c>
      <c r="I13" s="949">
        <v>92.066308540000009</v>
      </c>
      <c r="J13" s="949">
        <v>92.067008400000006</v>
      </c>
      <c r="K13" s="949">
        <v>92.067008400000006</v>
      </c>
      <c r="L13" s="949">
        <v>83.566308540000009</v>
      </c>
      <c r="M13" s="950">
        <v>81.767008399999995</v>
      </c>
      <c r="N13" s="950">
        <v>79.264908829999996</v>
      </c>
      <c r="O13" s="950">
        <v>79.266308539999997</v>
      </c>
      <c r="P13" s="950">
        <v>77.115608690000002</v>
      </c>
      <c r="Q13" s="950">
        <v>75.815608690000005</v>
      </c>
      <c r="R13" s="950">
        <v>75.816308540000009</v>
      </c>
      <c r="S13" s="950">
        <v>75.815608690000005</v>
      </c>
      <c r="T13" s="950">
        <v>75.814908830000007</v>
      </c>
      <c r="U13" s="950">
        <v>75.816308540000009</v>
      </c>
      <c r="V13" s="950">
        <v>75.816308540000009</v>
      </c>
      <c r="W13" s="950">
        <v>75.816308540000009</v>
      </c>
      <c r="X13" s="950">
        <v>75.816308540000009</v>
      </c>
      <c r="Y13" s="950">
        <v>75.816308540000009</v>
      </c>
      <c r="Z13" s="950">
        <v>75.816308540000009</v>
      </c>
      <c r="AA13" s="950">
        <v>61.273725040000002</v>
      </c>
      <c r="AB13" s="950">
        <v>61.264626919999998</v>
      </c>
      <c r="AC13" s="950">
        <v>61.266026629999999</v>
      </c>
      <c r="AD13" s="950">
        <v>61.27092562</v>
      </c>
      <c r="AE13" s="950">
        <v>61.263227210000004</v>
      </c>
      <c r="AF13" s="950">
        <v>61.271625470000004</v>
      </c>
      <c r="AG13" s="950">
        <v>61.261127639999998</v>
      </c>
      <c r="AH13" s="950">
        <v>1.5133652900000001</v>
      </c>
      <c r="AI13" s="950">
        <v>3.5</v>
      </c>
      <c r="AJ13" s="950">
        <v>0</v>
      </c>
      <c r="AK13" s="950">
        <v>0</v>
      </c>
      <c r="AL13" s="950">
        <v>1.4999999999999999E-2</v>
      </c>
      <c r="AM13" s="950">
        <v>1.4999999999999999E-2</v>
      </c>
      <c r="AN13" s="950">
        <v>5.5312109999999998E-2</v>
      </c>
      <c r="AO13" s="950">
        <v>1.4999999999999999E-2</v>
      </c>
      <c r="AP13" s="950">
        <v>7.4999999999999997E-3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0.71</v>
      </c>
      <c r="BY13" s="994">
        <v>1.3922639999999999</v>
      </c>
      <c r="BZ13" s="994">
        <v>0.62807760000000001</v>
      </c>
      <c r="CA13" s="994">
        <v>1.53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0.59165199999999996</v>
      </c>
      <c r="CH13" s="994">
        <v>0.58254488000000004</v>
      </c>
      <c r="CI13" s="994">
        <v>0.58086643000000004</v>
      </c>
      <c r="CJ13" s="994">
        <v>1.9</v>
      </c>
      <c r="CK13" s="994">
        <v>1.3</v>
      </c>
      <c r="CL13" s="994">
        <v>1.3</v>
      </c>
      <c r="CM13" s="994">
        <v>1.5257438800000001</v>
      </c>
      <c r="CN13" s="994">
        <v>1.6361421200000001</v>
      </c>
      <c r="CO13" s="994">
        <v>0.53909293000000003</v>
      </c>
      <c r="CP13" s="994">
        <v>0.83048393000000009</v>
      </c>
      <c r="CQ13" s="994">
        <v>0.48287186999999998</v>
      </c>
      <c r="CR13" s="994">
        <v>5.2494072300000001</v>
      </c>
      <c r="CS13" s="994">
        <v>3.2100468199999996</v>
      </c>
      <c r="CT13" s="994">
        <v>3.3100468200000002</v>
      </c>
      <c r="CU13" s="994">
        <v>1.08343046</v>
      </c>
      <c r="CV13" s="994">
        <v>2.5</v>
      </c>
      <c r="CW13" s="994">
        <v>0.7</v>
      </c>
      <c r="CX13" s="994">
        <v>0.2</v>
      </c>
      <c r="CY13" s="994">
        <v>0</v>
      </c>
      <c r="CZ13" s="994">
        <v>1.1012497999999999</v>
      </c>
      <c r="DA13" s="994">
        <v>0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</v>
      </c>
      <c r="DJ13" s="994">
        <v>0</v>
      </c>
      <c r="DK13" s="994">
        <v>0</v>
      </c>
      <c r="DL13" s="994">
        <v>0</v>
      </c>
      <c r="DM13" s="994">
        <v>0</v>
      </c>
      <c r="DN13" s="994">
        <v>0</v>
      </c>
      <c r="DO13" s="994">
        <v>0</v>
      </c>
      <c r="DP13" s="994">
        <v>0</v>
      </c>
      <c r="DQ13" s="994">
        <v>0</v>
      </c>
      <c r="DR13" s="994">
        <v>0</v>
      </c>
      <c r="DS13" s="994">
        <v>0</v>
      </c>
      <c r="DT13" s="994">
        <v>0</v>
      </c>
      <c r="DU13" s="994">
        <v>0</v>
      </c>
      <c r="DV13" s="994">
        <v>0</v>
      </c>
      <c r="DW13" s="994">
        <v>2.1942907900000002</v>
      </c>
      <c r="DX13" s="994">
        <v>2.7205965499999998</v>
      </c>
      <c r="DY13" s="994">
        <v>1.010988</v>
      </c>
      <c r="DZ13" s="994">
        <v>0</v>
      </c>
      <c r="EA13" s="994">
        <v>0</v>
      </c>
      <c r="EB13" s="994">
        <v>0</v>
      </c>
      <c r="EC13" s="994">
        <v>1.010988</v>
      </c>
      <c r="ED13" s="994">
        <v>1.010988</v>
      </c>
      <c r="EE13" s="994">
        <v>3.1425296</v>
      </c>
      <c r="EL13" s="400"/>
    </row>
    <row r="14" spans="1:142" ht="19.8">
      <c r="A14" s="978" t="s">
        <v>2002</v>
      </c>
      <c r="B14" s="949">
        <f>+B12-B13</f>
        <v>36.670896529999993</v>
      </c>
      <c r="C14" s="949">
        <f t="shared" ref="C14:V14" si="2">+C12-C13</f>
        <v>32.04880679</v>
      </c>
      <c r="D14" s="949">
        <f t="shared" si="2"/>
        <v>32.661120729999979</v>
      </c>
      <c r="E14" s="949">
        <f t="shared" si="2"/>
        <v>32.614130299999999</v>
      </c>
      <c r="F14" s="949">
        <f t="shared" si="2"/>
        <v>31.389788519999996</v>
      </c>
      <c r="G14" s="949">
        <f t="shared" si="2"/>
        <v>33.604768279999988</v>
      </c>
      <c r="H14" s="949">
        <f t="shared" si="2"/>
        <v>36.112837979999995</v>
      </c>
      <c r="I14" s="949">
        <f t="shared" si="2"/>
        <v>36.971970960000007</v>
      </c>
      <c r="J14" s="949">
        <f t="shared" si="2"/>
        <v>36.948199160000016</v>
      </c>
      <c r="K14" s="949">
        <f t="shared" si="2"/>
        <v>37.528518049999988</v>
      </c>
      <c r="L14" s="949">
        <f t="shared" si="2"/>
        <v>37.693347930000002</v>
      </c>
      <c r="M14" s="950">
        <f t="shared" si="2"/>
        <v>37.591137650000007</v>
      </c>
      <c r="N14" s="950">
        <f t="shared" si="2"/>
        <v>38.099593010000007</v>
      </c>
      <c r="O14" s="950">
        <f t="shared" si="2"/>
        <v>38.334245129999999</v>
      </c>
      <c r="P14" s="950">
        <f t="shared" si="2"/>
        <v>41.561346660000012</v>
      </c>
      <c r="Q14" s="950">
        <f t="shared" si="2"/>
        <v>26.867924490000007</v>
      </c>
      <c r="R14" s="950">
        <f t="shared" si="2"/>
        <v>30.613544099999999</v>
      </c>
      <c r="S14" s="950">
        <f t="shared" si="2"/>
        <v>32.952291200000005</v>
      </c>
      <c r="T14" s="950">
        <f t="shared" si="2"/>
        <v>32.007972549999991</v>
      </c>
      <c r="U14" s="950">
        <f t="shared" si="2"/>
        <v>33.224693560000006</v>
      </c>
      <c r="V14" s="950">
        <f t="shared" si="2"/>
        <v>36.429882129999996</v>
      </c>
      <c r="W14" s="950">
        <v>37.954117260000004</v>
      </c>
      <c r="X14" s="950">
        <v>37.739041670000006</v>
      </c>
      <c r="Y14" s="950">
        <v>28.051020320000006</v>
      </c>
      <c r="Z14" s="950">
        <v>28.085466109999999</v>
      </c>
      <c r="AA14" s="950">
        <v>29.793399950000008</v>
      </c>
      <c r="AB14" s="950">
        <v>29.339967760000008</v>
      </c>
      <c r="AC14" s="950">
        <v>30.093238619999994</v>
      </c>
      <c r="AD14" s="950">
        <v>31.886706470000007</v>
      </c>
      <c r="AE14" s="950">
        <v>39.903367839999994</v>
      </c>
      <c r="AF14" s="950">
        <v>43.670339589999998</v>
      </c>
      <c r="AG14" s="950">
        <v>47.095502010000004</v>
      </c>
      <c r="AH14" s="950">
        <f>+AH12-AH13</f>
        <v>48.257057739999993</v>
      </c>
      <c r="AI14" s="950">
        <v>54.055811949999999</v>
      </c>
      <c r="AJ14" s="950">
        <f>+AJ12-AJ13</f>
        <v>54.139758860000001</v>
      </c>
      <c r="AK14" s="950">
        <f>+AK12-AK13</f>
        <v>78.493067609999997</v>
      </c>
      <c r="AL14" s="950">
        <v>75.161960960000002</v>
      </c>
      <c r="AM14" s="950">
        <f>+AM12-AM13</f>
        <v>74.021391960000003</v>
      </c>
      <c r="AN14" s="950">
        <f>+AN12-AN13</f>
        <v>73.299479669999997</v>
      </c>
      <c r="AO14" s="950">
        <f>+AO12-AO13</f>
        <v>71.844168629999999</v>
      </c>
      <c r="AP14" s="950">
        <f>+AP12-AP13</f>
        <v>67.605006750000015</v>
      </c>
      <c r="AQ14" s="950">
        <v>67.095835660000006</v>
      </c>
      <c r="AR14" s="950">
        <f>+AR12-AR13</f>
        <v>67.364741790000011</v>
      </c>
      <c r="AS14" s="950">
        <f>+AS12-AS13</f>
        <v>65.259038129999993</v>
      </c>
      <c r="AT14" s="950">
        <f>+AT12-AT13</f>
        <v>64.880237039999997</v>
      </c>
      <c r="AU14" s="950">
        <v>64.275102779999997</v>
      </c>
      <c r="AV14" s="950">
        <v>67.552733880000005</v>
      </c>
      <c r="AW14" s="950">
        <v>66.67463592</v>
      </c>
      <c r="AX14" s="950">
        <v>69.268577239999999</v>
      </c>
      <c r="AY14" s="950">
        <v>61.794307159999995</v>
      </c>
      <c r="AZ14" s="950">
        <v>50.072883250000004</v>
      </c>
      <c r="BA14" s="950">
        <v>48.545962830000001</v>
      </c>
      <c r="BB14" s="950">
        <v>52.638946050000001</v>
      </c>
      <c r="BC14" s="950">
        <v>52.654097829999998</v>
      </c>
      <c r="BD14" s="950">
        <f>+BD12-BD13</f>
        <v>52.65178994</v>
      </c>
      <c r="BE14" s="950">
        <v>48.669767230000005</v>
      </c>
      <c r="BF14" s="950">
        <v>44.446705659999999</v>
      </c>
      <c r="BG14" s="950">
        <v>44.446705659999999</v>
      </c>
      <c r="BH14" s="1005">
        <v>41.895587880000001</v>
      </c>
      <c r="BI14" s="994">
        <v>40.486970289999995</v>
      </c>
      <c r="BJ14" s="994">
        <v>40.516970289999996</v>
      </c>
      <c r="BK14" s="994">
        <v>40.512233129999998</v>
      </c>
      <c r="BL14" s="994">
        <v>40.489406039999999</v>
      </c>
      <c r="BM14" s="994">
        <v>40.032493000000002</v>
      </c>
      <c r="BN14" s="994">
        <v>39.967492999999997</v>
      </c>
      <c r="BO14" s="994">
        <v>35.028252999999999</v>
      </c>
      <c r="BP14" s="994">
        <v>35.029253000000004</v>
      </c>
      <c r="BQ14" s="994">
        <v>34.281489000000001</v>
      </c>
      <c r="BR14" s="994">
        <v>34.281489000000001</v>
      </c>
      <c r="BS14" s="994">
        <v>34.281489000000001</v>
      </c>
      <c r="BT14" s="994">
        <v>34.281489000000001</v>
      </c>
      <c r="BU14" s="994">
        <v>30.958452999999999</v>
      </c>
      <c r="BV14" s="994">
        <v>30.747237510000001</v>
      </c>
      <c r="BW14" s="994">
        <v>30.688452999999999</v>
      </c>
      <c r="BX14" s="994">
        <v>30.688452999999999</v>
      </c>
      <c r="BY14" s="994">
        <v>30.688452999999999</v>
      </c>
      <c r="BZ14" s="994">
        <v>30.813452999999999</v>
      </c>
      <c r="CA14" s="994">
        <v>30.688453000000003</v>
      </c>
      <c r="CB14" s="994">
        <v>2.1000000000000001E-2</v>
      </c>
      <c r="CC14" s="994">
        <v>0</v>
      </c>
      <c r="CD14" s="994">
        <v>0</v>
      </c>
      <c r="CE14" s="994">
        <f t="shared" ref="CE14:CO14" si="3">+CE12-CE13</f>
        <v>0.03</v>
      </c>
      <c r="CF14" s="994">
        <f t="shared" si="3"/>
        <v>0.03</v>
      </c>
      <c r="CG14" s="994">
        <f t="shared" si="3"/>
        <v>0.30206944000000002</v>
      </c>
      <c r="CH14" s="994">
        <f t="shared" si="3"/>
        <v>0.30206944000000002</v>
      </c>
      <c r="CI14" s="994">
        <f t="shared" si="3"/>
        <v>0.13600000000000001</v>
      </c>
      <c r="CJ14" s="994">
        <f t="shared" si="3"/>
        <v>0.13600000000000012</v>
      </c>
      <c r="CK14" s="994">
        <f t="shared" si="3"/>
        <v>0</v>
      </c>
      <c r="CL14" s="994">
        <f t="shared" si="3"/>
        <v>0.21599999999999997</v>
      </c>
      <c r="CM14" s="994">
        <f t="shared" si="3"/>
        <v>0.41599999999999993</v>
      </c>
      <c r="CN14" s="994">
        <f t="shared" si="3"/>
        <v>0.3660000000000001</v>
      </c>
      <c r="CO14" s="994">
        <f t="shared" si="3"/>
        <v>0.41999999999999993</v>
      </c>
      <c r="CP14" s="994">
        <f>+CP12-CP13</f>
        <v>0.43499999999999994</v>
      </c>
      <c r="CQ14" s="994">
        <f>+CQ12-CQ13</f>
        <v>0.40500000000000003</v>
      </c>
      <c r="CR14" s="994">
        <f>+CR12-CR13</f>
        <v>0.5</v>
      </c>
      <c r="CS14" s="994">
        <f>+CS12-CS13</f>
        <v>0.5</v>
      </c>
      <c r="CT14" s="994">
        <v>8.3992144799999995</v>
      </c>
      <c r="CU14" s="994">
        <v>8.4010953599999993</v>
      </c>
      <c r="CV14" s="994">
        <v>8.71559536</v>
      </c>
      <c r="CW14" s="994">
        <v>10.425595360000001</v>
      </c>
      <c r="CX14" s="994">
        <v>8.3008375399999998</v>
      </c>
      <c r="CY14" s="994">
        <v>8.2499000000000002</v>
      </c>
      <c r="CZ14" s="994">
        <v>2.3661959499999998</v>
      </c>
      <c r="DA14" s="994">
        <v>0.27100000000000002</v>
      </c>
      <c r="DB14" s="994">
        <v>0.32025057000000001</v>
      </c>
      <c r="DC14" s="994">
        <v>0.57429859000000005</v>
      </c>
      <c r="DD14" s="994">
        <v>0.49833171999999998</v>
      </c>
      <c r="DE14" s="994">
        <v>0.51682645000000005</v>
      </c>
      <c r="DF14" s="994">
        <v>0.39538617999999998</v>
      </c>
      <c r="DG14" s="994">
        <v>0.47737679</v>
      </c>
      <c r="DH14" s="994">
        <v>2.3483471699999998</v>
      </c>
      <c r="DI14" s="994">
        <v>2.1962793700000001</v>
      </c>
      <c r="DJ14" s="994">
        <v>2.4106611199999999</v>
      </c>
      <c r="DK14" s="994">
        <v>2.6719665099999999</v>
      </c>
      <c r="DL14" s="994">
        <v>2.6986054500000001</v>
      </c>
      <c r="DM14" s="994">
        <v>1.9727134099999999</v>
      </c>
      <c r="DN14" s="994">
        <v>3.20598882</v>
      </c>
      <c r="DO14" s="994">
        <v>2.7625262899999998</v>
      </c>
      <c r="DP14" s="994">
        <v>1.43855343</v>
      </c>
      <c r="DQ14" s="994">
        <v>1.87287516</v>
      </c>
      <c r="DR14" s="994">
        <v>3.3873726099999999</v>
      </c>
      <c r="DS14" s="994">
        <v>6.9602505299999997</v>
      </c>
      <c r="DT14" s="994">
        <v>6.5578963999999997</v>
      </c>
      <c r="DU14" s="994">
        <v>7.0018801499999999</v>
      </c>
      <c r="DV14" s="994">
        <v>9.4850048200000003</v>
      </c>
      <c r="DW14" s="994">
        <v>10.939767059999999</v>
      </c>
      <c r="DX14" s="994">
        <v>12.293008520000001</v>
      </c>
      <c r="DY14" s="994">
        <v>11.660402850000001</v>
      </c>
      <c r="DZ14" s="994">
        <v>11.53174447</v>
      </c>
      <c r="EA14" s="994">
        <v>6.5840635499999998</v>
      </c>
      <c r="EB14" s="994">
        <v>9.5141592799999994</v>
      </c>
      <c r="EC14" s="994">
        <v>5.5578426900000002</v>
      </c>
      <c r="ED14" s="994">
        <v>3.1389670299999999</v>
      </c>
      <c r="EE14" s="994">
        <v>2.9654669999999999</v>
      </c>
      <c r="EL14" s="400"/>
    </row>
    <row r="15" spans="1:142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L15" s="400"/>
    </row>
    <row r="16" spans="1:142" ht="19.8">
      <c r="A16" s="1513" t="s">
        <v>189</v>
      </c>
      <c r="B16" s="949">
        <v>143.28941817</v>
      </c>
      <c r="C16" s="949">
        <v>142.74571836000001</v>
      </c>
      <c r="D16" s="949">
        <v>143.51067287999999</v>
      </c>
      <c r="E16" s="949">
        <v>137.90608761000001</v>
      </c>
      <c r="F16" s="949">
        <v>130.05285143</v>
      </c>
      <c r="G16" s="949">
        <v>124.77006342999999</v>
      </c>
      <c r="H16" s="949">
        <v>125.01400687</v>
      </c>
      <c r="I16" s="949">
        <v>123.09126914000001</v>
      </c>
      <c r="J16" s="949">
        <v>123.06274892000002</v>
      </c>
      <c r="K16" s="949">
        <v>124.03148294</v>
      </c>
      <c r="L16" s="949">
        <v>115.67753450000001</v>
      </c>
      <c r="M16" s="946">
        <v>113.74180697</v>
      </c>
      <c r="N16" s="950">
        <v>111.796291</v>
      </c>
      <c r="O16" s="950">
        <v>112.030941</v>
      </c>
      <c r="P16" s="950">
        <v>110.08731800000001</v>
      </c>
      <c r="Q16" s="950">
        <v>94.093892000000011</v>
      </c>
      <c r="R16" s="950">
        <v>97.066356000000013</v>
      </c>
      <c r="S16" s="950">
        <v>99.416455280000008</v>
      </c>
      <c r="T16" s="950">
        <v>98.482691340000002</v>
      </c>
      <c r="U16" s="950">
        <v>99.565783470000014</v>
      </c>
      <c r="V16" s="950">
        <v>100.88402400000001</v>
      </c>
      <c r="W16" s="950">
        <v>102.42404060000001</v>
      </c>
      <c r="X16" s="950">
        <v>102.33627598000001</v>
      </c>
      <c r="Y16" s="946">
        <v>92.678778520000009</v>
      </c>
      <c r="Z16" s="950">
        <v>92.698378520000006</v>
      </c>
      <c r="AA16" s="950">
        <v>76.317830960000009</v>
      </c>
      <c r="AB16" s="946">
        <v>76.31356169</v>
      </c>
      <c r="AC16" s="946">
        <v>76.326973539999997</v>
      </c>
      <c r="AD16" s="946">
        <v>76.314382550000005</v>
      </c>
      <c r="AE16" s="946">
        <v>76.190177120000001</v>
      </c>
      <c r="AF16" s="946">
        <v>76.188161250000007</v>
      </c>
      <c r="AG16" s="946">
        <v>70.987826630000001</v>
      </c>
      <c r="AH16" s="946">
        <v>11.86063933</v>
      </c>
      <c r="AI16" s="946">
        <v>15.373805800000001</v>
      </c>
      <c r="AJ16" s="946">
        <v>7.2345771399999999</v>
      </c>
      <c r="AK16" s="946">
        <v>19.039946180000001</v>
      </c>
      <c r="AL16" s="946">
        <v>19.047642420000003</v>
      </c>
      <c r="AM16" s="946">
        <v>19.04212029</v>
      </c>
      <c r="AN16" s="946">
        <v>21.5380614</v>
      </c>
      <c r="AO16" s="946">
        <v>21.508768480000001</v>
      </c>
      <c r="AP16" s="946">
        <v>23.805118480000001</v>
      </c>
      <c r="AQ16" s="946">
        <v>23.795354270000001</v>
      </c>
      <c r="AR16" s="946">
        <v>23.793526440000001</v>
      </c>
      <c r="AS16" s="946">
        <v>23.08699631</v>
      </c>
      <c r="AT16" s="946">
        <v>23.789590760000003</v>
      </c>
      <c r="AU16" s="946">
        <v>25.4880438</v>
      </c>
      <c r="AV16" s="946">
        <v>25.486588260000001</v>
      </c>
      <c r="AW16" s="946">
        <v>25.672421440000001</v>
      </c>
      <c r="AX16" s="946">
        <v>25.670063160000002</v>
      </c>
      <c r="AY16" s="946">
        <v>27.997148639999999</v>
      </c>
      <c r="AZ16" s="946">
        <v>27.99561392</v>
      </c>
      <c r="BA16" s="946">
        <v>27.99405874</v>
      </c>
      <c r="BB16" s="946">
        <v>27.992488000000002</v>
      </c>
      <c r="BC16" s="946">
        <v>27.992488000000002</v>
      </c>
      <c r="BD16" s="946">
        <v>27.992488000000002</v>
      </c>
      <c r="BE16" s="946">
        <v>27.992488000000002</v>
      </c>
      <c r="BF16" s="946">
        <v>27.992488000000002</v>
      </c>
      <c r="BG16" s="946">
        <v>27.992488000000002</v>
      </c>
      <c r="BH16" s="1004">
        <v>27.992488000000002</v>
      </c>
      <c r="BI16" s="993">
        <v>31.097487999999998</v>
      </c>
      <c r="BJ16" s="993">
        <v>31.127488</v>
      </c>
      <c r="BK16" s="993">
        <v>31.122750839999998</v>
      </c>
      <c r="BL16" s="993">
        <v>31.10047604</v>
      </c>
      <c r="BM16" s="993">
        <v>30.643563</v>
      </c>
      <c r="BN16" s="993">
        <v>30.578562999999999</v>
      </c>
      <c r="BO16" s="993">
        <v>25.639323000000001</v>
      </c>
      <c r="BP16" s="993">
        <v>27.340323000000001</v>
      </c>
      <c r="BQ16" s="993">
        <v>28.362123</v>
      </c>
      <c r="BR16" s="993">
        <v>28.362123</v>
      </c>
      <c r="BS16" s="993">
        <v>28.362123</v>
      </c>
      <c r="BT16" s="993">
        <v>28.362123</v>
      </c>
      <c r="BU16" s="993">
        <v>30.958197999999999</v>
      </c>
      <c r="BV16" s="993">
        <v>30.746982510000002</v>
      </c>
      <c r="BW16" s="993">
        <v>30.688198</v>
      </c>
      <c r="BX16" s="993">
        <v>31.398198000000001</v>
      </c>
      <c r="BY16" s="993">
        <v>30.688198</v>
      </c>
      <c r="BZ16" s="993">
        <v>30.813198</v>
      </c>
      <c r="CA16" s="993">
        <v>32.218198000000001</v>
      </c>
      <c r="CB16" s="993">
        <v>2.1000000000000001E-2</v>
      </c>
      <c r="CC16" s="993">
        <v>0</v>
      </c>
      <c r="CD16" s="993">
        <v>0</v>
      </c>
      <c r="CE16" s="993">
        <v>0.03</v>
      </c>
      <c r="CF16" s="993">
        <v>0.03</v>
      </c>
      <c r="CG16" s="993">
        <v>0.30206944000000002</v>
      </c>
      <c r="CH16" s="993">
        <v>0.30206944000000002</v>
      </c>
      <c r="CI16" s="993">
        <v>0.13600000000000001</v>
      </c>
      <c r="CJ16" s="993">
        <v>2.036</v>
      </c>
      <c r="CK16" s="993">
        <v>1.3</v>
      </c>
      <c r="CL16" s="993">
        <v>1.516</v>
      </c>
      <c r="CM16" s="993">
        <v>1.2345438799999999</v>
      </c>
      <c r="CN16" s="993">
        <v>2.0021421200000002</v>
      </c>
      <c r="CO16" s="993">
        <v>0.95909292999999995</v>
      </c>
      <c r="CP16" s="993">
        <v>1.26548393</v>
      </c>
      <c r="CQ16" s="993">
        <v>0.88787187000000001</v>
      </c>
      <c r="CR16" s="993">
        <v>5.7494072300000001</v>
      </c>
      <c r="CS16" s="993">
        <v>3.7100468199999996</v>
      </c>
      <c r="CT16" s="993">
        <v>3.8691659399999998</v>
      </c>
      <c r="CU16" s="993">
        <v>1.6444304599999999</v>
      </c>
      <c r="CV16" s="993">
        <v>3.0609999999999999</v>
      </c>
      <c r="CW16" s="993">
        <v>0.76100000000000001</v>
      </c>
      <c r="CX16" s="993">
        <v>0.31193754000000001</v>
      </c>
      <c r="CY16" s="993">
        <v>6.0999999999999999E-2</v>
      </c>
      <c r="CZ16" s="993">
        <v>1.1622498000000001</v>
      </c>
      <c r="DA16" s="993">
        <v>0.27100000000000002</v>
      </c>
      <c r="DB16" s="993">
        <v>0.32025057000000001</v>
      </c>
      <c r="DC16" s="993">
        <v>7.4498590000000003E-2</v>
      </c>
      <c r="DD16" s="993">
        <v>3.8709519999999997E-2</v>
      </c>
      <c r="DE16" s="993">
        <v>9.791619E-2</v>
      </c>
      <c r="DF16" s="993">
        <v>1.711207E-2</v>
      </c>
      <c r="DG16" s="993">
        <v>0.14028420999999999</v>
      </c>
      <c r="DH16" s="993">
        <v>2.05229822</v>
      </c>
      <c r="DI16" s="993">
        <v>1.941859</v>
      </c>
      <c r="DJ16" s="993">
        <v>2.1980635199999998</v>
      </c>
      <c r="DK16" s="993">
        <v>2.50117426</v>
      </c>
      <c r="DL16" s="993">
        <v>2.57019705</v>
      </c>
      <c r="DM16" s="993">
        <v>1.8866087199999999</v>
      </c>
      <c r="DN16" s="993">
        <v>3.11988413</v>
      </c>
      <c r="DO16" s="993">
        <v>2.7625262899999998</v>
      </c>
      <c r="DP16" s="993">
        <v>1.43855343</v>
      </c>
      <c r="DQ16" s="993">
        <v>1.87287516</v>
      </c>
      <c r="DR16" s="993">
        <v>2.8875726099999999</v>
      </c>
      <c r="DS16" s="993">
        <v>6.5005869699999996</v>
      </c>
      <c r="DT16" s="993">
        <v>6.1387977600000001</v>
      </c>
      <c r="DU16" s="993">
        <v>6.6237460600000002</v>
      </c>
      <c r="DV16" s="993">
        <v>8.8079112399999993</v>
      </c>
      <c r="DW16" s="993">
        <v>12.45696427</v>
      </c>
      <c r="DX16" s="993">
        <v>14.419130450000001</v>
      </c>
      <c r="DY16" s="993">
        <v>12.07691623</v>
      </c>
      <c r="DZ16" s="993">
        <v>10.97918028</v>
      </c>
      <c r="EA16" s="993">
        <v>6.0734231100000002</v>
      </c>
      <c r="EB16" s="993">
        <v>9.0456370199999991</v>
      </c>
      <c r="EC16" s="993">
        <v>6.14285499</v>
      </c>
      <c r="ED16" s="993">
        <v>3.8099550299999998</v>
      </c>
      <c r="EE16" s="993">
        <v>5.7679966</v>
      </c>
      <c r="EL16" s="400"/>
    </row>
    <row r="17" spans="1:142" ht="19.8">
      <c r="A17" s="1514" t="s">
        <v>2001</v>
      </c>
      <c r="B17" s="945">
        <v>111.620642</v>
      </c>
      <c r="C17" s="945">
        <v>111.116642</v>
      </c>
      <c r="D17" s="945">
        <v>111.116642</v>
      </c>
      <c r="E17" s="945">
        <v>105.54664200000001</v>
      </c>
      <c r="F17" s="945">
        <v>98.766642000000004</v>
      </c>
      <c r="G17" s="945">
        <v>91.646642</v>
      </c>
      <c r="H17" s="945">
        <v>89.376642000000004</v>
      </c>
      <c r="I17" s="945">
        <v>86.576642000000007</v>
      </c>
      <c r="J17" s="945">
        <v>86.576642000000007</v>
      </c>
      <c r="K17" s="945">
        <v>86.576642000000007</v>
      </c>
      <c r="L17" s="945">
        <v>78.076642000000007</v>
      </c>
      <c r="M17" s="950">
        <v>76.276641999999995</v>
      </c>
      <c r="N17" s="946">
        <v>73.776641999999995</v>
      </c>
      <c r="O17" s="946">
        <v>73.776641999999995</v>
      </c>
      <c r="P17" s="946">
        <v>71.626642000000004</v>
      </c>
      <c r="Q17" s="946">
        <v>70.326642000000007</v>
      </c>
      <c r="R17" s="946">
        <v>70.326642000000007</v>
      </c>
      <c r="S17" s="946">
        <v>70.326642000000007</v>
      </c>
      <c r="T17" s="946">
        <v>70.326642000000007</v>
      </c>
      <c r="U17" s="946">
        <v>70.326642000000007</v>
      </c>
      <c r="V17" s="946">
        <v>70.326642000000007</v>
      </c>
      <c r="W17" s="946">
        <v>70.326642000000007</v>
      </c>
      <c r="X17" s="946">
        <v>70.326642000000007</v>
      </c>
      <c r="Y17" s="950">
        <v>70.326642000000007</v>
      </c>
      <c r="Z17" s="946">
        <v>70.326642000000007</v>
      </c>
      <c r="AA17" s="946">
        <v>53.926642000000001</v>
      </c>
      <c r="AB17" s="950">
        <v>53.926642000000001</v>
      </c>
      <c r="AC17" s="950">
        <v>53.926642000000001</v>
      </c>
      <c r="AD17" s="950">
        <v>53.926642000000001</v>
      </c>
      <c r="AE17" s="950">
        <v>53.926642000000001</v>
      </c>
      <c r="AF17" s="950">
        <v>53.926642000000001</v>
      </c>
      <c r="AG17" s="950">
        <v>53.926642000000001</v>
      </c>
      <c r="AH17" s="950">
        <v>0</v>
      </c>
      <c r="AI17" s="950">
        <v>3.5</v>
      </c>
      <c r="AJ17" s="950">
        <v>0</v>
      </c>
      <c r="AK17" s="950">
        <v>0</v>
      </c>
      <c r="AL17" s="950">
        <v>1.4999999999999999E-2</v>
      </c>
      <c r="AM17" s="950">
        <v>1.4999999999999999E-2</v>
      </c>
      <c r="AN17" s="950">
        <v>5.5312109999999998E-2</v>
      </c>
      <c r="AO17" s="950">
        <v>1.4999999999999999E-2</v>
      </c>
      <c r="AP17" s="950">
        <v>7.4999999999999997E-3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0.71</v>
      </c>
      <c r="BY17" s="994">
        <v>0</v>
      </c>
      <c r="BZ17" s="994">
        <v>0</v>
      </c>
      <c r="CA17" s="994">
        <v>1.53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1.9</v>
      </c>
      <c r="CK17" s="994">
        <v>1.3</v>
      </c>
      <c r="CL17" s="994">
        <v>1.3</v>
      </c>
      <c r="CM17" s="994">
        <v>0.81854388</v>
      </c>
      <c r="CN17" s="994">
        <v>1.6361421200000001</v>
      </c>
      <c r="CO17" s="994">
        <v>0.53909293000000003</v>
      </c>
      <c r="CP17" s="994">
        <v>0.83048393000000009</v>
      </c>
      <c r="CQ17" s="994">
        <v>0.48287186999999998</v>
      </c>
      <c r="CR17" s="994">
        <v>5.2494072300000001</v>
      </c>
      <c r="CS17" s="994">
        <v>3.2100468199999996</v>
      </c>
      <c r="CT17" s="994">
        <v>3.3100468200000002</v>
      </c>
      <c r="CU17" s="994">
        <v>1.08343046</v>
      </c>
      <c r="CV17" s="994">
        <v>2.5</v>
      </c>
      <c r="CW17" s="994">
        <v>0.7</v>
      </c>
      <c r="CX17" s="994">
        <v>0.2</v>
      </c>
      <c r="CY17" s="994">
        <v>0</v>
      </c>
      <c r="CZ17" s="994">
        <v>1.1012497999999999</v>
      </c>
      <c r="DA17" s="994">
        <v>0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</v>
      </c>
      <c r="DJ17" s="994">
        <v>0</v>
      </c>
      <c r="DK17" s="994">
        <v>0</v>
      </c>
      <c r="DL17" s="994">
        <v>0</v>
      </c>
      <c r="DM17" s="994">
        <v>0</v>
      </c>
      <c r="DN17" s="994">
        <v>0</v>
      </c>
      <c r="DO17" s="994">
        <v>0</v>
      </c>
      <c r="DP17" s="994">
        <v>0</v>
      </c>
      <c r="DQ17" s="994">
        <v>0</v>
      </c>
      <c r="DR17" s="994">
        <v>0</v>
      </c>
      <c r="DS17" s="994">
        <v>0</v>
      </c>
      <c r="DT17" s="994">
        <v>0</v>
      </c>
      <c r="DU17" s="994">
        <v>0</v>
      </c>
      <c r="DV17" s="994">
        <v>0</v>
      </c>
      <c r="DW17" s="994">
        <v>2.1942907900000002</v>
      </c>
      <c r="DX17" s="994">
        <v>2.7205965499999998</v>
      </c>
      <c r="DY17" s="994">
        <v>1.010988</v>
      </c>
      <c r="DZ17" s="994">
        <v>0</v>
      </c>
      <c r="EA17" s="994">
        <v>0</v>
      </c>
      <c r="EB17" s="994">
        <v>0</v>
      </c>
      <c r="EC17" s="994">
        <v>1.010988</v>
      </c>
      <c r="ED17" s="994">
        <v>1.010988</v>
      </c>
      <c r="EE17" s="994">
        <v>3.1425296</v>
      </c>
      <c r="EL17" s="400"/>
    </row>
    <row r="18" spans="1:142" ht="19.8">
      <c r="A18" s="1515" t="s">
        <v>2002</v>
      </c>
      <c r="B18" s="949">
        <f>+B16-B17</f>
        <v>31.668776170000001</v>
      </c>
      <c r="C18" s="949">
        <f t="shared" ref="C18:V18" si="4">+C16-C17</f>
        <v>31.629076360000013</v>
      </c>
      <c r="D18" s="949">
        <f t="shared" si="4"/>
        <v>32.394030879999988</v>
      </c>
      <c r="E18" s="949">
        <f t="shared" si="4"/>
        <v>32.359445610000009</v>
      </c>
      <c r="F18" s="949">
        <f t="shared" si="4"/>
        <v>31.28620943</v>
      </c>
      <c r="G18" s="949">
        <f t="shared" si="4"/>
        <v>33.123421429999993</v>
      </c>
      <c r="H18" s="949">
        <f t="shared" si="4"/>
        <v>35.637364869999999</v>
      </c>
      <c r="I18" s="949">
        <f t="shared" si="4"/>
        <v>36.514627140000002</v>
      </c>
      <c r="J18" s="949">
        <f t="shared" si="4"/>
        <v>36.486106920000012</v>
      </c>
      <c r="K18" s="949">
        <f t="shared" si="4"/>
        <v>37.454840939999997</v>
      </c>
      <c r="L18" s="949">
        <f t="shared" si="4"/>
        <v>37.6008925</v>
      </c>
      <c r="M18" s="950">
        <f t="shared" si="4"/>
        <v>37.465164970000004</v>
      </c>
      <c r="N18" s="950">
        <f t="shared" si="4"/>
        <v>38.019649000000001</v>
      </c>
      <c r="O18" s="950">
        <f t="shared" si="4"/>
        <v>38.254299000000003</v>
      </c>
      <c r="P18" s="950">
        <f t="shared" si="4"/>
        <v>38.460676000000007</v>
      </c>
      <c r="Q18" s="950">
        <f t="shared" si="4"/>
        <v>23.767250000000004</v>
      </c>
      <c r="R18" s="950">
        <f t="shared" si="4"/>
        <v>26.739714000000006</v>
      </c>
      <c r="S18" s="950">
        <f t="shared" si="4"/>
        <v>29.089813280000001</v>
      </c>
      <c r="T18" s="950">
        <f t="shared" si="4"/>
        <v>28.156049339999996</v>
      </c>
      <c r="U18" s="950">
        <f t="shared" si="4"/>
        <v>29.239141470000007</v>
      </c>
      <c r="V18" s="950">
        <f t="shared" si="4"/>
        <v>30.557382000000004</v>
      </c>
      <c r="W18" s="950">
        <v>32.097398600000005</v>
      </c>
      <c r="X18" s="950">
        <v>32.009633980000004</v>
      </c>
      <c r="Y18" s="950">
        <v>22.352136520000002</v>
      </c>
      <c r="Z18" s="950">
        <v>22.371736519999999</v>
      </c>
      <c r="AA18" s="950">
        <v>22.391188960000008</v>
      </c>
      <c r="AB18" s="950">
        <v>22.386919689999999</v>
      </c>
      <c r="AC18" s="950">
        <v>22.400331539999996</v>
      </c>
      <c r="AD18" s="950">
        <v>22.387740550000004</v>
      </c>
      <c r="AE18" s="950">
        <v>22.26353512</v>
      </c>
      <c r="AF18" s="950">
        <v>22.261519250000006</v>
      </c>
      <c r="AG18" s="950">
        <v>17.06118463</v>
      </c>
      <c r="AH18" s="950">
        <f>+AH16-AH17</f>
        <v>11.86063933</v>
      </c>
      <c r="AI18" s="950">
        <v>11.873805800000001</v>
      </c>
      <c r="AJ18" s="950">
        <f>+AJ16-AJ17</f>
        <v>7.2345771399999999</v>
      </c>
      <c r="AK18" s="950">
        <f>+AK16-AK17</f>
        <v>19.039946180000001</v>
      </c>
      <c r="AL18" s="950">
        <v>19.032642420000002</v>
      </c>
      <c r="AM18" s="950">
        <f>+AM16-AM17</f>
        <v>19.027120289999999</v>
      </c>
      <c r="AN18" s="950">
        <f>+AN16-AN17</f>
        <v>21.482749290000001</v>
      </c>
      <c r="AO18" s="950">
        <f>+AO16-AO17</f>
        <v>21.49376848</v>
      </c>
      <c r="AP18" s="950">
        <f>+AP16-AP17</f>
        <v>23.797618480000001</v>
      </c>
      <c r="AQ18" s="950">
        <v>23.795354270000001</v>
      </c>
      <c r="AR18" s="950">
        <f>+AR16-AR17</f>
        <v>23.793526440000001</v>
      </c>
      <c r="AS18" s="950">
        <f>+AS16-AS17</f>
        <v>23.08699631</v>
      </c>
      <c r="AT18" s="950">
        <f>+AT16-AT17</f>
        <v>23.789590760000003</v>
      </c>
      <c r="AU18" s="950">
        <v>25.4880438</v>
      </c>
      <c r="AV18" s="950">
        <v>25.486588260000001</v>
      </c>
      <c r="AW18" s="950">
        <v>25.672421440000001</v>
      </c>
      <c r="AX18" s="950">
        <v>25.670063160000002</v>
      </c>
      <c r="AY18" s="950">
        <v>27.997148639999999</v>
      </c>
      <c r="AZ18" s="950">
        <v>27.99561392</v>
      </c>
      <c r="BA18" s="950">
        <v>27.99405874</v>
      </c>
      <c r="BB18" s="950">
        <v>27.992488000000002</v>
      </c>
      <c r="BC18" s="950">
        <v>27.992488000000002</v>
      </c>
      <c r="BD18" s="950">
        <f>+BD16-BD17</f>
        <v>27.992488000000002</v>
      </c>
      <c r="BE18" s="950">
        <v>27.992488000000002</v>
      </c>
      <c r="BF18" s="950">
        <v>27.992488000000002</v>
      </c>
      <c r="BG18" s="950">
        <v>27.992488000000002</v>
      </c>
      <c r="BH18" s="1005">
        <v>27.992488000000002</v>
      </c>
      <c r="BI18" s="994">
        <v>31.097487999999998</v>
      </c>
      <c r="BJ18" s="994">
        <v>31.127488</v>
      </c>
      <c r="BK18" s="994">
        <v>31.122750839999998</v>
      </c>
      <c r="BL18" s="994">
        <v>31.10047604</v>
      </c>
      <c r="BM18" s="994">
        <v>30.643563</v>
      </c>
      <c r="BN18" s="994">
        <v>30.578562999999999</v>
      </c>
      <c r="BO18" s="994">
        <v>25.639323000000001</v>
      </c>
      <c r="BP18" s="994">
        <v>27.340323000000001</v>
      </c>
      <c r="BQ18" s="994">
        <v>28.362123</v>
      </c>
      <c r="BR18" s="994">
        <v>28.362123</v>
      </c>
      <c r="BS18" s="994">
        <v>28.362123</v>
      </c>
      <c r="BT18" s="994">
        <v>28.362123</v>
      </c>
      <c r="BU18" s="994">
        <v>30.958197999999999</v>
      </c>
      <c r="BV18" s="994">
        <v>30.746982510000002</v>
      </c>
      <c r="BW18" s="994">
        <v>30.688198</v>
      </c>
      <c r="BX18" s="994">
        <v>30.688198</v>
      </c>
      <c r="BY18" s="994">
        <v>30.688198</v>
      </c>
      <c r="BZ18" s="994">
        <v>30.813198</v>
      </c>
      <c r="CA18" s="994">
        <v>30.688198</v>
      </c>
      <c r="CB18" s="994">
        <v>2.1000000000000001E-2</v>
      </c>
      <c r="CC18" s="994">
        <v>0</v>
      </c>
      <c r="CD18" s="994">
        <v>0</v>
      </c>
      <c r="CE18" s="994">
        <f t="shared" ref="CE18:CO18" si="5">+CE16-CE17</f>
        <v>0.03</v>
      </c>
      <c r="CF18" s="994">
        <f t="shared" si="5"/>
        <v>0.03</v>
      </c>
      <c r="CG18" s="994">
        <f t="shared" si="5"/>
        <v>0.30206944000000002</v>
      </c>
      <c r="CH18" s="994">
        <f t="shared" si="5"/>
        <v>0.30206944000000002</v>
      </c>
      <c r="CI18" s="994">
        <f t="shared" si="5"/>
        <v>0.13600000000000001</v>
      </c>
      <c r="CJ18" s="994">
        <f t="shared" si="5"/>
        <v>0.13600000000000012</v>
      </c>
      <c r="CK18" s="994">
        <f t="shared" si="5"/>
        <v>0</v>
      </c>
      <c r="CL18" s="994">
        <f t="shared" si="5"/>
        <v>0.21599999999999997</v>
      </c>
      <c r="CM18" s="994">
        <f t="shared" si="5"/>
        <v>0.41599999999999993</v>
      </c>
      <c r="CN18" s="994">
        <f t="shared" si="5"/>
        <v>0.3660000000000001</v>
      </c>
      <c r="CO18" s="994">
        <f t="shared" si="5"/>
        <v>0.41999999999999993</v>
      </c>
      <c r="CP18" s="994">
        <f>+CP16-CP17</f>
        <v>0.43499999999999994</v>
      </c>
      <c r="CQ18" s="994">
        <f>+CQ16-CQ17</f>
        <v>0.40500000000000003</v>
      </c>
      <c r="CR18" s="994">
        <f>+CR16-CR17</f>
        <v>0.5</v>
      </c>
      <c r="CS18" s="994">
        <f>+CS16-CS17</f>
        <v>0.5</v>
      </c>
      <c r="CT18" s="994">
        <v>0.55911911999999997</v>
      </c>
      <c r="CU18" s="994">
        <v>0.56100000000000005</v>
      </c>
      <c r="CV18" s="994">
        <v>0.56100000000000005</v>
      </c>
      <c r="CW18" s="994">
        <v>6.0999999999999999E-2</v>
      </c>
      <c r="CX18" s="994">
        <v>0.11193754</v>
      </c>
      <c r="CY18" s="994">
        <v>6.0999999999999999E-2</v>
      </c>
      <c r="CZ18" s="994">
        <v>6.0999999999999999E-2</v>
      </c>
      <c r="DA18" s="994">
        <v>0.27100000000000002</v>
      </c>
      <c r="DB18" s="994">
        <v>0.32025057000000001</v>
      </c>
      <c r="DC18" s="994">
        <v>7.4498590000000003E-2</v>
      </c>
      <c r="DD18" s="994">
        <v>3.8709519999999997E-2</v>
      </c>
      <c r="DE18" s="994">
        <v>9.791619E-2</v>
      </c>
      <c r="DF18" s="994">
        <v>1.711207E-2</v>
      </c>
      <c r="DG18" s="994">
        <v>0.14028420999999999</v>
      </c>
      <c r="DH18" s="994">
        <v>2.05229822</v>
      </c>
      <c r="DI18" s="994">
        <v>1.941859</v>
      </c>
      <c r="DJ18" s="994">
        <v>2.1980635199999998</v>
      </c>
      <c r="DK18" s="994">
        <v>2.50117426</v>
      </c>
      <c r="DL18" s="994">
        <v>2.57019705</v>
      </c>
      <c r="DM18" s="994">
        <v>1.8866087199999999</v>
      </c>
      <c r="DN18" s="994">
        <v>3.11988413</v>
      </c>
      <c r="DO18" s="994">
        <v>2.7625262899999998</v>
      </c>
      <c r="DP18" s="994">
        <v>1.43855343</v>
      </c>
      <c r="DQ18" s="994">
        <v>1.87287516</v>
      </c>
      <c r="DR18" s="994">
        <v>2.8875726099999999</v>
      </c>
      <c r="DS18" s="994">
        <v>6.5005869699999996</v>
      </c>
      <c r="DT18" s="994">
        <v>6.1387977600000001</v>
      </c>
      <c r="DU18" s="994">
        <v>6.6237460600000002</v>
      </c>
      <c r="DV18" s="994">
        <v>8.8079112399999993</v>
      </c>
      <c r="DW18" s="994">
        <v>10.26267348</v>
      </c>
      <c r="DX18" s="994">
        <v>11.698533899999999</v>
      </c>
      <c r="DY18" s="994">
        <v>11.065928230000001</v>
      </c>
      <c r="DZ18" s="994">
        <v>10.97918028</v>
      </c>
      <c r="EA18" s="994">
        <v>6.0734231100000002</v>
      </c>
      <c r="EB18" s="994">
        <v>9.0456370199999991</v>
      </c>
      <c r="EC18" s="994">
        <v>5.1318669899999998</v>
      </c>
      <c r="ED18" s="994">
        <v>2.79896703</v>
      </c>
      <c r="EE18" s="994">
        <v>2.625467</v>
      </c>
      <c r="EL18" s="400"/>
    </row>
    <row r="19" spans="1:142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L19" s="400"/>
    </row>
    <row r="20" spans="1:142" ht="19.8">
      <c r="A20" s="1513" t="s">
        <v>2822</v>
      </c>
      <c r="B20" s="949">
        <v>10.491786900000001</v>
      </c>
      <c r="C20" s="949">
        <v>5.9121963900000001</v>
      </c>
      <c r="D20" s="949">
        <v>5.7595558099999993</v>
      </c>
      <c r="E20" s="949">
        <v>5.7457509400000006</v>
      </c>
      <c r="F20" s="949">
        <v>5.5946453400000005</v>
      </c>
      <c r="G20" s="949">
        <v>5.9717132500000005</v>
      </c>
      <c r="H20" s="949">
        <v>5.9658395100000003</v>
      </c>
      <c r="I20" s="949">
        <v>5.9470103600000002</v>
      </c>
      <c r="J20" s="949">
        <v>5.9524586399999997</v>
      </c>
      <c r="K20" s="949">
        <v>5.5640435100000003</v>
      </c>
      <c r="L20" s="949">
        <v>5.5821219700000002</v>
      </c>
      <c r="M20" s="946">
        <v>5.6163390800000004</v>
      </c>
      <c r="N20" s="950">
        <v>5.5682108399999999</v>
      </c>
      <c r="O20" s="950">
        <v>5.5696126699999997</v>
      </c>
      <c r="P20" s="950">
        <v>8.5896373500000003</v>
      </c>
      <c r="Q20" s="950">
        <v>8.589641180000001</v>
      </c>
      <c r="R20" s="950">
        <v>9.3634966399999993</v>
      </c>
      <c r="S20" s="950">
        <v>9.3514446099999997</v>
      </c>
      <c r="T20" s="950">
        <v>9.3401900399999995</v>
      </c>
      <c r="U20" s="950">
        <v>9.4752186299999988</v>
      </c>
      <c r="V20" s="950">
        <v>11.362166669999999</v>
      </c>
      <c r="W20" s="950">
        <v>11.3463852</v>
      </c>
      <c r="X20" s="950">
        <v>11.21907423</v>
      </c>
      <c r="Y20" s="946">
        <v>11.188550340000001</v>
      </c>
      <c r="Z20" s="950">
        <v>11.20339613</v>
      </c>
      <c r="AA20" s="950">
        <v>14.749294030000001</v>
      </c>
      <c r="AB20" s="946">
        <v>14.29103299</v>
      </c>
      <c r="AC20" s="946">
        <v>15.032291709999999</v>
      </c>
      <c r="AD20" s="946">
        <v>16.843249539999999</v>
      </c>
      <c r="AE20" s="946">
        <v>24.976417929999997</v>
      </c>
      <c r="AF20" s="946">
        <v>28.753803809999997</v>
      </c>
      <c r="AG20" s="946">
        <v>37.368803019999994</v>
      </c>
      <c r="AH20" s="946">
        <v>37.909783699999998</v>
      </c>
      <c r="AI20" s="946">
        <v>42.182006149999999</v>
      </c>
      <c r="AJ20" s="946">
        <v>46.905181720000002</v>
      </c>
      <c r="AK20" s="946">
        <v>59.453121430000003</v>
      </c>
      <c r="AL20" s="946">
        <v>56.12931854</v>
      </c>
      <c r="AM20" s="946">
        <v>54.994271670000003</v>
      </c>
      <c r="AN20" s="946">
        <v>51.816730380000003</v>
      </c>
      <c r="AO20" s="946">
        <v>50.350400149999999</v>
      </c>
      <c r="AP20" s="946">
        <v>43.807388270000004</v>
      </c>
      <c r="AQ20" s="946">
        <v>43.300481390000002</v>
      </c>
      <c r="AR20" s="946">
        <v>43.571215350000003</v>
      </c>
      <c r="AS20" s="946">
        <v>42.172041819999997</v>
      </c>
      <c r="AT20" s="946">
        <f>AT12-AT16</f>
        <v>41.090646279999994</v>
      </c>
      <c r="AU20" s="946">
        <v>38.787058979999998</v>
      </c>
      <c r="AV20" s="946">
        <v>42.06614562</v>
      </c>
      <c r="AW20" s="946">
        <v>41.002214479999999</v>
      </c>
      <c r="AX20" s="946">
        <v>43.598514080000001</v>
      </c>
      <c r="AY20" s="946">
        <v>33.797158519999996</v>
      </c>
      <c r="AZ20" s="946">
        <v>22.07726933</v>
      </c>
      <c r="BA20" s="946">
        <v>20.551904090000001</v>
      </c>
      <c r="BB20" s="946">
        <v>24.646458050000003</v>
      </c>
      <c r="BC20" s="946">
        <v>24.661609829999996</v>
      </c>
      <c r="BD20" s="946">
        <v>24.659301940000002</v>
      </c>
      <c r="BE20" s="946">
        <v>20.67727923</v>
      </c>
      <c r="BF20" s="946">
        <v>16.454217659999998</v>
      </c>
      <c r="BG20" s="946">
        <v>16.454217659999998</v>
      </c>
      <c r="BH20" s="1004">
        <v>13.903099879999999</v>
      </c>
      <c r="BI20" s="993">
        <v>9.3894822899999966</v>
      </c>
      <c r="BJ20" s="993">
        <v>9.3894822899999966</v>
      </c>
      <c r="BK20" s="993">
        <v>9.3894822900000001</v>
      </c>
      <c r="BL20" s="993">
        <v>9.3889299999999984</v>
      </c>
      <c r="BM20" s="993">
        <v>9.388930000000002</v>
      </c>
      <c r="BN20" s="993">
        <v>9.3889299999999984</v>
      </c>
      <c r="BO20" s="993">
        <v>9.3889299999999984</v>
      </c>
      <c r="BP20" s="993">
        <v>7.6889300000000027</v>
      </c>
      <c r="BQ20" s="993">
        <v>5.9193660000000001</v>
      </c>
      <c r="BR20" s="993">
        <v>5.9193660000000001</v>
      </c>
      <c r="BS20" s="993">
        <v>5.9193660000000001</v>
      </c>
      <c r="BT20" s="993">
        <v>5.9193660000000001</v>
      </c>
      <c r="BU20" s="993">
        <v>2.5499999999922807E-4</v>
      </c>
      <c r="BV20" s="993">
        <v>2.5499999999922807E-4</v>
      </c>
      <c r="BW20" s="993">
        <v>2.5499999999922807E-4</v>
      </c>
      <c r="BX20" s="993">
        <v>2.5499999999922807E-4</v>
      </c>
      <c r="BY20" s="993">
        <v>1.3925190000000001</v>
      </c>
      <c r="BZ20" s="993">
        <v>0.62833260000000024</v>
      </c>
      <c r="CA20" s="993">
        <v>2.5500000000278078E-4</v>
      </c>
      <c r="CB20" s="993">
        <v>0</v>
      </c>
      <c r="CC20" s="993">
        <v>0</v>
      </c>
      <c r="CD20" s="993">
        <v>0</v>
      </c>
      <c r="CE20" s="993">
        <v>0</v>
      </c>
      <c r="CF20" s="993">
        <v>0</v>
      </c>
      <c r="CG20" s="993">
        <v>0.59165199999999996</v>
      </c>
      <c r="CH20" s="993">
        <v>0.58254488000000004</v>
      </c>
      <c r="CI20" s="993">
        <v>0.58086643000000004</v>
      </c>
      <c r="CJ20" s="993">
        <v>0</v>
      </c>
      <c r="CK20" s="993">
        <v>0</v>
      </c>
      <c r="CL20" s="993">
        <v>0</v>
      </c>
      <c r="CM20" s="993">
        <v>0.70720000000000005</v>
      </c>
      <c r="CN20" s="993">
        <v>0</v>
      </c>
      <c r="CO20" s="993">
        <v>0</v>
      </c>
      <c r="CP20" s="993">
        <v>0</v>
      </c>
      <c r="CQ20" s="993">
        <v>0</v>
      </c>
      <c r="CR20" s="993">
        <v>0</v>
      </c>
      <c r="CS20" s="993">
        <v>0</v>
      </c>
      <c r="CT20" s="993">
        <v>7.8400953600000003</v>
      </c>
      <c r="CU20" s="993">
        <v>7.8400953600000003</v>
      </c>
      <c r="CV20" s="993">
        <v>8.1545953600000001</v>
      </c>
      <c r="CW20" s="993">
        <v>10.364595359999999</v>
      </c>
      <c r="CX20" s="993">
        <v>8.1889000000000003</v>
      </c>
      <c r="CY20" s="993">
        <v>8.1889000000000003</v>
      </c>
      <c r="CZ20" s="993">
        <v>2.3051959499999999</v>
      </c>
      <c r="DA20" s="993">
        <v>0</v>
      </c>
      <c r="DB20" s="993">
        <v>0</v>
      </c>
      <c r="DC20" s="993">
        <v>0.49980000000000002</v>
      </c>
      <c r="DD20" s="993">
        <v>0.45962219999999998</v>
      </c>
      <c r="DE20" s="993">
        <v>0.41891025999999998</v>
      </c>
      <c r="DF20" s="993">
        <v>0.37827411</v>
      </c>
      <c r="DG20" s="993">
        <v>0.33709257999999998</v>
      </c>
      <c r="DH20" s="993">
        <v>0.29604894999999998</v>
      </c>
      <c r="DI20" s="993">
        <v>0.25442037000000001</v>
      </c>
      <c r="DJ20" s="993">
        <v>0.2125976</v>
      </c>
      <c r="DK20" s="993">
        <v>0.17079225000000001</v>
      </c>
      <c r="DL20" s="993">
        <v>0.12840840000000001</v>
      </c>
      <c r="DM20" s="993">
        <v>8.6104689999999998E-2</v>
      </c>
      <c r="DN20" s="993">
        <v>8.6104689999999998E-2</v>
      </c>
      <c r="DO20" s="993">
        <v>0</v>
      </c>
      <c r="DP20" s="993">
        <v>0</v>
      </c>
      <c r="DQ20" s="993">
        <v>0</v>
      </c>
      <c r="DR20" s="993">
        <v>0.49980000000000002</v>
      </c>
      <c r="DS20" s="993">
        <v>0.45966356000000003</v>
      </c>
      <c r="DT20" s="993">
        <v>0.41909864000000002</v>
      </c>
      <c r="DU20" s="993">
        <v>0.37813408999999998</v>
      </c>
      <c r="DV20" s="993">
        <v>0.67709357999999997</v>
      </c>
      <c r="DW20" s="993">
        <v>0.67709357999999997</v>
      </c>
      <c r="DX20" s="993">
        <v>0.59447461999999995</v>
      </c>
      <c r="DY20" s="993">
        <v>0.59447461999999995</v>
      </c>
      <c r="DZ20" s="993">
        <v>0.55256419000000001</v>
      </c>
      <c r="EA20" s="993">
        <v>0.51064043999999997</v>
      </c>
      <c r="EB20" s="993">
        <v>0.46852226000000002</v>
      </c>
      <c r="EC20" s="993">
        <v>0.42597570000000001</v>
      </c>
      <c r="ED20" s="993">
        <v>0.34</v>
      </c>
      <c r="EE20" s="993">
        <v>0.34</v>
      </c>
      <c r="EL20" s="400"/>
    </row>
    <row r="21" spans="1:142" ht="19.8">
      <c r="A21" s="1514" t="s">
        <v>2001</v>
      </c>
      <c r="B21" s="949">
        <v>5.48966654</v>
      </c>
      <c r="C21" s="949">
        <v>5.4924659599999996</v>
      </c>
      <c r="D21" s="949">
        <v>5.4924659599999996</v>
      </c>
      <c r="E21" s="949">
        <v>5.4910662500000003</v>
      </c>
      <c r="F21" s="949">
        <v>5.4910662500000003</v>
      </c>
      <c r="G21" s="949">
        <v>5.4903664000000001</v>
      </c>
      <c r="H21" s="949">
        <v>5.4903664000000001</v>
      </c>
      <c r="I21" s="949">
        <v>5.48966654</v>
      </c>
      <c r="J21" s="949">
        <v>5.4903664000000001</v>
      </c>
      <c r="K21" s="949">
        <v>5.4903664000000001</v>
      </c>
      <c r="L21" s="949">
        <v>5.48966654</v>
      </c>
      <c r="M21" s="950">
        <v>5.4903664000000001</v>
      </c>
      <c r="N21" s="950">
        <v>5.4882668299999997</v>
      </c>
      <c r="O21" s="950">
        <v>5.48966654</v>
      </c>
      <c r="P21" s="950">
        <v>5.4889666900000007</v>
      </c>
      <c r="Q21" s="950">
        <v>5.4889666900000007</v>
      </c>
      <c r="R21" s="950">
        <v>5.48966654</v>
      </c>
      <c r="S21" s="950">
        <v>5.4889666900000007</v>
      </c>
      <c r="T21" s="950">
        <v>5.4882668299999997</v>
      </c>
      <c r="U21" s="950">
        <v>5.48966654</v>
      </c>
      <c r="V21" s="950">
        <v>5.48966654</v>
      </c>
      <c r="W21" s="950">
        <v>5.48966654</v>
      </c>
      <c r="X21" s="950">
        <v>5.48966654</v>
      </c>
      <c r="Y21" s="950">
        <v>5.48966654</v>
      </c>
      <c r="Z21" s="950">
        <v>5.48966654</v>
      </c>
      <c r="AA21" s="950">
        <v>7.3470830400000002</v>
      </c>
      <c r="AB21" s="950">
        <v>7.3379849200000002</v>
      </c>
      <c r="AC21" s="950">
        <v>7.3393846299999996</v>
      </c>
      <c r="AD21" s="950">
        <v>7.3442836199999997</v>
      </c>
      <c r="AE21" s="950">
        <v>7.33658521</v>
      </c>
      <c r="AF21" s="950">
        <v>7.3449834699999998</v>
      </c>
      <c r="AG21" s="950">
        <v>7.3344856399999996</v>
      </c>
      <c r="AH21" s="950">
        <v>1.5133652900000001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1.3922639999999999</v>
      </c>
      <c r="BZ21" s="994">
        <v>0.62807760000000001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0.59165199999999996</v>
      </c>
      <c r="CH21" s="994">
        <v>0.58254488000000004</v>
      </c>
      <c r="CI21" s="994">
        <v>0.58086643000000004</v>
      </c>
      <c r="CJ21" s="994">
        <v>0</v>
      </c>
      <c r="CK21" s="994">
        <v>0</v>
      </c>
      <c r="CL21" s="994">
        <v>0</v>
      </c>
      <c r="CM21" s="994">
        <v>0.70720000000000005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L21" s="400"/>
    </row>
    <row r="22" spans="1:142" ht="19.8">
      <c r="A22" s="1515" t="s">
        <v>2002</v>
      </c>
      <c r="B22" s="945">
        <f>+B20-B21</f>
        <v>5.002120360000001</v>
      </c>
      <c r="C22" s="949">
        <f t="shared" ref="C22:V22" si="6">+C20-C21</f>
        <v>0.41973043000000043</v>
      </c>
      <c r="D22" s="949">
        <f t="shared" si="6"/>
        <v>0.26708984999999963</v>
      </c>
      <c r="E22" s="949">
        <f t="shared" si="6"/>
        <v>0.25468469000000038</v>
      </c>
      <c r="F22" s="949">
        <f t="shared" si="6"/>
        <v>0.10357909000000021</v>
      </c>
      <c r="G22" s="949">
        <f t="shared" si="6"/>
        <v>0.48134685000000044</v>
      </c>
      <c r="H22" s="949">
        <f t="shared" si="6"/>
        <v>0.47547311000000025</v>
      </c>
      <c r="I22" s="949">
        <f t="shared" si="6"/>
        <v>0.45734382000000018</v>
      </c>
      <c r="J22" s="949">
        <f t="shared" si="6"/>
        <v>0.4620922399999996</v>
      </c>
      <c r="K22" s="949">
        <f t="shared" si="6"/>
        <v>7.3677110000000212E-2</v>
      </c>
      <c r="L22" s="949">
        <f t="shared" si="6"/>
        <v>9.2455430000000227E-2</v>
      </c>
      <c r="M22" s="950">
        <f t="shared" si="6"/>
        <v>0.12597268000000028</v>
      </c>
      <c r="N22" s="950">
        <f t="shared" si="6"/>
        <v>7.9944010000000176E-2</v>
      </c>
      <c r="O22" s="950">
        <f t="shared" si="6"/>
        <v>7.9946129999999727E-2</v>
      </c>
      <c r="P22" s="946">
        <f t="shared" si="6"/>
        <v>3.1006706599999996</v>
      </c>
      <c r="Q22" s="946">
        <f t="shared" si="6"/>
        <v>3.1006744900000003</v>
      </c>
      <c r="R22" s="946">
        <f t="shared" si="6"/>
        <v>3.8738300999999993</v>
      </c>
      <c r="S22" s="946">
        <f t="shared" si="6"/>
        <v>3.862477919999999</v>
      </c>
      <c r="T22" s="946">
        <f t="shared" si="6"/>
        <v>3.8519232099999998</v>
      </c>
      <c r="U22" s="946">
        <f t="shared" si="6"/>
        <v>3.9855520899999988</v>
      </c>
      <c r="V22" s="946">
        <f t="shared" si="6"/>
        <v>5.8725001299999988</v>
      </c>
      <c r="W22" s="946">
        <v>5.8567186600000003</v>
      </c>
      <c r="X22" s="946">
        <v>5.7294076900000004</v>
      </c>
      <c r="Y22" s="950">
        <v>5.6988838000000008</v>
      </c>
      <c r="Z22" s="946">
        <v>5.7137295899999998</v>
      </c>
      <c r="AA22" s="950">
        <v>7.4022109900000013</v>
      </c>
      <c r="AB22" s="950">
        <v>6.9530480699999995</v>
      </c>
      <c r="AC22" s="950">
        <v>7.6929070799999995</v>
      </c>
      <c r="AD22" s="950">
        <v>9.4989659199999998</v>
      </c>
      <c r="AE22" s="950">
        <v>17.639832719999998</v>
      </c>
      <c r="AF22" s="950">
        <v>21.408820339999998</v>
      </c>
      <c r="AG22" s="950">
        <v>30.034317379999994</v>
      </c>
      <c r="AH22" s="950">
        <f>+AH20-AH21</f>
        <v>36.396418409999995</v>
      </c>
      <c r="AI22" s="950">
        <v>42.182006149999999</v>
      </c>
      <c r="AJ22" s="950">
        <f>+AJ20-AJ21</f>
        <v>46.905181720000002</v>
      </c>
      <c r="AK22" s="950">
        <f>+AK20-AK21</f>
        <v>59.453121430000003</v>
      </c>
      <c r="AL22" s="950">
        <v>56.12931854</v>
      </c>
      <c r="AM22" s="950">
        <f>+AM20-AM21</f>
        <v>54.994271670000003</v>
      </c>
      <c r="AN22" s="950">
        <f>+AN20-AN21</f>
        <v>51.816730380000003</v>
      </c>
      <c r="AO22" s="950">
        <f>+AO20-AO21</f>
        <v>50.350400149999999</v>
      </c>
      <c r="AP22" s="950">
        <f>+AP20-AP21</f>
        <v>43.807388270000004</v>
      </c>
      <c r="AQ22" s="950">
        <v>43.300481390000002</v>
      </c>
      <c r="AR22" s="950">
        <f>+AR20-AR21</f>
        <v>43.571215350000003</v>
      </c>
      <c r="AS22" s="950">
        <f>+AS20-AS21</f>
        <v>42.172041819999997</v>
      </c>
      <c r="AT22" s="950">
        <f>AT14-AT18</f>
        <v>41.090646279999994</v>
      </c>
      <c r="AU22" s="950">
        <v>38.787058979999998</v>
      </c>
      <c r="AV22" s="950">
        <v>42.06614562</v>
      </c>
      <c r="AW22" s="950">
        <v>41.002214479999999</v>
      </c>
      <c r="AX22" s="950">
        <v>43.598514080000001</v>
      </c>
      <c r="AY22" s="950">
        <v>33.797158519999996</v>
      </c>
      <c r="AZ22" s="950">
        <v>22.07726933</v>
      </c>
      <c r="BA22" s="950">
        <v>20.551904090000001</v>
      </c>
      <c r="BB22" s="950">
        <v>24.646458050000003</v>
      </c>
      <c r="BC22" s="950">
        <v>24.661609829999996</v>
      </c>
      <c r="BD22" s="950">
        <f>+BD20-BD21</f>
        <v>24.659301940000002</v>
      </c>
      <c r="BE22" s="950">
        <v>20.67727923</v>
      </c>
      <c r="BF22" s="950">
        <v>16.454217659999998</v>
      </c>
      <c r="BG22" s="950">
        <v>16.454217659999998</v>
      </c>
      <c r="BH22" s="1005">
        <v>13.903099879999999</v>
      </c>
      <c r="BI22" s="994">
        <v>9.3894822899999966</v>
      </c>
      <c r="BJ22" s="994">
        <v>9.3894822899999966</v>
      </c>
      <c r="BK22" s="994">
        <v>9.3894822900000001</v>
      </c>
      <c r="BL22" s="994">
        <v>9.3889299999999984</v>
      </c>
      <c r="BM22" s="994">
        <v>9.388930000000002</v>
      </c>
      <c r="BN22" s="994">
        <v>9.3889299999999984</v>
      </c>
      <c r="BO22" s="994">
        <v>9.3889299999999984</v>
      </c>
      <c r="BP22" s="994">
        <v>7.6889300000000027</v>
      </c>
      <c r="BQ22" s="994">
        <v>5.9193660000000001</v>
      </c>
      <c r="BR22" s="994">
        <v>5.9193660000000001</v>
      </c>
      <c r="BS22" s="994">
        <v>5.9193660000000001</v>
      </c>
      <c r="BT22" s="994">
        <v>5.9193660000000001</v>
      </c>
      <c r="BU22" s="994">
        <v>2.5499999999922807E-4</v>
      </c>
      <c r="BV22" s="994">
        <v>2.5499999999922807E-4</v>
      </c>
      <c r="BW22" s="994">
        <v>2.5499999999922807E-4</v>
      </c>
      <c r="BX22" s="994">
        <v>2.5499999999922807E-4</v>
      </c>
      <c r="BY22" s="994">
        <v>2.5500000000011624E-4</v>
      </c>
      <c r="BZ22" s="994">
        <v>2.5500000000022727E-4</v>
      </c>
      <c r="CA22" s="994">
        <v>2.5500000000278078E-4</v>
      </c>
      <c r="CB22" s="994">
        <v>0</v>
      </c>
      <c r="CC22" s="994">
        <v>0</v>
      </c>
      <c r="CD22" s="994">
        <v>0</v>
      </c>
      <c r="CE22" s="994">
        <f t="shared" ref="CE22:CO22" si="7">+CE20-CE21</f>
        <v>0</v>
      </c>
      <c r="CF22" s="994">
        <f t="shared" si="7"/>
        <v>0</v>
      </c>
      <c r="CG22" s="994">
        <f t="shared" si="7"/>
        <v>0</v>
      </c>
      <c r="CH22" s="994">
        <f t="shared" si="7"/>
        <v>0</v>
      </c>
      <c r="CI22" s="994">
        <f t="shared" si="7"/>
        <v>0</v>
      </c>
      <c r="CJ22" s="994">
        <f t="shared" si="7"/>
        <v>0</v>
      </c>
      <c r="CK22" s="994">
        <f t="shared" si="7"/>
        <v>0</v>
      </c>
      <c r="CL22" s="994">
        <f t="shared" si="7"/>
        <v>0</v>
      </c>
      <c r="CM22" s="994">
        <f t="shared" si="7"/>
        <v>0</v>
      </c>
      <c r="CN22" s="994">
        <f t="shared" si="7"/>
        <v>0</v>
      </c>
      <c r="CO22" s="994">
        <f t="shared" si="7"/>
        <v>0</v>
      </c>
      <c r="CP22" s="994">
        <f>+CP20-CP21</f>
        <v>0</v>
      </c>
      <c r="CQ22" s="994">
        <f>+CQ20-CQ21</f>
        <v>0</v>
      </c>
      <c r="CR22" s="994">
        <f>+CR20-CR21</f>
        <v>0</v>
      </c>
      <c r="CS22" s="994">
        <f>+CS20-CS21</f>
        <v>0</v>
      </c>
      <c r="CT22" s="994">
        <v>7.8400953600000003</v>
      </c>
      <c r="CU22" s="994">
        <v>7.8400953600000003</v>
      </c>
      <c r="CV22" s="994">
        <v>8.1545953600000001</v>
      </c>
      <c r="CW22" s="994">
        <v>10.364595359999999</v>
      </c>
      <c r="CX22" s="994">
        <v>8.1889000000000003</v>
      </c>
      <c r="CY22" s="994">
        <v>8.1889000000000003</v>
      </c>
      <c r="CZ22" s="994">
        <v>2.3051959499999999</v>
      </c>
      <c r="DA22" s="994">
        <v>0</v>
      </c>
      <c r="DB22" s="994">
        <v>0</v>
      </c>
      <c r="DC22" s="994">
        <v>0.49980000000000002</v>
      </c>
      <c r="DD22" s="994">
        <v>0.45962219999999998</v>
      </c>
      <c r="DE22" s="994">
        <v>0.41891025999999998</v>
      </c>
      <c r="DF22" s="994">
        <v>0.37827411</v>
      </c>
      <c r="DG22" s="994">
        <v>0.33709257999999998</v>
      </c>
      <c r="DH22" s="994">
        <v>0.29604894999999998</v>
      </c>
      <c r="DI22" s="994">
        <v>0.25442037000000001</v>
      </c>
      <c r="DJ22" s="994">
        <v>0.2125976</v>
      </c>
      <c r="DK22" s="994">
        <v>0.17079225000000001</v>
      </c>
      <c r="DL22" s="994">
        <v>0.12840840000000001</v>
      </c>
      <c r="DM22" s="994">
        <v>8.6104689999999998E-2</v>
      </c>
      <c r="DN22" s="994">
        <v>8.6104689999999998E-2</v>
      </c>
      <c r="DO22" s="994">
        <v>0</v>
      </c>
      <c r="DP22" s="994">
        <v>0</v>
      </c>
      <c r="DQ22" s="994">
        <v>0</v>
      </c>
      <c r="DR22" s="994">
        <v>0.49980000000000002</v>
      </c>
      <c r="DS22" s="994">
        <v>0.45966356000000003</v>
      </c>
      <c r="DT22" s="994">
        <v>0.41909864000000002</v>
      </c>
      <c r="DU22" s="994">
        <v>0.37813408999999998</v>
      </c>
      <c r="DV22" s="994">
        <v>0.67709357999999997</v>
      </c>
      <c r="DW22" s="994">
        <v>0.67709357999999997</v>
      </c>
      <c r="DX22" s="994">
        <v>0.59447461999999995</v>
      </c>
      <c r="DY22" s="994">
        <v>0.59447461999999995</v>
      </c>
      <c r="DZ22" s="994">
        <v>0.55256419000000001</v>
      </c>
      <c r="EA22" s="994">
        <v>0.51064043999999997</v>
      </c>
      <c r="EB22" s="994">
        <v>0.46852226000000002</v>
      </c>
      <c r="EC22" s="994">
        <v>0.42597570000000001</v>
      </c>
      <c r="ED22" s="994">
        <v>0.34</v>
      </c>
      <c r="EE22" s="994">
        <v>0.34</v>
      </c>
      <c r="EL22" s="400"/>
    </row>
    <row r="23" spans="1:142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L23" s="400"/>
    </row>
    <row r="24" spans="1:142" ht="19.8">
      <c r="A24" s="976" t="s">
        <v>2823</v>
      </c>
      <c r="B24" s="945">
        <v>217.59365288000001</v>
      </c>
      <c r="C24" s="949">
        <v>132.02244039999999</v>
      </c>
      <c r="D24" s="949">
        <v>131.95162292000001</v>
      </c>
      <c r="E24" s="949">
        <v>143.37946730000002</v>
      </c>
      <c r="F24" s="949">
        <v>43.116281389999997</v>
      </c>
      <c r="G24" s="949">
        <v>44.29055769</v>
      </c>
      <c r="H24" s="949">
        <v>46.330583289999993</v>
      </c>
      <c r="I24" s="949">
        <v>45.249789460000002</v>
      </c>
      <c r="J24" s="949">
        <v>44.891910340000003</v>
      </c>
      <c r="K24" s="949">
        <v>43.552754670000006</v>
      </c>
      <c r="L24" s="949">
        <v>43.274679070000005</v>
      </c>
      <c r="M24" s="946">
        <v>43.843093629999998</v>
      </c>
      <c r="N24" s="950">
        <v>43.35239722</v>
      </c>
      <c r="O24" s="950">
        <v>42.868527180000001</v>
      </c>
      <c r="P24" s="946">
        <v>42.837083079999999</v>
      </c>
      <c r="Q24" s="946">
        <v>35.755139450000001</v>
      </c>
      <c r="R24" s="946">
        <v>35.692706000000001</v>
      </c>
      <c r="S24" s="946">
        <v>36.023123300000002</v>
      </c>
      <c r="T24" s="946">
        <v>34.219030410000002</v>
      </c>
      <c r="U24" s="946">
        <v>35.199056560000002</v>
      </c>
      <c r="V24" s="946">
        <v>33.819401659999997</v>
      </c>
      <c r="W24" s="946">
        <v>35.123177370000001</v>
      </c>
      <c r="X24" s="946">
        <v>35.233906689999998</v>
      </c>
      <c r="Y24" s="946">
        <v>30.856423279999998</v>
      </c>
      <c r="Z24" s="946">
        <v>30.692379219999999</v>
      </c>
      <c r="AA24" s="950">
        <v>61.251105549999998</v>
      </c>
      <c r="AB24" s="946">
        <v>60.602438899999996</v>
      </c>
      <c r="AC24" s="946">
        <v>59.522359709999996</v>
      </c>
      <c r="AD24" s="946">
        <v>65.689262040000003</v>
      </c>
      <c r="AE24" s="946">
        <v>63.965177269999998</v>
      </c>
      <c r="AF24" s="946">
        <v>60.036893759999998</v>
      </c>
      <c r="AG24" s="946">
        <v>65.930118730000004</v>
      </c>
      <c r="AH24" s="946">
        <v>53.302167030000007</v>
      </c>
      <c r="AI24" s="946">
        <v>51.959012429999994</v>
      </c>
      <c r="AJ24" s="946">
        <v>50.603105239999998</v>
      </c>
      <c r="AK24" s="946">
        <v>56.927638260000002</v>
      </c>
      <c r="AL24" s="946">
        <v>56.228288500000005</v>
      </c>
      <c r="AM24" s="946">
        <v>54.994271670000003</v>
      </c>
      <c r="AN24" s="946">
        <v>55.472929380000004</v>
      </c>
      <c r="AO24" s="946">
        <v>57.011581210000003</v>
      </c>
      <c r="AP24" s="946">
        <v>54.746592960000001</v>
      </c>
      <c r="AQ24" s="946">
        <v>52.87247618</v>
      </c>
      <c r="AR24" s="946">
        <v>49.718984670000005</v>
      </c>
      <c r="AS24" s="946">
        <v>48.075745789999999</v>
      </c>
      <c r="AT24" s="946">
        <f>AT8-AT12</f>
        <v>50.125112090000002</v>
      </c>
      <c r="AU24" s="946">
        <v>41.652563920000006</v>
      </c>
      <c r="AV24" s="946">
        <v>68.092537460000017</v>
      </c>
      <c r="AW24" s="946">
        <v>56.893210840000009</v>
      </c>
      <c r="AX24" s="946">
        <v>59.604695110000009</v>
      </c>
      <c r="AY24" s="946">
        <v>56.481886559999992</v>
      </c>
      <c r="AZ24" s="946">
        <v>68.97451636000001</v>
      </c>
      <c r="BA24" s="946">
        <v>70.677484860000007</v>
      </c>
      <c r="BB24" s="946">
        <v>74.967540369999995</v>
      </c>
      <c r="BC24" s="946">
        <v>67.441228660000007</v>
      </c>
      <c r="BD24" s="946">
        <v>64.402341719999995</v>
      </c>
      <c r="BE24" s="946">
        <v>63.686633459999996</v>
      </c>
      <c r="BF24" s="946">
        <v>62.55410337</v>
      </c>
      <c r="BG24" s="946">
        <v>61.422411099999998</v>
      </c>
      <c r="BH24" s="1004">
        <v>60.549867989999989</v>
      </c>
      <c r="BI24" s="993">
        <v>59.388146819999996</v>
      </c>
      <c r="BJ24" s="993">
        <v>49.723442540000001</v>
      </c>
      <c r="BK24" s="993">
        <v>61.087715040000006</v>
      </c>
      <c r="BL24" s="993">
        <v>59.39395059000001</v>
      </c>
      <c r="BM24" s="993">
        <v>56.791343300000008</v>
      </c>
      <c r="BN24" s="993">
        <v>53.873499059999993</v>
      </c>
      <c r="BO24" s="993">
        <v>52.845100510000002</v>
      </c>
      <c r="BP24" s="993">
        <v>47.308214709999994</v>
      </c>
      <c r="BQ24" s="993">
        <v>56.324266200000004</v>
      </c>
      <c r="BR24" s="993">
        <v>51.604106480000006</v>
      </c>
      <c r="BS24" s="993">
        <v>50.483899059999992</v>
      </c>
      <c r="BT24" s="993">
        <v>47.763326629999987</v>
      </c>
      <c r="BU24" s="993">
        <v>46.152741799999994</v>
      </c>
      <c r="BV24" s="993">
        <v>45.190113449999998</v>
      </c>
      <c r="BW24" s="993">
        <v>42.759018460000007</v>
      </c>
      <c r="BX24" s="993">
        <v>43.619681799999995</v>
      </c>
      <c r="BY24" s="993">
        <v>42.733792780000009</v>
      </c>
      <c r="BZ24" s="993">
        <v>39.84076609000001</v>
      </c>
      <c r="CA24" s="993">
        <v>38.941857750000004</v>
      </c>
      <c r="CB24" s="993">
        <v>37.246150730000004</v>
      </c>
      <c r="CC24" s="993">
        <v>34.743146689999996</v>
      </c>
      <c r="CD24" s="993">
        <v>33.829707839999998</v>
      </c>
      <c r="CE24" s="993">
        <v>32.533461630000005</v>
      </c>
      <c r="CF24" s="993">
        <v>30.02103129</v>
      </c>
      <c r="CG24" s="993">
        <v>29.020958829999998</v>
      </c>
      <c r="CH24" s="993">
        <v>27.900274840000002</v>
      </c>
      <c r="CI24" s="993">
        <v>25.188725999999999</v>
      </c>
      <c r="CJ24" s="993">
        <v>24.071181939999999</v>
      </c>
      <c r="CK24" s="993">
        <v>22.92712058</v>
      </c>
      <c r="CL24" s="993">
        <v>22.178239969999996</v>
      </c>
      <c r="CM24" s="993">
        <v>21.39506888</v>
      </c>
      <c r="CN24" s="993">
        <v>20.137862070000001</v>
      </c>
      <c r="CO24" s="993">
        <v>11.366101879999999</v>
      </c>
      <c r="CP24" s="993">
        <v>11.68299987</v>
      </c>
      <c r="CQ24" s="993">
        <v>1.5033656099999999</v>
      </c>
      <c r="CR24" s="993">
        <v>1.7758262600000001</v>
      </c>
      <c r="CS24" s="993">
        <v>1.66766422</v>
      </c>
      <c r="CT24" s="993">
        <v>256.57178924999999</v>
      </c>
      <c r="CU24" s="993">
        <v>256.49279940000002</v>
      </c>
      <c r="CV24" s="993">
        <v>256.36733699000001</v>
      </c>
      <c r="CW24" s="993">
        <v>256.34346547000001</v>
      </c>
      <c r="CX24" s="993">
        <v>256.31988577999999</v>
      </c>
      <c r="CY24" s="993">
        <v>256.30932589000003</v>
      </c>
      <c r="CZ24" s="993">
        <v>256.29854862000002</v>
      </c>
      <c r="DA24" s="993">
        <v>256.28782308000001</v>
      </c>
      <c r="DB24" s="993">
        <v>255.29819928000001</v>
      </c>
      <c r="DC24" s="993">
        <v>255.28724510000001</v>
      </c>
      <c r="DD24" s="993">
        <v>255.27626672</v>
      </c>
      <c r="DE24" s="993">
        <v>255.56189651</v>
      </c>
      <c r="DF24" s="993">
        <v>255.3340542</v>
      </c>
      <c r="DG24" s="993">
        <v>255.32006973</v>
      </c>
      <c r="DH24" s="993">
        <v>255.34580385999999</v>
      </c>
      <c r="DI24" s="993">
        <v>255.38996166000001</v>
      </c>
      <c r="DJ24" s="993">
        <v>257.14483331999998</v>
      </c>
      <c r="DK24" s="993">
        <v>257.12721500999999</v>
      </c>
      <c r="DL24" s="993">
        <v>214.60924897000001</v>
      </c>
      <c r="DM24" s="993">
        <v>213.03974165</v>
      </c>
      <c r="DN24" s="993">
        <v>237.75443476999999</v>
      </c>
      <c r="DO24" s="993">
        <v>230.65655104999999</v>
      </c>
      <c r="DP24" s="993">
        <v>240.84468482</v>
      </c>
      <c r="DQ24" s="993">
        <v>229.16801426000001</v>
      </c>
      <c r="DR24" s="993">
        <v>186.24228269</v>
      </c>
      <c r="DS24" s="993">
        <v>185.45902128</v>
      </c>
      <c r="DT24" s="993">
        <v>201.51560216999999</v>
      </c>
      <c r="DU24" s="993">
        <v>203.70333661999999</v>
      </c>
      <c r="DV24" s="993">
        <v>231.44506898</v>
      </c>
      <c r="DW24" s="993">
        <v>257.20372407000002</v>
      </c>
      <c r="DX24" s="993">
        <v>247.94000468999999</v>
      </c>
      <c r="DY24" s="993">
        <v>273.74326529000001</v>
      </c>
      <c r="DZ24" s="993">
        <v>312.71363035000002</v>
      </c>
      <c r="EA24" s="993">
        <v>334.07054242999999</v>
      </c>
      <c r="EB24" s="993">
        <v>340.19536816999999</v>
      </c>
      <c r="EC24" s="993">
        <v>371.47868571999999</v>
      </c>
      <c r="ED24" s="993">
        <v>324.81147547</v>
      </c>
      <c r="EE24" s="993">
        <v>332.84753424000002</v>
      </c>
      <c r="EL24" s="400"/>
    </row>
    <row r="25" spans="1:142" ht="19.8">
      <c r="A25" s="977" t="s">
        <v>2001</v>
      </c>
      <c r="B25" s="949">
        <v>109.82095099999999</v>
      </c>
      <c r="C25" s="949">
        <v>109.703183</v>
      </c>
      <c r="D25" s="949">
        <v>109.698183</v>
      </c>
      <c r="E25" s="949">
        <v>109.45785100000001</v>
      </c>
      <c r="F25" s="949">
        <v>9.4428509999999992</v>
      </c>
      <c r="G25" s="949">
        <v>9.4030509999999996</v>
      </c>
      <c r="H25" s="949">
        <v>11.38133</v>
      </c>
      <c r="I25" s="949">
        <v>11.054500000000001</v>
      </c>
      <c r="J25" s="949">
        <v>10.779500000000001</v>
      </c>
      <c r="K25" s="949">
        <v>10.5495</v>
      </c>
      <c r="L25" s="949">
        <v>10.339499999999999</v>
      </c>
      <c r="M25" s="950">
        <v>10.189500000000001</v>
      </c>
      <c r="N25" s="950">
        <v>9.7895000000000003</v>
      </c>
      <c r="O25" s="950">
        <v>9.4395000000000007</v>
      </c>
      <c r="P25" s="950">
        <v>9.4395000000000007</v>
      </c>
      <c r="Q25" s="950">
        <v>8.9894999999999996</v>
      </c>
      <c r="R25" s="950">
        <v>8.6230630000000001</v>
      </c>
      <c r="S25" s="950">
        <v>8.2730630000000005</v>
      </c>
      <c r="T25" s="950">
        <v>7.923063</v>
      </c>
      <c r="U25" s="950">
        <v>7.5730630000000003</v>
      </c>
      <c r="V25" s="950">
        <v>7.2230629999999998</v>
      </c>
      <c r="W25" s="950">
        <v>6.923063</v>
      </c>
      <c r="X25" s="950">
        <v>6.6044999999999998</v>
      </c>
      <c r="Y25" s="950">
        <v>6.2545000000000002</v>
      </c>
      <c r="Z25" s="950">
        <v>6.1544999999999996</v>
      </c>
      <c r="AA25" s="950">
        <v>30.742000000000001</v>
      </c>
      <c r="AB25" s="950">
        <v>30.042000000000002</v>
      </c>
      <c r="AC25" s="950">
        <v>29.22983417</v>
      </c>
      <c r="AD25" s="950">
        <v>35.875834170000005</v>
      </c>
      <c r="AE25" s="950">
        <v>34.556342969999996</v>
      </c>
      <c r="AF25" s="950">
        <v>33.275042390000003</v>
      </c>
      <c r="AG25" s="950">
        <v>39.542024390000002</v>
      </c>
      <c r="AH25" s="950">
        <v>34.480093250000003</v>
      </c>
      <c r="AI25" s="950">
        <v>33.616718299999995</v>
      </c>
      <c r="AJ25" s="950">
        <v>32.776145640000003</v>
      </c>
      <c r="AK25" s="950">
        <v>32.133548529999999</v>
      </c>
      <c r="AL25" s="950">
        <v>31.379427979999999</v>
      </c>
      <c r="AM25" s="950">
        <v>0</v>
      </c>
      <c r="AN25" s="950">
        <v>29.445901750000001</v>
      </c>
      <c r="AO25" s="950">
        <v>32.266423410000002</v>
      </c>
      <c r="AP25" s="950">
        <v>30.185632200000001</v>
      </c>
      <c r="AQ25" s="950">
        <v>28.086202829999998</v>
      </c>
      <c r="AR25" s="950">
        <v>26.39009274</v>
      </c>
      <c r="AS25" s="950">
        <v>24.508873170000001</v>
      </c>
      <c r="AT25" s="950">
        <f>AT9-AT13</f>
        <v>25.982158550000001</v>
      </c>
      <c r="AU25" s="950">
        <v>23.432755660000002</v>
      </c>
      <c r="AV25" s="950">
        <v>49.645195659999999</v>
      </c>
      <c r="AW25" s="950">
        <v>51.666771699999998</v>
      </c>
      <c r="AX25" s="950">
        <v>54.262324899999996</v>
      </c>
      <c r="AY25" s="950">
        <v>51.674734899999997</v>
      </c>
      <c r="AZ25" s="950">
        <v>65.08411246</v>
      </c>
      <c r="BA25" s="950">
        <v>65.939891240000009</v>
      </c>
      <c r="BB25" s="950">
        <v>65.748473700000005</v>
      </c>
      <c r="BC25" s="950">
        <v>57.915310600000005</v>
      </c>
      <c r="BD25" s="950">
        <v>55.264352819999999</v>
      </c>
      <c r="BE25" s="950">
        <v>54.577801829999999</v>
      </c>
      <c r="BF25" s="950">
        <v>54.331089810000002</v>
      </c>
      <c r="BG25" s="950">
        <v>53.604283550000005</v>
      </c>
      <c r="BH25" s="1005">
        <v>52.750414829999997</v>
      </c>
      <c r="BI25" s="994">
        <v>51.612337960000005</v>
      </c>
      <c r="BJ25" s="994">
        <v>42.36714345</v>
      </c>
      <c r="BK25" s="994">
        <v>40.99879207</v>
      </c>
      <c r="BL25" s="994">
        <v>39.328081230000002</v>
      </c>
      <c r="BM25" s="994">
        <v>38.16989006</v>
      </c>
      <c r="BN25" s="994">
        <v>36.866625620000001</v>
      </c>
      <c r="BO25" s="994">
        <v>35.859079789999996</v>
      </c>
      <c r="BP25" s="994">
        <v>34.817243409999996</v>
      </c>
      <c r="BQ25" s="994">
        <v>45.438266660000004</v>
      </c>
      <c r="BR25" s="994">
        <v>40.729273570000004</v>
      </c>
      <c r="BS25" s="994">
        <v>39.672666399999997</v>
      </c>
      <c r="BT25" s="994">
        <v>38.616435339999995</v>
      </c>
      <c r="BU25" s="994">
        <v>37.068372289999999</v>
      </c>
      <c r="BV25" s="994">
        <v>35.945855510000001</v>
      </c>
      <c r="BW25" s="994">
        <v>35.118421040000001</v>
      </c>
      <c r="BX25" s="994">
        <v>35.98912704</v>
      </c>
      <c r="BY25" s="994">
        <v>35.113414580000004</v>
      </c>
      <c r="BZ25" s="994">
        <v>33.824450140000003</v>
      </c>
      <c r="CA25" s="994">
        <v>32.935849560000001</v>
      </c>
      <c r="CB25" s="994">
        <v>31.25086254</v>
      </c>
      <c r="CC25" s="994">
        <v>30.352338619999998</v>
      </c>
      <c r="CD25" s="994">
        <v>29.449716079999998</v>
      </c>
      <c r="CE25" s="994">
        <v>28.314360640000004</v>
      </c>
      <c r="CF25" s="994">
        <v>27.55791511</v>
      </c>
      <c r="CG25" s="994">
        <v>26.721485250000001</v>
      </c>
      <c r="CH25" s="994">
        <v>25.765518489999998</v>
      </c>
      <c r="CI25" s="994">
        <v>24.814408809999996</v>
      </c>
      <c r="CJ25" s="994">
        <v>23.86485828</v>
      </c>
      <c r="CK25" s="994">
        <v>22.890285169999999</v>
      </c>
      <c r="CL25" s="994">
        <v>22.153460169999999</v>
      </c>
      <c r="CM25" s="994">
        <v>21.3825602</v>
      </c>
      <c r="CN25" s="994">
        <v>20.137862070000001</v>
      </c>
      <c r="CO25" s="994">
        <v>11.366101879999999</v>
      </c>
      <c r="CP25" s="994">
        <v>10.599789510000001</v>
      </c>
      <c r="CQ25" s="994">
        <v>0.43272221</v>
      </c>
      <c r="CR25" s="994">
        <v>0.34789143</v>
      </c>
      <c r="CS25" s="994">
        <v>0.26221234000000004</v>
      </c>
      <c r="CT25" s="994">
        <v>255.17567646000001</v>
      </c>
      <c r="CU25" s="994">
        <v>255.08827522000001</v>
      </c>
      <c r="CV25" s="994">
        <v>255</v>
      </c>
      <c r="CW25" s="994">
        <v>255</v>
      </c>
      <c r="CX25" s="994">
        <v>255</v>
      </c>
      <c r="CY25" s="994">
        <v>255</v>
      </c>
      <c r="CZ25" s="994">
        <v>255</v>
      </c>
      <c r="DA25" s="994">
        <v>255</v>
      </c>
      <c r="DB25" s="994">
        <v>255</v>
      </c>
      <c r="DC25" s="994">
        <v>255</v>
      </c>
      <c r="DD25" s="994">
        <v>255</v>
      </c>
      <c r="DE25" s="994">
        <v>255</v>
      </c>
      <c r="DF25" s="994">
        <v>255</v>
      </c>
      <c r="DG25" s="994">
        <v>255</v>
      </c>
      <c r="DH25" s="994">
        <v>255</v>
      </c>
      <c r="DI25" s="994">
        <v>255</v>
      </c>
      <c r="DJ25" s="994">
        <v>255</v>
      </c>
      <c r="DK25" s="994">
        <v>255</v>
      </c>
      <c r="DL25" s="994">
        <v>212.5</v>
      </c>
      <c r="DM25" s="994">
        <v>212.5</v>
      </c>
      <c r="DN25" s="994">
        <v>237.184</v>
      </c>
      <c r="DO25" s="994">
        <v>230.06244519000001</v>
      </c>
      <c r="DP25" s="994">
        <v>240.27335149000001</v>
      </c>
      <c r="DQ25" s="994">
        <v>228.31997842000001</v>
      </c>
      <c r="DR25" s="994">
        <v>185.40361494999999</v>
      </c>
      <c r="DS25" s="994">
        <v>183.14157581000001</v>
      </c>
      <c r="DT25" s="994">
        <v>199.15740824</v>
      </c>
      <c r="DU25" s="994">
        <v>201.39077915999999</v>
      </c>
      <c r="DV25" s="994">
        <v>229.19583703999999</v>
      </c>
      <c r="DW25" s="994">
        <v>255.01655445</v>
      </c>
      <c r="DX25" s="994">
        <v>245.08250938</v>
      </c>
      <c r="DY25" s="994">
        <v>268.85692736999999</v>
      </c>
      <c r="DZ25" s="994">
        <v>307.85537169000003</v>
      </c>
      <c r="EA25" s="994">
        <v>328.84181409000001</v>
      </c>
      <c r="EB25" s="994">
        <v>328.84181409000001</v>
      </c>
      <c r="EC25" s="994">
        <v>360.00598008999998</v>
      </c>
      <c r="ED25" s="994">
        <v>309.85598009</v>
      </c>
      <c r="EE25" s="994">
        <v>317.90341568000002</v>
      </c>
      <c r="EL25" s="400"/>
    </row>
    <row r="26" spans="1:142" ht="19.8">
      <c r="A26" s="978" t="s">
        <v>2002</v>
      </c>
      <c r="B26" s="945">
        <f>+B24-B25</f>
        <v>107.77270188000001</v>
      </c>
      <c r="C26" s="949">
        <f t="shared" ref="C26:V26" si="8">+C24-C25</f>
        <v>22.319257399999998</v>
      </c>
      <c r="D26" s="949">
        <f t="shared" si="8"/>
        <v>22.253439920000005</v>
      </c>
      <c r="E26" s="949">
        <f t="shared" si="8"/>
        <v>33.921616300000011</v>
      </c>
      <c r="F26" s="949">
        <f t="shared" si="8"/>
        <v>33.67343039</v>
      </c>
      <c r="G26" s="949">
        <f t="shared" si="8"/>
        <v>34.887506690000002</v>
      </c>
      <c r="H26" s="949">
        <f t="shared" si="8"/>
        <v>34.949253289999994</v>
      </c>
      <c r="I26" s="949">
        <f t="shared" si="8"/>
        <v>34.195289459999998</v>
      </c>
      <c r="J26" s="949">
        <f t="shared" si="8"/>
        <v>34.112410340000004</v>
      </c>
      <c r="K26" s="949">
        <f t="shared" si="8"/>
        <v>33.003254670000004</v>
      </c>
      <c r="L26" s="949">
        <f t="shared" si="8"/>
        <v>32.935179070000004</v>
      </c>
      <c r="M26" s="950">
        <f t="shared" si="8"/>
        <v>33.653593629999996</v>
      </c>
      <c r="N26" s="950">
        <f t="shared" si="8"/>
        <v>33.562897219999996</v>
      </c>
      <c r="O26" s="950">
        <f t="shared" si="8"/>
        <v>33.429027179999999</v>
      </c>
      <c r="P26" s="946">
        <f t="shared" si="8"/>
        <v>33.397583079999997</v>
      </c>
      <c r="Q26" s="946">
        <f t="shared" si="8"/>
        <v>26.765639450000002</v>
      </c>
      <c r="R26" s="946">
        <f t="shared" si="8"/>
        <v>27.069642999999999</v>
      </c>
      <c r="S26" s="946">
        <f t="shared" si="8"/>
        <v>27.750060300000001</v>
      </c>
      <c r="T26" s="946">
        <f t="shared" si="8"/>
        <v>26.295967410000003</v>
      </c>
      <c r="U26" s="946">
        <f t="shared" si="8"/>
        <v>27.625993560000001</v>
      </c>
      <c r="V26" s="946">
        <f t="shared" si="8"/>
        <v>26.596338659999997</v>
      </c>
      <c r="W26" s="946">
        <v>28.200114370000001</v>
      </c>
      <c r="X26" s="946">
        <v>28.629406689999996</v>
      </c>
      <c r="Y26" s="950">
        <v>24.601923279999998</v>
      </c>
      <c r="Z26" s="946">
        <v>24.537879220000001</v>
      </c>
      <c r="AA26" s="950">
        <v>30.509105549999997</v>
      </c>
      <c r="AB26" s="950">
        <v>30.560438899999994</v>
      </c>
      <c r="AC26" s="950">
        <v>30.292525539999996</v>
      </c>
      <c r="AD26" s="950">
        <v>29.813427869999998</v>
      </c>
      <c r="AE26" s="950">
        <v>29.408834300000002</v>
      </c>
      <c r="AF26" s="950">
        <v>26.761851369999995</v>
      </c>
      <c r="AG26" s="950">
        <v>26.388094340000002</v>
      </c>
      <c r="AH26" s="950">
        <f>+AH24-AH25</f>
        <v>18.822073780000004</v>
      </c>
      <c r="AI26" s="950">
        <v>18.342294129999999</v>
      </c>
      <c r="AJ26" s="950">
        <f>+AJ24-AJ25</f>
        <v>17.826959599999995</v>
      </c>
      <c r="AK26" s="950">
        <f>+AK24-AK25</f>
        <v>24.794089730000003</v>
      </c>
      <c r="AL26" s="950">
        <v>24.848860520000006</v>
      </c>
      <c r="AM26" s="950">
        <f>+AM24-AM25</f>
        <v>54.994271670000003</v>
      </c>
      <c r="AN26" s="950">
        <f>+AN24-AN25</f>
        <v>26.027027630000003</v>
      </c>
      <c r="AO26" s="950">
        <f>+AO24-AO25</f>
        <v>24.745157800000001</v>
      </c>
      <c r="AP26" s="950">
        <f>+AP24-AP25</f>
        <v>24.56096076</v>
      </c>
      <c r="AQ26" s="950">
        <v>24.786273350000002</v>
      </c>
      <c r="AR26" s="950">
        <f>+AR24-AR25</f>
        <v>23.328891930000005</v>
      </c>
      <c r="AS26" s="950">
        <f>+AS24-AS25</f>
        <v>23.566872619999998</v>
      </c>
      <c r="AT26" s="950">
        <f>AT10-AT14</f>
        <v>24.142953540000008</v>
      </c>
      <c r="AU26" s="950">
        <v>18.219808260000008</v>
      </c>
      <c r="AV26" s="950">
        <v>18.447341800000018</v>
      </c>
      <c r="AW26" s="950">
        <v>5.2264391400000108</v>
      </c>
      <c r="AX26" s="950">
        <v>5.3423702100000128</v>
      </c>
      <c r="AY26" s="950">
        <v>4.8071516599999953</v>
      </c>
      <c r="AZ26" s="950">
        <v>3.8904039000000097</v>
      </c>
      <c r="BA26" s="950">
        <v>4.7375936199999984</v>
      </c>
      <c r="BB26" s="950">
        <v>9.2190666699999895</v>
      </c>
      <c r="BC26" s="950">
        <v>9.5259180600000022</v>
      </c>
      <c r="BD26" s="950">
        <f>+BD24-BD25</f>
        <v>9.1379888999999963</v>
      </c>
      <c r="BE26" s="950">
        <v>9.1088316299999974</v>
      </c>
      <c r="BF26" s="950">
        <v>8.2230135599999983</v>
      </c>
      <c r="BG26" s="950">
        <v>7.8181275499999927</v>
      </c>
      <c r="BH26" s="1005">
        <v>7.7994531599999917</v>
      </c>
      <c r="BI26" s="994">
        <v>7.7758088599999908</v>
      </c>
      <c r="BJ26" s="994">
        <v>7.3562990900000003</v>
      </c>
      <c r="BK26" s="994">
        <v>20.088922970000006</v>
      </c>
      <c r="BL26" s="994">
        <v>20.065869360000008</v>
      </c>
      <c r="BM26" s="994">
        <v>18.621453240000008</v>
      </c>
      <c r="BN26" s="994">
        <v>17.006873439999993</v>
      </c>
      <c r="BO26" s="994">
        <v>16.986020720000006</v>
      </c>
      <c r="BP26" s="994">
        <v>12.490971299999998</v>
      </c>
      <c r="BQ26" s="994">
        <v>10.88599954</v>
      </c>
      <c r="BR26" s="994">
        <v>10.874832910000002</v>
      </c>
      <c r="BS26" s="994">
        <v>10.811232659999995</v>
      </c>
      <c r="BT26" s="994">
        <v>9.1468912899999921</v>
      </c>
      <c r="BU26" s="994">
        <v>9.0843695099999948</v>
      </c>
      <c r="BV26" s="994">
        <v>9.2442579400000007</v>
      </c>
      <c r="BW26" s="994">
        <v>7.6405974200000024</v>
      </c>
      <c r="BX26" s="994">
        <v>7.630554759999999</v>
      </c>
      <c r="BY26" s="994">
        <v>7.6203782000000082</v>
      </c>
      <c r="BZ26" s="994">
        <v>6.0163159500000098</v>
      </c>
      <c r="CA26" s="994">
        <v>6.0060081900000029</v>
      </c>
      <c r="CB26" s="994">
        <v>5.9952881900000046</v>
      </c>
      <c r="CC26" s="994">
        <v>4.3908080699999985</v>
      </c>
      <c r="CD26" s="994">
        <v>4.3799917599999993</v>
      </c>
      <c r="CE26" s="994">
        <f t="shared" ref="CE26:CN26" si="9">+CE10-CE14</f>
        <v>4.219100990000002</v>
      </c>
      <c r="CF26" s="994">
        <f t="shared" si="9"/>
        <v>2.4631161800000014</v>
      </c>
      <c r="CG26" s="994">
        <f t="shared" si="9"/>
        <v>2.2994735799999977</v>
      </c>
      <c r="CH26" s="994">
        <f t="shared" si="9"/>
        <v>2.134756350000004</v>
      </c>
      <c r="CI26" s="994">
        <f t="shared" si="9"/>
        <v>0.37431719000000208</v>
      </c>
      <c r="CJ26" s="994">
        <f t="shared" si="9"/>
        <v>0.20632366000000157</v>
      </c>
      <c r="CK26" s="994">
        <f t="shared" si="9"/>
        <v>3.68354100000019E-2</v>
      </c>
      <c r="CL26" s="994">
        <f t="shared" si="9"/>
        <v>2.4779799999998575E-2</v>
      </c>
      <c r="CM26" s="994">
        <f t="shared" si="9"/>
        <v>1.2508680000000272E-2</v>
      </c>
      <c r="CN26" s="994">
        <f t="shared" si="9"/>
        <v>-4.4408920985006262E-16</v>
      </c>
      <c r="CO26" s="994">
        <f>+CO24-CO25</f>
        <v>0</v>
      </c>
      <c r="CP26" s="994">
        <f>+CP24-CP25</f>
        <v>1.0832103599999989</v>
      </c>
      <c r="CQ26" s="994">
        <f>+CQ24-CQ25</f>
        <v>1.0706433999999998</v>
      </c>
      <c r="CR26" s="994">
        <f>+CR24-CR25</f>
        <v>1.4279348300000001</v>
      </c>
      <c r="CS26" s="994">
        <f>+CS24-CS25</f>
        <v>1.40545188</v>
      </c>
      <c r="CT26" s="994">
        <v>1.3961127900000001</v>
      </c>
      <c r="CU26" s="994">
        <v>1.4045241799999999</v>
      </c>
      <c r="CV26" s="994">
        <v>1.3673369900000001</v>
      </c>
      <c r="CW26" s="994">
        <v>1.3434654699999999</v>
      </c>
      <c r="CX26" s="994">
        <v>1.3198857799999999</v>
      </c>
      <c r="CY26" s="994">
        <v>1.30932589</v>
      </c>
      <c r="CZ26" s="994">
        <v>1.29854862</v>
      </c>
      <c r="DA26" s="994">
        <v>1.2878230799999999</v>
      </c>
      <c r="DB26" s="994">
        <v>0.29819928000000001</v>
      </c>
      <c r="DC26" s="994">
        <v>0.28724509999999998</v>
      </c>
      <c r="DD26" s="994">
        <v>0.27626672000000002</v>
      </c>
      <c r="DE26" s="994">
        <v>0.56189650999999996</v>
      </c>
      <c r="DF26" s="994">
        <v>0.33405420000000002</v>
      </c>
      <c r="DG26" s="994">
        <v>0.32006973</v>
      </c>
      <c r="DH26" s="994">
        <v>0.34580386000000002</v>
      </c>
      <c r="DI26" s="994">
        <v>0.38996165999999999</v>
      </c>
      <c r="DJ26" s="994">
        <v>2.14483332</v>
      </c>
      <c r="DK26" s="994">
        <v>2.12721501</v>
      </c>
      <c r="DL26" s="994">
        <v>2.1092489699999999</v>
      </c>
      <c r="DM26" s="994">
        <v>0.53974164999999996</v>
      </c>
      <c r="DN26" s="994">
        <v>0.57043476999999998</v>
      </c>
      <c r="DO26" s="994">
        <v>0.59410585999999999</v>
      </c>
      <c r="DP26" s="994">
        <v>0.57133332999999997</v>
      </c>
      <c r="DQ26" s="994">
        <v>0.84803583999999999</v>
      </c>
      <c r="DR26" s="994">
        <v>0.83866773999999999</v>
      </c>
      <c r="DS26" s="994">
        <v>2.31744547</v>
      </c>
      <c r="DT26" s="994">
        <v>2.3581939300000001</v>
      </c>
      <c r="DU26" s="994">
        <v>2.3125574599999998</v>
      </c>
      <c r="DV26" s="994">
        <v>2.24923194</v>
      </c>
      <c r="DW26" s="994">
        <v>2.1871696200000001</v>
      </c>
      <c r="DX26" s="994">
        <v>2.85749531</v>
      </c>
      <c r="DY26" s="994">
        <v>4.8863379199999999</v>
      </c>
      <c r="DZ26" s="994">
        <v>4.8582586599999997</v>
      </c>
      <c r="EA26" s="994">
        <v>5.22872834</v>
      </c>
      <c r="EB26" s="994">
        <v>11.35355408</v>
      </c>
      <c r="EC26" s="994">
        <v>11.47270563</v>
      </c>
      <c r="ED26" s="994">
        <v>14.95549538</v>
      </c>
      <c r="EE26" s="994">
        <v>14.94411856</v>
      </c>
      <c r="EL26" s="400"/>
    </row>
    <row r="27" spans="1:142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L27" s="400"/>
    </row>
    <row r="28" spans="1:142" ht="19.8">
      <c r="A28" s="1513" t="s">
        <v>189</v>
      </c>
      <c r="B28" s="949">
        <v>202.89690722</v>
      </c>
      <c r="C28" s="949">
        <v>122.06082262</v>
      </c>
      <c r="D28" s="949">
        <v>122.01379801</v>
      </c>
      <c r="E28" s="949">
        <v>133.49290502000002</v>
      </c>
      <c r="F28" s="949">
        <v>33.415632160000001</v>
      </c>
      <c r="G28" s="949">
        <v>34.631376580000001</v>
      </c>
      <c r="H28" s="949">
        <v>36.696236839999997</v>
      </c>
      <c r="I28" s="949">
        <v>36.375384140000001</v>
      </c>
      <c r="J28" s="949">
        <v>36.022960480000002</v>
      </c>
      <c r="K28" s="949">
        <v>35.604460770000003</v>
      </c>
      <c r="L28" s="949">
        <v>35.327398340000002</v>
      </c>
      <c r="M28" s="946">
        <v>35.047598309999998</v>
      </c>
      <c r="N28" s="950">
        <v>34.558786089999998</v>
      </c>
      <c r="O28" s="950">
        <v>34.108385009999999</v>
      </c>
      <c r="P28" s="950">
        <v>34.08746198</v>
      </c>
      <c r="Q28" s="950">
        <v>27.069003500000001</v>
      </c>
      <c r="R28" s="950">
        <v>27.042250549999999</v>
      </c>
      <c r="S28" s="950">
        <v>27.383568500000003</v>
      </c>
      <c r="T28" s="950">
        <v>26.053087869999999</v>
      </c>
      <c r="U28" s="950">
        <v>27.043304730000003</v>
      </c>
      <c r="V28" s="950">
        <v>25.676000030000001</v>
      </c>
      <c r="W28" s="950">
        <v>26.568836820000001</v>
      </c>
      <c r="X28" s="950">
        <v>26.692254370000001</v>
      </c>
      <c r="Y28" s="946">
        <v>22.151104759999999</v>
      </c>
      <c r="Z28" s="950">
        <v>22.007424099999998</v>
      </c>
      <c r="AA28" s="950">
        <v>49.655092789999998</v>
      </c>
      <c r="AB28" s="946">
        <v>49.030803239999997</v>
      </c>
      <c r="AC28" s="946">
        <v>48.131590149999994</v>
      </c>
      <c r="AD28" s="946">
        <v>54.109282210000003</v>
      </c>
      <c r="AE28" s="946">
        <v>52.407863259999999</v>
      </c>
      <c r="AF28" s="946">
        <v>50.686190369999998</v>
      </c>
      <c r="AG28" s="946">
        <v>56.604038549999999</v>
      </c>
      <c r="AH28" s="946">
        <v>48.461007640000005</v>
      </c>
      <c r="AI28" s="946">
        <v>47.123910299999991</v>
      </c>
      <c r="AJ28" s="946">
        <v>45.777400350000001</v>
      </c>
      <c r="AK28" s="946">
        <v>49.789857480000002</v>
      </c>
      <c r="AL28" s="946">
        <v>48.929154150000002</v>
      </c>
      <c r="AM28" s="946">
        <v>47.805020820000003</v>
      </c>
      <c r="AN28" s="946">
        <v>46.960754520000002</v>
      </c>
      <c r="AO28" s="946">
        <v>48.722110290000003</v>
      </c>
      <c r="AP28" s="946">
        <v>46.578282980000004</v>
      </c>
      <c r="AQ28" s="946">
        <v>44.475148709999999</v>
      </c>
      <c r="AR28" s="946">
        <v>40.302461880000003</v>
      </c>
      <c r="AS28" s="946">
        <v>38.396333470000002</v>
      </c>
      <c r="AT28" s="946">
        <v>39.856745070000002</v>
      </c>
      <c r="AU28" s="946">
        <v>37.29468396</v>
      </c>
      <c r="AV28" s="946">
        <v>63.49387119</v>
      </c>
      <c r="AW28" s="946">
        <v>21.336589619999998</v>
      </c>
      <c r="AX28" s="946">
        <v>19.88609477</v>
      </c>
      <c r="AY28" s="946">
        <v>18.131269769999996</v>
      </c>
      <c r="AZ28" s="946">
        <v>17.284340650000004</v>
      </c>
      <c r="BA28" s="946">
        <v>17.109429429999999</v>
      </c>
      <c r="BB28" s="946">
        <v>16.664344249999999</v>
      </c>
      <c r="BC28" s="946">
        <v>16.353495289999998</v>
      </c>
      <c r="BD28" s="946">
        <v>15.86130153</v>
      </c>
      <c r="BE28" s="946">
        <v>15.157155590000002</v>
      </c>
      <c r="BF28" s="946">
        <v>14.912172380000001</v>
      </c>
      <c r="BG28" s="946">
        <v>14.175534890000002</v>
      </c>
      <c r="BH28" s="1004">
        <v>13.322288329999999</v>
      </c>
      <c r="BI28" s="993">
        <v>12.681079710000001</v>
      </c>
      <c r="BJ28" s="993">
        <v>12.45504369</v>
      </c>
      <c r="BK28" s="993">
        <v>11.420944349999999</v>
      </c>
      <c r="BL28" s="993">
        <v>10.082761410000002</v>
      </c>
      <c r="BM28" s="993">
        <v>9.5381816599999993</v>
      </c>
      <c r="BN28" s="993">
        <v>8.8457748300000016</v>
      </c>
      <c r="BO28" s="993">
        <v>8.4462069900000003</v>
      </c>
      <c r="BP28" s="993">
        <v>8.0198547700000002</v>
      </c>
      <c r="BQ28" s="993">
        <v>7.1025138500000002</v>
      </c>
      <c r="BR28" s="993">
        <v>6.6617630500000002</v>
      </c>
      <c r="BS28" s="993">
        <v>6.22823248</v>
      </c>
      <c r="BT28" s="993">
        <v>6.22823248</v>
      </c>
      <c r="BU28" s="993">
        <v>4.8596286600000003</v>
      </c>
      <c r="BV28" s="993">
        <v>4.3657753499999989</v>
      </c>
      <c r="BW28" s="993">
        <v>4.1669706199999998</v>
      </c>
      <c r="BX28" s="993">
        <v>5.6661121999999997</v>
      </c>
      <c r="BY28" s="993">
        <v>5.4291366700000001</v>
      </c>
      <c r="BZ28" s="993">
        <v>4.7754521199999997</v>
      </c>
      <c r="CA28" s="993">
        <v>4.52097499</v>
      </c>
      <c r="CB28" s="993">
        <v>3.4783706599999999</v>
      </c>
      <c r="CC28" s="993">
        <v>3.22118584</v>
      </c>
      <c r="CD28" s="993">
        <v>2.96107129</v>
      </c>
      <c r="CE28" s="993">
        <v>2.4719541899999999</v>
      </c>
      <c r="CF28" s="993">
        <v>2.3607892000000001</v>
      </c>
      <c r="CG28" s="993">
        <v>2.1740627199999998</v>
      </c>
      <c r="CH28" s="993">
        <v>1.8666713099999999</v>
      </c>
      <c r="CI28" s="993">
        <v>1.5712985899999998</v>
      </c>
      <c r="CJ28" s="993">
        <v>1.2734999300000001</v>
      </c>
      <c r="CK28" s="993">
        <v>0.96257899000000002</v>
      </c>
      <c r="CL28" s="993">
        <v>0.87977084000000005</v>
      </c>
      <c r="CM28" s="993">
        <v>0.77623766999999999</v>
      </c>
      <c r="CN28" s="993">
        <v>0.68220828</v>
      </c>
      <c r="CO28" s="993">
        <v>0.59987235999999999</v>
      </c>
      <c r="CP28" s="993">
        <v>1.59992344</v>
      </c>
      <c r="CQ28" s="993">
        <v>1.5033656099999999</v>
      </c>
      <c r="CR28" s="993">
        <v>1.4058212600000002</v>
      </c>
      <c r="CS28" s="993">
        <v>1.3072802800000001</v>
      </c>
      <c r="CT28" s="993">
        <v>1.2207444000000001</v>
      </c>
      <c r="CU28" s="993">
        <v>1.1507376199999999</v>
      </c>
      <c r="CV28" s="993">
        <v>1.0345778800000001</v>
      </c>
      <c r="CW28" s="993">
        <v>1.0200710500000001</v>
      </c>
      <c r="CX28" s="993">
        <v>1.00577476</v>
      </c>
      <c r="CY28" s="993">
        <v>1.0047038800000001</v>
      </c>
      <c r="CZ28" s="993">
        <v>1.00361426</v>
      </c>
      <c r="DA28" s="993">
        <v>1.0025055700000001</v>
      </c>
      <c r="DB28" s="993">
        <v>2.2499330000000001E-2</v>
      </c>
      <c r="DC28" s="993">
        <v>2.1351499999999999E-2</v>
      </c>
      <c r="DD28" s="993">
        <v>2.018358E-2</v>
      </c>
      <c r="DE28" s="993">
        <v>0.31563233000000002</v>
      </c>
      <c r="DF28" s="993">
        <v>9.7786070000000003E-2</v>
      </c>
      <c r="DG28" s="993">
        <v>9.3704560000000006E-2</v>
      </c>
      <c r="DH28" s="993">
        <v>0.12951267</v>
      </c>
      <c r="DI28" s="993">
        <v>0.18390775000000001</v>
      </c>
      <c r="DJ28" s="993">
        <v>1.9489888099999999</v>
      </c>
      <c r="DK28" s="993">
        <v>1.9416044400000001</v>
      </c>
      <c r="DL28" s="993">
        <v>1.93398409</v>
      </c>
      <c r="DM28" s="993">
        <v>0.37493037000000001</v>
      </c>
      <c r="DN28" s="993">
        <v>0.41610783000000001</v>
      </c>
      <c r="DO28" s="993">
        <v>0.45033317</v>
      </c>
      <c r="DP28" s="993">
        <v>0.43812135000000002</v>
      </c>
      <c r="DQ28" s="993">
        <v>0.72557806000000002</v>
      </c>
      <c r="DR28" s="993">
        <v>0.72697666999999999</v>
      </c>
      <c r="DS28" s="993">
        <v>2.2165680600000002</v>
      </c>
      <c r="DT28" s="993">
        <v>2.2682270899999999</v>
      </c>
      <c r="DU28" s="993">
        <v>2.2335939200000001</v>
      </c>
      <c r="DV28" s="993">
        <v>2.1813250700000002</v>
      </c>
      <c r="DW28" s="993">
        <v>2.1303931199999999</v>
      </c>
      <c r="DX28" s="993">
        <v>2.81192339</v>
      </c>
      <c r="DY28" s="993">
        <v>4.8520250200000001</v>
      </c>
      <c r="DZ28" s="993">
        <v>4.8353153400000002</v>
      </c>
      <c r="EA28" s="993">
        <v>5.2172151600000003</v>
      </c>
      <c r="EB28" s="993">
        <v>11.35355408</v>
      </c>
      <c r="EC28" s="993">
        <v>11.31970563</v>
      </c>
      <c r="ED28" s="993">
        <v>14.80249538</v>
      </c>
      <c r="EE28" s="993">
        <v>14.794921950000001</v>
      </c>
      <c r="EL28" s="400"/>
    </row>
    <row r="29" spans="1:142" ht="19.8">
      <c r="A29" s="1514" t="s">
        <v>2001</v>
      </c>
      <c r="B29" s="949">
        <v>109.82095099999999</v>
      </c>
      <c r="C29" s="949">
        <v>109.703183</v>
      </c>
      <c r="D29" s="949">
        <v>109.698183</v>
      </c>
      <c r="E29" s="949">
        <v>109.45785100000001</v>
      </c>
      <c r="F29" s="949">
        <v>9.4428509999999992</v>
      </c>
      <c r="G29" s="949">
        <v>9.4030509999999996</v>
      </c>
      <c r="H29" s="949">
        <v>11.38133</v>
      </c>
      <c r="I29" s="949">
        <v>11.054500000000001</v>
      </c>
      <c r="J29" s="949">
        <v>10.779500000000001</v>
      </c>
      <c r="K29" s="949">
        <v>10.5495</v>
      </c>
      <c r="L29" s="949">
        <v>10.339499999999999</v>
      </c>
      <c r="M29" s="950">
        <v>10.189500000000001</v>
      </c>
      <c r="N29" s="950">
        <v>9.7895000000000003</v>
      </c>
      <c r="O29" s="950">
        <v>9.4395000000000007</v>
      </c>
      <c r="P29" s="950">
        <v>9.4395000000000007</v>
      </c>
      <c r="Q29" s="950">
        <v>8.9894999999999996</v>
      </c>
      <c r="R29" s="950">
        <v>8.6230630000000001</v>
      </c>
      <c r="S29" s="950">
        <v>8.2730630000000005</v>
      </c>
      <c r="T29" s="950">
        <v>7.923063</v>
      </c>
      <c r="U29" s="950">
        <v>7.5730630000000003</v>
      </c>
      <c r="V29" s="950">
        <v>7.2230629999999998</v>
      </c>
      <c r="W29" s="950">
        <v>6.923063</v>
      </c>
      <c r="X29" s="950">
        <v>6.6044999999999998</v>
      </c>
      <c r="Y29" s="950">
        <v>6.2545000000000002</v>
      </c>
      <c r="Z29" s="950">
        <v>6.1544999999999996</v>
      </c>
      <c r="AA29" s="950">
        <v>30.742000000000001</v>
      </c>
      <c r="AB29" s="950">
        <v>30.042000000000002</v>
      </c>
      <c r="AC29" s="950">
        <v>29.22983417</v>
      </c>
      <c r="AD29" s="950">
        <v>35.875834170000005</v>
      </c>
      <c r="AE29" s="950">
        <v>34.556342969999996</v>
      </c>
      <c r="AF29" s="950">
        <v>33.275042390000003</v>
      </c>
      <c r="AG29" s="950">
        <v>39.542024390000002</v>
      </c>
      <c r="AH29" s="950">
        <v>34.480093250000003</v>
      </c>
      <c r="AI29" s="950">
        <v>33.616718299999995</v>
      </c>
      <c r="AJ29" s="950">
        <v>32.776145640000003</v>
      </c>
      <c r="AK29" s="950">
        <v>32.133548529999999</v>
      </c>
      <c r="AL29" s="950">
        <v>31.379427979999999</v>
      </c>
      <c r="AM29" s="950">
        <v>30.27057761</v>
      </c>
      <c r="AN29" s="950">
        <v>29.445901750000001</v>
      </c>
      <c r="AO29" s="950">
        <v>32.266423410000002</v>
      </c>
      <c r="AP29" s="950">
        <v>30.185632200000001</v>
      </c>
      <c r="AQ29" s="950">
        <v>28.086202829999998</v>
      </c>
      <c r="AR29" s="950">
        <v>26.39009274</v>
      </c>
      <c r="AS29" s="950">
        <v>24.508873170000001</v>
      </c>
      <c r="AT29" s="950">
        <v>25.982158550000001</v>
      </c>
      <c r="AU29" s="950">
        <v>23.432755660000002</v>
      </c>
      <c r="AV29" s="950">
        <v>49.645195659999999</v>
      </c>
      <c r="AW29" s="950">
        <v>20.803470699999998</v>
      </c>
      <c r="AX29" s="950">
        <v>19.3628599</v>
      </c>
      <c r="AY29" s="950">
        <v>17.685859899999997</v>
      </c>
      <c r="AZ29" s="950">
        <v>16.850378600000003</v>
      </c>
      <c r="BA29" s="950">
        <v>16.68432915</v>
      </c>
      <c r="BB29" s="950">
        <v>16.507377269999999</v>
      </c>
      <c r="BC29" s="950">
        <v>15.990351039999998</v>
      </c>
      <c r="BD29" s="950">
        <v>15.46105784</v>
      </c>
      <c r="BE29" s="950">
        <v>14.772166720000001</v>
      </c>
      <c r="BF29" s="950">
        <v>14.544175750000001</v>
      </c>
      <c r="BG29" s="950">
        <v>13.817369490000001</v>
      </c>
      <c r="BH29" s="1005">
        <v>12.9658409</v>
      </c>
      <c r="BI29" s="994">
        <v>12.33881822</v>
      </c>
      <c r="BJ29" s="994">
        <v>12.11870633</v>
      </c>
      <c r="BK29" s="994">
        <v>11.093061449999999</v>
      </c>
      <c r="BL29" s="994">
        <v>9.7670019600000018</v>
      </c>
      <c r="BM29" s="994">
        <v>9.2330063199999994</v>
      </c>
      <c r="BN29" s="994">
        <v>8.5514651400000012</v>
      </c>
      <c r="BO29" s="994">
        <v>8.16276929</v>
      </c>
      <c r="BP29" s="994">
        <v>7.74749994</v>
      </c>
      <c r="BQ29" s="994">
        <v>6.8413807800000006</v>
      </c>
      <c r="BR29" s="994">
        <v>6.4117966100000006</v>
      </c>
      <c r="BS29" s="994">
        <v>5.99002985</v>
      </c>
      <c r="BT29" s="994">
        <v>5.99002985</v>
      </c>
      <c r="BU29" s="994">
        <v>4.6495835799999998</v>
      </c>
      <c r="BV29" s="994">
        <v>4.1656025099999994</v>
      </c>
      <c r="BW29" s="994">
        <v>3.9767082999999999</v>
      </c>
      <c r="BX29" s="994">
        <v>5.48589254</v>
      </c>
      <c r="BY29" s="994">
        <v>5.2590935700000001</v>
      </c>
      <c r="BZ29" s="994">
        <v>4.6157212699999999</v>
      </c>
      <c r="CA29" s="994">
        <v>4.3715519</v>
      </c>
      <c r="CB29" s="994">
        <v>3.33966757</v>
      </c>
      <c r="CC29" s="994">
        <v>3.0932128699999999</v>
      </c>
      <c r="CD29" s="994">
        <v>2.84391463</v>
      </c>
      <c r="CE29" s="994">
        <v>2.3658670000000002</v>
      </c>
      <c r="CF29" s="994">
        <v>2.2658670000000001</v>
      </c>
      <c r="CG29" s="994">
        <v>2.0904543799999997</v>
      </c>
      <c r="CH29" s="994">
        <v>1.7945276799999998</v>
      </c>
      <c r="CI29" s="994">
        <v>1.5107084099999999</v>
      </c>
      <c r="CJ29" s="994">
        <v>1.2247352300000001</v>
      </c>
      <c r="CK29" s="994">
        <v>0.92574358000000001</v>
      </c>
      <c r="CL29" s="994">
        <v>0.85499104000000004</v>
      </c>
      <c r="CM29" s="994">
        <v>0.76372898999999994</v>
      </c>
      <c r="CN29" s="994">
        <v>0.68220828</v>
      </c>
      <c r="CO29" s="994">
        <v>0.59987235999999999</v>
      </c>
      <c r="CP29" s="994">
        <v>0.51671308000000005</v>
      </c>
      <c r="CQ29" s="994">
        <v>0.43272221</v>
      </c>
      <c r="CR29" s="994">
        <v>0.34789143</v>
      </c>
      <c r="CS29" s="994">
        <v>0.26221234000000004</v>
      </c>
      <c r="CT29" s="994">
        <v>0.17567646000000001</v>
      </c>
      <c r="CU29" s="994">
        <v>8.8275220000000001E-2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994">
        <v>0</v>
      </c>
      <c r="DE29" s="994">
        <v>0</v>
      </c>
      <c r="DF29" s="994">
        <v>0</v>
      </c>
      <c r="DG29" s="994">
        <v>0</v>
      </c>
      <c r="DH29" s="994">
        <v>0</v>
      </c>
      <c r="DI29" s="994">
        <v>0</v>
      </c>
      <c r="DJ29" s="994">
        <v>0</v>
      </c>
      <c r="DK29" s="994">
        <v>0</v>
      </c>
      <c r="DL29" s="994">
        <v>0</v>
      </c>
      <c r="DM29" s="994">
        <v>0</v>
      </c>
      <c r="DN29" s="994">
        <v>0</v>
      </c>
      <c r="DO29" s="994">
        <v>0</v>
      </c>
      <c r="DP29" s="994">
        <v>0</v>
      </c>
      <c r="DQ29" s="994">
        <v>0</v>
      </c>
      <c r="DR29" s="994">
        <v>0</v>
      </c>
      <c r="DS29" s="994">
        <v>0</v>
      </c>
      <c r="DT29" s="994">
        <v>0</v>
      </c>
      <c r="DU29" s="994">
        <v>0</v>
      </c>
      <c r="DV29" s="994">
        <v>0</v>
      </c>
      <c r="DW29" s="994">
        <v>0</v>
      </c>
      <c r="DX29" s="994">
        <v>0</v>
      </c>
      <c r="DY29" s="994">
        <v>0</v>
      </c>
      <c r="DZ29" s="994">
        <v>0</v>
      </c>
      <c r="EA29" s="994">
        <v>0</v>
      </c>
      <c r="EB29" s="994">
        <v>0</v>
      </c>
      <c r="EC29" s="994">
        <v>0</v>
      </c>
      <c r="ED29" s="994">
        <v>0</v>
      </c>
      <c r="EE29" s="994">
        <v>0</v>
      </c>
      <c r="EL29" s="400"/>
    </row>
    <row r="30" spans="1:142" ht="19.8">
      <c r="A30" s="1515" t="s">
        <v>2002</v>
      </c>
      <c r="B30" s="945">
        <f>+B28-B29</f>
        <v>93.075956220000009</v>
      </c>
      <c r="C30" s="945">
        <f t="shared" ref="C30:V30" si="10">+C28-C29</f>
        <v>12.35763962</v>
      </c>
      <c r="D30" s="945">
        <f t="shared" si="10"/>
        <v>12.315615010000002</v>
      </c>
      <c r="E30" s="945">
        <f t="shared" si="10"/>
        <v>24.035054020000018</v>
      </c>
      <c r="F30" s="945">
        <f t="shared" si="10"/>
        <v>23.972781160000004</v>
      </c>
      <c r="G30" s="945">
        <f t="shared" si="10"/>
        <v>25.228325580000003</v>
      </c>
      <c r="H30" s="945">
        <f t="shared" si="10"/>
        <v>25.314906839999999</v>
      </c>
      <c r="I30" s="945">
        <f t="shared" si="10"/>
        <v>25.32088414</v>
      </c>
      <c r="J30" s="945">
        <f t="shared" si="10"/>
        <v>25.243460480000003</v>
      </c>
      <c r="K30" s="945">
        <f t="shared" si="10"/>
        <v>25.054960770000001</v>
      </c>
      <c r="L30" s="945">
        <f t="shared" si="10"/>
        <v>24.987898340000001</v>
      </c>
      <c r="M30" s="950">
        <f t="shared" si="10"/>
        <v>24.858098309999995</v>
      </c>
      <c r="N30" s="946">
        <f t="shared" si="10"/>
        <v>24.769286089999998</v>
      </c>
      <c r="O30" s="946">
        <f t="shared" si="10"/>
        <v>24.668885009999997</v>
      </c>
      <c r="P30" s="946">
        <f t="shared" si="10"/>
        <v>24.647961979999998</v>
      </c>
      <c r="Q30" s="946">
        <f t="shared" si="10"/>
        <v>18.079503500000001</v>
      </c>
      <c r="R30" s="946">
        <f t="shared" si="10"/>
        <v>18.419187549999997</v>
      </c>
      <c r="S30" s="946">
        <f t="shared" si="10"/>
        <v>19.110505500000002</v>
      </c>
      <c r="T30" s="946">
        <f t="shared" si="10"/>
        <v>18.13002487</v>
      </c>
      <c r="U30" s="946">
        <f t="shared" si="10"/>
        <v>19.470241730000001</v>
      </c>
      <c r="V30" s="946">
        <f t="shared" si="10"/>
        <v>18.452937030000001</v>
      </c>
      <c r="W30" s="946">
        <v>19.645773820000002</v>
      </c>
      <c r="X30" s="946">
        <v>20.087754369999999</v>
      </c>
      <c r="Y30" s="950">
        <v>15.896604759999999</v>
      </c>
      <c r="Z30" s="946">
        <v>15.852924099999999</v>
      </c>
      <c r="AA30" s="946">
        <v>18.913092789999997</v>
      </c>
      <c r="AB30" s="950">
        <v>18.988803239999996</v>
      </c>
      <c r="AC30" s="950">
        <v>18.901755979999994</v>
      </c>
      <c r="AD30" s="950">
        <v>18.233448039999999</v>
      </c>
      <c r="AE30" s="950">
        <v>17.851520290000003</v>
      </c>
      <c r="AF30" s="950">
        <v>17.411147979999996</v>
      </c>
      <c r="AG30" s="950">
        <v>17.062014159999997</v>
      </c>
      <c r="AH30" s="950">
        <f>+AH28-AH29</f>
        <v>13.980914390000002</v>
      </c>
      <c r="AI30" s="950">
        <v>13.507191999999996</v>
      </c>
      <c r="AJ30" s="950">
        <f>+AJ28-AJ29</f>
        <v>13.001254709999998</v>
      </c>
      <c r="AK30" s="950">
        <f>+AK28-AK29</f>
        <v>17.656308950000003</v>
      </c>
      <c r="AL30" s="950">
        <v>17.549726170000003</v>
      </c>
      <c r="AM30" s="950">
        <f>+AM28-AM29</f>
        <v>17.534443210000003</v>
      </c>
      <c r="AN30" s="950">
        <f>+AN28-AN29</f>
        <v>17.514852770000001</v>
      </c>
      <c r="AO30" s="950">
        <f>+AO28-AO29</f>
        <v>16.455686880000002</v>
      </c>
      <c r="AP30" s="950">
        <f>+AP28-AP29</f>
        <v>16.392650780000004</v>
      </c>
      <c r="AQ30" s="950">
        <v>16.388945880000001</v>
      </c>
      <c r="AR30" s="950">
        <f>+AR28-AR29</f>
        <v>13.912369140000003</v>
      </c>
      <c r="AS30" s="950">
        <f>+AS28-AS29</f>
        <v>13.887460300000001</v>
      </c>
      <c r="AT30" s="950">
        <f>+AT28-AT29</f>
        <v>13.874586520000001</v>
      </c>
      <c r="AU30" s="950">
        <v>13.861928299999999</v>
      </c>
      <c r="AV30" s="950">
        <v>13.848675530000001</v>
      </c>
      <c r="AW30" s="950">
        <v>0.53311891999999972</v>
      </c>
      <c r="AX30" s="950">
        <v>0.52323486999999957</v>
      </c>
      <c r="AY30" s="950">
        <v>0.44540986999999888</v>
      </c>
      <c r="AZ30" s="950">
        <v>0.43396205000000165</v>
      </c>
      <c r="BA30" s="950">
        <v>0.42510027999999878</v>
      </c>
      <c r="BB30" s="950">
        <v>0.15696697999999998</v>
      </c>
      <c r="BC30" s="950">
        <v>0.3631442499999995</v>
      </c>
      <c r="BD30" s="950">
        <f>+BD28-BD29</f>
        <v>0.40024368999999993</v>
      </c>
      <c r="BE30" s="950">
        <v>0.38498887000000082</v>
      </c>
      <c r="BF30" s="950">
        <v>0.36799663000000038</v>
      </c>
      <c r="BG30" s="950">
        <v>0.35816540000000074</v>
      </c>
      <c r="BH30" s="1005">
        <v>0.35644742999999934</v>
      </c>
      <c r="BI30" s="994">
        <v>0.34226149000000028</v>
      </c>
      <c r="BJ30" s="994">
        <v>0.33633735999999992</v>
      </c>
      <c r="BK30" s="994">
        <v>0.32788290000000053</v>
      </c>
      <c r="BL30" s="994">
        <v>0.31575944999999983</v>
      </c>
      <c r="BM30" s="994">
        <v>0.30517533999999991</v>
      </c>
      <c r="BN30" s="994">
        <v>0.2943096900000004</v>
      </c>
      <c r="BO30" s="994">
        <v>0.28343770000000035</v>
      </c>
      <c r="BP30" s="994">
        <v>0.27235483000000027</v>
      </c>
      <c r="BQ30" s="994">
        <v>0.26113306999999963</v>
      </c>
      <c r="BR30" s="994">
        <v>0.24996643999999968</v>
      </c>
      <c r="BS30" s="994">
        <v>0.23820262999999997</v>
      </c>
      <c r="BT30" s="994">
        <v>0.23820262999999997</v>
      </c>
      <c r="BU30" s="994">
        <v>0.21004508000000044</v>
      </c>
      <c r="BV30" s="994">
        <v>0.20017283999999957</v>
      </c>
      <c r="BW30" s="994">
        <v>0.19026231999999998</v>
      </c>
      <c r="BX30" s="994">
        <v>0.18021965999999967</v>
      </c>
      <c r="BY30" s="994">
        <v>0.1700431</v>
      </c>
      <c r="BZ30" s="994">
        <v>0.15973084999999987</v>
      </c>
      <c r="CA30" s="994">
        <v>0.14942308999999998</v>
      </c>
      <c r="CB30" s="994">
        <v>0.13870308999999992</v>
      </c>
      <c r="CC30" s="994">
        <v>0.12797297000000007</v>
      </c>
      <c r="CD30" s="994">
        <v>0.11715666000000002</v>
      </c>
      <c r="CE30" s="994">
        <f t="shared" ref="CE30:CO30" si="11">+CE28-CE29</f>
        <v>0.10608718999999978</v>
      </c>
      <c r="CF30" s="994">
        <f t="shared" si="11"/>
        <v>9.4922200000000068E-2</v>
      </c>
      <c r="CG30" s="994">
        <f t="shared" si="11"/>
        <v>8.3608340000000059E-2</v>
      </c>
      <c r="CH30" s="994">
        <f t="shared" si="11"/>
        <v>7.2143630000000014E-2</v>
      </c>
      <c r="CI30" s="994">
        <f t="shared" si="11"/>
        <v>6.0590179999999938E-2</v>
      </c>
      <c r="CJ30" s="994">
        <f t="shared" si="11"/>
        <v>4.8764699999999994E-2</v>
      </c>
      <c r="CK30" s="994">
        <f t="shared" si="11"/>
        <v>3.6835410000000013E-2</v>
      </c>
      <c r="CL30" s="994">
        <f t="shared" si="11"/>
        <v>2.4779800000000018E-2</v>
      </c>
      <c r="CM30" s="994">
        <f t="shared" si="11"/>
        <v>1.250868000000005E-2</v>
      </c>
      <c r="CN30" s="994">
        <f t="shared" si="11"/>
        <v>0</v>
      </c>
      <c r="CO30" s="994">
        <f t="shared" si="11"/>
        <v>0</v>
      </c>
      <c r="CP30" s="994">
        <f>+CP28-CP29</f>
        <v>1.0832103599999998</v>
      </c>
      <c r="CQ30" s="994">
        <f>+CQ28-CQ29</f>
        <v>1.0706433999999998</v>
      </c>
      <c r="CR30" s="994">
        <f>+CR28-CR29</f>
        <v>1.0579298300000002</v>
      </c>
      <c r="CS30" s="994">
        <f>+CS28-CS29</f>
        <v>1.04506794</v>
      </c>
      <c r="CT30" s="994">
        <v>1.04506794</v>
      </c>
      <c r="CU30" s="994">
        <v>1.0624624</v>
      </c>
      <c r="CV30" s="994">
        <v>1.0345778800000001</v>
      </c>
      <c r="CW30" s="994">
        <v>1.0200710500000001</v>
      </c>
      <c r="CX30" s="994">
        <v>1.00577476</v>
      </c>
      <c r="CY30" s="994">
        <v>1.0047038800000001</v>
      </c>
      <c r="CZ30" s="994">
        <v>1.00361426</v>
      </c>
      <c r="DA30" s="994">
        <v>1.0025055700000001</v>
      </c>
      <c r="DB30" s="994">
        <v>2.2499330000000001E-2</v>
      </c>
      <c r="DC30" s="994">
        <v>2.1351499999999999E-2</v>
      </c>
      <c r="DD30" s="994">
        <v>2.018358E-2</v>
      </c>
      <c r="DE30" s="994">
        <v>0.31563233000000002</v>
      </c>
      <c r="DF30" s="994">
        <v>9.7786070000000003E-2</v>
      </c>
      <c r="DG30" s="994">
        <v>9.3704560000000006E-2</v>
      </c>
      <c r="DH30" s="994">
        <v>0.12951267</v>
      </c>
      <c r="DI30" s="994">
        <v>0.18390775000000001</v>
      </c>
      <c r="DJ30" s="994">
        <v>1.9489888099999999</v>
      </c>
      <c r="DK30" s="994">
        <v>1.9416044400000001</v>
      </c>
      <c r="DL30" s="994">
        <v>1.93398409</v>
      </c>
      <c r="DM30" s="994">
        <v>0.37493037000000001</v>
      </c>
      <c r="DN30" s="994">
        <v>0.41610783000000001</v>
      </c>
      <c r="DO30" s="994">
        <v>0.45033317</v>
      </c>
      <c r="DP30" s="994">
        <v>0.43812135000000002</v>
      </c>
      <c r="DQ30" s="994">
        <v>0.72557806000000002</v>
      </c>
      <c r="DR30" s="994">
        <v>0.72697666999999999</v>
      </c>
      <c r="DS30" s="994">
        <v>2.2165680600000002</v>
      </c>
      <c r="DT30" s="994">
        <v>2.2682270899999999</v>
      </c>
      <c r="DU30" s="994">
        <v>2.2335939200000001</v>
      </c>
      <c r="DV30" s="994">
        <v>2.1813250700000002</v>
      </c>
      <c r="DW30" s="994">
        <v>2.1303931199999999</v>
      </c>
      <c r="DX30" s="994">
        <v>2.81192339</v>
      </c>
      <c r="DY30" s="994">
        <v>4.8520250200000001</v>
      </c>
      <c r="DZ30" s="994">
        <v>4.8353153400000002</v>
      </c>
      <c r="EA30" s="994">
        <v>5.2172151600000003</v>
      </c>
      <c r="EB30" s="994">
        <v>11.35355408</v>
      </c>
      <c r="EC30" s="994">
        <v>11.31970563</v>
      </c>
      <c r="ED30" s="994">
        <v>14.80249538</v>
      </c>
      <c r="EE30" s="994">
        <v>14.794921950000001</v>
      </c>
      <c r="EL30" s="400"/>
    </row>
    <row r="31" spans="1:142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L31" s="400"/>
    </row>
    <row r="32" spans="1:142" ht="19.8">
      <c r="A32" s="1513" t="s">
        <v>2822</v>
      </c>
      <c r="B32" s="945">
        <v>14.696745659999999</v>
      </c>
      <c r="C32" s="945">
        <v>9.9616177799999992</v>
      </c>
      <c r="D32" s="945">
        <v>9.9378249099999998</v>
      </c>
      <c r="E32" s="945">
        <v>9.8865622799999997</v>
      </c>
      <c r="F32" s="945">
        <v>9.7006492299999998</v>
      </c>
      <c r="G32" s="945">
        <v>9.6591811099999987</v>
      </c>
      <c r="H32" s="945">
        <v>9.6343464499999989</v>
      </c>
      <c r="I32" s="945">
        <v>8.874405320000001</v>
      </c>
      <c r="J32" s="945">
        <v>8.868949859999999</v>
      </c>
      <c r="K32" s="945">
        <v>7.9482939000000004</v>
      </c>
      <c r="L32" s="945">
        <v>7.9472807300000001</v>
      </c>
      <c r="M32" s="946">
        <v>8.7954953200000006</v>
      </c>
      <c r="N32" s="946">
        <v>8.7936111300000004</v>
      </c>
      <c r="O32" s="946">
        <v>8.76014217</v>
      </c>
      <c r="P32" s="946">
        <v>8.7496210999999988</v>
      </c>
      <c r="Q32" s="946">
        <v>8.6861359499999988</v>
      </c>
      <c r="R32" s="946">
        <v>8.650455449999999</v>
      </c>
      <c r="S32" s="946">
        <v>8.6395548000000009</v>
      </c>
      <c r="T32" s="946">
        <v>8.1659425399999996</v>
      </c>
      <c r="U32" s="946">
        <v>8.1557518299999998</v>
      </c>
      <c r="V32" s="946">
        <v>8.1434016299999996</v>
      </c>
      <c r="W32" s="946">
        <v>8.5543405500000009</v>
      </c>
      <c r="X32" s="946">
        <v>8.5416523200000007</v>
      </c>
      <c r="Y32" s="946">
        <v>8.7053185199999987</v>
      </c>
      <c r="Z32" s="946">
        <v>8.6849551199999997</v>
      </c>
      <c r="AA32" s="946">
        <v>11.596012759999999</v>
      </c>
      <c r="AB32" s="946">
        <v>11.57163566</v>
      </c>
      <c r="AC32" s="946">
        <v>11.390769560000001</v>
      </c>
      <c r="AD32" s="946">
        <v>11.579979829999999</v>
      </c>
      <c r="AE32" s="946">
        <v>11.557314009999999</v>
      </c>
      <c r="AF32" s="946">
        <v>9.3507033900000014</v>
      </c>
      <c r="AG32" s="946">
        <v>9.3260801799999999</v>
      </c>
      <c r="AH32" s="946">
        <v>4.8411593899999996</v>
      </c>
      <c r="AI32" s="946">
        <v>4.8351021300000001</v>
      </c>
      <c r="AJ32" s="946">
        <v>4.8257048899999999</v>
      </c>
      <c r="AK32" s="946">
        <v>7.1377807799999999</v>
      </c>
      <c r="AL32" s="946">
        <v>7.2991343499999992</v>
      </c>
      <c r="AM32" s="946">
        <v>7.10702356</v>
      </c>
      <c r="AN32" s="946">
        <v>8.51217486</v>
      </c>
      <c r="AO32" s="946">
        <v>8.2894709199999994</v>
      </c>
      <c r="AP32" s="946">
        <v>8.1683099800000001</v>
      </c>
      <c r="AQ32" s="946">
        <v>8.3973274700000005</v>
      </c>
      <c r="AR32" s="946">
        <v>9.4165227900000001</v>
      </c>
      <c r="AS32" s="946">
        <v>9.6794123199999991</v>
      </c>
      <c r="AT32" s="946">
        <f>AT24-AT28</f>
        <v>10.268367019999999</v>
      </c>
      <c r="AU32" s="946">
        <v>4.3578799600000053</v>
      </c>
      <c r="AV32" s="946">
        <v>4.5986662700000167</v>
      </c>
      <c r="AW32" s="946">
        <v>35.556621220000011</v>
      </c>
      <c r="AX32" s="946">
        <v>39.718600340000009</v>
      </c>
      <c r="AY32" s="946">
        <v>38.350616789999997</v>
      </c>
      <c r="AZ32" s="946">
        <v>51.690175710000005</v>
      </c>
      <c r="BA32" s="946">
        <v>53.568055430000008</v>
      </c>
      <c r="BB32" s="946">
        <v>58.303196119999996</v>
      </c>
      <c r="BC32" s="946">
        <v>51.087733370000002</v>
      </c>
      <c r="BD32" s="946">
        <v>48.541040189999997</v>
      </c>
      <c r="BE32" s="946">
        <v>48.529477869999994</v>
      </c>
      <c r="BF32" s="946">
        <v>47.641930989999999</v>
      </c>
      <c r="BG32" s="946">
        <v>47.246876209999996</v>
      </c>
      <c r="BH32" s="1004">
        <v>47.227579659999989</v>
      </c>
      <c r="BI32" s="993">
        <v>46.707067109999997</v>
      </c>
      <c r="BJ32" s="993">
        <v>37.268398849999997</v>
      </c>
      <c r="BK32" s="993">
        <v>49.666770690000007</v>
      </c>
      <c r="BL32" s="993">
        <v>49.311189180000007</v>
      </c>
      <c r="BM32" s="993">
        <v>47.253161640000009</v>
      </c>
      <c r="BN32" s="993">
        <v>45.02772422999999</v>
      </c>
      <c r="BO32" s="993">
        <v>44.398893520000001</v>
      </c>
      <c r="BP32" s="993">
        <v>39.288359939999992</v>
      </c>
      <c r="BQ32" s="993">
        <v>49.221752350000003</v>
      </c>
      <c r="BR32" s="993">
        <v>44.942343430000008</v>
      </c>
      <c r="BS32" s="993">
        <v>44.255666579999989</v>
      </c>
      <c r="BT32" s="993">
        <v>41.535094149999985</v>
      </c>
      <c r="BU32" s="993">
        <v>41.293113139999996</v>
      </c>
      <c r="BV32" s="993">
        <v>40.824338099999999</v>
      </c>
      <c r="BW32" s="993">
        <v>38.592047840000006</v>
      </c>
      <c r="BX32" s="993">
        <v>37.953569599999994</v>
      </c>
      <c r="BY32" s="993">
        <v>37.30465611000001</v>
      </c>
      <c r="BZ32" s="993">
        <v>35.065313970000012</v>
      </c>
      <c r="CA32" s="993">
        <v>34.420882760000005</v>
      </c>
      <c r="CB32" s="993">
        <v>33.767780070000001</v>
      </c>
      <c r="CC32" s="993">
        <v>31.521960849999996</v>
      </c>
      <c r="CD32" s="993">
        <v>30.868636549999998</v>
      </c>
      <c r="CE32" s="993">
        <v>30.061507440000003</v>
      </c>
      <c r="CF32" s="993">
        <v>27.660242090000001</v>
      </c>
      <c r="CG32" s="993">
        <v>26.846896109999999</v>
      </c>
      <c r="CH32" s="993">
        <v>26.033603530000001</v>
      </c>
      <c r="CI32" s="993">
        <v>23.617427409999998</v>
      </c>
      <c r="CJ32" s="993">
        <v>22.797682009999999</v>
      </c>
      <c r="CK32" s="993">
        <v>21.96454159</v>
      </c>
      <c r="CL32" s="993">
        <v>21.298469129999997</v>
      </c>
      <c r="CM32" s="993">
        <v>20.61883121</v>
      </c>
      <c r="CN32" s="993">
        <v>19.45565379</v>
      </c>
      <c r="CO32" s="993">
        <v>10.76622952</v>
      </c>
      <c r="CP32" s="993">
        <v>10.08307643</v>
      </c>
      <c r="CQ32" s="993">
        <v>0</v>
      </c>
      <c r="CR32" s="993">
        <v>0.37000499999999997</v>
      </c>
      <c r="CS32" s="993">
        <v>0.36038394000000001</v>
      </c>
      <c r="CT32" s="993">
        <v>255.35104484999999</v>
      </c>
      <c r="CU32" s="993">
        <v>255.34206177999999</v>
      </c>
      <c r="CV32" s="993">
        <v>255.33275911000001</v>
      </c>
      <c r="CW32" s="993">
        <v>255.32339442</v>
      </c>
      <c r="CX32" s="993">
        <v>255.31411102000001</v>
      </c>
      <c r="CY32" s="993">
        <v>255.30462201</v>
      </c>
      <c r="CZ32" s="993">
        <v>255.29493436000001</v>
      </c>
      <c r="DA32" s="993">
        <v>255.28531751</v>
      </c>
      <c r="DB32" s="993">
        <v>255.27569994999999</v>
      </c>
      <c r="DC32" s="993">
        <v>255.2658936</v>
      </c>
      <c r="DD32" s="993">
        <v>255.25608313999999</v>
      </c>
      <c r="DE32" s="993">
        <v>255.24626418</v>
      </c>
      <c r="DF32" s="993">
        <v>255.23626813000001</v>
      </c>
      <c r="DG32" s="993">
        <v>255.22636517000001</v>
      </c>
      <c r="DH32" s="993">
        <v>255.21629118999999</v>
      </c>
      <c r="DI32" s="993">
        <v>255.20605391000001</v>
      </c>
      <c r="DJ32" s="993">
        <v>255.19584451</v>
      </c>
      <c r="DK32" s="993">
        <v>255.18561056999999</v>
      </c>
      <c r="DL32" s="993">
        <v>212.67526487999999</v>
      </c>
      <c r="DM32" s="993">
        <v>212.66481128000001</v>
      </c>
      <c r="DN32" s="993">
        <v>237.33832694</v>
      </c>
      <c r="DO32" s="993">
        <v>230.20621788</v>
      </c>
      <c r="DP32" s="993">
        <v>240.40656347000001</v>
      </c>
      <c r="DQ32" s="993">
        <v>228.4424362</v>
      </c>
      <c r="DR32" s="993">
        <v>185.51530602</v>
      </c>
      <c r="DS32" s="993">
        <v>183.24245321999999</v>
      </c>
      <c r="DT32" s="993">
        <v>199.24737508000001</v>
      </c>
      <c r="DU32" s="993">
        <v>201.46974270000001</v>
      </c>
      <c r="DV32" s="993">
        <v>229.26374390999999</v>
      </c>
      <c r="DW32" s="993">
        <v>255.07333095000001</v>
      </c>
      <c r="DX32" s="993">
        <v>245.12808129999999</v>
      </c>
      <c r="DY32" s="993">
        <v>268.89124027000003</v>
      </c>
      <c r="DZ32" s="993">
        <v>307.87831500999999</v>
      </c>
      <c r="EA32" s="993">
        <v>328.85332727000002</v>
      </c>
      <c r="EB32" s="993">
        <v>328.84181409000001</v>
      </c>
      <c r="EC32" s="993">
        <v>360.15898009</v>
      </c>
      <c r="ED32" s="993">
        <v>310.00898009000002</v>
      </c>
      <c r="EE32" s="993">
        <v>318.05261229000001</v>
      </c>
      <c r="EL32" s="400"/>
    </row>
    <row r="33" spans="1:142" ht="19.8">
      <c r="A33" s="1514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30.863301</v>
      </c>
      <c r="AX33" s="950">
        <v>34.899464999999992</v>
      </c>
      <c r="AY33" s="950">
        <v>33.988875</v>
      </c>
      <c r="AZ33" s="950">
        <v>48.233733860000001</v>
      </c>
      <c r="BA33" s="950">
        <v>49.255562090000005</v>
      </c>
      <c r="BB33" s="950">
        <v>49.241096429999999</v>
      </c>
      <c r="BC33" s="950">
        <v>41.924959560000005</v>
      </c>
      <c r="BD33" s="950">
        <v>39.803294979999997</v>
      </c>
      <c r="BE33" s="950">
        <v>39.805635109999997</v>
      </c>
      <c r="BF33" s="950">
        <v>39.786914060000001</v>
      </c>
      <c r="BG33" s="950">
        <v>39.786914060000001</v>
      </c>
      <c r="BH33" s="1005">
        <v>39.784573929999993</v>
      </c>
      <c r="BI33" s="994">
        <v>39.273519740000005</v>
      </c>
      <c r="BJ33" s="994">
        <v>30.248437119999998</v>
      </c>
      <c r="BK33" s="994">
        <v>29.90573062</v>
      </c>
      <c r="BL33" s="994">
        <v>29.56107927</v>
      </c>
      <c r="BM33" s="994">
        <v>28.936883739999999</v>
      </c>
      <c r="BN33" s="994">
        <v>28.315160479999999</v>
      </c>
      <c r="BO33" s="994">
        <v>27.696310499999996</v>
      </c>
      <c r="BP33" s="994">
        <v>27.069743469999995</v>
      </c>
      <c r="BQ33" s="994">
        <v>38.596885880000002</v>
      </c>
      <c r="BR33" s="994">
        <v>34.31747696</v>
      </c>
      <c r="BS33" s="994">
        <v>33.682636549999998</v>
      </c>
      <c r="BT33" s="994">
        <v>32.626405489999996</v>
      </c>
      <c r="BU33" s="994">
        <v>32.418788710000001</v>
      </c>
      <c r="BV33" s="994">
        <v>31.780253000000002</v>
      </c>
      <c r="BW33" s="994">
        <v>31.141712740000003</v>
      </c>
      <c r="BX33" s="994">
        <v>30.503234499999998</v>
      </c>
      <c r="BY33" s="994">
        <v>29.854321010000003</v>
      </c>
      <c r="BZ33" s="994">
        <v>29.208728870000002</v>
      </c>
      <c r="CA33" s="994">
        <v>28.564297660000001</v>
      </c>
      <c r="CB33" s="994">
        <v>27.91119497</v>
      </c>
      <c r="CC33" s="994">
        <v>27.259125749999999</v>
      </c>
      <c r="CD33" s="994">
        <v>26.605801449999998</v>
      </c>
      <c r="CE33" s="994">
        <v>25.948493640000002</v>
      </c>
      <c r="CF33" s="994">
        <v>25.29204811</v>
      </c>
      <c r="CG33" s="994">
        <v>24.63103087</v>
      </c>
      <c r="CH33" s="994">
        <v>23.97099081</v>
      </c>
      <c r="CI33" s="994">
        <v>23.303700399999997</v>
      </c>
      <c r="CJ33" s="994">
        <v>22.64012305</v>
      </c>
      <c r="CK33" s="994">
        <v>21.96454159</v>
      </c>
      <c r="CL33" s="994">
        <v>21.298469129999997</v>
      </c>
      <c r="CM33" s="994">
        <v>20.61883121</v>
      </c>
      <c r="CN33" s="994">
        <v>19.45565379</v>
      </c>
      <c r="CO33" s="994">
        <v>10.76622952</v>
      </c>
      <c r="CP33" s="994">
        <v>10.08307643</v>
      </c>
      <c r="CQ33" s="994">
        <v>0</v>
      </c>
      <c r="CR33" s="994">
        <v>0</v>
      </c>
      <c r="CS33" s="994">
        <v>0</v>
      </c>
      <c r="CT33" s="994">
        <v>255</v>
      </c>
      <c r="CU33" s="994">
        <v>255</v>
      </c>
      <c r="CV33" s="994">
        <v>255</v>
      </c>
      <c r="CW33" s="994">
        <v>255</v>
      </c>
      <c r="CX33" s="994">
        <v>255</v>
      </c>
      <c r="CY33" s="994">
        <v>255</v>
      </c>
      <c r="CZ33" s="994">
        <v>255</v>
      </c>
      <c r="DA33" s="994">
        <v>255</v>
      </c>
      <c r="DB33" s="994">
        <v>255</v>
      </c>
      <c r="DC33" s="994">
        <v>255</v>
      </c>
      <c r="DD33" s="994">
        <v>255</v>
      </c>
      <c r="DE33" s="994">
        <v>255</v>
      </c>
      <c r="DF33" s="994">
        <v>255</v>
      </c>
      <c r="DG33" s="994">
        <v>255</v>
      </c>
      <c r="DH33" s="994">
        <v>255</v>
      </c>
      <c r="DI33" s="994">
        <v>255</v>
      </c>
      <c r="DJ33" s="994">
        <v>255</v>
      </c>
      <c r="DK33" s="994">
        <v>255</v>
      </c>
      <c r="DL33" s="994">
        <v>212.5</v>
      </c>
      <c r="DM33" s="994">
        <v>212.5</v>
      </c>
      <c r="DN33" s="994">
        <v>237.184</v>
      </c>
      <c r="DO33" s="994">
        <v>230.06244519000001</v>
      </c>
      <c r="DP33" s="994">
        <v>240.27335149000001</v>
      </c>
      <c r="DQ33" s="994">
        <v>228.31997842000001</v>
      </c>
      <c r="DR33" s="994">
        <v>185.40361494999999</v>
      </c>
      <c r="DS33" s="994">
        <v>183.14157581000001</v>
      </c>
      <c r="DT33" s="994">
        <v>199.15740824</v>
      </c>
      <c r="DU33" s="994">
        <v>201.39077915999999</v>
      </c>
      <c r="DV33" s="994">
        <v>229.19583703999999</v>
      </c>
      <c r="DW33" s="994">
        <v>255.01655445</v>
      </c>
      <c r="DX33" s="994">
        <v>245.08250938</v>
      </c>
      <c r="DY33" s="994">
        <v>268.85692736999999</v>
      </c>
      <c r="DZ33" s="994">
        <v>307.85537169000003</v>
      </c>
      <c r="EA33" s="994">
        <v>328.84181409000001</v>
      </c>
      <c r="EB33" s="994">
        <v>328.84181409000001</v>
      </c>
      <c r="EC33" s="994">
        <v>360.00598008999998</v>
      </c>
      <c r="ED33" s="994">
        <v>309.85598009</v>
      </c>
      <c r="EE33" s="994">
        <v>317.90341568000002</v>
      </c>
      <c r="EL33" s="400"/>
    </row>
    <row r="34" spans="1:142" ht="19.8">
      <c r="A34" s="1516" t="s">
        <v>2002</v>
      </c>
      <c r="B34" s="982">
        <f>+B32-B33</f>
        <v>14.696745659999999</v>
      </c>
      <c r="C34" s="982">
        <f t="shared" ref="C34:V34" si="12">+C32-C33</f>
        <v>9.9616177799999992</v>
      </c>
      <c r="D34" s="982">
        <f t="shared" si="12"/>
        <v>9.9378249099999998</v>
      </c>
      <c r="E34" s="982">
        <f t="shared" si="12"/>
        <v>9.8865622799999997</v>
      </c>
      <c r="F34" s="982">
        <f t="shared" si="12"/>
        <v>9.7006492299999998</v>
      </c>
      <c r="G34" s="982">
        <f t="shared" si="12"/>
        <v>9.6591811099999987</v>
      </c>
      <c r="H34" s="982">
        <f t="shared" si="12"/>
        <v>9.6343464499999989</v>
      </c>
      <c r="I34" s="982">
        <f t="shared" si="12"/>
        <v>8.874405320000001</v>
      </c>
      <c r="J34" s="982">
        <f t="shared" si="12"/>
        <v>8.868949859999999</v>
      </c>
      <c r="K34" s="982">
        <f t="shared" si="12"/>
        <v>7.9482939000000004</v>
      </c>
      <c r="L34" s="982">
        <f t="shared" si="12"/>
        <v>7.9472807300000001</v>
      </c>
      <c r="M34" s="957">
        <f t="shared" si="12"/>
        <v>8.7954953200000006</v>
      </c>
      <c r="N34" s="964">
        <f t="shared" si="12"/>
        <v>8.7936111300000004</v>
      </c>
      <c r="O34" s="964">
        <f t="shared" si="12"/>
        <v>8.76014217</v>
      </c>
      <c r="P34" s="964">
        <f t="shared" si="12"/>
        <v>8.7496210999999988</v>
      </c>
      <c r="Q34" s="964">
        <f t="shared" si="12"/>
        <v>8.6861359499999988</v>
      </c>
      <c r="R34" s="964">
        <f t="shared" si="12"/>
        <v>8.650455449999999</v>
      </c>
      <c r="S34" s="964">
        <f t="shared" si="12"/>
        <v>8.6395548000000009</v>
      </c>
      <c r="T34" s="964">
        <f t="shared" si="12"/>
        <v>8.1659425399999996</v>
      </c>
      <c r="U34" s="964">
        <f t="shared" si="12"/>
        <v>8.1557518299999998</v>
      </c>
      <c r="V34" s="964">
        <f t="shared" si="12"/>
        <v>8.1434016299999996</v>
      </c>
      <c r="W34" s="964">
        <v>8.5543405500000009</v>
      </c>
      <c r="X34" s="964">
        <v>8.5416523200000007</v>
      </c>
      <c r="Y34" s="957">
        <v>8.7053185199999987</v>
      </c>
      <c r="Z34" s="964">
        <v>8.6849551199999997</v>
      </c>
      <c r="AA34" s="964">
        <v>11.596012759999999</v>
      </c>
      <c r="AB34" s="957">
        <v>11.57163566</v>
      </c>
      <c r="AC34" s="957">
        <v>11.390769560000001</v>
      </c>
      <c r="AD34" s="957">
        <v>11.579979829999999</v>
      </c>
      <c r="AE34" s="957">
        <v>11.557314009999999</v>
      </c>
      <c r="AF34" s="957">
        <v>9.3507033900000014</v>
      </c>
      <c r="AG34" s="957">
        <v>9.3260801799999999</v>
      </c>
      <c r="AH34" s="957">
        <f>+AH32-AH33</f>
        <v>4.8411593899999996</v>
      </c>
      <c r="AI34" s="957">
        <v>4.8351021300000001</v>
      </c>
      <c r="AJ34" s="957">
        <f>+AJ32-AJ33</f>
        <v>4.8257048899999999</v>
      </c>
      <c r="AK34" s="957">
        <f>+AK32-AK33</f>
        <v>7.1377807799999999</v>
      </c>
      <c r="AL34" s="957">
        <v>7.2991343499999992</v>
      </c>
      <c r="AM34" s="957">
        <f>+AM32-AM33</f>
        <v>7.10702356</v>
      </c>
      <c r="AN34" s="957">
        <f>+AN32-AN33</f>
        <v>8.51217486</v>
      </c>
      <c r="AO34" s="957">
        <f>+AO32-AO33</f>
        <v>8.2894709199999994</v>
      </c>
      <c r="AP34" s="957">
        <f>+AP32-AP33</f>
        <v>8.1683099800000001</v>
      </c>
      <c r="AQ34" s="957">
        <v>8.3973274700000005</v>
      </c>
      <c r="AR34" s="957">
        <f>+AR32-AR33</f>
        <v>9.4165227900000001</v>
      </c>
      <c r="AS34" s="957">
        <f>+AS32-AS33</f>
        <v>9.6794123199999991</v>
      </c>
      <c r="AT34" s="957">
        <f>AT26-AT30</f>
        <v>10.268367020000007</v>
      </c>
      <c r="AU34" s="957">
        <v>4.3578799600000089</v>
      </c>
      <c r="AV34" s="957">
        <v>4.5986662700000167</v>
      </c>
      <c r="AW34" s="957">
        <v>4.693320220000011</v>
      </c>
      <c r="AX34" s="957">
        <v>4.8191353400000132</v>
      </c>
      <c r="AY34" s="957">
        <v>4.3617417899999964</v>
      </c>
      <c r="AZ34" s="957">
        <v>3.4564418500000045</v>
      </c>
      <c r="BA34" s="957">
        <v>4.3124933400000032</v>
      </c>
      <c r="BB34" s="957">
        <v>9.0620996899999966</v>
      </c>
      <c r="BC34" s="957">
        <v>9.1627738099999974</v>
      </c>
      <c r="BD34" s="957">
        <f>+BD32-BD33</f>
        <v>8.7377452099999999</v>
      </c>
      <c r="BE34" s="957">
        <v>8.7238427599999966</v>
      </c>
      <c r="BF34" s="957">
        <v>7.8550169299999979</v>
      </c>
      <c r="BG34" s="957">
        <v>7.4599621499999955</v>
      </c>
      <c r="BH34" s="1006">
        <v>7.4430057299999959</v>
      </c>
      <c r="BI34" s="1013">
        <v>7.4335473699999923</v>
      </c>
      <c r="BJ34" s="1013">
        <v>7.0199617299999986</v>
      </c>
      <c r="BK34" s="1013">
        <v>19.761040070000007</v>
      </c>
      <c r="BL34" s="1013">
        <v>19.750109910000006</v>
      </c>
      <c r="BM34" s="1013">
        <v>18.31627790000001</v>
      </c>
      <c r="BN34" s="1013">
        <v>16.71256374999999</v>
      </c>
      <c r="BO34" s="1013">
        <v>16.702583020000006</v>
      </c>
      <c r="BP34" s="1013">
        <v>12.218616469999997</v>
      </c>
      <c r="BQ34" s="1013">
        <v>10.624866470000001</v>
      </c>
      <c r="BR34" s="1013">
        <v>10.624866470000008</v>
      </c>
      <c r="BS34" s="1013">
        <v>10.573030029999991</v>
      </c>
      <c r="BT34" s="1013">
        <v>8.9086886599999886</v>
      </c>
      <c r="BU34" s="1013">
        <v>8.8743244299999944</v>
      </c>
      <c r="BV34" s="1013">
        <v>9.0440850999999967</v>
      </c>
      <c r="BW34" s="1013">
        <v>7.4503351000000038</v>
      </c>
      <c r="BX34" s="1013">
        <v>7.4503350999999967</v>
      </c>
      <c r="BY34" s="1013">
        <v>7.4503351000000073</v>
      </c>
      <c r="BZ34" s="1013">
        <v>5.8565851000000109</v>
      </c>
      <c r="CA34" s="1013">
        <v>5.8565851000000038</v>
      </c>
      <c r="CB34" s="1013">
        <v>5.8565851000000002</v>
      </c>
      <c r="CC34" s="1013">
        <v>4.2628350999999967</v>
      </c>
      <c r="CD34" s="1013">
        <v>4.2628351000000002</v>
      </c>
      <c r="CE34" s="1013">
        <f t="shared" ref="CE34:CO34" si="13">+CE32-CE33</f>
        <v>4.1130138000000009</v>
      </c>
      <c r="CF34" s="1013">
        <f t="shared" si="13"/>
        <v>2.3681939800000009</v>
      </c>
      <c r="CG34" s="1013">
        <f t="shared" si="13"/>
        <v>2.2158652399999994</v>
      </c>
      <c r="CH34" s="1013">
        <f t="shared" si="13"/>
        <v>2.0626127200000006</v>
      </c>
      <c r="CI34" s="1013">
        <f t="shared" si="13"/>
        <v>0.31372701000000092</v>
      </c>
      <c r="CJ34" s="1013">
        <f t="shared" si="13"/>
        <v>0.15755895999999936</v>
      </c>
      <c r="CK34" s="1013">
        <f t="shared" si="13"/>
        <v>0</v>
      </c>
      <c r="CL34" s="1013">
        <f t="shared" si="13"/>
        <v>0</v>
      </c>
      <c r="CM34" s="1013">
        <f t="shared" si="13"/>
        <v>0</v>
      </c>
      <c r="CN34" s="1013">
        <f t="shared" si="13"/>
        <v>0</v>
      </c>
      <c r="CO34" s="1013">
        <f t="shared" si="13"/>
        <v>0</v>
      </c>
      <c r="CP34" s="1013">
        <f>+CP32-CP33</f>
        <v>0</v>
      </c>
      <c r="CQ34" s="1013">
        <f>+CQ32-CQ33</f>
        <v>0</v>
      </c>
      <c r="CR34" s="1013">
        <f>+CR32-CR33</f>
        <v>0.37000499999999997</v>
      </c>
      <c r="CS34" s="1013">
        <f>+CS32-CS33</f>
        <v>0.36038394000000001</v>
      </c>
      <c r="CT34" s="1013">
        <v>0.35104485000000002</v>
      </c>
      <c r="CU34" s="1013">
        <v>0.34206177999999998</v>
      </c>
      <c r="CV34" s="1013">
        <v>0.33275911000000002</v>
      </c>
      <c r="CW34" s="1013">
        <v>0.32339442000000002</v>
      </c>
      <c r="CX34" s="1013">
        <v>0.31411102000000002</v>
      </c>
      <c r="CY34" s="1013">
        <v>0.30462201</v>
      </c>
      <c r="CZ34" s="1013">
        <v>0.29493436000000001</v>
      </c>
      <c r="DA34" s="1013">
        <v>0.28531751</v>
      </c>
      <c r="DB34" s="1013">
        <v>0.27569995000000003</v>
      </c>
      <c r="DC34" s="1013">
        <v>0.26589360000000001</v>
      </c>
      <c r="DD34" s="1013">
        <v>0.25608313999999999</v>
      </c>
      <c r="DE34" s="1013">
        <v>0.24626418</v>
      </c>
      <c r="DF34" s="1013">
        <v>0.23626812999999999</v>
      </c>
      <c r="DG34" s="1013">
        <v>0.22636517</v>
      </c>
      <c r="DH34" s="1013">
        <v>0.21629118999999999</v>
      </c>
      <c r="DI34" s="1013">
        <v>0.20605391000000001</v>
      </c>
      <c r="DJ34" s="1013">
        <v>0.19584451</v>
      </c>
      <c r="DK34" s="1013">
        <v>0.18561057</v>
      </c>
      <c r="DL34" s="1013">
        <v>0.17526488000000001</v>
      </c>
      <c r="DM34" s="1013">
        <v>0.16481128</v>
      </c>
      <c r="DN34" s="1013">
        <v>0.15432694</v>
      </c>
      <c r="DO34" s="1013">
        <v>0.14377269000000001</v>
      </c>
      <c r="DP34" s="1013">
        <v>0.13321198000000001</v>
      </c>
      <c r="DQ34" s="1013">
        <v>0.12245778</v>
      </c>
      <c r="DR34" s="1013">
        <v>0.11169107</v>
      </c>
      <c r="DS34" s="1013">
        <v>0.10087741</v>
      </c>
      <c r="DT34" s="1013">
        <v>8.9966840000000006E-2</v>
      </c>
      <c r="DU34" s="1013">
        <v>7.8963539999999999E-2</v>
      </c>
      <c r="DV34" s="1013">
        <v>6.7906869999999994E-2</v>
      </c>
      <c r="DW34" s="1013">
        <v>5.6776500000000001E-2</v>
      </c>
      <c r="DX34" s="1013">
        <v>4.5571920000000002E-2</v>
      </c>
      <c r="DY34" s="1013">
        <v>3.43129E-2</v>
      </c>
      <c r="DZ34" s="1013">
        <v>2.294332E-2</v>
      </c>
      <c r="EA34" s="1013">
        <v>1.151318E-2</v>
      </c>
      <c r="EB34" s="1013">
        <v>0</v>
      </c>
      <c r="EC34" s="1013">
        <v>0.153</v>
      </c>
      <c r="ED34" s="1013">
        <v>0.153</v>
      </c>
      <c r="EE34" s="1013">
        <v>0.14919661000000001</v>
      </c>
      <c r="EL34" s="400"/>
    </row>
    <row r="35" spans="1:142" s="890" customFormat="1" ht="39" customHeight="1">
      <c r="A35" s="2409" t="s">
        <v>3373</v>
      </c>
      <c r="B35" s="2409"/>
      <c r="C35" s="2409"/>
      <c r="D35" s="2409"/>
      <c r="E35" s="2409"/>
      <c r="F35" s="2409"/>
      <c r="G35" s="2409"/>
      <c r="H35" s="2409"/>
      <c r="I35" s="2409"/>
      <c r="J35" s="2409"/>
      <c r="K35" s="2409"/>
      <c r="L35" s="2409"/>
      <c r="M35" s="2409"/>
      <c r="N35" s="2409"/>
      <c r="O35" s="2409"/>
      <c r="P35" s="2409"/>
      <c r="Q35" s="2409"/>
      <c r="R35" s="2409"/>
      <c r="S35" s="2409"/>
      <c r="T35" s="2409"/>
      <c r="U35" s="2409"/>
      <c r="V35" s="2409"/>
      <c r="W35" s="2409"/>
      <c r="X35" s="2409"/>
      <c r="Y35" s="2409"/>
      <c r="Z35" s="2409"/>
      <c r="AA35" s="2409"/>
      <c r="AB35" s="2409"/>
      <c r="AC35" s="2409"/>
      <c r="AD35" s="2409"/>
      <c r="AE35" s="2409"/>
      <c r="AF35" s="2409"/>
      <c r="AG35" s="2409"/>
      <c r="AH35" s="2409"/>
      <c r="AI35" s="2409"/>
      <c r="AJ35" s="2409"/>
      <c r="AK35" s="2409"/>
      <c r="AL35" s="2409"/>
      <c r="AM35" s="2409"/>
      <c r="AN35" s="2409"/>
      <c r="AO35" s="2409"/>
      <c r="AP35" s="2409"/>
      <c r="AQ35" s="2409"/>
      <c r="AR35" s="2409"/>
      <c r="AS35" s="2409"/>
      <c r="AT35" s="2409"/>
      <c r="AU35" s="2409"/>
      <c r="AV35" s="2409"/>
      <c r="AW35" s="2409"/>
      <c r="AX35" s="2409"/>
      <c r="AY35" s="2409"/>
      <c r="AZ35" s="2409"/>
      <c r="BA35" s="2409"/>
      <c r="BB35" s="2409"/>
      <c r="BC35" s="2409"/>
      <c r="BD35" s="2409"/>
      <c r="BE35" s="2409"/>
      <c r="BF35" s="2409"/>
      <c r="BG35" s="2409"/>
      <c r="BH35" s="2409"/>
      <c r="BI35" s="2409"/>
      <c r="BJ35" s="2409"/>
      <c r="BK35" s="2409"/>
      <c r="BL35" s="2409"/>
      <c r="BM35" s="2409"/>
      <c r="BN35" s="2409"/>
      <c r="BO35" s="2409"/>
      <c r="BP35" s="2409"/>
      <c r="BQ35" s="2409"/>
      <c r="BR35" s="2409"/>
      <c r="BS35" s="2409"/>
      <c r="BT35" s="2409"/>
      <c r="BU35" s="2409"/>
      <c r="BV35" s="2409"/>
      <c r="BW35" s="2409"/>
      <c r="BX35" s="2409"/>
      <c r="BY35" s="2409"/>
      <c r="BZ35" s="2409"/>
      <c r="CA35" s="2409"/>
      <c r="CB35" s="2409"/>
      <c r="CC35" s="2409"/>
      <c r="CD35" s="2409"/>
      <c r="CE35" s="2409"/>
      <c r="CF35" s="2409"/>
      <c r="CG35" s="2409"/>
      <c r="CH35" s="2409"/>
      <c r="CI35" s="2409"/>
      <c r="CJ35" s="2409"/>
      <c r="CK35" s="2409"/>
      <c r="CL35" s="2409"/>
      <c r="CM35" s="2409"/>
      <c r="CN35" s="2409"/>
      <c r="CO35" s="2409"/>
      <c r="CP35" s="2409"/>
      <c r="CQ35" s="2409"/>
      <c r="CR35" s="2409"/>
      <c r="CS35" s="2409"/>
      <c r="CT35" s="2409"/>
      <c r="CU35" s="2409"/>
      <c r="CV35" s="2409"/>
      <c r="CW35" s="2409"/>
      <c r="CX35" s="2409"/>
      <c r="CY35" s="2409"/>
      <c r="CZ35" s="2409"/>
      <c r="DA35" s="2409"/>
      <c r="DB35" s="2409"/>
      <c r="DC35" s="2409"/>
      <c r="DD35" s="2409"/>
      <c r="DE35" s="2409"/>
      <c r="DF35" s="2409"/>
      <c r="DG35" s="2409"/>
      <c r="DH35" s="2409"/>
      <c r="DI35" s="2409"/>
      <c r="DJ35" s="2409"/>
      <c r="DK35" s="2409"/>
      <c r="DL35" s="2409"/>
      <c r="DM35" s="2409"/>
      <c r="DN35" s="2409"/>
      <c r="DO35" s="2409"/>
      <c r="DP35" s="2409"/>
      <c r="DQ35" s="2409"/>
      <c r="DR35" s="2409"/>
      <c r="DS35" s="2409"/>
      <c r="DT35" s="2409"/>
      <c r="DU35" s="2409"/>
      <c r="DV35" s="2409"/>
      <c r="DW35" s="2409"/>
      <c r="DX35" s="2409"/>
      <c r="DY35" s="2409"/>
      <c r="DZ35" s="2409"/>
      <c r="EA35" s="2409"/>
      <c r="EB35" s="2409"/>
      <c r="EC35" s="2409"/>
      <c r="ED35" s="2409"/>
      <c r="EE35" s="2409"/>
    </row>
    <row r="36" spans="1:142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L36" s="400"/>
    </row>
    <row r="37" spans="1:142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L37" s="400"/>
    </row>
    <row r="38" spans="1:142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L38" s="400"/>
    </row>
    <row r="39" spans="1:142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L39" s="400"/>
    </row>
    <row r="40" spans="1:142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L40" s="400"/>
    </row>
    <row r="41" spans="1:142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L41" s="400"/>
    </row>
    <row r="42" spans="1:142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L42" s="400"/>
    </row>
    <row r="43" spans="1:142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L43" s="400"/>
    </row>
    <row r="44" spans="1:142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L44" s="400"/>
    </row>
    <row r="45" spans="1:142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L45" s="400"/>
    </row>
    <row r="46" spans="1:142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EL46" s="400"/>
    </row>
    <row r="47" spans="1:142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EL47" s="400"/>
    </row>
    <row r="48" spans="1:142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EL48" s="400"/>
    </row>
    <row r="49" spans="1:142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EL49" s="400"/>
    </row>
    <row r="50" spans="1:142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EL50" s="400"/>
    </row>
    <row r="51" spans="1:142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EL51" s="400"/>
    </row>
    <row r="52" spans="1:142">
      <c r="EL52" s="400"/>
    </row>
    <row r="53" spans="1:142">
      <c r="EL53" s="400"/>
    </row>
    <row r="54" spans="1:142">
      <c r="EL54" s="400"/>
    </row>
    <row r="55" spans="1:142">
      <c r="EL55" s="400"/>
    </row>
    <row r="56" spans="1:142">
      <c r="EL56" s="400"/>
    </row>
    <row r="57" spans="1:142">
      <c r="EL57" s="400"/>
    </row>
    <row r="58" spans="1:142">
      <c r="EL58" s="400"/>
    </row>
    <row r="59" spans="1:142">
      <c r="EL59" s="400"/>
    </row>
    <row r="60" spans="1:142">
      <c r="EL60" s="400"/>
    </row>
    <row r="61" spans="1:142">
      <c r="EL61" s="400"/>
    </row>
    <row r="62" spans="1:142">
      <c r="EL62" s="400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K62"/>
  <sheetViews>
    <sheetView showGridLines="0" view="pageBreakPreview" zoomScale="70" zoomScaleNormal="100" zoomScaleSheetLayoutView="70" workbookViewId="0">
      <selection activeCell="ED40" sqref="ED40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8.5546875" style="397" hidden="1" customWidth="1"/>
    <col min="37" max="37" width="16.88671875" style="397" hidden="1" customWidth="1"/>
    <col min="38" max="45" width="14.6640625" style="397" hidden="1" customWidth="1"/>
    <col min="46" max="60" width="17.88671875" style="397" hidden="1" customWidth="1"/>
    <col min="61" max="61" width="14.44140625" style="397" customWidth="1"/>
    <col min="62" max="72" width="17.88671875" style="397" hidden="1" customWidth="1"/>
    <col min="73" max="73" width="14.44140625" style="397" customWidth="1"/>
    <col min="74" max="82" width="17.88671875" style="397" hidden="1" customWidth="1"/>
    <col min="83" max="84" width="17.44140625" style="397" hidden="1" customWidth="1"/>
    <col min="85" max="85" width="14.44140625" style="397" customWidth="1"/>
    <col min="86" max="90" width="19.33203125" style="397" hidden="1" customWidth="1"/>
    <col min="91" max="96" width="20.5546875" style="397" hidden="1" customWidth="1"/>
    <col min="97" max="97" width="14.44140625" style="397" customWidth="1"/>
    <col min="98" max="108" width="14.44140625" style="397" hidden="1" customWidth="1"/>
    <col min="109" max="109" width="14.44140625" style="397" customWidth="1"/>
    <col min="110" max="120" width="14.44140625" style="397" hidden="1" customWidth="1"/>
    <col min="121" max="121" width="14.44140625" style="397" customWidth="1"/>
    <col min="122" max="132" width="14.44140625" style="397" hidden="1" customWidth="1"/>
    <col min="133" max="135" width="14.44140625" style="397" customWidth="1"/>
    <col min="136" max="138" width="9.109375" style="397"/>
    <col min="139" max="139" width="0" style="397" hidden="1" customWidth="1"/>
    <col min="140" max="16384" width="9.109375" style="397"/>
  </cols>
  <sheetData>
    <row r="1" spans="1:141" ht="19.5" customHeight="1"/>
    <row r="2" spans="1:141" ht="62.25" customHeight="1">
      <c r="A2" s="2414" t="s">
        <v>3378</v>
      </c>
      <c r="B2" s="2414"/>
      <c r="C2" s="2414"/>
      <c r="D2" s="2414"/>
      <c r="E2" s="2414"/>
      <c r="F2" s="2414"/>
      <c r="G2" s="2414"/>
      <c r="H2" s="2414"/>
      <c r="I2" s="2414"/>
      <c r="J2" s="2414"/>
      <c r="K2" s="2414"/>
      <c r="L2" s="2414"/>
      <c r="M2" s="2414"/>
      <c r="N2" s="2414"/>
      <c r="O2" s="2414"/>
      <c r="P2" s="2414"/>
      <c r="Q2" s="2414"/>
      <c r="R2" s="2414"/>
      <c r="S2" s="2414"/>
      <c r="T2" s="2414"/>
      <c r="U2" s="2414"/>
      <c r="V2" s="2414"/>
      <c r="W2" s="2414"/>
      <c r="X2" s="2414"/>
      <c r="Y2" s="2414"/>
      <c r="Z2" s="2414"/>
      <c r="AA2" s="2414"/>
      <c r="AB2" s="2414"/>
      <c r="AC2" s="2414"/>
      <c r="AD2" s="2414"/>
      <c r="AE2" s="2414"/>
      <c r="AF2" s="2414"/>
      <c r="AG2" s="2414"/>
      <c r="AH2" s="2414"/>
      <c r="AI2" s="2414"/>
      <c r="AJ2" s="2414"/>
      <c r="AK2" s="2414"/>
      <c r="AL2" s="2414"/>
      <c r="AM2" s="2414"/>
      <c r="AN2" s="2414"/>
      <c r="AO2" s="2414"/>
      <c r="AP2" s="2414"/>
      <c r="AQ2" s="2414"/>
      <c r="AR2" s="2414"/>
      <c r="AS2" s="2414"/>
      <c r="AT2" s="2414"/>
      <c r="AU2" s="2414"/>
      <c r="AV2" s="2414"/>
      <c r="AW2" s="2414"/>
      <c r="AX2" s="2414"/>
      <c r="AY2" s="2414"/>
      <c r="AZ2" s="2414"/>
      <c r="BA2" s="2414"/>
      <c r="BB2" s="2414"/>
      <c r="BC2" s="2414"/>
      <c r="BD2" s="2414"/>
      <c r="BE2" s="2414"/>
      <c r="BF2" s="2414"/>
      <c r="BG2" s="2414"/>
      <c r="BH2" s="2414"/>
      <c r="BI2" s="2414"/>
      <c r="BJ2" s="2414"/>
      <c r="BK2" s="2414"/>
      <c r="BL2" s="2414"/>
      <c r="BM2" s="2414"/>
      <c r="BN2" s="2414"/>
      <c r="BO2" s="2414"/>
      <c r="BP2" s="2414"/>
      <c r="BQ2" s="2414"/>
      <c r="BR2" s="2414"/>
      <c r="BS2" s="2414"/>
      <c r="BT2" s="2414"/>
      <c r="BU2" s="2414"/>
      <c r="BV2" s="2414"/>
      <c r="BW2" s="2414"/>
      <c r="BX2" s="2414"/>
      <c r="BY2" s="2414"/>
      <c r="BZ2" s="2414"/>
      <c r="CA2" s="2414"/>
      <c r="CB2" s="2414"/>
      <c r="CC2" s="2414"/>
      <c r="CD2" s="2414"/>
      <c r="CE2" s="2414"/>
      <c r="CF2" s="2414"/>
      <c r="CG2" s="2414"/>
      <c r="CH2" s="2414"/>
      <c r="CI2" s="2414"/>
      <c r="CJ2" s="2414"/>
      <c r="CK2" s="2414"/>
      <c r="CL2" s="2414"/>
      <c r="CM2" s="2414"/>
      <c r="CN2" s="2414"/>
      <c r="CO2" s="2414"/>
      <c r="CP2" s="2414"/>
      <c r="CQ2" s="2414"/>
      <c r="CR2" s="2414"/>
      <c r="CS2" s="2414"/>
      <c r="CT2" s="2414"/>
      <c r="CU2" s="2414"/>
      <c r="CV2" s="2414"/>
      <c r="CW2" s="2414"/>
      <c r="CX2" s="2414"/>
      <c r="CY2" s="2414"/>
      <c r="CZ2" s="2414"/>
      <c r="DA2" s="2414"/>
      <c r="DB2" s="2414"/>
      <c r="DC2" s="2414"/>
      <c r="DD2" s="2414"/>
      <c r="DE2" s="2414"/>
      <c r="DF2" s="2414"/>
      <c r="DG2" s="2414"/>
      <c r="DH2" s="2414"/>
      <c r="DI2" s="2414"/>
      <c r="DJ2" s="2414"/>
      <c r="DK2" s="2414"/>
      <c r="DL2" s="2414"/>
      <c r="DM2" s="2414"/>
      <c r="DN2" s="2414"/>
      <c r="DO2" s="2414"/>
      <c r="DP2" s="2414"/>
      <c r="DQ2" s="2414"/>
      <c r="DR2" s="2414"/>
      <c r="DS2" s="2414"/>
      <c r="DT2" s="2414"/>
      <c r="DU2" s="2414"/>
      <c r="DV2" s="2414"/>
      <c r="DW2" s="2414"/>
      <c r="DX2" s="2414"/>
      <c r="DY2" s="2414"/>
      <c r="DZ2" s="2414"/>
      <c r="EA2" s="2414"/>
      <c r="EB2" s="2414"/>
      <c r="EC2" s="2414"/>
      <c r="ED2" s="2414"/>
      <c r="EE2" s="2414"/>
    </row>
    <row r="3" spans="1:141" ht="40.5" customHeight="1">
      <c r="A3" s="2389" t="s">
        <v>3368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41" ht="20.2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</row>
    <row r="5" spans="1:141" ht="20.25" customHeight="1">
      <c r="A5" s="2410" t="s">
        <v>2485</v>
      </c>
      <c r="B5" s="2410"/>
      <c r="C5" s="2410"/>
      <c r="D5" s="2410"/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2410"/>
      <c r="U5" s="2410"/>
      <c r="V5" s="2410"/>
      <c r="W5" s="2410"/>
      <c r="X5" s="2410"/>
      <c r="Y5" s="2410"/>
      <c r="Z5" s="2410"/>
      <c r="AA5" s="2410"/>
      <c r="AB5" s="2410"/>
      <c r="AC5" s="2410"/>
      <c r="AD5" s="2410"/>
      <c r="AE5" s="2410"/>
      <c r="AF5" s="2410"/>
      <c r="AG5" s="2410"/>
      <c r="AH5" s="2410"/>
      <c r="AI5" s="2410"/>
      <c r="AJ5" s="2410"/>
      <c r="AK5" s="2410"/>
      <c r="AL5" s="2410"/>
      <c r="AM5" s="2410"/>
      <c r="AN5" s="2410"/>
      <c r="AO5" s="2410"/>
      <c r="AP5" s="2410"/>
      <c r="AQ5" s="2410"/>
      <c r="AR5" s="2410"/>
      <c r="AS5" s="2410"/>
      <c r="AT5" s="2410"/>
      <c r="AU5" s="2410"/>
      <c r="AV5" s="2410"/>
      <c r="AW5" s="2410"/>
      <c r="AX5" s="2410"/>
      <c r="AY5" s="2410"/>
      <c r="AZ5" s="2410"/>
      <c r="BA5" s="2410"/>
      <c r="BB5" s="2410"/>
      <c r="BC5" s="2410"/>
      <c r="BD5" s="2410"/>
      <c r="BE5" s="2410"/>
      <c r="BF5" s="2410"/>
      <c r="BG5" s="2410"/>
      <c r="BH5" s="2410"/>
      <c r="BI5" s="2410"/>
      <c r="BJ5" s="2410"/>
      <c r="BK5" s="2410"/>
      <c r="BL5" s="2410"/>
      <c r="BM5" s="2410"/>
      <c r="BN5" s="2410"/>
      <c r="BO5" s="2410"/>
      <c r="BP5" s="2410"/>
      <c r="BQ5" s="2410"/>
      <c r="BR5" s="2410"/>
      <c r="BS5" s="2410"/>
      <c r="BT5" s="2410"/>
      <c r="BU5" s="2410"/>
      <c r="BV5" s="2410"/>
      <c r="BW5" s="2410"/>
      <c r="BX5" s="2410"/>
      <c r="BY5" s="2410"/>
      <c r="BZ5" s="2410"/>
      <c r="CA5" s="2410"/>
      <c r="CB5" s="2410"/>
      <c r="CC5" s="2410"/>
      <c r="CD5" s="2410"/>
      <c r="CE5" s="2410"/>
      <c r="CF5" s="2410"/>
      <c r="CG5" s="2410"/>
      <c r="CH5" s="2410"/>
      <c r="CI5" s="2410"/>
      <c r="CJ5" s="2410"/>
      <c r="CK5" s="2410"/>
      <c r="CL5" s="2410"/>
      <c r="CM5" s="2410"/>
      <c r="CN5" s="2410"/>
      <c r="CO5" s="2410"/>
      <c r="CP5" s="2410"/>
      <c r="CQ5" s="2410"/>
      <c r="CR5" s="2410"/>
      <c r="CS5" s="2410"/>
      <c r="CT5" s="2410"/>
      <c r="CU5" s="2410"/>
      <c r="CV5" s="2410"/>
      <c r="CW5" s="2410"/>
      <c r="CX5" s="2410"/>
      <c r="CY5" s="2410"/>
      <c r="CZ5" s="2410"/>
      <c r="DA5" s="2410"/>
      <c r="DB5" s="2410"/>
      <c r="DC5" s="2410"/>
      <c r="DD5" s="2410"/>
      <c r="DE5" s="2410"/>
      <c r="DF5" s="2410"/>
      <c r="DG5" s="2410"/>
      <c r="DH5" s="2410"/>
      <c r="DI5" s="2410"/>
      <c r="DJ5" s="2410"/>
      <c r="DK5" s="2410"/>
      <c r="DL5" s="2410"/>
      <c r="DM5" s="2410"/>
      <c r="DN5" s="2410"/>
      <c r="DO5" s="2410"/>
      <c r="DP5" s="2410"/>
      <c r="DQ5" s="2410"/>
      <c r="DR5" s="2410"/>
      <c r="DS5" s="2410"/>
      <c r="DT5" s="2410"/>
      <c r="DU5" s="2410"/>
      <c r="DV5" s="2410"/>
      <c r="DW5" s="2410"/>
      <c r="DX5" s="2410"/>
      <c r="DY5" s="2410"/>
      <c r="DZ5" s="2410"/>
      <c r="EA5" s="2410"/>
      <c r="EB5" s="2410"/>
      <c r="EC5" s="2410"/>
      <c r="ED5" s="2410"/>
      <c r="EE5" s="2410"/>
    </row>
    <row r="6" spans="1:141" ht="34.5" customHeight="1">
      <c r="A6" s="2392"/>
      <c r="B6" s="2394">
        <v>2013</v>
      </c>
      <c r="C6" s="2394"/>
      <c r="D6" s="2394"/>
      <c r="E6" s="2394"/>
      <c r="F6" s="2394"/>
      <c r="G6" s="2394"/>
      <c r="H6" s="2394"/>
      <c r="I6" s="2394"/>
      <c r="J6" s="2394"/>
      <c r="K6" s="2394"/>
      <c r="L6" s="2394"/>
      <c r="M6" s="2394">
        <v>2013</v>
      </c>
      <c r="N6" s="2394">
        <v>2014</v>
      </c>
      <c r="O6" s="2394"/>
      <c r="P6" s="2394"/>
      <c r="Q6" s="2394"/>
      <c r="R6" s="2394"/>
      <c r="S6" s="2394"/>
      <c r="T6" s="2394"/>
      <c r="U6" s="2394"/>
      <c r="V6" s="2394"/>
      <c r="W6" s="2394"/>
      <c r="X6" s="2394"/>
      <c r="Y6" s="2394">
        <v>2014</v>
      </c>
      <c r="Z6" s="2394">
        <v>2015</v>
      </c>
      <c r="AA6" s="2394"/>
      <c r="AB6" s="2394">
        <v>2015</v>
      </c>
      <c r="AC6" s="2394"/>
      <c r="AD6" s="2394"/>
      <c r="AE6" s="2394"/>
      <c r="AF6" s="2394"/>
      <c r="AG6" s="2394"/>
      <c r="AH6" s="2394"/>
      <c r="AI6" s="2394"/>
      <c r="AJ6" s="2394"/>
      <c r="AK6" s="2394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394">
        <v>2016</v>
      </c>
      <c r="AW6" s="2394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05">
        <v>2019</v>
      </c>
      <c r="BW6" s="2405"/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41" ht="34.5" customHeight="1">
      <c r="A7" s="2393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</row>
    <row r="8" spans="1:141" ht="19.8">
      <c r="A8" s="976" t="s">
        <v>2820</v>
      </c>
      <c r="B8" s="961">
        <v>538.21071784000003</v>
      </c>
      <c r="C8" s="961">
        <v>581.61442864000003</v>
      </c>
      <c r="D8" s="961">
        <v>594.86463550000008</v>
      </c>
      <c r="E8" s="961">
        <v>601.23010456000009</v>
      </c>
      <c r="F8" s="961">
        <v>608.97354347999999</v>
      </c>
      <c r="G8" s="961">
        <v>670.45141332999992</v>
      </c>
      <c r="H8" s="961">
        <v>691.93332683999995</v>
      </c>
      <c r="I8" s="961">
        <v>695.00221781999994</v>
      </c>
      <c r="J8" s="961">
        <v>705.13805288000003</v>
      </c>
      <c r="K8" s="961">
        <v>721.95722597999998</v>
      </c>
      <c r="L8" s="961">
        <v>733.61118855000007</v>
      </c>
      <c r="M8" s="946">
        <v>732.72905534999995</v>
      </c>
      <c r="N8" s="946">
        <v>731.96219670000005</v>
      </c>
      <c r="O8" s="946">
        <v>733.15730945000007</v>
      </c>
      <c r="P8" s="946">
        <v>740.44047323999985</v>
      </c>
      <c r="Q8" s="946">
        <v>748.35909093999999</v>
      </c>
      <c r="R8" s="946">
        <v>755.62198443999989</v>
      </c>
      <c r="S8" s="946">
        <v>759.98028034999993</v>
      </c>
      <c r="T8" s="946">
        <v>760.72169521000001</v>
      </c>
      <c r="U8" s="946">
        <v>785.10259098000006</v>
      </c>
      <c r="V8" s="946">
        <v>806.35544091999998</v>
      </c>
      <c r="W8" s="946">
        <v>816.28137460000005</v>
      </c>
      <c r="X8" s="946">
        <v>835.7108486599999</v>
      </c>
      <c r="Y8" s="946">
        <v>845.88725850000014</v>
      </c>
      <c r="Z8" s="946">
        <v>841.01036349999981</v>
      </c>
      <c r="AA8" s="946">
        <v>934.9104918999999</v>
      </c>
      <c r="AB8" s="946">
        <v>930.83017056000006</v>
      </c>
      <c r="AC8" s="946">
        <v>935.57241469999974</v>
      </c>
      <c r="AD8" s="946">
        <v>933.02591963999987</v>
      </c>
      <c r="AE8" s="946">
        <v>935.86646063000001</v>
      </c>
      <c r="AF8" s="946">
        <v>944.62310505000005</v>
      </c>
      <c r="AG8" s="946">
        <v>946.88512248999996</v>
      </c>
      <c r="AH8" s="946">
        <v>755.42591412000002</v>
      </c>
      <c r="AI8" s="946">
        <v>683.37207753999996</v>
      </c>
      <c r="AJ8" s="946">
        <v>619.39311624999993</v>
      </c>
      <c r="AK8" s="946">
        <v>506.03210738000001</v>
      </c>
      <c r="AL8" s="946">
        <v>438.72581642</v>
      </c>
      <c r="AM8" s="946">
        <v>436.12073617999999</v>
      </c>
      <c r="AN8" s="946">
        <v>430.46344965999998</v>
      </c>
      <c r="AO8" s="946">
        <v>429.84970630000004</v>
      </c>
      <c r="AP8" s="946">
        <v>425.22783229999993</v>
      </c>
      <c r="AQ8" s="946">
        <v>422.65396430000004</v>
      </c>
      <c r="AR8" s="946">
        <v>397.80148007999992</v>
      </c>
      <c r="AS8" s="946">
        <v>398.41250269</v>
      </c>
      <c r="AT8" s="946">
        <v>407.43569630000002</v>
      </c>
      <c r="AU8" s="946">
        <v>397.91857561</v>
      </c>
      <c r="AV8" s="946">
        <v>416.94306967</v>
      </c>
      <c r="AW8" s="946">
        <v>436.42770843999995</v>
      </c>
      <c r="AX8" s="946">
        <v>430.22423482999994</v>
      </c>
      <c r="AY8" s="946">
        <v>431.86102641000002</v>
      </c>
      <c r="AZ8" s="946">
        <v>432.33633431000004</v>
      </c>
      <c r="BA8" s="946">
        <v>436.80675808999996</v>
      </c>
      <c r="BB8" s="946">
        <v>426.33598738000001</v>
      </c>
      <c r="BC8" s="946">
        <v>421.72397434000004</v>
      </c>
      <c r="BD8" s="946">
        <v>439.43915741000001</v>
      </c>
      <c r="BE8" s="946">
        <v>451.04971407999994</v>
      </c>
      <c r="BF8" s="946">
        <v>449.58215511000003</v>
      </c>
      <c r="BG8" s="946">
        <v>432.71039815</v>
      </c>
      <c r="BH8" s="1004">
        <v>430.76417579999998</v>
      </c>
      <c r="BI8" s="993">
        <v>407.54898557000001</v>
      </c>
      <c r="BJ8" s="993">
        <v>401.39537050999996</v>
      </c>
      <c r="BK8" s="993">
        <v>394.33422171999996</v>
      </c>
      <c r="BL8" s="993">
        <v>403.47659927000001</v>
      </c>
      <c r="BM8" s="993">
        <v>411.42736009999999</v>
      </c>
      <c r="BN8" s="993">
        <v>421.65639979000002</v>
      </c>
      <c r="BO8" s="993">
        <v>420.59282950000005</v>
      </c>
      <c r="BP8" s="993">
        <v>418.04282558000006</v>
      </c>
      <c r="BQ8" s="993">
        <v>416.47752616999998</v>
      </c>
      <c r="BR8" s="993">
        <v>418.40752067</v>
      </c>
      <c r="BS8" s="993">
        <v>421.52792438</v>
      </c>
      <c r="BT8" s="993">
        <v>424.24412290999999</v>
      </c>
      <c r="BU8" s="993">
        <v>423.39805889999997</v>
      </c>
      <c r="BV8" s="993">
        <v>424.39075045999999</v>
      </c>
      <c r="BW8" s="993">
        <v>421.47231107000005</v>
      </c>
      <c r="BX8" s="993">
        <v>430.11766607999999</v>
      </c>
      <c r="BY8" s="993">
        <v>434.07224960000002</v>
      </c>
      <c r="BZ8" s="993">
        <v>451.97746569000003</v>
      </c>
      <c r="CA8" s="993">
        <v>456.49804322</v>
      </c>
      <c r="CB8" s="993">
        <v>456.05548060000007</v>
      </c>
      <c r="CC8" s="993">
        <v>460.23801298000001</v>
      </c>
      <c r="CD8" s="993">
        <v>469.47392559999997</v>
      </c>
      <c r="CE8" s="993">
        <v>473.02856401000003</v>
      </c>
      <c r="CF8" s="993">
        <v>472.37484481000001</v>
      </c>
      <c r="CG8" s="993">
        <v>485.13964082000007</v>
      </c>
      <c r="CH8" s="993">
        <v>482.03446362000005</v>
      </c>
      <c r="CI8" s="993">
        <v>476.02636567000002</v>
      </c>
      <c r="CJ8" s="993">
        <v>477.48468552999998</v>
      </c>
      <c r="CK8" s="993">
        <v>533.32108911</v>
      </c>
      <c r="CL8" s="993">
        <v>532.95972023000002</v>
      </c>
      <c r="CM8" s="993">
        <v>524.94022820999999</v>
      </c>
      <c r="CN8" s="993">
        <v>525.54540322000003</v>
      </c>
      <c r="CO8" s="993">
        <v>529.93283752000002</v>
      </c>
      <c r="CP8" s="993">
        <v>534.42749503999994</v>
      </c>
      <c r="CQ8" s="993">
        <v>523.18709729999989</v>
      </c>
      <c r="CR8" s="993">
        <v>524.92194959000005</v>
      </c>
      <c r="CS8" s="993">
        <v>531.28475893999996</v>
      </c>
      <c r="CT8" s="993">
        <v>537.99087044999999</v>
      </c>
      <c r="CU8" s="993">
        <v>534.84074794000003</v>
      </c>
      <c r="CV8" s="993">
        <v>540.71176303000004</v>
      </c>
      <c r="CW8" s="993">
        <v>533.94968663999998</v>
      </c>
      <c r="CX8" s="993">
        <v>536.11958943000002</v>
      </c>
      <c r="CY8" s="993">
        <v>538.22625913000002</v>
      </c>
      <c r="CZ8" s="993">
        <v>534.04471863000003</v>
      </c>
      <c r="DA8" s="993">
        <v>542.56642350000004</v>
      </c>
      <c r="DB8" s="993">
        <v>546.30608309000002</v>
      </c>
      <c r="DC8" s="993">
        <v>547.13436809999996</v>
      </c>
      <c r="DD8" s="993">
        <v>551.93139554000004</v>
      </c>
      <c r="DE8" s="993">
        <v>563.21427217999997</v>
      </c>
      <c r="DF8" s="993">
        <v>567.29357872000003</v>
      </c>
      <c r="DG8" s="993">
        <v>563.14749876999997</v>
      </c>
      <c r="DH8" s="993">
        <v>572.11871544999997</v>
      </c>
      <c r="DI8" s="993">
        <v>567.49188975000004</v>
      </c>
      <c r="DJ8" s="993">
        <v>572.22451254999999</v>
      </c>
      <c r="DK8" s="993">
        <v>571.59913631999996</v>
      </c>
      <c r="DL8" s="993">
        <v>571.21172114000001</v>
      </c>
      <c r="DM8" s="993">
        <v>573.13765513999999</v>
      </c>
      <c r="DN8" s="993">
        <v>591.77428609000003</v>
      </c>
      <c r="DO8" s="993">
        <v>597.12625885</v>
      </c>
      <c r="DP8" s="993">
        <v>595.89892781000003</v>
      </c>
      <c r="DQ8" s="993">
        <v>583.66742675</v>
      </c>
      <c r="DR8" s="993">
        <v>571.67550279</v>
      </c>
      <c r="DS8" s="993">
        <v>572.88910668999995</v>
      </c>
      <c r="DT8" s="993">
        <v>527.62397954000005</v>
      </c>
      <c r="DU8" s="993">
        <v>500.78854518999998</v>
      </c>
      <c r="DV8" s="993">
        <v>494.4355683</v>
      </c>
      <c r="DW8" s="993">
        <v>499.43349927999998</v>
      </c>
      <c r="DX8" s="993">
        <v>496.42099818999998</v>
      </c>
      <c r="DY8" s="993">
        <v>501.59506807000002</v>
      </c>
      <c r="DZ8" s="993">
        <v>522.40519725000001</v>
      </c>
      <c r="EA8" s="993">
        <v>491.88119259000001</v>
      </c>
      <c r="EB8" s="993">
        <v>495.80013974000002</v>
      </c>
      <c r="EC8" s="993">
        <v>487.10996204000003</v>
      </c>
      <c r="ED8" s="993">
        <v>474.97619331999999</v>
      </c>
      <c r="EE8" s="993">
        <v>467.44032426000001</v>
      </c>
      <c r="EJ8" s="398"/>
      <c r="EK8" s="399"/>
    </row>
    <row r="9" spans="1:141" ht="19.8">
      <c r="A9" s="977" t="s">
        <v>2001</v>
      </c>
      <c r="B9" s="962">
        <v>2.4350116000000002</v>
      </c>
      <c r="C9" s="962">
        <v>2.4000490999999999</v>
      </c>
      <c r="D9" s="962">
        <v>2.3650866000000001</v>
      </c>
      <c r="E9" s="962">
        <v>2.3301240999999999</v>
      </c>
      <c r="F9" s="962">
        <v>2.2951616000000001</v>
      </c>
      <c r="G9" s="962">
        <v>2.2601990999999999</v>
      </c>
      <c r="H9" s="962">
        <v>4.7128861000000004</v>
      </c>
      <c r="I9" s="962">
        <v>4.6776064999999996</v>
      </c>
      <c r="J9" s="962">
        <v>4.6429611</v>
      </c>
      <c r="K9" s="962">
        <v>4.6079986000000002</v>
      </c>
      <c r="L9" s="962">
        <v>4.6576815000000007</v>
      </c>
      <c r="M9" s="950">
        <v>4.6079780399999999</v>
      </c>
      <c r="N9" s="950">
        <v>4.5985897400000004</v>
      </c>
      <c r="O9" s="950">
        <v>4.5992239399999999</v>
      </c>
      <c r="P9" s="950">
        <v>4.5329068399999999</v>
      </c>
      <c r="Q9" s="950">
        <v>4.5329068399999999</v>
      </c>
      <c r="R9" s="950">
        <v>4.5332239400000001</v>
      </c>
      <c r="S9" s="950">
        <v>4.5329068399999999</v>
      </c>
      <c r="T9" s="950">
        <v>4.5325897400000006</v>
      </c>
      <c r="U9" s="950">
        <v>4.5332239400000001</v>
      </c>
      <c r="V9" s="950">
        <v>4.5332239400000001</v>
      </c>
      <c r="W9" s="950">
        <v>4.5332239400000001</v>
      </c>
      <c r="X9" s="950">
        <v>4.5332239400000001</v>
      </c>
      <c r="Y9" s="950">
        <v>4.5132239399999996</v>
      </c>
      <c r="Z9" s="950">
        <v>4.5132239399999996</v>
      </c>
      <c r="AA9" s="950">
        <v>5.2809157999999998</v>
      </c>
      <c r="AB9" s="950">
        <v>5.2367935000000001</v>
      </c>
      <c r="AC9" s="950">
        <v>5.1924276999999996</v>
      </c>
      <c r="AD9" s="950">
        <v>5.1946474</v>
      </c>
      <c r="AE9" s="950">
        <v>5.1361593000000001</v>
      </c>
      <c r="AF9" s="950">
        <v>5.1399645000000005</v>
      </c>
      <c r="AG9" s="950">
        <v>5.1352080000000004</v>
      </c>
      <c r="AH9" s="950">
        <v>5.1352080000000004</v>
      </c>
      <c r="AI9" s="950">
        <v>5.1393303000000001</v>
      </c>
      <c r="AJ9" s="950">
        <v>5.1453552</v>
      </c>
      <c r="AK9" s="950">
        <v>6.7568574000000003</v>
      </c>
      <c r="AL9" s="950">
        <v>1.8120000000000001</v>
      </c>
      <c r="AM9" s="950">
        <v>1.512</v>
      </c>
      <c r="AN9" s="950">
        <v>1.49211001</v>
      </c>
      <c r="AO9" s="950">
        <v>1.3594380100000001</v>
      </c>
      <c r="AP9" s="950">
        <v>1.3294380100000001</v>
      </c>
      <c r="AQ9" s="950">
        <v>1.28772705</v>
      </c>
      <c r="AR9" s="950">
        <v>1.2599446699999999</v>
      </c>
      <c r="AS9" s="950">
        <v>1.23216229</v>
      </c>
      <c r="AT9" s="950">
        <v>1.2043799099999999</v>
      </c>
      <c r="AU9" s="950">
        <v>0.79559806999999994</v>
      </c>
      <c r="AV9" s="950">
        <v>0.76781568999999994</v>
      </c>
      <c r="AW9" s="950">
        <v>0.74003331000000006</v>
      </c>
      <c r="AX9" s="950">
        <v>0.71225093000000006</v>
      </c>
      <c r="AY9" s="950">
        <v>0.68446855000000006</v>
      </c>
      <c r="AZ9" s="950">
        <v>0.65668617000000007</v>
      </c>
      <c r="BA9" s="950">
        <v>0.62890379000000007</v>
      </c>
      <c r="BB9" s="950">
        <v>0.33201029999999998</v>
      </c>
      <c r="BC9" s="950">
        <v>0.33196376999999999</v>
      </c>
      <c r="BD9" s="950">
        <v>0.31225178999999997</v>
      </c>
      <c r="BE9" s="950">
        <v>0.29251167</v>
      </c>
      <c r="BF9" s="950">
        <v>0.27316576000000004</v>
      </c>
      <c r="BG9" s="950">
        <v>0.26532083000000001</v>
      </c>
      <c r="BH9" s="1005">
        <v>0.25745569000000001</v>
      </c>
      <c r="BI9" s="994">
        <v>0.23711089000000002</v>
      </c>
      <c r="BJ9" s="994">
        <v>0.21676858999999998</v>
      </c>
      <c r="BK9" s="994">
        <v>0.19638897</v>
      </c>
      <c r="BL9" s="994">
        <v>0.17601037</v>
      </c>
      <c r="BM9" s="994">
        <v>0.15561701</v>
      </c>
      <c r="BN9" s="994">
        <v>0.13521554</v>
      </c>
      <c r="BO9" s="994">
        <v>0.10169458000000001</v>
      </c>
      <c r="BP9" s="994">
        <v>9.4379119999999997E-2</v>
      </c>
      <c r="BQ9" s="994">
        <v>7.3208999999999996E-2</v>
      </c>
      <c r="BR9" s="994">
        <v>5.3566000000000003E-2</v>
      </c>
      <c r="BS9" s="994">
        <v>3.3923000000000002E-2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0.2</v>
      </c>
      <c r="BZ9" s="994">
        <v>0.19939475000000001</v>
      </c>
      <c r="CA9" s="994">
        <v>0.19877891</v>
      </c>
      <c r="CB9" s="994">
        <v>0.19815229000000001</v>
      </c>
      <c r="CC9" s="994">
        <v>0.19751470999999998</v>
      </c>
      <c r="CD9" s="994">
        <v>0.19686595000000001</v>
      </c>
      <c r="CE9" s="994">
        <v>0.19620587</v>
      </c>
      <c r="CF9" s="994">
        <v>0.19535148000000002</v>
      </c>
      <c r="CG9" s="994">
        <v>0.19463659</v>
      </c>
      <c r="CH9" s="994">
        <v>0.19415546</v>
      </c>
      <c r="CI9" s="994">
        <v>0.19415546</v>
      </c>
      <c r="CJ9" s="994">
        <v>0.19327789000000001</v>
      </c>
      <c r="CK9" s="994">
        <v>0.19327789000000001</v>
      </c>
      <c r="CL9" s="994">
        <v>0.19327789000000001</v>
      </c>
      <c r="CM9" s="994">
        <v>0.19327789000000001</v>
      </c>
      <c r="CN9" s="994">
        <v>0.19327789000000001</v>
      </c>
      <c r="CO9" s="994">
        <v>0.19327789000000001</v>
      </c>
      <c r="CP9" s="994">
        <v>0.19217789000000002</v>
      </c>
      <c r="CQ9" s="994">
        <v>0.19217789000000002</v>
      </c>
      <c r="CR9" s="994">
        <v>0.19217789000000002</v>
      </c>
      <c r="CS9" s="994">
        <v>0.19217789000000002</v>
      </c>
      <c r="CT9" s="994">
        <v>4.7035910699999999</v>
      </c>
      <c r="CU9" s="994">
        <v>1.04529614</v>
      </c>
      <c r="CV9" s="994">
        <v>0.95865197000000002</v>
      </c>
      <c r="CW9" s="994">
        <v>0.84571169000000002</v>
      </c>
      <c r="CX9" s="994">
        <v>0.81857190999999996</v>
      </c>
      <c r="CY9" s="994">
        <v>0.75884673999999996</v>
      </c>
      <c r="CZ9" s="994">
        <v>0.75754462</v>
      </c>
      <c r="DA9" s="994">
        <v>0.48851023999999998</v>
      </c>
      <c r="DB9" s="994">
        <v>0.76564319000000003</v>
      </c>
      <c r="DC9" s="994">
        <v>0.74433475999999998</v>
      </c>
      <c r="DD9" s="994">
        <v>0</v>
      </c>
      <c r="DE9" s="994">
        <v>0</v>
      </c>
      <c r="DF9" s="994">
        <v>0</v>
      </c>
      <c r="DG9" s="994">
        <v>0</v>
      </c>
      <c r="DH9" s="994">
        <v>1.5418479899999999</v>
      </c>
      <c r="DI9" s="994">
        <v>1.4101077399999999</v>
      </c>
      <c r="DJ9" s="994">
        <v>1.4001077399999999</v>
      </c>
      <c r="DK9" s="994">
        <v>1.3993538700000001</v>
      </c>
      <c r="DL9" s="994">
        <v>1.39857751</v>
      </c>
      <c r="DM9" s="994">
        <v>1.3927888500000001</v>
      </c>
      <c r="DN9" s="994">
        <v>1.39198771</v>
      </c>
      <c r="DO9" s="994">
        <v>1.3862378099999999</v>
      </c>
      <c r="DP9" s="994">
        <v>1.3854048000000001</v>
      </c>
      <c r="DQ9" s="994">
        <v>1.3845083499999999</v>
      </c>
      <c r="DR9" s="994">
        <v>1.38365991</v>
      </c>
      <c r="DS9" s="994">
        <v>1.3827896399999999</v>
      </c>
      <c r="DT9" s="994">
        <v>1.38190934</v>
      </c>
      <c r="DU9" s="994">
        <v>1.3810170100000001</v>
      </c>
      <c r="DV9" s="994">
        <v>1.3801077399999999</v>
      </c>
      <c r="DW9" s="994">
        <v>1.3801077399999999</v>
      </c>
      <c r="DX9" s="994">
        <v>1.4106077400000001</v>
      </c>
      <c r="DY9" s="994">
        <v>1.40997236</v>
      </c>
      <c r="DZ9" s="994">
        <v>1.40932692</v>
      </c>
      <c r="EA9" s="994">
        <v>1.7087021</v>
      </c>
      <c r="EB9" s="994">
        <v>15.097480150000001</v>
      </c>
      <c r="EC9" s="994">
        <v>16.789948509999999</v>
      </c>
      <c r="ED9" s="994">
        <v>16.782457109999999</v>
      </c>
      <c r="EE9" s="994">
        <v>16.50194492</v>
      </c>
      <c r="EK9" s="400"/>
    </row>
    <row r="10" spans="1:141" ht="19.8">
      <c r="A10" s="978" t="s">
        <v>2002</v>
      </c>
      <c r="B10" s="961">
        <f>+B8-B9</f>
        <v>535.77570623999998</v>
      </c>
      <c r="C10" s="961">
        <f t="shared" ref="C10:V10" si="0">+C8-C9</f>
        <v>579.21437953999998</v>
      </c>
      <c r="D10" s="961">
        <f t="shared" si="0"/>
        <v>592.49954890000004</v>
      </c>
      <c r="E10" s="961">
        <f t="shared" si="0"/>
        <v>598.89998046000005</v>
      </c>
      <c r="F10" s="961">
        <f t="shared" si="0"/>
        <v>606.67838187999996</v>
      </c>
      <c r="G10" s="961">
        <f t="shared" si="0"/>
        <v>668.1912142299999</v>
      </c>
      <c r="H10" s="961">
        <f t="shared" si="0"/>
        <v>687.22044073999996</v>
      </c>
      <c r="I10" s="961">
        <f t="shared" si="0"/>
        <v>690.32461131999992</v>
      </c>
      <c r="J10" s="961">
        <f t="shared" si="0"/>
        <v>700.49509178000005</v>
      </c>
      <c r="K10" s="961">
        <f t="shared" si="0"/>
        <v>717.34922738</v>
      </c>
      <c r="L10" s="961">
        <f t="shared" si="0"/>
        <v>728.9535070500001</v>
      </c>
      <c r="M10" s="950">
        <f t="shared" si="0"/>
        <v>728.12107730999992</v>
      </c>
      <c r="N10" s="946">
        <f t="shared" si="0"/>
        <v>727.36360696000008</v>
      </c>
      <c r="O10" s="946">
        <f t="shared" si="0"/>
        <v>728.55808551000007</v>
      </c>
      <c r="P10" s="946">
        <f t="shared" si="0"/>
        <v>735.90756639999984</v>
      </c>
      <c r="Q10" s="946">
        <f t="shared" si="0"/>
        <v>743.82618409999998</v>
      </c>
      <c r="R10" s="946">
        <f t="shared" si="0"/>
        <v>751.08876049999992</v>
      </c>
      <c r="S10" s="946">
        <f t="shared" si="0"/>
        <v>755.44737350999992</v>
      </c>
      <c r="T10" s="946">
        <f t="shared" si="0"/>
        <v>756.18910546999996</v>
      </c>
      <c r="U10" s="946">
        <f t="shared" si="0"/>
        <v>780.56936704000009</v>
      </c>
      <c r="V10" s="946">
        <f t="shared" si="0"/>
        <v>801.82221698000001</v>
      </c>
      <c r="W10" s="946">
        <v>811.74815066000008</v>
      </c>
      <c r="X10" s="946">
        <v>831.17762471999993</v>
      </c>
      <c r="Y10" s="950">
        <v>841.37403456000015</v>
      </c>
      <c r="Z10" s="946">
        <v>836.49713955999982</v>
      </c>
      <c r="AA10" s="946">
        <v>929.62957609999989</v>
      </c>
      <c r="AB10" s="950">
        <v>925.59337706000008</v>
      </c>
      <c r="AC10" s="950">
        <v>930.37998699999969</v>
      </c>
      <c r="AD10" s="950">
        <v>927.83127223999986</v>
      </c>
      <c r="AE10" s="950">
        <v>930.73030132999997</v>
      </c>
      <c r="AF10" s="950">
        <v>939.48314055000003</v>
      </c>
      <c r="AG10" s="950">
        <v>941.74991448999992</v>
      </c>
      <c r="AH10" s="950">
        <f>+AH8-AH9</f>
        <v>750.29070611999998</v>
      </c>
      <c r="AI10" s="950">
        <v>678.23274723999998</v>
      </c>
      <c r="AJ10" s="950">
        <v>614.24776104999989</v>
      </c>
      <c r="AK10" s="950">
        <f>+AK8-AK9</f>
        <v>499.27524998000001</v>
      </c>
      <c r="AL10" s="950">
        <v>436.91381641999999</v>
      </c>
      <c r="AM10" s="950">
        <f>+AM8-AM9</f>
        <v>434.60873617999999</v>
      </c>
      <c r="AN10" s="950">
        <f>+AN8-AN9</f>
        <v>428.97133965</v>
      </c>
      <c r="AO10" s="950">
        <f>+AO8-AO9</f>
        <v>428.49026829000002</v>
      </c>
      <c r="AP10" s="950">
        <f>+AP8-AP9</f>
        <v>423.89839428999994</v>
      </c>
      <c r="AQ10" s="950">
        <v>421.36623725000004</v>
      </c>
      <c r="AR10" s="950">
        <v>396.54153540999994</v>
      </c>
      <c r="AS10" s="950">
        <f>+AS8-AS9</f>
        <v>397.18034039999998</v>
      </c>
      <c r="AT10" s="950">
        <f>+AT8-AT9</f>
        <v>406.23131639000002</v>
      </c>
      <c r="AU10" s="950">
        <v>397.12297754000002</v>
      </c>
      <c r="AV10" s="950">
        <v>416.17525397999998</v>
      </c>
      <c r="AW10" s="950">
        <v>435.68767512999995</v>
      </c>
      <c r="AX10" s="950">
        <v>429.51198389999996</v>
      </c>
      <c r="AY10" s="950">
        <v>431.17655786</v>
      </c>
      <c r="AZ10" s="950">
        <v>431.67964814000004</v>
      </c>
      <c r="BA10" s="950">
        <v>436.17785429999998</v>
      </c>
      <c r="BB10" s="950">
        <v>426.00397708000003</v>
      </c>
      <c r="BC10" s="950">
        <v>421.39201057000002</v>
      </c>
      <c r="BD10" s="950">
        <f>+BD8-BD9</f>
        <v>439.12690562</v>
      </c>
      <c r="BE10" s="950">
        <v>450.75720240999993</v>
      </c>
      <c r="BF10" s="950">
        <v>449.30898935000005</v>
      </c>
      <c r="BG10" s="950">
        <v>432.44507732</v>
      </c>
      <c r="BH10" s="1005">
        <v>430.50672011</v>
      </c>
      <c r="BI10" s="994">
        <v>407.31187468000002</v>
      </c>
      <c r="BJ10" s="994">
        <v>401.17860191999995</v>
      </c>
      <c r="BK10" s="994">
        <v>394.13783274999997</v>
      </c>
      <c r="BL10" s="994">
        <v>403.30058890000004</v>
      </c>
      <c r="BM10" s="994">
        <v>411.27174308999997</v>
      </c>
      <c r="BN10" s="994">
        <v>421.52118425000003</v>
      </c>
      <c r="BO10" s="994">
        <v>420.49113492000004</v>
      </c>
      <c r="BP10" s="994">
        <v>417.94844646000007</v>
      </c>
      <c r="BQ10" s="994">
        <v>416.40431716999996</v>
      </c>
      <c r="BR10" s="994">
        <v>418.35395467000001</v>
      </c>
      <c r="BS10" s="994">
        <v>421.49400137999999</v>
      </c>
      <c r="BT10" s="994">
        <v>424.24412290999999</v>
      </c>
      <c r="BU10" s="994">
        <v>423.39805889999997</v>
      </c>
      <c r="BV10" s="994">
        <v>424.39075045999999</v>
      </c>
      <c r="BW10" s="994">
        <v>421.47231107000005</v>
      </c>
      <c r="BX10" s="994">
        <v>430.11766607999999</v>
      </c>
      <c r="BY10" s="994">
        <v>433.87224960000003</v>
      </c>
      <c r="BZ10" s="994">
        <v>451.77807094000002</v>
      </c>
      <c r="CA10" s="994">
        <v>456.29926431000001</v>
      </c>
      <c r="CB10" s="994">
        <v>455.85732831000007</v>
      </c>
      <c r="CC10" s="994">
        <v>460.04049827</v>
      </c>
      <c r="CD10" s="994">
        <v>469.27705964999996</v>
      </c>
      <c r="CE10" s="994">
        <f t="shared" ref="CE10:CP10" si="1">+CE8-CE9</f>
        <v>472.83235814</v>
      </c>
      <c r="CF10" s="994">
        <f t="shared" si="1"/>
        <v>472.17949333000001</v>
      </c>
      <c r="CG10" s="994">
        <f t="shared" si="1"/>
        <v>484.94500423000005</v>
      </c>
      <c r="CH10" s="994">
        <f t="shared" si="1"/>
        <v>481.84030816000006</v>
      </c>
      <c r="CI10" s="994">
        <f t="shared" si="1"/>
        <v>475.83221021000003</v>
      </c>
      <c r="CJ10" s="994">
        <f t="shared" si="1"/>
        <v>477.29140763999999</v>
      </c>
      <c r="CK10" s="994">
        <f t="shared" si="1"/>
        <v>533.12781122000001</v>
      </c>
      <c r="CL10" s="994">
        <f t="shared" si="1"/>
        <v>532.76644234000003</v>
      </c>
      <c r="CM10" s="994">
        <f t="shared" si="1"/>
        <v>524.74695032</v>
      </c>
      <c r="CN10" s="994">
        <f t="shared" si="1"/>
        <v>525.35212533000004</v>
      </c>
      <c r="CO10" s="994">
        <f t="shared" si="1"/>
        <v>529.73955963000003</v>
      </c>
      <c r="CP10" s="994">
        <f t="shared" si="1"/>
        <v>534.2353171499999</v>
      </c>
      <c r="CQ10" s="994">
        <f>+CQ8-CQ9</f>
        <v>522.99491940999985</v>
      </c>
      <c r="CR10" s="994">
        <f>+CR8-CR9</f>
        <v>524.72977170000001</v>
      </c>
      <c r="CS10" s="994">
        <f>+CS8-CS9</f>
        <v>531.09258104999992</v>
      </c>
      <c r="CT10" s="994">
        <v>533.28727937999997</v>
      </c>
      <c r="CU10" s="994">
        <v>533.79545180000002</v>
      </c>
      <c r="CV10" s="994">
        <v>539.75311106000004</v>
      </c>
      <c r="CW10" s="994">
        <v>533.10397494999995</v>
      </c>
      <c r="CX10" s="994">
        <v>535.30101751999996</v>
      </c>
      <c r="CY10" s="994">
        <v>537.46741239000005</v>
      </c>
      <c r="CZ10" s="994">
        <v>533.28717400999994</v>
      </c>
      <c r="DA10" s="994">
        <v>542.07791325999995</v>
      </c>
      <c r="DB10" s="994">
        <v>545.54043990000002</v>
      </c>
      <c r="DC10" s="994">
        <v>546.39003333999995</v>
      </c>
      <c r="DD10" s="994">
        <v>551.93139554000004</v>
      </c>
      <c r="DE10" s="994">
        <v>563.21427217999997</v>
      </c>
      <c r="DF10" s="994">
        <v>567.29357872000003</v>
      </c>
      <c r="DG10" s="994">
        <v>563.14749876999997</v>
      </c>
      <c r="DH10" s="994">
        <v>570.57686746000002</v>
      </c>
      <c r="DI10" s="994">
        <v>566.08178200999998</v>
      </c>
      <c r="DJ10" s="994">
        <v>570.82440481000003</v>
      </c>
      <c r="DK10" s="994">
        <v>570.19978245000004</v>
      </c>
      <c r="DL10" s="994">
        <v>569.81314363000001</v>
      </c>
      <c r="DM10" s="994">
        <v>571.74486629</v>
      </c>
      <c r="DN10" s="994">
        <v>590.38229837999995</v>
      </c>
      <c r="DO10" s="994">
        <v>595.74002103999999</v>
      </c>
      <c r="DP10" s="994">
        <v>594.51352300999997</v>
      </c>
      <c r="DQ10" s="994">
        <v>582.28291839999997</v>
      </c>
      <c r="DR10" s="994">
        <v>570.29184287999999</v>
      </c>
      <c r="DS10" s="994">
        <v>571.50631705000001</v>
      </c>
      <c r="DT10" s="994">
        <v>526.24207019999994</v>
      </c>
      <c r="DU10" s="994">
        <v>499.40752817999999</v>
      </c>
      <c r="DV10" s="994">
        <v>493.05546055999997</v>
      </c>
      <c r="DW10" s="994">
        <v>498.05339154000001</v>
      </c>
      <c r="DX10" s="994">
        <v>495.01039044999999</v>
      </c>
      <c r="DY10" s="994">
        <v>500.18509570999998</v>
      </c>
      <c r="DZ10" s="994">
        <v>520.99587033</v>
      </c>
      <c r="EA10" s="994">
        <v>490.17249048999997</v>
      </c>
      <c r="EB10" s="994">
        <v>480.70265959</v>
      </c>
      <c r="EC10" s="994">
        <v>470.32001352999998</v>
      </c>
      <c r="ED10" s="994">
        <v>458.19373621</v>
      </c>
      <c r="EE10" s="994">
        <v>450.93837933999998</v>
      </c>
      <c r="EK10" s="400"/>
    </row>
    <row r="11" spans="1:141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  <c r="EK11" s="400"/>
    </row>
    <row r="12" spans="1:141" ht="19.8">
      <c r="A12" s="976" t="s">
        <v>2821</v>
      </c>
      <c r="B12" s="961">
        <v>25.181057280000001</v>
      </c>
      <c r="C12" s="961">
        <v>23.17254629</v>
      </c>
      <c r="D12" s="961">
        <v>23.515247970000001</v>
      </c>
      <c r="E12" s="961">
        <v>23.32299991</v>
      </c>
      <c r="F12" s="961">
        <v>20.912237090000001</v>
      </c>
      <c r="G12" s="961">
        <v>19.994313229999999</v>
      </c>
      <c r="H12" s="961">
        <v>24.094538880000002</v>
      </c>
      <c r="I12" s="961">
        <v>23.425630659999999</v>
      </c>
      <c r="J12" s="961">
        <v>23.54716166</v>
      </c>
      <c r="K12" s="961">
        <v>11.83543813</v>
      </c>
      <c r="L12" s="961">
        <v>12.783076520000002</v>
      </c>
      <c r="M12" s="946">
        <v>9.9998674399999992</v>
      </c>
      <c r="N12" s="946">
        <v>10.801990720000001</v>
      </c>
      <c r="O12" s="946">
        <v>12.858881779999999</v>
      </c>
      <c r="P12" s="946">
        <v>12.748845580000001</v>
      </c>
      <c r="Q12" s="946">
        <v>13.80068399</v>
      </c>
      <c r="R12" s="946">
        <v>13.03366785</v>
      </c>
      <c r="S12" s="946">
        <v>13.331818680000001</v>
      </c>
      <c r="T12" s="946">
        <v>15.02423229</v>
      </c>
      <c r="U12" s="946">
        <v>15.419716080000001</v>
      </c>
      <c r="V12" s="946">
        <v>20.110669309999999</v>
      </c>
      <c r="W12" s="946">
        <v>19.235699969999999</v>
      </c>
      <c r="X12" s="946">
        <v>17.654506259999998</v>
      </c>
      <c r="Y12" s="946">
        <v>16.696881810000001</v>
      </c>
      <c r="Z12" s="946">
        <v>14.58842033</v>
      </c>
      <c r="AA12" s="946">
        <v>49.807785300000006</v>
      </c>
      <c r="AB12" s="946">
        <v>49.907215039999997</v>
      </c>
      <c r="AC12" s="946">
        <v>47.972993129999999</v>
      </c>
      <c r="AD12" s="946">
        <v>47.233040029999991</v>
      </c>
      <c r="AE12" s="946">
        <v>46.499896360000001</v>
      </c>
      <c r="AF12" s="946">
        <v>46.078589880000003</v>
      </c>
      <c r="AG12" s="946">
        <v>46.61092893</v>
      </c>
      <c r="AH12" s="946">
        <v>55.44632842</v>
      </c>
      <c r="AI12" s="946">
        <v>67.286100879999992</v>
      </c>
      <c r="AJ12" s="946">
        <v>39.942530500000004</v>
      </c>
      <c r="AK12" s="946">
        <v>27.870083620000003</v>
      </c>
      <c r="AL12" s="946">
        <v>15.76940832</v>
      </c>
      <c r="AM12" s="946">
        <v>17.050477139999998</v>
      </c>
      <c r="AN12" s="946">
        <v>16.081362389999999</v>
      </c>
      <c r="AO12" s="946">
        <v>15.92683195</v>
      </c>
      <c r="AP12" s="946">
        <v>19.341078930000002</v>
      </c>
      <c r="AQ12" s="946">
        <v>19.810265430000001</v>
      </c>
      <c r="AR12" s="946">
        <v>18.576014700000002</v>
      </c>
      <c r="AS12" s="946">
        <v>19.73811439</v>
      </c>
      <c r="AT12" s="946">
        <v>20.32672148</v>
      </c>
      <c r="AU12" s="946">
        <v>25.348172390000002</v>
      </c>
      <c r="AV12" s="946">
        <v>38.286129809999998</v>
      </c>
      <c r="AW12" s="946">
        <v>40.766107550000001</v>
      </c>
      <c r="AX12" s="946">
        <v>38.070309649999999</v>
      </c>
      <c r="AY12" s="946">
        <v>32.517607400000003</v>
      </c>
      <c r="AZ12" s="946">
        <v>29.936961799999999</v>
      </c>
      <c r="BA12" s="946">
        <v>31.436616580000003</v>
      </c>
      <c r="BB12" s="946">
        <v>29.229649629999997</v>
      </c>
      <c r="BC12" s="946">
        <v>25.500445220000003</v>
      </c>
      <c r="BD12" s="946">
        <v>26.725279010000001</v>
      </c>
      <c r="BE12" s="946">
        <v>27.313660149999997</v>
      </c>
      <c r="BF12" s="946">
        <v>28.236600670000001</v>
      </c>
      <c r="BG12" s="946">
        <v>27.232771540000002</v>
      </c>
      <c r="BH12" s="1004">
        <v>27.024991830000001</v>
      </c>
      <c r="BI12" s="993">
        <v>25.657519919999999</v>
      </c>
      <c r="BJ12" s="993">
        <v>23.668612840000002</v>
      </c>
      <c r="BK12" s="993">
        <v>22.689312290000004</v>
      </c>
      <c r="BL12" s="993">
        <v>18.191333239999999</v>
      </c>
      <c r="BM12" s="993">
        <v>16.910399309999999</v>
      </c>
      <c r="BN12" s="993">
        <v>24.520798689999999</v>
      </c>
      <c r="BO12" s="993">
        <v>16.873646780000001</v>
      </c>
      <c r="BP12" s="993">
        <v>8.3278624099999998</v>
      </c>
      <c r="BQ12" s="993">
        <v>9.1436185899999991</v>
      </c>
      <c r="BR12" s="993">
        <v>12.919905190000001</v>
      </c>
      <c r="BS12" s="993">
        <v>17.40324884</v>
      </c>
      <c r="BT12" s="993">
        <v>18.596923390000001</v>
      </c>
      <c r="BU12" s="993">
        <v>17.761837379999999</v>
      </c>
      <c r="BV12" s="993">
        <v>17.53343242</v>
      </c>
      <c r="BW12" s="993">
        <v>16.170923420000001</v>
      </c>
      <c r="BX12" s="993">
        <v>15.046143199999999</v>
      </c>
      <c r="BY12" s="993">
        <v>14.17346171</v>
      </c>
      <c r="BZ12" s="993">
        <v>14.16801413</v>
      </c>
      <c r="CA12" s="993">
        <v>15.314737839999999</v>
      </c>
      <c r="CB12" s="993">
        <v>22.927883300000001</v>
      </c>
      <c r="CC12" s="993">
        <v>20.273665390000001</v>
      </c>
      <c r="CD12" s="993">
        <v>17.915017339999999</v>
      </c>
      <c r="CE12" s="993">
        <v>22.139572520000002</v>
      </c>
      <c r="CF12" s="993">
        <v>21.710806380000001</v>
      </c>
      <c r="CG12" s="993">
        <v>16.627879849999999</v>
      </c>
      <c r="CH12" s="993">
        <v>15.45862498</v>
      </c>
      <c r="CI12" s="993">
        <v>15.974084229999999</v>
      </c>
      <c r="CJ12" s="993">
        <v>19.374206219999998</v>
      </c>
      <c r="CK12" s="993">
        <v>22.409400099999999</v>
      </c>
      <c r="CL12" s="993">
        <v>28.41693544</v>
      </c>
      <c r="CM12" s="993">
        <v>25.516618400000002</v>
      </c>
      <c r="CN12" s="993">
        <v>27.99050093</v>
      </c>
      <c r="CO12" s="993">
        <v>32.045104049999999</v>
      </c>
      <c r="CP12" s="993">
        <v>36.164188280000005</v>
      </c>
      <c r="CQ12" s="993">
        <v>36.168675929999999</v>
      </c>
      <c r="CR12" s="993">
        <v>33.650646710000004</v>
      </c>
      <c r="CS12" s="993">
        <v>36.538972510000001</v>
      </c>
      <c r="CT12" s="993">
        <v>37.613476749999997</v>
      </c>
      <c r="CU12" s="993">
        <v>40.013917239999998</v>
      </c>
      <c r="CV12" s="993">
        <v>35.044689060000003</v>
      </c>
      <c r="CW12" s="993">
        <v>34.645361379999997</v>
      </c>
      <c r="CX12" s="993">
        <v>33.159926609999999</v>
      </c>
      <c r="CY12" s="993">
        <v>33.086430219999997</v>
      </c>
      <c r="CZ12" s="993">
        <v>32.630194340000003</v>
      </c>
      <c r="DA12" s="993">
        <v>32.59198456</v>
      </c>
      <c r="DB12" s="993">
        <v>31.34809727</v>
      </c>
      <c r="DC12" s="993">
        <v>33.552122760000003</v>
      </c>
      <c r="DD12" s="993">
        <v>39.402580020000002</v>
      </c>
      <c r="DE12" s="993">
        <v>34.923373939999998</v>
      </c>
      <c r="DF12" s="993">
        <v>37.236315410000003</v>
      </c>
      <c r="DG12" s="993">
        <v>35.345243889999999</v>
      </c>
      <c r="DH12" s="993">
        <v>35.474892410000002</v>
      </c>
      <c r="DI12" s="993">
        <v>30.914786899999999</v>
      </c>
      <c r="DJ12" s="993">
        <v>36.054971369999997</v>
      </c>
      <c r="DK12" s="993">
        <v>86.991279739999996</v>
      </c>
      <c r="DL12" s="993">
        <v>88.615193270000006</v>
      </c>
      <c r="DM12" s="993">
        <v>90.489178789999997</v>
      </c>
      <c r="DN12" s="993">
        <v>109.21782786999999</v>
      </c>
      <c r="DO12" s="993">
        <v>116.68560581</v>
      </c>
      <c r="DP12" s="993">
        <v>117.94698446</v>
      </c>
      <c r="DQ12" s="993">
        <v>118.81436481999999</v>
      </c>
      <c r="DR12" s="993">
        <v>120.11734939999999</v>
      </c>
      <c r="DS12" s="993">
        <v>122.71903584</v>
      </c>
      <c r="DT12" s="993">
        <v>87.292808820000005</v>
      </c>
      <c r="DU12" s="993">
        <v>72.912156800000005</v>
      </c>
      <c r="DV12" s="993">
        <v>77.102308890000003</v>
      </c>
      <c r="DW12" s="993">
        <v>78.522214939999998</v>
      </c>
      <c r="DX12" s="993">
        <v>65.939053340000001</v>
      </c>
      <c r="DY12" s="993">
        <v>66.599867889999999</v>
      </c>
      <c r="DZ12" s="993">
        <v>69.651090620000005</v>
      </c>
      <c r="EA12" s="993">
        <v>67.357939229999999</v>
      </c>
      <c r="EB12" s="993">
        <v>69.601635439999995</v>
      </c>
      <c r="EC12" s="993">
        <v>59.261794289999997</v>
      </c>
      <c r="ED12" s="993">
        <v>55.384037970000001</v>
      </c>
      <c r="EE12" s="993">
        <v>47.54537011</v>
      </c>
      <c r="EK12" s="400"/>
    </row>
    <row r="13" spans="1:141" ht="19.8">
      <c r="A13" s="977" t="s">
        <v>2001</v>
      </c>
      <c r="B13" s="962">
        <v>0</v>
      </c>
      <c r="C13" s="962">
        <v>0</v>
      </c>
      <c r="D13" s="962">
        <v>0</v>
      </c>
      <c r="E13" s="962">
        <v>0</v>
      </c>
      <c r="F13" s="962">
        <v>0</v>
      </c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0.15065002</v>
      </c>
      <c r="CU13" s="994">
        <v>0.74781998000000005</v>
      </c>
      <c r="CV13" s="994">
        <v>0.66671670999999999</v>
      </c>
      <c r="CW13" s="994">
        <v>0.55942831999999998</v>
      </c>
      <c r="CX13" s="994">
        <v>0.53791522000000003</v>
      </c>
      <c r="CY13" s="994">
        <v>0.48383232999999998</v>
      </c>
      <c r="CZ13" s="994">
        <v>0.48823873000000001</v>
      </c>
      <c r="DA13" s="994">
        <v>0.41710795000000001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</v>
      </c>
      <c r="DI13" s="994">
        <v>0.01</v>
      </c>
      <c r="DJ13" s="994">
        <v>0.01</v>
      </c>
      <c r="DK13" s="994">
        <v>9.24613E-3</v>
      </c>
      <c r="DL13" s="994">
        <v>8.4697699999999997E-3</v>
      </c>
      <c r="DM13" s="994">
        <v>7.6811099999999997E-3</v>
      </c>
      <c r="DN13" s="994">
        <v>6.87997E-3</v>
      </c>
      <c r="DO13" s="994">
        <v>6.0734099999999996E-3</v>
      </c>
      <c r="DP13" s="994">
        <v>5.2404000000000001E-3</v>
      </c>
      <c r="DQ13" s="994">
        <v>4.4006100000000001E-3</v>
      </c>
      <c r="DR13" s="994">
        <v>3.5521699999999999E-3</v>
      </c>
      <c r="DS13" s="994">
        <v>2.6819000000000001E-3</v>
      </c>
      <c r="DT13" s="994">
        <v>1.8016E-3</v>
      </c>
      <c r="DU13" s="994">
        <v>9.0927E-4</v>
      </c>
      <c r="DV13" s="994">
        <v>0</v>
      </c>
      <c r="DW13" s="994">
        <v>0</v>
      </c>
      <c r="DX13" s="994">
        <v>0</v>
      </c>
      <c r="DY13" s="994">
        <v>0</v>
      </c>
      <c r="DZ13" s="994">
        <v>0</v>
      </c>
      <c r="EA13" s="994">
        <v>0</v>
      </c>
      <c r="EB13" s="994">
        <v>0</v>
      </c>
      <c r="EC13" s="994">
        <v>0</v>
      </c>
      <c r="ED13" s="994">
        <v>0</v>
      </c>
      <c r="EE13" s="994">
        <v>0</v>
      </c>
      <c r="EK13" s="400"/>
    </row>
    <row r="14" spans="1:141" ht="19.8">
      <c r="A14" s="978" t="s">
        <v>2002</v>
      </c>
      <c r="B14" s="962">
        <f>+B12-B13</f>
        <v>25.181057280000001</v>
      </c>
      <c r="C14" s="962">
        <f t="shared" ref="C14:V14" si="2">+C12-C13</f>
        <v>23.17254629</v>
      </c>
      <c r="D14" s="962">
        <f t="shared" si="2"/>
        <v>23.515247970000001</v>
      </c>
      <c r="E14" s="962">
        <f t="shared" si="2"/>
        <v>23.32299991</v>
      </c>
      <c r="F14" s="962">
        <f t="shared" si="2"/>
        <v>20.912237090000001</v>
      </c>
      <c r="G14" s="962">
        <f t="shared" si="2"/>
        <v>19.994313229999999</v>
      </c>
      <c r="H14" s="962">
        <f t="shared" si="2"/>
        <v>24.094538880000002</v>
      </c>
      <c r="I14" s="962">
        <f t="shared" si="2"/>
        <v>23.425630659999999</v>
      </c>
      <c r="J14" s="962">
        <f t="shared" si="2"/>
        <v>23.54716166</v>
      </c>
      <c r="K14" s="962">
        <f t="shared" si="2"/>
        <v>11.83543813</v>
      </c>
      <c r="L14" s="962">
        <f t="shared" si="2"/>
        <v>12.783076520000002</v>
      </c>
      <c r="M14" s="950">
        <f t="shared" si="2"/>
        <v>9.9998674399999992</v>
      </c>
      <c r="N14" s="950">
        <f t="shared" si="2"/>
        <v>10.801990720000001</v>
      </c>
      <c r="O14" s="950">
        <f t="shared" si="2"/>
        <v>12.858881779999999</v>
      </c>
      <c r="P14" s="950">
        <f t="shared" si="2"/>
        <v>12.748845580000001</v>
      </c>
      <c r="Q14" s="950">
        <f t="shared" si="2"/>
        <v>13.80068399</v>
      </c>
      <c r="R14" s="950">
        <f t="shared" si="2"/>
        <v>13.03366785</v>
      </c>
      <c r="S14" s="950">
        <f t="shared" si="2"/>
        <v>13.331818680000001</v>
      </c>
      <c r="T14" s="950">
        <f t="shared" si="2"/>
        <v>15.02423229</v>
      </c>
      <c r="U14" s="950">
        <f t="shared" si="2"/>
        <v>15.419716080000001</v>
      </c>
      <c r="V14" s="950">
        <f t="shared" si="2"/>
        <v>20.110669309999999</v>
      </c>
      <c r="W14" s="950">
        <v>19.235699969999999</v>
      </c>
      <c r="X14" s="950">
        <v>17.654506259999998</v>
      </c>
      <c r="Y14" s="950">
        <v>16.696881810000001</v>
      </c>
      <c r="Z14" s="950">
        <v>14.58842033</v>
      </c>
      <c r="AA14" s="950">
        <v>49.807785300000006</v>
      </c>
      <c r="AB14" s="950">
        <v>49.907215039999997</v>
      </c>
      <c r="AC14" s="950">
        <v>47.972993129999999</v>
      </c>
      <c r="AD14" s="950">
        <v>47.233040029999991</v>
      </c>
      <c r="AE14" s="950">
        <v>46.499896360000001</v>
      </c>
      <c r="AF14" s="950">
        <v>46.078589880000003</v>
      </c>
      <c r="AG14" s="950">
        <v>46.61092893</v>
      </c>
      <c r="AH14" s="950">
        <f>+AH12-AH13</f>
        <v>55.44632842</v>
      </c>
      <c r="AI14" s="950">
        <v>67.286100879999992</v>
      </c>
      <c r="AJ14" s="950">
        <v>39.942530500000004</v>
      </c>
      <c r="AK14" s="950">
        <f>+AK12-AK13</f>
        <v>27.870083620000003</v>
      </c>
      <c r="AL14" s="950">
        <v>15.76940832</v>
      </c>
      <c r="AM14" s="950">
        <f>+AM12-AM13</f>
        <v>17.050477139999998</v>
      </c>
      <c r="AN14" s="950">
        <f>+AN12-AN13</f>
        <v>16.081362389999999</v>
      </c>
      <c r="AO14" s="950">
        <f>+AO12-AO13</f>
        <v>15.92683195</v>
      </c>
      <c r="AP14" s="950">
        <f>+AP12-AP13</f>
        <v>19.341078930000002</v>
      </c>
      <c r="AQ14" s="950">
        <v>19.810265430000001</v>
      </c>
      <c r="AR14" s="950">
        <v>18.576014700000002</v>
      </c>
      <c r="AS14" s="950">
        <f>+AS12-AS13</f>
        <v>19.73811439</v>
      </c>
      <c r="AT14" s="950">
        <f>+AT12-AT13</f>
        <v>20.32672148</v>
      </c>
      <c r="AU14" s="950">
        <v>25.348172390000002</v>
      </c>
      <c r="AV14" s="950">
        <v>38.286129809999998</v>
      </c>
      <c r="AW14" s="950">
        <v>40.766107550000001</v>
      </c>
      <c r="AX14" s="950">
        <v>38.070309649999999</v>
      </c>
      <c r="AY14" s="950">
        <v>32.517607400000003</v>
      </c>
      <c r="AZ14" s="950">
        <v>29.936961799999999</v>
      </c>
      <c r="BA14" s="950">
        <v>31.436616580000003</v>
      </c>
      <c r="BB14" s="950">
        <v>29.229649629999997</v>
      </c>
      <c r="BC14" s="950">
        <v>25.500445220000003</v>
      </c>
      <c r="BD14" s="950">
        <f>+BD12-BD13</f>
        <v>26.725279010000001</v>
      </c>
      <c r="BE14" s="950">
        <v>27.313660149999997</v>
      </c>
      <c r="BF14" s="950">
        <v>28.236600670000001</v>
      </c>
      <c r="BG14" s="950">
        <v>27.232771540000002</v>
      </c>
      <c r="BH14" s="1005">
        <v>27.024991830000001</v>
      </c>
      <c r="BI14" s="994">
        <v>25.657519919999999</v>
      </c>
      <c r="BJ14" s="994">
        <v>23.668612840000002</v>
      </c>
      <c r="BK14" s="994">
        <v>22.689312290000004</v>
      </c>
      <c r="BL14" s="994">
        <v>18.191333239999999</v>
      </c>
      <c r="BM14" s="994">
        <v>16.910399309999999</v>
      </c>
      <c r="BN14" s="994">
        <v>24.520798689999999</v>
      </c>
      <c r="BO14" s="994">
        <v>16.873646780000001</v>
      </c>
      <c r="BP14" s="994">
        <v>8.3278624099999998</v>
      </c>
      <c r="BQ14" s="994">
        <v>9.1436185899999991</v>
      </c>
      <c r="BR14" s="994">
        <v>12.919905190000001</v>
      </c>
      <c r="BS14" s="994">
        <v>17.40324884</v>
      </c>
      <c r="BT14" s="994">
        <v>18.596923390000001</v>
      </c>
      <c r="BU14" s="994">
        <v>17.761837379999999</v>
      </c>
      <c r="BV14" s="994">
        <v>17.53343242</v>
      </c>
      <c r="BW14" s="994">
        <v>16.170923420000001</v>
      </c>
      <c r="BX14" s="994">
        <v>15.046143199999999</v>
      </c>
      <c r="BY14" s="994">
        <v>14.17346171</v>
      </c>
      <c r="BZ14" s="994">
        <v>14.16801413</v>
      </c>
      <c r="CA14" s="994">
        <v>15.314737839999999</v>
      </c>
      <c r="CB14" s="994">
        <v>22.927883300000001</v>
      </c>
      <c r="CC14" s="994">
        <v>20.273665390000001</v>
      </c>
      <c r="CD14" s="994">
        <v>17.915017339999999</v>
      </c>
      <c r="CE14" s="994">
        <f t="shared" ref="CE14:CP14" si="3">+CE12-CE13</f>
        <v>22.139572520000002</v>
      </c>
      <c r="CF14" s="994">
        <f t="shared" si="3"/>
        <v>21.710806380000001</v>
      </c>
      <c r="CG14" s="994">
        <f t="shared" si="3"/>
        <v>16.627879849999999</v>
      </c>
      <c r="CH14" s="994">
        <f t="shared" si="3"/>
        <v>15.45862498</v>
      </c>
      <c r="CI14" s="994">
        <f t="shared" si="3"/>
        <v>15.974084229999999</v>
      </c>
      <c r="CJ14" s="994">
        <f t="shared" si="3"/>
        <v>19.374206219999998</v>
      </c>
      <c r="CK14" s="994">
        <f t="shared" si="3"/>
        <v>22.409400099999999</v>
      </c>
      <c r="CL14" s="994">
        <f t="shared" si="3"/>
        <v>28.41693544</v>
      </c>
      <c r="CM14" s="994">
        <f t="shared" si="3"/>
        <v>25.516618400000002</v>
      </c>
      <c r="CN14" s="994">
        <f t="shared" si="3"/>
        <v>27.99050093</v>
      </c>
      <c r="CO14" s="994">
        <f t="shared" si="3"/>
        <v>32.045104049999999</v>
      </c>
      <c r="CP14" s="994">
        <f t="shared" si="3"/>
        <v>36.164188280000005</v>
      </c>
      <c r="CQ14" s="994">
        <f>+CQ12-CQ13</f>
        <v>36.168675929999999</v>
      </c>
      <c r="CR14" s="994">
        <f>+CR12-CR13</f>
        <v>33.650646710000004</v>
      </c>
      <c r="CS14" s="994">
        <f>+CS12-CS13</f>
        <v>36.538972510000001</v>
      </c>
      <c r="CT14" s="994">
        <v>37.462826730000003</v>
      </c>
      <c r="CU14" s="994">
        <v>39.266097260000002</v>
      </c>
      <c r="CV14" s="994">
        <v>34.37797235</v>
      </c>
      <c r="CW14" s="994">
        <v>34.085933060000002</v>
      </c>
      <c r="CX14" s="994">
        <v>32.622011389999997</v>
      </c>
      <c r="CY14" s="994">
        <v>32.602597889999998</v>
      </c>
      <c r="CZ14" s="994">
        <v>32.141955609999997</v>
      </c>
      <c r="DA14" s="994">
        <v>32.174876609999998</v>
      </c>
      <c r="DB14" s="994">
        <v>31.34809727</v>
      </c>
      <c r="DC14" s="994">
        <v>33.552122760000003</v>
      </c>
      <c r="DD14" s="994">
        <v>39.402580020000002</v>
      </c>
      <c r="DE14" s="994">
        <v>34.923373939999998</v>
      </c>
      <c r="DF14" s="994">
        <v>37.236315410000003</v>
      </c>
      <c r="DG14" s="994">
        <v>35.345243889999999</v>
      </c>
      <c r="DH14" s="994">
        <v>35.474892410000002</v>
      </c>
      <c r="DI14" s="994">
        <v>30.904786900000001</v>
      </c>
      <c r="DJ14" s="994">
        <v>36.044971369999999</v>
      </c>
      <c r="DK14" s="994">
        <v>86.982033610000002</v>
      </c>
      <c r="DL14" s="994">
        <v>88.606723500000001</v>
      </c>
      <c r="DM14" s="994">
        <v>90.481497680000004</v>
      </c>
      <c r="DN14" s="994">
        <v>109.21094789999999</v>
      </c>
      <c r="DO14" s="994">
        <v>116.6795324</v>
      </c>
      <c r="DP14" s="994">
        <v>117.94174406</v>
      </c>
      <c r="DQ14" s="994">
        <v>118.80996421</v>
      </c>
      <c r="DR14" s="994">
        <v>120.11379723</v>
      </c>
      <c r="DS14" s="994">
        <v>122.71635394</v>
      </c>
      <c r="DT14" s="994">
        <v>87.291007219999997</v>
      </c>
      <c r="DU14" s="994">
        <v>72.911247529999997</v>
      </c>
      <c r="DV14" s="994">
        <v>77.102308890000003</v>
      </c>
      <c r="DW14" s="994">
        <v>78.522214939999998</v>
      </c>
      <c r="DX14" s="994">
        <v>65.939053340000001</v>
      </c>
      <c r="DY14" s="994">
        <v>66.599867889999999</v>
      </c>
      <c r="DZ14" s="994">
        <v>69.651090620000005</v>
      </c>
      <c r="EA14" s="994">
        <v>67.357939229999999</v>
      </c>
      <c r="EB14" s="994">
        <v>69.601635439999995</v>
      </c>
      <c r="EC14" s="994">
        <v>59.261794289999997</v>
      </c>
      <c r="ED14" s="994">
        <v>55.384037970000001</v>
      </c>
      <c r="EE14" s="994">
        <v>47.54537011</v>
      </c>
      <c r="EK14" s="400"/>
    </row>
    <row r="15" spans="1:141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  <c r="EK15" s="400"/>
    </row>
    <row r="16" spans="1:141" ht="19.8">
      <c r="A16" s="1513" t="s">
        <v>189</v>
      </c>
      <c r="B16" s="962">
        <v>22.695528840000001</v>
      </c>
      <c r="C16" s="962">
        <v>20.890334410000001</v>
      </c>
      <c r="D16" s="962">
        <v>21.26644881</v>
      </c>
      <c r="E16" s="962">
        <v>20.856800549999999</v>
      </c>
      <c r="F16" s="962">
        <v>18.340524590000001</v>
      </c>
      <c r="G16" s="962">
        <v>17.26524543</v>
      </c>
      <c r="H16" s="962">
        <v>20.05758544</v>
      </c>
      <c r="I16" s="962">
        <v>20.655252699999998</v>
      </c>
      <c r="J16" s="962">
        <v>20.714459179999999</v>
      </c>
      <c r="K16" s="962">
        <v>8.6646376600000004</v>
      </c>
      <c r="L16" s="962">
        <v>9.5099155500000006</v>
      </c>
      <c r="M16" s="946">
        <v>7.0525188499999993</v>
      </c>
      <c r="N16" s="950">
        <v>7.0799711100000007</v>
      </c>
      <c r="O16" s="950">
        <v>9.4274865399999985</v>
      </c>
      <c r="P16" s="950">
        <v>9.1665198300000004</v>
      </c>
      <c r="Q16" s="950">
        <v>10.17029773</v>
      </c>
      <c r="R16" s="950">
        <v>9.4600307499999996</v>
      </c>
      <c r="S16" s="950">
        <v>10.03137532</v>
      </c>
      <c r="T16" s="950">
        <v>11.725306810000001</v>
      </c>
      <c r="U16" s="950">
        <v>11.930375769999999</v>
      </c>
      <c r="V16" s="950">
        <v>12.21865092</v>
      </c>
      <c r="W16" s="950">
        <v>11.548101109999999</v>
      </c>
      <c r="X16" s="950">
        <v>10.67725787</v>
      </c>
      <c r="Y16" s="946">
        <v>10.285120730000001</v>
      </c>
      <c r="Z16" s="950">
        <v>8.6847655100000001</v>
      </c>
      <c r="AA16" s="950">
        <v>9.1517091599999993</v>
      </c>
      <c r="AB16" s="946">
        <v>9.7346583199999994</v>
      </c>
      <c r="AC16" s="946">
        <v>8.0239724199999998</v>
      </c>
      <c r="AD16" s="946">
        <v>7.5614438699999997</v>
      </c>
      <c r="AE16" s="946">
        <v>4.7137675099999994</v>
      </c>
      <c r="AF16" s="946">
        <v>4.6946645</v>
      </c>
      <c r="AG16" s="946">
        <v>6.2735253899999996</v>
      </c>
      <c r="AH16" s="946">
        <v>9.881169550000001</v>
      </c>
      <c r="AI16" s="946">
        <v>25.408566690000001</v>
      </c>
      <c r="AJ16" s="946">
        <v>8.9951400100000001</v>
      </c>
      <c r="AK16" s="946">
        <v>10.74232559</v>
      </c>
      <c r="AL16" s="946">
        <v>4.58258425</v>
      </c>
      <c r="AM16" s="946">
        <v>4.5534561900000003</v>
      </c>
      <c r="AN16" s="946">
        <v>3.8739347000000004</v>
      </c>
      <c r="AO16" s="946">
        <v>3.9877050400000003</v>
      </c>
      <c r="AP16" s="946">
        <v>7.0837094199999999</v>
      </c>
      <c r="AQ16" s="946">
        <v>6.5798752499999997</v>
      </c>
      <c r="AR16" s="946">
        <v>4.9355694899999998</v>
      </c>
      <c r="AS16" s="946">
        <v>5.2691645400000002</v>
      </c>
      <c r="AT16" s="946">
        <v>7.2464831799999994</v>
      </c>
      <c r="AU16" s="946">
        <v>12.236266220000001</v>
      </c>
      <c r="AV16" s="946">
        <v>12.683450449999999</v>
      </c>
      <c r="AW16" s="946">
        <v>11.7361</v>
      </c>
      <c r="AX16" s="946">
        <v>11.062770369999999</v>
      </c>
      <c r="AY16" s="946">
        <v>8.8893246000000001</v>
      </c>
      <c r="AZ16" s="946">
        <v>6.3513233499999995</v>
      </c>
      <c r="BA16" s="946">
        <v>6.5534191599999998</v>
      </c>
      <c r="BB16" s="946">
        <v>8.1421782199999999</v>
      </c>
      <c r="BC16" s="946">
        <v>9.2882789800000012</v>
      </c>
      <c r="BD16" s="946">
        <v>9.6442734800000007</v>
      </c>
      <c r="BE16" s="946">
        <v>10.286144439999999</v>
      </c>
      <c r="BF16" s="946">
        <v>10.86967303</v>
      </c>
      <c r="BG16" s="946">
        <v>11.29339839</v>
      </c>
      <c r="BH16" s="1004">
        <v>11.05516976</v>
      </c>
      <c r="BI16" s="993">
        <v>9.1208618599999998</v>
      </c>
      <c r="BJ16" s="993">
        <v>7.3530651799999998</v>
      </c>
      <c r="BK16" s="993">
        <v>6.5993044900000006</v>
      </c>
      <c r="BL16" s="993">
        <v>6.1543015599999995</v>
      </c>
      <c r="BM16" s="993">
        <v>3.9121708900000001</v>
      </c>
      <c r="BN16" s="993">
        <v>11.179279169999999</v>
      </c>
      <c r="BO16" s="993">
        <v>4.1727307299999996</v>
      </c>
      <c r="BP16" s="993">
        <v>3.8526824</v>
      </c>
      <c r="BQ16" s="993">
        <v>4.5731438899999999</v>
      </c>
      <c r="BR16" s="993">
        <v>5.2020749800000008</v>
      </c>
      <c r="BS16" s="993">
        <v>4.3392003099999998</v>
      </c>
      <c r="BT16" s="993">
        <v>5.9279157300000005</v>
      </c>
      <c r="BU16" s="993">
        <v>4.8522591799999999</v>
      </c>
      <c r="BV16" s="993">
        <v>4.6383788099999999</v>
      </c>
      <c r="BW16" s="993">
        <v>4.1150389399999998</v>
      </c>
      <c r="BX16" s="993">
        <v>3.17513617</v>
      </c>
      <c r="BY16" s="993">
        <v>3.2384613500000001</v>
      </c>
      <c r="BZ16" s="993">
        <v>3.4629975499999999</v>
      </c>
      <c r="CA16" s="993">
        <v>4.81275678</v>
      </c>
      <c r="CB16" s="993">
        <v>11.056598130000001</v>
      </c>
      <c r="CC16" s="993">
        <v>12.779335400000001</v>
      </c>
      <c r="CD16" s="993">
        <v>9.1595892600000006</v>
      </c>
      <c r="CE16" s="993">
        <v>12.578168529999999</v>
      </c>
      <c r="CF16" s="993">
        <v>9.8647212700000004</v>
      </c>
      <c r="CG16" s="993">
        <v>6.1298163299999997</v>
      </c>
      <c r="CH16" s="993">
        <v>5.0538765899999998</v>
      </c>
      <c r="CI16" s="993">
        <v>5.7517817199999994</v>
      </c>
      <c r="CJ16" s="993">
        <v>10.68652015</v>
      </c>
      <c r="CK16" s="993">
        <v>15.32800617</v>
      </c>
      <c r="CL16" s="993">
        <v>21.06094848</v>
      </c>
      <c r="CM16" s="993">
        <v>18.513227660000002</v>
      </c>
      <c r="CN16" s="993">
        <v>21.39640181</v>
      </c>
      <c r="CO16" s="993">
        <v>23.673364360000001</v>
      </c>
      <c r="CP16" s="993">
        <v>23.549526800000002</v>
      </c>
      <c r="CQ16" s="993">
        <v>23.169075039999999</v>
      </c>
      <c r="CR16" s="993">
        <v>21.78274</v>
      </c>
      <c r="CS16" s="993">
        <v>26.098823670000002</v>
      </c>
      <c r="CT16" s="993">
        <v>28.41779335</v>
      </c>
      <c r="CU16" s="993">
        <v>32.490309269999997</v>
      </c>
      <c r="CV16" s="993">
        <v>28.34126242</v>
      </c>
      <c r="CW16" s="993">
        <v>28.534701089999999</v>
      </c>
      <c r="CX16" s="993">
        <v>28.452213690000001</v>
      </c>
      <c r="CY16" s="993">
        <v>28.474260610000002</v>
      </c>
      <c r="CZ16" s="993">
        <v>28.687825289999999</v>
      </c>
      <c r="DA16" s="993">
        <v>23.89383101</v>
      </c>
      <c r="DB16" s="993">
        <v>19.74952626</v>
      </c>
      <c r="DC16" s="993">
        <v>21.3757585</v>
      </c>
      <c r="DD16" s="993">
        <v>27.015118529999999</v>
      </c>
      <c r="DE16" s="993">
        <v>24.674481830000001</v>
      </c>
      <c r="DF16" s="993">
        <v>26.810918050000002</v>
      </c>
      <c r="DG16" s="993">
        <v>25.670058839999999</v>
      </c>
      <c r="DH16" s="993">
        <v>26.476118979999999</v>
      </c>
      <c r="DI16" s="993">
        <v>23.985602409999998</v>
      </c>
      <c r="DJ16" s="993">
        <v>28.9076497</v>
      </c>
      <c r="DK16" s="993">
        <v>81.069003449999997</v>
      </c>
      <c r="DL16" s="993">
        <v>83.163940609999997</v>
      </c>
      <c r="DM16" s="993">
        <v>83.623311169999994</v>
      </c>
      <c r="DN16" s="993">
        <v>102.11006500000001</v>
      </c>
      <c r="DO16" s="993">
        <v>107.95423178</v>
      </c>
      <c r="DP16" s="993">
        <v>108.67068329999999</v>
      </c>
      <c r="DQ16" s="993">
        <v>106.79489187</v>
      </c>
      <c r="DR16" s="993">
        <v>108.81015796</v>
      </c>
      <c r="DS16" s="993">
        <v>113.55875268</v>
      </c>
      <c r="DT16" s="993">
        <v>79.241109410000007</v>
      </c>
      <c r="DU16" s="993">
        <v>67.430186559999996</v>
      </c>
      <c r="DV16" s="993">
        <v>71.784231329999997</v>
      </c>
      <c r="DW16" s="993">
        <v>73.026659890000005</v>
      </c>
      <c r="DX16" s="993">
        <v>60.409506210000004</v>
      </c>
      <c r="DY16" s="993">
        <v>57.333368749999998</v>
      </c>
      <c r="DZ16" s="993">
        <v>56.007124349999998</v>
      </c>
      <c r="EA16" s="993">
        <v>50.083628449999999</v>
      </c>
      <c r="EB16" s="993">
        <v>53.764610920000003</v>
      </c>
      <c r="EC16" s="993">
        <v>45.58919856</v>
      </c>
      <c r="ED16" s="993">
        <v>42.532673580000001</v>
      </c>
      <c r="EE16" s="993">
        <v>36.497515839999998</v>
      </c>
      <c r="EK16" s="400"/>
    </row>
    <row r="17" spans="1:141" ht="19.8">
      <c r="A17" s="1514" t="s">
        <v>2001</v>
      </c>
      <c r="B17" s="961">
        <v>0</v>
      </c>
      <c r="C17" s="961">
        <v>0</v>
      </c>
      <c r="D17" s="961">
        <v>0</v>
      </c>
      <c r="E17" s="961">
        <v>0</v>
      </c>
      <c r="F17" s="961">
        <v>0</v>
      </c>
      <c r="G17" s="961">
        <v>0</v>
      </c>
      <c r="H17" s="961">
        <v>0</v>
      </c>
      <c r="I17" s="961">
        <v>0</v>
      </c>
      <c r="J17" s="961">
        <v>0</v>
      </c>
      <c r="K17" s="961">
        <v>0</v>
      </c>
      <c r="L17" s="961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0.15065002</v>
      </c>
      <c r="CU17" s="994">
        <v>0.74781998000000005</v>
      </c>
      <c r="CV17" s="994">
        <v>0.66671670999999999</v>
      </c>
      <c r="CW17" s="994">
        <v>0.55942831999999998</v>
      </c>
      <c r="CX17" s="994">
        <v>0.53791522000000003</v>
      </c>
      <c r="CY17" s="994">
        <v>0.48383232999999998</v>
      </c>
      <c r="CZ17" s="994">
        <v>0.48823873000000001</v>
      </c>
      <c r="DA17" s="994">
        <v>0.41710795000000001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</v>
      </c>
      <c r="DI17" s="994">
        <v>0.01</v>
      </c>
      <c r="DJ17" s="994">
        <v>0.01</v>
      </c>
      <c r="DK17" s="994">
        <v>9.24613E-3</v>
      </c>
      <c r="DL17" s="994">
        <v>8.4697699999999997E-3</v>
      </c>
      <c r="DM17" s="994">
        <v>7.6811099999999997E-3</v>
      </c>
      <c r="DN17" s="994">
        <v>6.87997E-3</v>
      </c>
      <c r="DO17" s="994">
        <v>6.0734099999999996E-3</v>
      </c>
      <c r="DP17" s="994">
        <v>5.2404000000000001E-3</v>
      </c>
      <c r="DQ17" s="994">
        <v>4.4006100000000001E-3</v>
      </c>
      <c r="DR17" s="994">
        <v>3.5521699999999999E-3</v>
      </c>
      <c r="DS17" s="994">
        <v>2.6819000000000001E-3</v>
      </c>
      <c r="DT17" s="994">
        <v>1.8016E-3</v>
      </c>
      <c r="DU17" s="994">
        <v>9.0927E-4</v>
      </c>
      <c r="DV17" s="994">
        <v>0</v>
      </c>
      <c r="DW17" s="994">
        <v>0</v>
      </c>
      <c r="DX17" s="994">
        <v>0</v>
      </c>
      <c r="DY17" s="994">
        <v>0</v>
      </c>
      <c r="DZ17" s="994">
        <v>0</v>
      </c>
      <c r="EA17" s="994">
        <v>0</v>
      </c>
      <c r="EB17" s="994">
        <v>0</v>
      </c>
      <c r="EC17" s="994">
        <v>0</v>
      </c>
      <c r="ED17" s="994">
        <v>0</v>
      </c>
      <c r="EE17" s="994">
        <v>0</v>
      </c>
      <c r="EK17" s="400"/>
    </row>
    <row r="18" spans="1:141" ht="19.8">
      <c r="A18" s="1515" t="s">
        <v>2002</v>
      </c>
      <c r="B18" s="962">
        <f>+B16-B17</f>
        <v>22.695528840000001</v>
      </c>
      <c r="C18" s="962">
        <f t="shared" ref="C18:V18" si="4">+C16-C17</f>
        <v>20.890334410000001</v>
      </c>
      <c r="D18" s="962">
        <f t="shared" si="4"/>
        <v>21.26644881</v>
      </c>
      <c r="E18" s="962">
        <f t="shared" si="4"/>
        <v>20.856800549999999</v>
      </c>
      <c r="F18" s="962">
        <f t="shared" si="4"/>
        <v>18.340524590000001</v>
      </c>
      <c r="G18" s="962">
        <f t="shared" si="4"/>
        <v>17.26524543</v>
      </c>
      <c r="H18" s="962">
        <f t="shared" si="4"/>
        <v>20.05758544</v>
      </c>
      <c r="I18" s="962">
        <f t="shared" si="4"/>
        <v>20.655252699999998</v>
      </c>
      <c r="J18" s="962">
        <f t="shared" si="4"/>
        <v>20.714459179999999</v>
      </c>
      <c r="K18" s="962">
        <f t="shared" si="4"/>
        <v>8.6646376600000004</v>
      </c>
      <c r="L18" s="962">
        <f t="shared" si="4"/>
        <v>9.5099155500000006</v>
      </c>
      <c r="M18" s="950">
        <f t="shared" si="4"/>
        <v>7.0525188499999993</v>
      </c>
      <c r="N18" s="950">
        <f t="shared" si="4"/>
        <v>7.0799711100000007</v>
      </c>
      <c r="O18" s="950">
        <f t="shared" si="4"/>
        <v>9.4274865399999985</v>
      </c>
      <c r="P18" s="950">
        <f t="shared" si="4"/>
        <v>9.1665198300000004</v>
      </c>
      <c r="Q18" s="950">
        <f t="shared" si="4"/>
        <v>10.17029773</v>
      </c>
      <c r="R18" s="950">
        <f t="shared" si="4"/>
        <v>9.4600307499999996</v>
      </c>
      <c r="S18" s="950">
        <f t="shared" si="4"/>
        <v>10.03137532</v>
      </c>
      <c r="T18" s="950">
        <f t="shared" si="4"/>
        <v>11.725306810000001</v>
      </c>
      <c r="U18" s="950">
        <f t="shared" si="4"/>
        <v>11.930375769999999</v>
      </c>
      <c r="V18" s="950">
        <f t="shared" si="4"/>
        <v>12.21865092</v>
      </c>
      <c r="W18" s="950">
        <v>11.548101109999999</v>
      </c>
      <c r="X18" s="950">
        <v>10.67725787</v>
      </c>
      <c r="Y18" s="950">
        <v>10.285120730000001</v>
      </c>
      <c r="Z18" s="950">
        <v>8.6847655100000001</v>
      </c>
      <c r="AA18" s="950">
        <v>9.1517091599999993</v>
      </c>
      <c r="AB18" s="950">
        <v>9.7346583199999994</v>
      </c>
      <c r="AC18" s="950">
        <v>8.0239724199999998</v>
      </c>
      <c r="AD18" s="950">
        <v>7.5614438699999997</v>
      </c>
      <c r="AE18" s="950">
        <v>4.7137675099999994</v>
      </c>
      <c r="AF18" s="950">
        <v>4.6946645</v>
      </c>
      <c r="AG18" s="950">
        <v>6.2735253899999996</v>
      </c>
      <c r="AH18" s="950">
        <f>+AH16-AH17</f>
        <v>9.881169550000001</v>
      </c>
      <c r="AI18" s="950">
        <v>25.408566690000001</v>
      </c>
      <c r="AJ18" s="950">
        <v>8.9951400100000001</v>
      </c>
      <c r="AK18" s="950">
        <f>+AK16-AK17</f>
        <v>10.74232559</v>
      </c>
      <c r="AL18" s="950">
        <v>4.58258425</v>
      </c>
      <c r="AM18" s="950">
        <f>+AM16-AM17</f>
        <v>4.5534561900000003</v>
      </c>
      <c r="AN18" s="950">
        <f>+AN16-AN17</f>
        <v>3.8739347000000004</v>
      </c>
      <c r="AO18" s="950">
        <f>+AO16-AO17</f>
        <v>3.9877050400000003</v>
      </c>
      <c r="AP18" s="950">
        <f>+AP16-AP17</f>
        <v>7.0837094199999999</v>
      </c>
      <c r="AQ18" s="950">
        <v>6.5798752499999997</v>
      </c>
      <c r="AR18" s="950">
        <v>4.9355694899999998</v>
      </c>
      <c r="AS18" s="950">
        <f>+AS16-AS17</f>
        <v>5.2691645400000002</v>
      </c>
      <c r="AT18" s="950">
        <f>+AT16-AT17</f>
        <v>7.2464831799999994</v>
      </c>
      <c r="AU18" s="950">
        <v>12.236266220000001</v>
      </c>
      <c r="AV18" s="950">
        <v>12.683450449999999</v>
      </c>
      <c r="AW18" s="950">
        <v>11.7361</v>
      </c>
      <c r="AX18" s="950">
        <v>11.062770369999999</v>
      </c>
      <c r="AY18" s="950">
        <v>8.8893246000000001</v>
      </c>
      <c r="AZ18" s="950">
        <v>6.3513233499999995</v>
      </c>
      <c r="BA18" s="950">
        <v>6.5534191599999998</v>
      </c>
      <c r="BB18" s="950">
        <v>8.1421782199999999</v>
      </c>
      <c r="BC18" s="950">
        <v>9.2882789800000012</v>
      </c>
      <c r="BD18" s="950">
        <f>+BD16-BD17</f>
        <v>9.6442734800000007</v>
      </c>
      <c r="BE18" s="950">
        <v>10.286144439999999</v>
      </c>
      <c r="BF18" s="950">
        <v>10.86967303</v>
      </c>
      <c r="BG18" s="950">
        <v>11.29339839</v>
      </c>
      <c r="BH18" s="1005">
        <v>11.05516976</v>
      </c>
      <c r="BI18" s="994">
        <v>9.1208618599999998</v>
      </c>
      <c r="BJ18" s="994">
        <v>7.3530651799999998</v>
      </c>
      <c r="BK18" s="994">
        <v>6.5993044900000006</v>
      </c>
      <c r="BL18" s="994">
        <v>6.1543015599999995</v>
      </c>
      <c r="BM18" s="994">
        <v>3.9121708900000001</v>
      </c>
      <c r="BN18" s="994">
        <v>11.179279169999999</v>
      </c>
      <c r="BO18" s="994">
        <v>4.1727307299999996</v>
      </c>
      <c r="BP18" s="994">
        <v>3.8526824</v>
      </c>
      <c r="BQ18" s="994">
        <v>4.5731438899999999</v>
      </c>
      <c r="BR18" s="994">
        <v>5.2020749800000008</v>
      </c>
      <c r="BS18" s="994">
        <v>4.3392003099999998</v>
      </c>
      <c r="BT18" s="994">
        <v>5.9279157300000005</v>
      </c>
      <c r="BU18" s="994">
        <v>4.8522591799999999</v>
      </c>
      <c r="BV18" s="994">
        <v>4.6383788099999999</v>
      </c>
      <c r="BW18" s="994">
        <v>4.1150389399999998</v>
      </c>
      <c r="BX18" s="994">
        <v>3.17513617</v>
      </c>
      <c r="BY18" s="994">
        <v>3.2384613500000001</v>
      </c>
      <c r="BZ18" s="994">
        <v>3.4629975499999999</v>
      </c>
      <c r="CA18" s="994">
        <v>4.81275678</v>
      </c>
      <c r="CB18" s="994">
        <v>11.056598130000001</v>
      </c>
      <c r="CC18" s="994">
        <v>12.779335400000001</v>
      </c>
      <c r="CD18" s="994">
        <v>9.1595892600000006</v>
      </c>
      <c r="CE18" s="994">
        <f t="shared" ref="CE18:CP18" si="5">+CE16-CE17</f>
        <v>12.578168529999999</v>
      </c>
      <c r="CF18" s="994">
        <f t="shared" si="5"/>
        <v>9.8647212700000004</v>
      </c>
      <c r="CG18" s="994">
        <f t="shared" si="5"/>
        <v>6.1298163299999997</v>
      </c>
      <c r="CH18" s="994">
        <f t="shared" si="5"/>
        <v>5.0538765899999998</v>
      </c>
      <c r="CI18" s="994">
        <f t="shared" si="5"/>
        <v>5.7517817199999994</v>
      </c>
      <c r="CJ18" s="994">
        <f t="shared" si="5"/>
        <v>10.68652015</v>
      </c>
      <c r="CK18" s="994">
        <f t="shared" si="5"/>
        <v>15.32800617</v>
      </c>
      <c r="CL18" s="994">
        <f t="shared" si="5"/>
        <v>21.06094848</v>
      </c>
      <c r="CM18" s="994">
        <f t="shared" si="5"/>
        <v>18.513227660000002</v>
      </c>
      <c r="CN18" s="994">
        <f t="shared" si="5"/>
        <v>21.39640181</v>
      </c>
      <c r="CO18" s="994">
        <f t="shared" si="5"/>
        <v>23.673364360000001</v>
      </c>
      <c r="CP18" s="994">
        <f t="shared" si="5"/>
        <v>23.549526800000002</v>
      </c>
      <c r="CQ18" s="994">
        <f>+CQ16-CQ17</f>
        <v>23.169075039999999</v>
      </c>
      <c r="CR18" s="994">
        <f>+CR16-CR17</f>
        <v>21.78274</v>
      </c>
      <c r="CS18" s="994">
        <f>+CS16-CS17</f>
        <v>26.098823670000002</v>
      </c>
      <c r="CT18" s="994">
        <v>28.26714333</v>
      </c>
      <c r="CU18" s="994">
        <v>31.742489290000002</v>
      </c>
      <c r="CV18" s="994">
        <v>27.67454571</v>
      </c>
      <c r="CW18" s="994">
        <v>27.97527277</v>
      </c>
      <c r="CX18" s="994">
        <v>27.914298469999999</v>
      </c>
      <c r="CY18" s="994">
        <v>27.99042828</v>
      </c>
      <c r="CZ18" s="994">
        <v>28.19958656</v>
      </c>
      <c r="DA18" s="994">
        <v>23.476723060000001</v>
      </c>
      <c r="DB18" s="994">
        <v>19.74952626</v>
      </c>
      <c r="DC18" s="994">
        <v>21.3757585</v>
      </c>
      <c r="DD18" s="994">
        <v>27.015118529999999</v>
      </c>
      <c r="DE18" s="994">
        <v>24.674481830000001</v>
      </c>
      <c r="DF18" s="994">
        <v>26.810918050000002</v>
      </c>
      <c r="DG18" s="994">
        <v>25.670058839999999</v>
      </c>
      <c r="DH18" s="994">
        <v>26.476118979999999</v>
      </c>
      <c r="DI18" s="994">
        <v>23.97560241</v>
      </c>
      <c r="DJ18" s="994">
        <v>28.897649699999999</v>
      </c>
      <c r="DK18" s="994">
        <v>81.059757320000003</v>
      </c>
      <c r="DL18" s="994">
        <v>83.155470840000007</v>
      </c>
      <c r="DM18" s="994">
        <v>83.615630060000001</v>
      </c>
      <c r="DN18" s="994">
        <v>102.10318503000001</v>
      </c>
      <c r="DO18" s="994">
        <v>107.94815837</v>
      </c>
      <c r="DP18" s="994">
        <v>108.6654429</v>
      </c>
      <c r="DQ18" s="994">
        <v>106.79049126</v>
      </c>
      <c r="DR18" s="994">
        <v>108.80660579000001</v>
      </c>
      <c r="DS18" s="994">
        <v>113.55607078</v>
      </c>
      <c r="DT18" s="994">
        <v>79.23930781</v>
      </c>
      <c r="DU18" s="994">
        <v>67.429277290000002</v>
      </c>
      <c r="DV18" s="994">
        <v>71.784231329999997</v>
      </c>
      <c r="DW18" s="994">
        <v>73.026659890000005</v>
      </c>
      <c r="DX18" s="994">
        <v>60.409506210000004</v>
      </c>
      <c r="DY18" s="994">
        <v>57.333368749999998</v>
      </c>
      <c r="DZ18" s="994">
        <v>56.007124349999998</v>
      </c>
      <c r="EA18" s="994">
        <v>50.083628449999999</v>
      </c>
      <c r="EB18" s="994">
        <v>53.764610920000003</v>
      </c>
      <c r="EC18" s="994">
        <v>45.58919856</v>
      </c>
      <c r="ED18" s="994">
        <v>42.532673580000001</v>
      </c>
      <c r="EE18" s="994">
        <v>36.497515839999998</v>
      </c>
      <c r="EK18" s="400"/>
    </row>
    <row r="19" spans="1:141" ht="19.8">
      <c r="A19" s="1513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  <c r="EK19" s="400"/>
    </row>
    <row r="20" spans="1:141" ht="19.8">
      <c r="A20" s="1513" t="s">
        <v>2822</v>
      </c>
      <c r="B20" s="962">
        <v>2.48552844</v>
      </c>
      <c r="C20" s="962">
        <v>2.2822118799999997</v>
      </c>
      <c r="D20" s="962">
        <v>2.2487991600000004</v>
      </c>
      <c r="E20" s="962">
        <v>2.4661993600000001</v>
      </c>
      <c r="F20" s="962">
        <v>2.5717124999999998</v>
      </c>
      <c r="G20" s="962">
        <v>2.7290677999999997</v>
      </c>
      <c r="H20" s="962">
        <v>4.0369534399999996</v>
      </c>
      <c r="I20" s="962">
        <v>2.7703779599999998</v>
      </c>
      <c r="J20" s="962">
        <v>2.83270248</v>
      </c>
      <c r="K20" s="962">
        <v>3.1708004700000001</v>
      </c>
      <c r="L20" s="962">
        <v>3.2731609700000002</v>
      </c>
      <c r="M20" s="946">
        <v>2.9473485899999998</v>
      </c>
      <c r="N20" s="950">
        <v>3.7220196099999998</v>
      </c>
      <c r="O20" s="950">
        <v>3.4313952400000001</v>
      </c>
      <c r="P20" s="950">
        <v>3.5823257499999999</v>
      </c>
      <c r="Q20" s="950">
        <v>3.6303862599999999</v>
      </c>
      <c r="R20" s="950">
        <v>3.5736371</v>
      </c>
      <c r="S20" s="950">
        <v>3.30044336</v>
      </c>
      <c r="T20" s="950">
        <v>3.2989254799999999</v>
      </c>
      <c r="U20" s="950">
        <v>3.4893403100000002</v>
      </c>
      <c r="V20" s="950">
        <v>7.8920183899999996</v>
      </c>
      <c r="W20" s="950">
        <v>7.6875988600000005</v>
      </c>
      <c r="X20" s="950">
        <v>6.9772483899999997</v>
      </c>
      <c r="Y20" s="946">
        <v>6.4117610799999998</v>
      </c>
      <c r="Z20" s="950">
        <v>5.9036548199999999</v>
      </c>
      <c r="AA20" s="950">
        <v>40.656076140000003</v>
      </c>
      <c r="AB20" s="946">
        <v>40.172556719999996</v>
      </c>
      <c r="AC20" s="946">
        <v>39.949020709999999</v>
      </c>
      <c r="AD20" s="946">
        <v>39.671596159999993</v>
      </c>
      <c r="AE20" s="946">
        <v>41.786128850000004</v>
      </c>
      <c r="AF20" s="946">
        <v>41.383925380000001</v>
      </c>
      <c r="AG20" s="946">
        <v>40.337403539999997</v>
      </c>
      <c r="AH20" s="946">
        <v>45.565158869999998</v>
      </c>
      <c r="AI20" s="946">
        <v>41.877534189999999</v>
      </c>
      <c r="AJ20" s="946">
        <v>30.94739049</v>
      </c>
      <c r="AK20" s="946">
        <v>17.127758030000003</v>
      </c>
      <c r="AL20" s="946">
        <v>11.18682407</v>
      </c>
      <c r="AM20" s="946">
        <v>12.49702095</v>
      </c>
      <c r="AN20" s="946">
        <v>12.207427689999999</v>
      </c>
      <c r="AO20" s="946">
        <v>11.939126910000001</v>
      </c>
      <c r="AP20" s="946">
        <v>12.25736951</v>
      </c>
      <c r="AQ20" s="946">
        <v>13.230390180000001</v>
      </c>
      <c r="AR20" s="946">
        <v>13.640445210000001</v>
      </c>
      <c r="AS20" s="946">
        <v>14.46894985</v>
      </c>
      <c r="AT20" s="946">
        <f>AT12-AT16</f>
        <v>13.080238300000001</v>
      </c>
      <c r="AU20" s="946">
        <v>13.111906170000001</v>
      </c>
      <c r="AV20" s="946">
        <v>25.60267936</v>
      </c>
      <c r="AW20" s="946">
        <v>29.030007550000001</v>
      </c>
      <c r="AX20" s="946">
        <v>27.00753928</v>
      </c>
      <c r="AY20" s="946">
        <v>23.628282800000001</v>
      </c>
      <c r="AZ20" s="946">
        <v>23.585638449999998</v>
      </c>
      <c r="BA20" s="946">
        <v>24.883197420000002</v>
      </c>
      <c r="BB20" s="946">
        <v>21.087471409999999</v>
      </c>
      <c r="BC20" s="946">
        <v>16.212166240000002</v>
      </c>
      <c r="BD20" s="946">
        <v>17.081005530000002</v>
      </c>
      <c r="BE20" s="946">
        <v>17.027515709999999</v>
      </c>
      <c r="BF20" s="946">
        <v>17.36692764</v>
      </c>
      <c r="BG20" s="946">
        <v>15.939373150000002</v>
      </c>
      <c r="BH20" s="1004">
        <v>15.969822070000001</v>
      </c>
      <c r="BI20" s="993">
        <v>16.536658060000001</v>
      </c>
      <c r="BJ20" s="993">
        <v>16.31554766</v>
      </c>
      <c r="BK20" s="993">
        <v>16.090007800000002</v>
      </c>
      <c r="BL20" s="993">
        <v>12.037031679999998</v>
      </c>
      <c r="BM20" s="993">
        <v>12.998228419999998</v>
      </c>
      <c r="BN20" s="993">
        <v>13.34151952</v>
      </c>
      <c r="BO20" s="993">
        <v>12.700916050000002</v>
      </c>
      <c r="BP20" s="993">
        <v>4.4751800099999999</v>
      </c>
      <c r="BQ20" s="993">
        <v>4.5704746999999992</v>
      </c>
      <c r="BR20" s="993">
        <v>7.7178302100000007</v>
      </c>
      <c r="BS20" s="993">
        <v>13.064048530000001</v>
      </c>
      <c r="BT20" s="993">
        <v>12.66900766</v>
      </c>
      <c r="BU20" s="993">
        <v>12.909578199999999</v>
      </c>
      <c r="BV20" s="993">
        <v>12.895053610000001</v>
      </c>
      <c r="BW20" s="993">
        <v>12.055884480000001</v>
      </c>
      <c r="BX20" s="993">
        <v>11.871007029999999</v>
      </c>
      <c r="BY20" s="993">
        <v>10.93500036</v>
      </c>
      <c r="BZ20" s="993">
        <v>10.705016579999999</v>
      </c>
      <c r="CA20" s="993">
        <v>10.501981059999999</v>
      </c>
      <c r="CB20" s="993">
        <v>11.87128517</v>
      </c>
      <c r="CC20" s="993">
        <v>7.4943299900000007</v>
      </c>
      <c r="CD20" s="993">
        <v>8.7554280799999997</v>
      </c>
      <c r="CE20" s="993">
        <v>9.5614039900000005</v>
      </c>
      <c r="CF20" s="993">
        <v>11.846085109999999</v>
      </c>
      <c r="CG20" s="993">
        <v>10.498063519999999</v>
      </c>
      <c r="CH20" s="993">
        <v>10.40474839</v>
      </c>
      <c r="CI20" s="993">
        <v>10.22230251</v>
      </c>
      <c r="CJ20" s="993">
        <v>8.6876860699999998</v>
      </c>
      <c r="CK20" s="993">
        <v>7.0813939299999999</v>
      </c>
      <c r="CL20" s="993">
        <v>7.3559869600000001</v>
      </c>
      <c r="CM20" s="993">
        <v>7.0033907400000004</v>
      </c>
      <c r="CN20" s="993">
        <v>6.5940991200000001</v>
      </c>
      <c r="CO20" s="993">
        <v>8.3717396900000001</v>
      </c>
      <c r="CP20" s="993">
        <v>12.614661480000001</v>
      </c>
      <c r="CQ20" s="993">
        <v>12.99960089</v>
      </c>
      <c r="CR20" s="993">
        <v>11.867906710000002</v>
      </c>
      <c r="CS20" s="993">
        <v>10.440148839999999</v>
      </c>
      <c r="CT20" s="993">
        <v>9.1956834000000001</v>
      </c>
      <c r="CU20" s="993">
        <v>7.5236079699999996</v>
      </c>
      <c r="CV20" s="993">
        <v>6.70342664</v>
      </c>
      <c r="CW20" s="993">
        <v>6.1106602900000002</v>
      </c>
      <c r="CX20" s="993">
        <v>4.7077129199999996</v>
      </c>
      <c r="CY20" s="993">
        <v>4.6121696099999996</v>
      </c>
      <c r="CZ20" s="993">
        <v>3.9423690499999999</v>
      </c>
      <c r="DA20" s="993">
        <v>8.6981535500000007</v>
      </c>
      <c r="DB20" s="993">
        <v>11.598571010000001</v>
      </c>
      <c r="DC20" s="993">
        <v>12.17636426</v>
      </c>
      <c r="DD20" s="993">
        <v>12.38746149</v>
      </c>
      <c r="DE20" s="993">
        <v>10.24889211</v>
      </c>
      <c r="DF20" s="993">
        <v>10.42539736</v>
      </c>
      <c r="DG20" s="993">
        <v>9.6751850499999996</v>
      </c>
      <c r="DH20" s="993">
        <v>8.99877343</v>
      </c>
      <c r="DI20" s="993">
        <v>6.9291844899999999</v>
      </c>
      <c r="DJ20" s="993">
        <v>7.1473216700000002</v>
      </c>
      <c r="DK20" s="993">
        <v>5.9222762900000001</v>
      </c>
      <c r="DL20" s="993">
        <v>5.4512526599999998</v>
      </c>
      <c r="DM20" s="993">
        <v>6.8658676200000004</v>
      </c>
      <c r="DN20" s="993">
        <v>7.1077628700000002</v>
      </c>
      <c r="DO20" s="993">
        <v>8.7313740299999996</v>
      </c>
      <c r="DP20" s="993">
        <v>9.2763011599999992</v>
      </c>
      <c r="DQ20" s="993">
        <v>12.019472950000001</v>
      </c>
      <c r="DR20" s="993">
        <v>11.30719144</v>
      </c>
      <c r="DS20" s="993">
        <v>9.1602831600000005</v>
      </c>
      <c r="DT20" s="993">
        <v>8.0516994099999994</v>
      </c>
      <c r="DU20" s="993">
        <v>5.4819702399999999</v>
      </c>
      <c r="DV20" s="993">
        <v>5.3180775599999999</v>
      </c>
      <c r="DW20" s="993">
        <v>5.4955550500000001</v>
      </c>
      <c r="DX20" s="993">
        <v>5.5295471300000001</v>
      </c>
      <c r="DY20" s="993">
        <v>9.2664991400000005</v>
      </c>
      <c r="DZ20" s="993">
        <v>13.64396627</v>
      </c>
      <c r="EA20" s="993">
        <v>17.27431078</v>
      </c>
      <c r="EB20" s="993">
        <v>15.83702452</v>
      </c>
      <c r="EC20" s="993">
        <v>13.672595729999999</v>
      </c>
      <c r="ED20" s="993">
        <v>12.851364390000001</v>
      </c>
      <c r="EE20" s="993">
        <v>11.04785427</v>
      </c>
      <c r="EK20" s="400"/>
    </row>
    <row r="21" spans="1:141" ht="19.8">
      <c r="A21" s="1514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  <c r="EK21" s="400"/>
    </row>
    <row r="22" spans="1:141" ht="19.8">
      <c r="A22" s="1515" t="s">
        <v>2002</v>
      </c>
      <c r="B22" s="961">
        <f>+B20-B21</f>
        <v>2.48552844</v>
      </c>
      <c r="C22" s="962">
        <f t="shared" ref="C22:V22" si="6">+C20-C21</f>
        <v>2.2822118799999997</v>
      </c>
      <c r="D22" s="962">
        <f t="shared" si="6"/>
        <v>2.2487991600000004</v>
      </c>
      <c r="E22" s="962">
        <f t="shared" si="6"/>
        <v>2.4661993600000001</v>
      </c>
      <c r="F22" s="962">
        <f t="shared" si="6"/>
        <v>2.5717124999999998</v>
      </c>
      <c r="G22" s="962">
        <f t="shared" si="6"/>
        <v>2.7290677999999997</v>
      </c>
      <c r="H22" s="962">
        <f t="shared" si="6"/>
        <v>4.0369534399999996</v>
      </c>
      <c r="I22" s="962">
        <f t="shared" si="6"/>
        <v>2.7703779599999998</v>
      </c>
      <c r="J22" s="962">
        <f t="shared" si="6"/>
        <v>2.83270248</v>
      </c>
      <c r="K22" s="962">
        <f t="shared" si="6"/>
        <v>3.1708004700000001</v>
      </c>
      <c r="L22" s="962">
        <f t="shared" si="6"/>
        <v>3.2731609700000002</v>
      </c>
      <c r="M22" s="950">
        <f t="shared" si="6"/>
        <v>2.9473485899999998</v>
      </c>
      <c r="N22" s="950">
        <f t="shared" si="6"/>
        <v>3.7220196099999998</v>
      </c>
      <c r="O22" s="950">
        <f t="shared" si="6"/>
        <v>3.4313952400000001</v>
      </c>
      <c r="P22" s="946">
        <f t="shared" si="6"/>
        <v>3.5823257499999999</v>
      </c>
      <c r="Q22" s="946">
        <f t="shared" si="6"/>
        <v>3.6303862599999999</v>
      </c>
      <c r="R22" s="946">
        <f t="shared" si="6"/>
        <v>3.5736371</v>
      </c>
      <c r="S22" s="946">
        <f t="shared" si="6"/>
        <v>3.30044336</v>
      </c>
      <c r="T22" s="946">
        <f t="shared" si="6"/>
        <v>3.2989254799999999</v>
      </c>
      <c r="U22" s="946">
        <f t="shared" si="6"/>
        <v>3.4893403100000002</v>
      </c>
      <c r="V22" s="946">
        <f t="shared" si="6"/>
        <v>7.8920183899999996</v>
      </c>
      <c r="W22" s="946">
        <v>7.6875988600000005</v>
      </c>
      <c r="X22" s="946">
        <v>6.9772483899999997</v>
      </c>
      <c r="Y22" s="950">
        <v>6.4117610799999998</v>
      </c>
      <c r="Z22" s="946">
        <v>5.9036548199999999</v>
      </c>
      <c r="AA22" s="950">
        <v>40.656076140000003</v>
      </c>
      <c r="AB22" s="950">
        <v>40.172556719999996</v>
      </c>
      <c r="AC22" s="950">
        <v>39.949020709999999</v>
      </c>
      <c r="AD22" s="950">
        <v>39.671596159999993</v>
      </c>
      <c r="AE22" s="950">
        <v>41.786128850000004</v>
      </c>
      <c r="AF22" s="950">
        <v>41.383925380000001</v>
      </c>
      <c r="AG22" s="950">
        <v>40.337403539999997</v>
      </c>
      <c r="AH22" s="950">
        <f>+AH20-AH21</f>
        <v>45.565158869999998</v>
      </c>
      <c r="AI22" s="950">
        <v>41.877534189999999</v>
      </c>
      <c r="AJ22" s="950">
        <v>30.94739049</v>
      </c>
      <c r="AK22" s="950">
        <f>+AK20-AK21</f>
        <v>17.127758030000003</v>
      </c>
      <c r="AL22" s="950">
        <v>11.18682407</v>
      </c>
      <c r="AM22" s="950">
        <f>+AM20-AM21</f>
        <v>12.49702095</v>
      </c>
      <c r="AN22" s="950">
        <f>+AN20-AN21</f>
        <v>12.207427689999999</v>
      </c>
      <c r="AO22" s="950">
        <f>+AO20-AO21</f>
        <v>11.939126910000001</v>
      </c>
      <c r="AP22" s="950">
        <f>+AP20-AP21</f>
        <v>12.25736951</v>
      </c>
      <c r="AQ22" s="950">
        <v>13.230390180000001</v>
      </c>
      <c r="AR22" s="950">
        <v>13.640445210000001</v>
      </c>
      <c r="AS22" s="950">
        <f>+AS20-AS21</f>
        <v>14.46894985</v>
      </c>
      <c r="AT22" s="950">
        <f>AT14-AT18</f>
        <v>13.080238300000001</v>
      </c>
      <c r="AU22" s="950">
        <v>13.111906170000001</v>
      </c>
      <c r="AV22" s="950">
        <v>25.60267936</v>
      </c>
      <c r="AW22" s="950">
        <v>29.030007550000001</v>
      </c>
      <c r="AX22" s="950">
        <v>27.00753928</v>
      </c>
      <c r="AY22" s="950">
        <v>23.628282800000001</v>
      </c>
      <c r="AZ22" s="950">
        <v>23.585638449999998</v>
      </c>
      <c r="BA22" s="950">
        <v>24.883197420000002</v>
      </c>
      <c r="BB22" s="950">
        <v>21.087471409999999</v>
      </c>
      <c r="BC22" s="950">
        <v>16.212166240000002</v>
      </c>
      <c r="BD22" s="950">
        <f>+BD20-BD21</f>
        <v>17.081005530000002</v>
      </c>
      <c r="BE22" s="950">
        <v>17.027515709999999</v>
      </c>
      <c r="BF22" s="950">
        <v>17.36692764</v>
      </c>
      <c r="BG22" s="950">
        <v>15.939373150000002</v>
      </c>
      <c r="BH22" s="1005">
        <v>15.969822070000001</v>
      </c>
      <c r="BI22" s="994">
        <v>16.536658060000001</v>
      </c>
      <c r="BJ22" s="994">
        <v>16.31554766</v>
      </c>
      <c r="BK22" s="994">
        <v>16.090007800000002</v>
      </c>
      <c r="BL22" s="994">
        <v>12.037031679999998</v>
      </c>
      <c r="BM22" s="994">
        <v>12.998228419999998</v>
      </c>
      <c r="BN22" s="994">
        <v>13.34151952</v>
      </c>
      <c r="BO22" s="994">
        <v>12.700916050000002</v>
      </c>
      <c r="BP22" s="994">
        <v>4.4751800099999999</v>
      </c>
      <c r="BQ22" s="994">
        <v>4.5704746999999992</v>
      </c>
      <c r="BR22" s="994">
        <v>7.7178302100000007</v>
      </c>
      <c r="BS22" s="994">
        <v>13.064048530000001</v>
      </c>
      <c r="BT22" s="994">
        <v>12.66900766</v>
      </c>
      <c r="BU22" s="994">
        <v>12.909578199999999</v>
      </c>
      <c r="BV22" s="994">
        <v>12.895053610000001</v>
      </c>
      <c r="BW22" s="994">
        <v>12.055884480000001</v>
      </c>
      <c r="BX22" s="994">
        <v>11.871007029999999</v>
      </c>
      <c r="BY22" s="994">
        <v>10.93500036</v>
      </c>
      <c r="BZ22" s="994">
        <v>10.705016579999999</v>
      </c>
      <c r="CA22" s="994">
        <v>10.501981059999999</v>
      </c>
      <c r="CB22" s="994">
        <v>11.87128517</v>
      </c>
      <c r="CC22" s="994">
        <v>7.4943299900000007</v>
      </c>
      <c r="CD22" s="994">
        <v>8.7554280799999997</v>
      </c>
      <c r="CE22" s="994">
        <f t="shared" ref="CE22:CP22" si="7">+CE20-CE21</f>
        <v>9.5614039900000005</v>
      </c>
      <c r="CF22" s="994">
        <f t="shared" si="7"/>
        <v>11.846085109999999</v>
      </c>
      <c r="CG22" s="994">
        <f t="shared" si="7"/>
        <v>10.498063519999999</v>
      </c>
      <c r="CH22" s="994">
        <f t="shared" si="7"/>
        <v>10.40474839</v>
      </c>
      <c r="CI22" s="994">
        <f t="shared" si="7"/>
        <v>10.22230251</v>
      </c>
      <c r="CJ22" s="994">
        <f t="shared" si="7"/>
        <v>8.6876860699999998</v>
      </c>
      <c r="CK22" s="994">
        <f t="shared" si="7"/>
        <v>7.0813939299999999</v>
      </c>
      <c r="CL22" s="994">
        <f t="shared" si="7"/>
        <v>7.3559869600000001</v>
      </c>
      <c r="CM22" s="994">
        <f t="shared" si="7"/>
        <v>7.0033907400000004</v>
      </c>
      <c r="CN22" s="994">
        <f t="shared" si="7"/>
        <v>6.5940991200000001</v>
      </c>
      <c r="CO22" s="994">
        <f t="shared" si="7"/>
        <v>8.3717396900000001</v>
      </c>
      <c r="CP22" s="994">
        <f t="shared" si="7"/>
        <v>12.614661480000001</v>
      </c>
      <c r="CQ22" s="994">
        <f>+CQ20-CQ21</f>
        <v>12.99960089</v>
      </c>
      <c r="CR22" s="994">
        <f>+CR20-CR21</f>
        <v>11.867906710000002</v>
      </c>
      <c r="CS22" s="994">
        <f>+CS20-CS21</f>
        <v>10.440148839999999</v>
      </c>
      <c r="CT22" s="994">
        <v>9.1956834000000001</v>
      </c>
      <c r="CU22" s="994">
        <v>7.5236079699999996</v>
      </c>
      <c r="CV22" s="994">
        <v>6.70342664</v>
      </c>
      <c r="CW22" s="994">
        <v>6.1106602900000002</v>
      </c>
      <c r="CX22" s="994">
        <v>4.7077129199999996</v>
      </c>
      <c r="CY22" s="994">
        <v>4.6121696099999996</v>
      </c>
      <c r="CZ22" s="994">
        <v>3.9423690499999999</v>
      </c>
      <c r="DA22" s="994">
        <v>8.6981535500000007</v>
      </c>
      <c r="DB22" s="994">
        <v>11.598571010000001</v>
      </c>
      <c r="DC22" s="994">
        <v>12.17636426</v>
      </c>
      <c r="DD22" s="994">
        <v>12.38746149</v>
      </c>
      <c r="DE22" s="994">
        <v>10.24889211</v>
      </c>
      <c r="DF22" s="994">
        <v>10.42539736</v>
      </c>
      <c r="DG22" s="994">
        <v>9.6751850499999996</v>
      </c>
      <c r="DH22" s="994">
        <v>8.99877343</v>
      </c>
      <c r="DI22" s="994">
        <v>6.9291844899999999</v>
      </c>
      <c r="DJ22" s="994">
        <v>7.1473216700000002</v>
      </c>
      <c r="DK22" s="994">
        <v>5.9222762900000001</v>
      </c>
      <c r="DL22" s="994">
        <v>5.4512526599999998</v>
      </c>
      <c r="DM22" s="994">
        <v>6.8658676200000004</v>
      </c>
      <c r="DN22" s="994">
        <v>7.1077628700000002</v>
      </c>
      <c r="DO22" s="994">
        <v>8.7313740299999996</v>
      </c>
      <c r="DP22" s="994">
        <v>9.2763011599999992</v>
      </c>
      <c r="DQ22" s="994">
        <v>12.019472950000001</v>
      </c>
      <c r="DR22" s="994">
        <v>11.30719144</v>
      </c>
      <c r="DS22" s="994">
        <v>9.1602831600000005</v>
      </c>
      <c r="DT22" s="994">
        <v>8.0516994099999994</v>
      </c>
      <c r="DU22" s="994">
        <v>5.4819702399999999</v>
      </c>
      <c r="DV22" s="994">
        <v>5.3180775599999999</v>
      </c>
      <c r="DW22" s="994">
        <v>5.4955550500000001</v>
      </c>
      <c r="DX22" s="994">
        <v>5.5295471300000001</v>
      </c>
      <c r="DY22" s="994">
        <v>9.2664991400000005</v>
      </c>
      <c r="DZ22" s="994">
        <v>13.64396627</v>
      </c>
      <c r="EA22" s="994">
        <v>17.27431078</v>
      </c>
      <c r="EB22" s="994">
        <v>15.83702452</v>
      </c>
      <c r="EC22" s="994">
        <v>13.672595729999999</v>
      </c>
      <c r="ED22" s="994">
        <v>12.851364390000001</v>
      </c>
      <c r="EE22" s="994">
        <v>11.04785427</v>
      </c>
      <c r="EK22" s="400"/>
    </row>
    <row r="23" spans="1:141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  <c r="EK23" s="400"/>
    </row>
    <row r="24" spans="1:141" ht="19.8">
      <c r="A24" s="976" t="s">
        <v>2823</v>
      </c>
      <c r="B24" s="961">
        <v>513.02966056000002</v>
      </c>
      <c r="C24" s="962">
        <v>558.44188235000001</v>
      </c>
      <c r="D24" s="962">
        <v>571.34938753000006</v>
      </c>
      <c r="E24" s="962">
        <v>577.90710465000006</v>
      </c>
      <c r="F24" s="962">
        <v>588.06130639000003</v>
      </c>
      <c r="G24" s="962">
        <v>650.45710009999993</v>
      </c>
      <c r="H24" s="962">
        <v>667.83878795999999</v>
      </c>
      <c r="I24" s="962">
        <v>671.57658715999992</v>
      </c>
      <c r="J24" s="962">
        <v>681.59089122</v>
      </c>
      <c r="K24" s="962">
        <v>710.12178785000003</v>
      </c>
      <c r="L24" s="962">
        <v>720.82811203000006</v>
      </c>
      <c r="M24" s="946">
        <v>722.72918790999995</v>
      </c>
      <c r="N24" s="950">
        <v>721.16020598</v>
      </c>
      <c r="O24" s="950">
        <v>720.29842767000002</v>
      </c>
      <c r="P24" s="946">
        <v>727.69162765999988</v>
      </c>
      <c r="Q24" s="946">
        <v>734.55840694999995</v>
      </c>
      <c r="R24" s="946">
        <v>742.58831658999986</v>
      </c>
      <c r="S24" s="946">
        <v>746.64846166999996</v>
      </c>
      <c r="T24" s="946">
        <v>745.69746292000002</v>
      </c>
      <c r="U24" s="946">
        <v>769.6828749</v>
      </c>
      <c r="V24" s="946">
        <v>786.24477160999993</v>
      </c>
      <c r="W24" s="946">
        <v>797.04567463000001</v>
      </c>
      <c r="X24" s="946">
        <v>818.05634239999995</v>
      </c>
      <c r="Y24" s="946">
        <v>829.19037669000011</v>
      </c>
      <c r="Z24" s="946">
        <v>826.42194316999985</v>
      </c>
      <c r="AA24" s="950">
        <v>885.10270659999992</v>
      </c>
      <c r="AB24" s="946">
        <v>880.92295552000007</v>
      </c>
      <c r="AC24" s="946">
        <v>887.59942156999978</v>
      </c>
      <c r="AD24" s="946">
        <v>885.79287960999989</v>
      </c>
      <c r="AE24" s="946">
        <v>889.36656427000003</v>
      </c>
      <c r="AF24" s="946">
        <v>898.54451517000007</v>
      </c>
      <c r="AG24" s="946">
        <v>900.27419355999996</v>
      </c>
      <c r="AH24" s="946">
        <v>699.97958570000003</v>
      </c>
      <c r="AI24" s="946">
        <v>616.08597666000003</v>
      </c>
      <c r="AJ24" s="946">
        <v>579.45058574999996</v>
      </c>
      <c r="AK24" s="946">
        <v>478.16202376000001</v>
      </c>
      <c r="AL24" s="946">
        <v>422.95640809999998</v>
      </c>
      <c r="AM24" s="946">
        <v>419.07025904</v>
      </c>
      <c r="AN24" s="946">
        <v>414.38208727</v>
      </c>
      <c r="AO24" s="946">
        <v>413.92287435000003</v>
      </c>
      <c r="AP24" s="946">
        <v>405.88675336999995</v>
      </c>
      <c r="AQ24" s="946">
        <v>402.84369887000003</v>
      </c>
      <c r="AR24" s="946">
        <v>379.22546537999995</v>
      </c>
      <c r="AS24" s="946">
        <v>378.67438829999998</v>
      </c>
      <c r="AT24" s="946">
        <f>AT8-AT12</f>
        <v>387.10897482000001</v>
      </c>
      <c r="AU24" s="946">
        <v>372.57040322</v>
      </c>
      <c r="AV24" s="946">
        <v>378.65693986000002</v>
      </c>
      <c r="AW24" s="946">
        <v>395.66160088999993</v>
      </c>
      <c r="AX24" s="946">
        <v>392.15392517999993</v>
      </c>
      <c r="AY24" s="946">
        <v>399.34341900999999</v>
      </c>
      <c r="AZ24" s="946">
        <v>402.39937251000003</v>
      </c>
      <c r="BA24" s="946">
        <v>405.37014150999994</v>
      </c>
      <c r="BB24" s="946">
        <v>397.10633775000002</v>
      </c>
      <c r="BC24" s="946">
        <v>396.22352912000002</v>
      </c>
      <c r="BD24" s="946">
        <v>412.7138784</v>
      </c>
      <c r="BE24" s="946">
        <v>423.73605392999997</v>
      </c>
      <c r="BF24" s="946">
        <v>421.34555444</v>
      </c>
      <c r="BG24" s="946">
        <v>405.47762661000002</v>
      </c>
      <c r="BH24" s="1004">
        <v>403.73918397</v>
      </c>
      <c r="BI24" s="993">
        <v>381.89146564999999</v>
      </c>
      <c r="BJ24" s="993">
        <v>377.72675766999998</v>
      </c>
      <c r="BK24" s="993">
        <v>371.64490942999998</v>
      </c>
      <c r="BL24" s="993">
        <v>385.28526603</v>
      </c>
      <c r="BM24" s="993">
        <v>394.51696078999998</v>
      </c>
      <c r="BN24" s="993">
        <v>397.13560110000003</v>
      </c>
      <c r="BO24" s="993">
        <v>403.71918272000005</v>
      </c>
      <c r="BP24" s="993">
        <v>409.71496317000003</v>
      </c>
      <c r="BQ24" s="993">
        <v>407.33390757999996</v>
      </c>
      <c r="BR24" s="993">
        <v>405.48761547999999</v>
      </c>
      <c r="BS24" s="993">
        <v>404.12467554</v>
      </c>
      <c r="BT24" s="993">
        <v>405.64719951999996</v>
      </c>
      <c r="BU24" s="993">
        <v>405.63622151999999</v>
      </c>
      <c r="BV24" s="993">
        <v>406.85731804</v>
      </c>
      <c r="BW24" s="993">
        <v>405.30138765000004</v>
      </c>
      <c r="BX24" s="993">
        <v>415.07152287999997</v>
      </c>
      <c r="BY24" s="993">
        <v>419.89878788999999</v>
      </c>
      <c r="BZ24" s="993">
        <v>437.80945156000001</v>
      </c>
      <c r="CA24" s="993">
        <v>441.18330537999998</v>
      </c>
      <c r="CB24" s="993">
        <v>433.12759730000005</v>
      </c>
      <c r="CC24" s="993">
        <v>439.96434758999999</v>
      </c>
      <c r="CD24" s="993">
        <v>451.55890825999995</v>
      </c>
      <c r="CE24" s="993">
        <v>450.88899149000002</v>
      </c>
      <c r="CF24" s="993">
        <v>450.66403843000001</v>
      </c>
      <c r="CG24" s="993">
        <v>468.51176097000007</v>
      </c>
      <c r="CH24" s="993">
        <v>466.57583864000003</v>
      </c>
      <c r="CI24" s="993">
        <v>460.05228144</v>
      </c>
      <c r="CJ24" s="993">
        <v>458.11047930999996</v>
      </c>
      <c r="CK24" s="993">
        <v>510.91168901000003</v>
      </c>
      <c r="CL24" s="993">
        <v>504.54278479000004</v>
      </c>
      <c r="CM24" s="993">
        <v>499.42360981000002</v>
      </c>
      <c r="CN24" s="993">
        <v>497.55490228999997</v>
      </c>
      <c r="CO24" s="993">
        <v>497.88773347</v>
      </c>
      <c r="CP24" s="993">
        <v>498.26330675999998</v>
      </c>
      <c r="CQ24" s="993">
        <v>487.01842136999994</v>
      </c>
      <c r="CR24" s="993">
        <v>491.27130288000001</v>
      </c>
      <c r="CS24" s="993">
        <v>494.74578642999995</v>
      </c>
      <c r="CT24" s="993">
        <v>500.37739370000003</v>
      </c>
      <c r="CU24" s="993">
        <v>494.82683070000002</v>
      </c>
      <c r="CV24" s="993">
        <v>505.66707396999999</v>
      </c>
      <c r="CW24" s="993">
        <v>499.30432525999998</v>
      </c>
      <c r="CX24" s="993">
        <v>502.95966282000001</v>
      </c>
      <c r="CY24" s="993">
        <v>505.13982891000001</v>
      </c>
      <c r="CZ24" s="993">
        <v>501.41452428999997</v>
      </c>
      <c r="DA24" s="993">
        <v>509.97443894000003</v>
      </c>
      <c r="DB24" s="993">
        <v>514.95798581999998</v>
      </c>
      <c r="DC24" s="993">
        <v>513.58224533999999</v>
      </c>
      <c r="DD24" s="993">
        <v>512.52881551999997</v>
      </c>
      <c r="DE24" s="993">
        <v>528.29089824000005</v>
      </c>
      <c r="DF24" s="993">
        <v>530.05726331000005</v>
      </c>
      <c r="DG24" s="993">
        <v>527.80225487999996</v>
      </c>
      <c r="DH24" s="993">
        <v>536.64382304000003</v>
      </c>
      <c r="DI24" s="993">
        <v>536.57710284999996</v>
      </c>
      <c r="DJ24" s="993">
        <v>536.16954118000001</v>
      </c>
      <c r="DK24" s="993">
        <v>484.60785657999998</v>
      </c>
      <c r="DL24" s="993">
        <v>482.59652786999999</v>
      </c>
      <c r="DM24" s="993">
        <v>482.64847635000001</v>
      </c>
      <c r="DN24" s="993">
        <v>482.55645822000002</v>
      </c>
      <c r="DO24" s="993">
        <v>480.44065303999997</v>
      </c>
      <c r="DP24" s="993">
        <v>477.95194335000002</v>
      </c>
      <c r="DQ24" s="993">
        <v>464.85306193000002</v>
      </c>
      <c r="DR24" s="993">
        <v>451.55815338999997</v>
      </c>
      <c r="DS24" s="993">
        <v>450.17007085</v>
      </c>
      <c r="DT24" s="993">
        <v>440.33117071999999</v>
      </c>
      <c r="DU24" s="993">
        <v>427.87638838999999</v>
      </c>
      <c r="DV24" s="993">
        <v>417.33325940999998</v>
      </c>
      <c r="DW24" s="993">
        <v>420.91128434000001</v>
      </c>
      <c r="DX24" s="993">
        <v>430.48194484999999</v>
      </c>
      <c r="DY24" s="993">
        <v>434.99520017999998</v>
      </c>
      <c r="DZ24" s="993">
        <v>452.75410663000002</v>
      </c>
      <c r="EA24" s="993">
        <v>424.52325336000001</v>
      </c>
      <c r="EB24" s="993">
        <v>426.19850430000002</v>
      </c>
      <c r="EC24" s="993">
        <v>427.84816775000002</v>
      </c>
      <c r="ED24" s="993">
        <v>419.59215534999998</v>
      </c>
      <c r="EE24" s="993">
        <v>419.89495414999999</v>
      </c>
      <c r="EK24" s="400"/>
    </row>
    <row r="25" spans="1:141" ht="19.8">
      <c r="A25" s="977" t="s">
        <v>2001</v>
      </c>
      <c r="B25" s="962">
        <v>2.4350116000000002</v>
      </c>
      <c r="C25" s="962">
        <v>2.4000490999999999</v>
      </c>
      <c r="D25" s="962">
        <v>2.3650866000000001</v>
      </c>
      <c r="E25" s="962">
        <v>2.3301240999999999</v>
      </c>
      <c r="F25" s="962">
        <v>2.2951616000000001</v>
      </c>
      <c r="G25" s="962">
        <v>2.2601990999999999</v>
      </c>
      <c r="H25" s="962">
        <v>4.7128861000000004</v>
      </c>
      <c r="I25" s="962">
        <v>4.6776064999999996</v>
      </c>
      <c r="J25" s="962">
        <v>4.6429611</v>
      </c>
      <c r="K25" s="962">
        <v>4.6079986000000002</v>
      </c>
      <c r="L25" s="962">
        <v>4.6576815000000007</v>
      </c>
      <c r="M25" s="950">
        <v>4.6079780399999999</v>
      </c>
      <c r="N25" s="950">
        <v>4.5985897400000004</v>
      </c>
      <c r="O25" s="950">
        <v>4.5992239399999999</v>
      </c>
      <c r="P25" s="950">
        <v>4.5329068399999999</v>
      </c>
      <c r="Q25" s="950">
        <v>4.5329068399999999</v>
      </c>
      <c r="R25" s="950">
        <v>4.5332239400000001</v>
      </c>
      <c r="S25" s="950">
        <v>4.5329068399999999</v>
      </c>
      <c r="T25" s="950">
        <v>4.5325897400000006</v>
      </c>
      <c r="U25" s="950">
        <v>4.5332239400000001</v>
      </c>
      <c r="V25" s="950">
        <v>4.5332239400000001</v>
      </c>
      <c r="W25" s="950">
        <v>4.5332239400000001</v>
      </c>
      <c r="X25" s="950">
        <v>4.5332239400000001</v>
      </c>
      <c r="Y25" s="950">
        <v>4.5132239399999996</v>
      </c>
      <c r="Z25" s="950">
        <v>4.5132239399999996</v>
      </c>
      <c r="AA25" s="950">
        <v>5.2809157999999998</v>
      </c>
      <c r="AB25" s="950">
        <v>5.2367935000000001</v>
      </c>
      <c r="AC25" s="950">
        <v>5.1924276999999996</v>
      </c>
      <c r="AD25" s="950">
        <v>5.1946474</v>
      </c>
      <c r="AE25" s="950">
        <v>5.1361593000000001</v>
      </c>
      <c r="AF25" s="950">
        <v>5.1399645000000005</v>
      </c>
      <c r="AG25" s="950">
        <v>5.1352080000000004</v>
      </c>
      <c r="AH25" s="950">
        <v>5.1352080000000004</v>
      </c>
      <c r="AI25" s="950">
        <v>5.1393303000000001</v>
      </c>
      <c r="AJ25" s="950">
        <v>5.1453552</v>
      </c>
      <c r="AK25" s="950">
        <v>6.7568574000000003</v>
      </c>
      <c r="AL25" s="950">
        <v>1.8120000000000001</v>
      </c>
      <c r="AM25" s="950">
        <v>1.512</v>
      </c>
      <c r="AN25" s="950">
        <v>1.49211001</v>
      </c>
      <c r="AO25" s="950">
        <v>1.3594380100000001</v>
      </c>
      <c r="AP25" s="950">
        <v>1.3294380100000001</v>
      </c>
      <c r="AQ25" s="950">
        <v>1.28772705</v>
      </c>
      <c r="AR25" s="950">
        <v>1.2599446699999999</v>
      </c>
      <c r="AS25" s="950">
        <v>1.23216229</v>
      </c>
      <c r="AT25" s="950">
        <f>AT9-AT13</f>
        <v>1.2043799099999999</v>
      </c>
      <c r="AU25" s="950">
        <v>0.79559806999999994</v>
      </c>
      <c r="AV25" s="950">
        <v>0.76781568999999994</v>
      </c>
      <c r="AW25" s="950">
        <v>0.74003331000000006</v>
      </c>
      <c r="AX25" s="950">
        <v>0.71225093000000006</v>
      </c>
      <c r="AY25" s="950">
        <v>0.68446855000000006</v>
      </c>
      <c r="AZ25" s="950">
        <v>0.65668617000000007</v>
      </c>
      <c r="BA25" s="950">
        <v>0.62890379000000007</v>
      </c>
      <c r="BB25" s="950">
        <v>0.33201029999999998</v>
      </c>
      <c r="BC25" s="950">
        <v>0.33196376999999999</v>
      </c>
      <c r="BD25" s="950">
        <v>0.31225178999999997</v>
      </c>
      <c r="BE25" s="950">
        <v>0.29251167</v>
      </c>
      <c r="BF25" s="950">
        <v>0.27316576000000004</v>
      </c>
      <c r="BG25" s="950">
        <v>0.26532083000000001</v>
      </c>
      <c r="BH25" s="1005">
        <v>0.25745569000000001</v>
      </c>
      <c r="BI25" s="994">
        <v>0.23711089000000002</v>
      </c>
      <c r="BJ25" s="994">
        <v>0.21676858999999998</v>
      </c>
      <c r="BK25" s="994">
        <v>0.19638897</v>
      </c>
      <c r="BL25" s="994">
        <v>0.17601037</v>
      </c>
      <c r="BM25" s="994">
        <v>0.15561701</v>
      </c>
      <c r="BN25" s="994">
        <v>0.13521554</v>
      </c>
      <c r="BO25" s="994">
        <v>0.10169458000000001</v>
      </c>
      <c r="BP25" s="994">
        <v>9.4379119999999997E-2</v>
      </c>
      <c r="BQ25" s="994">
        <v>7.3208999999999996E-2</v>
      </c>
      <c r="BR25" s="994">
        <v>5.3566000000000003E-2</v>
      </c>
      <c r="BS25" s="994">
        <v>3.3923000000000002E-2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0.2</v>
      </c>
      <c r="BZ25" s="994">
        <v>0.19939475000000001</v>
      </c>
      <c r="CA25" s="994">
        <v>0.19877891</v>
      </c>
      <c r="CB25" s="994">
        <v>0.19815229000000001</v>
      </c>
      <c r="CC25" s="994">
        <v>0.19751470999999998</v>
      </c>
      <c r="CD25" s="994">
        <v>0.19686595000000001</v>
      </c>
      <c r="CE25" s="994">
        <v>0.19620587</v>
      </c>
      <c r="CF25" s="994">
        <v>0.19535148000000002</v>
      </c>
      <c r="CG25" s="994">
        <v>0.19463659</v>
      </c>
      <c r="CH25" s="994">
        <v>0.19415546</v>
      </c>
      <c r="CI25" s="994">
        <v>0.19415546</v>
      </c>
      <c r="CJ25" s="994">
        <v>0.19327789000000001</v>
      </c>
      <c r="CK25" s="994">
        <v>0.19327789000000001</v>
      </c>
      <c r="CL25" s="994">
        <v>0.19327789000000001</v>
      </c>
      <c r="CM25" s="994">
        <v>0.19327789000000001</v>
      </c>
      <c r="CN25" s="994">
        <v>0.19327789000000001</v>
      </c>
      <c r="CO25" s="994">
        <v>0.19327789000000001</v>
      </c>
      <c r="CP25" s="994">
        <v>0.19217789000000002</v>
      </c>
      <c r="CQ25" s="994">
        <v>0.19217789000000002</v>
      </c>
      <c r="CR25" s="994">
        <v>0.19217789000000002</v>
      </c>
      <c r="CS25" s="994">
        <v>0.19217789000000002</v>
      </c>
      <c r="CT25" s="994">
        <v>4.5529410500000003</v>
      </c>
      <c r="CU25" s="994">
        <v>0.29747615999999999</v>
      </c>
      <c r="CV25" s="994">
        <v>0.29193525999999997</v>
      </c>
      <c r="CW25" s="994">
        <v>0.28628336999999998</v>
      </c>
      <c r="CX25" s="994">
        <v>0.28065668999999999</v>
      </c>
      <c r="CY25" s="994">
        <v>0.27501440999999999</v>
      </c>
      <c r="CZ25" s="994">
        <v>0.26930588999999999</v>
      </c>
      <c r="DA25" s="994">
        <v>7.1402289999999993E-2</v>
      </c>
      <c r="DB25" s="994">
        <v>0.76564319000000003</v>
      </c>
      <c r="DC25" s="994">
        <v>0.74433475999999998</v>
      </c>
      <c r="DD25" s="994">
        <v>0</v>
      </c>
      <c r="DE25" s="994">
        <v>0</v>
      </c>
      <c r="DF25" s="994">
        <v>0</v>
      </c>
      <c r="DG25" s="994">
        <v>0</v>
      </c>
      <c r="DH25" s="994">
        <v>1.5418479899999999</v>
      </c>
      <c r="DI25" s="994">
        <v>1.4001077399999999</v>
      </c>
      <c r="DJ25" s="994">
        <v>1.3901077399999999</v>
      </c>
      <c r="DK25" s="994">
        <v>1.3901077399999999</v>
      </c>
      <c r="DL25" s="994">
        <v>1.3901077399999999</v>
      </c>
      <c r="DM25" s="994">
        <v>1.38510774</v>
      </c>
      <c r="DN25" s="994">
        <v>1.38510774</v>
      </c>
      <c r="DO25" s="994">
        <v>1.3801644</v>
      </c>
      <c r="DP25" s="994">
        <v>1.3801644</v>
      </c>
      <c r="DQ25" s="994">
        <v>1.3801077399999999</v>
      </c>
      <c r="DR25" s="994">
        <v>1.3801077399999999</v>
      </c>
      <c r="DS25" s="994">
        <v>1.3801077399999999</v>
      </c>
      <c r="DT25" s="994">
        <v>1.3801077399999999</v>
      </c>
      <c r="DU25" s="994">
        <v>1.3801077399999999</v>
      </c>
      <c r="DV25" s="994">
        <v>1.3801077399999999</v>
      </c>
      <c r="DW25" s="994">
        <v>1.3801077399999999</v>
      </c>
      <c r="DX25" s="994">
        <v>1.4106077400000001</v>
      </c>
      <c r="DY25" s="994">
        <v>1.40997236</v>
      </c>
      <c r="DZ25" s="994">
        <v>1.40932692</v>
      </c>
      <c r="EA25" s="994">
        <v>1.7087021</v>
      </c>
      <c r="EB25" s="994">
        <v>15.097480150000001</v>
      </c>
      <c r="EC25" s="994">
        <v>16.789948509999999</v>
      </c>
      <c r="ED25" s="994">
        <v>16.782457109999999</v>
      </c>
      <c r="EE25" s="994">
        <v>16.50194492</v>
      </c>
      <c r="EK25" s="400"/>
    </row>
    <row r="26" spans="1:141" ht="19.8">
      <c r="A26" s="978" t="s">
        <v>2002</v>
      </c>
      <c r="B26" s="961">
        <f>+B24-B25</f>
        <v>510.59464896000003</v>
      </c>
      <c r="C26" s="962">
        <f t="shared" ref="C26:V26" si="8">+C24-C25</f>
        <v>556.04183324999997</v>
      </c>
      <c r="D26" s="962">
        <f t="shared" si="8"/>
        <v>568.98430093000002</v>
      </c>
      <c r="E26" s="962">
        <f t="shared" si="8"/>
        <v>575.57698055000003</v>
      </c>
      <c r="F26" s="962">
        <f t="shared" si="8"/>
        <v>585.76614479</v>
      </c>
      <c r="G26" s="962">
        <f t="shared" si="8"/>
        <v>648.19690099999991</v>
      </c>
      <c r="H26" s="962">
        <f t="shared" si="8"/>
        <v>663.12590186</v>
      </c>
      <c r="I26" s="962">
        <f t="shared" si="8"/>
        <v>666.89898065999989</v>
      </c>
      <c r="J26" s="962">
        <f t="shared" si="8"/>
        <v>676.94793012000002</v>
      </c>
      <c r="K26" s="962">
        <f t="shared" si="8"/>
        <v>705.51378925000006</v>
      </c>
      <c r="L26" s="962">
        <f t="shared" si="8"/>
        <v>716.17043053000009</v>
      </c>
      <c r="M26" s="950">
        <f t="shared" si="8"/>
        <v>718.12120986999992</v>
      </c>
      <c r="N26" s="950">
        <f t="shared" si="8"/>
        <v>716.56161624000003</v>
      </c>
      <c r="O26" s="950">
        <f t="shared" si="8"/>
        <v>715.69920373000002</v>
      </c>
      <c r="P26" s="946">
        <f t="shared" si="8"/>
        <v>723.15872081999987</v>
      </c>
      <c r="Q26" s="946">
        <f t="shared" si="8"/>
        <v>730.02550010999994</v>
      </c>
      <c r="R26" s="946">
        <f t="shared" si="8"/>
        <v>738.05509264999989</v>
      </c>
      <c r="S26" s="946">
        <f t="shared" si="8"/>
        <v>742.11555482999995</v>
      </c>
      <c r="T26" s="946">
        <f t="shared" si="8"/>
        <v>741.16487317999997</v>
      </c>
      <c r="U26" s="946">
        <f t="shared" si="8"/>
        <v>765.14965096000003</v>
      </c>
      <c r="V26" s="946">
        <f t="shared" si="8"/>
        <v>781.71154766999996</v>
      </c>
      <c r="W26" s="946">
        <v>792.51245069000004</v>
      </c>
      <c r="X26" s="946">
        <v>813.52311845999998</v>
      </c>
      <c r="Y26" s="950">
        <v>824.67715275000012</v>
      </c>
      <c r="Z26" s="946">
        <v>821.90871922999986</v>
      </c>
      <c r="AA26" s="950">
        <v>879.82179079999992</v>
      </c>
      <c r="AB26" s="950">
        <v>875.6861620200001</v>
      </c>
      <c r="AC26" s="950">
        <v>882.40699386999972</v>
      </c>
      <c r="AD26" s="950">
        <v>880.59823220999988</v>
      </c>
      <c r="AE26" s="950">
        <v>884.23040497</v>
      </c>
      <c r="AF26" s="950">
        <v>893.40455067000005</v>
      </c>
      <c r="AG26" s="950">
        <v>895.13898555999992</v>
      </c>
      <c r="AH26" s="950">
        <f>+AH24-AH25</f>
        <v>694.8443777</v>
      </c>
      <c r="AI26" s="950">
        <v>610.94664636000005</v>
      </c>
      <c r="AJ26" s="950">
        <v>574.30523054999992</v>
      </c>
      <c r="AK26" s="950">
        <f>+AK24-AK25</f>
        <v>471.40516636000001</v>
      </c>
      <c r="AL26" s="950">
        <v>421.14440809999996</v>
      </c>
      <c r="AM26" s="950">
        <f>+AM24-AM25</f>
        <v>417.55825904</v>
      </c>
      <c r="AN26" s="950">
        <f>+AN24-AN25</f>
        <v>412.88997726000002</v>
      </c>
      <c r="AO26" s="950">
        <f>+AO24-AO25</f>
        <v>412.56343634000001</v>
      </c>
      <c r="AP26" s="950">
        <f>+AP24-AP25</f>
        <v>404.55731535999996</v>
      </c>
      <c r="AQ26" s="950">
        <v>401.55597182000002</v>
      </c>
      <c r="AR26" s="950">
        <v>377.96552070999996</v>
      </c>
      <c r="AS26" s="950">
        <f>+AS24-AS25</f>
        <v>377.44222600999996</v>
      </c>
      <c r="AT26" s="950">
        <f>AT10-AT14</f>
        <v>385.90459491000001</v>
      </c>
      <c r="AU26" s="950">
        <v>371.77480515000002</v>
      </c>
      <c r="AV26" s="950">
        <v>377.88912417</v>
      </c>
      <c r="AW26" s="950">
        <v>394.92156757999993</v>
      </c>
      <c r="AX26" s="950">
        <v>391.44167424999995</v>
      </c>
      <c r="AY26" s="950">
        <v>398.65895045999997</v>
      </c>
      <c r="AZ26" s="950">
        <v>401.74268634000003</v>
      </c>
      <c r="BA26" s="950">
        <v>404.74123771999996</v>
      </c>
      <c r="BB26" s="950">
        <v>396.77432745000004</v>
      </c>
      <c r="BC26" s="950">
        <v>395.89156535000001</v>
      </c>
      <c r="BD26" s="950">
        <f>+BD24-BD25</f>
        <v>412.40162660999999</v>
      </c>
      <c r="BE26" s="950">
        <v>423.44354225999996</v>
      </c>
      <c r="BF26" s="950">
        <v>421.07238868000002</v>
      </c>
      <c r="BG26" s="950">
        <v>405.21230578000001</v>
      </c>
      <c r="BH26" s="1005">
        <v>403.48172828000003</v>
      </c>
      <c r="BI26" s="994">
        <v>381.65435475999999</v>
      </c>
      <c r="BJ26" s="994">
        <v>377.50998907999997</v>
      </c>
      <c r="BK26" s="994">
        <v>371.44852046</v>
      </c>
      <c r="BL26" s="994">
        <v>385.10925566000003</v>
      </c>
      <c r="BM26" s="994">
        <v>394.36134377999997</v>
      </c>
      <c r="BN26" s="994">
        <v>397.00038556000004</v>
      </c>
      <c r="BO26" s="994">
        <v>403.61748814000003</v>
      </c>
      <c r="BP26" s="994">
        <v>409.62058405000005</v>
      </c>
      <c r="BQ26" s="994">
        <v>407.26069857999994</v>
      </c>
      <c r="BR26" s="994">
        <v>405.43404948</v>
      </c>
      <c r="BS26" s="994">
        <v>404.09075253999998</v>
      </c>
      <c r="BT26" s="994">
        <v>405.64719951999996</v>
      </c>
      <c r="BU26" s="994">
        <v>405.63622151999999</v>
      </c>
      <c r="BV26" s="994">
        <v>406.85731804</v>
      </c>
      <c r="BW26" s="994">
        <v>405.30138765000004</v>
      </c>
      <c r="BX26" s="994">
        <v>415.07152287999997</v>
      </c>
      <c r="BY26" s="994">
        <v>419.69878789000001</v>
      </c>
      <c r="BZ26" s="994">
        <v>437.61005681</v>
      </c>
      <c r="CA26" s="994">
        <v>440.98452646999999</v>
      </c>
      <c r="CB26" s="994">
        <v>432.92944501000005</v>
      </c>
      <c r="CC26" s="994">
        <v>439.76683287999998</v>
      </c>
      <c r="CD26" s="994">
        <v>451.36204230999994</v>
      </c>
      <c r="CE26" s="994">
        <f t="shared" ref="CE26:CP26" si="9">+CE24-CE25</f>
        <v>450.69278562</v>
      </c>
      <c r="CF26" s="994">
        <f t="shared" si="9"/>
        <v>450.46868695000001</v>
      </c>
      <c r="CG26" s="994">
        <f t="shared" si="9"/>
        <v>468.31712438000005</v>
      </c>
      <c r="CH26" s="994">
        <f t="shared" si="9"/>
        <v>466.38168318000004</v>
      </c>
      <c r="CI26" s="994">
        <f t="shared" si="9"/>
        <v>459.85812598000001</v>
      </c>
      <c r="CJ26" s="994">
        <f t="shared" si="9"/>
        <v>457.91720141999997</v>
      </c>
      <c r="CK26" s="994">
        <f t="shared" si="9"/>
        <v>510.71841112000004</v>
      </c>
      <c r="CL26" s="994">
        <f t="shared" si="9"/>
        <v>504.34950690000005</v>
      </c>
      <c r="CM26" s="994">
        <f t="shared" si="9"/>
        <v>499.23033192000003</v>
      </c>
      <c r="CN26" s="994">
        <f t="shared" si="9"/>
        <v>497.36162439999998</v>
      </c>
      <c r="CO26" s="994">
        <f t="shared" si="9"/>
        <v>497.69445558000001</v>
      </c>
      <c r="CP26" s="994">
        <f t="shared" si="9"/>
        <v>498.07112887</v>
      </c>
      <c r="CQ26" s="994">
        <f>+CQ24-CQ25</f>
        <v>486.82624347999996</v>
      </c>
      <c r="CR26" s="994">
        <f>+CR24-CR25</f>
        <v>491.07912499000003</v>
      </c>
      <c r="CS26" s="994">
        <f>+CS24-CS25</f>
        <v>494.55360853999997</v>
      </c>
      <c r="CT26" s="994">
        <v>495.82445265000001</v>
      </c>
      <c r="CU26" s="994">
        <v>494.52935453999999</v>
      </c>
      <c r="CV26" s="994">
        <v>505.37513870999999</v>
      </c>
      <c r="CW26" s="994">
        <v>499.01804189000001</v>
      </c>
      <c r="CX26" s="994">
        <v>502.67900613</v>
      </c>
      <c r="CY26" s="994">
        <v>504.86481450000002</v>
      </c>
      <c r="CZ26" s="994">
        <v>501.14521839999998</v>
      </c>
      <c r="DA26" s="994">
        <v>509.90303664999999</v>
      </c>
      <c r="DB26" s="994">
        <v>514.19234262999998</v>
      </c>
      <c r="DC26" s="994">
        <v>512.83791057999997</v>
      </c>
      <c r="DD26" s="994">
        <v>512.52881551999997</v>
      </c>
      <c r="DE26" s="994">
        <v>528.29089824000005</v>
      </c>
      <c r="DF26" s="994">
        <v>530.05726331000005</v>
      </c>
      <c r="DG26" s="994">
        <v>527.80225487999996</v>
      </c>
      <c r="DH26" s="994">
        <v>535.10197504999996</v>
      </c>
      <c r="DI26" s="994">
        <v>535.17699511000001</v>
      </c>
      <c r="DJ26" s="994">
        <v>534.77943344000005</v>
      </c>
      <c r="DK26" s="994">
        <v>483.21774884000001</v>
      </c>
      <c r="DL26" s="994">
        <v>481.20642013000003</v>
      </c>
      <c r="DM26" s="994">
        <v>481.26336860999999</v>
      </c>
      <c r="DN26" s="994">
        <v>481.17135048</v>
      </c>
      <c r="DO26" s="994">
        <v>479.06048864000002</v>
      </c>
      <c r="DP26" s="994">
        <v>476.57177895000001</v>
      </c>
      <c r="DQ26" s="994">
        <v>463.47295419</v>
      </c>
      <c r="DR26" s="994">
        <v>450.17804565</v>
      </c>
      <c r="DS26" s="994">
        <v>448.78996310999997</v>
      </c>
      <c r="DT26" s="994">
        <v>438.95106298000002</v>
      </c>
      <c r="DU26" s="994">
        <v>426.49628065000002</v>
      </c>
      <c r="DV26" s="994">
        <v>415.95315167000001</v>
      </c>
      <c r="DW26" s="994">
        <v>419.53117659999998</v>
      </c>
      <c r="DX26" s="994">
        <v>429.07133711</v>
      </c>
      <c r="DY26" s="994">
        <v>433.58522782</v>
      </c>
      <c r="DZ26" s="994">
        <v>451.34477971000001</v>
      </c>
      <c r="EA26" s="994">
        <v>422.81455125999997</v>
      </c>
      <c r="EB26" s="994">
        <v>411.10102415</v>
      </c>
      <c r="EC26" s="994">
        <v>411.05821924000003</v>
      </c>
      <c r="ED26" s="994">
        <v>402.80969823999999</v>
      </c>
      <c r="EE26" s="994">
        <v>403.39300923000002</v>
      </c>
      <c r="EK26" s="400"/>
    </row>
    <row r="27" spans="1:141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  <c r="EK27" s="400"/>
    </row>
    <row r="28" spans="1:141" ht="19.8">
      <c r="A28" s="1513" t="s">
        <v>189</v>
      </c>
      <c r="B28" s="962">
        <v>467.73436215999999</v>
      </c>
      <c r="C28" s="962">
        <v>516.17114155000002</v>
      </c>
      <c r="D28" s="962">
        <v>530.50519874000008</v>
      </c>
      <c r="E28" s="962">
        <v>537.53987014000006</v>
      </c>
      <c r="F28" s="962">
        <v>548.54793453000002</v>
      </c>
      <c r="G28" s="962">
        <v>610.97083487999998</v>
      </c>
      <c r="H28" s="962">
        <v>625.78907225</v>
      </c>
      <c r="I28" s="962">
        <v>627.10025427999994</v>
      </c>
      <c r="J28" s="962">
        <v>633.87316783000006</v>
      </c>
      <c r="K28" s="962">
        <v>660.47138422</v>
      </c>
      <c r="L28" s="962">
        <v>673.95979130000001</v>
      </c>
      <c r="M28" s="946">
        <v>676.57906603999993</v>
      </c>
      <c r="N28" s="950">
        <v>675.51016306999998</v>
      </c>
      <c r="O28" s="950">
        <v>675.33543244999998</v>
      </c>
      <c r="P28" s="950">
        <v>682.66014953999991</v>
      </c>
      <c r="Q28" s="950">
        <v>689.11739110999997</v>
      </c>
      <c r="R28" s="950">
        <v>697.40190593999989</v>
      </c>
      <c r="S28" s="950">
        <v>703.20331094999995</v>
      </c>
      <c r="T28" s="950">
        <v>701.53503275000003</v>
      </c>
      <c r="U28" s="950">
        <v>723.39103341999999</v>
      </c>
      <c r="V28" s="950">
        <v>737.56482314999994</v>
      </c>
      <c r="W28" s="950">
        <v>746.17114191999997</v>
      </c>
      <c r="X28" s="950">
        <v>765.91176502999997</v>
      </c>
      <c r="Y28" s="946">
        <v>777.16983661000006</v>
      </c>
      <c r="Z28" s="950">
        <v>775.90631032999988</v>
      </c>
      <c r="AA28" s="950">
        <v>597.11065466999992</v>
      </c>
      <c r="AB28" s="946">
        <v>593.26743813000007</v>
      </c>
      <c r="AC28" s="946">
        <v>599.89570153999989</v>
      </c>
      <c r="AD28" s="946">
        <v>598.71643942999992</v>
      </c>
      <c r="AE28" s="946">
        <v>596.91162845000008</v>
      </c>
      <c r="AF28" s="946">
        <v>605.53100307000011</v>
      </c>
      <c r="AG28" s="946">
        <v>610.79257828999994</v>
      </c>
      <c r="AH28" s="946">
        <v>421.31810461000003</v>
      </c>
      <c r="AI28" s="946">
        <v>437.61303474000005</v>
      </c>
      <c r="AJ28" s="946">
        <v>446.00192661</v>
      </c>
      <c r="AK28" s="946">
        <v>441.47766429000001</v>
      </c>
      <c r="AL28" s="946">
        <v>399.33824117</v>
      </c>
      <c r="AM28" s="946">
        <v>396.28162980000002</v>
      </c>
      <c r="AN28" s="946">
        <v>391.49846817000002</v>
      </c>
      <c r="AO28" s="946">
        <v>394.85606650000005</v>
      </c>
      <c r="AP28" s="946">
        <v>387.28405995999998</v>
      </c>
      <c r="AQ28" s="946">
        <v>384.0325416</v>
      </c>
      <c r="AR28" s="946">
        <v>359.70602822999996</v>
      </c>
      <c r="AS28" s="946">
        <v>358.78660681999997</v>
      </c>
      <c r="AT28" s="946">
        <v>367.27118247999999</v>
      </c>
      <c r="AU28" s="946">
        <v>353.65341418999998</v>
      </c>
      <c r="AV28" s="946">
        <v>358.89897643</v>
      </c>
      <c r="AW28" s="946">
        <v>375.83390419999995</v>
      </c>
      <c r="AX28" s="946">
        <v>371.17521616999994</v>
      </c>
      <c r="AY28" s="946">
        <v>380.51189936999998</v>
      </c>
      <c r="AZ28" s="946">
        <v>377.10458410000001</v>
      </c>
      <c r="BA28" s="946">
        <v>380.14468773999994</v>
      </c>
      <c r="BB28" s="946">
        <v>379.60410772</v>
      </c>
      <c r="BC28" s="946">
        <v>373.73231764000002</v>
      </c>
      <c r="BD28" s="946">
        <v>368.70424564000001</v>
      </c>
      <c r="BE28" s="946">
        <v>360.46498948999999</v>
      </c>
      <c r="BF28" s="946">
        <v>358.36195450999998</v>
      </c>
      <c r="BG28" s="946">
        <v>343.13518020000004</v>
      </c>
      <c r="BH28" s="1004">
        <v>339.64713410999997</v>
      </c>
      <c r="BI28" s="993">
        <v>315.16309311000003</v>
      </c>
      <c r="BJ28" s="993">
        <v>310.06302153000001</v>
      </c>
      <c r="BK28" s="993">
        <v>304.23102646999996</v>
      </c>
      <c r="BL28" s="993">
        <v>310.61602958999998</v>
      </c>
      <c r="BM28" s="993">
        <v>315.75553834999999</v>
      </c>
      <c r="BN28" s="993">
        <v>320.30207947000002</v>
      </c>
      <c r="BO28" s="993">
        <v>324.00356526000002</v>
      </c>
      <c r="BP28" s="993">
        <v>324.75342222</v>
      </c>
      <c r="BQ28" s="993">
        <v>325.03820807</v>
      </c>
      <c r="BR28" s="993">
        <v>318.95783713999998</v>
      </c>
      <c r="BS28" s="993">
        <v>320.33274187000001</v>
      </c>
      <c r="BT28" s="993">
        <v>324.62979702999996</v>
      </c>
      <c r="BU28" s="993">
        <v>331.32141845000001</v>
      </c>
      <c r="BV28" s="993">
        <v>332.92332324</v>
      </c>
      <c r="BW28" s="993">
        <v>335.12542841000004</v>
      </c>
      <c r="BX28" s="993">
        <v>333.88124506999998</v>
      </c>
      <c r="BY28" s="993">
        <v>332.73639701999997</v>
      </c>
      <c r="BZ28" s="993">
        <v>336.81459848000003</v>
      </c>
      <c r="CA28" s="993">
        <v>339.79659588999999</v>
      </c>
      <c r="CB28" s="993">
        <v>329.11798327000002</v>
      </c>
      <c r="CC28" s="993">
        <v>325.04683477999998</v>
      </c>
      <c r="CD28" s="993">
        <v>340.05843578999998</v>
      </c>
      <c r="CE28" s="993">
        <v>339.74357280000004</v>
      </c>
      <c r="CF28" s="993">
        <v>337.29550236</v>
      </c>
      <c r="CG28" s="993">
        <v>352.06313544000005</v>
      </c>
      <c r="CH28" s="993">
        <v>350.14855043</v>
      </c>
      <c r="CI28" s="993">
        <v>344.7317615</v>
      </c>
      <c r="CJ28" s="993">
        <v>343.49890994999998</v>
      </c>
      <c r="CK28" s="993">
        <v>391.84076505000002</v>
      </c>
      <c r="CL28" s="993">
        <v>385.93251005000002</v>
      </c>
      <c r="CM28" s="993">
        <v>375.19113476000001</v>
      </c>
      <c r="CN28" s="993">
        <v>371.41697058</v>
      </c>
      <c r="CO28" s="993">
        <v>371.57621143</v>
      </c>
      <c r="CP28" s="993">
        <v>373.33774472999994</v>
      </c>
      <c r="CQ28" s="993">
        <v>370.78507652999997</v>
      </c>
      <c r="CR28" s="993">
        <v>375.93190351999999</v>
      </c>
      <c r="CS28" s="993">
        <v>380.46437528999996</v>
      </c>
      <c r="CT28" s="993">
        <v>381.16451469999998</v>
      </c>
      <c r="CU28" s="993">
        <v>373.73848834</v>
      </c>
      <c r="CV28" s="993">
        <v>385.55945086999998</v>
      </c>
      <c r="CW28" s="993">
        <v>380.10754042999997</v>
      </c>
      <c r="CX28" s="993">
        <v>380.75789552999998</v>
      </c>
      <c r="CY28" s="993">
        <v>375.50066568</v>
      </c>
      <c r="CZ28" s="993">
        <v>370.57698205000003</v>
      </c>
      <c r="DA28" s="993">
        <v>372.69300666999999</v>
      </c>
      <c r="DB28" s="993">
        <v>376.47865787000001</v>
      </c>
      <c r="DC28" s="993">
        <v>385.39824612000001</v>
      </c>
      <c r="DD28" s="993">
        <v>379.37517837000001</v>
      </c>
      <c r="DE28" s="993">
        <v>396.55805622000003</v>
      </c>
      <c r="DF28" s="993">
        <v>399.54604916</v>
      </c>
      <c r="DG28" s="993">
        <v>398.31614757</v>
      </c>
      <c r="DH28" s="993">
        <v>403.46002456999997</v>
      </c>
      <c r="DI28" s="993">
        <v>404.16167594000001</v>
      </c>
      <c r="DJ28" s="993">
        <v>404.11252385</v>
      </c>
      <c r="DK28" s="993">
        <v>353.26052872999998</v>
      </c>
      <c r="DL28" s="993">
        <v>348.96991426</v>
      </c>
      <c r="DM28" s="993">
        <v>348.17991694</v>
      </c>
      <c r="DN28" s="993">
        <v>349.31207427999999</v>
      </c>
      <c r="DO28" s="993">
        <v>344.24813728999999</v>
      </c>
      <c r="DP28" s="993">
        <v>343.15456283999998</v>
      </c>
      <c r="DQ28" s="993">
        <v>337.43105435000001</v>
      </c>
      <c r="DR28" s="993">
        <v>322.88740724000002</v>
      </c>
      <c r="DS28" s="993">
        <v>322.19544274999998</v>
      </c>
      <c r="DT28" s="993">
        <v>314.36424069999998</v>
      </c>
      <c r="DU28" s="993">
        <v>304.47516762999999</v>
      </c>
      <c r="DV28" s="993">
        <v>303.53229370000003</v>
      </c>
      <c r="DW28" s="993">
        <v>307.71096191999999</v>
      </c>
      <c r="DX28" s="993">
        <v>310.16628373999998</v>
      </c>
      <c r="DY28" s="993">
        <v>314.65305949999998</v>
      </c>
      <c r="DZ28" s="993">
        <v>332.28584898999998</v>
      </c>
      <c r="EA28" s="993">
        <v>305.41169497999999</v>
      </c>
      <c r="EB28" s="993">
        <v>295.25765899999999</v>
      </c>
      <c r="EC28" s="993">
        <v>295.03773568999998</v>
      </c>
      <c r="ED28" s="993">
        <v>289.54423521000001</v>
      </c>
      <c r="EE28" s="993">
        <v>291.23587802999998</v>
      </c>
      <c r="EK28" s="400"/>
    </row>
    <row r="29" spans="1:141" ht="19.8">
      <c r="A29" s="1514" t="s">
        <v>2001</v>
      </c>
      <c r="B29" s="962">
        <v>2.4350116000000002</v>
      </c>
      <c r="C29" s="962">
        <v>2.4000490999999999</v>
      </c>
      <c r="D29" s="962">
        <v>2.3650866000000001</v>
      </c>
      <c r="E29" s="962">
        <v>2.3301240999999999</v>
      </c>
      <c r="F29" s="962">
        <v>2.2951616000000001</v>
      </c>
      <c r="G29" s="962">
        <v>2.2601990999999999</v>
      </c>
      <c r="H29" s="962">
        <v>2.2252366000000001</v>
      </c>
      <c r="I29" s="962">
        <v>2.1902740999999999</v>
      </c>
      <c r="J29" s="962">
        <v>2.1553116000000001</v>
      </c>
      <c r="K29" s="962">
        <v>2.1203490999999999</v>
      </c>
      <c r="L29" s="962">
        <v>2.1703491000000001</v>
      </c>
      <c r="M29" s="950">
        <v>2.12032854</v>
      </c>
      <c r="N29" s="950">
        <v>2.1118915400000002</v>
      </c>
      <c r="O29" s="950">
        <v>2.1118915400000002</v>
      </c>
      <c r="P29" s="950">
        <v>2.04589154</v>
      </c>
      <c r="Q29" s="950">
        <v>2.04589154</v>
      </c>
      <c r="R29" s="950">
        <v>2.04589154</v>
      </c>
      <c r="S29" s="950">
        <v>2.04589154</v>
      </c>
      <c r="T29" s="950">
        <v>2.04589154</v>
      </c>
      <c r="U29" s="950">
        <v>2.04589154</v>
      </c>
      <c r="V29" s="950">
        <v>2.04589154</v>
      </c>
      <c r="W29" s="950">
        <v>2.04589154</v>
      </c>
      <c r="X29" s="950">
        <v>2.04589154</v>
      </c>
      <c r="Y29" s="950">
        <v>2.0258915399999999</v>
      </c>
      <c r="Z29" s="950">
        <v>2.0258915399999999</v>
      </c>
      <c r="AA29" s="950">
        <v>1.952</v>
      </c>
      <c r="AB29" s="950">
        <v>1.9119999999999999</v>
      </c>
      <c r="AC29" s="950">
        <v>1.867</v>
      </c>
      <c r="AD29" s="950">
        <v>1.867</v>
      </c>
      <c r="AE29" s="950">
        <v>1.8120000000000001</v>
      </c>
      <c r="AF29" s="950">
        <v>1.8120000000000001</v>
      </c>
      <c r="AG29" s="950">
        <v>1.8120000000000001</v>
      </c>
      <c r="AH29" s="950">
        <v>1.8120000000000001</v>
      </c>
      <c r="AI29" s="950">
        <v>1.8120000000000001</v>
      </c>
      <c r="AJ29" s="950">
        <v>1.8120000000000001</v>
      </c>
      <c r="AK29" s="950">
        <v>1.8120000000000001</v>
      </c>
      <c r="AL29" s="950">
        <v>1.8120000000000001</v>
      </c>
      <c r="AM29" s="950">
        <v>1.512</v>
      </c>
      <c r="AN29" s="950">
        <v>1.49211001</v>
      </c>
      <c r="AO29" s="950">
        <v>1.3594380100000001</v>
      </c>
      <c r="AP29" s="950">
        <v>1.3294380100000001</v>
      </c>
      <c r="AQ29" s="950">
        <v>1.28772705</v>
      </c>
      <c r="AR29" s="950">
        <v>1.2599446699999999</v>
      </c>
      <c r="AS29" s="950">
        <v>1.23216229</v>
      </c>
      <c r="AT29" s="950">
        <v>1.2043799099999999</v>
      </c>
      <c r="AU29" s="950">
        <v>0.79559806999999994</v>
      </c>
      <c r="AV29" s="950">
        <v>0.76781568999999994</v>
      </c>
      <c r="AW29" s="950">
        <v>0.74003331000000006</v>
      </c>
      <c r="AX29" s="950">
        <v>0.71225093000000006</v>
      </c>
      <c r="AY29" s="950">
        <v>0.68446855000000006</v>
      </c>
      <c r="AZ29" s="950">
        <v>0.65668617000000007</v>
      </c>
      <c r="BA29" s="950">
        <v>0.62890379000000007</v>
      </c>
      <c r="BB29" s="950">
        <v>0.33201029999999998</v>
      </c>
      <c r="BC29" s="950">
        <v>0.33196376999999999</v>
      </c>
      <c r="BD29" s="950">
        <v>0.31225178999999997</v>
      </c>
      <c r="BE29" s="950">
        <v>0.29251167</v>
      </c>
      <c r="BF29" s="950">
        <v>0.27316576000000004</v>
      </c>
      <c r="BG29" s="950">
        <v>0.26532083000000001</v>
      </c>
      <c r="BH29" s="1005">
        <v>0.25745569000000001</v>
      </c>
      <c r="BI29" s="994">
        <v>0.23711089000000002</v>
      </c>
      <c r="BJ29" s="994">
        <v>0.21676858999999998</v>
      </c>
      <c r="BK29" s="994">
        <v>0.19638897</v>
      </c>
      <c r="BL29" s="994">
        <v>0.17601037</v>
      </c>
      <c r="BM29" s="994">
        <v>0.15561701</v>
      </c>
      <c r="BN29" s="994">
        <v>0.13521554</v>
      </c>
      <c r="BO29" s="994">
        <v>0.10169458000000001</v>
      </c>
      <c r="BP29" s="994">
        <v>9.4379119999999997E-2</v>
      </c>
      <c r="BQ29" s="994">
        <v>7.3208999999999996E-2</v>
      </c>
      <c r="BR29" s="994">
        <v>5.3566000000000003E-2</v>
      </c>
      <c r="BS29" s="994">
        <v>3.3923000000000002E-2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0.2</v>
      </c>
      <c r="BZ29" s="994">
        <v>0.19939475000000001</v>
      </c>
      <c r="CA29" s="994">
        <v>0.19877891</v>
      </c>
      <c r="CB29" s="994">
        <v>0.19815229000000001</v>
      </c>
      <c r="CC29" s="994">
        <v>0.19751470999999998</v>
      </c>
      <c r="CD29" s="994">
        <v>0.19686595000000001</v>
      </c>
      <c r="CE29" s="994">
        <v>0.19620587</v>
      </c>
      <c r="CF29" s="994">
        <v>0.19535148000000002</v>
      </c>
      <c r="CG29" s="994">
        <v>0.19463659</v>
      </c>
      <c r="CH29" s="994">
        <v>0.19415546</v>
      </c>
      <c r="CI29" s="994">
        <v>0.19415546</v>
      </c>
      <c r="CJ29" s="994">
        <v>0.19327789000000001</v>
      </c>
      <c r="CK29" s="994">
        <v>0.19327789000000001</v>
      </c>
      <c r="CL29" s="994">
        <v>0.19327789000000001</v>
      </c>
      <c r="CM29" s="994">
        <v>0.19327789000000001</v>
      </c>
      <c r="CN29" s="994">
        <v>0.19327789000000001</v>
      </c>
      <c r="CO29" s="994">
        <v>0.19327789000000001</v>
      </c>
      <c r="CP29" s="994">
        <v>0.19217789000000002</v>
      </c>
      <c r="CQ29" s="994">
        <v>0.19217789000000002</v>
      </c>
      <c r="CR29" s="994">
        <v>0.19217789000000002</v>
      </c>
      <c r="CS29" s="994">
        <v>0.19217789000000002</v>
      </c>
      <c r="CT29" s="994">
        <v>0.30294104999999999</v>
      </c>
      <c r="CU29" s="994">
        <v>0.29747615999999999</v>
      </c>
      <c r="CV29" s="994">
        <v>0.29193525999999997</v>
      </c>
      <c r="CW29" s="994">
        <v>0.28628336999999998</v>
      </c>
      <c r="CX29" s="994">
        <v>0.28065668999999999</v>
      </c>
      <c r="CY29" s="994">
        <v>0.27501440999999999</v>
      </c>
      <c r="CZ29" s="994">
        <v>0.26930588999999999</v>
      </c>
      <c r="DA29" s="994">
        <v>7.1402289999999993E-2</v>
      </c>
      <c r="DB29" s="994">
        <v>0.76564319000000003</v>
      </c>
      <c r="DC29" s="994">
        <v>0.74433475999999998</v>
      </c>
      <c r="DD29" s="994">
        <v>0</v>
      </c>
      <c r="DE29" s="994">
        <v>0</v>
      </c>
      <c r="DF29" s="994">
        <v>0</v>
      </c>
      <c r="DG29" s="994">
        <v>0</v>
      </c>
      <c r="DH29" s="994">
        <v>1.5418479899999999</v>
      </c>
      <c r="DI29" s="994">
        <v>1.4001077399999999</v>
      </c>
      <c r="DJ29" s="994">
        <v>1.3901077399999999</v>
      </c>
      <c r="DK29" s="994">
        <v>1.3901077399999999</v>
      </c>
      <c r="DL29" s="994">
        <v>1.3901077399999999</v>
      </c>
      <c r="DM29" s="994">
        <v>1.38510774</v>
      </c>
      <c r="DN29" s="994">
        <v>1.38510774</v>
      </c>
      <c r="DO29" s="994">
        <v>1.3801077399999999</v>
      </c>
      <c r="DP29" s="994">
        <v>1.3801077399999999</v>
      </c>
      <c r="DQ29" s="994">
        <v>1.3801077399999999</v>
      </c>
      <c r="DR29" s="994">
        <v>1.3801077399999999</v>
      </c>
      <c r="DS29" s="994">
        <v>1.3801077399999999</v>
      </c>
      <c r="DT29" s="994">
        <v>1.3801077399999999</v>
      </c>
      <c r="DU29" s="994">
        <v>1.3801077399999999</v>
      </c>
      <c r="DV29" s="994">
        <v>1.3801077399999999</v>
      </c>
      <c r="DW29" s="994">
        <v>1.3801077399999999</v>
      </c>
      <c r="DX29" s="994">
        <v>1.4106077400000001</v>
      </c>
      <c r="DY29" s="994">
        <v>1.40997236</v>
      </c>
      <c r="DZ29" s="994">
        <v>1.40932692</v>
      </c>
      <c r="EA29" s="994">
        <v>1.7087021</v>
      </c>
      <c r="EB29" s="994">
        <v>1.7014801500000001</v>
      </c>
      <c r="EC29" s="994">
        <v>1.69394851</v>
      </c>
      <c r="ED29" s="994">
        <v>1.6864571100000001</v>
      </c>
      <c r="EE29" s="994">
        <v>1.40594492</v>
      </c>
      <c r="EK29" s="400"/>
    </row>
    <row r="30" spans="1:141" ht="19.8">
      <c r="A30" s="1515" t="s">
        <v>2002</v>
      </c>
      <c r="B30" s="961">
        <f>+B28-B29</f>
        <v>465.29935055999999</v>
      </c>
      <c r="C30" s="961">
        <f t="shared" ref="C30:R30" si="10">+C28-C29</f>
        <v>513.77109244999997</v>
      </c>
      <c r="D30" s="961">
        <f t="shared" si="10"/>
        <v>528.14011214000004</v>
      </c>
      <c r="E30" s="961">
        <f t="shared" si="10"/>
        <v>535.20974604000003</v>
      </c>
      <c r="F30" s="961">
        <f t="shared" si="10"/>
        <v>546.25277292999999</v>
      </c>
      <c r="G30" s="961">
        <f t="shared" si="10"/>
        <v>608.71063577999996</v>
      </c>
      <c r="H30" s="961">
        <f t="shared" si="10"/>
        <v>623.56383564999999</v>
      </c>
      <c r="I30" s="961">
        <f t="shared" si="10"/>
        <v>624.90998017999993</v>
      </c>
      <c r="J30" s="961">
        <f t="shared" si="10"/>
        <v>631.71785623000005</v>
      </c>
      <c r="K30" s="961">
        <f t="shared" si="10"/>
        <v>658.35103512000001</v>
      </c>
      <c r="L30" s="961">
        <f t="shared" si="10"/>
        <v>671.78944220000005</v>
      </c>
      <c r="M30" s="950">
        <f t="shared" si="10"/>
        <v>674.45873749999998</v>
      </c>
      <c r="N30" s="946">
        <f t="shared" si="10"/>
        <v>673.39827152999999</v>
      </c>
      <c r="O30" s="946">
        <f t="shared" si="10"/>
        <v>673.22354091</v>
      </c>
      <c r="P30" s="946">
        <f t="shared" si="10"/>
        <v>680.61425799999995</v>
      </c>
      <c r="Q30" s="946">
        <f t="shared" si="10"/>
        <v>687.07149957000001</v>
      </c>
      <c r="R30" s="946">
        <f t="shared" si="10"/>
        <v>695.35601439999994</v>
      </c>
      <c r="S30" s="946">
        <f>+S28-S29</f>
        <v>701.15741940999999</v>
      </c>
      <c r="T30" s="946">
        <f>+T28-T29</f>
        <v>699.48914121000007</v>
      </c>
      <c r="U30" s="946">
        <f>+U28-U29</f>
        <v>721.34514188000003</v>
      </c>
      <c r="V30" s="946">
        <f>+V28-V29</f>
        <v>735.51893160999998</v>
      </c>
      <c r="W30" s="946">
        <v>744.12525038000001</v>
      </c>
      <c r="X30" s="946">
        <v>763.86587349000001</v>
      </c>
      <c r="Y30" s="950">
        <v>775.14394507000009</v>
      </c>
      <c r="Z30" s="946">
        <v>773.88041878999991</v>
      </c>
      <c r="AA30" s="946">
        <v>595.15865466999992</v>
      </c>
      <c r="AB30" s="950">
        <v>591.35543813000004</v>
      </c>
      <c r="AC30" s="950">
        <v>598.02870153999993</v>
      </c>
      <c r="AD30" s="950">
        <v>596.84943942999996</v>
      </c>
      <c r="AE30" s="950">
        <v>595.09962845000007</v>
      </c>
      <c r="AF30" s="950">
        <v>603.7190030700001</v>
      </c>
      <c r="AG30" s="950">
        <v>608.98057828999993</v>
      </c>
      <c r="AH30" s="950">
        <f>+AH28-AH29</f>
        <v>419.50610461000002</v>
      </c>
      <c r="AI30" s="950">
        <v>435.80103474000003</v>
      </c>
      <c r="AJ30" s="950">
        <v>444.18992660999999</v>
      </c>
      <c r="AK30" s="950">
        <f>+AK28-AK29</f>
        <v>439.66566429</v>
      </c>
      <c r="AL30" s="950">
        <v>397.52624116999999</v>
      </c>
      <c r="AM30" s="950">
        <f>+AM28-AM29</f>
        <v>394.76962980000002</v>
      </c>
      <c r="AN30" s="950">
        <f>+AN28-AN29</f>
        <v>390.00635816000005</v>
      </c>
      <c r="AO30" s="950">
        <f>+AO28-AO29</f>
        <v>393.49662849000003</v>
      </c>
      <c r="AP30" s="950">
        <f>+AP28-AP29</f>
        <v>385.95462194999999</v>
      </c>
      <c r="AQ30" s="950">
        <v>382.74481455</v>
      </c>
      <c r="AR30" s="950">
        <v>358.44608355999998</v>
      </c>
      <c r="AS30" s="950">
        <f>+AS28-AS29</f>
        <v>357.55444452999996</v>
      </c>
      <c r="AT30" s="950">
        <f>+AT28-AT29</f>
        <v>366.06680256999999</v>
      </c>
      <c r="AU30" s="950">
        <v>352.85781612</v>
      </c>
      <c r="AV30" s="950">
        <v>358.13116073999998</v>
      </c>
      <c r="AW30" s="950">
        <v>375.09387088999995</v>
      </c>
      <c r="AX30" s="950">
        <v>370.46296523999996</v>
      </c>
      <c r="AY30" s="950">
        <v>379.82743081999996</v>
      </c>
      <c r="AZ30" s="950">
        <v>376.44789793000001</v>
      </c>
      <c r="BA30" s="950">
        <v>379.51578394999996</v>
      </c>
      <c r="BB30" s="950">
        <v>379.27209742000002</v>
      </c>
      <c r="BC30" s="950">
        <v>373.40035387</v>
      </c>
      <c r="BD30" s="950">
        <f>+BD28-BD29</f>
        <v>368.39199385000001</v>
      </c>
      <c r="BE30" s="950">
        <v>360.17247781999998</v>
      </c>
      <c r="BF30" s="950">
        <v>358.08878874999999</v>
      </c>
      <c r="BG30" s="950">
        <v>342.86985937000003</v>
      </c>
      <c r="BH30" s="1005">
        <v>339.38967842</v>
      </c>
      <c r="BI30" s="994">
        <v>314.92598222000004</v>
      </c>
      <c r="BJ30" s="994">
        <v>309.84625294</v>
      </c>
      <c r="BK30" s="994">
        <v>304.03463749999997</v>
      </c>
      <c r="BL30" s="994">
        <v>310.44001922000001</v>
      </c>
      <c r="BM30" s="994">
        <v>315.59992133999998</v>
      </c>
      <c r="BN30" s="994">
        <v>320.16686393000003</v>
      </c>
      <c r="BO30" s="994">
        <v>323.90187068</v>
      </c>
      <c r="BP30" s="994">
        <v>324.65904310000002</v>
      </c>
      <c r="BQ30" s="994">
        <v>324.96499906999998</v>
      </c>
      <c r="BR30" s="994">
        <v>318.90427113999999</v>
      </c>
      <c r="BS30" s="994">
        <v>320.29881886999999</v>
      </c>
      <c r="BT30" s="994">
        <v>324.62979702999996</v>
      </c>
      <c r="BU30" s="994">
        <v>331.32141845000001</v>
      </c>
      <c r="BV30" s="994">
        <v>332.92332324</v>
      </c>
      <c r="BW30" s="994">
        <v>335.12542841000004</v>
      </c>
      <c r="BX30" s="994">
        <v>333.88124506999998</v>
      </c>
      <c r="BY30" s="994">
        <v>332.53639701999998</v>
      </c>
      <c r="BZ30" s="994">
        <v>336.61520373000002</v>
      </c>
      <c r="CA30" s="994">
        <v>339.59781698</v>
      </c>
      <c r="CB30" s="994">
        <v>328.91983098000003</v>
      </c>
      <c r="CC30" s="994">
        <v>324.84932006999998</v>
      </c>
      <c r="CD30" s="994">
        <v>339.86156983999996</v>
      </c>
      <c r="CE30" s="994">
        <f t="shared" ref="CE30:CP30" si="11">+CE28-CE29</f>
        <v>339.54736693000007</v>
      </c>
      <c r="CF30" s="994">
        <f t="shared" si="11"/>
        <v>337.10015088</v>
      </c>
      <c r="CG30" s="994">
        <f t="shared" si="11"/>
        <v>351.86849885000004</v>
      </c>
      <c r="CH30" s="994">
        <f t="shared" si="11"/>
        <v>349.95439497000001</v>
      </c>
      <c r="CI30" s="994">
        <f t="shared" si="11"/>
        <v>344.53760604000001</v>
      </c>
      <c r="CJ30" s="994">
        <f t="shared" si="11"/>
        <v>343.30563205999999</v>
      </c>
      <c r="CK30" s="994">
        <f t="shared" si="11"/>
        <v>391.64748716000003</v>
      </c>
      <c r="CL30" s="994">
        <f t="shared" si="11"/>
        <v>385.73923216000003</v>
      </c>
      <c r="CM30" s="994">
        <f t="shared" si="11"/>
        <v>374.99785687000002</v>
      </c>
      <c r="CN30" s="994">
        <f t="shared" si="11"/>
        <v>371.22369269000001</v>
      </c>
      <c r="CO30" s="994">
        <f t="shared" si="11"/>
        <v>371.38293354000001</v>
      </c>
      <c r="CP30" s="994">
        <f t="shared" si="11"/>
        <v>373.14556683999996</v>
      </c>
      <c r="CQ30" s="994">
        <f>+CQ28-CQ29</f>
        <v>370.59289863999999</v>
      </c>
      <c r="CR30" s="994">
        <f>+CR28-CR29</f>
        <v>375.73972563000001</v>
      </c>
      <c r="CS30" s="994">
        <f>+CS28-CS29</f>
        <v>380.27219739999998</v>
      </c>
      <c r="CT30" s="994">
        <v>380.86157365000003</v>
      </c>
      <c r="CU30" s="994">
        <v>373.44101217999997</v>
      </c>
      <c r="CV30" s="994">
        <v>385.26751560999998</v>
      </c>
      <c r="CW30" s="994">
        <v>379.82125705999999</v>
      </c>
      <c r="CX30" s="994">
        <v>380.47723883999998</v>
      </c>
      <c r="CY30" s="994">
        <v>375.22565127000001</v>
      </c>
      <c r="CZ30" s="994">
        <v>370.30767616000003</v>
      </c>
      <c r="DA30" s="994">
        <v>372.62160438000001</v>
      </c>
      <c r="DB30" s="994">
        <v>375.71301468000001</v>
      </c>
      <c r="DC30" s="994">
        <v>384.65391136</v>
      </c>
      <c r="DD30" s="994">
        <v>379.37517837000001</v>
      </c>
      <c r="DE30" s="994">
        <v>396.55805622000003</v>
      </c>
      <c r="DF30" s="994">
        <v>399.54604916</v>
      </c>
      <c r="DG30" s="994">
        <v>398.31614757</v>
      </c>
      <c r="DH30" s="994">
        <v>401.91817658000002</v>
      </c>
      <c r="DI30" s="994">
        <v>402.7615682</v>
      </c>
      <c r="DJ30" s="994">
        <v>402.72241610999998</v>
      </c>
      <c r="DK30" s="994">
        <v>351.87042099000001</v>
      </c>
      <c r="DL30" s="994">
        <v>347.57980651999998</v>
      </c>
      <c r="DM30" s="994">
        <v>346.79480919999997</v>
      </c>
      <c r="DN30" s="994">
        <v>347.92696654000002</v>
      </c>
      <c r="DO30" s="994">
        <v>342.86802955000002</v>
      </c>
      <c r="DP30" s="994">
        <v>341.77445510000001</v>
      </c>
      <c r="DQ30" s="994">
        <v>336.05094660999998</v>
      </c>
      <c r="DR30" s="994">
        <v>321.50729949999999</v>
      </c>
      <c r="DS30" s="994">
        <v>320.81533501000001</v>
      </c>
      <c r="DT30" s="994">
        <v>312.98413296000001</v>
      </c>
      <c r="DU30" s="994">
        <v>303.09505989000002</v>
      </c>
      <c r="DV30" s="994">
        <v>302.15218596</v>
      </c>
      <c r="DW30" s="994">
        <v>306.33085418000002</v>
      </c>
      <c r="DX30" s="994">
        <v>308.75567599999999</v>
      </c>
      <c r="DY30" s="994">
        <v>313.24308714</v>
      </c>
      <c r="DZ30" s="994">
        <v>330.87652207000002</v>
      </c>
      <c r="EA30" s="994">
        <v>303.70299288000001</v>
      </c>
      <c r="EB30" s="994">
        <v>293.55617884999998</v>
      </c>
      <c r="EC30" s="994">
        <v>293.34378717999999</v>
      </c>
      <c r="ED30" s="994">
        <v>287.85777810000002</v>
      </c>
      <c r="EE30" s="994">
        <v>289.82993311000001</v>
      </c>
      <c r="EK30" s="400"/>
    </row>
    <row r="31" spans="1:141" ht="19.8">
      <c r="A31" s="1514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  <c r="EK31" s="400"/>
    </row>
    <row r="32" spans="1:141" ht="19.8">
      <c r="A32" s="1513" t="s">
        <v>2822</v>
      </c>
      <c r="B32" s="961">
        <v>45.2952984</v>
      </c>
      <c r="C32" s="961">
        <v>42.270740799999999</v>
      </c>
      <c r="D32" s="961">
        <v>40.844188789999997</v>
      </c>
      <c r="E32" s="961">
        <v>40.367234509999996</v>
      </c>
      <c r="F32" s="961">
        <v>39.513371859999999</v>
      </c>
      <c r="G32" s="961">
        <v>39.48626522</v>
      </c>
      <c r="H32" s="961">
        <v>42.049715710000001</v>
      </c>
      <c r="I32" s="961">
        <v>44.476332879999994</v>
      </c>
      <c r="J32" s="961">
        <v>47.717723390000003</v>
      </c>
      <c r="K32" s="961">
        <v>49.65040363</v>
      </c>
      <c r="L32" s="961">
        <v>46.868320730000001</v>
      </c>
      <c r="M32" s="946">
        <v>46.150121869999992</v>
      </c>
      <c r="N32" s="946">
        <v>45.650042910000003</v>
      </c>
      <c r="O32" s="946">
        <v>44.962995220000003</v>
      </c>
      <c r="P32" s="946">
        <v>45.031478120000003</v>
      </c>
      <c r="Q32" s="946">
        <v>45.441015839999999</v>
      </c>
      <c r="R32" s="946">
        <v>45.186410649999999</v>
      </c>
      <c r="S32" s="946">
        <v>43.445150720000008</v>
      </c>
      <c r="T32" s="946">
        <v>44.16243017</v>
      </c>
      <c r="U32" s="946">
        <v>46.291841479999995</v>
      </c>
      <c r="V32" s="946">
        <v>48.679948459999999</v>
      </c>
      <c r="W32" s="946">
        <v>50.874532710000004</v>
      </c>
      <c r="X32" s="946">
        <v>52.14457737</v>
      </c>
      <c r="Y32" s="946">
        <v>52.020540079999996</v>
      </c>
      <c r="Z32" s="946">
        <v>50.515632839999995</v>
      </c>
      <c r="AA32" s="946">
        <v>287.99205193</v>
      </c>
      <c r="AB32" s="946">
        <v>287.65551739</v>
      </c>
      <c r="AC32" s="946">
        <v>287.70372002999994</v>
      </c>
      <c r="AD32" s="946">
        <v>287.07644017999996</v>
      </c>
      <c r="AE32" s="946">
        <v>292.45493582</v>
      </c>
      <c r="AF32" s="946">
        <v>293.01351210000001</v>
      </c>
      <c r="AG32" s="946">
        <v>289.48161527000002</v>
      </c>
      <c r="AH32" s="946">
        <v>278.66148109</v>
      </c>
      <c r="AI32" s="946">
        <v>178.47294192000001</v>
      </c>
      <c r="AJ32" s="946">
        <v>133.44865913999999</v>
      </c>
      <c r="AK32" s="946">
        <v>36.684359470000004</v>
      </c>
      <c r="AL32" s="946">
        <v>23.618166930000001</v>
      </c>
      <c r="AM32" s="946">
        <v>22.788629239999999</v>
      </c>
      <c r="AN32" s="946">
        <v>22.883619100000001</v>
      </c>
      <c r="AO32" s="946">
        <v>19.06680785</v>
      </c>
      <c r="AP32" s="946">
        <v>18.602693410000001</v>
      </c>
      <c r="AQ32" s="946">
        <v>18.811157269999999</v>
      </c>
      <c r="AR32" s="946">
        <v>19.519437149999998</v>
      </c>
      <c r="AS32" s="946">
        <v>19.887781480000001</v>
      </c>
      <c r="AT32" s="946">
        <f>AT24-AT28</f>
        <v>19.837792340000021</v>
      </c>
      <c r="AU32" s="946">
        <v>18.916989030000025</v>
      </c>
      <c r="AV32" s="946">
        <v>19.757963430000018</v>
      </c>
      <c r="AW32" s="946">
        <v>19.827696689999982</v>
      </c>
      <c r="AX32" s="946">
        <v>20.978709009999989</v>
      </c>
      <c r="AY32" s="946">
        <v>18.831519640000003</v>
      </c>
      <c r="AZ32" s="946">
        <v>25.294788409999999</v>
      </c>
      <c r="BA32" s="946">
        <v>25.225453769999998</v>
      </c>
      <c r="BB32" s="946">
        <v>17.50223003</v>
      </c>
      <c r="BC32" s="946">
        <v>22.491211479999997</v>
      </c>
      <c r="BD32" s="946">
        <v>44.009632759999995</v>
      </c>
      <c r="BE32" s="946">
        <v>63.271064439999996</v>
      </c>
      <c r="BF32" s="946">
        <v>62.983599930000025</v>
      </c>
      <c r="BG32" s="946">
        <v>62.34244640999998</v>
      </c>
      <c r="BH32" s="1004">
        <v>64.092049860000031</v>
      </c>
      <c r="BI32" s="993">
        <v>66.728372539999953</v>
      </c>
      <c r="BJ32" s="993">
        <v>67.663736139999969</v>
      </c>
      <c r="BK32" s="993">
        <v>67.413882960000024</v>
      </c>
      <c r="BL32" s="993">
        <v>74.66923644000002</v>
      </c>
      <c r="BM32" s="993">
        <v>78.76142243999999</v>
      </c>
      <c r="BN32" s="993">
        <v>76.833521630000007</v>
      </c>
      <c r="BO32" s="993">
        <v>79.715617460000033</v>
      </c>
      <c r="BP32" s="993">
        <v>84.961540950000028</v>
      </c>
      <c r="BQ32" s="993">
        <v>82.295699509999963</v>
      </c>
      <c r="BR32" s="993">
        <v>86.529778340000007</v>
      </c>
      <c r="BS32" s="993">
        <v>83.791933669999992</v>
      </c>
      <c r="BT32" s="993">
        <v>81.017402489999995</v>
      </c>
      <c r="BU32" s="993">
        <v>74.314803069999982</v>
      </c>
      <c r="BV32" s="993">
        <v>73.933994799999994</v>
      </c>
      <c r="BW32" s="993">
        <v>70.175959239999997</v>
      </c>
      <c r="BX32" s="993">
        <v>81.190277809999998</v>
      </c>
      <c r="BY32" s="993">
        <v>87.162390870000024</v>
      </c>
      <c r="BZ32" s="993">
        <v>100.99485307999998</v>
      </c>
      <c r="CA32" s="993">
        <v>101.38670948999999</v>
      </c>
      <c r="CB32" s="993">
        <v>104.00961403000002</v>
      </c>
      <c r="CC32" s="993">
        <v>114.91751281000001</v>
      </c>
      <c r="CD32" s="993">
        <v>111.50047247000001</v>
      </c>
      <c r="CE32" s="993">
        <v>111.14541869</v>
      </c>
      <c r="CF32" s="993">
        <v>113.36853607</v>
      </c>
      <c r="CG32" s="993">
        <v>116.44862553</v>
      </c>
      <c r="CH32" s="993">
        <v>116.42728821</v>
      </c>
      <c r="CI32" s="993">
        <v>115.32051994</v>
      </c>
      <c r="CJ32" s="993">
        <v>114.61156936</v>
      </c>
      <c r="CK32" s="993">
        <v>119.07092395999999</v>
      </c>
      <c r="CL32" s="993">
        <v>118.61027473999999</v>
      </c>
      <c r="CM32" s="993">
        <v>124.23247505000001</v>
      </c>
      <c r="CN32" s="993">
        <v>126.13793170999999</v>
      </c>
      <c r="CO32" s="993">
        <v>126.31152204</v>
      </c>
      <c r="CP32" s="993">
        <v>124.92556203000001</v>
      </c>
      <c r="CQ32" s="993">
        <v>116.23334484</v>
      </c>
      <c r="CR32" s="993">
        <v>115.33939936</v>
      </c>
      <c r="CS32" s="993">
        <v>114.28141114000002</v>
      </c>
      <c r="CT32" s="993">
        <v>119.212879</v>
      </c>
      <c r="CU32" s="993">
        <v>121.08834236</v>
      </c>
      <c r="CV32" s="993">
        <v>120.1076231</v>
      </c>
      <c r="CW32" s="993">
        <v>119.19678483</v>
      </c>
      <c r="CX32" s="993">
        <v>122.20176729000001</v>
      </c>
      <c r="CY32" s="993">
        <v>129.63916323000001</v>
      </c>
      <c r="CZ32" s="993">
        <v>130.83754224</v>
      </c>
      <c r="DA32" s="993">
        <v>137.28143227000001</v>
      </c>
      <c r="DB32" s="993">
        <v>138.47932795</v>
      </c>
      <c r="DC32" s="993">
        <v>128.18399922</v>
      </c>
      <c r="DD32" s="993">
        <v>133.15363715000001</v>
      </c>
      <c r="DE32" s="993">
        <v>131.73284201999999</v>
      </c>
      <c r="DF32" s="993">
        <v>130.51121415</v>
      </c>
      <c r="DG32" s="993">
        <v>129.48610730999999</v>
      </c>
      <c r="DH32" s="993">
        <v>133.18379847</v>
      </c>
      <c r="DI32" s="993">
        <v>132.41542691000001</v>
      </c>
      <c r="DJ32" s="993">
        <v>132.05701733000001</v>
      </c>
      <c r="DK32" s="993">
        <v>131.34732785</v>
      </c>
      <c r="DL32" s="993">
        <v>133.62661360999999</v>
      </c>
      <c r="DM32" s="993">
        <v>134.46855941000001</v>
      </c>
      <c r="DN32" s="993">
        <v>133.24438394000001</v>
      </c>
      <c r="DO32" s="993">
        <v>136.19251575000001</v>
      </c>
      <c r="DP32" s="993">
        <v>134.79738051000001</v>
      </c>
      <c r="DQ32" s="993">
        <v>127.42200758</v>
      </c>
      <c r="DR32" s="993">
        <v>128.67074615000001</v>
      </c>
      <c r="DS32" s="993">
        <v>127.9746281</v>
      </c>
      <c r="DT32" s="993">
        <v>125.96693002000001</v>
      </c>
      <c r="DU32" s="993">
        <v>123.40122076</v>
      </c>
      <c r="DV32" s="993">
        <v>113.80096571</v>
      </c>
      <c r="DW32" s="993">
        <v>113.20032242000001</v>
      </c>
      <c r="DX32" s="993">
        <v>120.31566110999999</v>
      </c>
      <c r="DY32" s="993">
        <v>120.34214068</v>
      </c>
      <c r="DZ32" s="993">
        <v>120.46825764</v>
      </c>
      <c r="EA32" s="993">
        <v>119.11155838000001</v>
      </c>
      <c r="EB32" s="993">
        <v>130.94084530000001</v>
      </c>
      <c r="EC32" s="993">
        <v>132.81043206000001</v>
      </c>
      <c r="ED32" s="993">
        <v>130.04792014</v>
      </c>
      <c r="EE32" s="993">
        <v>128.65907612000001</v>
      </c>
      <c r="EK32" s="400"/>
    </row>
    <row r="33" spans="1:141" ht="19.8">
      <c r="A33" s="1514" t="s">
        <v>2001</v>
      </c>
      <c r="B33" s="962">
        <v>0</v>
      </c>
      <c r="C33" s="962">
        <v>0</v>
      </c>
      <c r="D33" s="962">
        <v>0</v>
      </c>
      <c r="E33" s="962">
        <v>0</v>
      </c>
      <c r="F33" s="962">
        <v>0</v>
      </c>
      <c r="G33" s="962">
        <v>0</v>
      </c>
      <c r="H33" s="962">
        <v>2.4876494999999998</v>
      </c>
      <c r="I33" s="962">
        <v>2.4873324000000001</v>
      </c>
      <c r="J33" s="962">
        <v>2.4876494999999998</v>
      </c>
      <c r="K33" s="962">
        <v>2.4876494999999998</v>
      </c>
      <c r="L33" s="962">
        <v>2.4873324000000001</v>
      </c>
      <c r="M33" s="950">
        <v>2.4876494999999998</v>
      </c>
      <c r="N33" s="950">
        <v>2.4866982000000002</v>
      </c>
      <c r="O33" s="950">
        <v>2.4873324000000001</v>
      </c>
      <c r="P33" s="950">
        <v>2.4870152999999999</v>
      </c>
      <c r="Q33" s="950">
        <v>2.4870152999999999</v>
      </c>
      <c r="R33" s="950">
        <v>2.4873324000000001</v>
      </c>
      <c r="S33" s="950">
        <v>2.4870152999999999</v>
      </c>
      <c r="T33" s="950">
        <v>2.4866982000000002</v>
      </c>
      <c r="U33" s="950">
        <v>2.4873324000000001</v>
      </c>
      <c r="V33" s="950">
        <v>2.4873324000000001</v>
      </c>
      <c r="W33" s="950">
        <v>2.4873324000000001</v>
      </c>
      <c r="X33" s="950">
        <v>2.4873324000000001</v>
      </c>
      <c r="Y33" s="950">
        <v>2.4873324000000001</v>
      </c>
      <c r="Z33" s="950">
        <v>2.4873324000000001</v>
      </c>
      <c r="AA33" s="950">
        <v>3.3289157999999999</v>
      </c>
      <c r="AB33" s="950">
        <v>3.3247935000000002</v>
      </c>
      <c r="AC33" s="950">
        <v>3.3254277000000001</v>
      </c>
      <c r="AD33" s="950">
        <v>3.3276474</v>
      </c>
      <c r="AE33" s="950">
        <v>3.3241592999999998</v>
      </c>
      <c r="AF33" s="950">
        <v>3.3279645000000002</v>
      </c>
      <c r="AG33" s="950">
        <v>3.3232080000000002</v>
      </c>
      <c r="AH33" s="950">
        <v>3.3232080000000002</v>
      </c>
      <c r="AI33" s="950">
        <v>3.3273302999999999</v>
      </c>
      <c r="AJ33" s="950">
        <v>3.3333552000000002</v>
      </c>
      <c r="AK33" s="950">
        <v>4.9448574000000001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4.25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5.6660000000000003E-5</v>
      </c>
      <c r="DP33" s="994">
        <v>5.6660000000000003E-5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13.396000000000001</v>
      </c>
      <c r="EC33" s="994">
        <v>15.096</v>
      </c>
      <c r="ED33" s="994">
        <v>15.096</v>
      </c>
      <c r="EE33" s="994">
        <v>15.096</v>
      </c>
      <c r="EK33" s="400"/>
    </row>
    <row r="34" spans="1:141" ht="19.8">
      <c r="A34" s="1516" t="s">
        <v>2002</v>
      </c>
      <c r="B34" s="963">
        <f>+B32-B33</f>
        <v>45.2952984</v>
      </c>
      <c r="C34" s="963">
        <f t="shared" ref="C34:V34" si="12">+C32-C33</f>
        <v>42.270740799999999</v>
      </c>
      <c r="D34" s="963">
        <f t="shared" si="12"/>
        <v>40.844188789999997</v>
      </c>
      <c r="E34" s="963">
        <f t="shared" si="12"/>
        <v>40.367234509999996</v>
      </c>
      <c r="F34" s="963">
        <f t="shared" si="12"/>
        <v>39.513371859999999</v>
      </c>
      <c r="G34" s="963">
        <f t="shared" si="12"/>
        <v>39.48626522</v>
      </c>
      <c r="H34" s="963">
        <f t="shared" si="12"/>
        <v>39.562066209999998</v>
      </c>
      <c r="I34" s="963">
        <f t="shared" si="12"/>
        <v>41.989000479999994</v>
      </c>
      <c r="J34" s="963">
        <f t="shared" si="12"/>
        <v>45.23007389</v>
      </c>
      <c r="K34" s="963">
        <f t="shared" si="12"/>
        <v>47.162754129999996</v>
      </c>
      <c r="L34" s="963">
        <f t="shared" si="12"/>
        <v>44.380988330000001</v>
      </c>
      <c r="M34" s="957">
        <f t="shared" si="12"/>
        <v>43.662472369999989</v>
      </c>
      <c r="N34" s="964">
        <f t="shared" si="12"/>
        <v>43.163344710000004</v>
      </c>
      <c r="O34" s="964">
        <f t="shared" si="12"/>
        <v>42.475662820000004</v>
      </c>
      <c r="P34" s="964">
        <f t="shared" si="12"/>
        <v>42.54446282</v>
      </c>
      <c r="Q34" s="964">
        <f t="shared" si="12"/>
        <v>42.954000539999996</v>
      </c>
      <c r="R34" s="964">
        <f t="shared" si="12"/>
        <v>42.699078249999999</v>
      </c>
      <c r="S34" s="964">
        <f t="shared" si="12"/>
        <v>40.958135420000005</v>
      </c>
      <c r="T34" s="964">
        <f t="shared" si="12"/>
        <v>41.675731970000001</v>
      </c>
      <c r="U34" s="964">
        <f t="shared" si="12"/>
        <v>43.804509079999995</v>
      </c>
      <c r="V34" s="964">
        <f t="shared" si="12"/>
        <v>46.192616059999999</v>
      </c>
      <c r="W34" s="964">
        <v>48.387200310000004</v>
      </c>
      <c r="X34" s="964">
        <v>49.657244970000001</v>
      </c>
      <c r="Y34" s="957">
        <v>49.533207679999997</v>
      </c>
      <c r="Z34" s="964">
        <v>48.028300439999995</v>
      </c>
      <c r="AA34" s="964">
        <v>284.66313613</v>
      </c>
      <c r="AB34" s="957">
        <v>284.33072389</v>
      </c>
      <c r="AC34" s="957">
        <v>284.37829232999997</v>
      </c>
      <c r="AD34" s="957">
        <v>283.74879277999997</v>
      </c>
      <c r="AE34" s="957">
        <v>289.13077651999998</v>
      </c>
      <c r="AF34" s="957">
        <v>289.68554760000001</v>
      </c>
      <c r="AG34" s="957">
        <v>286.15840727</v>
      </c>
      <c r="AH34" s="957">
        <f>+AH32-AH33</f>
        <v>275.33827308999997</v>
      </c>
      <c r="AI34" s="957">
        <v>175.14561162000001</v>
      </c>
      <c r="AJ34" s="957">
        <v>130.11530393999999</v>
      </c>
      <c r="AK34" s="957">
        <f>+AK32-AK33</f>
        <v>31.739502070000004</v>
      </c>
      <c r="AL34" s="957">
        <v>23.618166930000001</v>
      </c>
      <c r="AM34" s="957">
        <f>+AM32-AM33</f>
        <v>22.788629239999999</v>
      </c>
      <c r="AN34" s="957">
        <f>+AN32-AN33</f>
        <v>22.883619100000001</v>
      </c>
      <c r="AO34" s="957">
        <f>+AO32-AO33</f>
        <v>19.06680785</v>
      </c>
      <c r="AP34" s="957">
        <f>+AP32-AP33</f>
        <v>18.602693410000001</v>
      </c>
      <c r="AQ34" s="957">
        <v>18.811157269999999</v>
      </c>
      <c r="AR34" s="957">
        <v>19.519437149999998</v>
      </c>
      <c r="AS34" s="957">
        <f>+AS32-AS33</f>
        <v>19.887781480000001</v>
      </c>
      <c r="AT34" s="957">
        <f>AT26-AT30</f>
        <v>19.837792340000021</v>
      </c>
      <c r="AU34" s="957">
        <v>18.916989030000025</v>
      </c>
      <c r="AV34" s="957">
        <v>19.757963430000018</v>
      </c>
      <c r="AW34" s="957">
        <v>19.827696689999982</v>
      </c>
      <c r="AX34" s="957">
        <v>20.978709009999989</v>
      </c>
      <c r="AY34" s="957">
        <v>18.831519640000003</v>
      </c>
      <c r="AZ34" s="957">
        <v>25.294788409999999</v>
      </c>
      <c r="BA34" s="957">
        <v>25.225453769999998</v>
      </c>
      <c r="BB34" s="957">
        <v>17.50223003</v>
      </c>
      <c r="BC34" s="957">
        <v>22.491211479999997</v>
      </c>
      <c r="BD34" s="957">
        <f>+BD32-BD33</f>
        <v>44.009632759999995</v>
      </c>
      <c r="BE34" s="957">
        <v>63.271064439999996</v>
      </c>
      <c r="BF34" s="957">
        <v>62.983599930000025</v>
      </c>
      <c r="BG34" s="957">
        <v>62.34244640999998</v>
      </c>
      <c r="BH34" s="1006">
        <v>64.092049860000031</v>
      </c>
      <c r="BI34" s="996">
        <v>66.728372539999953</v>
      </c>
      <c r="BJ34" s="996">
        <v>67.663736139999969</v>
      </c>
      <c r="BK34" s="996">
        <v>67.413882960000024</v>
      </c>
      <c r="BL34" s="996">
        <v>74.66923644000002</v>
      </c>
      <c r="BM34" s="996">
        <v>78.76142243999999</v>
      </c>
      <c r="BN34" s="996">
        <v>76.833521630000007</v>
      </c>
      <c r="BO34" s="996">
        <v>79.715617460000033</v>
      </c>
      <c r="BP34" s="996">
        <v>84.961540950000028</v>
      </c>
      <c r="BQ34" s="996">
        <v>82.295699509999963</v>
      </c>
      <c r="BR34" s="996">
        <v>86.529778340000007</v>
      </c>
      <c r="BS34" s="996">
        <v>83.791933669999992</v>
      </c>
      <c r="BT34" s="996">
        <v>81.017402489999995</v>
      </c>
      <c r="BU34" s="996">
        <v>74.314803069999982</v>
      </c>
      <c r="BV34" s="996">
        <v>73.933994799999994</v>
      </c>
      <c r="BW34" s="996">
        <v>70.175959239999997</v>
      </c>
      <c r="BX34" s="996">
        <v>81.190277809999998</v>
      </c>
      <c r="BY34" s="996">
        <v>87.162390870000024</v>
      </c>
      <c r="BZ34" s="996">
        <v>100.99485307999998</v>
      </c>
      <c r="CA34" s="996">
        <v>101.38670948999999</v>
      </c>
      <c r="CB34" s="996">
        <v>104.00961403000002</v>
      </c>
      <c r="CC34" s="996">
        <v>114.91751281000001</v>
      </c>
      <c r="CD34" s="996">
        <v>111.50047247000001</v>
      </c>
      <c r="CE34" s="996">
        <f t="shared" ref="CE34:CP34" si="13">+CE32-CE33</f>
        <v>111.14541869</v>
      </c>
      <c r="CF34" s="996">
        <f t="shared" si="13"/>
        <v>113.36853607</v>
      </c>
      <c r="CG34" s="996">
        <f t="shared" si="13"/>
        <v>116.44862553</v>
      </c>
      <c r="CH34" s="996">
        <f t="shared" si="13"/>
        <v>116.42728821</v>
      </c>
      <c r="CI34" s="996">
        <f t="shared" si="13"/>
        <v>115.32051994</v>
      </c>
      <c r="CJ34" s="996">
        <f t="shared" si="13"/>
        <v>114.61156936</v>
      </c>
      <c r="CK34" s="996">
        <f t="shared" si="13"/>
        <v>119.07092395999999</v>
      </c>
      <c r="CL34" s="996">
        <f t="shared" si="13"/>
        <v>118.61027473999999</v>
      </c>
      <c r="CM34" s="996">
        <f t="shared" si="13"/>
        <v>124.23247505000001</v>
      </c>
      <c r="CN34" s="996">
        <f t="shared" si="13"/>
        <v>126.13793170999999</v>
      </c>
      <c r="CO34" s="996">
        <f t="shared" si="13"/>
        <v>126.31152204</v>
      </c>
      <c r="CP34" s="996">
        <f t="shared" si="13"/>
        <v>124.92556203000001</v>
      </c>
      <c r="CQ34" s="996">
        <f>+CQ32-CQ33</f>
        <v>116.23334484</v>
      </c>
      <c r="CR34" s="996">
        <f>+CR32-CR33</f>
        <v>115.33939936</v>
      </c>
      <c r="CS34" s="996">
        <f>+CS32-CS33</f>
        <v>114.28141114000002</v>
      </c>
      <c r="CT34" s="996">
        <v>114.962879</v>
      </c>
      <c r="CU34" s="996">
        <v>121.08834236</v>
      </c>
      <c r="CV34" s="996">
        <v>120.1076231</v>
      </c>
      <c r="CW34" s="996">
        <v>119.19678483</v>
      </c>
      <c r="CX34" s="996">
        <v>122.20176729000001</v>
      </c>
      <c r="CY34" s="996">
        <v>129.63916323000001</v>
      </c>
      <c r="CZ34" s="996">
        <v>130.83754224</v>
      </c>
      <c r="DA34" s="996">
        <v>137.28143227000001</v>
      </c>
      <c r="DB34" s="996">
        <v>138.47932795</v>
      </c>
      <c r="DC34" s="996">
        <v>128.18399922</v>
      </c>
      <c r="DD34" s="996">
        <v>133.15363715000001</v>
      </c>
      <c r="DE34" s="996">
        <v>131.73284201999999</v>
      </c>
      <c r="DF34" s="996">
        <v>130.51121415</v>
      </c>
      <c r="DG34" s="996">
        <v>129.48610730999999</v>
      </c>
      <c r="DH34" s="996">
        <v>133.18379847</v>
      </c>
      <c r="DI34" s="996">
        <v>132.41542691000001</v>
      </c>
      <c r="DJ34" s="996">
        <v>132.05701733000001</v>
      </c>
      <c r="DK34" s="996">
        <v>131.34732785</v>
      </c>
      <c r="DL34" s="996">
        <v>133.62661360999999</v>
      </c>
      <c r="DM34" s="996">
        <v>134.46855941000001</v>
      </c>
      <c r="DN34" s="996">
        <v>133.24438394000001</v>
      </c>
      <c r="DO34" s="996">
        <v>136.19245909</v>
      </c>
      <c r="DP34" s="996">
        <v>134.79732385</v>
      </c>
      <c r="DQ34" s="996">
        <v>127.42200758</v>
      </c>
      <c r="DR34" s="996">
        <v>128.67074615000001</v>
      </c>
      <c r="DS34" s="996">
        <v>127.9746281</v>
      </c>
      <c r="DT34" s="996">
        <v>125.96693002000001</v>
      </c>
      <c r="DU34" s="996">
        <v>123.40122076</v>
      </c>
      <c r="DV34" s="996">
        <v>113.80096571</v>
      </c>
      <c r="DW34" s="996">
        <v>113.20032242000001</v>
      </c>
      <c r="DX34" s="996">
        <v>120.31566110999999</v>
      </c>
      <c r="DY34" s="996">
        <v>120.34214068</v>
      </c>
      <c r="DZ34" s="996">
        <v>120.46825764</v>
      </c>
      <c r="EA34" s="996">
        <v>119.11155838000001</v>
      </c>
      <c r="EB34" s="996">
        <v>117.54484530000001</v>
      </c>
      <c r="EC34" s="996">
        <v>117.71443205999999</v>
      </c>
      <c r="ED34" s="996">
        <v>114.95192014</v>
      </c>
      <c r="EE34" s="996">
        <v>113.56307612000001</v>
      </c>
      <c r="EK34" s="400"/>
    </row>
    <row r="35" spans="1:141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41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K36" s="400"/>
    </row>
    <row r="37" spans="1:141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K37" s="400"/>
    </row>
    <row r="38" spans="1:141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K38" s="400"/>
    </row>
    <row r="39" spans="1:141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K39" s="400"/>
    </row>
    <row r="40" spans="1:141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K40" s="400"/>
    </row>
    <row r="41" spans="1:141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K41" s="400"/>
    </row>
    <row r="42" spans="1:141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K42" s="400"/>
    </row>
    <row r="43" spans="1:141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K43" s="400"/>
    </row>
    <row r="44" spans="1:141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K44" s="400"/>
    </row>
    <row r="45" spans="1:141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CI45" s="481"/>
      <c r="CJ45" s="481"/>
      <c r="CK45" s="481"/>
      <c r="CL45" s="481"/>
      <c r="CM45" s="481"/>
      <c r="CN45" s="481"/>
      <c r="CO45" s="481"/>
      <c r="CP45" s="481"/>
      <c r="CQ45" s="481"/>
      <c r="CR45" s="481"/>
      <c r="CS45" s="481"/>
      <c r="CT45" s="481"/>
      <c r="CU45" s="481"/>
      <c r="CV45" s="481"/>
      <c r="CW45" s="481"/>
      <c r="CX45" s="481"/>
      <c r="CY45" s="481"/>
      <c r="CZ45" s="481"/>
      <c r="DA45" s="481"/>
      <c r="DB45" s="481"/>
      <c r="DC45" s="481"/>
      <c r="DD45" s="481"/>
      <c r="DE45" s="481"/>
      <c r="DF45" s="481"/>
      <c r="DG45" s="481"/>
      <c r="DH45" s="481"/>
      <c r="DI45" s="481"/>
      <c r="DJ45" s="481"/>
      <c r="DK45" s="481"/>
      <c r="DL45" s="481"/>
      <c r="DM45" s="481"/>
      <c r="DN45" s="481"/>
      <c r="DO45" s="481"/>
      <c r="DP45" s="481"/>
      <c r="DQ45" s="481"/>
      <c r="DR45" s="481"/>
      <c r="DS45" s="481"/>
      <c r="DT45" s="481"/>
      <c r="DU45" s="481"/>
      <c r="DV45" s="481"/>
      <c r="DW45" s="481"/>
      <c r="DX45" s="481"/>
      <c r="DY45" s="481"/>
      <c r="DZ45" s="481"/>
      <c r="EA45" s="481"/>
      <c r="EB45" s="481"/>
      <c r="EC45" s="481"/>
      <c r="ED45" s="481"/>
      <c r="EE45" s="481"/>
      <c r="EK45" s="400"/>
    </row>
    <row r="46" spans="1:141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81"/>
      <c r="CI46" s="481"/>
      <c r="CJ46" s="481"/>
      <c r="CK46" s="481"/>
      <c r="CL46" s="481"/>
      <c r="CM46" s="481"/>
      <c r="CN46" s="481"/>
      <c r="CO46" s="481"/>
      <c r="CP46" s="481"/>
      <c r="CQ46" s="481"/>
      <c r="CR46" s="481"/>
      <c r="CS46" s="481"/>
      <c r="CT46" s="481"/>
      <c r="CU46" s="481"/>
      <c r="CV46" s="481"/>
      <c r="CW46" s="481"/>
      <c r="CX46" s="481"/>
      <c r="CY46" s="481"/>
      <c r="CZ46" s="481"/>
      <c r="DA46" s="481"/>
      <c r="DB46" s="481"/>
      <c r="DC46" s="481"/>
      <c r="DD46" s="481"/>
      <c r="DE46" s="481"/>
      <c r="DF46" s="481"/>
      <c r="DG46" s="481"/>
      <c r="DH46" s="481"/>
      <c r="DI46" s="481"/>
      <c r="DJ46" s="481"/>
      <c r="DK46" s="481"/>
      <c r="DL46" s="481"/>
      <c r="DM46" s="481"/>
      <c r="DN46" s="481"/>
      <c r="DO46" s="481"/>
      <c r="DP46" s="481"/>
      <c r="DQ46" s="481"/>
      <c r="DR46" s="481"/>
      <c r="DS46" s="481"/>
      <c r="DT46" s="481"/>
      <c r="DU46" s="481"/>
      <c r="DV46" s="481"/>
      <c r="DW46" s="481"/>
      <c r="DX46" s="481"/>
      <c r="DY46" s="481"/>
      <c r="DZ46" s="481"/>
      <c r="EA46" s="481"/>
      <c r="EB46" s="481"/>
      <c r="EC46" s="481"/>
      <c r="ED46" s="481"/>
      <c r="EE46" s="481"/>
      <c r="EK46" s="400"/>
    </row>
    <row r="47" spans="1:141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81"/>
      <c r="CI47" s="481"/>
      <c r="CJ47" s="481"/>
      <c r="CK47" s="481"/>
      <c r="CL47" s="481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  <c r="EK47" s="400"/>
    </row>
    <row r="48" spans="1:141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81"/>
      <c r="CI48" s="481"/>
      <c r="CJ48" s="481"/>
      <c r="CK48" s="481"/>
      <c r="CL48" s="48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  <c r="EK48" s="400"/>
    </row>
    <row r="49" spans="1:141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81"/>
      <c r="CI49" s="481"/>
      <c r="CJ49" s="481"/>
      <c r="CK49" s="481"/>
      <c r="CL49" s="48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  <c r="EK49" s="400"/>
    </row>
    <row r="50" spans="1:141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  <c r="EK50" s="400"/>
    </row>
    <row r="51" spans="1:141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  <c r="EK51" s="400"/>
    </row>
    <row r="52" spans="1:141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  <c r="CJ52" s="481"/>
      <c r="CK52" s="481"/>
      <c r="CL52" s="481"/>
      <c r="CM52" s="481"/>
      <c r="CN52" s="481"/>
      <c r="CO52" s="481"/>
      <c r="CP52" s="481"/>
      <c r="CQ52" s="481"/>
      <c r="CR52" s="481"/>
      <c r="CS52" s="481"/>
      <c r="CT52" s="481"/>
      <c r="CU52" s="481"/>
      <c r="CV52" s="481"/>
      <c r="CW52" s="481"/>
      <c r="CX52" s="481"/>
      <c r="CY52" s="481"/>
      <c r="CZ52" s="481"/>
      <c r="DA52" s="481"/>
      <c r="DB52" s="481"/>
      <c r="DC52" s="481"/>
      <c r="DD52" s="481"/>
      <c r="DE52" s="481"/>
      <c r="DF52" s="481"/>
      <c r="DG52" s="481"/>
      <c r="DH52" s="481"/>
      <c r="DI52" s="481"/>
      <c r="DJ52" s="481"/>
      <c r="DK52" s="481"/>
      <c r="DL52" s="481"/>
      <c r="DM52" s="481"/>
      <c r="DN52" s="481"/>
      <c r="DO52" s="481"/>
      <c r="DP52" s="481"/>
      <c r="DQ52" s="481"/>
      <c r="DR52" s="481"/>
      <c r="DS52" s="481"/>
      <c r="DT52" s="481"/>
      <c r="DU52" s="481"/>
      <c r="DV52" s="481"/>
      <c r="DW52" s="481"/>
      <c r="DX52" s="481"/>
      <c r="DY52" s="481"/>
      <c r="DZ52" s="481"/>
      <c r="EA52" s="481"/>
      <c r="EB52" s="481"/>
      <c r="EC52" s="481"/>
      <c r="ED52" s="481"/>
      <c r="EE52" s="481"/>
      <c r="EK52" s="400"/>
    </row>
    <row r="53" spans="1:141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  <c r="CJ53" s="481"/>
      <c r="CK53" s="481"/>
      <c r="CL53" s="481"/>
      <c r="CM53" s="481"/>
      <c r="CN53" s="481"/>
      <c r="CO53" s="481"/>
      <c r="CP53" s="481"/>
      <c r="CQ53" s="481"/>
      <c r="CR53" s="481"/>
      <c r="CS53" s="481"/>
      <c r="CT53" s="481"/>
      <c r="CU53" s="481"/>
      <c r="CV53" s="481"/>
      <c r="CW53" s="481"/>
      <c r="CX53" s="481"/>
      <c r="CY53" s="481"/>
      <c r="CZ53" s="481"/>
      <c r="DA53" s="481"/>
      <c r="DB53" s="481"/>
      <c r="DC53" s="481"/>
      <c r="DD53" s="481"/>
      <c r="DE53" s="481"/>
      <c r="DF53" s="481"/>
      <c r="DG53" s="481"/>
      <c r="DH53" s="481"/>
      <c r="DI53" s="481"/>
      <c r="DJ53" s="481"/>
      <c r="DK53" s="481"/>
      <c r="DL53" s="481"/>
      <c r="DM53" s="481"/>
      <c r="DN53" s="481"/>
      <c r="DO53" s="481"/>
      <c r="DP53" s="481"/>
      <c r="DQ53" s="481"/>
      <c r="DR53" s="481"/>
      <c r="DS53" s="481"/>
      <c r="DT53" s="481"/>
      <c r="DU53" s="481"/>
      <c r="DV53" s="481"/>
      <c r="DW53" s="481"/>
      <c r="DX53" s="481"/>
      <c r="DY53" s="481"/>
      <c r="DZ53" s="481"/>
      <c r="EA53" s="481"/>
      <c r="EB53" s="481"/>
      <c r="EC53" s="481"/>
      <c r="ED53" s="481"/>
      <c r="EE53" s="481"/>
      <c r="EK53" s="400"/>
    </row>
    <row r="54" spans="1:141">
      <c r="A54" s="925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  <c r="CJ54" s="481"/>
      <c r="CK54" s="481"/>
      <c r="CL54" s="481"/>
      <c r="CM54" s="481"/>
      <c r="CN54" s="481"/>
      <c r="CO54" s="481"/>
      <c r="CP54" s="481"/>
      <c r="CQ54" s="481"/>
      <c r="CR54" s="481"/>
      <c r="CS54" s="481"/>
      <c r="CT54" s="481"/>
      <c r="CU54" s="481"/>
      <c r="CV54" s="481"/>
      <c r="CW54" s="481"/>
      <c r="CX54" s="481"/>
      <c r="CY54" s="481"/>
      <c r="CZ54" s="481"/>
      <c r="DA54" s="481"/>
      <c r="DB54" s="481"/>
      <c r="DC54" s="481"/>
      <c r="DD54" s="481"/>
      <c r="DE54" s="481"/>
      <c r="DF54" s="481"/>
      <c r="DG54" s="481"/>
      <c r="DH54" s="481"/>
      <c r="DI54" s="481"/>
      <c r="DJ54" s="481"/>
      <c r="DK54" s="481"/>
      <c r="DL54" s="481"/>
      <c r="DM54" s="481"/>
      <c r="DN54" s="481"/>
      <c r="DO54" s="481"/>
      <c r="DP54" s="481"/>
      <c r="DQ54" s="481"/>
      <c r="DR54" s="481"/>
      <c r="DS54" s="481"/>
      <c r="DT54" s="481"/>
      <c r="DU54" s="481"/>
      <c r="DV54" s="481"/>
      <c r="DW54" s="481"/>
      <c r="DX54" s="481"/>
      <c r="DY54" s="481"/>
      <c r="DZ54" s="481"/>
      <c r="EA54" s="481"/>
      <c r="EB54" s="481"/>
      <c r="EC54" s="481"/>
      <c r="ED54" s="481"/>
      <c r="EE54" s="481"/>
      <c r="EK54" s="400"/>
    </row>
    <row r="55" spans="1:141">
      <c r="A55" s="925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  <c r="CJ55" s="481"/>
      <c r="CK55" s="481"/>
      <c r="CL55" s="481"/>
      <c r="CM55" s="481"/>
      <c r="CN55" s="481"/>
      <c r="CO55" s="481"/>
      <c r="CP55" s="481"/>
      <c r="CQ55" s="481"/>
      <c r="CR55" s="481"/>
      <c r="CS55" s="481"/>
      <c r="CT55" s="481"/>
      <c r="CU55" s="481"/>
      <c r="CV55" s="481"/>
      <c r="CW55" s="481"/>
      <c r="CX55" s="481"/>
      <c r="CY55" s="481"/>
      <c r="CZ55" s="481"/>
      <c r="DA55" s="481"/>
      <c r="DB55" s="481"/>
      <c r="DC55" s="481"/>
      <c r="DD55" s="481"/>
      <c r="DE55" s="481"/>
      <c r="DF55" s="481"/>
      <c r="DG55" s="481"/>
      <c r="DH55" s="481"/>
      <c r="DI55" s="481"/>
      <c r="DJ55" s="481"/>
      <c r="DK55" s="481"/>
      <c r="DL55" s="481"/>
      <c r="DM55" s="481"/>
      <c r="DN55" s="481"/>
      <c r="DO55" s="481"/>
      <c r="DP55" s="481"/>
      <c r="DQ55" s="481"/>
      <c r="DR55" s="481"/>
      <c r="DS55" s="481"/>
      <c r="DT55" s="481"/>
      <c r="DU55" s="481"/>
      <c r="DV55" s="481"/>
      <c r="DW55" s="481"/>
      <c r="DX55" s="481"/>
      <c r="DY55" s="481"/>
      <c r="DZ55" s="481"/>
      <c r="EA55" s="481"/>
      <c r="EB55" s="481"/>
      <c r="EC55" s="481"/>
      <c r="ED55" s="481"/>
      <c r="EE55" s="481"/>
      <c r="EK55" s="400"/>
    </row>
    <row r="56" spans="1:141">
      <c r="EK56" s="400"/>
    </row>
    <row r="57" spans="1:141">
      <c r="EK57" s="400"/>
    </row>
    <row r="58" spans="1:141">
      <c r="EK58" s="400"/>
    </row>
    <row r="59" spans="1:141">
      <c r="EK59" s="400"/>
    </row>
    <row r="60" spans="1:141">
      <c r="EK60" s="400"/>
    </row>
    <row r="61" spans="1:141">
      <c r="EK61" s="400"/>
    </row>
    <row r="62" spans="1:141">
      <c r="EK62" s="400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G47"/>
  <sheetViews>
    <sheetView showGridLines="0" view="pageBreakPreview" zoomScale="70" zoomScaleNormal="100" zoomScaleSheetLayoutView="70" workbookViewId="0">
      <selection activeCell="EF42" sqref="EF42"/>
    </sheetView>
  </sheetViews>
  <sheetFormatPr defaultColWidth="9.109375" defaultRowHeight="13.8"/>
  <cols>
    <col min="1" max="1" width="61.44140625" style="927" customWidth="1"/>
    <col min="2" max="12" width="13.5546875" style="437" hidden="1" customWidth="1"/>
    <col min="13" max="13" width="19" style="437" hidden="1" customWidth="1"/>
    <col min="14" max="23" width="13.5546875" style="437" hidden="1" customWidth="1"/>
    <col min="24" max="24" width="13.33203125" style="437" hidden="1" customWidth="1"/>
    <col min="25" max="25" width="18.109375" style="437" hidden="1" customWidth="1"/>
    <col min="26" max="33" width="14.6640625" style="437" hidden="1" customWidth="1"/>
    <col min="34" max="34" width="17.88671875" style="437" hidden="1" customWidth="1"/>
    <col min="35" max="35" width="19.6640625" style="437" hidden="1" customWidth="1"/>
    <col min="36" max="36" width="17.33203125" style="437" hidden="1" customWidth="1"/>
    <col min="37" max="37" width="16.88671875" style="437" hidden="1" customWidth="1"/>
    <col min="38" max="44" width="14.6640625" style="437" hidden="1" customWidth="1"/>
    <col min="45" max="60" width="16.6640625" style="437" hidden="1" customWidth="1"/>
    <col min="61" max="61" width="13.109375" style="437" customWidth="1"/>
    <col min="62" max="72" width="16.6640625" style="437" hidden="1" customWidth="1"/>
    <col min="73" max="73" width="13.109375" style="437" customWidth="1"/>
    <col min="74" max="84" width="16.6640625" style="437" hidden="1" customWidth="1"/>
    <col min="85" max="85" width="13.109375" style="437" customWidth="1"/>
    <col min="86" max="90" width="14.88671875" style="437" hidden="1" customWidth="1"/>
    <col min="91" max="96" width="16.33203125" style="437" hidden="1" customWidth="1"/>
    <col min="97" max="97" width="13.109375" style="437" customWidth="1"/>
    <col min="98" max="108" width="13.109375" style="437" hidden="1" customWidth="1"/>
    <col min="109" max="109" width="13.109375" style="437" customWidth="1"/>
    <col min="110" max="120" width="13.109375" style="437" hidden="1" customWidth="1"/>
    <col min="121" max="121" width="13.109375" style="437" customWidth="1"/>
    <col min="122" max="132" width="13.109375" style="437" hidden="1" customWidth="1"/>
    <col min="133" max="135" width="13.109375" style="437" customWidth="1"/>
    <col min="136" max="138" width="9.109375" style="437"/>
    <col min="139" max="139" width="0" style="437" hidden="1" customWidth="1"/>
    <col min="140" max="16384" width="9.109375" style="437"/>
  </cols>
  <sheetData>
    <row r="1" spans="1:137" ht="20.25" customHeight="1"/>
    <row r="2" spans="1:137" ht="55.5" customHeight="1">
      <c r="A2" s="2380" t="s">
        <v>3377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37" ht="43.5" customHeight="1">
      <c r="A3" s="2389" t="s">
        <v>3369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37" ht="21.75" customHeight="1">
      <c r="A4" s="911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</row>
    <row r="5" spans="1:137" ht="21.75" customHeight="1">
      <c r="A5" s="2410" t="s">
        <v>2486</v>
      </c>
      <c r="B5" s="2410"/>
      <c r="C5" s="2410"/>
      <c r="D5" s="2410"/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2410"/>
      <c r="U5" s="2410"/>
      <c r="V5" s="2410"/>
      <c r="W5" s="2410"/>
      <c r="X5" s="2410"/>
      <c r="Y5" s="2410"/>
      <c r="Z5" s="2410"/>
      <c r="AA5" s="2410"/>
      <c r="AB5" s="2410"/>
      <c r="AC5" s="2410"/>
      <c r="AD5" s="2410"/>
      <c r="AE5" s="2410"/>
      <c r="AF5" s="2410"/>
      <c r="AG5" s="2410"/>
      <c r="AH5" s="2410"/>
      <c r="AI5" s="2410"/>
      <c r="AJ5" s="2410"/>
      <c r="AK5" s="2410"/>
      <c r="AL5" s="2410"/>
      <c r="AM5" s="2410"/>
      <c r="AN5" s="2410"/>
      <c r="AO5" s="2410"/>
      <c r="AP5" s="2410"/>
      <c r="AQ5" s="2410"/>
      <c r="AR5" s="2410"/>
      <c r="AS5" s="2410"/>
      <c r="AT5" s="2410"/>
      <c r="AU5" s="2410"/>
      <c r="AV5" s="2410"/>
      <c r="AW5" s="2410"/>
      <c r="AX5" s="2410"/>
      <c r="AY5" s="2410"/>
      <c r="AZ5" s="2410"/>
      <c r="BA5" s="2410"/>
      <c r="BB5" s="2410"/>
      <c r="BC5" s="2410"/>
      <c r="BD5" s="2410"/>
      <c r="BE5" s="2410"/>
      <c r="BF5" s="2410"/>
      <c r="BG5" s="2410"/>
      <c r="BH5" s="2410"/>
      <c r="BI5" s="2410"/>
      <c r="BJ5" s="2410"/>
      <c r="BK5" s="2410"/>
      <c r="BL5" s="2410"/>
      <c r="BM5" s="2410"/>
      <c r="BN5" s="2410"/>
      <c r="BO5" s="2410"/>
      <c r="BP5" s="2410"/>
      <c r="BQ5" s="2410"/>
      <c r="BR5" s="2410"/>
      <c r="BS5" s="2410"/>
      <c r="BT5" s="2410"/>
      <c r="BU5" s="2410"/>
      <c r="BV5" s="2410"/>
      <c r="BW5" s="2410"/>
      <c r="BX5" s="2410"/>
      <c r="BY5" s="2410"/>
      <c r="BZ5" s="2410"/>
      <c r="CA5" s="2410"/>
      <c r="CB5" s="2410"/>
      <c r="CC5" s="2410"/>
      <c r="CD5" s="2410"/>
      <c r="CE5" s="2410"/>
      <c r="CF5" s="2410"/>
      <c r="CG5" s="2410"/>
      <c r="CH5" s="2410"/>
      <c r="CI5" s="2410"/>
      <c r="CJ5" s="2410"/>
      <c r="CK5" s="2410"/>
      <c r="CL5" s="2410"/>
      <c r="CM5" s="2410"/>
      <c r="CN5" s="2410"/>
      <c r="CO5" s="2410"/>
      <c r="CP5" s="2410"/>
      <c r="CQ5" s="2410"/>
      <c r="CR5" s="2410"/>
      <c r="CS5" s="2410"/>
      <c r="CT5" s="2410"/>
      <c r="CU5" s="2410"/>
      <c r="CV5" s="2410"/>
      <c r="CW5" s="2410"/>
      <c r="CX5" s="2410"/>
      <c r="CY5" s="2410"/>
      <c r="CZ5" s="2410"/>
      <c r="DA5" s="2410"/>
      <c r="DB5" s="2410"/>
      <c r="DC5" s="2410"/>
      <c r="DD5" s="2410"/>
      <c r="DE5" s="2410"/>
      <c r="DF5" s="2410"/>
      <c r="DG5" s="2410"/>
      <c r="DH5" s="2410"/>
      <c r="DI5" s="2410"/>
      <c r="DJ5" s="2410"/>
      <c r="DK5" s="2410"/>
      <c r="DL5" s="2410"/>
      <c r="DM5" s="2410"/>
      <c r="DN5" s="2410"/>
      <c r="DO5" s="2410"/>
      <c r="DP5" s="2410"/>
      <c r="DQ5" s="2410"/>
      <c r="DR5" s="2410"/>
      <c r="DS5" s="2410"/>
      <c r="DT5" s="2410"/>
      <c r="DU5" s="2410"/>
      <c r="DV5" s="2410"/>
      <c r="DW5" s="2410"/>
      <c r="DX5" s="2410"/>
      <c r="DY5" s="2410"/>
      <c r="DZ5" s="2410"/>
      <c r="EA5" s="2410"/>
      <c r="EB5" s="2410"/>
      <c r="EC5" s="2410"/>
      <c r="ED5" s="2410"/>
      <c r="EE5" s="2410"/>
    </row>
    <row r="6" spans="1:137" ht="30.75" customHeight="1">
      <c r="A6" s="2392"/>
      <c r="B6" s="2394">
        <v>2013</v>
      </c>
      <c r="C6" s="2394"/>
      <c r="D6" s="2394"/>
      <c r="E6" s="2394"/>
      <c r="F6" s="2394"/>
      <c r="G6" s="2394"/>
      <c r="H6" s="2394"/>
      <c r="I6" s="2394"/>
      <c r="J6" s="2394"/>
      <c r="K6" s="2394"/>
      <c r="L6" s="2394"/>
      <c r="M6" s="2394">
        <v>2013</v>
      </c>
      <c r="N6" s="2394">
        <v>2014</v>
      </c>
      <c r="O6" s="2394"/>
      <c r="P6" s="2394"/>
      <c r="Q6" s="2394"/>
      <c r="R6" s="2394"/>
      <c r="S6" s="2394"/>
      <c r="T6" s="2394"/>
      <c r="U6" s="2394"/>
      <c r="V6" s="2394"/>
      <c r="W6" s="2394"/>
      <c r="X6" s="2394"/>
      <c r="Y6" s="2394">
        <v>2014</v>
      </c>
      <c r="Z6" s="2394">
        <v>2015</v>
      </c>
      <c r="AA6" s="2394"/>
      <c r="AB6" s="2394">
        <v>2015</v>
      </c>
      <c r="AC6" s="2394"/>
      <c r="AD6" s="2394"/>
      <c r="AE6" s="2394"/>
      <c r="AF6" s="2394"/>
      <c r="AG6" s="2394"/>
      <c r="AH6" s="2394"/>
      <c r="AI6" s="2394"/>
      <c r="AJ6" s="2394"/>
      <c r="AK6" s="2394"/>
      <c r="AL6" s="959">
        <v>2016</v>
      </c>
      <c r="AM6" s="959"/>
      <c r="AN6" s="959"/>
      <c r="AO6" s="959"/>
      <c r="AP6" s="959"/>
      <c r="AQ6" s="959"/>
      <c r="AR6" s="959"/>
      <c r="AS6" s="959"/>
      <c r="AT6" s="959"/>
      <c r="AU6" s="959"/>
      <c r="AV6" s="2394">
        <v>2016</v>
      </c>
      <c r="AW6" s="2394"/>
      <c r="AX6" s="959">
        <v>2017</v>
      </c>
      <c r="AY6" s="959"/>
      <c r="AZ6" s="959"/>
      <c r="BA6" s="959"/>
      <c r="BB6" s="959"/>
      <c r="BC6" s="959"/>
      <c r="BD6" s="959"/>
      <c r="BE6" s="959"/>
      <c r="BF6" s="959"/>
      <c r="BG6" s="959"/>
      <c r="BH6" s="1007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05">
        <v>2019</v>
      </c>
      <c r="BW6" s="2405"/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37" ht="30.75" customHeight="1">
      <c r="A7" s="2393"/>
      <c r="B7" s="960" t="s">
        <v>1988</v>
      </c>
      <c r="C7" s="960" t="s">
        <v>1999</v>
      </c>
      <c r="D7" s="960" t="s">
        <v>1998</v>
      </c>
      <c r="E7" s="960" t="s">
        <v>1997</v>
      </c>
      <c r="F7" s="960" t="s">
        <v>1996</v>
      </c>
      <c r="G7" s="960" t="s">
        <v>1995</v>
      </c>
      <c r="H7" s="960" t="s">
        <v>1994</v>
      </c>
      <c r="I7" s="960" t="s">
        <v>1993</v>
      </c>
      <c r="J7" s="960" t="s">
        <v>1992</v>
      </c>
      <c r="K7" s="960" t="s">
        <v>1991</v>
      </c>
      <c r="L7" s="960" t="s">
        <v>1990</v>
      </c>
      <c r="M7" s="960" t="s">
        <v>1989</v>
      </c>
      <c r="N7" s="960" t="s">
        <v>1988</v>
      </c>
      <c r="O7" s="960" t="s">
        <v>1999</v>
      </c>
      <c r="P7" s="960" t="s">
        <v>1998</v>
      </c>
      <c r="Q7" s="960" t="s">
        <v>1997</v>
      </c>
      <c r="R7" s="960" t="s">
        <v>1996</v>
      </c>
      <c r="S7" s="960" t="s">
        <v>1995</v>
      </c>
      <c r="T7" s="960" t="s">
        <v>1994</v>
      </c>
      <c r="U7" s="960" t="s">
        <v>1993</v>
      </c>
      <c r="V7" s="960" t="s">
        <v>1992</v>
      </c>
      <c r="W7" s="960" t="s">
        <v>1991</v>
      </c>
      <c r="X7" s="960" t="s">
        <v>1990</v>
      </c>
      <c r="Y7" s="960" t="s">
        <v>1989</v>
      </c>
      <c r="Z7" s="960" t="s">
        <v>1988</v>
      </c>
      <c r="AA7" s="960" t="s">
        <v>1999</v>
      </c>
      <c r="AB7" s="960" t="s">
        <v>1998</v>
      </c>
      <c r="AC7" s="960" t="s">
        <v>1997</v>
      </c>
      <c r="AD7" s="960" t="s">
        <v>1996</v>
      </c>
      <c r="AE7" s="960" t="s">
        <v>2000</v>
      </c>
      <c r="AF7" s="960" t="s">
        <v>2004</v>
      </c>
      <c r="AG7" s="960" t="s">
        <v>1993</v>
      </c>
      <c r="AH7" s="960" t="s">
        <v>1992</v>
      </c>
      <c r="AI7" s="960" t="s">
        <v>1991</v>
      </c>
      <c r="AJ7" s="960" t="s">
        <v>1990</v>
      </c>
      <c r="AK7" s="960" t="s">
        <v>1989</v>
      </c>
      <c r="AL7" s="960" t="s">
        <v>1988</v>
      </c>
      <c r="AM7" s="960" t="s">
        <v>1999</v>
      </c>
      <c r="AN7" s="960" t="s">
        <v>1998</v>
      </c>
      <c r="AO7" s="960" t="s">
        <v>1997</v>
      </c>
      <c r="AP7" s="960" t="s">
        <v>1996</v>
      </c>
      <c r="AQ7" s="960" t="s">
        <v>1995</v>
      </c>
      <c r="AR7" s="960" t="s">
        <v>1994</v>
      </c>
      <c r="AS7" s="960" t="s">
        <v>1993</v>
      </c>
      <c r="AT7" s="960" t="s">
        <v>1992</v>
      </c>
      <c r="AU7" s="960" t="s">
        <v>1991</v>
      </c>
      <c r="AV7" s="960" t="s">
        <v>1990</v>
      </c>
      <c r="AW7" s="960" t="s">
        <v>1989</v>
      </c>
      <c r="AX7" s="960" t="s">
        <v>1988</v>
      </c>
      <c r="AY7" s="960" t="s">
        <v>1987</v>
      </c>
      <c r="AZ7" s="960" t="s">
        <v>1986</v>
      </c>
      <c r="BA7" s="960" t="s">
        <v>1985</v>
      </c>
      <c r="BB7" s="960" t="s">
        <v>2005</v>
      </c>
      <c r="BC7" s="960" t="s">
        <v>2006</v>
      </c>
      <c r="BD7" s="960" t="s">
        <v>2015</v>
      </c>
      <c r="BE7" s="960" t="s">
        <v>2025</v>
      </c>
      <c r="BF7" s="960" t="s">
        <v>2035</v>
      </c>
      <c r="BG7" s="960" t="s">
        <v>2048</v>
      </c>
      <c r="BH7" s="1003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25" t="s">
        <v>2059</v>
      </c>
      <c r="DE7" s="1025" t="s">
        <v>1989</v>
      </c>
      <c r="DF7" s="1025" t="s">
        <v>1988</v>
      </c>
      <c r="DG7" s="1025" t="s">
        <v>1987</v>
      </c>
      <c r="DH7" s="1025" t="s">
        <v>1986</v>
      </c>
      <c r="DI7" s="1025" t="s">
        <v>1985</v>
      </c>
      <c r="DJ7" s="1025" t="s">
        <v>2005</v>
      </c>
      <c r="DK7" s="1025" t="s">
        <v>2006</v>
      </c>
      <c r="DL7" s="1025" t="s">
        <v>2015</v>
      </c>
      <c r="DM7" s="1025" t="s">
        <v>2025</v>
      </c>
      <c r="DN7" s="1025" t="s">
        <v>2035</v>
      </c>
      <c r="DO7" s="1025" t="s">
        <v>2048</v>
      </c>
      <c r="DP7" s="1025" t="s">
        <v>2059</v>
      </c>
      <c r="DQ7" s="1025" t="s">
        <v>1989</v>
      </c>
      <c r="DR7" s="1025" t="s">
        <v>1988</v>
      </c>
      <c r="DS7" s="1025" t="s">
        <v>1987</v>
      </c>
      <c r="DT7" s="1025" t="s">
        <v>1986</v>
      </c>
      <c r="DU7" s="1025" t="s">
        <v>1985</v>
      </c>
      <c r="DV7" s="1025" t="s">
        <v>2005</v>
      </c>
      <c r="DW7" s="1025" t="s">
        <v>2006</v>
      </c>
      <c r="DX7" s="1025" t="s">
        <v>2015</v>
      </c>
      <c r="DY7" s="1025" t="s">
        <v>2025</v>
      </c>
      <c r="DZ7" s="1025" t="s">
        <v>2035</v>
      </c>
      <c r="EA7" s="1025" t="s">
        <v>2048</v>
      </c>
      <c r="EB7" s="1025" t="s">
        <v>2059</v>
      </c>
      <c r="EC7" s="1025" t="s">
        <v>1989</v>
      </c>
      <c r="ED7" s="1025" t="s">
        <v>1988</v>
      </c>
      <c r="EE7" s="1025" t="s">
        <v>1987</v>
      </c>
    </row>
    <row r="8" spans="1:137" ht="19.8">
      <c r="A8" s="976" t="s">
        <v>2820</v>
      </c>
      <c r="B8" s="961">
        <v>1121.19396951</v>
      </c>
      <c r="C8" s="961">
        <v>1460.40828642</v>
      </c>
      <c r="D8" s="961">
        <v>1518.29068011</v>
      </c>
      <c r="E8" s="961">
        <v>1724.70566641</v>
      </c>
      <c r="F8" s="961">
        <v>1820.7237863400003</v>
      </c>
      <c r="G8" s="961">
        <v>1879.27895003</v>
      </c>
      <c r="H8" s="961">
        <v>1950.36219873</v>
      </c>
      <c r="I8" s="961">
        <v>1988.1287952500002</v>
      </c>
      <c r="J8" s="961">
        <v>2032.16792799</v>
      </c>
      <c r="K8" s="961">
        <v>2044.7001732399999</v>
      </c>
      <c r="L8" s="961">
        <v>2100.91517398</v>
      </c>
      <c r="M8" s="946">
        <v>2102.1340613899997</v>
      </c>
      <c r="N8" s="946">
        <v>1738.29380425</v>
      </c>
      <c r="O8" s="946">
        <v>1796.02762863</v>
      </c>
      <c r="P8" s="946">
        <v>1834.9330752600004</v>
      </c>
      <c r="Q8" s="946">
        <v>1865.6841431600001</v>
      </c>
      <c r="R8" s="946">
        <v>1946.7244474200002</v>
      </c>
      <c r="S8" s="946">
        <v>2018.6762979999999</v>
      </c>
      <c r="T8" s="946">
        <v>2048.6173237499997</v>
      </c>
      <c r="U8" s="946">
        <v>2100.5721421999997</v>
      </c>
      <c r="V8" s="946">
        <v>2170.7127222000004</v>
      </c>
      <c r="W8" s="946">
        <v>2198.62218596</v>
      </c>
      <c r="X8" s="946">
        <v>2250.9784805899999</v>
      </c>
      <c r="Y8" s="946">
        <v>2243.9353908600001</v>
      </c>
      <c r="Z8" s="946">
        <v>2243.9973923800003</v>
      </c>
      <c r="AA8" s="946">
        <v>1931.2097720699999</v>
      </c>
      <c r="AB8" s="946">
        <v>1949.64346576</v>
      </c>
      <c r="AC8" s="946">
        <v>1948.3911704899999</v>
      </c>
      <c r="AD8" s="946">
        <v>1953.0665156</v>
      </c>
      <c r="AE8" s="946">
        <v>1933.7704375599999</v>
      </c>
      <c r="AF8" s="946">
        <v>1946.9643561</v>
      </c>
      <c r="AG8" s="946">
        <v>1879.9793247699999</v>
      </c>
      <c r="AH8" s="946">
        <v>1865.0806112500004</v>
      </c>
      <c r="AI8" s="946">
        <v>1864.4505406000001</v>
      </c>
      <c r="AJ8" s="946">
        <v>2027.3932048500001</v>
      </c>
      <c r="AK8" s="946">
        <v>2182.3971188999999</v>
      </c>
      <c r="AL8" s="946">
        <v>2201.2262203300002</v>
      </c>
      <c r="AM8" s="946">
        <v>2203.9402739900002</v>
      </c>
      <c r="AN8" s="946">
        <v>2218.65154295</v>
      </c>
      <c r="AO8" s="946">
        <v>2083.89457034</v>
      </c>
      <c r="AP8" s="946">
        <v>2033.5209942300003</v>
      </c>
      <c r="AQ8" s="946">
        <v>1855.47706406</v>
      </c>
      <c r="AR8" s="946">
        <v>1245.50130253</v>
      </c>
      <c r="AS8" s="946">
        <v>1245.70702882</v>
      </c>
      <c r="AT8" s="946">
        <v>1186.9314723099999</v>
      </c>
      <c r="AU8" s="946">
        <v>1048.43580088</v>
      </c>
      <c r="AV8" s="946">
        <v>1077.3462818400001</v>
      </c>
      <c r="AW8" s="946">
        <v>1077.5031595200001</v>
      </c>
      <c r="AX8" s="946">
        <v>1089.9460548100001</v>
      </c>
      <c r="AY8" s="946">
        <v>1092.4183455299999</v>
      </c>
      <c r="AZ8" s="946">
        <v>1071.4700057699999</v>
      </c>
      <c r="BA8" s="946">
        <v>1068.1450246100001</v>
      </c>
      <c r="BB8" s="946">
        <v>1022.2168947100001</v>
      </c>
      <c r="BC8" s="946">
        <v>839.97131837000006</v>
      </c>
      <c r="BD8" s="946">
        <v>576.74808557000006</v>
      </c>
      <c r="BE8" s="946">
        <v>519.34338051999998</v>
      </c>
      <c r="BF8" s="946">
        <v>528.62349414999994</v>
      </c>
      <c r="BG8" s="946">
        <v>528.70552877</v>
      </c>
      <c r="BH8" s="1004">
        <v>525.89845416999992</v>
      </c>
      <c r="BI8" s="993">
        <v>533.98067161000006</v>
      </c>
      <c r="BJ8" s="993">
        <v>536.93754723999996</v>
      </c>
      <c r="BK8" s="993">
        <v>507.33977164999999</v>
      </c>
      <c r="BL8" s="993">
        <v>519.28050030999998</v>
      </c>
      <c r="BM8" s="993">
        <v>502.63919673999999</v>
      </c>
      <c r="BN8" s="993">
        <v>495.55343168000002</v>
      </c>
      <c r="BO8" s="993">
        <v>501.31815775999996</v>
      </c>
      <c r="BP8" s="993">
        <v>498.69755452000004</v>
      </c>
      <c r="BQ8" s="993">
        <v>494.50861830999997</v>
      </c>
      <c r="BR8" s="993">
        <v>381.32791829999996</v>
      </c>
      <c r="BS8" s="993">
        <v>369.83849378000002</v>
      </c>
      <c r="BT8" s="993">
        <v>395.8237628</v>
      </c>
      <c r="BU8" s="993">
        <v>384.70804456999997</v>
      </c>
      <c r="BV8" s="993">
        <v>354.80621170000001</v>
      </c>
      <c r="BW8" s="993">
        <v>369.03326141999997</v>
      </c>
      <c r="BX8" s="993">
        <v>366.12641802000002</v>
      </c>
      <c r="BY8" s="993">
        <v>353.31191672</v>
      </c>
      <c r="BZ8" s="993">
        <v>362.38445929</v>
      </c>
      <c r="CA8" s="993">
        <v>365.23819258999998</v>
      </c>
      <c r="CB8" s="993">
        <v>342.39559023000004</v>
      </c>
      <c r="CC8" s="993">
        <v>362.91535067999996</v>
      </c>
      <c r="CD8" s="993">
        <v>364.24735401999999</v>
      </c>
      <c r="CE8" s="993">
        <v>373.70423588999995</v>
      </c>
      <c r="CF8" s="993">
        <v>417.85830138999995</v>
      </c>
      <c r="CG8" s="993">
        <v>441.30557604999996</v>
      </c>
      <c r="CH8" s="993">
        <v>423.57423467000001</v>
      </c>
      <c r="CI8" s="993">
        <v>418.60838430000001</v>
      </c>
      <c r="CJ8" s="993">
        <v>426.00545761000001</v>
      </c>
      <c r="CK8" s="993">
        <v>416.67315353000004</v>
      </c>
      <c r="CL8" s="993">
        <v>378.74317707</v>
      </c>
      <c r="CM8" s="993">
        <v>369.19019691000005</v>
      </c>
      <c r="CN8" s="993">
        <v>362.18960895000004</v>
      </c>
      <c r="CO8" s="993">
        <v>364.01935754000004</v>
      </c>
      <c r="CP8" s="993">
        <v>358.48329269999999</v>
      </c>
      <c r="CQ8" s="993">
        <v>356.04229342999997</v>
      </c>
      <c r="CR8" s="993">
        <v>381.41748846999997</v>
      </c>
      <c r="CS8" s="993">
        <v>391.98640189000002</v>
      </c>
      <c r="CT8" s="993">
        <v>422.26054743999998</v>
      </c>
      <c r="CU8" s="993">
        <v>444.21194105000001</v>
      </c>
      <c r="CV8" s="993">
        <v>433.53764613999999</v>
      </c>
      <c r="CW8" s="993">
        <v>439.58189565999999</v>
      </c>
      <c r="CX8" s="993">
        <v>469.58735538000002</v>
      </c>
      <c r="CY8" s="993">
        <v>471.969584</v>
      </c>
      <c r="CZ8" s="993">
        <v>505.19090612999997</v>
      </c>
      <c r="DA8" s="993">
        <v>543.12664428999994</v>
      </c>
      <c r="DB8" s="993">
        <v>582.32153654000001</v>
      </c>
      <c r="DC8" s="993">
        <v>606.49062935999996</v>
      </c>
      <c r="DD8" s="993">
        <v>645.41992271000004</v>
      </c>
      <c r="DE8" s="993">
        <v>623.10657096</v>
      </c>
      <c r="DF8" s="993">
        <v>633.55932751</v>
      </c>
      <c r="DG8" s="993">
        <v>710.89015035</v>
      </c>
      <c r="DH8" s="993">
        <v>740.40383780000002</v>
      </c>
      <c r="DI8" s="993">
        <v>795.18696403000001</v>
      </c>
      <c r="DJ8" s="993">
        <v>818.68001908999997</v>
      </c>
      <c r="DK8" s="993">
        <v>899.49736324000003</v>
      </c>
      <c r="DL8" s="993">
        <v>912.88984413000003</v>
      </c>
      <c r="DM8" s="993">
        <v>908.05154411000001</v>
      </c>
      <c r="DN8" s="993">
        <v>957.76498441000001</v>
      </c>
      <c r="DO8" s="993">
        <v>897.66712700999994</v>
      </c>
      <c r="DP8" s="993">
        <v>877.59178296000005</v>
      </c>
      <c r="DQ8" s="993">
        <v>834.84098652</v>
      </c>
      <c r="DR8" s="993">
        <v>848.3812921</v>
      </c>
      <c r="DS8" s="993">
        <v>803.99898043999997</v>
      </c>
      <c r="DT8" s="993">
        <v>798.81308403000003</v>
      </c>
      <c r="DU8" s="993">
        <v>805.33278738000001</v>
      </c>
      <c r="DV8" s="993">
        <v>830.20898756999998</v>
      </c>
      <c r="DW8" s="993">
        <v>873.85188199000004</v>
      </c>
      <c r="DX8" s="993">
        <v>850.06879391999996</v>
      </c>
      <c r="DY8" s="993">
        <v>823.00488480000001</v>
      </c>
      <c r="DZ8" s="993">
        <v>843.50961459999996</v>
      </c>
      <c r="EA8" s="993">
        <v>831.49742767999999</v>
      </c>
      <c r="EB8" s="993">
        <v>865.29016337999997</v>
      </c>
      <c r="EC8" s="993">
        <v>865.54625594000004</v>
      </c>
      <c r="ED8" s="993">
        <v>879.32938401000001</v>
      </c>
      <c r="EE8" s="993">
        <v>857.57921347000001</v>
      </c>
      <c r="EG8" s="1647"/>
    </row>
    <row r="9" spans="1:137" ht="19.8">
      <c r="A9" s="977" t="s">
        <v>2001</v>
      </c>
      <c r="B9" s="962">
        <v>55.885779199999995</v>
      </c>
      <c r="C9" s="962">
        <v>87.246166299999999</v>
      </c>
      <c r="D9" s="962">
        <v>78.335109559999992</v>
      </c>
      <c r="E9" s="962">
        <v>66.877038240000005</v>
      </c>
      <c r="F9" s="962">
        <v>56.634360270000002</v>
      </c>
      <c r="G9" s="962">
        <v>56.333983959999998</v>
      </c>
      <c r="H9" s="962">
        <v>55.349142319999999</v>
      </c>
      <c r="I9" s="962">
        <v>43.824385599999999</v>
      </c>
      <c r="J9" s="962">
        <v>28.946097269999999</v>
      </c>
      <c r="K9" s="962">
        <v>6.8455837699999993</v>
      </c>
      <c r="L9" s="962">
        <v>15.452168990000001</v>
      </c>
      <c r="M9" s="950">
        <v>10.636677580000001</v>
      </c>
      <c r="N9" s="950">
        <v>10.64444802</v>
      </c>
      <c r="O9" s="950">
        <v>20.109081879999998</v>
      </c>
      <c r="P9" s="950">
        <v>22.662812240000001</v>
      </c>
      <c r="Q9" s="950">
        <v>12.52695233</v>
      </c>
      <c r="R9" s="950">
        <v>26.174828359999999</v>
      </c>
      <c r="S9" s="950">
        <v>44.371980129999997</v>
      </c>
      <c r="T9" s="950">
        <v>44.81340986</v>
      </c>
      <c r="U9" s="950">
        <v>56.946468940000003</v>
      </c>
      <c r="V9" s="950">
        <v>78.42299233</v>
      </c>
      <c r="W9" s="950">
        <v>73.492756679999999</v>
      </c>
      <c r="X9" s="950">
        <v>54.382664689999999</v>
      </c>
      <c r="Y9" s="950">
        <v>54.695447040000005</v>
      </c>
      <c r="Z9" s="950">
        <v>48.449799679999998</v>
      </c>
      <c r="AA9" s="950">
        <v>65.205087779999999</v>
      </c>
      <c r="AB9" s="950">
        <v>8.7325175300000009</v>
      </c>
      <c r="AC9" s="950">
        <v>29.838800710000001</v>
      </c>
      <c r="AD9" s="950">
        <v>34.172525589999999</v>
      </c>
      <c r="AE9" s="950">
        <v>34.066726599999996</v>
      </c>
      <c r="AF9" s="950">
        <v>39.104841880000002</v>
      </c>
      <c r="AG9" s="950">
        <v>43.272423589999995</v>
      </c>
      <c r="AH9" s="950">
        <v>43.309259320000002</v>
      </c>
      <c r="AI9" s="950">
        <v>43.388496509999996</v>
      </c>
      <c r="AJ9" s="950">
        <v>43.198777959999994</v>
      </c>
      <c r="AK9" s="950">
        <v>11.146346100000002</v>
      </c>
      <c r="AL9" s="950">
        <v>11.454834980000001</v>
      </c>
      <c r="AM9" s="950">
        <v>11.21337817</v>
      </c>
      <c r="AN9" s="950">
        <v>62.605160689999998</v>
      </c>
      <c r="AO9" s="950">
        <v>60.550172549999999</v>
      </c>
      <c r="AP9" s="950">
        <v>58.305366499999998</v>
      </c>
      <c r="AQ9" s="950">
        <v>67.745762200000001</v>
      </c>
      <c r="AR9" s="950">
        <v>66.994635390000013</v>
      </c>
      <c r="AS9" s="950">
        <v>67.380953340000005</v>
      </c>
      <c r="AT9" s="950">
        <v>67.546329180000001</v>
      </c>
      <c r="AU9" s="950">
        <v>65.461662219999994</v>
      </c>
      <c r="AV9" s="950">
        <v>64.898083899999989</v>
      </c>
      <c r="AW9" s="950">
        <v>63.641798480000006</v>
      </c>
      <c r="AX9" s="950">
        <v>63.663448780000003</v>
      </c>
      <c r="AY9" s="950">
        <v>59.621987200000007</v>
      </c>
      <c r="AZ9" s="950">
        <v>54.493886609999997</v>
      </c>
      <c r="BA9" s="950">
        <v>53.353678990000006</v>
      </c>
      <c r="BB9" s="950">
        <v>51.807588040000006</v>
      </c>
      <c r="BC9" s="950">
        <v>48.379755630000005</v>
      </c>
      <c r="BD9" s="950">
        <v>47.656588899999996</v>
      </c>
      <c r="BE9" s="950">
        <v>46.588443849999997</v>
      </c>
      <c r="BF9" s="950">
        <v>45.620438360000001</v>
      </c>
      <c r="BG9" s="950">
        <v>44.613535509999998</v>
      </c>
      <c r="BH9" s="1005">
        <v>43.831509880000006</v>
      </c>
      <c r="BI9" s="994">
        <v>40.400829729999998</v>
      </c>
      <c r="BJ9" s="994">
        <v>39.535286499999998</v>
      </c>
      <c r="BK9" s="994">
        <v>38.557577349999995</v>
      </c>
      <c r="BL9" s="994">
        <v>37.649353810000001</v>
      </c>
      <c r="BM9" s="994">
        <v>36.681756969999995</v>
      </c>
      <c r="BN9" s="994">
        <v>35.460118170000001</v>
      </c>
      <c r="BO9" s="994">
        <v>34.805141679999991</v>
      </c>
      <c r="BP9" s="994">
        <v>34.361654160000001</v>
      </c>
      <c r="BQ9" s="994">
        <v>33.80349923</v>
      </c>
      <c r="BR9" s="994">
        <v>36.223544709999999</v>
      </c>
      <c r="BS9" s="994">
        <v>35.907925140000003</v>
      </c>
      <c r="BT9" s="994">
        <v>49.490150689999993</v>
      </c>
      <c r="BU9" s="994">
        <v>78.695552019999994</v>
      </c>
      <c r="BV9" s="994">
        <v>52.856566749999999</v>
      </c>
      <c r="BW9" s="994">
        <v>52.14498742</v>
      </c>
      <c r="BX9" s="994">
        <v>43.128196819999999</v>
      </c>
      <c r="BY9" s="994">
        <v>41.545644380000006</v>
      </c>
      <c r="BZ9" s="994">
        <v>33.113790080000001</v>
      </c>
      <c r="CA9" s="994">
        <v>30.186884389999996</v>
      </c>
      <c r="CB9" s="994">
        <v>28.550770949999997</v>
      </c>
      <c r="CC9" s="994">
        <v>27.068106349999997</v>
      </c>
      <c r="CD9" s="994">
        <v>18.76271208</v>
      </c>
      <c r="CE9" s="994">
        <v>16.969291269999999</v>
      </c>
      <c r="CF9" s="994">
        <v>14.892114079999999</v>
      </c>
      <c r="CG9" s="994">
        <v>14.143791759999999</v>
      </c>
      <c r="CH9" s="994">
        <v>6.7542367600000004</v>
      </c>
      <c r="CI9" s="994">
        <v>6.7646817600000002</v>
      </c>
      <c r="CJ9" s="994">
        <v>10.077501760000001</v>
      </c>
      <c r="CK9" s="994">
        <v>7.1341139800000004</v>
      </c>
      <c r="CL9" s="994">
        <v>7.0503148199999996</v>
      </c>
      <c r="CM9" s="994">
        <v>6.8296299200000004</v>
      </c>
      <c r="CN9" s="994">
        <v>7.0284924500000008</v>
      </c>
      <c r="CO9" s="994">
        <v>6.9777389699999999</v>
      </c>
      <c r="CP9" s="994">
        <v>6.9283835700000003</v>
      </c>
      <c r="CQ9" s="994">
        <v>6.7114136599999998</v>
      </c>
      <c r="CR9" s="994">
        <v>6.5647065099999997</v>
      </c>
      <c r="CS9" s="994">
        <v>6.4922090399999997</v>
      </c>
      <c r="CT9" s="994">
        <v>3.2572299999999998E-2</v>
      </c>
      <c r="CU9" s="994">
        <v>2.9454169999999998E-2</v>
      </c>
      <c r="CV9" s="994">
        <v>2.6270249999999998E-2</v>
      </c>
      <c r="CW9" s="994">
        <v>2.3020829999999999E-2</v>
      </c>
      <c r="CX9" s="994">
        <v>1.9806089999999998E-2</v>
      </c>
      <c r="CY9" s="994">
        <v>5.6369719999999998E-2</v>
      </c>
      <c r="CZ9" s="994">
        <v>5.2946439999999997E-2</v>
      </c>
      <c r="DA9" s="994">
        <v>4.8119820000000001E-2</v>
      </c>
      <c r="DB9" s="994">
        <v>4.0150859999999997E-2</v>
      </c>
      <c r="DC9" s="994">
        <v>8.7373889999999996E-2</v>
      </c>
      <c r="DD9" s="994">
        <v>1.07748541</v>
      </c>
      <c r="DE9" s="994">
        <v>3.5341092199999999</v>
      </c>
      <c r="DF9" s="994">
        <v>3.47492036</v>
      </c>
      <c r="DG9" s="994">
        <v>3.9652590000000001</v>
      </c>
      <c r="DH9" s="994">
        <v>4.5141974200000003</v>
      </c>
      <c r="DI9" s="994">
        <v>4.2142898500000001</v>
      </c>
      <c r="DJ9" s="994">
        <v>4.1360665499999998</v>
      </c>
      <c r="DK9" s="994">
        <v>4.0559742700000001</v>
      </c>
      <c r="DL9" s="994">
        <v>3.9545955400000001</v>
      </c>
      <c r="DM9" s="994">
        <v>3.9829481499999999</v>
      </c>
      <c r="DN9" s="994">
        <v>3.8643787600000001</v>
      </c>
      <c r="DO9" s="994">
        <v>3.8043277500000001</v>
      </c>
      <c r="DP9" s="994">
        <v>3.6903822700000002</v>
      </c>
      <c r="DQ9" s="994">
        <v>3.5388693400000002</v>
      </c>
      <c r="DR9" s="994">
        <v>3.4117306799999998</v>
      </c>
      <c r="DS9" s="994">
        <v>3.2786327100000001</v>
      </c>
      <c r="DT9" s="994">
        <v>3.1023859599999999</v>
      </c>
      <c r="DU9" s="994">
        <v>2.9638076600000001</v>
      </c>
      <c r="DV9" s="994">
        <v>2.8556898899999998</v>
      </c>
      <c r="DW9" s="994">
        <v>2.7368298200000001</v>
      </c>
      <c r="DX9" s="994">
        <v>2.5393560800000001</v>
      </c>
      <c r="DY9" s="994">
        <v>2.40192351</v>
      </c>
      <c r="DZ9" s="994">
        <v>2.28696382</v>
      </c>
      <c r="EA9" s="994">
        <v>2.1491997</v>
      </c>
      <c r="EB9" s="994">
        <v>22.030395290000001</v>
      </c>
      <c r="EC9" s="994">
        <v>26.56282135</v>
      </c>
      <c r="ED9" s="994">
        <v>26.0592352</v>
      </c>
      <c r="EE9" s="994">
        <v>25.506268680000002</v>
      </c>
    </row>
    <row r="10" spans="1:137" ht="19.8">
      <c r="A10" s="978" t="s">
        <v>2002</v>
      </c>
      <c r="B10" s="961">
        <f t="shared" ref="B10:V10" si="0">+B8-B9</f>
        <v>1065.3081903100001</v>
      </c>
      <c r="C10" s="961">
        <f t="shared" si="0"/>
        <v>1373.1621201200001</v>
      </c>
      <c r="D10" s="961">
        <f t="shared" si="0"/>
        <v>1439.9555705499999</v>
      </c>
      <c r="E10" s="961">
        <f t="shared" si="0"/>
        <v>1657.82862817</v>
      </c>
      <c r="F10" s="961">
        <f t="shared" si="0"/>
        <v>1764.0894260700002</v>
      </c>
      <c r="G10" s="961">
        <f t="shared" si="0"/>
        <v>1822.94496607</v>
      </c>
      <c r="H10" s="961">
        <f t="shared" si="0"/>
        <v>1895.01305641</v>
      </c>
      <c r="I10" s="961">
        <f t="shared" si="0"/>
        <v>1944.3044096500003</v>
      </c>
      <c r="J10" s="961">
        <f t="shared" si="0"/>
        <v>2003.2218307199998</v>
      </c>
      <c r="K10" s="961">
        <f t="shared" si="0"/>
        <v>2037.8545894699998</v>
      </c>
      <c r="L10" s="961">
        <f t="shared" si="0"/>
        <v>2085.4630049900002</v>
      </c>
      <c r="M10" s="950">
        <f t="shared" si="0"/>
        <v>2091.4973838099995</v>
      </c>
      <c r="N10" s="946">
        <f t="shared" si="0"/>
        <v>1727.64935623</v>
      </c>
      <c r="O10" s="946">
        <f t="shared" si="0"/>
        <v>1775.9185467499999</v>
      </c>
      <c r="P10" s="946">
        <f t="shared" si="0"/>
        <v>1812.2702630200004</v>
      </c>
      <c r="Q10" s="946">
        <f t="shared" si="0"/>
        <v>1853.15719083</v>
      </c>
      <c r="R10" s="946">
        <f t="shared" si="0"/>
        <v>1920.5496190600002</v>
      </c>
      <c r="S10" s="946">
        <f t="shared" si="0"/>
        <v>1974.30431787</v>
      </c>
      <c r="T10" s="946">
        <f t="shared" si="0"/>
        <v>2003.8039138899996</v>
      </c>
      <c r="U10" s="946">
        <f t="shared" si="0"/>
        <v>2043.6256732599998</v>
      </c>
      <c r="V10" s="946">
        <f t="shared" si="0"/>
        <v>2092.2897298700004</v>
      </c>
      <c r="W10" s="946">
        <v>2125.1294292799998</v>
      </c>
      <c r="X10" s="946">
        <v>2196.5958158999997</v>
      </c>
      <c r="Y10" s="950">
        <v>2189.23994382</v>
      </c>
      <c r="Z10" s="946">
        <v>2195.5475927000002</v>
      </c>
      <c r="AA10" s="946">
        <v>1866.0046842899999</v>
      </c>
      <c r="AB10" s="950">
        <f>+AB8-AB9</f>
        <v>1940.91094823</v>
      </c>
      <c r="AC10" s="950">
        <v>1918.5523697799999</v>
      </c>
      <c r="AD10" s="950">
        <v>1918.8939900099999</v>
      </c>
      <c r="AE10" s="950">
        <v>1899.7037109599999</v>
      </c>
      <c r="AF10" s="950">
        <v>1907.8595142199999</v>
      </c>
      <c r="AG10" s="950">
        <v>1836.7069011799999</v>
      </c>
      <c r="AH10" s="950">
        <f>+AH8-AH9</f>
        <v>1821.7713519300005</v>
      </c>
      <c r="AI10" s="950">
        <v>1821.06204409</v>
      </c>
      <c r="AJ10" s="950">
        <f>+AJ8-AJ9</f>
        <v>1984.1944268900002</v>
      </c>
      <c r="AK10" s="950">
        <f>+AK8-AK9</f>
        <v>2171.2507728</v>
      </c>
      <c r="AL10" s="950">
        <v>2189.7713853499999</v>
      </c>
      <c r="AM10" s="950">
        <f>+AM8-AM9</f>
        <v>2192.7268958200002</v>
      </c>
      <c r="AN10" s="950">
        <f>+AN8-AN9</f>
        <v>2156.04638226</v>
      </c>
      <c r="AO10" s="950">
        <f>+AO8-AO9</f>
        <v>2023.3443977899999</v>
      </c>
      <c r="AP10" s="950">
        <f>+AP8-AP9</f>
        <v>1975.2156277300003</v>
      </c>
      <c r="AQ10" s="950">
        <v>1787.73130186</v>
      </c>
      <c r="AR10" s="950">
        <v>1178.50666714</v>
      </c>
      <c r="AS10" s="950">
        <f>+AS8-AS9</f>
        <v>1178.3260754800001</v>
      </c>
      <c r="AT10" s="950">
        <f>+AT8-AT9</f>
        <v>1119.38514313</v>
      </c>
      <c r="AU10" s="950">
        <v>982.97413865999999</v>
      </c>
      <c r="AV10" s="950">
        <v>1012.4481979400001</v>
      </c>
      <c r="AW10" s="950">
        <v>1013.86136104</v>
      </c>
      <c r="AX10" s="950">
        <v>1026.2826060300001</v>
      </c>
      <c r="AY10" s="950">
        <v>1032.79635833</v>
      </c>
      <c r="AZ10" s="950">
        <v>1016.9761191599999</v>
      </c>
      <c r="BA10" s="950">
        <v>1014.79134562</v>
      </c>
      <c r="BB10" s="950">
        <v>970.40930667000009</v>
      </c>
      <c r="BC10" s="950">
        <v>791.59156274000009</v>
      </c>
      <c r="BD10" s="950">
        <f>+BD8-BD9</f>
        <v>529.09149667000008</v>
      </c>
      <c r="BE10" s="950">
        <v>472.75493667000001</v>
      </c>
      <c r="BF10" s="950">
        <v>483.00305578999996</v>
      </c>
      <c r="BG10" s="950">
        <v>484.09199325999998</v>
      </c>
      <c r="BH10" s="1005">
        <v>482.06694428999992</v>
      </c>
      <c r="BI10" s="994">
        <v>493.57984188000006</v>
      </c>
      <c r="BJ10" s="994">
        <v>497.40226073999997</v>
      </c>
      <c r="BK10" s="994">
        <v>468.78219430000001</v>
      </c>
      <c r="BL10" s="994">
        <v>481.6311465</v>
      </c>
      <c r="BM10" s="994">
        <v>465.95743977000001</v>
      </c>
      <c r="BN10" s="994">
        <v>460.09331351000003</v>
      </c>
      <c r="BO10" s="994">
        <v>466.51301607999994</v>
      </c>
      <c r="BP10" s="994">
        <v>464.33590036000004</v>
      </c>
      <c r="BQ10" s="994">
        <v>460.70511907999997</v>
      </c>
      <c r="BR10" s="994">
        <v>345.10437358999997</v>
      </c>
      <c r="BS10" s="994">
        <v>333.93056864000005</v>
      </c>
      <c r="BT10" s="994">
        <v>346.33361210999999</v>
      </c>
      <c r="BU10" s="994">
        <v>306.01249254999999</v>
      </c>
      <c r="BV10" s="994">
        <v>301.94964494999999</v>
      </c>
      <c r="BW10" s="994">
        <v>316.88827399999997</v>
      </c>
      <c r="BX10" s="994">
        <v>322.99822119999999</v>
      </c>
      <c r="BY10" s="994">
        <v>311.76627234</v>
      </c>
      <c r="BZ10" s="994">
        <v>329.27066920999999</v>
      </c>
      <c r="CA10" s="994">
        <v>335.05130819999999</v>
      </c>
      <c r="CB10" s="994">
        <v>313.84481928000002</v>
      </c>
      <c r="CC10" s="994">
        <v>335.84724432999997</v>
      </c>
      <c r="CD10" s="994">
        <v>345.48464193999996</v>
      </c>
      <c r="CE10" s="994">
        <f t="shared" ref="CE10:CP10" si="1">+CE8-CE9</f>
        <v>356.73494461999996</v>
      </c>
      <c r="CF10" s="994">
        <f t="shared" si="1"/>
        <v>402.96618730999995</v>
      </c>
      <c r="CG10" s="994">
        <f t="shared" si="1"/>
        <v>427.16178428999996</v>
      </c>
      <c r="CH10" s="994">
        <f t="shared" si="1"/>
        <v>416.81999790999998</v>
      </c>
      <c r="CI10" s="994">
        <f t="shared" si="1"/>
        <v>411.84370254000004</v>
      </c>
      <c r="CJ10" s="994">
        <f t="shared" si="1"/>
        <v>415.92795584999999</v>
      </c>
      <c r="CK10" s="994">
        <f t="shared" si="1"/>
        <v>409.53903955000004</v>
      </c>
      <c r="CL10" s="994">
        <f t="shared" si="1"/>
        <v>371.69286225000002</v>
      </c>
      <c r="CM10" s="994">
        <f t="shared" si="1"/>
        <v>362.36056699000005</v>
      </c>
      <c r="CN10" s="994">
        <f t="shared" si="1"/>
        <v>355.16111650000005</v>
      </c>
      <c r="CO10" s="994">
        <f t="shared" si="1"/>
        <v>357.04161857000003</v>
      </c>
      <c r="CP10" s="994">
        <f t="shared" si="1"/>
        <v>351.55490913</v>
      </c>
      <c r="CQ10" s="994">
        <f>+CQ8-CQ9</f>
        <v>349.33087976999997</v>
      </c>
      <c r="CR10" s="994">
        <f>+CR8-CR9</f>
        <v>374.85278195999996</v>
      </c>
      <c r="CS10" s="994">
        <f>+CS8-CS9</f>
        <v>385.49419285000005</v>
      </c>
      <c r="CT10" s="994">
        <v>422.22797513999996</v>
      </c>
      <c r="CU10" s="994">
        <f>+CU8-CU9</f>
        <v>444.18248688</v>
      </c>
      <c r="CV10" s="994">
        <v>433.51137589000001</v>
      </c>
      <c r="CW10" s="994">
        <v>439.55887482999998</v>
      </c>
      <c r="CX10" s="994">
        <v>469.56754929000004</v>
      </c>
      <c r="CY10" s="994">
        <v>471.91321427999998</v>
      </c>
      <c r="CZ10" s="994">
        <v>505.13795968999995</v>
      </c>
      <c r="DA10" s="994">
        <v>543.07852446999993</v>
      </c>
      <c r="DB10" s="994">
        <v>582.28138567999997</v>
      </c>
      <c r="DC10" s="994">
        <f>+DC8-DC9</f>
        <v>606.40325546999998</v>
      </c>
      <c r="DD10" s="994">
        <v>644.34243730000003</v>
      </c>
      <c r="DE10" s="994">
        <v>619.57246173999999</v>
      </c>
      <c r="DF10" s="994">
        <v>630.08440714999995</v>
      </c>
      <c r="DG10" s="994">
        <f>+DG8-DG9</f>
        <v>706.92489135000005</v>
      </c>
      <c r="DH10" s="994">
        <v>735.88964038000006</v>
      </c>
      <c r="DI10" s="994">
        <f>+DI8-DI9</f>
        <v>790.97267418000001</v>
      </c>
      <c r="DJ10" s="994">
        <v>814.54395253999996</v>
      </c>
      <c r="DK10" s="994">
        <v>895.44138897000005</v>
      </c>
      <c r="DL10" s="994">
        <v>908.93524859000001</v>
      </c>
      <c r="DM10" s="994">
        <v>904.06859596000004</v>
      </c>
      <c r="DN10" s="994">
        <f>+DN8-DN9</f>
        <v>953.90060564999999</v>
      </c>
      <c r="DO10" s="994">
        <f>+DO8-DO9</f>
        <v>893.86279925999997</v>
      </c>
      <c r="DP10" s="994">
        <f>+DP8-DP9</f>
        <v>873.90140069000006</v>
      </c>
      <c r="DQ10" s="994">
        <f>+DQ8-DQ9</f>
        <v>831.30211717999998</v>
      </c>
      <c r="DR10" s="994">
        <v>844.96956141999999</v>
      </c>
      <c r="DS10" s="994">
        <v>800.72034772999996</v>
      </c>
      <c r="DT10" s="994">
        <v>795.71069807000003</v>
      </c>
      <c r="DU10" s="994">
        <f>+DU8-DU9</f>
        <v>802.36897971999997</v>
      </c>
      <c r="DV10" s="994">
        <f>+DV8-DV9</f>
        <v>827.35329767999997</v>
      </c>
      <c r="DW10" s="994">
        <v>871.11505217000001</v>
      </c>
      <c r="DX10" s="994">
        <v>847.52943784000001</v>
      </c>
      <c r="DY10" s="994">
        <v>820.60296129000005</v>
      </c>
      <c r="DZ10" s="994">
        <f>+DZ8-DZ9</f>
        <v>841.22265077999998</v>
      </c>
      <c r="EA10" s="994">
        <v>829.34822797999993</v>
      </c>
      <c r="EB10" s="994">
        <v>843.25976808999997</v>
      </c>
      <c r="EC10" s="994">
        <v>838.98343459</v>
      </c>
      <c r="ED10" s="994">
        <v>853.27014881000002</v>
      </c>
      <c r="EE10" s="994">
        <f>+EE8-EE9</f>
        <v>832.07294479000007</v>
      </c>
    </row>
    <row r="11" spans="1:137" ht="19.8">
      <c r="A11" s="977"/>
      <c r="B11" s="962"/>
      <c r="C11" s="962"/>
      <c r="D11" s="962"/>
      <c r="E11" s="962"/>
      <c r="F11" s="962"/>
      <c r="G11" s="962"/>
      <c r="H11" s="962"/>
      <c r="I11" s="962"/>
      <c r="J11" s="962"/>
      <c r="K11" s="962"/>
      <c r="L11" s="962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994"/>
      <c r="DE11" s="994"/>
      <c r="DF11" s="994"/>
      <c r="DG11" s="994"/>
      <c r="DH11" s="994"/>
      <c r="DI11" s="994"/>
      <c r="DJ11" s="994"/>
      <c r="DK11" s="994"/>
      <c r="DL11" s="994"/>
      <c r="DM11" s="994"/>
      <c r="DN11" s="994"/>
      <c r="DO11" s="994"/>
      <c r="DP11" s="994"/>
      <c r="DQ11" s="994"/>
      <c r="DR11" s="994"/>
      <c r="DS11" s="994"/>
      <c r="DT11" s="994"/>
      <c r="DU11" s="994"/>
      <c r="DV11" s="994"/>
      <c r="DW11" s="994"/>
      <c r="DX11" s="994"/>
      <c r="DY11" s="994"/>
      <c r="DZ11" s="994"/>
      <c r="EA11" s="994"/>
      <c r="EB11" s="994"/>
      <c r="EC11" s="994"/>
      <c r="ED11" s="994"/>
      <c r="EE11" s="994"/>
    </row>
    <row r="12" spans="1:137" ht="19.8">
      <c r="A12" s="976" t="s">
        <v>2821</v>
      </c>
      <c r="B12" s="961">
        <v>213.81136772999997</v>
      </c>
      <c r="C12" s="961">
        <v>244.08134046000001</v>
      </c>
      <c r="D12" s="961">
        <v>228.11837111</v>
      </c>
      <c r="E12" s="961">
        <v>236.67908625999996</v>
      </c>
      <c r="F12" s="961">
        <v>237.60895477000003</v>
      </c>
      <c r="G12" s="961">
        <v>244.65951545999999</v>
      </c>
      <c r="H12" s="961">
        <v>247.23558170999999</v>
      </c>
      <c r="I12" s="961">
        <v>229.49520746000002</v>
      </c>
      <c r="J12" s="961">
        <v>229.15674351999999</v>
      </c>
      <c r="K12" s="961">
        <v>212.83492504999998</v>
      </c>
      <c r="L12" s="961">
        <v>224.59219667999997</v>
      </c>
      <c r="M12" s="946">
        <v>209.08070668000002</v>
      </c>
      <c r="N12" s="946">
        <v>212.78625145000001</v>
      </c>
      <c r="O12" s="946">
        <v>230.89288331</v>
      </c>
      <c r="P12" s="946">
        <v>242.11138154000002</v>
      </c>
      <c r="Q12" s="946">
        <v>241.28203640000001</v>
      </c>
      <c r="R12" s="946">
        <v>252.23741880000003</v>
      </c>
      <c r="S12" s="946">
        <v>266.24806594</v>
      </c>
      <c r="T12" s="946">
        <v>246.08713897000001</v>
      </c>
      <c r="U12" s="946">
        <v>249.34154711999997</v>
      </c>
      <c r="V12" s="946">
        <v>292.57808581</v>
      </c>
      <c r="W12" s="946">
        <v>294.79275579</v>
      </c>
      <c r="X12" s="946">
        <v>293.46741211999995</v>
      </c>
      <c r="Y12" s="946">
        <v>292.34374601999997</v>
      </c>
      <c r="Z12" s="946">
        <v>290.17137839000003</v>
      </c>
      <c r="AA12" s="946">
        <v>414.58413112</v>
      </c>
      <c r="AB12" s="946">
        <v>479.04988850000001</v>
      </c>
      <c r="AC12" s="946">
        <v>504.66633625999998</v>
      </c>
      <c r="AD12" s="946">
        <v>497.03673111000001</v>
      </c>
      <c r="AE12" s="946">
        <v>485.78983794999999</v>
      </c>
      <c r="AF12" s="946">
        <v>480.99797160000003</v>
      </c>
      <c r="AG12" s="946">
        <v>425.24853188999998</v>
      </c>
      <c r="AH12" s="946">
        <v>427.97799282</v>
      </c>
      <c r="AI12" s="946">
        <v>421.06744024</v>
      </c>
      <c r="AJ12" s="946">
        <v>554.01775177000002</v>
      </c>
      <c r="AK12" s="946">
        <v>456.47834010999998</v>
      </c>
      <c r="AL12" s="946">
        <v>437.19751558000007</v>
      </c>
      <c r="AM12" s="946">
        <v>408.41109488000001</v>
      </c>
      <c r="AN12" s="946">
        <v>429.32491909000004</v>
      </c>
      <c r="AO12" s="946">
        <v>431.62663572999998</v>
      </c>
      <c r="AP12" s="946">
        <v>422.71676418000004</v>
      </c>
      <c r="AQ12" s="946">
        <v>436.99731226</v>
      </c>
      <c r="AR12" s="946">
        <v>211.28409395</v>
      </c>
      <c r="AS12" s="946">
        <v>204.83334833999999</v>
      </c>
      <c r="AT12" s="946">
        <v>208.48596925999999</v>
      </c>
      <c r="AU12" s="946">
        <v>182.17862407000001</v>
      </c>
      <c r="AV12" s="946">
        <v>206.84556876000002</v>
      </c>
      <c r="AW12" s="946">
        <v>232.11282347999997</v>
      </c>
      <c r="AX12" s="946">
        <v>238.41772634</v>
      </c>
      <c r="AY12" s="946">
        <v>256.38629892</v>
      </c>
      <c r="AZ12" s="946">
        <v>245.71735051000002</v>
      </c>
      <c r="BA12" s="946">
        <v>247.13218941</v>
      </c>
      <c r="BB12" s="946">
        <v>233.13024175000004</v>
      </c>
      <c r="BC12" s="946">
        <v>119.71212869999999</v>
      </c>
      <c r="BD12" s="946">
        <v>126.84533295</v>
      </c>
      <c r="BE12" s="946">
        <v>100.18810240000001</v>
      </c>
      <c r="BF12" s="946">
        <v>103.63141417</v>
      </c>
      <c r="BG12" s="946">
        <v>99.54738476</v>
      </c>
      <c r="BH12" s="1004">
        <v>104.22845917999999</v>
      </c>
      <c r="BI12" s="993">
        <v>72.59071161</v>
      </c>
      <c r="BJ12" s="993">
        <v>76.491375339999991</v>
      </c>
      <c r="BK12" s="993">
        <v>45.955537280000001</v>
      </c>
      <c r="BL12" s="993">
        <v>67.958210510000001</v>
      </c>
      <c r="BM12" s="993">
        <v>71.42156919</v>
      </c>
      <c r="BN12" s="993">
        <v>70.895867229999993</v>
      </c>
      <c r="BO12" s="993">
        <v>73.854381770000003</v>
      </c>
      <c r="BP12" s="993">
        <v>82.088783860000007</v>
      </c>
      <c r="BQ12" s="993">
        <v>82.320930510000011</v>
      </c>
      <c r="BR12" s="993">
        <v>111.75579008</v>
      </c>
      <c r="BS12" s="993">
        <v>113.66706494000002</v>
      </c>
      <c r="BT12" s="993">
        <v>135.78118401</v>
      </c>
      <c r="BU12" s="993">
        <v>174.74458831999999</v>
      </c>
      <c r="BV12" s="993">
        <v>171.6882263</v>
      </c>
      <c r="BW12" s="993">
        <v>184.70841553999998</v>
      </c>
      <c r="BX12" s="993">
        <v>179.74227164000001</v>
      </c>
      <c r="BY12" s="993">
        <v>167.22461928999999</v>
      </c>
      <c r="BZ12" s="993">
        <v>166.12920450999997</v>
      </c>
      <c r="CA12" s="993">
        <v>164.55730779999999</v>
      </c>
      <c r="CB12" s="993">
        <v>173.00983312</v>
      </c>
      <c r="CC12" s="993">
        <v>182.13813959999999</v>
      </c>
      <c r="CD12" s="993">
        <v>181.52689182999998</v>
      </c>
      <c r="CE12" s="993">
        <v>188.546212</v>
      </c>
      <c r="CF12" s="993">
        <v>215.509424</v>
      </c>
      <c r="CG12" s="993">
        <v>191.74764793999998</v>
      </c>
      <c r="CH12" s="993">
        <v>177.47351897999999</v>
      </c>
      <c r="CI12" s="993">
        <v>177.69947251000002</v>
      </c>
      <c r="CJ12" s="993">
        <v>171.73356968000002</v>
      </c>
      <c r="CK12" s="993">
        <v>165.28876731</v>
      </c>
      <c r="CL12" s="993">
        <v>120.40526235999999</v>
      </c>
      <c r="CM12" s="993">
        <v>112.3534142</v>
      </c>
      <c r="CN12" s="993">
        <v>100.81043637000001</v>
      </c>
      <c r="CO12" s="993">
        <v>103.35585878000001</v>
      </c>
      <c r="CP12" s="993">
        <v>97.091240400000004</v>
      </c>
      <c r="CQ12" s="993">
        <v>95.305531580000007</v>
      </c>
      <c r="CR12" s="993">
        <v>103.69417692</v>
      </c>
      <c r="CS12" s="993">
        <v>102.29469080000001</v>
      </c>
      <c r="CT12" s="993">
        <v>101.01728256</v>
      </c>
      <c r="CU12" s="993">
        <v>118.34396866</v>
      </c>
      <c r="CV12" s="993">
        <v>133.77428373999999</v>
      </c>
      <c r="CW12" s="993">
        <v>128.43193423</v>
      </c>
      <c r="CX12" s="993">
        <v>138.08722617000001</v>
      </c>
      <c r="CY12" s="993">
        <v>147.52961388</v>
      </c>
      <c r="CZ12" s="993">
        <v>180.31187968</v>
      </c>
      <c r="DA12" s="993">
        <v>206.99182306</v>
      </c>
      <c r="DB12" s="993">
        <v>219.47919754</v>
      </c>
      <c r="DC12" s="993">
        <v>230.48561432</v>
      </c>
      <c r="DD12" s="993">
        <v>269.18324740999998</v>
      </c>
      <c r="DE12" s="993">
        <v>235.50232127000001</v>
      </c>
      <c r="DF12" s="993">
        <v>241.67337950999999</v>
      </c>
      <c r="DG12" s="993">
        <v>308.23433204000003</v>
      </c>
      <c r="DH12" s="993">
        <v>324.19427744000001</v>
      </c>
      <c r="DI12" s="993">
        <v>332.96293630000002</v>
      </c>
      <c r="DJ12" s="993">
        <v>354.04048766</v>
      </c>
      <c r="DK12" s="993">
        <v>429.57435504</v>
      </c>
      <c r="DL12" s="993">
        <v>426.37013123999998</v>
      </c>
      <c r="DM12" s="993">
        <v>415.62514315999999</v>
      </c>
      <c r="DN12" s="993">
        <v>458.59190897000002</v>
      </c>
      <c r="DO12" s="993">
        <v>407.71964369</v>
      </c>
      <c r="DP12" s="993">
        <v>385.68282733000001</v>
      </c>
      <c r="DQ12" s="993">
        <v>289.11321964000001</v>
      </c>
      <c r="DR12" s="993">
        <v>264.45509718</v>
      </c>
      <c r="DS12" s="993">
        <v>253.17365430999999</v>
      </c>
      <c r="DT12" s="993">
        <v>270.45251343000001</v>
      </c>
      <c r="DU12" s="993">
        <v>270.39783603000001</v>
      </c>
      <c r="DV12" s="993">
        <v>247.84948501</v>
      </c>
      <c r="DW12" s="993">
        <v>269.48669742999999</v>
      </c>
      <c r="DX12" s="993">
        <v>234.67004157</v>
      </c>
      <c r="DY12" s="993">
        <v>216.00728505999999</v>
      </c>
      <c r="DZ12" s="993">
        <v>212.62033872999999</v>
      </c>
      <c r="EA12" s="993">
        <v>197.15487257999999</v>
      </c>
      <c r="EB12" s="993">
        <v>204.67761225000001</v>
      </c>
      <c r="EC12" s="993">
        <v>183.76733533999999</v>
      </c>
      <c r="ED12" s="993">
        <v>199.59617821000001</v>
      </c>
      <c r="EE12" s="993">
        <v>190.48217618999999</v>
      </c>
    </row>
    <row r="13" spans="1:137" ht="19.8">
      <c r="A13" s="977" t="s">
        <v>2001</v>
      </c>
      <c r="B13" s="962">
        <v>55.199652799999996</v>
      </c>
      <c r="C13" s="962">
        <v>86.7073599</v>
      </c>
      <c r="D13" s="962">
        <v>77.796303159999994</v>
      </c>
      <c r="E13" s="962">
        <v>66.627038240000005</v>
      </c>
      <c r="F13" s="962">
        <v>56.384360270000002</v>
      </c>
      <c r="G13" s="962">
        <v>56.333983959999998</v>
      </c>
      <c r="H13" s="962">
        <v>55.349142319999999</v>
      </c>
      <c r="I13" s="962">
        <v>43.824385599999999</v>
      </c>
      <c r="J13" s="962">
        <v>28.946097269999999</v>
      </c>
      <c r="K13" s="962">
        <v>6.8455837699999993</v>
      </c>
      <c r="L13" s="962">
        <v>15.452168990000001</v>
      </c>
      <c r="M13" s="950">
        <v>10.561970580000001</v>
      </c>
      <c r="N13" s="950">
        <v>10.571338580000001</v>
      </c>
      <c r="O13" s="950">
        <v>20.037656999999999</v>
      </c>
      <c r="P13" s="950">
        <v>22.593061890000001</v>
      </c>
      <c r="Q13" s="950">
        <v>12.45883684</v>
      </c>
      <c r="R13" s="950">
        <v>26.10849207</v>
      </c>
      <c r="S13" s="950">
        <v>29.307386219999998</v>
      </c>
      <c r="T13" s="950">
        <v>29.75052414</v>
      </c>
      <c r="U13" s="950">
        <v>41.885427500000006</v>
      </c>
      <c r="V13" s="950">
        <v>63.363763860000006</v>
      </c>
      <c r="W13" s="950">
        <v>60.310339029999994</v>
      </c>
      <c r="X13" s="950">
        <v>41.202133849999996</v>
      </c>
      <c r="Y13" s="950">
        <v>41.516802650000002</v>
      </c>
      <c r="Z13" s="950">
        <v>35.273066889999996</v>
      </c>
      <c r="AA13" s="950">
        <v>51.980426580000007</v>
      </c>
      <c r="AB13" s="950">
        <v>8.6369561600000004</v>
      </c>
      <c r="AC13" s="950">
        <v>29.747273620000001</v>
      </c>
      <c r="AD13" s="950">
        <v>34.085093610000001</v>
      </c>
      <c r="AE13" s="950">
        <v>33.983477279999995</v>
      </c>
      <c r="AF13" s="950">
        <v>39.025731750000006</v>
      </c>
      <c r="AG13" s="950">
        <v>43.200216519999998</v>
      </c>
      <c r="AH13" s="950">
        <v>43.239144060000001</v>
      </c>
      <c r="AI13" s="950">
        <v>43.321924299999999</v>
      </c>
      <c r="AJ13" s="950">
        <v>43.136408359999997</v>
      </c>
      <c r="AK13" s="950">
        <v>11.074159320000001</v>
      </c>
      <c r="AL13" s="950">
        <v>11.366935570000001</v>
      </c>
      <c r="AM13" s="950">
        <v>11.13175609</v>
      </c>
      <c r="AN13" s="950">
        <v>11.12585808</v>
      </c>
      <c r="AO13" s="950">
        <v>10.24335052</v>
      </c>
      <c r="AP13" s="950">
        <v>1.9642250700000001</v>
      </c>
      <c r="AQ13" s="950">
        <v>4.4786540700000002</v>
      </c>
      <c r="AR13" s="950">
        <v>4.7771810800000001</v>
      </c>
      <c r="AS13" s="950">
        <v>5.4846050799999997</v>
      </c>
      <c r="AT13" s="950">
        <v>5.33042208</v>
      </c>
      <c r="AU13" s="950">
        <v>3.8038960799999999</v>
      </c>
      <c r="AV13" s="950">
        <v>3.4312688199999997</v>
      </c>
      <c r="AW13" s="950">
        <v>2.68382582</v>
      </c>
      <c r="AX13" s="950">
        <v>2.68382582</v>
      </c>
      <c r="AY13" s="950">
        <v>1.60473</v>
      </c>
      <c r="AZ13" s="950">
        <v>0.865811</v>
      </c>
      <c r="BA13" s="950">
        <v>0.84681099999999998</v>
      </c>
      <c r="BB13" s="950">
        <v>0.306811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0.1</v>
      </c>
      <c r="BI13" s="994">
        <v>0.2</v>
      </c>
      <c r="BJ13" s="994">
        <v>0.25</v>
      </c>
      <c r="BK13" s="994">
        <v>0.3</v>
      </c>
      <c r="BL13" s="994">
        <v>0.43341204999999999</v>
      </c>
      <c r="BM13" s="994">
        <v>0.32837125</v>
      </c>
      <c r="BN13" s="994">
        <v>0.24022125</v>
      </c>
      <c r="BO13" s="994">
        <v>0.17122076999999999</v>
      </c>
      <c r="BP13" s="994">
        <v>0.10967444</v>
      </c>
      <c r="BQ13" s="994">
        <v>7.8029769999999998E-2</v>
      </c>
      <c r="BR13" s="994">
        <v>6.9529770000000005E-2</v>
      </c>
      <c r="BS13" s="994">
        <v>0.24</v>
      </c>
      <c r="BT13" s="994">
        <v>15.4</v>
      </c>
      <c r="BU13" s="994">
        <v>46.217195049999994</v>
      </c>
      <c r="BV13" s="994">
        <v>45.107562049999999</v>
      </c>
      <c r="BW13" s="994">
        <v>44.395982719999999</v>
      </c>
      <c r="BX13" s="994">
        <v>35.379192119999999</v>
      </c>
      <c r="BY13" s="994">
        <v>33.796639680000006</v>
      </c>
      <c r="BZ13" s="994">
        <v>25.364785379999997</v>
      </c>
      <c r="CA13" s="994">
        <v>22.988123079999998</v>
      </c>
      <c r="CB13" s="994">
        <v>21.352009639999999</v>
      </c>
      <c r="CC13" s="994">
        <v>19.869345039999999</v>
      </c>
      <c r="CD13" s="994">
        <v>11.51320067</v>
      </c>
      <c r="CE13" s="994">
        <v>9.7197798599999992</v>
      </c>
      <c r="CF13" s="994">
        <v>8.2000269999999986</v>
      </c>
      <c r="CG13" s="994">
        <v>0.40002700000000002</v>
      </c>
      <c r="CH13" s="994">
        <v>2.6999999999999999E-5</v>
      </c>
      <c r="CI13" s="994">
        <v>2.6999999999999999E-5</v>
      </c>
      <c r="CJ13" s="994">
        <v>3.0026999999999998E-2</v>
      </c>
      <c r="CK13" s="994">
        <v>0.190027</v>
      </c>
      <c r="CL13" s="994">
        <v>0.15002699999999999</v>
      </c>
      <c r="CM13" s="994">
        <v>2.6999999999999999E-5</v>
      </c>
      <c r="CN13" s="994">
        <v>0.20002700000000001</v>
      </c>
      <c r="CO13" s="994">
        <v>0.220027</v>
      </c>
      <c r="CP13" s="994">
        <v>0.24144483</v>
      </c>
      <c r="CQ13" s="994">
        <v>9.5268240000000004E-2</v>
      </c>
      <c r="CR13" s="994">
        <v>1.9517720000000002E-2</v>
      </c>
      <c r="CS13" s="994">
        <v>1.7710189999999997E-2</v>
      </c>
      <c r="CT13" s="994">
        <v>1.6016140000000002E-2</v>
      </c>
      <c r="CU13" s="994">
        <v>1.41406E-2</v>
      </c>
      <c r="CV13" s="994">
        <v>1.2230670000000001E-2</v>
      </c>
      <c r="CW13" s="994">
        <v>1.028573E-2</v>
      </c>
      <c r="CX13" s="994">
        <v>8.3901099999999992E-3</v>
      </c>
      <c r="CY13" s="994">
        <v>6.2959399999999999E-3</v>
      </c>
      <c r="CZ13" s="994">
        <v>4.2383500000000001E-3</v>
      </c>
      <c r="DA13" s="994">
        <v>2.1494700000000001E-3</v>
      </c>
      <c r="DB13" s="994">
        <v>0</v>
      </c>
      <c r="DC13" s="994">
        <v>0</v>
      </c>
      <c r="DD13" s="994">
        <v>0</v>
      </c>
      <c r="DE13" s="994">
        <v>0</v>
      </c>
      <c r="DF13" s="994">
        <v>0</v>
      </c>
      <c r="DG13" s="994">
        <v>0</v>
      </c>
      <c r="DH13" s="994">
        <v>0.2</v>
      </c>
      <c r="DI13" s="994">
        <v>0.2</v>
      </c>
      <c r="DJ13" s="994">
        <v>0.2</v>
      </c>
      <c r="DK13" s="994">
        <v>0.2</v>
      </c>
      <c r="DL13" s="994">
        <v>0.17883414</v>
      </c>
      <c r="DM13" s="994">
        <v>0.15728809999999999</v>
      </c>
      <c r="DN13" s="994">
        <v>0.13568469999999999</v>
      </c>
      <c r="DO13" s="994">
        <v>0.16361853000000001</v>
      </c>
      <c r="DP13" s="994">
        <v>0.13757828999999999</v>
      </c>
      <c r="DQ13" s="994">
        <v>0.11122019</v>
      </c>
      <c r="DR13" s="994">
        <v>8.4478029999999996E-2</v>
      </c>
      <c r="DS13" s="994">
        <v>5.7495490000000003E-2</v>
      </c>
      <c r="DT13" s="994">
        <v>3.0244480000000001E-2</v>
      </c>
      <c r="DU13" s="994">
        <v>2.60015E-2</v>
      </c>
      <c r="DV13" s="994">
        <v>0.05</v>
      </c>
      <c r="DW13" s="994">
        <v>0</v>
      </c>
      <c r="DX13" s="994">
        <v>0</v>
      </c>
      <c r="DY13" s="994">
        <v>0</v>
      </c>
      <c r="DZ13" s="994">
        <v>0.03</v>
      </c>
      <c r="EA13" s="994">
        <v>2.766617E-2</v>
      </c>
      <c r="EB13" s="994">
        <v>2.5374910000000001E-2</v>
      </c>
      <c r="EC13" s="994">
        <v>2.296803E-2</v>
      </c>
      <c r="ED13" s="994">
        <v>2.296803E-2</v>
      </c>
      <c r="EE13" s="994">
        <v>0</v>
      </c>
    </row>
    <row r="14" spans="1:137" ht="19.8">
      <c r="A14" s="978" t="s">
        <v>2002</v>
      </c>
      <c r="B14" s="962">
        <f t="shared" ref="B14:V14" si="2">+B12-B13</f>
        <v>158.61171492999998</v>
      </c>
      <c r="C14" s="962">
        <f t="shared" si="2"/>
        <v>157.37398056000001</v>
      </c>
      <c r="D14" s="962">
        <f t="shared" si="2"/>
        <v>150.32206795000002</v>
      </c>
      <c r="E14" s="962">
        <f t="shared" si="2"/>
        <v>170.05204801999997</v>
      </c>
      <c r="F14" s="962">
        <f t="shared" si="2"/>
        <v>181.22459450000002</v>
      </c>
      <c r="G14" s="962">
        <f t="shared" si="2"/>
        <v>188.32553150000001</v>
      </c>
      <c r="H14" s="962">
        <f t="shared" si="2"/>
        <v>191.88643938999999</v>
      </c>
      <c r="I14" s="962">
        <f t="shared" si="2"/>
        <v>185.67082186000002</v>
      </c>
      <c r="J14" s="962">
        <f t="shared" si="2"/>
        <v>200.21064625</v>
      </c>
      <c r="K14" s="962">
        <f t="shared" si="2"/>
        <v>205.98934127999999</v>
      </c>
      <c r="L14" s="962">
        <f t="shared" si="2"/>
        <v>209.14002768999998</v>
      </c>
      <c r="M14" s="950">
        <f t="shared" si="2"/>
        <v>198.51873610000001</v>
      </c>
      <c r="N14" s="950">
        <f t="shared" si="2"/>
        <v>202.21491287000001</v>
      </c>
      <c r="O14" s="950">
        <f t="shared" si="2"/>
        <v>210.85522631000001</v>
      </c>
      <c r="P14" s="950">
        <f t="shared" si="2"/>
        <v>219.51831965000002</v>
      </c>
      <c r="Q14" s="950">
        <f t="shared" si="2"/>
        <v>228.82319956000001</v>
      </c>
      <c r="R14" s="950">
        <f t="shared" si="2"/>
        <v>226.12892673000002</v>
      </c>
      <c r="S14" s="950">
        <f t="shared" si="2"/>
        <v>236.94067971999999</v>
      </c>
      <c r="T14" s="950">
        <f t="shared" si="2"/>
        <v>216.33661483</v>
      </c>
      <c r="U14" s="950">
        <f t="shared" si="2"/>
        <v>207.45611961999998</v>
      </c>
      <c r="V14" s="950">
        <f t="shared" si="2"/>
        <v>229.21432195</v>
      </c>
      <c r="W14" s="950">
        <v>234.48241676000001</v>
      </c>
      <c r="X14" s="950">
        <v>252.26527826999995</v>
      </c>
      <c r="Y14" s="950">
        <v>250.82694336999998</v>
      </c>
      <c r="Z14" s="950">
        <v>254.89831150000003</v>
      </c>
      <c r="AA14" s="950">
        <v>362.60370453999997</v>
      </c>
      <c r="AB14" s="950">
        <f>+AB12-AB13</f>
        <v>470.41293234</v>
      </c>
      <c r="AC14" s="950">
        <v>474.91906263999999</v>
      </c>
      <c r="AD14" s="950">
        <v>462.9516375</v>
      </c>
      <c r="AE14" s="950">
        <v>451.80636067</v>
      </c>
      <c r="AF14" s="950">
        <v>441.97223985000005</v>
      </c>
      <c r="AG14" s="950">
        <v>382.04831536999995</v>
      </c>
      <c r="AH14" s="950">
        <f>+AH12-AH13</f>
        <v>384.73884876</v>
      </c>
      <c r="AI14" s="950">
        <v>377.74551594000002</v>
      </c>
      <c r="AJ14" s="950">
        <f>+AJ12-AJ13</f>
        <v>510.88134341</v>
      </c>
      <c r="AK14" s="950">
        <f>+AK12-AK13</f>
        <v>445.40418079</v>
      </c>
      <c r="AL14" s="950">
        <v>425.83058001000006</v>
      </c>
      <c r="AM14" s="950">
        <f>+AM12-AM13</f>
        <v>397.27933879</v>
      </c>
      <c r="AN14" s="950">
        <f>+AN12-AN13</f>
        <v>418.19906101000004</v>
      </c>
      <c r="AO14" s="950">
        <f>+AO12-AO13</f>
        <v>421.38328521</v>
      </c>
      <c r="AP14" s="950">
        <f>+AP12-AP13</f>
        <v>420.75253911000004</v>
      </c>
      <c r="AQ14" s="950">
        <v>432.51865819</v>
      </c>
      <c r="AR14" s="950">
        <v>206.50691287000001</v>
      </c>
      <c r="AS14" s="950">
        <f>+AS12-AS13</f>
        <v>199.34874325999999</v>
      </c>
      <c r="AT14" s="950">
        <f>+AT12-AT13</f>
        <v>203.15554717999999</v>
      </c>
      <c r="AU14" s="950">
        <v>178.37472799000003</v>
      </c>
      <c r="AV14" s="950">
        <v>203.41429994000003</v>
      </c>
      <c r="AW14" s="950">
        <v>229.42899765999996</v>
      </c>
      <c r="AX14" s="950">
        <v>235.73390051999999</v>
      </c>
      <c r="AY14" s="950">
        <v>254.78156892000001</v>
      </c>
      <c r="AZ14" s="950">
        <v>244.85153951000001</v>
      </c>
      <c r="BA14" s="950">
        <v>246.28537840999999</v>
      </c>
      <c r="BB14" s="950">
        <v>232.82343075000003</v>
      </c>
      <c r="BC14" s="950">
        <v>119.71212869999999</v>
      </c>
      <c r="BD14" s="950">
        <f>+BD12-BD13</f>
        <v>126.84533295</v>
      </c>
      <c r="BE14" s="950">
        <v>100.18810240000001</v>
      </c>
      <c r="BF14" s="950">
        <v>103.63141417</v>
      </c>
      <c r="BG14" s="950">
        <v>99.54738476</v>
      </c>
      <c r="BH14" s="1005">
        <v>104.12845917999999</v>
      </c>
      <c r="BI14" s="994">
        <v>72.390711609999997</v>
      </c>
      <c r="BJ14" s="994">
        <v>76.241375339999991</v>
      </c>
      <c r="BK14" s="994">
        <v>45.655537280000004</v>
      </c>
      <c r="BL14" s="994">
        <v>67.52479846</v>
      </c>
      <c r="BM14" s="994">
        <v>71.093197939999996</v>
      </c>
      <c r="BN14" s="994">
        <v>70.655645979999989</v>
      </c>
      <c r="BO14" s="994">
        <v>73.683160999999998</v>
      </c>
      <c r="BP14" s="994">
        <v>81.97910942</v>
      </c>
      <c r="BQ14" s="994">
        <v>82.24290074000001</v>
      </c>
      <c r="BR14" s="994">
        <v>111.68626030999999</v>
      </c>
      <c r="BS14" s="994">
        <v>113.42706494000002</v>
      </c>
      <c r="BT14" s="994">
        <v>120.38118401</v>
      </c>
      <c r="BU14" s="994">
        <v>128.52739327</v>
      </c>
      <c r="BV14" s="994">
        <v>126.58066425</v>
      </c>
      <c r="BW14" s="994">
        <v>140.31243281999997</v>
      </c>
      <c r="BX14" s="994">
        <v>144.36307952000001</v>
      </c>
      <c r="BY14" s="994">
        <v>133.42797960999999</v>
      </c>
      <c r="BZ14" s="994">
        <v>140.76441912999996</v>
      </c>
      <c r="CA14" s="994">
        <v>141.56918471999998</v>
      </c>
      <c r="CB14" s="994">
        <v>151.65782347999999</v>
      </c>
      <c r="CC14" s="994">
        <v>162.26879456</v>
      </c>
      <c r="CD14" s="994">
        <v>170.01369115999998</v>
      </c>
      <c r="CE14" s="994">
        <f t="shared" ref="CE14:CP14" si="3">+CE12-CE13</f>
        <v>178.82643214000001</v>
      </c>
      <c r="CF14" s="994">
        <f t="shared" si="3"/>
        <v>207.30939699999999</v>
      </c>
      <c r="CG14" s="994">
        <f t="shared" si="3"/>
        <v>191.34762093999998</v>
      </c>
      <c r="CH14" s="994">
        <f t="shared" si="3"/>
        <v>177.47349198000001</v>
      </c>
      <c r="CI14" s="994">
        <f t="shared" si="3"/>
        <v>177.69944551000003</v>
      </c>
      <c r="CJ14" s="994">
        <f t="shared" si="3"/>
        <v>171.70354268000003</v>
      </c>
      <c r="CK14" s="994">
        <f t="shared" si="3"/>
        <v>165.09874031000001</v>
      </c>
      <c r="CL14" s="994">
        <f t="shared" si="3"/>
        <v>120.25523536</v>
      </c>
      <c r="CM14" s="994">
        <f t="shared" si="3"/>
        <v>112.3533872</v>
      </c>
      <c r="CN14" s="994">
        <f t="shared" si="3"/>
        <v>100.61040937</v>
      </c>
      <c r="CO14" s="994">
        <f t="shared" si="3"/>
        <v>103.13583178</v>
      </c>
      <c r="CP14" s="994">
        <f t="shared" si="3"/>
        <v>96.849795569999998</v>
      </c>
      <c r="CQ14" s="994">
        <f>+CQ12-CQ13</f>
        <v>95.210263340000012</v>
      </c>
      <c r="CR14" s="994">
        <f>+CR12-CR13</f>
        <v>103.67465920000001</v>
      </c>
      <c r="CS14" s="994">
        <f>+CS12-CS13</f>
        <v>102.27698061000001</v>
      </c>
      <c r="CT14" s="994">
        <v>101.00126641999999</v>
      </c>
      <c r="CU14" s="994">
        <f>+CU12-CU13</f>
        <v>118.32982806</v>
      </c>
      <c r="CV14" s="994">
        <v>133.76205306999998</v>
      </c>
      <c r="CW14" s="994">
        <v>128.4216485</v>
      </c>
      <c r="CX14" s="994">
        <v>138.07883606000001</v>
      </c>
      <c r="CY14" s="994">
        <v>147.52331794</v>
      </c>
      <c r="CZ14" s="994">
        <v>180.30764133</v>
      </c>
      <c r="DA14" s="994">
        <v>206.98967359</v>
      </c>
      <c r="DB14" s="994">
        <v>219.47919754</v>
      </c>
      <c r="DC14" s="994">
        <f>+DC12-DC13</f>
        <v>230.48561432</v>
      </c>
      <c r="DD14" s="994">
        <v>269.18324740999998</v>
      </c>
      <c r="DE14" s="994">
        <v>235.50232127000001</v>
      </c>
      <c r="DF14" s="994">
        <v>241.67337950999999</v>
      </c>
      <c r="DG14" s="994">
        <f>+DG12-DG13</f>
        <v>308.23433204000003</v>
      </c>
      <c r="DH14" s="994">
        <v>323.99427744000002</v>
      </c>
      <c r="DI14" s="994">
        <f>+DI12-DI13</f>
        <v>332.76293630000004</v>
      </c>
      <c r="DJ14" s="994">
        <v>353.84048766000001</v>
      </c>
      <c r="DK14" s="994">
        <v>429.37435504000001</v>
      </c>
      <c r="DL14" s="994">
        <v>426.19129709999999</v>
      </c>
      <c r="DM14" s="994">
        <v>415.46785505999998</v>
      </c>
      <c r="DN14" s="994">
        <f>+DN12-DN13</f>
        <v>458.45622427000001</v>
      </c>
      <c r="DO14" s="994">
        <f>+DO12-DO13</f>
        <v>407.55602515999999</v>
      </c>
      <c r="DP14" s="994">
        <f>+DP12-DP13</f>
        <v>385.54524903999999</v>
      </c>
      <c r="DQ14" s="994">
        <f>+DQ12-DQ13</f>
        <v>289.00199945000003</v>
      </c>
      <c r="DR14" s="994">
        <v>264.37061914999998</v>
      </c>
      <c r="DS14" s="994">
        <v>253.11615881999998</v>
      </c>
      <c r="DT14" s="994">
        <v>270.42226894999999</v>
      </c>
      <c r="DU14" s="994">
        <f>+DU12-DU13</f>
        <v>270.37183453</v>
      </c>
      <c r="DV14" s="994">
        <f>+DV12-DV13</f>
        <v>247.79948500999998</v>
      </c>
      <c r="DW14" s="994">
        <v>269.48669742999999</v>
      </c>
      <c r="DX14" s="994">
        <v>234.67004157</v>
      </c>
      <c r="DY14" s="994">
        <v>216.00728505999999</v>
      </c>
      <c r="DZ14" s="994">
        <f>+DZ12-DZ13</f>
        <v>212.59033872999998</v>
      </c>
      <c r="EA14" s="994">
        <v>197.12720640999999</v>
      </c>
      <c r="EB14" s="994">
        <v>204.65223734</v>
      </c>
      <c r="EC14" s="994">
        <v>183.74436731</v>
      </c>
      <c r="ED14" s="994">
        <v>199.57321018000002</v>
      </c>
      <c r="EE14" s="994">
        <f>+EE12-EE13</f>
        <v>190.48217618999999</v>
      </c>
    </row>
    <row r="15" spans="1:137" ht="19.8">
      <c r="A15" s="979"/>
      <c r="B15" s="961"/>
      <c r="C15" s="961"/>
      <c r="D15" s="961"/>
      <c r="E15" s="961"/>
      <c r="F15" s="961"/>
      <c r="G15" s="961"/>
      <c r="H15" s="961"/>
      <c r="I15" s="961"/>
      <c r="J15" s="961"/>
      <c r="K15" s="961"/>
      <c r="L15" s="961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993"/>
      <c r="DE15" s="993"/>
      <c r="DF15" s="993"/>
      <c r="DG15" s="993"/>
      <c r="DH15" s="993"/>
      <c r="DI15" s="993"/>
      <c r="DJ15" s="993"/>
      <c r="DK15" s="993"/>
      <c r="DL15" s="993"/>
      <c r="DM15" s="993"/>
      <c r="DN15" s="993"/>
      <c r="DO15" s="993"/>
      <c r="DP15" s="993"/>
      <c r="DQ15" s="993"/>
      <c r="DR15" s="993"/>
      <c r="DS15" s="993"/>
      <c r="DT15" s="993"/>
      <c r="DU15" s="993"/>
      <c r="DV15" s="993"/>
      <c r="DW15" s="993"/>
      <c r="DX15" s="993"/>
      <c r="DY15" s="993"/>
      <c r="DZ15" s="993"/>
      <c r="EA15" s="993"/>
      <c r="EB15" s="993"/>
      <c r="EC15" s="993"/>
      <c r="ED15" s="993"/>
      <c r="EE15" s="993"/>
    </row>
    <row r="16" spans="1:137" ht="19.8">
      <c r="A16" s="1513" t="s">
        <v>189</v>
      </c>
      <c r="B16" s="962">
        <v>180.43483328999997</v>
      </c>
      <c r="C16" s="962">
        <v>205.796538</v>
      </c>
      <c r="D16" s="962">
        <v>195.82691531999998</v>
      </c>
      <c r="E16" s="962">
        <v>204.26295068999997</v>
      </c>
      <c r="F16" s="962">
        <v>206.85365904000003</v>
      </c>
      <c r="G16" s="962">
        <v>217.87440096</v>
      </c>
      <c r="H16" s="962">
        <v>206.97761563999998</v>
      </c>
      <c r="I16" s="962">
        <v>203.97058914000002</v>
      </c>
      <c r="J16" s="962">
        <v>205.42127201</v>
      </c>
      <c r="K16" s="962">
        <v>191.42083851999999</v>
      </c>
      <c r="L16" s="962">
        <v>206.89812634999998</v>
      </c>
      <c r="M16" s="946">
        <v>189.24333316000002</v>
      </c>
      <c r="N16" s="950">
        <v>190.99234681000002</v>
      </c>
      <c r="O16" s="950">
        <v>208.48260150000002</v>
      </c>
      <c r="P16" s="950">
        <v>215.83160005000002</v>
      </c>
      <c r="Q16" s="950">
        <v>214.4200596</v>
      </c>
      <c r="R16" s="950">
        <v>225.88312926000003</v>
      </c>
      <c r="S16" s="950">
        <v>233.32103584999999</v>
      </c>
      <c r="T16" s="950">
        <v>217.89222088000002</v>
      </c>
      <c r="U16" s="950">
        <v>209.13893188999998</v>
      </c>
      <c r="V16" s="950">
        <v>251.80033624999999</v>
      </c>
      <c r="W16" s="950">
        <v>264.37653283000003</v>
      </c>
      <c r="X16" s="950">
        <v>262.66685460999997</v>
      </c>
      <c r="Y16" s="946">
        <v>276.29625042999999</v>
      </c>
      <c r="Z16" s="950">
        <v>271.1719994</v>
      </c>
      <c r="AA16" s="950">
        <v>265.54501173</v>
      </c>
      <c r="AB16" s="946">
        <v>282.16928999999999</v>
      </c>
      <c r="AC16" s="946">
        <v>283.26923289999996</v>
      </c>
      <c r="AD16" s="946">
        <v>212.52206143999999</v>
      </c>
      <c r="AE16" s="946">
        <v>202.50357294</v>
      </c>
      <c r="AF16" s="946">
        <v>193.29579656000001</v>
      </c>
      <c r="AG16" s="946">
        <v>181.66923881999998</v>
      </c>
      <c r="AH16" s="946">
        <v>179.24457626999998</v>
      </c>
      <c r="AI16" s="946">
        <v>276.80026763000001</v>
      </c>
      <c r="AJ16" s="946">
        <v>158.51988054</v>
      </c>
      <c r="AK16" s="946">
        <v>121.12209421</v>
      </c>
      <c r="AL16" s="946">
        <v>101.28042154000001</v>
      </c>
      <c r="AM16" s="946">
        <v>98.349443039999997</v>
      </c>
      <c r="AN16" s="946">
        <v>100.53638595</v>
      </c>
      <c r="AO16" s="946">
        <v>103.89120367</v>
      </c>
      <c r="AP16" s="946">
        <v>107.43319996</v>
      </c>
      <c r="AQ16" s="946">
        <v>108.29544261000001</v>
      </c>
      <c r="AR16" s="946">
        <v>84.321984190000009</v>
      </c>
      <c r="AS16" s="946">
        <v>70.170594479999991</v>
      </c>
      <c r="AT16" s="946">
        <v>77.333881460000001</v>
      </c>
      <c r="AU16" s="946">
        <v>55.59629193</v>
      </c>
      <c r="AV16" s="946">
        <v>65.790700659999999</v>
      </c>
      <c r="AW16" s="946">
        <v>63.663320710000001</v>
      </c>
      <c r="AX16" s="946">
        <v>57.342163650000003</v>
      </c>
      <c r="AY16" s="946">
        <v>62.667472189999998</v>
      </c>
      <c r="AZ16" s="946">
        <v>58.604554999999998</v>
      </c>
      <c r="BA16" s="946">
        <v>56.614679000000002</v>
      </c>
      <c r="BB16" s="946">
        <v>50.263372770000004</v>
      </c>
      <c r="BC16" s="946">
        <v>50.346797299999999</v>
      </c>
      <c r="BD16" s="946">
        <v>55.03336427</v>
      </c>
      <c r="BE16" s="946">
        <v>51.806257950000003</v>
      </c>
      <c r="BF16" s="946">
        <v>50.442412900000001</v>
      </c>
      <c r="BG16" s="946">
        <v>47.399199459999998</v>
      </c>
      <c r="BH16" s="1004">
        <v>47.152262700000001</v>
      </c>
      <c r="BI16" s="993">
        <v>45.566634750000006</v>
      </c>
      <c r="BJ16" s="993">
        <v>49.655729229999999</v>
      </c>
      <c r="BK16" s="993">
        <v>25.760692100000004</v>
      </c>
      <c r="BL16" s="993">
        <v>26.504096180000001</v>
      </c>
      <c r="BM16" s="993">
        <v>33.165368909999998</v>
      </c>
      <c r="BN16" s="993">
        <v>36.787257969999999</v>
      </c>
      <c r="BO16" s="993">
        <v>41.054327980000004</v>
      </c>
      <c r="BP16" s="993">
        <v>41.573910589999997</v>
      </c>
      <c r="BQ16" s="993">
        <v>40.401688300000004</v>
      </c>
      <c r="BR16" s="993">
        <v>39.080907669999995</v>
      </c>
      <c r="BS16" s="993">
        <v>36.003612690000004</v>
      </c>
      <c r="BT16" s="993">
        <v>58.940427749999998</v>
      </c>
      <c r="BU16" s="993">
        <v>94.245547429999988</v>
      </c>
      <c r="BV16" s="993">
        <v>93.152351839999994</v>
      </c>
      <c r="BW16" s="993">
        <v>103.50204461999999</v>
      </c>
      <c r="BX16" s="993">
        <v>99.117404050000005</v>
      </c>
      <c r="BY16" s="993">
        <v>84.475387789999999</v>
      </c>
      <c r="BZ16" s="993">
        <v>78.832372279999987</v>
      </c>
      <c r="CA16" s="993">
        <v>78.006780019999994</v>
      </c>
      <c r="CB16" s="993">
        <v>81.280156799999986</v>
      </c>
      <c r="CC16" s="993">
        <v>84.524828450000001</v>
      </c>
      <c r="CD16" s="993">
        <v>78.243207119999994</v>
      </c>
      <c r="CE16" s="993">
        <v>83.129729099999992</v>
      </c>
      <c r="CF16" s="993">
        <v>90.809892810000008</v>
      </c>
      <c r="CG16" s="993">
        <v>66.600073409999993</v>
      </c>
      <c r="CH16" s="993">
        <v>53.380701379999991</v>
      </c>
      <c r="CI16" s="993">
        <v>63.316256029999998</v>
      </c>
      <c r="CJ16" s="993">
        <v>74.342573810000005</v>
      </c>
      <c r="CK16" s="993">
        <v>61.558406669999997</v>
      </c>
      <c r="CL16" s="993">
        <v>53.998412219999999</v>
      </c>
      <c r="CM16" s="993">
        <v>53.140078200000005</v>
      </c>
      <c r="CN16" s="993">
        <v>42.974915460000005</v>
      </c>
      <c r="CO16" s="993">
        <v>48.504541140000001</v>
      </c>
      <c r="CP16" s="993">
        <v>44.531449510000002</v>
      </c>
      <c r="CQ16" s="993">
        <v>38.431654639999998</v>
      </c>
      <c r="CR16" s="993">
        <v>46.979300510000002</v>
      </c>
      <c r="CS16" s="993">
        <v>35.423332280000004</v>
      </c>
      <c r="CT16" s="993">
        <v>48.28333422</v>
      </c>
      <c r="CU16" s="993">
        <v>60.568736180000002</v>
      </c>
      <c r="CV16" s="993">
        <v>68.756943800000002</v>
      </c>
      <c r="CW16" s="993">
        <v>73.469341249999999</v>
      </c>
      <c r="CX16" s="993">
        <v>81.134495990000005</v>
      </c>
      <c r="CY16" s="993">
        <v>87.223453500000005</v>
      </c>
      <c r="CZ16" s="993">
        <v>111.35417554999999</v>
      </c>
      <c r="DA16" s="993">
        <v>120.62232648</v>
      </c>
      <c r="DB16" s="993">
        <v>142.51302297999999</v>
      </c>
      <c r="DC16" s="993">
        <v>147.81340186</v>
      </c>
      <c r="DD16" s="993">
        <v>177.54779783000001</v>
      </c>
      <c r="DE16" s="993">
        <v>147.48767239</v>
      </c>
      <c r="DF16" s="993">
        <v>156.21255044</v>
      </c>
      <c r="DG16" s="993">
        <v>201.49308773000001</v>
      </c>
      <c r="DH16" s="993">
        <v>212.00160481</v>
      </c>
      <c r="DI16" s="993">
        <v>217.83200141</v>
      </c>
      <c r="DJ16" s="993">
        <v>237.70810538999999</v>
      </c>
      <c r="DK16" s="993">
        <v>271.71608408999998</v>
      </c>
      <c r="DL16" s="993">
        <v>268.85554144000002</v>
      </c>
      <c r="DM16" s="993">
        <v>268.49868443999998</v>
      </c>
      <c r="DN16" s="993">
        <v>309.06235128999998</v>
      </c>
      <c r="DO16" s="993">
        <v>291.69867278999999</v>
      </c>
      <c r="DP16" s="993">
        <v>293.04870357999999</v>
      </c>
      <c r="DQ16" s="993">
        <v>216.38567373000001</v>
      </c>
      <c r="DR16" s="993">
        <v>194.17950289000001</v>
      </c>
      <c r="DS16" s="993">
        <v>201.95004545</v>
      </c>
      <c r="DT16" s="993">
        <v>215.36568403999999</v>
      </c>
      <c r="DU16" s="993">
        <v>219.03237525</v>
      </c>
      <c r="DV16" s="993">
        <v>217.22447790000001</v>
      </c>
      <c r="DW16" s="993">
        <v>224.48313843</v>
      </c>
      <c r="DX16" s="993">
        <v>190.51161604999999</v>
      </c>
      <c r="DY16" s="993">
        <v>172.14346524000001</v>
      </c>
      <c r="DZ16" s="993">
        <v>172.09454463</v>
      </c>
      <c r="EA16" s="993">
        <v>160.16002728000001</v>
      </c>
      <c r="EB16" s="993">
        <v>168.87362318000001</v>
      </c>
      <c r="EC16" s="993">
        <v>150.16284987</v>
      </c>
      <c r="ED16" s="993">
        <v>162.54291823</v>
      </c>
      <c r="EE16" s="993">
        <v>156.20188049000001</v>
      </c>
    </row>
    <row r="17" spans="1:135" ht="19.8">
      <c r="A17" s="1514" t="s">
        <v>2001</v>
      </c>
      <c r="B17" s="961">
        <v>55.199652799999996</v>
      </c>
      <c r="C17" s="961">
        <v>86.7073599</v>
      </c>
      <c r="D17" s="961">
        <v>77.796303159999994</v>
      </c>
      <c r="E17" s="961">
        <v>66.627038240000005</v>
      </c>
      <c r="F17" s="961">
        <v>56.384360270000002</v>
      </c>
      <c r="G17" s="961">
        <v>56.333983959999998</v>
      </c>
      <c r="H17" s="961">
        <v>55.349142319999999</v>
      </c>
      <c r="I17" s="961">
        <v>43.824385599999999</v>
      </c>
      <c r="J17" s="961">
        <v>28.946097269999999</v>
      </c>
      <c r="K17" s="961">
        <v>6.8455837699999993</v>
      </c>
      <c r="L17" s="961">
        <v>15.452168990000001</v>
      </c>
      <c r="M17" s="950">
        <v>10.561970580000001</v>
      </c>
      <c r="N17" s="946">
        <v>10.571338580000001</v>
      </c>
      <c r="O17" s="946">
        <v>20.037656999999999</v>
      </c>
      <c r="P17" s="946">
        <v>22.593061890000001</v>
      </c>
      <c r="Q17" s="946">
        <v>12.45883684</v>
      </c>
      <c r="R17" s="946">
        <v>26.10849207</v>
      </c>
      <c r="S17" s="946">
        <v>29.307386219999998</v>
      </c>
      <c r="T17" s="946">
        <v>29.75052414</v>
      </c>
      <c r="U17" s="946">
        <v>32.472627500000002</v>
      </c>
      <c r="V17" s="946">
        <v>53.950963860000002</v>
      </c>
      <c r="W17" s="946">
        <v>52.803003509999996</v>
      </c>
      <c r="X17" s="946">
        <v>34.14253385</v>
      </c>
      <c r="Y17" s="950">
        <v>34.457202649999999</v>
      </c>
      <c r="Z17" s="946">
        <v>28.213466889999999</v>
      </c>
      <c r="AA17" s="946">
        <v>32.288698100000005</v>
      </c>
      <c r="AB17" s="950">
        <v>0.50311256000000004</v>
      </c>
      <c r="AC17" s="950">
        <v>0.63787850000000001</v>
      </c>
      <c r="AD17" s="950">
        <v>0.52714743999999991</v>
      </c>
      <c r="AE17" s="950">
        <v>0.35587715999999997</v>
      </c>
      <c r="AF17" s="950">
        <v>0.40646890999999996</v>
      </c>
      <c r="AG17" s="950">
        <v>0.28200861999999999</v>
      </c>
      <c r="AH17" s="950">
        <v>0.33840281999999999</v>
      </c>
      <c r="AI17" s="950">
        <v>0.38545482000000003</v>
      </c>
      <c r="AJ17" s="950">
        <v>0.27987251000000002</v>
      </c>
      <c r="AK17" s="950">
        <v>0.68495581999999999</v>
      </c>
      <c r="AL17" s="950">
        <v>0.70191250999999999</v>
      </c>
      <c r="AM17" s="950">
        <v>0.70191250999999999</v>
      </c>
      <c r="AN17" s="950">
        <v>0.85191251000000001</v>
      </c>
      <c r="AO17" s="950">
        <v>0.20191951</v>
      </c>
      <c r="AP17" s="950">
        <v>1.9642250700000001</v>
      </c>
      <c r="AQ17" s="950">
        <v>4.4786540700000002</v>
      </c>
      <c r="AR17" s="950">
        <v>4.7771810800000001</v>
      </c>
      <c r="AS17" s="950">
        <v>5.4846050799999997</v>
      </c>
      <c r="AT17" s="950">
        <v>5.33042208</v>
      </c>
      <c r="AU17" s="950">
        <v>3.8038960799999999</v>
      </c>
      <c r="AV17" s="950">
        <v>3.4312688199999997</v>
      </c>
      <c r="AW17" s="950">
        <v>2.68382582</v>
      </c>
      <c r="AX17" s="950">
        <v>2.68382582</v>
      </c>
      <c r="AY17" s="950">
        <v>1.60473</v>
      </c>
      <c r="AZ17" s="950">
        <v>0.865811</v>
      </c>
      <c r="BA17" s="950">
        <v>0.84681099999999998</v>
      </c>
      <c r="BB17" s="950">
        <v>0.306811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0.1</v>
      </c>
      <c r="BI17" s="994">
        <v>0.2</v>
      </c>
      <c r="BJ17" s="994">
        <v>0.25</v>
      </c>
      <c r="BK17" s="994">
        <v>0.3</v>
      </c>
      <c r="BL17" s="994">
        <v>0.43341204999999999</v>
      </c>
      <c r="BM17" s="994">
        <v>0.32837125</v>
      </c>
      <c r="BN17" s="994">
        <v>0.24022125</v>
      </c>
      <c r="BO17" s="994">
        <v>0.17122076999999999</v>
      </c>
      <c r="BP17" s="994">
        <v>0.10967444</v>
      </c>
      <c r="BQ17" s="994">
        <v>7.8029769999999998E-2</v>
      </c>
      <c r="BR17" s="994">
        <v>6.9529770000000005E-2</v>
      </c>
      <c r="BS17" s="994">
        <v>0.24</v>
      </c>
      <c r="BT17" s="994">
        <v>15.4</v>
      </c>
      <c r="BU17" s="994">
        <v>46.217195049999994</v>
      </c>
      <c r="BV17" s="994">
        <v>45.107562049999999</v>
      </c>
      <c r="BW17" s="994">
        <v>44.395982719999999</v>
      </c>
      <c r="BX17" s="994">
        <v>35.379192119999999</v>
      </c>
      <c r="BY17" s="994">
        <v>33.796639680000006</v>
      </c>
      <c r="BZ17" s="994">
        <v>25.364785379999997</v>
      </c>
      <c r="CA17" s="994">
        <v>22.988123079999998</v>
      </c>
      <c r="CB17" s="994">
        <v>21.352009639999999</v>
      </c>
      <c r="CC17" s="994">
        <v>19.869345039999999</v>
      </c>
      <c r="CD17" s="994">
        <v>11.51320067</v>
      </c>
      <c r="CE17" s="994">
        <v>9.7197798599999992</v>
      </c>
      <c r="CF17" s="994">
        <v>8.2000269999999986</v>
      </c>
      <c r="CG17" s="994">
        <v>0.40002700000000002</v>
      </c>
      <c r="CH17" s="994">
        <v>2.6999999999999999E-5</v>
      </c>
      <c r="CI17" s="994">
        <v>2.6999999999999999E-5</v>
      </c>
      <c r="CJ17" s="994">
        <v>3.0026999999999998E-2</v>
      </c>
      <c r="CK17" s="994">
        <v>0.190027</v>
      </c>
      <c r="CL17" s="994">
        <v>0.15002699999999999</v>
      </c>
      <c r="CM17" s="994">
        <v>2.6999999999999999E-5</v>
      </c>
      <c r="CN17" s="994">
        <v>0.20002700000000001</v>
      </c>
      <c r="CO17" s="994">
        <v>0.220027</v>
      </c>
      <c r="CP17" s="994">
        <v>0.24144483</v>
      </c>
      <c r="CQ17" s="994">
        <v>9.5268240000000004E-2</v>
      </c>
      <c r="CR17" s="994">
        <v>1.9517720000000002E-2</v>
      </c>
      <c r="CS17" s="994">
        <v>1.7710189999999997E-2</v>
      </c>
      <c r="CT17" s="994">
        <v>1.6016140000000002E-2</v>
      </c>
      <c r="CU17" s="994">
        <v>1.41406E-2</v>
      </c>
      <c r="CV17" s="994">
        <v>1.2230670000000001E-2</v>
      </c>
      <c r="CW17" s="994">
        <v>1.028573E-2</v>
      </c>
      <c r="CX17" s="994">
        <v>8.3901099999999992E-3</v>
      </c>
      <c r="CY17" s="994">
        <v>6.2959399999999999E-3</v>
      </c>
      <c r="CZ17" s="994">
        <v>4.2383500000000001E-3</v>
      </c>
      <c r="DA17" s="994">
        <v>2.1494700000000001E-3</v>
      </c>
      <c r="DB17" s="994">
        <v>0</v>
      </c>
      <c r="DC17" s="994">
        <v>0</v>
      </c>
      <c r="DD17" s="994">
        <v>0</v>
      </c>
      <c r="DE17" s="994">
        <v>0</v>
      </c>
      <c r="DF17" s="994">
        <v>0</v>
      </c>
      <c r="DG17" s="994">
        <v>0</v>
      </c>
      <c r="DH17" s="994">
        <v>0.2</v>
      </c>
      <c r="DI17" s="994">
        <v>0.2</v>
      </c>
      <c r="DJ17" s="994">
        <v>0.2</v>
      </c>
      <c r="DK17" s="994">
        <v>0.2</v>
      </c>
      <c r="DL17" s="994">
        <v>0.17883414</v>
      </c>
      <c r="DM17" s="994">
        <v>0.15728809999999999</v>
      </c>
      <c r="DN17" s="994">
        <v>0.13568469999999999</v>
      </c>
      <c r="DO17" s="994">
        <v>0.16361853000000001</v>
      </c>
      <c r="DP17" s="994">
        <v>0.13757828999999999</v>
      </c>
      <c r="DQ17" s="994">
        <v>0.11122019</v>
      </c>
      <c r="DR17" s="994">
        <v>8.4478029999999996E-2</v>
      </c>
      <c r="DS17" s="994">
        <v>5.7495490000000003E-2</v>
      </c>
      <c r="DT17" s="994">
        <v>3.0244480000000001E-2</v>
      </c>
      <c r="DU17" s="994">
        <v>2.60015E-2</v>
      </c>
      <c r="DV17" s="994">
        <v>0.05</v>
      </c>
      <c r="DW17" s="994">
        <v>0</v>
      </c>
      <c r="DX17" s="994">
        <v>0</v>
      </c>
      <c r="DY17" s="994">
        <v>0</v>
      </c>
      <c r="DZ17" s="994">
        <v>0.03</v>
      </c>
      <c r="EA17" s="994">
        <v>2.766617E-2</v>
      </c>
      <c r="EB17" s="994">
        <v>2.5374910000000001E-2</v>
      </c>
      <c r="EC17" s="994">
        <v>2.296803E-2</v>
      </c>
      <c r="ED17" s="994">
        <v>2.296803E-2</v>
      </c>
      <c r="EE17" s="994">
        <v>0</v>
      </c>
    </row>
    <row r="18" spans="1:135" ht="19.8">
      <c r="A18" s="1515" t="s">
        <v>2002</v>
      </c>
      <c r="B18" s="962">
        <f t="shared" ref="B18:V18" si="4">+B16-B17</f>
        <v>125.23518048999998</v>
      </c>
      <c r="C18" s="962">
        <f t="shared" si="4"/>
        <v>119.0891781</v>
      </c>
      <c r="D18" s="962">
        <f t="shared" si="4"/>
        <v>118.03061215999999</v>
      </c>
      <c r="E18" s="962">
        <f t="shared" si="4"/>
        <v>137.63591244999998</v>
      </c>
      <c r="F18" s="962">
        <f t="shared" si="4"/>
        <v>150.46929877000002</v>
      </c>
      <c r="G18" s="962">
        <f t="shared" si="4"/>
        <v>161.54041699999999</v>
      </c>
      <c r="H18" s="962">
        <f t="shared" si="4"/>
        <v>151.62847331999998</v>
      </c>
      <c r="I18" s="962">
        <f t="shared" si="4"/>
        <v>160.14620354000002</v>
      </c>
      <c r="J18" s="962">
        <f t="shared" si="4"/>
        <v>176.47517474</v>
      </c>
      <c r="K18" s="962">
        <f t="shared" si="4"/>
        <v>184.57525475</v>
      </c>
      <c r="L18" s="962">
        <f t="shared" si="4"/>
        <v>191.44595735999999</v>
      </c>
      <c r="M18" s="950">
        <f t="shared" si="4"/>
        <v>178.68136258000001</v>
      </c>
      <c r="N18" s="950">
        <f t="shared" si="4"/>
        <v>180.42100823000001</v>
      </c>
      <c r="O18" s="950">
        <f t="shared" si="4"/>
        <v>188.44494450000002</v>
      </c>
      <c r="P18" s="950">
        <f t="shared" si="4"/>
        <v>193.23853816000002</v>
      </c>
      <c r="Q18" s="950">
        <f t="shared" si="4"/>
        <v>201.96122276</v>
      </c>
      <c r="R18" s="950">
        <f t="shared" si="4"/>
        <v>199.77463719000002</v>
      </c>
      <c r="S18" s="950">
        <f t="shared" si="4"/>
        <v>204.01364962999997</v>
      </c>
      <c r="T18" s="950">
        <f t="shared" si="4"/>
        <v>188.14169674000001</v>
      </c>
      <c r="U18" s="950">
        <f t="shared" si="4"/>
        <v>176.66630438999999</v>
      </c>
      <c r="V18" s="950">
        <f t="shared" si="4"/>
        <v>197.84937238999998</v>
      </c>
      <c r="W18" s="950">
        <v>211.57352932000003</v>
      </c>
      <c r="X18" s="950">
        <v>228.52432075999997</v>
      </c>
      <c r="Y18" s="950">
        <v>241.83904777999999</v>
      </c>
      <c r="Z18" s="950">
        <v>242.95853251</v>
      </c>
      <c r="AA18" s="950">
        <v>233.25631362999999</v>
      </c>
      <c r="AB18" s="950">
        <f>+AB16-AB17</f>
        <v>281.66617744000001</v>
      </c>
      <c r="AC18" s="950">
        <v>282.63135439999996</v>
      </c>
      <c r="AD18" s="950">
        <v>211.99491399999999</v>
      </c>
      <c r="AE18" s="950">
        <v>202.14769577999999</v>
      </c>
      <c r="AF18" s="950">
        <v>192.88932765000001</v>
      </c>
      <c r="AG18" s="950">
        <v>181.38723019999998</v>
      </c>
      <c r="AH18" s="950">
        <f>+AH16-AH17</f>
        <v>178.90617344999998</v>
      </c>
      <c r="AI18" s="950">
        <v>276.41481281</v>
      </c>
      <c r="AJ18" s="950">
        <f>+AJ16-AJ17</f>
        <v>158.24000803000001</v>
      </c>
      <c r="AK18" s="950">
        <f>+AK16-AK17</f>
        <v>120.43713839</v>
      </c>
      <c r="AL18" s="950">
        <v>100.57850903000001</v>
      </c>
      <c r="AM18" s="950">
        <f>+AM16-AM17</f>
        <v>97.647530529999997</v>
      </c>
      <c r="AN18" s="950">
        <f>+AN16-AN17</f>
        <v>99.684473439999991</v>
      </c>
      <c r="AO18" s="950">
        <f>+AO16-AO17</f>
        <v>103.68928416</v>
      </c>
      <c r="AP18" s="950">
        <f>+AP16-AP17</f>
        <v>105.46897489</v>
      </c>
      <c r="AQ18" s="950">
        <v>103.81678854</v>
      </c>
      <c r="AR18" s="950">
        <v>79.544803110000004</v>
      </c>
      <c r="AS18" s="950">
        <f>+AS16-AS17</f>
        <v>64.685989399999997</v>
      </c>
      <c r="AT18" s="950">
        <f>+AT16-AT17</f>
        <v>72.003459379999995</v>
      </c>
      <c r="AU18" s="950">
        <v>51.792395849999998</v>
      </c>
      <c r="AV18" s="950">
        <v>62.359431839999999</v>
      </c>
      <c r="AW18" s="950">
        <v>60.979494889999998</v>
      </c>
      <c r="AX18" s="950">
        <v>54.658337830000001</v>
      </c>
      <c r="AY18" s="950">
        <v>61.062742189999994</v>
      </c>
      <c r="AZ18" s="950">
        <v>57.738743999999997</v>
      </c>
      <c r="BA18" s="950">
        <v>55.767868</v>
      </c>
      <c r="BB18" s="950">
        <v>49.95656177</v>
      </c>
      <c r="BC18" s="950">
        <v>50.346797299999999</v>
      </c>
      <c r="BD18" s="950">
        <f>+BD16-BD17</f>
        <v>55.03336427</v>
      </c>
      <c r="BE18" s="950">
        <v>51.806257950000003</v>
      </c>
      <c r="BF18" s="950">
        <v>50.442412900000001</v>
      </c>
      <c r="BG18" s="950">
        <v>47.399199459999998</v>
      </c>
      <c r="BH18" s="1005">
        <v>47.0522627</v>
      </c>
      <c r="BI18" s="994">
        <v>45.366634750000003</v>
      </c>
      <c r="BJ18" s="994">
        <v>49.405729229999999</v>
      </c>
      <c r="BK18" s="994">
        <v>25.460692100000003</v>
      </c>
      <c r="BL18" s="994">
        <v>26.07068413</v>
      </c>
      <c r="BM18" s="994">
        <v>32.836997659999994</v>
      </c>
      <c r="BN18" s="994">
        <v>36.547036720000001</v>
      </c>
      <c r="BO18" s="994">
        <v>40.883107210000006</v>
      </c>
      <c r="BP18" s="994">
        <v>41.464236149999998</v>
      </c>
      <c r="BQ18" s="994">
        <v>40.323658530000003</v>
      </c>
      <c r="BR18" s="994">
        <v>39.011377899999992</v>
      </c>
      <c r="BS18" s="994">
        <v>35.763612690000002</v>
      </c>
      <c r="BT18" s="994">
        <v>43.540427749999999</v>
      </c>
      <c r="BU18" s="994">
        <v>48.028352379999994</v>
      </c>
      <c r="BV18" s="994">
        <v>48.044789789999996</v>
      </c>
      <c r="BW18" s="994">
        <v>59.106061899999993</v>
      </c>
      <c r="BX18" s="994">
        <v>63.738211930000006</v>
      </c>
      <c r="BY18" s="994">
        <v>50.678748109999994</v>
      </c>
      <c r="BZ18" s="994">
        <v>53.467586899999986</v>
      </c>
      <c r="CA18" s="994">
        <v>55.01865694</v>
      </c>
      <c r="CB18" s="994">
        <v>59.928147159999988</v>
      </c>
      <c r="CC18" s="994">
        <v>64.655483410000002</v>
      </c>
      <c r="CD18" s="994">
        <v>66.730006449999991</v>
      </c>
      <c r="CE18" s="994">
        <f t="shared" ref="CE18:CP18" si="5">+CE16-CE17</f>
        <v>73.409949239999989</v>
      </c>
      <c r="CF18" s="994">
        <f t="shared" si="5"/>
        <v>82.609865810000002</v>
      </c>
      <c r="CG18" s="994">
        <f t="shared" si="5"/>
        <v>66.200046409999999</v>
      </c>
      <c r="CH18" s="994">
        <f t="shared" si="5"/>
        <v>53.380674379999988</v>
      </c>
      <c r="CI18" s="994">
        <f t="shared" si="5"/>
        <v>63.316229029999995</v>
      </c>
      <c r="CJ18" s="994">
        <f t="shared" si="5"/>
        <v>74.312546810000001</v>
      </c>
      <c r="CK18" s="994">
        <f t="shared" si="5"/>
        <v>61.368379669999996</v>
      </c>
      <c r="CL18" s="994">
        <f t="shared" si="5"/>
        <v>53.848385219999997</v>
      </c>
      <c r="CM18" s="994">
        <f t="shared" si="5"/>
        <v>53.140051200000002</v>
      </c>
      <c r="CN18" s="994">
        <f t="shared" si="5"/>
        <v>42.774888460000007</v>
      </c>
      <c r="CO18" s="994">
        <f t="shared" si="5"/>
        <v>48.284514139999999</v>
      </c>
      <c r="CP18" s="994">
        <f t="shared" si="5"/>
        <v>44.290004680000003</v>
      </c>
      <c r="CQ18" s="994">
        <f>+CQ16-CQ17</f>
        <v>38.336386399999995</v>
      </c>
      <c r="CR18" s="994">
        <f>+CR16-CR17</f>
        <v>46.959782789999998</v>
      </c>
      <c r="CS18" s="994">
        <f>+CS16-CS17</f>
        <v>35.405622090000001</v>
      </c>
      <c r="CT18" s="994">
        <v>48.267318080000003</v>
      </c>
      <c r="CU18" s="994">
        <f>+CU16-CU17</f>
        <v>60.554595580000004</v>
      </c>
      <c r="CV18" s="994">
        <v>68.744713130000008</v>
      </c>
      <c r="CW18" s="994">
        <v>73.459055519999993</v>
      </c>
      <c r="CX18" s="994">
        <v>81.126105880000011</v>
      </c>
      <c r="CY18" s="994">
        <v>87.217157560000004</v>
      </c>
      <c r="CZ18" s="994">
        <v>111.3499372</v>
      </c>
      <c r="DA18" s="994">
        <v>120.62017700999999</v>
      </c>
      <c r="DB18" s="994">
        <v>142.51302297999999</v>
      </c>
      <c r="DC18" s="994">
        <f>+DC16-DC17</f>
        <v>147.81340186</v>
      </c>
      <c r="DD18" s="994">
        <v>177.54779783000001</v>
      </c>
      <c r="DE18" s="994">
        <v>147.48767239</v>
      </c>
      <c r="DF18" s="994">
        <v>156.21255044</v>
      </c>
      <c r="DG18" s="994">
        <f>+DG16-DG17</f>
        <v>201.49308773000001</v>
      </c>
      <c r="DH18" s="994">
        <v>211.80160481000001</v>
      </c>
      <c r="DI18" s="994">
        <f>+DI16-DI17</f>
        <v>217.63200141000002</v>
      </c>
      <c r="DJ18" s="994">
        <v>237.50810539</v>
      </c>
      <c r="DK18" s="994">
        <v>271.51608408999999</v>
      </c>
      <c r="DL18" s="994">
        <v>268.67670730000003</v>
      </c>
      <c r="DM18" s="994">
        <v>268.34139633999996</v>
      </c>
      <c r="DN18" s="994">
        <f>+DN16-DN17</f>
        <v>308.92666658999997</v>
      </c>
      <c r="DO18" s="994">
        <f>+DO16-DO17</f>
        <v>291.53505425999998</v>
      </c>
      <c r="DP18" s="994">
        <f>+DP16-DP17</f>
        <v>292.91112528999997</v>
      </c>
      <c r="DQ18" s="994">
        <f>+DQ16-DQ17</f>
        <v>216.27445354</v>
      </c>
      <c r="DR18" s="994">
        <v>194.09502486</v>
      </c>
      <c r="DS18" s="994">
        <v>201.89254996</v>
      </c>
      <c r="DT18" s="994">
        <v>215.33543956</v>
      </c>
      <c r="DU18" s="994">
        <f>+DU16-DU17</f>
        <v>219.00637374999999</v>
      </c>
      <c r="DV18" s="994">
        <f>+DV16-DV17</f>
        <v>217.1744779</v>
      </c>
      <c r="DW18" s="994">
        <v>224.48313843</v>
      </c>
      <c r="DX18" s="994">
        <v>190.51161604999999</v>
      </c>
      <c r="DY18" s="994">
        <v>172.14346524000001</v>
      </c>
      <c r="DZ18" s="994">
        <f>+DZ16-DZ17</f>
        <v>172.06454463</v>
      </c>
      <c r="EA18" s="994">
        <v>160.13236111000001</v>
      </c>
      <c r="EB18" s="994">
        <v>168.84824827</v>
      </c>
      <c r="EC18" s="994">
        <v>150.13988184000002</v>
      </c>
      <c r="ED18" s="994">
        <v>162.51995020000001</v>
      </c>
      <c r="EE18" s="994">
        <f>+EE16-EE17</f>
        <v>156.20188049000001</v>
      </c>
    </row>
    <row r="19" spans="1:135" ht="19.8">
      <c r="A19" s="1513"/>
      <c r="B19" s="961"/>
      <c r="C19" s="961"/>
      <c r="D19" s="961"/>
      <c r="E19" s="961"/>
      <c r="F19" s="961"/>
      <c r="G19" s="961"/>
      <c r="H19" s="961"/>
      <c r="I19" s="961"/>
      <c r="J19" s="961"/>
      <c r="K19" s="961"/>
      <c r="L19" s="961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3"/>
      <c r="EA19" s="993"/>
      <c r="EB19" s="993"/>
      <c r="EC19" s="993"/>
      <c r="ED19" s="993"/>
      <c r="EE19" s="993"/>
    </row>
    <row r="20" spans="1:135" ht="19.8">
      <c r="A20" s="1513" t="s">
        <v>2822</v>
      </c>
      <c r="B20" s="962">
        <v>33.37653444</v>
      </c>
      <c r="C20" s="962">
        <v>38.284802460000002</v>
      </c>
      <c r="D20" s="962">
        <v>32.291455790000001</v>
      </c>
      <c r="E20" s="962">
        <v>32.416135570000002</v>
      </c>
      <c r="F20" s="962">
        <v>30.75529573</v>
      </c>
      <c r="G20" s="962">
        <v>26.785114499999999</v>
      </c>
      <c r="H20" s="962">
        <v>40.257966070000002</v>
      </c>
      <c r="I20" s="962">
        <v>25.524618320000002</v>
      </c>
      <c r="J20" s="962">
        <v>23.73547151</v>
      </c>
      <c r="K20" s="962">
        <v>21.414086530000002</v>
      </c>
      <c r="L20" s="962">
        <v>17.694070329999999</v>
      </c>
      <c r="M20" s="946">
        <v>19.83737352</v>
      </c>
      <c r="N20" s="950">
        <v>21.793904640000001</v>
      </c>
      <c r="O20" s="950">
        <v>22.410281809999997</v>
      </c>
      <c r="P20" s="950">
        <v>26.279781489999998</v>
      </c>
      <c r="Q20" s="950">
        <v>26.861976800000001</v>
      </c>
      <c r="R20" s="950">
        <v>26.35428954</v>
      </c>
      <c r="S20" s="950">
        <v>32.927030090000002</v>
      </c>
      <c r="T20" s="950">
        <v>28.194918090000002</v>
      </c>
      <c r="U20" s="950">
        <v>40.202615230000006</v>
      </c>
      <c r="V20" s="950">
        <v>40.777749560000004</v>
      </c>
      <c r="W20" s="950">
        <v>30.416222959999999</v>
      </c>
      <c r="X20" s="950">
        <v>30.800557510000001</v>
      </c>
      <c r="Y20" s="946">
        <v>16.047495589999997</v>
      </c>
      <c r="Z20" s="950">
        <v>18.99937899</v>
      </c>
      <c r="AA20" s="950">
        <v>149.03911939</v>
      </c>
      <c r="AB20" s="946">
        <v>196.88059850000002</v>
      </c>
      <c r="AC20" s="946">
        <v>221.39710336000002</v>
      </c>
      <c r="AD20" s="946">
        <v>284.51466966999999</v>
      </c>
      <c r="AE20" s="946">
        <v>283.28626500999997</v>
      </c>
      <c r="AF20" s="946">
        <v>287.70217503999999</v>
      </c>
      <c r="AG20" s="946">
        <v>243.57929306999998</v>
      </c>
      <c r="AH20" s="946">
        <v>248.73341655000002</v>
      </c>
      <c r="AI20" s="946">
        <v>144.26717260999999</v>
      </c>
      <c r="AJ20" s="946">
        <v>395.49787122999999</v>
      </c>
      <c r="AK20" s="946">
        <v>335.35624589999998</v>
      </c>
      <c r="AL20" s="946">
        <v>335.91709404000005</v>
      </c>
      <c r="AM20" s="946">
        <v>310.06165184000002</v>
      </c>
      <c r="AN20" s="946">
        <v>328.78853314000003</v>
      </c>
      <c r="AO20" s="946">
        <v>327.73543205999999</v>
      </c>
      <c r="AP20" s="946">
        <v>315.28356422000002</v>
      </c>
      <c r="AQ20" s="946">
        <v>328.70186964999999</v>
      </c>
      <c r="AR20" s="946">
        <v>126.96210976</v>
      </c>
      <c r="AS20" s="946">
        <v>134.66275386000001</v>
      </c>
      <c r="AT20" s="946">
        <f>AT12-AT16</f>
        <v>131.1520878</v>
      </c>
      <c r="AU20" s="946">
        <v>126.58233214000001</v>
      </c>
      <c r="AV20" s="946">
        <v>141.05486810000002</v>
      </c>
      <c r="AW20" s="946">
        <v>168.44950276999998</v>
      </c>
      <c r="AX20" s="946">
        <v>181.07556269</v>
      </c>
      <c r="AY20" s="946">
        <v>193.71882672999999</v>
      </c>
      <c r="AZ20" s="946">
        <v>187.11279551000001</v>
      </c>
      <c r="BA20" s="946">
        <v>190.51751041</v>
      </c>
      <c r="BB20" s="946">
        <v>182.86686898000002</v>
      </c>
      <c r="BC20" s="946">
        <v>69.365331400000002</v>
      </c>
      <c r="BD20" s="946">
        <v>71.811968679999993</v>
      </c>
      <c r="BE20" s="946">
        <v>48.381844450000003</v>
      </c>
      <c r="BF20" s="946">
        <v>53.189001269999999</v>
      </c>
      <c r="BG20" s="946">
        <v>52.148185300000002</v>
      </c>
      <c r="BH20" s="1004">
        <v>57.076196479999986</v>
      </c>
      <c r="BI20" s="993">
        <v>27.024076859999994</v>
      </c>
      <c r="BJ20" s="993">
        <v>26.835646109999992</v>
      </c>
      <c r="BK20" s="993">
        <v>20.194845179999998</v>
      </c>
      <c r="BL20" s="993">
        <v>41.454114329999996</v>
      </c>
      <c r="BM20" s="993">
        <v>38.256200280000002</v>
      </c>
      <c r="BN20" s="993">
        <v>34.108609259999994</v>
      </c>
      <c r="BO20" s="993">
        <v>32.80005379</v>
      </c>
      <c r="BP20" s="993">
        <v>40.51487327000001</v>
      </c>
      <c r="BQ20" s="993">
        <v>41.919242210000007</v>
      </c>
      <c r="BR20" s="993">
        <v>72.674882410000009</v>
      </c>
      <c r="BS20" s="993">
        <v>77.663452250000006</v>
      </c>
      <c r="BT20" s="993">
        <v>76.840756260000006</v>
      </c>
      <c r="BU20" s="993">
        <v>80.499040890000003</v>
      </c>
      <c r="BV20" s="993">
        <v>78.535874460000002</v>
      </c>
      <c r="BW20" s="993">
        <v>81.206370919999983</v>
      </c>
      <c r="BX20" s="993">
        <v>80.624867590000008</v>
      </c>
      <c r="BY20" s="993">
        <v>82.749231499999993</v>
      </c>
      <c r="BZ20" s="993">
        <v>87.296832229999978</v>
      </c>
      <c r="CA20" s="993">
        <v>86.550527779999996</v>
      </c>
      <c r="CB20" s="993">
        <v>91.72967632000001</v>
      </c>
      <c r="CC20" s="993">
        <v>97.613311149999987</v>
      </c>
      <c r="CD20" s="993">
        <v>103.28368470999999</v>
      </c>
      <c r="CE20" s="993">
        <v>105.41648290000001</v>
      </c>
      <c r="CF20" s="993">
        <v>124.69953118999999</v>
      </c>
      <c r="CG20" s="993">
        <v>125.14757453</v>
      </c>
      <c r="CH20" s="993">
        <v>124.09281759999999</v>
      </c>
      <c r="CI20" s="993">
        <v>114.38321648000002</v>
      </c>
      <c r="CJ20" s="993">
        <v>97.390995870000012</v>
      </c>
      <c r="CK20" s="993">
        <v>103.73036064</v>
      </c>
      <c r="CL20" s="993">
        <v>66.406850140000003</v>
      </c>
      <c r="CM20" s="993">
        <v>59.213336000000005</v>
      </c>
      <c r="CN20" s="993">
        <v>57.83552091</v>
      </c>
      <c r="CO20" s="993">
        <v>54.851317640000005</v>
      </c>
      <c r="CP20" s="993">
        <v>52.559790890000002</v>
      </c>
      <c r="CQ20" s="993">
        <v>56.873876940000002</v>
      </c>
      <c r="CR20" s="993">
        <v>56.714876410000002</v>
      </c>
      <c r="CS20" s="993">
        <v>66.871358520000001</v>
      </c>
      <c r="CT20" s="993">
        <v>52.733948339999998</v>
      </c>
      <c r="CU20" s="993">
        <v>57.77523248</v>
      </c>
      <c r="CV20" s="993">
        <v>65.017339939999999</v>
      </c>
      <c r="CW20" s="993">
        <v>54.962592979999997</v>
      </c>
      <c r="CX20" s="993">
        <v>56.952730180000003</v>
      </c>
      <c r="CY20" s="993">
        <v>60.306160380000001</v>
      </c>
      <c r="CZ20" s="993">
        <v>68.957704129999996</v>
      </c>
      <c r="DA20" s="993">
        <v>86.369496580000003</v>
      </c>
      <c r="DB20" s="993">
        <v>76.966174559999999</v>
      </c>
      <c r="DC20" s="993">
        <v>82.672212459999997</v>
      </c>
      <c r="DD20" s="993">
        <v>91.63544958</v>
      </c>
      <c r="DE20" s="993">
        <v>88.014648879999996</v>
      </c>
      <c r="DF20" s="993">
        <v>85.460829070000003</v>
      </c>
      <c r="DG20" s="993">
        <v>106.74124431</v>
      </c>
      <c r="DH20" s="993">
        <v>112.19267263</v>
      </c>
      <c r="DI20" s="993">
        <v>115.13093489000001</v>
      </c>
      <c r="DJ20" s="993">
        <v>116.33238227</v>
      </c>
      <c r="DK20" s="993">
        <v>157.85827094999999</v>
      </c>
      <c r="DL20" s="993">
        <v>157.51458980000001</v>
      </c>
      <c r="DM20" s="993">
        <v>147.12645871999999</v>
      </c>
      <c r="DN20" s="993">
        <v>149.52955768000001</v>
      </c>
      <c r="DO20" s="993">
        <v>116.02097089999999</v>
      </c>
      <c r="DP20" s="993">
        <v>92.634123750000001</v>
      </c>
      <c r="DQ20" s="993">
        <v>72.727545910000003</v>
      </c>
      <c r="DR20" s="993">
        <v>70.275594290000001</v>
      </c>
      <c r="DS20" s="993">
        <v>51.223608859999999</v>
      </c>
      <c r="DT20" s="993">
        <v>55.086829389999998</v>
      </c>
      <c r="DU20" s="993">
        <v>51.365460779999999</v>
      </c>
      <c r="DV20" s="993">
        <v>30.625007109999999</v>
      </c>
      <c r="DW20" s="993">
        <v>45.003559000000003</v>
      </c>
      <c r="DX20" s="993">
        <v>44.158425520000002</v>
      </c>
      <c r="DY20" s="993">
        <v>43.863819820000003</v>
      </c>
      <c r="DZ20" s="993">
        <v>40.525794099999999</v>
      </c>
      <c r="EA20" s="993">
        <v>36.994845300000001</v>
      </c>
      <c r="EB20" s="993">
        <v>35.80398907</v>
      </c>
      <c r="EC20" s="993">
        <v>33.60448547</v>
      </c>
      <c r="ED20" s="993">
        <v>37.05325998</v>
      </c>
      <c r="EE20" s="993">
        <v>34.280295700000003</v>
      </c>
    </row>
    <row r="21" spans="1:135" ht="19.8">
      <c r="A21" s="1514" t="s">
        <v>2001</v>
      </c>
      <c r="B21" s="962">
        <v>0</v>
      </c>
      <c r="C21" s="962">
        <v>0</v>
      </c>
      <c r="D21" s="962">
        <v>0</v>
      </c>
      <c r="E21" s="962">
        <v>0</v>
      </c>
      <c r="F21" s="962">
        <v>0</v>
      </c>
      <c r="G21" s="962">
        <v>0</v>
      </c>
      <c r="H21" s="962">
        <v>0</v>
      </c>
      <c r="I21" s="962">
        <v>0</v>
      </c>
      <c r="J21" s="962">
        <v>0</v>
      </c>
      <c r="K21" s="962">
        <v>0</v>
      </c>
      <c r="L21" s="962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9.4128000000000007</v>
      </c>
      <c r="V21" s="950">
        <v>9.4128000000000007</v>
      </c>
      <c r="W21" s="950">
        <v>7.5073355199999998</v>
      </c>
      <c r="X21" s="950">
        <v>7.0595999999999997</v>
      </c>
      <c r="Y21" s="950">
        <v>7.0595999999999997</v>
      </c>
      <c r="Z21" s="950">
        <v>7.0595999999999997</v>
      </c>
      <c r="AA21" s="950">
        <v>19.691728480000002</v>
      </c>
      <c r="AB21" s="950">
        <v>8.1338436000000005</v>
      </c>
      <c r="AC21" s="950">
        <v>29.109395120000002</v>
      </c>
      <c r="AD21" s="950">
        <v>33.557946170000001</v>
      </c>
      <c r="AE21" s="950">
        <v>33.627600119999997</v>
      </c>
      <c r="AF21" s="950">
        <v>38.619262840000005</v>
      </c>
      <c r="AG21" s="950">
        <v>42.918207899999999</v>
      </c>
      <c r="AH21" s="950">
        <v>42.900741240000002</v>
      </c>
      <c r="AI21" s="950">
        <v>42.93646948</v>
      </c>
      <c r="AJ21" s="950">
        <v>42.85653585</v>
      </c>
      <c r="AK21" s="950">
        <v>10.389203500000001</v>
      </c>
      <c r="AL21" s="950">
        <v>10.665023060000001</v>
      </c>
      <c r="AM21" s="950">
        <v>10.42984358</v>
      </c>
      <c r="AN21" s="950">
        <v>10.27394557</v>
      </c>
      <c r="AO21" s="950">
        <v>10.04143101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994">
        <v>0</v>
      </c>
      <c r="DE21" s="994">
        <v>0</v>
      </c>
      <c r="DF21" s="994">
        <v>0</v>
      </c>
      <c r="DG21" s="994">
        <v>0</v>
      </c>
      <c r="DH21" s="994">
        <v>0</v>
      </c>
      <c r="DI21" s="994">
        <v>0</v>
      </c>
      <c r="DJ21" s="994">
        <v>0</v>
      </c>
      <c r="DK21" s="994">
        <v>0</v>
      </c>
      <c r="DL21" s="994">
        <v>0</v>
      </c>
      <c r="DM21" s="994">
        <v>0</v>
      </c>
      <c r="DN21" s="994">
        <v>0</v>
      </c>
      <c r="DO21" s="994">
        <v>0</v>
      </c>
      <c r="DP21" s="994">
        <v>0</v>
      </c>
      <c r="DQ21" s="994">
        <v>0</v>
      </c>
      <c r="DR21" s="994">
        <v>0</v>
      </c>
      <c r="DS21" s="994">
        <v>0</v>
      </c>
      <c r="DT21" s="994">
        <v>0</v>
      </c>
      <c r="DU21" s="994">
        <v>0</v>
      </c>
      <c r="DV21" s="994">
        <v>0</v>
      </c>
      <c r="DW21" s="994">
        <v>0</v>
      </c>
      <c r="DX21" s="994">
        <v>0</v>
      </c>
      <c r="DY21" s="994">
        <v>0</v>
      </c>
      <c r="DZ21" s="994">
        <v>0</v>
      </c>
      <c r="EA21" s="994">
        <v>0</v>
      </c>
      <c r="EB21" s="994">
        <v>0</v>
      </c>
      <c r="EC21" s="994">
        <v>0</v>
      </c>
      <c r="ED21" s="994">
        <v>0</v>
      </c>
      <c r="EE21" s="994">
        <v>0</v>
      </c>
    </row>
    <row r="22" spans="1:135" ht="19.8">
      <c r="A22" s="1515" t="s">
        <v>2002</v>
      </c>
      <c r="B22" s="961">
        <f t="shared" ref="B22:V22" si="6">+B20-B21</f>
        <v>33.37653444</v>
      </c>
      <c r="C22" s="962">
        <f t="shared" si="6"/>
        <v>38.284802460000002</v>
      </c>
      <c r="D22" s="962">
        <f t="shared" si="6"/>
        <v>32.291455790000001</v>
      </c>
      <c r="E22" s="962">
        <f t="shared" si="6"/>
        <v>32.416135570000002</v>
      </c>
      <c r="F22" s="962">
        <f t="shared" si="6"/>
        <v>30.75529573</v>
      </c>
      <c r="G22" s="962">
        <f t="shared" si="6"/>
        <v>26.785114499999999</v>
      </c>
      <c r="H22" s="962">
        <f t="shared" si="6"/>
        <v>40.257966070000002</v>
      </c>
      <c r="I22" s="962">
        <f t="shared" si="6"/>
        <v>25.524618320000002</v>
      </c>
      <c r="J22" s="962">
        <f t="shared" si="6"/>
        <v>23.73547151</v>
      </c>
      <c r="K22" s="962">
        <f t="shared" si="6"/>
        <v>21.414086530000002</v>
      </c>
      <c r="L22" s="962">
        <f t="shared" si="6"/>
        <v>17.694070329999999</v>
      </c>
      <c r="M22" s="950">
        <f t="shared" si="6"/>
        <v>19.83737352</v>
      </c>
      <c r="N22" s="950">
        <f t="shared" si="6"/>
        <v>21.793904640000001</v>
      </c>
      <c r="O22" s="950">
        <f t="shared" si="6"/>
        <v>22.410281809999997</v>
      </c>
      <c r="P22" s="946">
        <f t="shared" si="6"/>
        <v>26.279781489999998</v>
      </c>
      <c r="Q22" s="946">
        <f t="shared" si="6"/>
        <v>26.861976800000001</v>
      </c>
      <c r="R22" s="946">
        <f t="shared" si="6"/>
        <v>26.35428954</v>
      </c>
      <c r="S22" s="946">
        <f t="shared" si="6"/>
        <v>32.927030090000002</v>
      </c>
      <c r="T22" s="946">
        <f t="shared" si="6"/>
        <v>28.194918090000002</v>
      </c>
      <c r="U22" s="946">
        <f t="shared" si="6"/>
        <v>30.789815230000006</v>
      </c>
      <c r="V22" s="946">
        <f t="shared" si="6"/>
        <v>31.364949560000003</v>
      </c>
      <c r="W22" s="946">
        <v>22.908887440000001</v>
      </c>
      <c r="X22" s="946">
        <v>23.740957510000001</v>
      </c>
      <c r="Y22" s="950">
        <v>8.9878955899999973</v>
      </c>
      <c r="Z22" s="946">
        <v>11.939778990000001</v>
      </c>
      <c r="AA22" s="950">
        <v>129.34739091</v>
      </c>
      <c r="AB22" s="950">
        <f>+AB20-AB21</f>
        <v>188.74675490000001</v>
      </c>
      <c r="AC22" s="950">
        <v>192.28770824000003</v>
      </c>
      <c r="AD22" s="950">
        <v>250.95672349999998</v>
      </c>
      <c r="AE22" s="950">
        <v>249.65866488999995</v>
      </c>
      <c r="AF22" s="950">
        <v>249.08291219999998</v>
      </c>
      <c r="AG22" s="950">
        <v>200.66108516999998</v>
      </c>
      <c r="AH22" s="950">
        <f>+AH20-AH21</f>
        <v>205.83267531000001</v>
      </c>
      <c r="AI22" s="950">
        <v>101.33070312999999</v>
      </c>
      <c r="AJ22" s="950">
        <f>+AJ20-AJ21</f>
        <v>352.64133537999999</v>
      </c>
      <c r="AK22" s="950">
        <f>+AK20-AK21</f>
        <v>324.96704239999997</v>
      </c>
      <c r="AL22" s="950">
        <v>325.25207098000004</v>
      </c>
      <c r="AM22" s="950">
        <f>+AM20-AM21</f>
        <v>299.63180826000001</v>
      </c>
      <c r="AN22" s="950">
        <f>+AN20-AN21</f>
        <v>318.51458757</v>
      </c>
      <c r="AO22" s="950">
        <f>+AO20-AO21</f>
        <v>317.69400105</v>
      </c>
      <c r="AP22" s="950">
        <f>+AP20-AP21</f>
        <v>315.28356422000002</v>
      </c>
      <c r="AQ22" s="950">
        <v>328.70186964999999</v>
      </c>
      <c r="AR22" s="950">
        <v>126.96210976</v>
      </c>
      <c r="AS22" s="950">
        <f>+AS20-AS21</f>
        <v>134.66275386000001</v>
      </c>
      <c r="AT22" s="950">
        <f>AT14-AT18</f>
        <v>131.1520878</v>
      </c>
      <c r="AU22" s="950">
        <v>126.58233214000003</v>
      </c>
      <c r="AV22" s="950">
        <v>141.05486810000002</v>
      </c>
      <c r="AW22" s="950">
        <v>168.44950276999998</v>
      </c>
      <c r="AX22" s="950">
        <v>181.07556269</v>
      </c>
      <c r="AY22" s="950">
        <v>193.71882672999999</v>
      </c>
      <c r="AZ22" s="950">
        <v>187.11279551000001</v>
      </c>
      <c r="BA22" s="950">
        <v>190.51751041</v>
      </c>
      <c r="BB22" s="950">
        <v>182.86686898000002</v>
      </c>
      <c r="BC22" s="950">
        <v>69.365331400000002</v>
      </c>
      <c r="BD22" s="950">
        <f>+BD20-BD21</f>
        <v>71.811968679999993</v>
      </c>
      <c r="BE22" s="950">
        <v>48.381844450000003</v>
      </c>
      <c r="BF22" s="950">
        <v>53.189001269999999</v>
      </c>
      <c r="BG22" s="950">
        <v>52.148185300000002</v>
      </c>
      <c r="BH22" s="1005">
        <v>57.076196479999986</v>
      </c>
      <c r="BI22" s="994">
        <v>27.024076859999994</v>
      </c>
      <c r="BJ22" s="994">
        <v>26.835646109999992</v>
      </c>
      <c r="BK22" s="994">
        <v>20.194845179999998</v>
      </c>
      <c r="BL22" s="994">
        <v>41.454114329999996</v>
      </c>
      <c r="BM22" s="994">
        <v>38.256200280000002</v>
      </c>
      <c r="BN22" s="994">
        <v>34.108609259999994</v>
      </c>
      <c r="BO22" s="994">
        <v>32.80005379</v>
      </c>
      <c r="BP22" s="994">
        <v>40.51487327000001</v>
      </c>
      <c r="BQ22" s="994">
        <v>41.919242210000007</v>
      </c>
      <c r="BR22" s="994">
        <v>72.674882410000009</v>
      </c>
      <c r="BS22" s="994">
        <v>77.663452250000006</v>
      </c>
      <c r="BT22" s="994">
        <v>76.840756260000006</v>
      </c>
      <c r="BU22" s="994">
        <v>80.499040890000003</v>
      </c>
      <c r="BV22" s="994">
        <v>78.535874460000002</v>
      </c>
      <c r="BW22" s="994">
        <v>81.206370919999983</v>
      </c>
      <c r="BX22" s="994">
        <v>80.624867590000008</v>
      </c>
      <c r="BY22" s="994">
        <v>82.749231499999993</v>
      </c>
      <c r="BZ22" s="994">
        <v>87.296832229999978</v>
      </c>
      <c r="CA22" s="994">
        <v>86.550527779999996</v>
      </c>
      <c r="CB22" s="994">
        <v>91.72967632000001</v>
      </c>
      <c r="CC22" s="994">
        <v>97.613311149999987</v>
      </c>
      <c r="CD22" s="994">
        <v>103.28368470999999</v>
      </c>
      <c r="CE22" s="994">
        <f t="shared" ref="CE22:CP22" si="7">+CE20-CE21</f>
        <v>105.41648290000001</v>
      </c>
      <c r="CF22" s="994">
        <f t="shared" si="7"/>
        <v>124.69953118999999</v>
      </c>
      <c r="CG22" s="994">
        <f t="shared" si="7"/>
        <v>125.14757453</v>
      </c>
      <c r="CH22" s="994">
        <f t="shared" si="7"/>
        <v>124.09281759999999</v>
      </c>
      <c r="CI22" s="994">
        <f t="shared" si="7"/>
        <v>114.38321648000002</v>
      </c>
      <c r="CJ22" s="994">
        <f t="shared" si="7"/>
        <v>97.390995870000012</v>
      </c>
      <c r="CK22" s="994">
        <f t="shared" si="7"/>
        <v>103.73036064</v>
      </c>
      <c r="CL22" s="994">
        <f t="shared" si="7"/>
        <v>66.406850140000003</v>
      </c>
      <c r="CM22" s="994">
        <f t="shared" si="7"/>
        <v>59.213336000000005</v>
      </c>
      <c r="CN22" s="994">
        <f t="shared" si="7"/>
        <v>57.83552091</v>
      </c>
      <c r="CO22" s="994">
        <f t="shared" si="7"/>
        <v>54.851317640000005</v>
      </c>
      <c r="CP22" s="994">
        <f t="shared" si="7"/>
        <v>52.559790890000002</v>
      </c>
      <c r="CQ22" s="994">
        <f>+CQ20-CQ21</f>
        <v>56.873876940000002</v>
      </c>
      <c r="CR22" s="994">
        <f>+CR20-CR21</f>
        <v>56.714876410000002</v>
      </c>
      <c r="CS22" s="994">
        <f>+CS20-CS21</f>
        <v>66.871358520000001</v>
      </c>
      <c r="CT22" s="994">
        <v>52.733948339999998</v>
      </c>
      <c r="CU22" s="994">
        <f>+CU20-CU21</f>
        <v>57.77523248</v>
      </c>
      <c r="CV22" s="994">
        <v>65.017339939999999</v>
      </c>
      <c r="CW22" s="994">
        <v>54.962592979999997</v>
      </c>
      <c r="CX22" s="994">
        <v>56.952730180000003</v>
      </c>
      <c r="CY22" s="994">
        <v>60.306160380000001</v>
      </c>
      <c r="CZ22" s="994">
        <v>68.957704129999996</v>
      </c>
      <c r="DA22" s="994">
        <v>86.369496580000003</v>
      </c>
      <c r="DB22" s="994">
        <v>76.966174559999999</v>
      </c>
      <c r="DC22" s="994">
        <f>+DC20-DC21</f>
        <v>82.672212459999997</v>
      </c>
      <c r="DD22" s="994">
        <v>91.63544958</v>
      </c>
      <c r="DE22" s="994">
        <v>88.014648879999996</v>
      </c>
      <c r="DF22" s="994">
        <v>85.460829070000003</v>
      </c>
      <c r="DG22" s="994">
        <f>+DG20-DG21</f>
        <v>106.74124431</v>
      </c>
      <c r="DH22" s="994">
        <v>112.19267263</v>
      </c>
      <c r="DI22" s="994">
        <f>+DI20-DI21</f>
        <v>115.13093489000001</v>
      </c>
      <c r="DJ22" s="994">
        <v>116.33238227</v>
      </c>
      <c r="DK22" s="994">
        <v>157.85827094999999</v>
      </c>
      <c r="DL22" s="994">
        <v>157.51458980000001</v>
      </c>
      <c r="DM22" s="994">
        <v>147.12645871999999</v>
      </c>
      <c r="DN22" s="994">
        <f>+DN20-DN21</f>
        <v>149.52955768000001</v>
      </c>
      <c r="DO22" s="994">
        <f>+DO20-DO21</f>
        <v>116.02097089999999</v>
      </c>
      <c r="DP22" s="994">
        <f>+DP20-DP21</f>
        <v>92.634123750000001</v>
      </c>
      <c r="DQ22" s="994">
        <f>+DQ20-DQ21</f>
        <v>72.727545910000003</v>
      </c>
      <c r="DR22" s="994">
        <v>70.275594290000001</v>
      </c>
      <c r="DS22" s="994">
        <v>51.223608859999999</v>
      </c>
      <c r="DT22" s="994">
        <v>55.086829389999998</v>
      </c>
      <c r="DU22" s="994">
        <f>+DU20-DU21</f>
        <v>51.365460779999999</v>
      </c>
      <c r="DV22" s="994">
        <f>+DV20-DV21</f>
        <v>30.625007109999999</v>
      </c>
      <c r="DW22" s="994">
        <v>45.003559000000003</v>
      </c>
      <c r="DX22" s="994">
        <v>44.158425520000002</v>
      </c>
      <c r="DY22" s="994">
        <v>43.863819820000003</v>
      </c>
      <c r="DZ22" s="994">
        <f>+DZ20-DZ21</f>
        <v>40.525794099999999</v>
      </c>
      <c r="EA22" s="994">
        <v>36.994845300000001</v>
      </c>
      <c r="EB22" s="994">
        <v>35.80398907</v>
      </c>
      <c r="EC22" s="994">
        <v>33.60448547</v>
      </c>
      <c r="ED22" s="994">
        <v>37.05325998</v>
      </c>
      <c r="EE22" s="994">
        <f>+EE20-EE21</f>
        <v>34.280295700000003</v>
      </c>
    </row>
    <row r="23" spans="1:135" ht="19.8">
      <c r="A23" s="977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994"/>
      <c r="DE23" s="994"/>
      <c r="DF23" s="994"/>
      <c r="DG23" s="994"/>
      <c r="DH23" s="994"/>
      <c r="DI23" s="994"/>
      <c r="DJ23" s="994"/>
      <c r="DK23" s="994"/>
      <c r="DL23" s="994"/>
      <c r="DM23" s="994"/>
      <c r="DN23" s="994"/>
      <c r="DO23" s="994"/>
      <c r="DP23" s="994"/>
      <c r="DQ23" s="994"/>
      <c r="DR23" s="994"/>
      <c r="DS23" s="994"/>
      <c r="DT23" s="994"/>
      <c r="DU23" s="994"/>
      <c r="DV23" s="994"/>
      <c r="DW23" s="994"/>
      <c r="DX23" s="994"/>
      <c r="DY23" s="994"/>
      <c r="DZ23" s="994"/>
      <c r="EA23" s="994"/>
      <c r="EB23" s="994"/>
      <c r="EC23" s="994"/>
      <c r="ED23" s="994"/>
      <c r="EE23" s="994"/>
    </row>
    <row r="24" spans="1:135" ht="19.8">
      <c r="A24" s="976" t="s">
        <v>2823</v>
      </c>
      <c r="B24" s="961">
        <v>907.38260177999996</v>
      </c>
      <c r="C24" s="962">
        <v>1216.3269459599999</v>
      </c>
      <c r="D24" s="962">
        <v>1290.172309</v>
      </c>
      <c r="E24" s="962">
        <v>1488.0265801500002</v>
      </c>
      <c r="F24" s="962">
        <v>1583.1148315700002</v>
      </c>
      <c r="G24" s="962">
        <v>1634.6194345700001</v>
      </c>
      <c r="H24" s="962">
        <v>1703.1266170200001</v>
      </c>
      <c r="I24" s="962">
        <v>1758.6335877900001</v>
      </c>
      <c r="J24" s="962">
        <v>1803.01118447</v>
      </c>
      <c r="K24" s="962">
        <v>1831.8652481899999</v>
      </c>
      <c r="L24" s="962">
        <v>1876.3229773</v>
      </c>
      <c r="M24" s="946">
        <v>1893.0533547099999</v>
      </c>
      <c r="N24" s="950">
        <v>1525.5075528</v>
      </c>
      <c r="O24" s="950">
        <v>1565.1347453199999</v>
      </c>
      <c r="P24" s="946">
        <v>1592.8216937200002</v>
      </c>
      <c r="Q24" s="946">
        <v>1624.4021067600002</v>
      </c>
      <c r="R24" s="946">
        <v>1694.48702862</v>
      </c>
      <c r="S24" s="946">
        <v>1752.4282320599998</v>
      </c>
      <c r="T24" s="946">
        <v>1802.5301847799999</v>
      </c>
      <c r="U24" s="946">
        <v>1851.2305950799998</v>
      </c>
      <c r="V24" s="946">
        <v>1878.1346363900002</v>
      </c>
      <c r="W24" s="946">
        <v>1903.82943017</v>
      </c>
      <c r="X24" s="946">
        <v>1957.5110684700001</v>
      </c>
      <c r="Y24" s="946">
        <v>1951.5916448400003</v>
      </c>
      <c r="Z24" s="946">
        <v>1953.8260139900001</v>
      </c>
      <c r="AA24" s="950">
        <v>1516.6256409499999</v>
      </c>
      <c r="AB24" s="946">
        <v>1470.5935772600001</v>
      </c>
      <c r="AC24" s="946">
        <v>1443.7248342299999</v>
      </c>
      <c r="AD24" s="946">
        <v>1456.0297844899999</v>
      </c>
      <c r="AE24" s="946">
        <v>1447.9805996099999</v>
      </c>
      <c r="AF24" s="946">
        <v>1465.9663845</v>
      </c>
      <c r="AG24" s="946">
        <v>1454.7307928799999</v>
      </c>
      <c r="AH24" s="946">
        <v>1437.1026184300003</v>
      </c>
      <c r="AI24" s="946">
        <v>1443.3831003600001</v>
      </c>
      <c r="AJ24" s="946">
        <v>1473.3754530799999</v>
      </c>
      <c r="AK24" s="946">
        <v>1725.9187787899998</v>
      </c>
      <c r="AL24" s="946">
        <v>1764.0287047500001</v>
      </c>
      <c r="AM24" s="946">
        <v>1795.5291791100001</v>
      </c>
      <c r="AN24" s="946">
        <v>1789.3266238600002</v>
      </c>
      <c r="AO24" s="946">
        <v>1652.2679346099999</v>
      </c>
      <c r="AP24" s="946">
        <v>1610.8042300500001</v>
      </c>
      <c r="AQ24" s="946">
        <v>1418.4797518</v>
      </c>
      <c r="AR24" s="946">
        <v>1034.21720858</v>
      </c>
      <c r="AS24" s="946">
        <v>1040.8736804800001</v>
      </c>
      <c r="AT24" s="946">
        <f>AT8-AT12</f>
        <v>978.44550304999984</v>
      </c>
      <c r="AU24" s="946">
        <v>866.25717680999992</v>
      </c>
      <c r="AV24" s="946">
        <v>870.50071308000008</v>
      </c>
      <c r="AW24" s="946">
        <v>845.39033604000008</v>
      </c>
      <c r="AX24" s="946">
        <v>851.52832847000013</v>
      </c>
      <c r="AY24" s="946">
        <v>836.03204660999995</v>
      </c>
      <c r="AZ24" s="946">
        <v>825.75265525999998</v>
      </c>
      <c r="BA24" s="946">
        <v>821.01283520000004</v>
      </c>
      <c r="BB24" s="946">
        <v>789.08665296000004</v>
      </c>
      <c r="BC24" s="946">
        <v>720.25918967000007</v>
      </c>
      <c r="BD24" s="946">
        <v>449.90275262</v>
      </c>
      <c r="BE24" s="946">
        <v>419.15527811999999</v>
      </c>
      <c r="BF24" s="946">
        <v>424.99207997999997</v>
      </c>
      <c r="BG24" s="946">
        <v>429.15814401</v>
      </c>
      <c r="BH24" s="1004">
        <v>421.66999498999996</v>
      </c>
      <c r="BI24" s="993">
        <v>461.38996000000009</v>
      </c>
      <c r="BJ24" s="993">
        <v>460.44617189999997</v>
      </c>
      <c r="BK24" s="993">
        <v>461.38423437</v>
      </c>
      <c r="BL24" s="993">
        <v>451.32228979999996</v>
      </c>
      <c r="BM24" s="993">
        <v>431.21762754999997</v>
      </c>
      <c r="BN24" s="993">
        <v>424.65756445</v>
      </c>
      <c r="BO24" s="993">
        <v>427.46377598999993</v>
      </c>
      <c r="BP24" s="993">
        <v>416.60877066</v>
      </c>
      <c r="BQ24" s="993">
        <v>412.18768779999994</v>
      </c>
      <c r="BR24" s="993">
        <v>269.57212821999997</v>
      </c>
      <c r="BS24" s="993">
        <v>256.17142883999998</v>
      </c>
      <c r="BT24" s="993">
        <v>260.04257878999999</v>
      </c>
      <c r="BU24" s="993">
        <v>209.96345624999998</v>
      </c>
      <c r="BV24" s="993">
        <v>183.11798540000001</v>
      </c>
      <c r="BW24" s="993">
        <v>184.32484588</v>
      </c>
      <c r="BX24" s="993">
        <v>186.38414638</v>
      </c>
      <c r="BY24" s="993">
        <v>186.08729743000001</v>
      </c>
      <c r="BZ24" s="993">
        <v>196.25525478000003</v>
      </c>
      <c r="CA24" s="993">
        <v>200.68088478999999</v>
      </c>
      <c r="CB24" s="993">
        <v>169.38575711000004</v>
      </c>
      <c r="CC24" s="993">
        <v>180.77721107999997</v>
      </c>
      <c r="CD24" s="993">
        <v>182.72046218999998</v>
      </c>
      <c r="CE24" s="993">
        <v>185.15802388999998</v>
      </c>
      <c r="CF24" s="993">
        <v>202.34887738999998</v>
      </c>
      <c r="CG24" s="993">
        <v>249.55792810999998</v>
      </c>
      <c r="CH24" s="993">
        <v>246.10071568999999</v>
      </c>
      <c r="CI24" s="993">
        <v>240.90891178999999</v>
      </c>
      <c r="CJ24" s="993">
        <v>254.27188792999999</v>
      </c>
      <c r="CK24" s="993">
        <v>251.38438622000001</v>
      </c>
      <c r="CL24" s="993">
        <v>258.33791471000001</v>
      </c>
      <c r="CM24" s="993">
        <v>256.83678271000002</v>
      </c>
      <c r="CN24" s="993">
        <v>261.37917258000004</v>
      </c>
      <c r="CO24" s="993">
        <v>260.66349876000004</v>
      </c>
      <c r="CP24" s="993">
        <v>261.39205229999999</v>
      </c>
      <c r="CQ24" s="993">
        <v>260.73676184999999</v>
      </c>
      <c r="CR24" s="993">
        <v>277.72331154999995</v>
      </c>
      <c r="CS24" s="993">
        <v>289.69171109000001</v>
      </c>
      <c r="CT24" s="993">
        <v>321.24326488000003</v>
      </c>
      <c r="CU24" s="993">
        <v>325.86797238999998</v>
      </c>
      <c r="CV24" s="993">
        <v>299.76336240000001</v>
      </c>
      <c r="CW24" s="993">
        <v>311.14996143000002</v>
      </c>
      <c r="CX24" s="993">
        <v>331.50012921000001</v>
      </c>
      <c r="CY24" s="993">
        <v>324.43997012</v>
      </c>
      <c r="CZ24" s="993">
        <v>324.87902645000003</v>
      </c>
      <c r="DA24" s="993">
        <v>336.13482123</v>
      </c>
      <c r="DB24" s="993">
        <v>362.84233899999998</v>
      </c>
      <c r="DC24" s="993">
        <v>376.00501503999999</v>
      </c>
      <c r="DD24" s="993">
        <v>376.2366753</v>
      </c>
      <c r="DE24" s="993">
        <v>387.60424969000002</v>
      </c>
      <c r="DF24" s="993">
        <v>391.88594799999998</v>
      </c>
      <c r="DG24" s="993">
        <v>402.65581830999997</v>
      </c>
      <c r="DH24" s="993">
        <v>416.20956036000001</v>
      </c>
      <c r="DI24" s="993">
        <v>462.22402772999999</v>
      </c>
      <c r="DJ24" s="993">
        <v>464.63953142999998</v>
      </c>
      <c r="DK24" s="993">
        <v>469.92300820000003</v>
      </c>
      <c r="DL24" s="993">
        <v>486.51971288999999</v>
      </c>
      <c r="DM24" s="993">
        <v>492.42640095000002</v>
      </c>
      <c r="DN24" s="993">
        <v>499.17307543999999</v>
      </c>
      <c r="DO24" s="993">
        <v>489.94748332</v>
      </c>
      <c r="DP24" s="993">
        <v>491.90895562999998</v>
      </c>
      <c r="DQ24" s="993">
        <v>545.72776687999999</v>
      </c>
      <c r="DR24" s="993">
        <v>583.92619491999994</v>
      </c>
      <c r="DS24" s="993">
        <v>550.82532613000001</v>
      </c>
      <c r="DT24" s="993">
        <v>528.36057059999996</v>
      </c>
      <c r="DU24" s="993">
        <v>534.93495135000001</v>
      </c>
      <c r="DV24" s="993">
        <v>582.35950256000001</v>
      </c>
      <c r="DW24" s="993">
        <v>604.36518455999999</v>
      </c>
      <c r="DX24" s="993">
        <v>615.39875235</v>
      </c>
      <c r="DY24" s="993">
        <v>606.99759974000006</v>
      </c>
      <c r="DZ24" s="993">
        <v>630.88927587000001</v>
      </c>
      <c r="EA24" s="993">
        <v>634.34255510000003</v>
      </c>
      <c r="EB24" s="993">
        <v>660.61255113000004</v>
      </c>
      <c r="EC24" s="993">
        <v>681.77892059999999</v>
      </c>
      <c r="ED24" s="993">
        <v>679.73320579999995</v>
      </c>
      <c r="EE24" s="993">
        <v>667.09703728</v>
      </c>
    </row>
    <row r="25" spans="1:135" ht="19.8">
      <c r="A25" s="977" t="s">
        <v>2001</v>
      </c>
      <c r="B25" s="962">
        <v>0.68612640000000003</v>
      </c>
      <c r="C25" s="962">
        <v>0.53880640000000002</v>
      </c>
      <c r="D25" s="962">
        <v>0.53880640000000002</v>
      </c>
      <c r="E25" s="962">
        <v>0.25</v>
      </c>
      <c r="F25" s="962">
        <v>0.25</v>
      </c>
      <c r="G25" s="962">
        <v>0</v>
      </c>
      <c r="H25" s="962">
        <v>0</v>
      </c>
      <c r="I25" s="962">
        <v>0</v>
      </c>
      <c r="J25" s="962">
        <v>0</v>
      </c>
      <c r="K25" s="962">
        <v>0</v>
      </c>
      <c r="L25" s="962">
        <v>0</v>
      </c>
      <c r="M25" s="950">
        <v>7.4706999999999996E-2</v>
      </c>
      <c r="N25" s="950">
        <v>7.3109439999999998E-2</v>
      </c>
      <c r="O25" s="950">
        <v>7.142488000000001E-2</v>
      </c>
      <c r="P25" s="950">
        <v>6.9750350000000003E-2</v>
      </c>
      <c r="Q25" s="950">
        <v>6.8115490000000001E-2</v>
      </c>
      <c r="R25" s="950">
        <v>6.6336289999999992E-2</v>
      </c>
      <c r="S25" s="950">
        <v>15.064593910000001</v>
      </c>
      <c r="T25" s="950">
        <v>15.062885720000001</v>
      </c>
      <c r="U25" s="950">
        <v>15.06104144</v>
      </c>
      <c r="V25" s="950">
        <v>15.059228470000001</v>
      </c>
      <c r="W25" s="950">
        <v>13.18241765</v>
      </c>
      <c r="X25" s="950">
        <v>13.180530839999999</v>
      </c>
      <c r="Y25" s="950">
        <v>13.178644390000001</v>
      </c>
      <c r="Z25" s="950">
        <v>13.176732789999999</v>
      </c>
      <c r="AA25" s="950">
        <v>13.224661199999998</v>
      </c>
      <c r="AB25" s="950">
        <v>9.5561369999999993E-2</v>
      </c>
      <c r="AC25" s="950">
        <v>9.1527089999999992E-2</v>
      </c>
      <c r="AD25" s="950">
        <v>8.7431979999999992E-2</v>
      </c>
      <c r="AE25" s="950">
        <v>8.3249319999999988E-2</v>
      </c>
      <c r="AF25" s="950">
        <v>7.9110130000000001E-2</v>
      </c>
      <c r="AG25" s="950">
        <v>7.2207069999999998E-2</v>
      </c>
      <c r="AH25" s="950">
        <v>7.0115260000000013E-2</v>
      </c>
      <c r="AI25" s="950">
        <v>6.6572209999999993E-2</v>
      </c>
      <c r="AJ25" s="950">
        <v>6.2369599999999997E-2</v>
      </c>
      <c r="AK25" s="950">
        <v>7.2186780000000006E-2</v>
      </c>
      <c r="AL25" s="950">
        <v>8.7899410000000011E-2</v>
      </c>
      <c r="AM25" s="950">
        <v>8.1622079999999986E-2</v>
      </c>
      <c r="AN25" s="950">
        <v>51.479302609999998</v>
      </c>
      <c r="AO25" s="950">
        <v>50.306822029999999</v>
      </c>
      <c r="AP25" s="950">
        <v>56.34114143</v>
      </c>
      <c r="AQ25" s="950">
        <v>63.267108130000004</v>
      </c>
      <c r="AR25" s="950">
        <v>62.217454310000008</v>
      </c>
      <c r="AS25" s="950">
        <v>61.896348260000003</v>
      </c>
      <c r="AT25" s="950">
        <f>AT9-AT13</f>
        <v>62.215907100000003</v>
      </c>
      <c r="AU25" s="950">
        <v>61.657766139999993</v>
      </c>
      <c r="AV25" s="950">
        <v>61.466815079999989</v>
      </c>
      <c r="AW25" s="950">
        <v>60.957972660000003</v>
      </c>
      <c r="AX25" s="950">
        <v>60.97962296</v>
      </c>
      <c r="AY25" s="950">
        <v>58.017257200000003</v>
      </c>
      <c r="AZ25" s="950">
        <v>53.628075609999996</v>
      </c>
      <c r="BA25" s="950">
        <v>52.506867990000003</v>
      </c>
      <c r="BB25" s="950">
        <v>51.500777040000003</v>
      </c>
      <c r="BC25" s="950">
        <v>48.379755630000005</v>
      </c>
      <c r="BD25" s="950">
        <v>47.656588899999996</v>
      </c>
      <c r="BE25" s="950">
        <v>46.588443849999997</v>
      </c>
      <c r="BF25" s="950">
        <v>45.620438360000001</v>
      </c>
      <c r="BG25" s="950">
        <v>44.613535509999998</v>
      </c>
      <c r="BH25" s="1005">
        <v>43.731509880000004</v>
      </c>
      <c r="BI25" s="994">
        <v>40.200829729999995</v>
      </c>
      <c r="BJ25" s="994">
        <v>39.285286499999998</v>
      </c>
      <c r="BK25" s="994">
        <v>38.257577349999998</v>
      </c>
      <c r="BL25" s="994">
        <v>37.21594176</v>
      </c>
      <c r="BM25" s="994">
        <v>36.353385719999991</v>
      </c>
      <c r="BN25" s="994">
        <v>35.219896920000004</v>
      </c>
      <c r="BO25" s="994">
        <v>34.633920909999993</v>
      </c>
      <c r="BP25" s="994">
        <v>34.251979720000001</v>
      </c>
      <c r="BQ25" s="994">
        <v>33.725469459999999</v>
      </c>
      <c r="BR25" s="994">
        <v>36.154014939999996</v>
      </c>
      <c r="BS25" s="994">
        <v>35.667925140000001</v>
      </c>
      <c r="BT25" s="994">
        <v>34.090150689999994</v>
      </c>
      <c r="BU25" s="994">
        <v>32.47835697</v>
      </c>
      <c r="BV25" s="994">
        <v>7.7490047000000004</v>
      </c>
      <c r="BW25" s="994">
        <v>7.7490047000000004</v>
      </c>
      <c r="BX25" s="994">
        <v>7.7490047000000004</v>
      </c>
      <c r="BY25" s="994">
        <v>7.7490047000000004</v>
      </c>
      <c r="BZ25" s="994">
        <v>7.749004700000004</v>
      </c>
      <c r="CA25" s="994">
        <v>7.1987613099999983</v>
      </c>
      <c r="CB25" s="994">
        <v>7.1987613099999983</v>
      </c>
      <c r="CC25" s="994">
        <v>7.1987613099999983</v>
      </c>
      <c r="CD25" s="994">
        <v>7.2495114100000002</v>
      </c>
      <c r="CE25" s="994">
        <v>7.2495114100000002</v>
      </c>
      <c r="CF25" s="994">
        <v>6.6920870800000003</v>
      </c>
      <c r="CG25" s="994">
        <v>13.743764759999999</v>
      </c>
      <c r="CH25" s="994">
        <v>6.7542097600000002</v>
      </c>
      <c r="CI25" s="994">
        <v>6.76465476</v>
      </c>
      <c r="CJ25" s="994">
        <v>10.04747476</v>
      </c>
      <c r="CK25" s="994">
        <v>6.9440869800000007</v>
      </c>
      <c r="CL25" s="994">
        <v>6.90028782</v>
      </c>
      <c r="CM25" s="994">
        <v>6.8296029200000001</v>
      </c>
      <c r="CN25" s="994">
        <v>6.8284654500000004</v>
      </c>
      <c r="CO25" s="994">
        <v>6.7577119699999999</v>
      </c>
      <c r="CP25" s="994">
        <v>6.6869387400000004</v>
      </c>
      <c r="CQ25" s="994">
        <v>6.6161454199999996</v>
      </c>
      <c r="CR25" s="994">
        <v>6.5451887900000001</v>
      </c>
      <c r="CS25" s="994">
        <v>6.4744988499999998</v>
      </c>
      <c r="CT25" s="994">
        <v>1.655616E-2</v>
      </c>
      <c r="CU25" s="994">
        <v>1.531357E-2</v>
      </c>
      <c r="CV25" s="994">
        <v>1.4039579999999999E-2</v>
      </c>
      <c r="CW25" s="994">
        <v>1.2735099999999999E-2</v>
      </c>
      <c r="CX25" s="994">
        <v>1.1415979999999999E-2</v>
      </c>
      <c r="CY25" s="994">
        <v>5.0073779999999998E-2</v>
      </c>
      <c r="CZ25" s="994">
        <v>4.8708090000000002E-2</v>
      </c>
      <c r="DA25" s="994">
        <v>4.597035E-2</v>
      </c>
      <c r="DB25" s="994">
        <v>4.0150859999999997E-2</v>
      </c>
      <c r="DC25" s="994">
        <v>8.7373889999999996E-2</v>
      </c>
      <c r="DD25" s="994">
        <v>1.07748541</v>
      </c>
      <c r="DE25" s="994">
        <v>3.5341092199999999</v>
      </c>
      <c r="DF25" s="994">
        <v>3.47492036</v>
      </c>
      <c r="DG25" s="994">
        <v>3.9652590000000001</v>
      </c>
      <c r="DH25" s="994">
        <v>4.3141974200000002</v>
      </c>
      <c r="DI25" s="994">
        <v>4.0142898499999999</v>
      </c>
      <c r="DJ25" s="994">
        <v>3.9360665500000001</v>
      </c>
      <c r="DK25" s="994">
        <v>3.8559742699999999</v>
      </c>
      <c r="DL25" s="994">
        <v>3.7757613999999999</v>
      </c>
      <c r="DM25" s="994">
        <v>3.8256600500000002</v>
      </c>
      <c r="DN25" s="994">
        <v>3.72869406</v>
      </c>
      <c r="DO25" s="994">
        <v>3.6407092200000002</v>
      </c>
      <c r="DP25" s="994">
        <v>3.5528039800000002</v>
      </c>
      <c r="DQ25" s="994">
        <v>3.4276491500000001</v>
      </c>
      <c r="DR25" s="994">
        <v>3.3272526500000001</v>
      </c>
      <c r="DS25" s="994">
        <v>3.2211372200000001</v>
      </c>
      <c r="DT25" s="994">
        <v>3.07214148</v>
      </c>
      <c r="DU25" s="994">
        <v>2.9378061600000001</v>
      </c>
      <c r="DV25" s="994">
        <v>2.80568989</v>
      </c>
      <c r="DW25" s="994">
        <v>2.7368298200000001</v>
      </c>
      <c r="DX25" s="994">
        <v>2.5393560800000001</v>
      </c>
      <c r="DY25" s="994">
        <v>2.40192351</v>
      </c>
      <c r="DZ25" s="994">
        <v>2.2569638200000002</v>
      </c>
      <c r="EA25" s="994">
        <v>2.1215335299999998</v>
      </c>
      <c r="EB25" s="994">
        <v>22.005020380000001</v>
      </c>
      <c r="EC25" s="994">
        <v>26.539853319999999</v>
      </c>
      <c r="ED25" s="994">
        <v>26.036267169999999</v>
      </c>
      <c r="EE25" s="994">
        <v>25.506268680000002</v>
      </c>
    </row>
    <row r="26" spans="1:135" ht="19.8">
      <c r="A26" s="978" t="s">
        <v>2002</v>
      </c>
      <c r="B26" s="961">
        <f t="shared" ref="B26:V26" si="8">+B24-B25</f>
        <v>906.69647537999992</v>
      </c>
      <c r="C26" s="962">
        <f t="shared" si="8"/>
        <v>1215.7881395599998</v>
      </c>
      <c r="D26" s="962">
        <f t="shared" si="8"/>
        <v>1289.6335025999999</v>
      </c>
      <c r="E26" s="962">
        <f t="shared" si="8"/>
        <v>1487.7765801500002</v>
      </c>
      <c r="F26" s="962">
        <f t="shared" si="8"/>
        <v>1582.8648315700002</v>
      </c>
      <c r="G26" s="962">
        <f t="shared" si="8"/>
        <v>1634.6194345700001</v>
      </c>
      <c r="H26" s="962">
        <f t="shared" si="8"/>
        <v>1703.1266170200001</v>
      </c>
      <c r="I26" s="962">
        <f t="shared" si="8"/>
        <v>1758.6335877900001</v>
      </c>
      <c r="J26" s="962">
        <f t="shared" si="8"/>
        <v>1803.01118447</v>
      </c>
      <c r="K26" s="962">
        <f t="shared" si="8"/>
        <v>1831.8652481899999</v>
      </c>
      <c r="L26" s="962">
        <f t="shared" si="8"/>
        <v>1876.3229773</v>
      </c>
      <c r="M26" s="950">
        <f t="shared" si="8"/>
        <v>1892.9786477099999</v>
      </c>
      <c r="N26" s="950">
        <f t="shared" si="8"/>
        <v>1525.4344433599999</v>
      </c>
      <c r="O26" s="950">
        <f t="shared" si="8"/>
        <v>1565.0633204399999</v>
      </c>
      <c r="P26" s="946">
        <f t="shared" si="8"/>
        <v>1592.7519433700002</v>
      </c>
      <c r="Q26" s="946">
        <f t="shared" si="8"/>
        <v>1624.3339912700001</v>
      </c>
      <c r="R26" s="946">
        <f t="shared" si="8"/>
        <v>1694.4206923300001</v>
      </c>
      <c r="S26" s="946">
        <f t="shared" si="8"/>
        <v>1737.3636381499998</v>
      </c>
      <c r="T26" s="946">
        <f t="shared" si="8"/>
        <v>1787.46729906</v>
      </c>
      <c r="U26" s="946">
        <f t="shared" si="8"/>
        <v>1836.1695536399998</v>
      </c>
      <c r="V26" s="946">
        <f t="shared" si="8"/>
        <v>1863.0754079200001</v>
      </c>
      <c r="W26" s="946">
        <v>1890.6470125200001</v>
      </c>
      <c r="X26" s="946">
        <v>1944.33053763</v>
      </c>
      <c r="Y26" s="950">
        <v>1938.4130004500003</v>
      </c>
      <c r="Z26" s="946">
        <v>1940.6492812000001</v>
      </c>
      <c r="AA26" s="950">
        <v>1503.40097975</v>
      </c>
      <c r="AB26" s="950">
        <f>+AB24-AB25</f>
        <v>1470.49801589</v>
      </c>
      <c r="AC26" s="950">
        <v>1443.6333071399999</v>
      </c>
      <c r="AD26" s="950">
        <v>1455.9423525099999</v>
      </c>
      <c r="AE26" s="950">
        <v>1447.8973502899998</v>
      </c>
      <c r="AF26" s="950">
        <v>1465.8872743700001</v>
      </c>
      <c r="AG26" s="950">
        <v>1454.6585858099997</v>
      </c>
      <c r="AH26" s="950">
        <f>+AH24-AH25</f>
        <v>1437.0325031700004</v>
      </c>
      <c r="AI26" s="950">
        <v>1443.3165281500001</v>
      </c>
      <c r="AJ26" s="950">
        <f>+AJ24-AJ25</f>
        <v>1473.3130834799999</v>
      </c>
      <c r="AK26" s="950">
        <f>+AK24-AK25</f>
        <v>1725.8465920099998</v>
      </c>
      <c r="AL26" s="950">
        <v>1763.94080534</v>
      </c>
      <c r="AM26" s="950">
        <f>+AM24-AM25</f>
        <v>1795.4475570300001</v>
      </c>
      <c r="AN26" s="950">
        <f>+AN24-AN25</f>
        <v>1737.84732125</v>
      </c>
      <c r="AO26" s="950">
        <f>+AO24-AO25</f>
        <v>1601.96111258</v>
      </c>
      <c r="AP26" s="950">
        <f>+AP24-AP25</f>
        <v>1554.46308862</v>
      </c>
      <c r="AQ26" s="950">
        <v>1355.21264367</v>
      </c>
      <c r="AR26" s="950">
        <v>971.99975427000004</v>
      </c>
      <c r="AS26" s="950">
        <f>+AS24-AS25</f>
        <v>978.97733222000011</v>
      </c>
      <c r="AT26" s="950">
        <f>AT10-AT14</f>
        <v>916.22959594999998</v>
      </c>
      <c r="AU26" s="950">
        <v>804.59941067</v>
      </c>
      <c r="AV26" s="950">
        <v>809.03389800000014</v>
      </c>
      <c r="AW26" s="950">
        <v>784.43236338000008</v>
      </c>
      <c r="AX26" s="950">
        <v>790.5487055100001</v>
      </c>
      <c r="AY26" s="950">
        <v>778.01478940999993</v>
      </c>
      <c r="AZ26" s="950">
        <v>772.12457964999999</v>
      </c>
      <c r="BA26" s="950">
        <v>768.50596720999999</v>
      </c>
      <c r="BB26" s="950">
        <v>737.58587592000003</v>
      </c>
      <c r="BC26" s="950">
        <v>671.87943404000009</v>
      </c>
      <c r="BD26" s="950">
        <f>+BD24-BD25</f>
        <v>402.24616372000003</v>
      </c>
      <c r="BE26" s="950">
        <v>372.56683427000002</v>
      </c>
      <c r="BF26" s="950">
        <v>379.37164161999999</v>
      </c>
      <c r="BG26" s="950">
        <v>384.54460849999998</v>
      </c>
      <c r="BH26" s="1005">
        <v>377.93848510999999</v>
      </c>
      <c r="BI26" s="994">
        <v>421.18913027000008</v>
      </c>
      <c r="BJ26" s="994">
        <v>421.16088539999998</v>
      </c>
      <c r="BK26" s="994">
        <v>423.12665701999998</v>
      </c>
      <c r="BL26" s="994">
        <v>414.10634803999994</v>
      </c>
      <c r="BM26" s="994">
        <v>394.86424182999997</v>
      </c>
      <c r="BN26" s="994">
        <v>389.43766753</v>
      </c>
      <c r="BO26" s="994">
        <v>392.82985507999996</v>
      </c>
      <c r="BP26" s="994">
        <v>382.35679094</v>
      </c>
      <c r="BQ26" s="994">
        <v>378.46221833999994</v>
      </c>
      <c r="BR26" s="994">
        <v>233.41811327999997</v>
      </c>
      <c r="BS26" s="994">
        <v>220.50350369999998</v>
      </c>
      <c r="BT26" s="994">
        <v>225.95242809999999</v>
      </c>
      <c r="BU26" s="994">
        <v>177.48509927999999</v>
      </c>
      <c r="BV26" s="994">
        <v>175.36898070000001</v>
      </c>
      <c r="BW26" s="994">
        <v>176.57584118</v>
      </c>
      <c r="BX26" s="994">
        <v>178.63514168</v>
      </c>
      <c r="BY26" s="994">
        <v>178.33829273000001</v>
      </c>
      <c r="BZ26" s="994">
        <v>188.50625008000003</v>
      </c>
      <c r="CA26" s="994">
        <v>193.48212347999998</v>
      </c>
      <c r="CB26" s="994">
        <v>162.18699580000003</v>
      </c>
      <c r="CC26" s="994">
        <v>173.57844976999996</v>
      </c>
      <c r="CD26" s="994">
        <v>175.47095077999998</v>
      </c>
      <c r="CE26" s="994">
        <f t="shared" ref="CE26:CP26" si="9">+CE24-CE25</f>
        <v>177.90851247999998</v>
      </c>
      <c r="CF26" s="994">
        <f t="shared" si="9"/>
        <v>195.65679030999999</v>
      </c>
      <c r="CG26" s="994">
        <f t="shared" si="9"/>
        <v>235.81416334999997</v>
      </c>
      <c r="CH26" s="994">
        <f t="shared" si="9"/>
        <v>239.34650592999998</v>
      </c>
      <c r="CI26" s="994">
        <f t="shared" si="9"/>
        <v>234.14425702999998</v>
      </c>
      <c r="CJ26" s="994">
        <f t="shared" si="9"/>
        <v>244.22441316999999</v>
      </c>
      <c r="CK26" s="994">
        <f t="shared" si="9"/>
        <v>244.44029924</v>
      </c>
      <c r="CL26" s="994">
        <f t="shared" si="9"/>
        <v>251.43762689000002</v>
      </c>
      <c r="CM26" s="994">
        <f t="shared" si="9"/>
        <v>250.00717979000001</v>
      </c>
      <c r="CN26" s="994">
        <f t="shared" si="9"/>
        <v>254.55070713000003</v>
      </c>
      <c r="CO26" s="994">
        <f t="shared" si="9"/>
        <v>253.90578679000004</v>
      </c>
      <c r="CP26" s="994">
        <f t="shared" si="9"/>
        <v>254.70511356</v>
      </c>
      <c r="CQ26" s="994">
        <f>+CQ24-CQ25</f>
        <v>254.12061642999998</v>
      </c>
      <c r="CR26" s="994">
        <f>+CR24-CR25</f>
        <v>271.17812275999995</v>
      </c>
      <c r="CS26" s="994">
        <f>+CS24-CS25</f>
        <v>283.21721224000004</v>
      </c>
      <c r="CT26" s="994">
        <v>321.22670872000003</v>
      </c>
      <c r="CU26" s="994">
        <f>+CU24-CU25</f>
        <v>325.85265881999999</v>
      </c>
      <c r="CV26" s="994">
        <v>299.74932282000003</v>
      </c>
      <c r="CW26" s="994">
        <v>311.13722633000003</v>
      </c>
      <c r="CX26" s="994">
        <v>331.48871323000003</v>
      </c>
      <c r="CY26" s="994">
        <v>324.38989634000001</v>
      </c>
      <c r="CZ26" s="994">
        <v>324.83031836000004</v>
      </c>
      <c r="DA26" s="994">
        <v>336.08885088</v>
      </c>
      <c r="DB26" s="994">
        <v>362.80218814</v>
      </c>
      <c r="DC26" s="994">
        <f>+DC24-DC25</f>
        <v>375.91764115000001</v>
      </c>
      <c r="DD26" s="994">
        <v>375.15918988999999</v>
      </c>
      <c r="DE26" s="994">
        <v>384.07014047000001</v>
      </c>
      <c r="DF26" s="994">
        <v>388.41102763999999</v>
      </c>
      <c r="DG26" s="994">
        <f>+DG24-DG25</f>
        <v>398.69055930999997</v>
      </c>
      <c r="DH26" s="994">
        <v>411.89536293999998</v>
      </c>
      <c r="DI26" s="994">
        <f>+DI24-DI25</f>
        <v>458.20973787999998</v>
      </c>
      <c r="DJ26" s="994">
        <v>460.70346487999996</v>
      </c>
      <c r="DK26" s="994">
        <v>466.06703393000004</v>
      </c>
      <c r="DL26" s="994">
        <v>482.74395148999997</v>
      </c>
      <c r="DM26" s="994">
        <v>488.60074090000001</v>
      </c>
      <c r="DN26" s="994">
        <f>+DN24-DN25</f>
        <v>495.44438137999998</v>
      </c>
      <c r="DO26" s="994">
        <f>+DO24-DO25</f>
        <v>486.30677409999998</v>
      </c>
      <c r="DP26" s="994">
        <f>+DP24-DP25</f>
        <v>488.35615164999996</v>
      </c>
      <c r="DQ26" s="994">
        <f>+DQ24-DQ25</f>
        <v>542.30011773000001</v>
      </c>
      <c r="DR26" s="994">
        <v>580.59894226999995</v>
      </c>
      <c r="DS26" s="994">
        <v>547.60418891000006</v>
      </c>
      <c r="DT26" s="994">
        <v>525.28842911999993</v>
      </c>
      <c r="DU26" s="994">
        <f>+DU24-DU25</f>
        <v>531.99714518999997</v>
      </c>
      <c r="DV26" s="994">
        <f>+DV24-DV25</f>
        <v>579.55381266999996</v>
      </c>
      <c r="DW26" s="994">
        <v>601.62835473999996</v>
      </c>
      <c r="DX26" s="994">
        <v>612.85939627000005</v>
      </c>
      <c r="DY26" s="994">
        <v>604.59567623000009</v>
      </c>
      <c r="DZ26" s="994">
        <f>+DZ24-DZ25</f>
        <v>628.63231205</v>
      </c>
      <c r="EA26" s="994">
        <v>632.22102157000006</v>
      </c>
      <c r="EB26" s="994">
        <v>638.60753075000002</v>
      </c>
      <c r="EC26" s="994">
        <v>655.23906727999997</v>
      </c>
      <c r="ED26" s="994">
        <v>653.69693862999998</v>
      </c>
      <c r="EE26" s="994">
        <f>+EE24-EE25</f>
        <v>641.59076860000005</v>
      </c>
    </row>
    <row r="27" spans="1:135" ht="19.8">
      <c r="A27" s="977"/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994"/>
      <c r="DE27" s="994"/>
      <c r="DF27" s="994"/>
      <c r="DG27" s="994"/>
      <c r="DH27" s="994"/>
      <c r="DI27" s="994"/>
      <c r="DJ27" s="994"/>
      <c r="DK27" s="994"/>
      <c r="DL27" s="994"/>
      <c r="DM27" s="994"/>
      <c r="DN27" s="994"/>
      <c r="DO27" s="994"/>
      <c r="DP27" s="994"/>
      <c r="DQ27" s="994"/>
      <c r="DR27" s="994"/>
      <c r="DS27" s="994"/>
      <c r="DT27" s="994"/>
      <c r="DU27" s="994"/>
      <c r="DV27" s="994"/>
      <c r="DW27" s="994"/>
      <c r="DX27" s="994"/>
      <c r="DY27" s="994"/>
      <c r="DZ27" s="994"/>
      <c r="EA27" s="994"/>
      <c r="EB27" s="994"/>
      <c r="EC27" s="994"/>
      <c r="ED27" s="994"/>
      <c r="EE27" s="994"/>
    </row>
    <row r="28" spans="1:135" ht="19.8">
      <c r="A28" s="1513" t="s">
        <v>189</v>
      </c>
      <c r="B28" s="962">
        <v>890.79571515999999</v>
      </c>
      <c r="C28" s="962">
        <v>1198.7368987</v>
      </c>
      <c r="D28" s="962">
        <v>1272.8284622400001</v>
      </c>
      <c r="E28" s="962">
        <v>1471.3395681400002</v>
      </c>
      <c r="F28" s="962">
        <v>1566.4748872100001</v>
      </c>
      <c r="G28" s="962">
        <v>1619.0921400500001</v>
      </c>
      <c r="H28" s="962">
        <v>1687.8298249200002</v>
      </c>
      <c r="I28" s="962">
        <v>1743.49229616</v>
      </c>
      <c r="J28" s="962">
        <v>1787.96960162</v>
      </c>
      <c r="K28" s="962">
        <v>1816.9938925499998</v>
      </c>
      <c r="L28" s="962">
        <v>1862.6899854200001</v>
      </c>
      <c r="M28" s="946">
        <v>1878.8883455599998</v>
      </c>
      <c r="N28" s="950">
        <v>1511.6176579799999</v>
      </c>
      <c r="O28" s="950">
        <v>1550.9892783299999</v>
      </c>
      <c r="P28" s="950">
        <v>1579.1461440100002</v>
      </c>
      <c r="Q28" s="950">
        <v>1611.5456076100002</v>
      </c>
      <c r="R28" s="950">
        <v>1678.88326923</v>
      </c>
      <c r="S28" s="950">
        <v>1738.3149132199999</v>
      </c>
      <c r="T28" s="950">
        <v>1788.43189207</v>
      </c>
      <c r="U28" s="950">
        <v>1837.0001609799999</v>
      </c>
      <c r="V28" s="950">
        <v>1863.4743088100001</v>
      </c>
      <c r="W28" s="950">
        <v>1889.6121977600001</v>
      </c>
      <c r="X28" s="950">
        <v>1942.86173001</v>
      </c>
      <c r="Y28" s="946">
        <v>1923.1711851400003</v>
      </c>
      <c r="Z28" s="950">
        <v>1921.8867576</v>
      </c>
      <c r="AA28" s="950">
        <v>1392.36091562</v>
      </c>
      <c r="AB28" s="946">
        <v>1346.28938034</v>
      </c>
      <c r="AC28" s="946">
        <v>1307.5959270199999</v>
      </c>
      <c r="AD28" s="946">
        <v>1297.9577175899999</v>
      </c>
      <c r="AE28" s="946">
        <v>1285.33523612</v>
      </c>
      <c r="AF28" s="946">
        <v>1309.56777124</v>
      </c>
      <c r="AG28" s="946">
        <v>1300.0164706099999</v>
      </c>
      <c r="AH28" s="946">
        <v>1281.0151419000003</v>
      </c>
      <c r="AI28" s="946">
        <v>1287.48181505</v>
      </c>
      <c r="AJ28" s="946">
        <v>1318.35725819</v>
      </c>
      <c r="AK28" s="946">
        <v>1497.2529906499999</v>
      </c>
      <c r="AL28" s="946">
        <v>1550.12783655</v>
      </c>
      <c r="AM28" s="946">
        <v>1549.0895509700001</v>
      </c>
      <c r="AN28" s="946">
        <v>1544.9567681500002</v>
      </c>
      <c r="AO28" s="946">
        <v>1414.1348277799998</v>
      </c>
      <c r="AP28" s="946">
        <v>1434.4991705800001</v>
      </c>
      <c r="AQ28" s="946">
        <v>1220.2067439100001</v>
      </c>
      <c r="AR28" s="946">
        <v>799.94520016000001</v>
      </c>
      <c r="AS28" s="946">
        <v>800.11657141000012</v>
      </c>
      <c r="AT28" s="946">
        <v>803.04256210999995</v>
      </c>
      <c r="AU28" s="946">
        <v>740.57597749999991</v>
      </c>
      <c r="AV28" s="946">
        <v>739.09115025999995</v>
      </c>
      <c r="AW28" s="946">
        <v>737.83972367000013</v>
      </c>
      <c r="AX28" s="946">
        <v>735.32486495000001</v>
      </c>
      <c r="AY28" s="946">
        <v>732.36087268999995</v>
      </c>
      <c r="AZ28" s="946">
        <v>725.70090312000002</v>
      </c>
      <c r="BA28" s="946">
        <v>723.19943367000008</v>
      </c>
      <c r="BB28" s="946">
        <v>691.37506354000004</v>
      </c>
      <c r="BC28" s="946">
        <v>652.14528225000004</v>
      </c>
      <c r="BD28" s="946">
        <v>382.22341072</v>
      </c>
      <c r="BE28" s="946">
        <v>351.52412009</v>
      </c>
      <c r="BF28" s="946">
        <v>346.49782775</v>
      </c>
      <c r="BG28" s="946">
        <v>341.72139575000006</v>
      </c>
      <c r="BH28" s="1004">
        <v>334.97680702999997</v>
      </c>
      <c r="BI28" s="993">
        <v>354.94423090000004</v>
      </c>
      <c r="BJ28" s="993">
        <v>352.083395</v>
      </c>
      <c r="BK28" s="993">
        <v>347.64340625</v>
      </c>
      <c r="BL28" s="993">
        <v>335.38872108999999</v>
      </c>
      <c r="BM28" s="993">
        <v>325.92517979999997</v>
      </c>
      <c r="BN28" s="993">
        <v>321.97520028000002</v>
      </c>
      <c r="BO28" s="993">
        <v>323.09564045999997</v>
      </c>
      <c r="BP28" s="993">
        <v>312.18303608000002</v>
      </c>
      <c r="BQ28" s="993">
        <v>304.47872896000001</v>
      </c>
      <c r="BR28" s="993">
        <v>159.63269509999998</v>
      </c>
      <c r="BS28" s="993">
        <v>145.56443143000001</v>
      </c>
      <c r="BT28" s="993">
        <v>140.46951541999999</v>
      </c>
      <c r="BU28" s="993">
        <v>121.54355838000001</v>
      </c>
      <c r="BV28" s="993">
        <v>95.96268065000001</v>
      </c>
      <c r="BW28" s="993">
        <v>95.917389620000009</v>
      </c>
      <c r="BX28" s="993">
        <v>98.397067490000012</v>
      </c>
      <c r="BY28" s="993">
        <v>86.384385230000007</v>
      </c>
      <c r="BZ28" s="993">
        <v>84.266923140000003</v>
      </c>
      <c r="CA28" s="993">
        <v>84.825405849999996</v>
      </c>
      <c r="CB28" s="993">
        <v>80.925907820000006</v>
      </c>
      <c r="CC28" s="993">
        <v>88.506229579999982</v>
      </c>
      <c r="CD28" s="993">
        <v>91.765076379999996</v>
      </c>
      <c r="CE28" s="993">
        <v>85.204461679999994</v>
      </c>
      <c r="CF28" s="993">
        <v>106.93877567999998</v>
      </c>
      <c r="CG28" s="993">
        <v>117.96085544</v>
      </c>
      <c r="CH28" s="993">
        <v>113.76335682999999</v>
      </c>
      <c r="CI28" s="993">
        <v>111.59863451</v>
      </c>
      <c r="CJ28" s="993">
        <v>126.40781910999999</v>
      </c>
      <c r="CK28" s="993">
        <v>122.4747764</v>
      </c>
      <c r="CL28" s="993">
        <v>131.43122552</v>
      </c>
      <c r="CM28" s="993">
        <v>126.28819065</v>
      </c>
      <c r="CN28" s="993">
        <v>129.02320048000001</v>
      </c>
      <c r="CO28" s="993">
        <v>129.80404823000001</v>
      </c>
      <c r="CP28" s="993">
        <v>131.96744502999999</v>
      </c>
      <c r="CQ28" s="993">
        <v>127.95581802999999</v>
      </c>
      <c r="CR28" s="993">
        <v>146.54716535999998</v>
      </c>
      <c r="CS28" s="993">
        <v>158.77626090000001</v>
      </c>
      <c r="CT28" s="993">
        <v>172.36667965999999</v>
      </c>
      <c r="CU28" s="993">
        <v>178.03286011</v>
      </c>
      <c r="CV28" s="993">
        <v>175.91222725</v>
      </c>
      <c r="CW28" s="993">
        <v>187.54890130999999</v>
      </c>
      <c r="CX28" s="993">
        <v>188.04226036</v>
      </c>
      <c r="CY28" s="993">
        <v>194.78366169</v>
      </c>
      <c r="CZ28" s="993">
        <v>191.16270983000001</v>
      </c>
      <c r="DA28" s="993">
        <v>198.08410673</v>
      </c>
      <c r="DB28" s="993">
        <v>209.93223510000001</v>
      </c>
      <c r="DC28" s="993">
        <v>219.85982440999999</v>
      </c>
      <c r="DD28" s="993">
        <v>222.73273567999999</v>
      </c>
      <c r="DE28" s="993">
        <v>240.51215160000001</v>
      </c>
      <c r="DF28" s="993">
        <v>245.88349364999999</v>
      </c>
      <c r="DG28" s="993">
        <v>276.55412602000001</v>
      </c>
      <c r="DH28" s="993">
        <v>320.73492220000003</v>
      </c>
      <c r="DI28" s="993">
        <v>338.59527075</v>
      </c>
      <c r="DJ28" s="993">
        <v>341.60367215000002</v>
      </c>
      <c r="DK28" s="993">
        <v>349.31707141999999</v>
      </c>
      <c r="DL28" s="993">
        <v>366.76003234000001</v>
      </c>
      <c r="DM28" s="993">
        <v>376.49095388000001</v>
      </c>
      <c r="DN28" s="993">
        <v>383.07822636999998</v>
      </c>
      <c r="DO28" s="993">
        <v>373.48808291</v>
      </c>
      <c r="DP28" s="993">
        <v>378.15259449000001</v>
      </c>
      <c r="DQ28" s="993">
        <v>415.44770054999998</v>
      </c>
      <c r="DR28" s="993">
        <v>404.96158214000002</v>
      </c>
      <c r="DS28" s="993">
        <v>368.39667006000002</v>
      </c>
      <c r="DT28" s="993">
        <v>348.57128888</v>
      </c>
      <c r="DU28" s="993">
        <v>361.78920592999998</v>
      </c>
      <c r="DV28" s="993">
        <v>380.63661210999999</v>
      </c>
      <c r="DW28" s="993">
        <v>401.30466883999998</v>
      </c>
      <c r="DX28" s="993">
        <v>410.34907476000001</v>
      </c>
      <c r="DY28" s="993">
        <v>405.75321464000001</v>
      </c>
      <c r="DZ28" s="993">
        <v>431.96067763000002</v>
      </c>
      <c r="EA28" s="993">
        <v>438.10500918999998</v>
      </c>
      <c r="EB28" s="993">
        <v>467.92446805999998</v>
      </c>
      <c r="EC28" s="993">
        <v>496.47838488999997</v>
      </c>
      <c r="ED28" s="993">
        <v>494.46645344000001</v>
      </c>
      <c r="EE28" s="993">
        <v>498.12760682999999</v>
      </c>
    </row>
    <row r="29" spans="1:135" ht="19.8">
      <c r="A29" s="1514" t="s">
        <v>2001</v>
      </c>
      <c r="B29" s="962">
        <v>0.25</v>
      </c>
      <c r="C29" s="962">
        <v>0.25</v>
      </c>
      <c r="D29" s="962">
        <v>0.25</v>
      </c>
      <c r="E29" s="962">
        <v>0.25</v>
      </c>
      <c r="F29" s="962">
        <v>0.25</v>
      </c>
      <c r="G29" s="962">
        <v>0</v>
      </c>
      <c r="H29" s="962">
        <v>0</v>
      </c>
      <c r="I29" s="962">
        <v>0</v>
      </c>
      <c r="J29" s="962">
        <v>0</v>
      </c>
      <c r="K29" s="962">
        <v>0</v>
      </c>
      <c r="L29" s="962">
        <v>0</v>
      </c>
      <c r="M29" s="950">
        <v>7.4706999999999996E-2</v>
      </c>
      <c r="N29" s="950">
        <v>7.3109439999999998E-2</v>
      </c>
      <c r="O29" s="950">
        <v>7.142488000000001E-2</v>
      </c>
      <c r="P29" s="950">
        <v>6.9750350000000003E-2</v>
      </c>
      <c r="Q29" s="950">
        <v>6.8115490000000001E-2</v>
      </c>
      <c r="R29" s="950">
        <v>6.6336289999999992E-2</v>
      </c>
      <c r="S29" s="950">
        <v>15.064593910000001</v>
      </c>
      <c r="T29" s="950">
        <v>15.062885720000001</v>
      </c>
      <c r="U29" s="950">
        <v>15.06104144</v>
      </c>
      <c r="V29" s="950">
        <v>15.059228470000001</v>
      </c>
      <c r="W29" s="950">
        <v>13.18241765</v>
      </c>
      <c r="X29" s="950">
        <v>13.180530839999999</v>
      </c>
      <c r="Y29" s="950">
        <v>13.178644390000001</v>
      </c>
      <c r="Z29" s="950">
        <v>13.176732789999999</v>
      </c>
      <c r="AA29" s="950">
        <v>13.174795699999999</v>
      </c>
      <c r="AB29" s="950">
        <v>4.7832779999999998E-2</v>
      </c>
      <c r="AC29" s="950">
        <v>4.5864949999999995E-2</v>
      </c>
      <c r="AD29" s="950">
        <v>4.3829239999999998E-2</v>
      </c>
      <c r="AE29" s="950">
        <v>4.1786769999999994E-2</v>
      </c>
      <c r="AF29" s="950">
        <v>3.9735640000000003E-2</v>
      </c>
      <c r="AG29" s="950">
        <v>3.7620929999999997E-2</v>
      </c>
      <c r="AH29" s="950">
        <v>3.5529120000000004E-2</v>
      </c>
      <c r="AI29" s="950">
        <v>3.3344400000000003E-2</v>
      </c>
      <c r="AJ29" s="950">
        <v>3.116213E-2</v>
      </c>
      <c r="AK29" s="950">
        <v>2.8978459999999998E-2</v>
      </c>
      <c r="AL29" s="950">
        <v>4.6712219999999999E-2</v>
      </c>
      <c r="AM29" s="950">
        <v>4.4441519999999998E-2</v>
      </c>
      <c r="AN29" s="950">
        <v>6.0478279999999995E-2</v>
      </c>
      <c r="AO29" s="950">
        <v>5.4664629999999999E-2</v>
      </c>
      <c r="AP29" s="950">
        <v>56.314590189999997</v>
      </c>
      <c r="AQ29" s="950">
        <v>55.730397590000003</v>
      </c>
      <c r="AR29" s="950">
        <v>55.081193420000005</v>
      </c>
      <c r="AS29" s="950">
        <v>54.551722090000005</v>
      </c>
      <c r="AT29" s="950">
        <v>54.923990549999999</v>
      </c>
      <c r="AU29" s="950">
        <v>54.292623479999996</v>
      </c>
      <c r="AV29" s="950">
        <v>53.683810729999998</v>
      </c>
      <c r="AW29" s="950">
        <v>53.003649600000003</v>
      </c>
      <c r="AX29" s="950">
        <v>52.377924419999999</v>
      </c>
      <c r="AY29" s="950">
        <v>50.904900900000001</v>
      </c>
      <c r="AZ29" s="950">
        <v>48.536484869999995</v>
      </c>
      <c r="BA29" s="950">
        <v>47.479940810000002</v>
      </c>
      <c r="BB29" s="950">
        <v>46.475326200000005</v>
      </c>
      <c r="BC29" s="950">
        <v>45.826605630000003</v>
      </c>
      <c r="BD29" s="950">
        <v>45.105238899999996</v>
      </c>
      <c r="BE29" s="950">
        <v>44.03694385</v>
      </c>
      <c r="BF29" s="950">
        <v>43.070138360000001</v>
      </c>
      <c r="BG29" s="950">
        <v>42.063235509999998</v>
      </c>
      <c r="BH29" s="1005">
        <v>41.181359880000002</v>
      </c>
      <c r="BI29" s="994">
        <v>40.200829729999995</v>
      </c>
      <c r="BJ29" s="994">
        <v>39.285286499999998</v>
      </c>
      <c r="BK29" s="994">
        <v>38.257577349999998</v>
      </c>
      <c r="BL29" s="994">
        <v>37.21594176</v>
      </c>
      <c r="BM29" s="994">
        <v>36.353385719999999</v>
      </c>
      <c r="BN29" s="994">
        <v>35.219896920000004</v>
      </c>
      <c r="BO29" s="994">
        <v>34.633920909999993</v>
      </c>
      <c r="BP29" s="994">
        <v>34.251979720000001</v>
      </c>
      <c r="BQ29" s="994">
        <v>33.725469459999999</v>
      </c>
      <c r="BR29" s="994">
        <v>36.154014939999996</v>
      </c>
      <c r="BS29" s="994">
        <v>35.667925140000001</v>
      </c>
      <c r="BT29" s="994">
        <v>34.090150689999994</v>
      </c>
      <c r="BU29" s="994">
        <v>32.47835697</v>
      </c>
      <c r="BV29" s="994">
        <v>7.7490047000000004</v>
      </c>
      <c r="BW29" s="994">
        <v>7.7490047000000004</v>
      </c>
      <c r="BX29" s="994">
        <v>7.7490047000000004</v>
      </c>
      <c r="BY29" s="994">
        <v>7.7490047000000004</v>
      </c>
      <c r="BZ29" s="994">
        <v>7.7490047000000004</v>
      </c>
      <c r="CA29" s="994">
        <v>7.1987613099999992</v>
      </c>
      <c r="CB29" s="994">
        <v>7.1987613099999992</v>
      </c>
      <c r="CC29" s="994">
        <v>7.1987613099999992</v>
      </c>
      <c r="CD29" s="994">
        <v>7.2495114100000002</v>
      </c>
      <c r="CE29" s="994">
        <v>7.2495114100000002</v>
      </c>
      <c r="CF29" s="994">
        <v>6.6920870800000003</v>
      </c>
      <c r="CG29" s="994">
        <v>13.743764759999999</v>
      </c>
      <c r="CH29" s="994">
        <v>6.7542097600000002</v>
      </c>
      <c r="CI29" s="994">
        <v>6.76465476</v>
      </c>
      <c r="CJ29" s="994">
        <v>10.04747476</v>
      </c>
      <c r="CK29" s="994">
        <v>6.9440869800000007</v>
      </c>
      <c r="CL29" s="994">
        <v>6.90028782</v>
      </c>
      <c r="CM29" s="994">
        <v>6.8296029200000001</v>
      </c>
      <c r="CN29" s="994">
        <v>6.8284654500000004</v>
      </c>
      <c r="CO29" s="994">
        <v>6.7577119699999999</v>
      </c>
      <c r="CP29" s="994">
        <v>6.6869387400000004</v>
      </c>
      <c r="CQ29" s="994">
        <v>6.6161454199999996</v>
      </c>
      <c r="CR29" s="994">
        <v>6.5451887900000001</v>
      </c>
      <c r="CS29" s="994">
        <v>6.4744988499999998</v>
      </c>
      <c r="CT29" s="994">
        <v>1.655616E-2</v>
      </c>
      <c r="CU29" s="994">
        <v>1.531357E-2</v>
      </c>
      <c r="CV29" s="994">
        <v>1.4039579999999999E-2</v>
      </c>
      <c r="CW29" s="994">
        <v>1.2735099999999999E-2</v>
      </c>
      <c r="CX29" s="994">
        <v>1.1415979999999999E-2</v>
      </c>
      <c r="CY29" s="994">
        <v>5.0073779999999998E-2</v>
      </c>
      <c r="CZ29" s="994">
        <v>4.8708090000000002E-2</v>
      </c>
      <c r="DA29" s="994">
        <v>4.597035E-2</v>
      </c>
      <c r="DB29" s="994">
        <v>4.0150859999999997E-2</v>
      </c>
      <c r="DC29" s="994">
        <v>8.7373889999999996E-2</v>
      </c>
      <c r="DD29" s="994">
        <v>1.07748541</v>
      </c>
      <c r="DE29" s="994">
        <v>3.5341092199999999</v>
      </c>
      <c r="DF29" s="994">
        <v>3.47492036</v>
      </c>
      <c r="DG29" s="994">
        <v>3.9652590000000001</v>
      </c>
      <c r="DH29" s="994">
        <v>4.3141974200000002</v>
      </c>
      <c r="DI29" s="994">
        <v>4.0142898499999999</v>
      </c>
      <c r="DJ29" s="994">
        <v>3.9360665500000001</v>
      </c>
      <c r="DK29" s="994">
        <v>3.8559742699999999</v>
      </c>
      <c r="DL29" s="994">
        <v>3.7757613999999999</v>
      </c>
      <c r="DM29" s="994">
        <v>3.8256600500000002</v>
      </c>
      <c r="DN29" s="994">
        <v>3.72869406</v>
      </c>
      <c r="DO29" s="994">
        <v>3.6407092200000002</v>
      </c>
      <c r="DP29" s="994">
        <v>3.5528039800000002</v>
      </c>
      <c r="DQ29" s="994">
        <v>3.4276491500000001</v>
      </c>
      <c r="DR29" s="994">
        <v>3.3272526500000001</v>
      </c>
      <c r="DS29" s="994">
        <v>3.2211372200000001</v>
      </c>
      <c r="DT29" s="994">
        <v>3.07214148</v>
      </c>
      <c r="DU29" s="994">
        <v>2.9378061600000001</v>
      </c>
      <c r="DV29" s="994">
        <v>2.80568989</v>
      </c>
      <c r="DW29" s="994">
        <v>2.7368298200000001</v>
      </c>
      <c r="DX29" s="994">
        <v>2.5393560800000001</v>
      </c>
      <c r="DY29" s="994">
        <v>2.40192351</v>
      </c>
      <c r="DZ29" s="994">
        <v>2.2569638200000002</v>
      </c>
      <c r="EA29" s="994">
        <v>2.1215335299999998</v>
      </c>
      <c r="EB29" s="994">
        <v>22.005020380000001</v>
      </c>
      <c r="EC29" s="994">
        <v>26.539853319999999</v>
      </c>
      <c r="ED29" s="994">
        <v>26.036267169999999</v>
      </c>
      <c r="EE29" s="994">
        <v>25.506268680000002</v>
      </c>
    </row>
    <row r="30" spans="1:135" ht="19.8">
      <c r="A30" s="1515" t="s">
        <v>2002</v>
      </c>
      <c r="B30" s="961">
        <f>+B28-B29</f>
        <v>890.54571515999999</v>
      </c>
      <c r="C30" s="961">
        <f t="shared" ref="C30:R30" si="10">+C28-C29</f>
        <v>1198.4868987</v>
      </c>
      <c r="D30" s="961">
        <f t="shared" si="10"/>
        <v>1272.5784622400001</v>
      </c>
      <c r="E30" s="961">
        <f t="shared" si="10"/>
        <v>1471.0895681400002</v>
      </c>
      <c r="F30" s="961">
        <f t="shared" si="10"/>
        <v>1566.2248872100001</v>
      </c>
      <c r="G30" s="961">
        <f t="shared" si="10"/>
        <v>1619.0921400500001</v>
      </c>
      <c r="H30" s="961">
        <f t="shared" si="10"/>
        <v>1687.8298249200002</v>
      </c>
      <c r="I30" s="961">
        <f t="shared" si="10"/>
        <v>1743.49229616</v>
      </c>
      <c r="J30" s="961">
        <f t="shared" si="10"/>
        <v>1787.96960162</v>
      </c>
      <c r="K30" s="961">
        <f t="shared" si="10"/>
        <v>1816.9938925499998</v>
      </c>
      <c r="L30" s="961">
        <f t="shared" si="10"/>
        <v>1862.6899854200001</v>
      </c>
      <c r="M30" s="950">
        <f t="shared" si="10"/>
        <v>1878.8136385599998</v>
      </c>
      <c r="N30" s="946">
        <f t="shared" si="10"/>
        <v>1511.5445485399998</v>
      </c>
      <c r="O30" s="946">
        <f t="shared" si="10"/>
        <v>1550.9178534499999</v>
      </c>
      <c r="P30" s="946">
        <f t="shared" si="10"/>
        <v>1579.0763936600001</v>
      </c>
      <c r="Q30" s="946">
        <f t="shared" si="10"/>
        <v>1611.4774921200001</v>
      </c>
      <c r="R30" s="946">
        <f t="shared" si="10"/>
        <v>1678.81693294</v>
      </c>
      <c r="S30" s="946">
        <f>+S28-S29</f>
        <v>1723.2503193099999</v>
      </c>
      <c r="T30" s="946">
        <f>+T28-T29</f>
        <v>1773.3690063500001</v>
      </c>
      <c r="U30" s="946">
        <f>+U28-U29</f>
        <v>1821.9391195399999</v>
      </c>
      <c r="V30" s="946">
        <f>+V28-V29</f>
        <v>1848.41508034</v>
      </c>
      <c r="W30" s="946">
        <v>1876.4297801100001</v>
      </c>
      <c r="X30" s="946">
        <v>1929.6811991699999</v>
      </c>
      <c r="Y30" s="950">
        <v>1909.9925407500002</v>
      </c>
      <c r="Z30" s="946">
        <v>1908.71002481</v>
      </c>
      <c r="AA30" s="946">
        <v>1379.18611992</v>
      </c>
      <c r="AB30" s="950">
        <f>+AB28-AB29</f>
        <v>1346.2415475600001</v>
      </c>
      <c r="AC30" s="950">
        <v>1307.55006207</v>
      </c>
      <c r="AD30" s="950">
        <v>1297.91388835</v>
      </c>
      <c r="AE30" s="950">
        <v>1285.2934493499999</v>
      </c>
      <c r="AF30" s="950">
        <v>1309.5280356000001</v>
      </c>
      <c r="AG30" s="950">
        <v>1299.9788496799999</v>
      </c>
      <c r="AH30" s="950">
        <f>+AH28-AH29</f>
        <v>1280.9796127800003</v>
      </c>
      <c r="AI30" s="950">
        <v>1287.44847065</v>
      </c>
      <c r="AJ30" s="950">
        <f>+AJ28-AJ29</f>
        <v>1318.3260960600001</v>
      </c>
      <c r="AK30" s="950">
        <f>+AK28-AK29</f>
        <v>1497.2240121899999</v>
      </c>
      <c r="AL30" s="950">
        <v>1550.08112433</v>
      </c>
      <c r="AM30" s="950">
        <f>+AM28-AM29</f>
        <v>1549.0451094500002</v>
      </c>
      <c r="AN30" s="950">
        <f>+AN28-AN29</f>
        <v>1544.8962898700001</v>
      </c>
      <c r="AO30" s="950">
        <f>+AO28-AO29</f>
        <v>1414.0801631499999</v>
      </c>
      <c r="AP30" s="950">
        <f>+AP28-AP29</f>
        <v>1378.1845803900001</v>
      </c>
      <c r="AQ30" s="950">
        <v>1164.4763463200002</v>
      </c>
      <c r="AR30" s="950">
        <v>744.86400674000004</v>
      </c>
      <c r="AS30" s="950">
        <f>+AS28-AS29</f>
        <v>745.56484932000012</v>
      </c>
      <c r="AT30" s="950">
        <f>+AT28-AT29</f>
        <v>748.11857155999996</v>
      </c>
      <c r="AU30" s="950">
        <v>686.28335401999993</v>
      </c>
      <c r="AV30" s="950">
        <v>685.40733952999994</v>
      </c>
      <c r="AW30" s="950">
        <v>684.83607407000011</v>
      </c>
      <c r="AX30" s="950">
        <v>682.94694053000001</v>
      </c>
      <c r="AY30" s="950">
        <v>681.45597178999992</v>
      </c>
      <c r="AZ30" s="950">
        <v>677.16441825000004</v>
      </c>
      <c r="BA30" s="950">
        <v>675.71949286000006</v>
      </c>
      <c r="BB30" s="950">
        <v>644.89973734</v>
      </c>
      <c r="BC30" s="950">
        <v>606.31867662000002</v>
      </c>
      <c r="BD30" s="950">
        <f>+BD28-BD29</f>
        <v>337.11817181999999</v>
      </c>
      <c r="BE30" s="950">
        <v>307.48717624</v>
      </c>
      <c r="BF30" s="950">
        <v>303.42768939000001</v>
      </c>
      <c r="BG30" s="950">
        <v>299.65816024000003</v>
      </c>
      <c r="BH30" s="1005">
        <v>293.79544714999997</v>
      </c>
      <c r="BI30" s="994">
        <v>314.74340117000003</v>
      </c>
      <c r="BJ30" s="994">
        <v>312.79810850000001</v>
      </c>
      <c r="BK30" s="994">
        <v>309.38582889999998</v>
      </c>
      <c r="BL30" s="994">
        <v>298.17277932999997</v>
      </c>
      <c r="BM30" s="994">
        <v>289.57179407999996</v>
      </c>
      <c r="BN30" s="994">
        <v>286.75530336000003</v>
      </c>
      <c r="BO30" s="994">
        <v>288.46171955</v>
      </c>
      <c r="BP30" s="994">
        <v>277.93105636000001</v>
      </c>
      <c r="BQ30" s="994">
        <v>270.75325950000001</v>
      </c>
      <c r="BR30" s="994">
        <v>123.47868015999998</v>
      </c>
      <c r="BS30" s="994">
        <v>109.89650629000002</v>
      </c>
      <c r="BT30" s="994">
        <v>106.37936472999999</v>
      </c>
      <c r="BU30" s="994">
        <v>89.065201410000014</v>
      </c>
      <c r="BV30" s="994">
        <v>88.21367595000001</v>
      </c>
      <c r="BW30" s="994">
        <v>88.168384920000008</v>
      </c>
      <c r="BX30" s="994">
        <v>90.648062790000012</v>
      </c>
      <c r="BY30" s="994">
        <v>78.635380530000006</v>
      </c>
      <c r="BZ30" s="994">
        <v>76.517918440000003</v>
      </c>
      <c r="CA30" s="994">
        <v>77.626644540000001</v>
      </c>
      <c r="CB30" s="994">
        <v>73.727146510000011</v>
      </c>
      <c r="CC30" s="994">
        <v>81.307468269999987</v>
      </c>
      <c r="CD30" s="994">
        <v>84.51556497</v>
      </c>
      <c r="CE30" s="994">
        <f t="shared" ref="CE30:CP30" si="11">+CE28-CE29</f>
        <v>77.954950269999998</v>
      </c>
      <c r="CF30" s="994">
        <f t="shared" si="11"/>
        <v>100.24668859999997</v>
      </c>
      <c r="CG30" s="994">
        <f t="shared" si="11"/>
        <v>104.21709068</v>
      </c>
      <c r="CH30" s="994">
        <f t="shared" si="11"/>
        <v>107.00914707</v>
      </c>
      <c r="CI30" s="994">
        <f t="shared" si="11"/>
        <v>104.83397975</v>
      </c>
      <c r="CJ30" s="994">
        <f t="shared" si="11"/>
        <v>116.36034434999999</v>
      </c>
      <c r="CK30" s="994">
        <f t="shared" si="11"/>
        <v>115.53068942</v>
      </c>
      <c r="CL30" s="994">
        <f t="shared" si="11"/>
        <v>124.5309377</v>
      </c>
      <c r="CM30" s="994">
        <f t="shared" si="11"/>
        <v>119.45858773</v>
      </c>
      <c r="CN30" s="994">
        <f t="shared" si="11"/>
        <v>122.19473503000002</v>
      </c>
      <c r="CO30" s="994">
        <f t="shared" si="11"/>
        <v>123.04633626</v>
      </c>
      <c r="CP30" s="994">
        <f t="shared" si="11"/>
        <v>125.28050628999999</v>
      </c>
      <c r="CQ30" s="994">
        <f>+CQ28-CQ29</f>
        <v>121.33967260999999</v>
      </c>
      <c r="CR30" s="994">
        <f>+CR28-CR29</f>
        <v>140.00197656999998</v>
      </c>
      <c r="CS30" s="994">
        <f>+CS28-CS29</f>
        <v>152.30176205000001</v>
      </c>
      <c r="CT30" s="994">
        <v>172.3501235</v>
      </c>
      <c r="CU30" s="994">
        <f>+CU28-CU29</f>
        <v>178.01754654000001</v>
      </c>
      <c r="CV30" s="994">
        <v>175.89818767</v>
      </c>
      <c r="CW30" s="994">
        <v>187.53616621</v>
      </c>
      <c r="CX30" s="994">
        <v>188.03084437999999</v>
      </c>
      <c r="CY30" s="994">
        <v>194.73358791000001</v>
      </c>
      <c r="CZ30" s="994">
        <v>191.11400174000002</v>
      </c>
      <c r="DA30" s="994">
        <v>198.03813638</v>
      </c>
      <c r="DB30" s="994">
        <v>209.89208424</v>
      </c>
      <c r="DC30" s="994">
        <f>+DC28-DC29</f>
        <v>219.77245051999998</v>
      </c>
      <c r="DD30" s="994">
        <v>221.65525026999998</v>
      </c>
      <c r="DE30" s="994">
        <v>236.97804238000001</v>
      </c>
      <c r="DF30" s="994">
        <v>242.40857328999999</v>
      </c>
      <c r="DG30" s="994">
        <f>+DG28-DG29</f>
        <v>272.58886702000001</v>
      </c>
      <c r="DH30" s="994">
        <v>316.42072478</v>
      </c>
      <c r="DI30" s="994">
        <f>+DI28-DI29</f>
        <v>334.58098089999999</v>
      </c>
      <c r="DJ30" s="994">
        <v>337.6676056</v>
      </c>
      <c r="DK30" s="994">
        <v>345.46109715</v>
      </c>
      <c r="DL30" s="994">
        <v>362.98427093999999</v>
      </c>
      <c r="DM30" s="994">
        <v>372.66529383</v>
      </c>
      <c r="DN30" s="994">
        <f>+DN28-DN29</f>
        <v>379.34953230999997</v>
      </c>
      <c r="DO30" s="994">
        <f>+DO28-DO29</f>
        <v>369.84737368999998</v>
      </c>
      <c r="DP30" s="994">
        <f>+DP28-DP29</f>
        <v>374.59979050999999</v>
      </c>
      <c r="DQ30" s="994">
        <f>+DQ28-DQ29</f>
        <v>412.0200514</v>
      </c>
      <c r="DR30" s="994">
        <v>401.63432949000003</v>
      </c>
      <c r="DS30" s="994">
        <v>365.17553284000002</v>
      </c>
      <c r="DT30" s="994">
        <v>345.49914739999997</v>
      </c>
      <c r="DU30" s="994">
        <f>+DU28-DU29</f>
        <v>358.85139977</v>
      </c>
      <c r="DV30" s="994">
        <f>+DV28-DV29</f>
        <v>377.83092221999999</v>
      </c>
      <c r="DW30" s="994">
        <v>398.56783901999995</v>
      </c>
      <c r="DX30" s="994">
        <v>407.80971868</v>
      </c>
      <c r="DY30" s="994">
        <v>403.35129112999999</v>
      </c>
      <c r="DZ30" s="994">
        <f>+DZ28-DZ29</f>
        <v>429.70371381000001</v>
      </c>
      <c r="EA30" s="994">
        <v>435.98347565999995</v>
      </c>
      <c r="EB30" s="994">
        <v>445.91944767999996</v>
      </c>
      <c r="EC30" s="994">
        <v>469.93853156999995</v>
      </c>
      <c r="ED30" s="994">
        <v>468.43018627000004</v>
      </c>
      <c r="EE30" s="994">
        <f>+EE28-EE29</f>
        <v>472.62133814999999</v>
      </c>
    </row>
    <row r="31" spans="1:135" ht="19.8">
      <c r="A31" s="1514"/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2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994"/>
      <c r="DE31" s="994"/>
      <c r="DF31" s="994"/>
      <c r="DG31" s="994"/>
      <c r="DH31" s="994"/>
      <c r="DI31" s="994"/>
      <c r="DJ31" s="994"/>
      <c r="DK31" s="994"/>
      <c r="DL31" s="994"/>
      <c r="DM31" s="994"/>
      <c r="DN31" s="994"/>
      <c r="DO31" s="994"/>
      <c r="DP31" s="994"/>
      <c r="DQ31" s="994"/>
      <c r="DR31" s="994"/>
      <c r="DS31" s="994"/>
      <c r="DT31" s="994"/>
      <c r="DU31" s="994"/>
      <c r="DV31" s="994"/>
      <c r="DW31" s="994"/>
      <c r="DX31" s="994"/>
      <c r="DY31" s="994"/>
      <c r="DZ31" s="994"/>
      <c r="EA31" s="994"/>
      <c r="EB31" s="994"/>
      <c r="EC31" s="994"/>
      <c r="ED31" s="994"/>
      <c r="EE31" s="994"/>
    </row>
    <row r="32" spans="1:135" ht="19.8">
      <c r="A32" s="1513" t="s">
        <v>2822</v>
      </c>
      <c r="B32" s="961">
        <v>16.586886620000001</v>
      </c>
      <c r="C32" s="961">
        <v>17.590047259999999</v>
      </c>
      <c r="D32" s="961">
        <v>17.343846760000002</v>
      </c>
      <c r="E32" s="961">
        <v>16.68701201</v>
      </c>
      <c r="F32" s="961">
        <v>16.639944359999998</v>
      </c>
      <c r="G32" s="961">
        <v>15.527294519999998</v>
      </c>
      <c r="H32" s="961">
        <v>15.296792099999999</v>
      </c>
      <c r="I32" s="961">
        <v>15.141291630000001</v>
      </c>
      <c r="J32" s="961">
        <v>15.041582849999999</v>
      </c>
      <c r="K32" s="961">
        <v>14.871355639999999</v>
      </c>
      <c r="L32" s="961">
        <v>13.632991879999999</v>
      </c>
      <c r="M32" s="946">
        <v>14.165009149999999</v>
      </c>
      <c r="N32" s="946">
        <v>13.889894819999999</v>
      </c>
      <c r="O32" s="946">
        <v>14.145466989999999</v>
      </c>
      <c r="P32" s="946">
        <v>13.67554971</v>
      </c>
      <c r="Q32" s="946">
        <v>12.856499149999999</v>
      </c>
      <c r="R32" s="946">
        <v>15.60375939</v>
      </c>
      <c r="S32" s="946">
        <v>14.11331884</v>
      </c>
      <c r="T32" s="946">
        <v>14.098292709999999</v>
      </c>
      <c r="U32" s="946">
        <v>14.2304341</v>
      </c>
      <c r="V32" s="946">
        <v>14.660327580000001</v>
      </c>
      <c r="W32" s="946">
        <v>14.217232410000001</v>
      </c>
      <c r="X32" s="946">
        <v>14.649338459999999</v>
      </c>
      <c r="Y32" s="946">
        <v>28.420459699999999</v>
      </c>
      <c r="Z32" s="946">
        <v>31.939256390000001</v>
      </c>
      <c r="AA32" s="946">
        <v>124.26472533</v>
      </c>
      <c r="AB32" s="946">
        <v>124.30419692000001</v>
      </c>
      <c r="AC32" s="946">
        <v>136.12890720999999</v>
      </c>
      <c r="AD32" s="946">
        <v>158.07206690000004</v>
      </c>
      <c r="AE32" s="946">
        <v>162.64536349000002</v>
      </c>
      <c r="AF32" s="946">
        <v>156.39861326000002</v>
      </c>
      <c r="AG32" s="946">
        <v>154.71432227</v>
      </c>
      <c r="AH32" s="946">
        <v>156.08747652999998</v>
      </c>
      <c r="AI32" s="946">
        <v>155.90128530999999</v>
      </c>
      <c r="AJ32" s="946">
        <v>155.01819488999999</v>
      </c>
      <c r="AK32" s="946">
        <v>228.66578813999999</v>
      </c>
      <c r="AL32" s="946">
        <v>213.90086819999999</v>
      </c>
      <c r="AM32" s="946">
        <v>246.43962814</v>
      </c>
      <c r="AN32" s="946">
        <v>244.36985571</v>
      </c>
      <c r="AO32" s="946">
        <v>238.13310683000003</v>
      </c>
      <c r="AP32" s="946">
        <v>176.30505947</v>
      </c>
      <c r="AQ32" s="946">
        <v>198.27300789</v>
      </c>
      <c r="AR32" s="946">
        <v>234.27200841999999</v>
      </c>
      <c r="AS32" s="946">
        <v>240.75710907000001</v>
      </c>
      <c r="AT32" s="946">
        <f>AT24-AT28</f>
        <v>175.40294093999989</v>
      </c>
      <c r="AU32" s="946">
        <v>125.68119931000001</v>
      </c>
      <c r="AV32" s="946">
        <v>131.40956282000013</v>
      </c>
      <c r="AW32" s="946">
        <v>107.55061236999995</v>
      </c>
      <c r="AX32" s="946">
        <v>116.20346352000013</v>
      </c>
      <c r="AY32" s="946">
        <v>103.67117392</v>
      </c>
      <c r="AZ32" s="946">
        <v>100.05175214</v>
      </c>
      <c r="BA32" s="946">
        <v>97.813401529999993</v>
      </c>
      <c r="BB32" s="946">
        <v>97.71158942000001</v>
      </c>
      <c r="BC32" s="946">
        <v>68.113907420000004</v>
      </c>
      <c r="BD32" s="946">
        <v>67.679341899999997</v>
      </c>
      <c r="BE32" s="946">
        <v>67.631158030000009</v>
      </c>
      <c r="BF32" s="946">
        <v>78.494252229999972</v>
      </c>
      <c r="BG32" s="946">
        <v>87.436748259999945</v>
      </c>
      <c r="BH32" s="1004">
        <v>86.693187959999989</v>
      </c>
      <c r="BI32" s="993">
        <v>106.44572910000005</v>
      </c>
      <c r="BJ32" s="993">
        <v>108.36277689999997</v>
      </c>
      <c r="BK32" s="993">
        <v>113.74082812</v>
      </c>
      <c r="BL32" s="993">
        <v>115.93356870999997</v>
      </c>
      <c r="BM32" s="993">
        <v>105.29244775000001</v>
      </c>
      <c r="BN32" s="993">
        <v>102.68236416999997</v>
      </c>
      <c r="BO32" s="993">
        <v>104.36813552999996</v>
      </c>
      <c r="BP32" s="993">
        <v>104.42573457999998</v>
      </c>
      <c r="BQ32" s="993">
        <v>107.70895883999992</v>
      </c>
      <c r="BR32" s="993">
        <v>109.93943311999999</v>
      </c>
      <c r="BS32" s="993">
        <v>110.60699740999996</v>
      </c>
      <c r="BT32" s="993">
        <v>119.57306337</v>
      </c>
      <c r="BU32" s="993">
        <v>88.419897869999971</v>
      </c>
      <c r="BV32" s="993">
        <v>87.155304749999999</v>
      </c>
      <c r="BW32" s="993">
        <v>88.407456259999989</v>
      </c>
      <c r="BX32" s="993">
        <v>87.987078889999992</v>
      </c>
      <c r="BY32" s="993">
        <v>99.7029122</v>
      </c>
      <c r="BZ32" s="993">
        <v>111.98833164000003</v>
      </c>
      <c r="CA32" s="993">
        <v>115.85547894</v>
      </c>
      <c r="CB32" s="993">
        <v>88.459849290000037</v>
      </c>
      <c r="CC32" s="993">
        <v>92.270981499999991</v>
      </c>
      <c r="CD32" s="993">
        <v>90.955385809999996</v>
      </c>
      <c r="CE32" s="993">
        <v>99.953562210000001</v>
      </c>
      <c r="CF32" s="993">
        <v>95.410101710000006</v>
      </c>
      <c r="CG32" s="993">
        <v>131.59707266999999</v>
      </c>
      <c r="CH32" s="993">
        <v>132.33735885999999</v>
      </c>
      <c r="CI32" s="993">
        <v>129.31027728000001</v>
      </c>
      <c r="CJ32" s="993">
        <v>127.86406882</v>
      </c>
      <c r="CK32" s="993">
        <v>128.90960982000001</v>
      </c>
      <c r="CL32" s="993">
        <v>126.90668918999999</v>
      </c>
      <c r="CM32" s="993">
        <v>130.54859206</v>
      </c>
      <c r="CN32" s="993">
        <v>132.3559721</v>
      </c>
      <c r="CO32" s="993">
        <v>130.85945053</v>
      </c>
      <c r="CP32" s="993">
        <v>129.42460727</v>
      </c>
      <c r="CQ32" s="993">
        <v>132.78094382</v>
      </c>
      <c r="CR32" s="993">
        <v>131.17614619</v>
      </c>
      <c r="CS32" s="993">
        <v>130.91545019</v>
      </c>
      <c r="CT32" s="993">
        <v>148.87658522000001</v>
      </c>
      <c r="CU32" s="993">
        <v>147.83511228</v>
      </c>
      <c r="CV32" s="993">
        <v>123.85113515</v>
      </c>
      <c r="CW32" s="993">
        <v>123.60106012</v>
      </c>
      <c r="CX32" s="993">
        <v>143.45786885000001</v>
      </c>
      <c r="CY32" s="993">
        <v>129.65630843</v>
      </c>
      <c r="CZ32" s="993">
        <v>133.71631661999999</v>
      </c>
      <c r="DA32" s="993">
        <v>138.0507145</v>
      </c>
      <c r="DB32" s="993">
        <v>152.9101039</v>
      </c>
      <c r="DC32" s="993">
        <v>156.14519063</v>
      </c>
      <c r="DD32" s="993">
        <v>153.50393962000001</v>
      </c>
      <c r="DE32" s="993">
        <v>147.09209809000001</v>
      </c>
      <c r="DF32" s="993">
        <v>146.00245434999999</v>
      </c>
      <c r="DG32" s="993">
        <v>126.10169229</v>
      </c>
      <c r="DH32" s="993">
        <v>95.474638159999998</v>
      </c>
      <c r="DI32" s="993">
        <v>123.62875698000001</v>
      </c>
      <c r="DJ32" s="993">
        <v>123.03585928</v>
      </c>
      <c r="DK32" s="993">
        <v>120.60593677999999</v>
      </c>
      <c r="DL32" s="993">
        <v>119.75968055</v>
      </c>
      <c r="DM32" s="993">
        <v>115.93544707</v>
      </c>
      <c r="DN32" s="993">
        <v>116.09484907</v>
      </c>
      <c r="DO32" s="993">
        <v>116.45940041</v>
      </c>
      <c r="DP32" s="993">
        <v>113.75636114</v>
      </c>
      <c r="DQ32" s="993">
        <v>130.28006633000001</v>
      </c>
      <c r="DR32" s="993">
        <v>178.96461278000001</v>
      </c>
      <c r="DS32" s="993">
        <v>182.42865606999999</v>
      </c>
      <c r="DT32" s="993">
        <v>179.78928171999999</v>
      </c>
      <c r="DU32" s="993">
        <v>173.14574542</v>
      </c>
      <c r="DV32" s="993">
        <v>201.72289044999999</v>
      </c>
      <c r="DW32" s="993">
        <v>203.06051572000001</v>
      </c>
      <c r="DX32" s="993">
        <v>205.04967758999999</v>
      </c>
      <c r="DY32" s="993">
        <v>201.24438509999999</v>
      </c>
      <c r="DZ32" s="993">
        <v>198.92859824000001</v>
      </c>
      <c r="EA32" s="993">
        <v>196.23754590999999</v>
      </c>
      <c r="EB32" s="993">
        <v>192.68808307</v>
      </c>
      <c r="EC32" s="993">
        <v>185.30053570999999</v>
      </c>
      <c r="ED32" s="993">
        <v>185.26675236</v>
      </c>
      <c r="EE32" s="993">
        <v>168.96943045</v>
      </c>
    </row>
    <row r="33" spans="1:135" ht="19.8">
      <c r="A33" s="1514" t="s">
        <v>2001</v>
      </c>
      <c r="B33" s="962">
        <v>0.43612640000000003</v>
      </c>
      <c r="C33" s="962">
        <v>0.28880640000000002</v>
      </c>
      <c r="D33" s="962">
        <v>0.28880640000000002</v>
      </c>
      <c r="E33" s="962">
        <v>0</v>
      </c>
      <c r="F33" s="962">
        <v>0</v>
      </c>
      <c r="G33" s="962">
        <v>0</v>
      </c>
      <c r="H33" s="962">
        <v>0</v>
      </c>
      <c r="I33" s="962">
        <v>0</v>
      </c>
      <c r="J33" s="962">
        <v>0</v>
      </c>
      <c r="K33" s="962">
        <v>0</v>
      </c>
      <c r="L33" s="962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4.98655E-2</v>
      </c>
      <c r="AB33" s="950">
        <v>4.7728589999999994E-2</v>
      </c>
      <c r="AC33" s="950">
        <v>4.5662139999999997E-2</v>
      </c>
      <c r="AD33" s="950">
        <v>4.3602740000000001E-2</v>
      </c>
      <c r="AE33" s="950">
        <v>4.1462550000000001E-2</v>
      </c>
      <c r="AF33" s="950">
        <v>3.9374489999999998E-2</v>
      </c>
      <c r="AG33" s="950">
        <v>3.4586140000000001E-2</v>
      </c>
      <c r="AH33" s="950">
        <v>3.4586140000000001E-2</v>
      </c>
      <c r="AI33" s="950">
        <v>3.3227809999999997E-2</v>
      </c>
      <c r="AJ33" s="950">
        <v>3.1207470000000001E-2</v>
      </c>
      <c r="AK33" s="950">
        <v>4.3208320000000001E-2</v>
      </c>
      <c r="AL33" s="950">
        <v>4.1187190000000005E-2</v>
      </c>
      <c r="AM33" s="950">
        <v>3.7180559999999994E-2</v>
      </c>
      <c r="AN33" s="950">
        <v>51.41882433</v>
      </c>
      <c r="AO33" s="950">
        <v>50.252157400000002</v>
      </c>
      <c r="AP33" s="950">
        <v>2.655124E-2</v>
      </c>
      <c r="AQ33" s="950">
        <v>7.5367105399999996</v>
      </c>
      <c r="AR33" s="950">
        <v>7.13626089</v>
      </c>
      <c r="AS33" s="950">
        <v>7.3446261699999997</v>
      </c>
      <c r="AT33" s="950">
        <f>AT25-AT29</f>
        <v>7.2919165500000034</v>
      </c>
      <c r="AU33" s="950">
        <v>7.3651426599999965</v>
      </c>
      <c r="AV33" s="950">
        <v>7.7830043499999917</v>
      </c>
      <c r="AW33" s="950">
        <v>7.9543230600000001</v>
      </c>
      <c r="AX33" s="950">
        <v>8.601698540000001</v>
      </c>
      <c r="AY33" s="950">
        <v>7.1123563000000001</v>
      </c>
      <c r="AZ33" s="950">
        <v>5.09159074</v>
      </c>
      <c r="BA33" s="950">
        <v>5.0269271799999995</v>
      </c>
      <c r="BB33" s="950">
        <v>5.0254508399999995</v>
      </c>
      <c r="BC33" s="950">
        <v>2.55315</v>
      </c>
      <c r="BD33" s="950">
        <v>2.5513499999999998</v>
      </c>
      <c r="BE33" s="950">
        <v>2.5514999999999999</v>
      </c>
      <c r="BF33" s="950">
        <v>2.5503</v>
      </c>
      <c r="BG33" s="950">
        <v>2.5503</v>
      </c>
      <c r="BH33" s="1005">
        <v>2.5501500000000021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994">
        <v>0</v>
      </c>
      <c r="DE33" s="994">
        <v>0</v>
      </c>
      <c r="DF33" s="994">
        <v>0</v>
      </c>
      <c r="DG33" s="994">
        <v>0</v>
      </c>
      <c r="DH33" s="994">
        <v>0</v>
      </c>
      <c r="DI33" s="994">
        <v>0</v>
      </c>
      <c r="DJ33" s="994">
        <v>0</v>
      </c>
      <c r="DK33" s="994">
        <v>0</v>
      </c>
      <c r="DL33" s="994">
        <v>0</v>
      </c>
      <c r="DM33" s="994">
        <v>0</v>
      </c>
      <c r="DN33" s="994">
        <v>0</v>
      </c>
      <c r="DO33" s="994">
        <v>0</v>
      </c>
      <c r="DP33" s="994">
        <v>0</v>
      </c>
      <c r="DQ33" s="994">
        <v>0</v>
      </c>
      <c r="DR33" s="994">
        <v>0</v>
      </c>
      <c r="DS33" s="994">
        <v>0</v>
      </c>
      <c r="DT33" s="994">
        <v>0</v>
      </c>
      <c r="DU33" s="994">
        <v>0</v>
      </c>
      <c r="DV33" s="994">
        <v>0</v>
      </c>
      <c r="DW33" s="994">
        <v>0</v>
      </c>
      <c r="DX33" s="994">
        <v>0</v>
      </c>
      <c r="DY33" s="994">
        <v>0</v>
      </c>
      <c r="DZ33" s="994">
        <v>0</v>
      </c>
      <c r="EA33" s="994">
        <v>0</v>
      </c>
      <c r="EB33" s="994">
        <v>0</v>
      </c>
      <c r="EC33" s="994">
        <v>0</v>
      </c>
      <c r="ED33" s="994">
        <v>0</v>
      </c>
      <c r="EE33" s="994">
        <v>0</v>
      </c>
    </row>
    <row r="34" spans="1:135" ht="19.8">
      <c r="A34" s="1516" t="s">
        <v>2002</v>
      </c>
      <c r="B34" s="963">
        <f>+B32-B33</f>
        <v>16.150760220000002</v>
      </c>
      <c r="C34" s="963">
        <f t="shared" ref="C34:V34" si="12">+C32-C33</f>
        <v>17.30124086</v>
      </c>
      <c r="D34" s="963">
        <f t="shared" si="12"/>
        <v>17.055040360000003</v>
      </c>
      <c r="E34" s="963">
        <f t="shared" si="12"/>
        <v>16.68701201</v>
      </c>
      <c r="F34" s="963">
        <f t="shared" si="12"/>
        <v>16.639944359999998</v>
      </c>
      <c r="G34" s="963">
        <f t="shared" si="12"/>
        <v>15.527294519999998</v>
      </c>
      <c r="H34" s="963">
        <f t="shared" si="12"/>
        <v>15.296792099999999</v>
      </c>
      <c r="I34" s="963">
        <f t="shared" si="12"/>
        <v>15.141291630000001</v>
      </c>
      <c r="J34" s="963">
        <f t="shared" si="12"/>
        <v>15.041582849999999</v>
      </c>
      <c r="K34" s="963">
        <f t="shared" si="12"/>
        <v>14.871355639999999</v>
      </c>
      <c r="L34" s="963">
        <f t="shared" si="12"/>
        <v>13.632991879999999</v>
      </c>
      <c r="M34" s="957">
        <f t="shared" si="12"/>
        <v>14.165009149999999</v>
      </c>
      <c r="N34" s="964">
        <f t="shared" si="12"/>
        <v>13.889894819999999</v>
      </c>
      <c r="O34" s="964">
        <f t="shared" si="12"/>
        <v>14.145466989999999</v>
      </c>
      <c r="P34" s="964">
        <f t="shared" si="12"/>
        <v>13.67554971</v>
      </c>
      <c r="Q34" s="964">
        <f t="shared" si="12"/>
        <v>12.856499149999999</v>
      </c>
      <c r="R34" s="964">
        <f t="shared" si="12"/>
        <v>15.60375939</v>
      </c>
      <c r="S34" s="964">
        <f t="shared" si="12"/>
        <v>14.11331884</v>
      </c>
      <c r="T34" s="964">
        <f t="shared" si="12"/>
        <v>14.098292709999999</v>
      </c>
      <c r="U34" s="964">
        <f t="shared" si="12"/>
        <v>14.2304341</v>
      </c>
      <c r="V34" s="964">
        <f t="shared" si="12"/>
        <v>14.660327580000001</v>
      </c>
      <c r="W34" s="964">
        <v>14.217232410000001</v>
      </c>
      <c r="X34" s="964">
        <v>14.649338459999999</v>
      </c>
      <c r="Y34" s="957">
        <v>28.420459699999999</v>
      </c>
      <c r="Z34" s="964">
        <v>31.939256390000001</v>
      </c>
      <c r="AA34" s="964">
        <v>124.21485983000001</v>
      </c>
      <c r="AB34" s="957">
        <f>+AB32-AB33</f>
        <v>124.25646833</v>
      </c>
      <c r="AC34" s="957">
        <v>136.08324507</v>
      </c>
      <c r="AD34" s="957">
        <v>158.02846416000003</v>
      </c>
      <c r="AE34" s="957">
        <v>162.60390094000002</v>
      </c>
      <c r="AF34" s="957">
        <v>156.35923877000002</v>
      </c>
      <c r="AG34" s="957">
        <v>154.67973613000001</v>
      </c>
      <c r="AH34" s="957">
        <f>+AH32-AH33</f>
        <v>156.05289038999999</v>
      </c>
      <c r="AI34" s="957">
        <v>155.86805749999999</v>
      </c>
      <c r="AJ34" s="957">
        <f>+AJ32-AJ33</f>
        <v>154.98698741999999</v>
      </c>
      <c r="AK34" s="957">
        <f>+AK32-AK33</f>
        <v>228.62257982</v>
      </c>
      <c r="AL34" s="957">
        <v>213.85968101</v>
      </c>
      <c r="AM34" s="957">
        <f>+AM32-AM33</f>
        <v>246.40244758</v>
      </c>
      <c r="AN34" s="957">
        <f>+AN32-AN33</f>
        <v>192.95103137999999</v>
      </c>
      <c r="AO34" s="957">
        <f>+AO32-AO33</f>
        <v>187.88094943000004</v>
      </c>
      <c r="AP34" s="957">
        <f>+AP32-AP33</f>
        <v>176.27850823</v>
      </c>
      <c r="AQ34" s="957">
        <v>190.73629735</v>
      </c>
      <c r="AR34" s="957">
        <v>227.13574753</v>
      </c>
      <c r="AS34" s="957">
        <f>+AS32-AS33</f>
        <v>233.41248290000001</v>
      </c>
      <c r="AT34" s="957">
        <f>AT26-AT30</f>
        <v>168.11102439000001</v>
      </c>
      <c r="AU34" s="957">
        <v>118.31605665000006</v>
      </c>
      <c r="AV34" s="957">
        <v>123.62655847000019</v>
      </c>
      <c r="AW34" s="957">
        <v>99.596289309999975</v>
      </c>
      <c r="AX34" s="957">
        <v>107.6017649800001</v>
      </c>
      <c r="AY34" s="957">
        <v>96.558817619999999</v>
      </c>
      <c r="AZ34" s="957">
        <v>94.960161400000004</v>
      </c>
      <c r="BA34" s="957">
        <v>92.786474349999992</v>
      </c>
      <c r="BB34" s="957">
        <v>92.686138580000005</v>
      </c>
      <c r="BC34" s="957">
        <v>65.560757420000002</v>
      </c>
      <c r="BD34" s="957">
        <f>+BD32-BD33</f>
        <v>65.127991899999998</v>
      </c>
      <c r="BE34" s="957">
        <v>65.079658030000004</v>
      </c>
      <c r="BF34" s="957">
        <v>75.943952229999979</v>
      </c>
      <c r="BG34" s="957">
        <v>84.886448259999952</v>
      </c>
      <c r="BH34" s="1006">
        <v>84.143037959999987</v>
      </c>
      <c r="BI34" s="996">
        <v>106.44572910000005</v>
      </c>
      <c r="BJ34" s="996">
        <v>108.36277689999997</v>
      </c>
      <c r="BK34" s="996">
        <v>113.74082812</v>
      </c>
      <c r="BL34" s="996">
        <v>115.93356870999997</v>
      </c>
      <c r="BM34" s="996">
        <v>105.29244775000001</v>
      </c>
      <c r="BN34" s="996">
        <v>102.68236416999997</v>
      </c>
      <c r="BO34" s="996">
        <v>104.36813552999996</v>
      </c>
      <c r="BP34" s="996">
        <v>104.42573457999998</v>
      </c>
      <c r="BQ34" s="996">
        <v>107.70895883999992</v>
      </c>
      <c r="BR34" s="996">
        <v>109.93943311999999</v>
      </c>
      <c r="BS34" s="996">
        <v>110.60699740999996</v>
      </c>
      <c r="BT34" s="996">
        <v>119.57306337</v>
      </c>
      <c r="BU34" s="996">
        <v>88.419897869999971</v>
      </c>
      <c r="BV34" s="996">
        <v>87.155304749999999</v>
      </c>
      <c r="BW34" s="996">
        <v>88.407456259999989</v>
      </c>
      <c r="BX34" s="996">
        <v>87.987078889999992</v>
      </c>
      <c r="BY34" s="996">
        <v>99.7029122</v>
      </c>
      <c r="BZ34" s="996">
        <v>111.98833164000003</v>
      </c>
      <c r="CA34" s="996">
        <v>115.85547894</v>
      </c>
      <c r="CB34" s="996">
        <v>88.459849290000037</v>
      </c>
      <c r="CC34" s="996">
        <v>92.270981499999991</v>
      </c>
      <c r="CD34" s="996">
        <v>90.955385809999996</v>
      </c>
      <c r="CE34" s="996">
        <f t="shared" ref="CE34:CP34" si="13">+CE32-CE33</f>
        <v>99.953562210000001</v>
      </c>
      <c r="CF34" s="996">
        <f t="shared" si="13"/>
        <v>95.410101710000006</v>
      </c>
      <c r="CG34" s="996">
        <f t="shared" si="13"/>
        <v>131.59707266999999</v>
      </c>
      <c r="CH34" s="996">
        <f t="shared" si="13"/>
        <v>132.33735885999999</v>
      </c>
      <c r="CI34" s="996">
        <f t="shared" si="13"/>
        <v>129.31027728000001</v>
      </c>
      <c r="CJ34" s="996">
        <f t="shared" si="13"/>
        <v>127.86406882</v>
      </c>
      <c r="CK34" s="996">
        <f t="shared" si="13"/>
        <v>128.90960982000001</v>
      </c>
      <c r="CL34" s="996">
        <f t="shared" si="13"/>
        <v>126.90668918999999</v>
      </c>
      <c r="CM34" s="996">
        <f t="shared" si="13"/>
        <v>130.54859206</v>
      </c>
      <c r="CN34" s="996">
        <f t="shared" si="13"/>
        <v>132.3559721</v>
      </c>
      <c r="CO34" s="996">
        <f t="shared" si="13"/>
        <v>130.85945053</v>
      </c>
      <c r="CP34" s="996">
        <f t="shared" si="13"/>
        <v>129.42460727</v>
      </c>
      <c r="CQ34" s="996">
        <f>+CQ32-CQ33</f>
        <v>132.78094382</v>
      </c>
      <c r="CR34" s="996">
        <f>+CR32-CR33</f>
        <v>131.17614619</v>
      </c>
      <c r="CS34" s="996">
        <f>+CS32-CS33</f>
        <v>130.91545019</v>
      </c>
      <c r="CT34" s="996">
        <v>148.87658522000001</v>
      </c>
      <c r="CU34" s="996">
        <f>+CU32-CU33</f>
        <v>147.83511228</v>
      </c>
      <c r="CV34" s="996">
        <v>123.85113515</v>
      </c>
      <c r="CW34" s="996">
        <v>123.60106012</v>
      </c>
      <c r="CX34" s="996">
        <v>143.45786885000001</v>
      </c>
      <c r="CY34" s="996">
        <v>129.65630843</v>
      </c>
      <c r="CZ34" s="996">
        <v>133.71631661999999</v>
      </c>
      <c r="DA34" s="996">
        <v>138.0507145</v>
      </c>
      <c r="DB34" s="996">
        <v>152.9101039</v>
      </c>
      <c r="DC34" s="996">
        <f>+DC32-DC33</f>
        <v>156.14519063</v>
      </c>
      <c r="DD34" s="996">
        <v>153.50393962000001</v>
      </c>
      <c r="DE34" s="996">
        <v>147.09209809000001</v>
      </c>
      <c r="DF34" s="996">
        <v>146.00245434999999</v>
      </c>
      <c r="DG34" s="996">
        <f>+DG32-DG33</f>
        <v>126.10169229</v>
      </c>
      <c r="DH34" s="996">
        <v>95.474638159999998</v>
      </c>
      <c r="DI34" s="996">
        <f>+DI32-DI33</f>
        <v>123.62875698000001</v>
      </c>
      <c r="DJ34" s="996">
        <v>123.03585928</v>
      </c>
      <c r="DK34" s="996">
        <v>120.60593677999999</v>
      </c>
      <c r="DL34" s="996">
        <v>119.75968055</v>
      </c>
      <c r="DM34" s="996">
        <v>115.93544707</v>
      </c>
      <c r="DN34" s="996">
        <f>+DN32-DN33</f>
        <v>116.09484907</v>
      </c>
      <c r="DO34" s="996">
        <f>+DO32-DO33</f>
        <v>116.45940041</v>
      </c>
      <c r="DP34" s="996">
        <f>+DP32-DP33</f>
        <v>113.75636114</v>
      </c>
      <c r="DQ34" s="996">
        <f>+DQ32-DQ33</f>
        <v>130.28006633000001</v>
      </c>
      <c r="DR34" s="996">
        <v>178.96461278000001</v>
      </c>
      <c r="DS34" s="996">
        <v>182.42865606999999</v>
      </c>
      <c r="DT34" s="996">
        <v>179.78928171999999</v>
      </c>
      <c r="DU34" s="996">
        <f>+DU32-DU33</f>
        <v>173.14574542</v>
      </c>
      <c r="DV34" s="996">
        <f>+DV32-DV33</f>
        <v>201.72289044999999</v>
      </c>
      <c r="DW34" s="996">
        <v>203.06051572000001</v>
      </c>
      <c r="DX34" s="996">
        <v>205.04967758999999</v>
      </c>
      <c r="DY34" s="996">
        <v>201.24438509999999</v>
      </c>
      <c r="DZ34" s="996">
        <f>+DZ32-DZ33</f>
        <v>198.92859824000001</v>
      </c>
      <c r="EA34" s="996">
        <v>196.23754590999999</v>
      </c>
      <c r="EB34" s="996">
        <v>192.68808307</v>
      </c>
      <c r="EC34" s="996">
        <v>185.30053570999999</v>
      </c>
      <c r="ED34" s="996">
        <v>185.26675236</v>
      </c>
      <c r="EE34" s="996">
        <f>+EE32-EE33</f>
        <v>168.96943045</v>
      </c>
    </row>
    <row r="35" spans="1:135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35" ht="18">
      <c r="A36" s="91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5" ht="17.399999999999999">
      <c r="A37" s="92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5" ht="18">
      <c r="A38" s="91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5" ht="17.399999999999999">
      <c r="A39" s="92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5" ht="18">
      <c r="A40" s="91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5" ht="17.399999999999999">
      <c r="A41" s="92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5" ht="17.399999999999999">
      <c r="A42" s="92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5" ht="18">
      <c r="A43" s="91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5" ht="17.399999999999999">
      <c r="A44" s="92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5" ht="18">
      <c r="A45" s="91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5" ht="17.399999999999999">
      <c r="A46" s="92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5" ht="18">
      <c r="A47" s="91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K62"/>
  <sheetViews>
    <sheetView showGridLines="0" view="pageBreakPreview" zoomScale="70" zoomScaleNormal="100" zoomScaleSheetLayoutView="70" workbookViewId="0">
      <selection activeCell="EJ38" sqref="EJ38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.109375" style="397" hidden="1" customWidth="1"/>
    <col min="36" max="36" width="17.109375" style="397" hidden="1" customWidth="1"/>
    <col min="37" max="37" width="16.88671875" style="397" hidden="1" customWidth="1"/>
    <col min="38" max="44" width="14.6640625" style="397" hidden="1" customWidth="1"/>
    <col min="45" max="45" width="17.109375" style="397" hidden="1" customWidth="1"/>
    <col min="46" max="60" width="17.33203125" style="397" hidden="1" customWidth="1"/>
    <col min="61" max="61" width="13.33203125" style="397" customWidth="1"/>
    <col min="62" max="72" width="17.33203125" style="397" hidden="1" customWidth="1"/>
    <col min="73" max="73" width="13.33203125" style="397" customWidth="1"/>
    <col min="74" max="82" width="17.33203125" style="397" hidden="1" customWidth="1"/>
    <col min="83" max="84" width="17.109375" style="397" hidden="1" customWidth="1"/>
    <col min="85" max="85" width="13.33203125" style="397" customWidth="1"/>
    <col min="86" max="96" width="16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5" width="13.33203125" style="397" customWidth="1"/>
    <col min="136" max="138" width="9.109375" style="397"/>
    <col min="139" max="139" width="0" style="397" hidden="1" customWidth="1"/>
    <col min="140" max="16384" width="9.109375" style="397"/>
  </cols>
  <sheetData>
    <row r="2" spans="1:141" ht="57.75" customHeight="1">
      <c r="A2" s="2380" t="s">
        <v>3376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41" ht="47.25" customHeight="1">
      <c r="A3" s="2389" t="s">
        <v>3370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41" s="788" customFormat="1" ht="20.25" customHeight="1">
      <c r="A4" s="928"/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787"/>
      <c r="BO4" s="787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787"/>
      <c r="CK4" s="787"/>
      <c r="CL4" s="787"/>
      <c r="CM4" s="787"/>
      <c r="CN4" s="787"/>
      <c r="CO4" s="787"/>
      <c r="CP4" s="787"/>
      <c r="CQ4" s="787"/>
      <c r="CR4" s="787"/>
      <c r="CS4" s="787"/>
      <c r="CT4" s="787"/>
      <c r="CU4" s="787"/>
      <c r="CV4" s="787"/>
      <c r="CW4" s="787"/>
      <c r="CX4" s="787"/>
      <c r="CY4" s="787"/>
      <c r="CZ4" s="787"/>
      <c r="DA4" s="787"/>
      <c r="DB4" s="787"/>
      <c r="DC4" s="787"/>
      <c r="DD4" s="787"/>
      <c r="DE4" s="787"/>
      <c r="DF4" s="787"/>
      <c r="DG4" s="787"/>
      <c r="DH4" s="787"/>
      <c r="DI4" s="787"/>
      <c r="DJ4" s="787"/>
      <c r="DK4" s="787"/>
      <c r="DL4" s="787"/>
      <c r="DM4" s="787"/>
      <c r="DN4" s="787"/>
      <c r="DO4" s="787"/>
      <c r="DP4" s="787"/>
      <c r="DQ4" s="787"/>
      <c r="DR4" s="787"/>
      <c r="DS4" s="787"/>
      <c r="DT4" s="787"/>
      <c r="DU4" s="787"/>
      <c r="DV4" s="787"/>
      <c r="DW4" s="787"/>
      <c r="DX4" s="787"/>
      <c r="DY4" s="787"/>
      <c r="DZ4" s="787"/>
      <c r="EA4" s="787"/>
      <c r="EB4" s="787"/>
      <c r="EC4" s="787"/>
      <c r="ED4" s="787"/>
      <c r="EE4" s="787"/>
    </row>
    <row r="5" spans="1:141" s="788" customFormat="1" ht="20.25" customHeight="1">
      <c r="A5" s="2410" t="s">
        <v>2487</v>
      </c>
      <c r="B5" s="2410"/>
      <c r="C5" s="2410"/>
      <c r="D5" s="2410"/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2410"/>
      <c r="U5" s="2410"/>
      <c r="V5" s="2410"/>
      <c r="W5" s="2410"/>
      <c r="X5" s="2410"/>
      <c r="Y5" s="2410"/>
      <c r="Z5" s="2410"/>
      <c r="AA5" s="2410"/>
      <c r="AB5" s="2410"/>
      <c r="AC5" s="2410"/>
      <c r="AD5" s="2410"/>
      <c r="AE5" s="2410"/>
      <c r="AF5" s="2410"/>
      <c r="AG5" s="2410"/>
      <c r="AH5" s="2410"/>
      <c r="AI5" s="2410"/>
      <c r="AJ5" s="2410"/>
      <c r="AK5" s="2410"/>
      <c r="AL5" s="2410"/>
      <c r="AM5" s="2410"/>
      <c r="AN5" s="2410"/>
      <c r="AO5" s="2410"/>
      <c r="AP5" s="2410"/>
      <c r="AQ5" s="2410"/>
      <c r="AR5" s="2410"/>
      <c r="AS5" s="2410"/>
      <c r="AT5" s="2410"/>
      <c r="AU5" s="2410"/>
      <c r="AV5" s="2410"/>
      <c r="AW5" s="2410"/>
      <c r="AX5" s="2410"/>
      <c r="AY5" s="2410"/>
      <c r="AZ5" s="2410"/>
      <c r="BA5" s="2410"/>
      <c r="BB5" s="2410"/>
      <c r="BC5" s="2410"/>
      <c r="BD5" s="2410"/>
      <c r="BE5" s="2410"/>
      <c r="BF5" s="2410"/>
      <c r="BG5" s="2410"/>
      <c r="BH5" s="2410"/>
      <c r="BI5" s="2410"/>
      <c r="BJ5" s="2410"/>
      <c r="BK5" s="2410"/>
      <c r="BL5" s="2410"/>
      <c r="BM5" s="2410"/>
      <c r="BN5" s="2410"/>
      <c r="BO5" s="2410"/>
      <c r="BP5" s="2410"/>
      <c r="BQ5" s="2410"/>
      <c r="BR5" s="2410"/>
      <c r="BS5" s="2410"/>
      <c r="BT5" s="2410"/>
      <c r="BU5" s="2410"/>
      <c r="BV5" s="2410"/>
      <c r="BW5" s="2410"/>
      <c r="BX5" s="2410"/>
      <c r="BY5" s="2410"/>
      <c r="BZ5" s="2410"/>
      <c r="CA5" s="2410"/>
      <c r="CB5" s="2410"/>
      <c r="CC5" s="2410"/>
      <c r="CD5" s="2410"/>
      <c r="CE5" s="2410"/>
      <c r="CF5" s="2410"/>
      <c r="CG5" s="2410"/>
      <c r="CH5" s="2410"/>
      <c r="CI5" s="2410"/>
      <c r="CJ5" s="2410"/>
      <c r="CK5" s="2410"/>
      <c r="CL5" s="2410"/>
      <c r="CM5" s="2410"/>
      <c r="CN5" s="2410"/>
      <c r="CO5" s="2410"/>
      <c r="CP5" s="2410"/>
      <c r="CQ5" s="2410"/>
      <c r="CR5" s="2410"/>
      <c r="CS5" s="2410"/>
      <c r="CT5" s="2410"/>
      <c r="CU5" s="2410"/>
      <c r="CV5" s="2410"/>
      <c r="CW5" s="2410"/>
      <c r="CX5" s="2410"/>
      <c r="CY5" s="2410"/>
      <c r="CZ5" s="2410"/>
      <c r="DA5" s="2410"/>
      <c r="DB5" s="2410"/>
      <c r="DC5" s="2410"/>
      <c r="DD5" s="2410"/>
      <c r="DE5" s="2410"/>
      <c r="DF5" s="2410"/>
      <c r="DG5" s="2410"/>
      <c r="DH5" s="2410"/>
      <c r="DI5" s="2410"/>
      <c r="DJ5" s="2410"/>
      <c r="DK5" s="2410"/>
      <c r="DL5" s="2410"/>
      <c r="DM5" s="2410"/>
      <c r="DN5" s="2410"/>
      <c r="DO5" s="2410"/>
      <c r="DP5" s="2410"/>
      <c r="DQ5" s="2410"/>
      <c r="DR5" s="2410"/>
      <c r="DS5" s="2410"/>
      <c r="DT5" s="2410"/>
      <c r="DU5" s="2410"/>
      <c r="DV5" s="2410"/>
      <c r="DW5" s="2410"/>
      <c r="DX5" s="2410"/>
      <c r="DY5" s="2410"/>
      <c r="DZ5" s="2410"/>
      <c r="EA5" s="2410"/>
      <c r="EB5" s="2410"/>
      <c r="EC5" s="2410"/>
      <c r="ED5" s="2410"/>
      <c r="EE5" s="2410"/>
    </row>
    <row r="6" spans="1:141" ht="28.5" customHeight="1">
      <c r="A6" s="2401"/>
      <c r="B6" s="2415">
        <v>2013</v>
      </c>
      <c r="C6" s="2415"/>
      <c r="D6" s="2415"/>
      <c r="E6" s="2415"/>
      <c r="F6" s="2415"/>
      <c r="G6" s="2415"/>
      <c r="H6" s="2415"/>
      <c r="I6" s="2415"/>
      <c r="J6" s="2415"/>
      <c r="K6" s="2415"/>
      <c r="L6" s="2415"/>
      <c r="M6" s="2415">
        <v>2013</v>
      </c>
      <c r="N6" s="2415">
        <v>2014</v>
      </c>
      <c r="O6" s="2415"/>
      <c r="P6" s="2415"/>
      <c r="Q6" s="2415"/>
      <c r="R6" s="2415"/>
      <c r="S6" s="2415"/>
      <c r="T6" s="2415"/>
      <c r="U6" s="2415"/>
      <c r="V6" s="2415"/>
      <c r="W6" s="2415"/>
      <c r="X6" s="2415"/>
      <c r="Y6" s="2415">
        <v>2014</v>
      </c>
      <c r="Z6" s="2415">
        <v>2015</v>
      </c>
      <c r="AA6" s="2415"/>
      <c r="AB6" s="2415">
        <v>2015</v>
      </c>
      <c r="AC6" s="2415"/>
      <c r="AD6" s="2415"/>
      <c r="AE6" s="2415"/>
      <c r="AF6" s="2415"/>
      <c r="AG6" s="2415"/>
      <c r="AH6" s="2415"/>
      <c r="AI6" s="2415"/>
      <c r="AJ6" s="2415"/>
      <c r="AK6" s="2415"/>
      <c r="AL6" s="2415">
        <v>2016</v>
      </c>
      <c r="AM6" s="2415"/>
      <c r="AN6" s="2415"/>
      <c r="AO6" s="2415"/>
      <c r="AP6" s="2415"/>
      <c r="AQ6" s="2415"/>
      <c r="AR6" s="2415"/>
      <c r="AS6" s="2415"/>
      <c r="AT6" s="2415"/>
      <c r="AU6" s="2415"/>
      <c r="AV6" s="2415"/>
      <c r="AW6" s="2415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05">
        <v>2019</v>
      </c>
      <c r="BW6" s="2405"/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41" ht="28.5" customHeight="1">
      <c r="A7" s="2402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</row>
    <row r="8" spans="1:141" ht="19.8">
      <c r="A8" s="976" t="s">
        <v>2820</v>
      </c>
      <c r="B8" s="945">
        <v>169.88382347999999</v>
      </c>
      <c r="C8" s="945">
        <v>247.99884533000002</v>
      </c>
      <c r="D8" s="945">
        <v>242.24135702999999</v>
      </c>
      <c r="E8" s="945">
        <v>245.52382365</v>
      </c>
      <c r="F8" s="945">
        <v>246.21219626000001</v>
      </c>
      <c r="G8" s="945">
        <v>252.96139915999998</v>
      </c>
      <c r="H8" s="945">
        <v>251.37748672000001</v>
      </c>
      <c r="I8" s="945">
        <v>251.29768046000001</v>
      </c>
      <c r="J8" s="945">
        <v>251.67808912000001</v>
      </c>
      <c r="K8" s="945">
        <v>258.21215817999996</v>
      </c>
      <c r="L8" s="945">
        <v>259.46775642000006</v>
      </c>
      <c r="M8" s="946">
        <v>260.50737816000003</v>
      </c>
      <c r="N8" s="946">
        <v>259.0075324</v>
      </c>
      <c r="O8" s="946">
        <v>260.66100265999995</v>
      </c>
      <c r="P8" s="946">
        <v>260.95556768</v>
      </c>
      <c r="Q8" s="946">
        <v>261.31267273000003</v>
      </c>
      <c r="R8" s="946">
        <v>261.44438452000003</v>
      </c>
      <c r="S8" s="946">
        <v>264.39176478000002</v>
      </c>
      <c r="T8" s="946">
        <v>265.31255012000003</v>
      </c>
      <c r="U8" s="946">
        <v>263.80898729</v>
      </c>
      <c r="V8" s="946">
        <v>263.43730214999999</v>
      </c>
      <c r="W8" s="946">
        <v>262.92923533000004</v>
      </c>
      <c r="X8" s="946">
        <v>262.61974581000004</v>
      </c>
      <c r="Y8" s="946">
        <v>311.12994394999998</v>
      </c>
      <c r="Z8" s="946">
        <v>304.05473837999995</v>
      </c>
      <c r="AA8" s="946">
        <v>915.67673547000004</v>
      </c>
      <c r="AB8" s="946">
        <v>863.3438288000001</v>
      </c>
      <c r="AC8" s="946">
        <v>865.75160313000003</v>
      </c>
      <c r="AD8" s="946">
        <v>861.71480962999999</v>
      </c>
      <c r="AE8" s="946">
        <v>860.69671413000003</v>
      </c>
      <c r="AF8" s="946">
        <v>864.772156</v>
      </c>
      <c r="AG8" s="946">
        <v>864.54325744999983</v>
      </c>
      <c r="AH8" s="946">
        <v>863.41699129999995</v>
      </c>
      <c r="AI8" s="946">
        <v>603.54650871999991</v>
      </c>
      <c r="AJ8" s="946">
        <v>598.22206088000007</v>
      </c>
      <c r="AK8" s="946">
        <v>868.33384219999994</v>
      </c>
      <c r="AL8" s="946">
        <v>868.97574106000013</v>
      </c>
      <c r="AM8" s="946">
        <v>852.46831829999996</v>
      </c>
      <c r="AN8" s="946">
        <v>836.18880465999996</v>
      </c>
      <c r="AO8" s="946">
        <v>762.64084291999995</v>
      </c>
      <c r="AP8" s="946">
        <v>742.98158794000005</v>
      </c>
      <c r="AQ8" s="946">
        <v>766.15728853999985</v>
      </c>
      <c r="AR8" s="946">
        <v>773.38130673000001</v>
      </c>
      <c r="AS8" s="946">
        <v>775.36362268000005</v>
      </c>
      <c r="AT8" s="946">
        <v>767.86342136999997</v>
      </c>
      <c r="AU8" s="946">
        <v>771.95771472000013</v>
      </c>
      <c r="AV8" s="946">
        <v>813.86239699000009</v>
      </c>
      <c r="AW8" s="946">
        <v>831.06472173000009</v>
      </c>
      <c r="AX8" s="946">
        <v>898.53107594999994</v>
      </c>
      <c r="AY8" s="946">
        <v>818.37992768000004</v>
      </c>
      <c r="AZ8" s="946">
        <v>806.64993419999996</v>
      </c>
      <c r="BA8" s="946">
        <v>795.55517027999997</v>
      </c>
      <c r="BB8" s="946">
        <v>734.72260599999993</v>
      </c>
      <c r="BC8" s="946">
        <v>51.911281440000003</v>
      </c>
      <c r="BD8" s="946">
        <v>43.957436620000003</v>
      </c>
      <c r="BE8" s="946">
        <v>22.02057245</v>
      </c>
      <c r="BF8" s="946">
        <v>16.685853870000003</v>
      </c>
      <c r="BG8" s="946">
        <v>15.09283226</v>
      </c>
      <c r="BH8" s="1004">
        <v>14.213046050000001</v>
      </c>
      <c r="BI8" s="993">
        <v>12.14333553</v>
      </c>
      <c r="BJ8" s="993">
        <v>8.3822816200000005</v>
      </c>
      <c r="BK8" s="993">
        <v>7.50647252</v>
      </c>
      <c r="BL8" s="993">
        <v>10.030302820000001</v>
      </c>
      <c r="BM8" s="993">
        <v>12.55454523</v>
      </c>
      <c r="BN8" s="993">
        <v>14.451147650000001</v>
      </c>
      <c r="BO8" s="993">
        <v>13.57539006</v>
      </c>
      <c r="BP8" s="993">
        <v>13.19963248</v>
      </c>
      <c r="BQ8" s="993">
        <v>9.9163587</v>
      </c>
      <c r="BR8" s="993">
        <v>6.4982411100000004</v>
      </c>
      <c r="BS8" s="993">
        <v>5.6924837999999998</v>
      </c>
      <c r="BT8" s="993">
        <v>5.8307804700000005</v>
      </c>
      <c r="BU8" s="993">
        <v>4.0889691800000003</v>
      </c>
      <c r="BV8" s="993">
        <v>4.0835534500000001</v>
      </c>
      <c r="BW8" s="993">
        <v>4.0687518599999999</v>
      </c>
      <c r="BX8" s="993">
        <v>4.0631907500000004</v>
      </c>
      <c r="BY8" s="993">
        <v>4.0575554900000004</v>
      </c>
      <c r="BZ8" s="993">
        <v>3.4147770900000003</v>
      </c>
      <c r="CA8" s="993">
        <v>3.4085130000000001</v>
      </c>
      <c r="CB8" s="993">
        <v>10.627164259999999</v>
      </c>
      <c r="CC8" s="993">
        <v>10.554968950000001</v>
      </c>
      <c r="CD8" s="993">
        <v>16.012061299999999</v>
      </c>
      <c r="CE8" s="993">
        <v>26.22584015</v>
      </c>
      <c r="CF8" s="993">
        <v>165.63629550000002</v>
      </c>
      <c r="CG8" s="993">
        <v>35.824461579999998</v>
      </c>
      <c r="CH8" s="993">
        <v>43.062833189999999</v>
      </c>
      <c r="CI8" s="993">
        <v>45.989883039999995</v>
      </c>
      <c r="CJ8" s="993">
        <v>42.438705810000002</v>
      </c>
      <c r="CK8" s="993">
        <v>41.324060490000008</v>
      </c>
      <c r="CL8" s="993">
        <v>47.775236360000001</v>
      </c>
      <c r="CM8" s="993">
        <v>51.594207059999995</v>
      </c>
      <c r="CN8" s="993">
        <v>66.601194359999994</v>
      </c>
      <c r="CO8" s="993">
        <v>69.123743109999992</v>
      </c>
      <c r="CP8" s="993">
        <v>75.250761589999996</v>
      </c>
      <c r="CQ8" s="993">
        <v>76.221932819999992</v>
      </c>
      <c r="CR8" s="993">
        <v>95.982817420000003</v>
      </c>
      <c r="CS8" s="993">
        <v>100.9654961</v>
      </c>
      <c r="CT8" s="993">
        <v>104.80600579999999</v>
      </c>
      <c r="CU8" s="993">
        <v>243.75187188999999</v>
      </c>
      <c r="CV8" s="993">
        <v>247.95774632000001</v>
      </c>
      <c r="CW8" s="993">
        <v>249.23912799999999</v>
      </c>
      <c r="CX8" s="993">
        <v>252.30897077</v>
      </c>
      <c r="CY8" s="993">
        <v>265.32752973999999</v>
      </c>
      <c r="CZ8" s="993">
        <v>266.33422457</v>
      </c>
      <c r="DA8" s="993">
        <v>265.78165603999997</v>
      </c>
      <c r="DB8" s="993">
        <v>275.40268788999998</v>
      </c>
      <c r="DC8" s="993">
        <v>273.13845358999998</v>
      </c>
      <c r="DD8" s="1064">
        <v>270.36666331999999</v>
      </c>
      <c r="DE8" s="1064">
        <v>279.93951504</v>
      </c>
      <c r="DF8" s="1064">
        <v>276.66269678999998</v>
      </c>
      <c r="DG8" s="1016">
        <v>275.02338974000003</v>
      </c>
      <c r="DH8" s="1016">
        <v>268.45311521999997</v>
      </c>
      <c r="DI8" s="1016">
        <v>274.00583617000001</v>
      </c>
      <c r="DJ8" s="1016">
        <v>276.43745202999997</v>
      </c>
      <c r="DK8" s="1016">
        <v>282.40821255999998</v>
      </c>
      <c r="DL8" s="1016">
        <v>289.24492780999998</v>
      </c>
      <c r="DM8" s="1016">
        <v>283.53300524000002</v>
      </c>
      <c r="DN8" s="1016">
        <v>282.77153706000001</v>
      </c>
      <c r="DO8" s="1016">
        <v>283.01895357000001</v>
      </c>
      <c r="DP8" s="1016">
        <v>263.07961186</v>
      </c>
      <c r="DQ8" s="1016">
        <v>261.26516622999998</v>
      </c>
      <c r="DR8" s="1016">
        <v>261.50346846999997</v>
      </c>
      <c r="DS8" s="1016">
        <v>259.71133880999997</v>
      </c>
      <c r="DT8" s="1016">
        <v>257.22117804999999</v>
      </c>
      <c r="DU8" s="1016">
        <v>265.60792450000002</v>
      </c>
      <c r="DV8" s="1016">
        <v>282.31186286000002</v>
      </c>
      <c r="DW8" s="1016">
        <v>281.33964673000003</v>
      </c>
      <c r="DX8" s="1016">
        <v>276.86807190000002</v>
      </c>
      <c r="DY8" s="1016">
        <v>275.17071999000001</v>
      </c>
      <c r="DZ8" s="1016">
        <v>275.12530187999999</v>
      </c>
      <c r="EA8" s="1016">
        <v>272.92844172999997</v>
      </c>
      <c r="EB8" s="1016">
        <v>270.38717330999998</v>
      </c>
      <c r="EC8" s="1016">
        <v>268.00238601000001</v>
      </c>
      <c r="ED8" s="1016">
        <v>264.80877253</v>
      </c>
      <c r="EE8" s="1016">
        <v>260.53925977</v>
      </c>
      <c r="EJ8" s="398"/>
      <c r="EK8" s="399"/>
    </row>
    <row r="9" spans="1:141" ht="19.8">
      <c r="A9" s="977" t="s">
        <v>2001</v>
      </c>
      <c r="B9" s="949">
        <v>0</v>
      </c>
      <c r="C9" s="949">
        <v>0</v>
      </c>
      <c r="D9" s="949">
        <v>0</v>
      </c>
      <c r="E9" s="949">
        <v>0</v>
      </c>
      <c r="F9" s="949">
        <v>0</v>
      </c>
      <c r="G9" s="949">
        <v>0</v>
      </c>
      <c r="H9" s="949">
        <v>0</v>
      </c>
      <c r="I9" s="949">
        <v>0</v>
      </c>
      <c r="J9" s="949">
        <v>0</v>
      </c>
      <c r="K9" s="949">
        <v>0</v>
      </c>
      <c r="L9" s="949">
        <v>0</v>
      </c>
      <c r="M9" s="950">
        <v>0</v>
      </c>
      <c r="N9" s="950">
        <v>0</v>
      </c>
      <c r="O9" s="950">
        <v>0</v>
      </c>
      <c r="P9" s="950">
        <v>0</v>
      </c>
      <c r="Q9" s="950">
        <v>0</v>
      </c>
      <c r="R9" s="950">
        <v>0</v>
      </c>
      <c r="S9" s="950">
        <v>0</v>
      </c>
      <c r="T9" s="950">
        <v>0</v>
      </c>
      <c r="U9" s="950">
        <v>0</v>
      </c>
      <c r="V9" s="950">
        <v>0</v>
      </c>
      <c r="W9" s="950">
        <v>0</v>
      </c>
      <c r="X9" s="950">
        <v>0</v>
      </c>
      <c r="Y9" s="950">
        <v>0</v>
      </c>
      <c r="Z9" s="950">
        <v>0</v>
      </c>
      <c r="AA9" s="950">
        <v>0</v>
      </c>
      <c r="AB9" s="950">
        <v>0</v>
      </c>
      <c r="AC9" s="950">
        <v>0</v>
      </c>
      <c r="AD9" s="950">
        <v>0</v>
      </c>
      <c r="AE9" s="950">
        <v>0</v>
      </c>
      <c r="AF9" s="950">
        <v>0</v>
      </c>
      <c r="AG9" s="950">
        <v>0</v>
      </c>
      <c r="AH9" s="950">
        <v>0</v>
      </c>
      <c r="AI9" s="950">
        <v>0</v>
      </c>
      <c r="AJ9" s="950">
        <v>0</v>
      </c>
      <c r="AK9" s="950">
        <v>0</v>
      </c>
      <c r="AL9" s="950">
        <v>0</v>
      </c>
      <c r="AM9" s="950">
        <v>0</v>
      </c>
      <c r="AN9" s="950">
        <v>0</v>
      </c>
      <c r="AO9" s="950">
        <v>0</v>
      </c>
      <c r="AP9" s="950">
        <v>0</v>
      </c>
      <c r="AQ9" s="950">
        <v>0</v>
      </c>
      <c r="AR9" s="950">
        <v>0</v>
      </c>
      <c r="AS9" s="950">
        <v>0</v>
      </c>
      <c r="AT9" s="950">
        <v>0</v>
      </c>
      <c r="AU9" s="950">
        <v>0</v>
      </c>
      <c r="AV9" s="950">
        <v>0</v>
      </c>
      <c r="AW9" s="950">
        <v>0</v>
      </c>
      <c r="AX9" s="950">
        <v>0</v>
      </c>
      <c r="AY9" s="950">
        <v>0</v>
      </c>
      <c r="AZ9" s="950">
        <v>0</v>
      </c>
      <c r="BA9" s="950">
        <v>0</v>
      </c>
      <c r="BB9" s="950">
        <v>0</v>
      </c>
      <c r="BC9" s="950">
        <v>0</v>
      </c>
      <c r="BD9" s="950">
        <v>0</v>
      </c>
      <c r="BE9" s="950">
        <v>0</v>
      </c>
      <c r="BF9" s="950">
        <v>0</v>
      </c>
      <c r="BG9" s="950">
        <v>0</v>
      </c>
      <c r="BH9" s="1005">
        <v>0</v>
      </c>
      <c r="BI9" s="994">
        <v>0</v>
      </c>
      <c r="BJ9" s="994">
        <v>0</v>
      </c>
      <c r="BK9" s="994">
        <v>0</v>
      </c>
      <c r="BL9" s="994">
        <v>0</v>
      </c>
      <c r="BM9" s="994">
        <v>0</v>
      </c>
      <c r="BN9" s="994">
        <v>0</v>
      </c>
      <c r="BO9" s="994">
        <v>0</v>
      </c>
      <c r="BP9" s="994">
        <v>0</v>
      </c>
      <c r="BQ9" s="994">
        <v>0</v>
      </c>
      <c r="BR9" s="994">
        <v>0</v>
      </c>
      <c r="BS9" s="994">
        <v>0</v>
      </c>
      <c r="BT9" s="994">
        <v>0</v>
      </c>
      <c r="BU9" s="994">
        <v>0</v>
      </c>
      <c r="BV9" s="994">
        <v>0</v>
      </c>
      <c r="BW9" s="994">
        <v>0</v>
      </c>
      <c r="BX9" s="994">
        <v>0</v>
      </c>
      <c r="BY9" s="994">
        <v>0</v>
      </c>
      <c r="BZ9" s="994">
        <v>0</v>
      </c>
      <c r="CA9" s="994">
        <v>0</v>
      </c>
      <c r="CB9" s="994">
        <v>0</v>
      </c>
      <c r="CC9" s="994">
        <v>0</v>
      </c>
      <c r="CD9" s="994">
        <v>5.1007791600000001</v>
      </c>
      <c r="CE9" s="994">
        <v>0</v>
      </c>
      <c r="CF9" s="994">
        <v>0</v>
      </c>
      <c r="CG9" s="994">
        <v>0</v>
      </c>
      <c r="CH9" s="994">
        <v>0</v>
      </c>
      <c r="CI9" s="994">
        <v>0</v>
      </c>
      <c r="CJ9" s="994">
        <v>0</v>
      </c>
      <c r="CK9" s="994">
        <v>0</v>
      </c>
      <c r="CL9" s="994">
        <v>0</v>
      </c>
      <c r="CM9" s="994">
        <v>0</v>
      </c>
      <c r="CN9" s="994">
        <v>0</v>
      </c>
      <c r="CO9" s="994">
        <v>0</v>
      </c>
      <c r="CP9" s="994">
        <v>0</v>
      </c>
      <c r="CQ9" s="994">
        <v>0</v>
      </c>
      <c r="CR9" s="994">
        <v>0</v>
      </c>
      <c r="CS9" s="994">
        <v>0</v>
      </c>
      <c r="CT9" s="994">
        <v>0</v>
      </c>
      <c r="CU9" s="994">
        <v>0</v>
      </c>
      <c r="CV9" s="994">
        <v>0</v>
      </c>
      <c r="CW9" s="994">
        <v>0</v>
      </c>
      <c r="CX9" s="994">
        <v>0</v>
      </c>
      <c r="CY9" s="994">
        <v>0</v>
      </c>
      <c r="CZ9" s="994">
        <v>0</v>
      </c>
      <c r="DA9" s="994">
        <v>0</v>
      </c>
      <c r="DB9" s="994">
        <v>0</v>
      </c>
      <c r="DC9" s="994">
        <v>0</v>
      </c>
      <c r="DD9" s="1065">
        <v>0</v>
      </c>
      <c r="DE9" s="1065">
        <v>0</v>
      </c>
      <c r="DF9" s="1065">
        <v>0</v>
      </c>
      <c r="DG9" s="1017">
        <v>0</v>
      </c>
      <c r="DH9" s="1017">
        <v>0</v>
      </c>
      <c r="DI9" s="1017">
        <v>0</v>
      </c>
      <c r="DJ9" s="1017">
        <v>0</v>
      </c>
      <c r="DK9" s="1017">
        <v>0</v>
      </c>
      <c r="DL9" s="1017">
        <v>0</v>
      </c>
      <c r="DM9" s="1017">
        <v>0</v>
      </c>
      <c r="DN9" s="1017">
        <v>0</v>
      </c>
      <c r="DO9" s="1017">
        <v>0</v>
      </c>
      <c r="DP9" s="1017">
        <v>0</v>
      </c>
      <c r="DQ9" s="1017">
        <v>0</v>
      </c>
      <c r="DR9" s="1017">
        <v>0</v>
      </c>
      <c r="DS9" s="1017">
        <v>0</v>
      </c>
      <c r="DT9" s="1017">
        <v>0</v>
      </c>
      <c r="DU9" s="1017">
        <v>0</v>
      </c>
      <c r="DV9" s="1017">
        <v>0</v>
      </c>
      <c r="DW9" s="1017">
        <v>0</v>
      </c>
      <c r="DX9" s="1017">
        <v>0</v>
      </c>
      <c r="DY9" s="1017">
        <v>0</v>
      </c>
      <c r="DZ9" s="1017">
        <v>0</v>
      </c>
      <c r="EA9" s="1017">
        <v>0</v>
      </c>
      <c r="EB9" s="1017">
        <v>0</v>
      </c>
      <c r="EC9" s="1017">
        <v>0</v>
      </c>
      <c r="ED9" s="1017">
        <v>0</v>
      </c>
      <c r="EE9" s="1017">
        <v>0</v>
      </c>
      <c r="EK9" s="400"/>
    </row>
    <row r="10" spans="1:141" ht="19.8">
      <c r="A10" s="978" t="s">
        <v>2002</v>
      </c>
      <c r="B10" s="945">
        <f>+B8-B9</f>
        <v>169.88382347999999</v>
      </c>
      <c r="C10" s="945">
        <f t="shared" ref="C10:V10" si="0">+C8-C9</f>
        <v>247.99884533000002</v>
      </c>
      <c r="D10" s="945">
        <f t="shared" si="0"/>
        <v>242.24135702999999</v>
      </c>
      <c r="E10" s="945">
        <f t="shared" si="0"/>
        <v>245.52382365</v>
      </c>
      <c r="F10" s="945">
        <f t="shared" si="0"/>
        <v>246.21219626000001</v>
      </c>
      <c r="G10" s="945">
        <f t="shared" si="0"/>
        <v>252.96139915999998</v>
      </c>
      <c r="H10" s="945">
        <f t="shared" si="0"/>
        <v>251.37748672000001</v>
      </c>
      <c r="I10" s="945">
        <f t="shared" si="0"/>
        <v>251.29768046000001</v>
      </c>
      <c r="J10" s="945">
        <f t="shared" si="0"/>
        <v>251.67808912000001</v>
      </c>
      <c r="K10" s="945">
        <f t="shared" si="0"/>
        <v>258.21215817999996</v>
      </c>
      <c r="L10" s="945">
        <f t="shared" si="0"/>
        <v>259.46775642000006</v>
      </c>
      <c r="M10" s="950">
        <f t="shared" si="0"/>
        <v>260.50737816000003</v>
      </c>
      <c r="N10" s="946">
        <f t="shared" si="0"/>
        <v>259.0075324</v>
      </c>
      <c r="O10" s="946">
        <f t="shared" si="0"/>
        <v>260.66100265999995</v>
      </c>
      <c r="P10" s="946">
        <f t="shared" si="0"/>
        <v>260.95556768</v>
      </c>
      <c r="Q10" s="946">
        <f t="shared" si="0"/>
        <v>261.31267273000003</v>
      </c>
      <c r="R10" s="946">
        <f t="shared" si="0"/>
        <v>261.44438452000003</v>
      </c>
      <c r="S10" s="946">
        <f t="shared" si="0"/>
        <v>264.39176478000002</v>
      </c>
      <c r="T10" s="946">
        <f t="shared" si="0"/>
        <v>265.31255012000003</v>
      </c>
      <c r="U10" s="946">
        <f t="shared" si="0"/>
        <v>263.80898729</v>
      </c>
      <c r="V10" s="946">
        <f t="shared" si="0"/>
        <v>263.43730214999999</v>
      </c>
      <c r="W10" s="946">
        <v>262.92923533000004</v>
      </c>
      <c r="X10" s="946">
        <v>262.61974581000004</v>
      </c>
      <c r="Y10" s="950">
        <v>311.12994394999998</v>
      </c>
      <c r="Z10" s="946">
        <v>304.05473837999995</v>
      </c>
      <c r="AA10" s="946">
        <v>915.67673547000004</v>
      </c>
      <c r="AB10" s="950">
        <v>863.3438288000001</v>
      </c>
      <c r="AC10" s="950">
        <v>865.75160313000003</v>
      </c>
      <c r="AD10" s="950">
        <v>861.71480962999999</v>
      </c>
      <c r="AE10" s="950">
        <v>860.69671413000003</v>
      </c>
      <c r="AF10" s="950">
        <v>864.772156</v>
      </c>
      <c r="AG10" s="950">
        <v>864.54325744999983</v>
      </c>
      <c r="AH10" s="950">
        <f>+AH8-AH9</f>
        <v>863.41699129999995</v>
      </c>
      <c r="AI10" s="950">
        <v>603.54650871999991</v>
      </c>
      <c r="AJ10" s="950">
        <f>+AJ8-AJ9</f>
        <v>598.22206088000007</v>
      </c>
      <c r="AK10" s="950">
        <f>+AK8-AK9</f>
        <v>868.33384219999994</v>
      </c>
      <c r="AL10" s="950">
        <v>868.97574106000013</v>
      </c>
      <c r="AM10" s="950">
        <f>+AM8-AM9</f>
        <v>852.46831829999996</v>
      </c>
      <c r="AN10" s="950">
        <f>+AN8-AN9</f>
        <v>836.18880465999996</v>
      </c>
      <c r="AO10" s="950">
        <f>+AO8-AO9</f>
        <v>762.64084291999995</v>
      </c>
      <c r="AP10" s="950">
        <f>+AP8-AP9</f>
        <v>742.98158794000005</v>
      </c>
      <c r="AQ10" s="950">
        <v>766.15728853999985</v>
      </c>
      <c r="AR10" s="950">
        <f>+AR8-AR9</f>
        <v>773.38130673000001</v>
      </c>
      <c r="AS10" s="950">
        <f>+AS8-AS9</f>
        <v>775.36362268000005</v>
      </c>
      <c r="AT10" s="950">
        <f>+AT8-AT9</f>
        <v>767.86342136999997</v>
      </c>
      <c r="AU10" s="950">
        <v>771.95771472000013</v>
      </c>
      <c r="AV10" s="950">
        <v>813.86239699000009</v>
      </c>
      <c r="AW10" s="950">
        <v>831.06472173000009</v>
      </c>
      <c r="AX10" s="950">
        <v>898.53107594999994</v>
      </c>
      <c r="AY10" s="950">
        <v>818.37992768000004</v>
      </c>
      <c r="AZ10" s="950">
        <v>806.64993419999996</v>
      </c>
      <c r="BA10" s="950">
        <v>795.55517027999997</v>
      </c>
      <c r="BB10" s="950">
        <v>734.72260599999993</v>
      </c>
      <c r="BC10" s="950">
        <v>51.911281440000003</v>
      </c>
      <c r="BD10" s="950">
        <f>+BD8-BD9</f>
        <v>43.957436620000003</v>
      </c>
      <c r="BE10" s="950">
        <v>22.02057245</v>
      </c>
      <c r="BF10" s="950">
        <v>16.685853870000003</v>
      </c>
      <c r="BG10" s="950">
        <v>15.09283226</v>
      </c>
      <c r="BH10" s="1005">
        <v>14.213046050000001</v>
      </c>
      <c r="BI10" s="994">
        <v>12.14333553</v>
      </c>
      <c r="BJ10" s="994">
        <v>8.3822816200000005</v>
      </c>
      <c r="BK10" s="994">
        <v>7.50647252</v>
      </c>
      <c r="BL10" s="994">
        <v>10.030302820000001</v>
      </c>
      <c r="BM10" s="994">
        <v>12.55454523</v>
      </c>
      <c r="BN10" s="994">
        <v>14.451147650000001</v>
      </c>
      <c r="BO10" s="994">
        <v>13.57539006</v>
      </c>
      <c r="BP10" s="994">
        <v>13.19963248</v>
      </c>
      <c r="BQ10" s="994">
        <v>9.9163587</v>
      </c>
      <c r="BR10" s="994">
        <v>6.4982411100000004</v>
      </c>
      <c r="BS10" s="994">
        <v>5.6924837999999998</v>
      </c>
      <c r="BT10" s="994">
        <v>5.8307804700000005</v>
      </c>
      <c r="BU10" s="994">
        <v>4.0889691800000003</v>
      </c>
      <c r="BV10" s="994">
        <v>4.0835534500000001</v>
      </c>
      <c r="BW10" s="994">
        <v>4.0687518599999999</v>
      </c>
      <c r="BX10" s="994">
        <v>4.0631907500000004</v>
      </c>
      <c r="BY10" s="994">
        <v>4.0575554900000004</v>
      </c>
      <c r="BZ10" s="994">
        <v>3.4147770900000003</v>
      </c>
      <c r="CA10" s="994">
        <v>3.4085130000000001</v>
      </c>
      <c r="CB10" s="994">
        <v>10.627164259999999</v>
      </c>
      <c r="CC10" s="994">
        <v>10.554968950000001</v>
      </c>
      <c r="CD10" s="994">
        <v>10.911282139999999</v>
      </c>
      <c r="CE10" s="994">
        <f t="shared" ref="CE10:CP10" si="1">+CE8-CE9</f>
        <v>26.22584015</v>
      </c>
      <c r="CF10" s="994">
        <f t="shared" si="1"/>
        <v>165.63629550000002</v>
      </c>
      <c r="CG10" s="994">
        <f t="shared" si="1"/>
        <v>35.824461579999998</v>
      </c>
      <c r="CH10" s="994">
        <f t="shared" si="1"/>
        <v>43.062833189999999</v>
      </c>
      <c r="CI10" s="994">
        <f t="shared" si="1"/>
        <v>45.989883039999995</v>
      </c>
      <c r="CJ10" s="994">
        <f t="shared" si="1"/>
        <v>42.438705810000002</v>
      </c>
      <c r="CK10" s="994">
        <f t="shared" si="1"/>
        <v>41.324060490000008</v>
      </c>
      <c r="CL10" s="994">
        <f t="shared" si="1"/>
        <v>47.775236360000001</v>
      </c>
      <c r="CM10" s="994">
        <f t="shared" si="1"/>
        <v>51.594207059999995</v>
      </c>
      <c r="CN10" s="994">
        <f t="shared" si="1"/>
        <v>66.601194359999994</v>
      </c>
      <c r="CO10" s="994">
        <f t="shared" si="1"/>
        <v>69.123743109999992</v>
      </c>
      <c r="CP10" s="994">
        <f t="shared" si="1"/>
        <v>75.250761589999996</v>
      </c>
      <c r="CQ10" s="994">
        <f>+CQ8-CQ9</f>
        <v>76.221932819999992</v>
      </c>
      <c r="CR10" s="994">
        <f>+CR8-CR9</f>
        <v>95.982817420000003</v>
      </c>
      <c r="CS10" s="994">
        <f>+CS8-CS9</f>
        <v>100.9654961</v>
      </c>
      <c r="CT10" s="994">
        <v>104.80600579999999</v>
      </c>
      <c r="CU10" s="994">
        <v>243.75187188999999</v>
      </c>
      <c r="CV10" s="994">
        <v>247.95774632000001</v>
      </c>
      <c r="CW10" s="994">
        <v>249.23912799999999</v>
      </c>
      <c r="CX10" s="994">
        <v>252.30897077</v>
      </c>
      <c r="CY10" s="994">
        <v>265.32752973999999</v>
      </c>
      <c r="CZ10" s="994">
        <v>266.33422457</v>
      </c>
      <c r="DA10" s="994">
        <v>265.78165603999997</v>
      </c>
      <c r="DB10" s="994">
        <v>275.40268788999998</v>
      </c>
      <c r="DC10" s="994">
        <v>273.13845358999998</v>
      </c>
      <c r="DD10" s="1065">
        <v>270.36666331999999</v>
      </c>
      <c r="DE10" s="1065">
        <v>279.93951504</v>
      </c>
      <c r="DF10" s="1065">
        <v>276.66269678999998</v>
      </c>
      <c r="DG10" s="1017">
        <v>275.02338974000003</v>
      </c>
      <c r="DH10" s="1017">
        <v>268.45311521999997</v>
      </c>
      <c r="DI10" s="1017">
        <v>274.00583617000001</v>
      </c>
      <c r="DJ10" s="1017">
        <v>276.43745202999997</v>
      </c>
      <c r="DK10" s="1017">
        <v>282.40821255999998</v>
      </c>
      <c r="DL10" s="1017">
        <v>289.24492780999998</v>
      </c>
      <c r="DM10" s="1017">
        <v>283.53300524000002</v>
      </c>
      <c r="DN10" s="1017">
        <v>282.77153706000001</v>
      </c>
      <c r="DO10" s="1017">
        <v>283.01895357000001</v>
      </c>
      <c r="DP10" s="1017">
        <v>263.07961186</v>
      </c>
      <c r="DQ10" s="1017">
        <v>261.26516622999998</v>
      </c>
      <c r="DR10" s="1017">
        <v>261.50346846999997</v>
      </c>
      <c r="DS10" s="1017">
        <v>259.71133880999997</v>
      </c>
      <c r="DT10" s="1017">
        <v>257.22117804999999</v>
      </c>
      <c r="DU10" s="1017">
        <v>265.60792450000002</v>
      </c>
      <c r="DV10" s="1017">
        <v>282.31186286000002</v>
      </c>
      <c r="DW10" s="1017">
        <v>281.33964673000003</v>
      </c>
      <c r="DX10" s="1017">
        <v>276.86807190000002</v>
      </c>
      <c r="DY10" s="1017">
        <v>275.17071999000001</v>
      </c>
      <c r="DZ10" s="1017">
        <v>275.12530187999999</v>
      </c>
      <c r="EA10" s="1017">
        <v>272.92844172999997</v>
      </c>
      <c r="EB10" s="1017">
        <v>270.38717330999998</v>
      </c>
      <c r="EC10" s="1017">
        <v>268.00238601000001</v>
      </c>
      <c r="ED10" s="1017">
        <v>264.80877253</v>
      </c>
      <c r="EE10" s="1017">
        <v>260.53925977</v>
      </c>
      <c r="EK10" s="400"/>
    </row>
    <row r="11" spans="1:141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K11" s="400"/>
    </row>
    <row r="12" spans="1:141" ht="19.8">
      <c r="A12" s="976" t="s">
        <v>2821</v>
      </c>
      <c r="B12" s="945">
        <v>0.71924679999999996</v>
      </c>
      <c r="C12" s="945">
        <v>3.3257617499999999</v>
      </c>
      <c r="D12" s="945">
        <v>3.1663374599999998</v>
      </c>
      <c r="E12" s="945">
        <v>3.08069361</v>
      </c>
      <c r="F12" s="945">
        <v>3.0398728500000001</v>
      </c>
      <c r="G12" s="945">
        <v>2.9984903100000002</v>
      </c>
      <c r="H12" s="945">
        <v>2.9565737400000005</v>
      </c>
      <c r="I12" s="945">
        <v>2.8748607900000001</v>
      </c>
      <c r="J12" s="945">
        <v>2.7822050099999998</v>
      </c>
      <c r="K12" s="945">
        <v>2.7543022000000001</v>
      </c>
      <c r="L12" s="945">
        <v>2.7542897000000002</v>
      </c>
      <c r="M12" s="946">
        <v>2.6973755000000001</v>
      </c>
      <c r="N12" s="946">
        <v>2.6973379999999998</v>
      </c>
      <c r="O12" s="946">
        <v>2.7603630000000003</v>
      </c>
      <c r="P12" s="946">
        <v>2.7603505000000004</v>
      </c>
      <c r="Q12" s="946">
        <v>2.7603505000000004</v>
      </c>
      <c r="R12" s="946">
        <v>2.8056975000000004</v>
      </c>
      <c r="S12" s="946">
        <v>2.7679602799999996</v>
      </c>
      <c r="T12" s="946">
        <v>2.5448661900000005</v>
      </c>
      <c r="U12" s="946">
        <v>2.9322027899999998</v>
      </c>
      <c r="V12" s="946">
        <v>3.7422552900000001</v>
      </c>
      <c r="W12" s="946">
        <v>4.4065872299999995</v>
      </c>
      <c r="X12" s="946">
        <v>4.7866376800000001</v>
      </c>
      <c r="Y12" s="946">
        <v>5.00299491</v>
      </c>
      <c r="Z12" s="946">
        <v>5.0037725799999997</v>
      </c>
      <c r="AA12" s="946">
        <v>5.6717204199999998</v>
      </c>
      <c r="AB12" s="946">
        <v>5.6783570399999999</v>
      </c>
      <c r="AC12" s="946">
        <v>5.6940404400000002</v>
      </c>
      <c r="AD12" s="946">
        <v>5.7065762800000002</v>
      </c>
      <c r="AE12" s="946">
        <v>4.70644638</v>
      </c>
      <c r="AF12" s="946">
        <v>4.7108481700000002</v>
      </c>
      <c r="AG12" s="946">
        <v>4.9477580699999999</v>
      </c>
      <c r="AH12" s="946">
        <v>3.9207857599999998</v>
      </c>
      <c r="AI12" s="946">
        <v>3.9145460000000001</v>
      </c>
      <c r="AJ12" s="946">
        <v>3.89771767</v>
      </c>
      <c r="AK12" s="946">
        <v>4.6234668399999999</v>
      </c>
      <c r="AL12" s="946">
        <v>2.1435756800000001</v>
      </c>
      <c r="AM12" s="946">
        <v>2.0958947000000001</v>
      </c>
      <c r="AN12" s="946">
        <v>2.1495100000000003E-3</v>
      </c>
      <c r="AO12" s="946">
        <v>2.1495100000000003E-3</v>
      </c>
      <c r="AP12" s="946">
        <v>1.5647899999999999E-3</v>
      </c>
      <c r="AQ12" s="946">
        <v>1.5647899999999999E-3</v>
      </c>
      <c r="AR12" s="946">
        <v>1.26399E-3</v>
      </c>
      <c r="AS12" s="946">
        <v>6.4259000000000007E-4</v>
      </c>
      <c r="AT12" s="946">
        <v>6.4259000000000007E-4</v>
      </c>
      <c r="AU12" s="946">
        <v>0</v>
      </c>
      <c r="AV12" s="946">
        <v>0</v>
      </c>
      <c r="AW12" s="946">
        <v>0</v>
      </c>
      <c r="AX12" s="946">
        <v>0</v>
      </c>
      <c r="AY12" s="946">
        <v>0</v>
      </c>
      <c r="AZ12" s="946">
        <v>0</v>
      </c>
      <c r="BA12" s="946">
        <v>0</v>
      </c>
      <c r="BB12" s="946">
        <v>0</v>
      </c>
      <c r="BC12" s="946">
        <v>0</v>
      </c>
      <c r="BD12" s="946">
        <v>0</v>
      </c>
      <c r="BE12" s="946">
        <v>0</v>
      </c>
      <c r="BF12" s="946">
        <v>0</v>
      </c>
      <c r="BG12" s="946">
        <v>0</v>
      </c>
      <c r="BH12" s="1004">
        <v>0</v>
      </c>
      <c r="BI12" s="993">
        <v>0</v>
      </c>
      <c r="BJ12" s="993">
        <v>0</v>
      </c>
      <c r="BK12" s="993">
        <v>0</v>
      </c>
      <c r="BL12" s="993">
        <v>3.4</v>
      </c>
      <c r="BM12" s="993">
        <v>3.4</v>
      </c>
      <c r="BN12" s="993">
        <v>3.4</v>
      </c>
      <c r="BO12" s="993">
        <v>3.4</v>
      </c>
      <c r="BP12" s="993">
        <v>3.4</v>
      </c>
      <c r="BQ12" s="993">
        <v>2.9750000000000001</v>
      </c>
      <c r="BR12" s="993">
        <v>2.9750000000000001</v>
      </c>
      <c r="BS12" s="993">
        <v>2.9750000000000001</v>
      </c>
      <c r="BT12" s="993">
        <v>2.9750000000000001</v>
      </c>
      <c r="BU12" s="993">
        <v>2.9750000000000001</v>
      </c>
      <c r="BV12" s="993">
        <v>2.9750000000000001</v>
      </c>
      <c r="BW12" s="993">
        <v>2.9750000000000001</v>
      </c>
      <c r="BX12" s="993">
        <v>2.9750000000000001</v>
      </c>
      <c r="BY12" s="993">
        <v>2.9750000000000001</v>
      </c>
      <c r="BZ12" s="993">
        <v>2.9750000000000001</v>
      </c>
      <c r="CA12" s="993">
        <v>2.9750000000000001</v>
      </c>
      <c r="CB12" s="993">
        <v>2.9750000000000001</v>
      </c>
      <c r="CC12" s="993">
        <v>2.9750000000000001</v>
      </c>
      <c r="CD12" s="993">
        <v>2.9750000000000001</v>
      </c>
      <c r="CE12" s="993">
        <v>3.145</v>
      </c>
      <c r="CF12" s="993">
        <v>3.3149999999999999</v>
      </c>
      <c r="CG12" s="993">
        <v>3.3149999999999999</v>
      </c>
      <c r="CH12" s="993">
        <v>3.3149999999999999</v>
      </c>
      <c r="CI12" s="993">
        <v>3.3510149999999999</v>
      </c>
      <c r="CJ12" s="993">
        <v>3.4849999999999999</v>
      </c>
      <c r="CK12" s="993">
        <v>3.6209988100000001</v>
      </c>
      <c r="CL12" s="993">
        <v>3.90305233</v>
      </c>
      <c r="CM12" s="993">
        <v>3.91807317</v>
      </c>
      <c r="CN12" s="993">
        <v>3.9283878200000002</v>
      </c>
      <c r="CO12" s="993">
        <v>3.9468023099999998</v>
      </c>
      <c r="CP12" s="993">
        <v>6.5682484999999993</v>
      </c>
      <c r="CQ12" s="993">
        <v>9.36269347</v>
      </c>
      <c r="CR12" s="993">
        <v>16.961453479999999</v>
      </c>
      <c r="CS12" s="993">
        <v>16.630232190000001</v>
      </c>
      <c r="CT12" s="993">
        <v>15.83908175</v>
      </c>
      <c r="CU12" s="993">
        <v>14.61538648</v>
      </c>
      <c r="CV12" s="993">
        <v>14.209023869999999</v>
      </c>
      <c r="CW12" s="993">
        <v>12.34617873</v>
      </c>
      <c r="CX12" s="993">
        <v>11.57953597</v>
      </c>
      <c r="CY12" s="993">
        <v>11.820621279999999</v>
      </c>
      <c r="CZ12" s="993">
        <v>13.051994410000001</v>
      </c>
      <c r="DA12" s="993">
        <v>14.430100080000001</v>
      </c>
      <c r="DB12" s="993">
        <v>15.21314971</v>
      </c>
      <c r="DC12" s="993">
        <v>14.725355049999999</v>
      </c>
      <c r="DD12" s="1064">
        <v>13.449618470000001</v>
      </c>
      <c r="DE12" s="1064">
        <v>13.49137487</v>
      </c>
      <c r="DF12" s="1064">
        <v>13.693136109999999</v>
      </c>
      <c r="DG12" s="1016">
        <v>13.2541612</v>
      </c>
      <c r="DH12" s="1016">
        <v>8.3835420900000006</v>
      </c>
      <c r="DI12" s="1016">
        <v>10.29822912</v>
      </c>
      <c r="DJ12" s="1016">
        <v>10.11127774</v>
      </c>
      <c r="DK12" s="1016">
        <v>10.43964443</v>
      </c>
      <c r="DL12" s="1016">
        <v>18.530975040000001</v>
      </c>
      <c r="DM12" s="1016">
        <v>13.16586676</v>
      </c>
      <c r="DN12" s="1016">
        <v>13.283064639999999</v>
      </c>
      <c r="DO12" s="1016">
        <v>13.595074609999999</v>
      </c>
      <c r="DP12" s="1016">
        <v>13.596465650000001</v>
      </c>
      <c r="DQ12" s="1016">
        <v>10.45711551</v>
      </c>
      <c r="DR12" s="1016">
        <v>9.5560258699999991</v>
      </c>
      <c r="DS12" s="1016">
        <v>8.7300143600000002</v>
      </c>
      <c r="DT12" s="1016">
        <v>7.7894355800000001</v>
      </c>
      <c r="DU12" s="1016">
        <v>16.220745340000001</v>
      </c>
      <c r="DV12" s="1016">
        <v>16.626281630000001</v>
      </c>
      <c r="DW12" s="1016">
        <v>17.317262360000001</v>
      </c>
      <c r="DX12" s="1016">
        <v>15.71157923</v>
      </c>
      <c r="DY12" s="1016">
        <v>15.202089559999999</v>
      </c>
      <c r="DZ12" s="1016">
        <v>14.979586599999999</v>
      </c>
      <c r="EA12" s="1016">
        <v>13.82867304</v>
      </c>
      <c r="EB12" s="1016">
        <v>12.5698259</v>
      </c>
      <c r="EC12" s="1016">
        <v>11.238747679999999</v>
      </c>
      <c r="ED12" s="1016">
        <v>9.8295236100000007</v>
      </c>
      <c r="EE12" s="1016">
        <v>8.4128692100000002</v>
      </c>
      <c r="EK12" s="400"/>
    </row>
    <row r="13" spans="1:141" ht="19.8">
      <c r="A13" s="977" t="s">
        <v>2001</v>
      </c>
      <c r="B13" s="949">
        <v>0</v>
      </c>
      <c r="C13" s="949">
        <v>0</v>
      </c>
      <c r="D13" s="949">
        <v>0</v>
      </c>
      <c r="E13" s="949">
        <v>0</v>
      </c>
      <c r="F13" s="949">
        <v>0</v>
      </c>
      <c r="G13" s="949">
        <v>0</v>
      </c>
      <c r="H13" s="949">
        <v>0</v>
      </c>
      <c r="I13" s="949">
        <v>0</v>
      </c>
      <c r="J13" s="949">
        <v>0</v>
      </c>
      <c r="K13" s="949">
        <v>0</v>
      </c>
      <c r="L13" s="949">
        <v>0</v>
      </c>
      <c r="M13" s="950">
        <v>0</v>
      </c>
      <c r="N13" s="950">
        <v>0</v>
      </c>
      <c r="O13" s="950">
        <v>0</v>
      </c>
      <c r="P13" s="950">
        <v>0</v>
      </c>
      <c r="Q13" s="950">
        <v>0</v>
      </c>
      <c r="R13" s="950">
        <v>0</v>
      </c>
      <c r="S13" s="950">
        <v>0</v>
      </c>
      <c r="T13" s="950">
        <v>0</v>
      </c>
      <c r="U13" s="950">
        <v>0</v>
      </c>
      <c r="V13" s="950">
        <v>0</v>
      </c>
      <c r="W13" s="950">
        <v>0</v>
      </c>
      <c r="X13" s="950">
        <v>0</v>
      </c>
      <c r="Y13" s="950">
        <v>0</v>
      </c>
      <c r="Z13" s="950">
        <v>0</v>
      </c>
      <c r="AA13" s="950">
        <v>0</v>
      </c>
      <c r="AB13" s="950">
        <v>0</v>
      </c>
      <c r="AC13" s="950">
        <v>0</v>
      </c>
      <c r="AD13" s="950">
        <v>0</v>
      </c>
      <c r="AE13" s="950">
        <v>0</v>
      </c>
      <c r="AF13" s="950">
        <v>0</v>
      </c>
      <c r="AG13" s="950">
        <v>0</v>
      </c>
      <c r="AH13" s="950">
        <v>0</v>
      </c>
      <c r="AI13" s="950">
        <v>0</v>
      </c>
      <c r="AJ13" s="950">
        <v>0</v>
      </c>
      <c r="AK13" s="950">
        <v>0</v>
      </c>
      <c r="AL13" s="950">
        <v>0</v>
      </c>
      <c r="AM13" s="950">
        <v>0</v>
      </c>
      <c r="AN13" s="950">
        <v>0</v>
      </c>
      <c r="AO13" s="950">
        <v>0</v>
      </c>
      <c r="AP13" s="950">
        <v>0</v>
      </c>
      <c r="AQ13" s="950">
        <v>0</v>
      </c>
      <c r="AR13" s="950">
        <v>0</v>
      </c>
      <c r="AS13" s="950">
        <v>0</v>
      </c>
      <c r="AT13" s="950">
        <v>0</v>
      </c>
      <c r="AU13" s="950">
        <v>0</v>
      </c>
      <c r="AV13" s="950">
        <v>0</v>
      </c>
      <c r="AW13" s="950">
        <v>0</v>
      </c>
      <c r="AX13" s="950">
        <v>0</v>
      </c>
      <c r="AY13" s="950">
        <v>0</v>
      </c>
      <c r="AZ13" s="950">
        <v>0</v>
      </c>
      <c r="BA13" s="950">
        <v>0</v>
      </c>
      <c r="BB13" s="950">
        <v>0</v>
      </c>
      <c r="BC13" s="950">
        <v>0</v>
      </c>
      <c r="BD13" s="950">
        <v>0</v>
      </c>
      <c r="BE13" s="950">
        <v>0</v>
      </c>
      <c r="BF13" s="950">
        <v>0</v>
      </c>
      <c r="BG13" s="950">
        <v>0</v>
      </c>
      <c r="BH13" s="1005">
        <v>0</v>
      </c>
      <c r="BI13" s="994">
        <v>0</v>
      </c>
      <c r="BJ13" s="994">
        <v>0</v>
      </c>
      <c r="BK13" s="994">
        <v>0</v>
      </c>
      <c r="BL13" s="994">
        <v>0</v>
      </c>
      <c r="BM13" s="994">
        <v>0</v>
      </c>
      <c r="BN13" s="994">
        <v>0</v>
      </c>
      <c r="BO13" s="994">
        <v>0</v>
      </c>
      <c r="BP13" s="994">
        <v>0</v>
      </c>
      <c r="BQ13" s="994">
        <v>0</v>
      </c>
      <c r="BR13" s="994">
        <v>0</v>
      </c>
      <c r="BS13" s="994">
        <v>0</v>
      </c>
      <c r="BT13" s="994">
        <v>0</v>
      </c>
      <c r="BU13" s="994">
        <v>0</v>
      </c>
      <c r="BV13" s="994">
        <v>0</v>
      </c>
      <c r="BW13" s="994">
        <v>0</v>
      </c>
      <c r="BX13" s="994">
        <v>0</v>
      </c>
      <c r="BY13" s="994">
        <v>0</v>
      </c>
      <c r="BZ13" s="994">
        <v>0</v>
      </c>
      <c r="CA13" s="994">
        <v>0</v>
      </c>
      <c r="CB13" s="994">
        <v>0</v>
      </c>
      <c r="CC13" s="994">
        <v>0</v>
      </c>
      <c r="CD13" s="994">
        <v>0</v>
      </c>
      <c r="CE13" s="994">
        <v>0</v>
      </c>
      <c r="CF13" s="994">
        <v>0</v>
      </c>
      <c r="CG13" s="994">
        <v>0</v>
      </c>
      <c r="CH13" s="994">
        <v>0</v>
      </c>
      <c r="CI13" s="994">
        <v>0</v>
      </c>
      <c r="CJ13" s="994">
        <v>0</v>
      </c>
      <c r="CK13" s="994">
        <v>0</v>
      </c>
      <c r="CL13" s="994">
        <v>0</v>
      </c>
      <c r="CM13" s="994">
        <v>0</v>
      </c>
      <c r="CN13" s="994">
        <v>0</v>
      </c>
      <c r="CO13" s="994">
        <v>0</v>
      </c>
      <c r="CP13" s="994">
        <v>0</v>
      </c>
      <c r="CQ13" s="994">
        <v>0</v>
      </c>
      <c r="CR13" s="994">
        <v>0</v>
      </c>
      <c r="CS13" s="994">
        <v>0</v>
      </c>
      <c r="CT13" s="994">
        <v>0</v>
      </c>
      <c r="CU13" s="994">
        <v>0</v>
      </c>
      <c r="CV13" s="994">
        <v>0</v>
      </c>
      <c r="CW13" s="994">
        <v>0</v>
      </c>
      <c r="CX13" s="994">
        <v>0</v>
      </c>
      <c r="CY13" s="994">
        <v>0</v>
      </c>
      <c r="CZ13" s="994">
        <v>0</v>
      </c>
      <c r="DA13" s="994">
        <v>0</v>
      </c>
      <c r="DB13" s="994">
        <v>0</v>
      </c>
      <c r="DC13" s="994">
        <v>0</v>
      </c>
      <c r="DD13" s="1065">
        <v>0</v>
      </c>
      <c r="DE13" s="1065">
        <v>0</v>
      </c>
      <c r="DF13" s="1065">
        <v>0</v>
      </c>
      <c r="DG13" s="1017">
        <v>0</v>
      </c>
      <c r="DH13" s="1017">
        <v>0</v>
      </c>
      <c r="DI13" s="1017">
        <v>0</v>
      </c>
      <c r="DJ13" s="1017">
        <v>0</v>
      </c>
      <c r="DK13" s="1017">
        <v>0</v>
      </c>
      <c r="DL13" s="1017">
        <v>0</v>
      </c>
      <c r="DM13" s="1017">
        <v>0</v>
      </c>
      <c r="DN13" s="1017">
        <v>0</v>
      </c>
      <c r="DO13" s="1017">
        <v>0</v>
      </c>
      <c r="DP13" s="1017">
        <v>0</v>
      </c>
      <c r="DQ13" s="1017">
        <v>0</v>
      </c>
      <c r="DR13" s="1017">
        <v>0</v>
      </c>
      <c r="DS13" s="1017">
        <v>0</v>
      </c>
      <c r="DT13" s="1017">
        <v>0</v>
      </c>
      <c r="DU13" s="1017">
        <v>0</v>
      </c>
      <c r="DV13" s="1017">
        <v>0</v>
      </c>
      <c r="DW13" s="1017">
        <v>0</v>
      </c>
      <c r="DX13" s="1017">
        <v>0</v>
      </c>
      <c r="DY13" s="1017">
        <v>0</v>
      </c>
      <c r="DZ13" s="1017">
        <v>0</v>
      </c>
      <c r="EA13" s="1017">
        <v>0</v>
      </c>
      <c r="EB13" s="1017">
        <v>0</v>
      </c>
      <c r="EC13" s="1017">
        <v>0</v>
      </c>
      <c r="ED13" s="1017">
        <v>0</v>
      </c>
      <c r="EE13" s="1017">
        <v>0</v>
      </c>
      <c r="EK13" s="400"/>
    </row>
    <row r="14" spans="1:141" ht="19.8">
      <c r="A14" s="978" t="s">
        <v>2002</v>
      </c>
      <c r="B14" s="949">
        <f>+B12-B13</f>
        <v>0.71924679999999996</v>
      </c>
      <c r="C14" s="949">
        <f t="shared" ref="C14:V14" si="2">+C12-C13</f>
        <v>3.3257617499999999</v>
      </c>
      <c r="D14" s="949">
        <f t="shared" si="2"/>
        <v>3.1663374599999998</v>
      </c>
      <c r="E14" s="949">
        <f t="shared" si="2"/>
        <v>3.08069361</v>
      </c>
      <c r="F14" s="949">
        <f t="shared" si="2"/>
        <v>3.0398728500000001</v>
      </c>
      <c r="G14" s="949">
        <f t="shared" si="2"/>
        <v>2.9984903100000002</v>
      </c>
      <c r="H14" s="949">
        <f t="shared" si="2"/>
        <v>2.9565737400000005</v>
      </c>
      <c r="I14" s="949">
        <f t="shared" si="2"/>
        <v>2.8748607900000001</v>
      </c>
      <c r="J14" s="949">
        <f t="shared" si="2"/>
        <v>2.7822050099999998</v>
      </c>
      <c r="K14" s="949">
        <f t="shared" si="2"/>
        <v>2.7543022000000001</v>
      </c>
      <c r="L14" s="949">
        <f t="shared" si="2"/>
        <v>2.7542897000000002</v>
      </c>
      <c r="M14" s="950">
        <f t="shared" si="2"/>
        <v>2.6973755000000001</v>
      </c>
      <c r="N14" s="950">
        <f t="shared" si="2"/>
        <v>2.6973379999999998</v>
      </c>
      <c r="O14" s="950">
        <f t="shared" si="2"/>
        <v>2.7603630000000003</v>
      </c>
      <c r="P14" s="950">
        <f t="shared" si="2"/>
        <v>2.7603505000000004</v>
      </c>
      <c r="Q14" s="950">
        <f t="shared" si="2"/>
        <v>2.7603505000000004</v>
      </c>
      <c r="R14" s="950">
        <f t="shared" si="2"/>
        <v>2.8056975000000004</v>
      </c>
      <c r="S14" s="950">
        <f t="shared" si="2"/>
        <v>2.7679602799999996</v>
      </c>
      <c r="T14" s="950">
        <f t="shared" si="2"/>
        <v>2.5448661900000005</v>
      </c>
      <c r="U14" s="950">
        <f t="shared" si="2"/>
        <v>2.9322027899999998</v>
      </c>
      <c r="V14" s="950">
        <f t="shared" si="2"/>
        <v>3.7422552900000001</v>
      </c>
      <c r="W14" s="950">
        <v>4.4065872299999995</v>
      </c>
      <c r="X14" s="950">
        <v>4.7866376800000001</v>
      </c>
      <c r="Y14" s="950">
        <v>5.00299491</v>
      </c>
      <c r="Z14" s="950">
        <v>5.0037725799999997</v>
      </c>
      <c r="AA14" s="950">
        <v>5.6717204199999998</v>
      </c>
      <c r="AB14" s="950">
        <v>5.6783570399999999</v>
      </c>
      <c r="AC14" s="950">
        <v>5.6940404400000002</v>
      </c>
      <c r="AD14" s="950">
        <v>5.7065762800000002</v>
      </c>
      <c r="AE14" s="950">
        <v>4.70644638</v>
      </c>
      <c r="AF14" s="950">
        <v>4.7108481700000002</v>
      </c>
      <c r="AG14" s="950">
        <v>4.9477580699999999</v>
      </c>
      <c r="AH14" s="950">
        <f>+AH12-AH13</f>
        <v>3.9207857599999998</v>
      </c>
      <c r="AI14" s="950">
        <v>3.9145460000000001</v>
      </c>
      <c r="AJ14" s="950">
        <f>+AJ12-AJ13</f>
        <v>3.89771767</v>
      </c>
      <c r="AK14" s="950">
        <f>+AK12-AK13</f>
        <v>4.6234668399999999</v>
      </c>
      <c r="AL14" s="950">
        <v>2.1435756800000001</v>
      </c>
      <c r="AM14" s="950">
        <f>+AM12-AM13</f>
        <v>2.0958947000000001</v>
      </c>
      <c r="AN14" s="950">
        <f>+AN12-AN13</f>
        <v>2.1495100000000003E-3</v>
      </c>
      <c r="AO14" s="950">
        <f>+AO12-AO13</f>
        <v>2.1495100000000003E-3</v>
      </c>
      <c r="AP14" s="950">
        <f>+AP12-AP13</f>
        <v>1.5647899999999999E-3</v>
      </c>
      <c r="AQ14" s="950">
        <v>1.5647899999999999E-3</v>
      </c>
      <c r="AR14" s="950">
        <f>+AR12-AR13</f>
        <v>1.26399E-3</v>
      </c>
      <c r="AS14" s="950">
        <f>+AS12-AS13</f>
        <v>6.4259000000000007E-4</v>
      </c>
      <c r="AT14" s="950">
        <f>+AT12-AT13</f>
        <v>6.4259000000000007E-4</v>
      </c>
      <c r="AU14" s="950">
        <v>0</v>
      </c>
      <c r="AV14" s="950">
        <v>0</v>
      </c>
      <c r="AW14" s="950">
        <v>0</v>
      </c>
      <c r="AX14" s="950">
        <v>0</v>
      </c>
      <c r="AY14" s="950">
        <v>0</v>
      </c>
      <c r="AZ14" s="950">
        <v>0</v>
      </c>
      <c r="BA14" s="950">
        <v>0</v>
      </c>
      <c r="BB14" s="950">
        <v>0</v>
      </c>
      <c r="BC14" s="950">
        <v>0</v>
      </c>
      <c r="BD14" s="950">
        <f>+BD12-BD13</f>
        <v>0</v>
      </c>
      <c r="BE14" s="950">
        <v>0</v>
      </c>
      <c r="BF14" s="950">
        <v>0</v>
      </c>
      <c r="BG14" s="950">
        <v>0</v>
      </c>
      <c r="BH14" s="1005">
        <v>0</v>
      </c>
      <c r="BI14" s="994">
        <v>0</v>
      </c>
      <c r="BJ14" s="994">
        <v>0</v>
      </c>
      <c r="BK14" s="994">
        <v>0</v>
      </c>
      <c r="BL14" s="994">
        <v>3.4</v>
      </c>
      <c r="BM14" s="994">
        <v>3.4</v>
      </c>
      <c r="BN14" s="994">
        <v>3.4</v>
      </c>
      <c r="BO14" s="994">
        <v>3.4</v>
      </c>
      <c r="BP14" s="994">
        <v>3.4</v>
      </c>
      <c r="BQ14" s="994">
        <v>2.9750000000000001</v>
      </c>
      <c r="BR14" s="994">
        <v>2.9750000000000001</v>
      </c>
      <c r="BS14" s="994">
        <v>2.9750000000000001</v>
      </c>
      <c r="BT14" s="994">
        <v>2.9750000000000001</v>
      </c>
      <c r="BU14" s="994">
        <v>2.9750000000000001</v>
      </c>
      <c r="BV14" s="994">
        <v>2.9750000000000001</v>
      </c>
      <c r="BW14" s="994">
        <v>2.9750000000000001</v>
      </c>
      <c r="BX14" s="994">
        <v>2.9750000000000001</v>
      </c>
      <c r="BY14" s="994">
        <v>2.9750000000000001</v>
      </c>
      <c r="BZ14" s="994">
        <v>2.9750000000000001</v>
      </c>
      <c r="CA14" s="994">
        <v>2.9750000000000001</v>
      </c>
      <c r="CB14" s="994">
        <v>2.9750000000000001</v>
      </c>
      <c r="CC14" s="994">
        <v>2.9750000000000001</v>
      </c>
      <c r="CD14" s="994">
        <v>2.9750000000000001</v>
      </c>
      <c r="CE14" s="994">
        <f t="shared" ref="CE14:CP14" si="3">+CE12-CE13</f>
        <v>3.145</v>
      </c>
      <c r="CF14" s="994">
        <f t="shared" si="3"/>
        <v>3.3149999999999999</v>
      </c>
      <c r="CG14" s="994">
        <f t="shared" si="3"/>
        <v>3.3149999999999999</v>
      </c>
      <c r="CH14" s="994">
        <f t="shared" si="3"/>
        <v>3.3149999999999999</v>
      </c>
      <c r="CI14" s="994">
        <f t="shared" si="3"/>
        <v>3.3510149999999999</v>
      </c>
      <c r="CJ14" s="994">
        <f t="shared" si="3"/>
        <v>3.4849999999999999</v>
      </c>
      <c r="CK14" s="994">
        <f t="shared" si="3"/>
        <v>3.6209988100000001</v>
      </c>
      <c r="CL14" s="994">
        <f t="shared" si="3"/>
        <v>3.90305233</v>
      </c>
      <c r="CM14" s="994">
        <f t="shared" si="3"/>
        <v>3.91807317</v>
      </c>
      <c r="CN14" s="994">
        <f t="shared" si="3"/>
        <v>3.9283878200000002</v>
      </c>
      <c r="CO14" s="994">
        <f t="shared" si="3"/>
        <v>3.9468023099999998</v>
      </c>
      <c r="CP14" s="994">
        <f t="shared" si="3"/>
        <v>6.5682484999999993</v>
      </c>
      <c r="CQ14" s="994">
        <f>+CQ12-CQ13</f>
        <v>9.36269347</v>
      </c>
      <c r="CR14" s="994">
        <f>+CR12-CR13</f>
        <v>16.961453479999999</v>
      </c>
      <c r="CS14" s="994">
        <f>+CS12-CS13</f>
        <v>16.630232190000001</v>
      </c>
      <c r="CT14" s="994">
        <v>15.83908175</v>
      </c>
      <c r="CU14" s="994">
        <v>14.61538648</v>
      </c>
      <c r="CV14" s="994">
        <v>14.209023869999999</v>
      </c>
      <c r="CW14" s="994">
        <v>12.34617873</v>
      </c>
      <c r="CX14" s="994">
        <v>11.57953597</v>
      </c>
      <c r="CY14" s="994">
        <v>11.820621279999999</v>
      </c>
      <c r="CZ14" s="994">
        <v>13.051994410000001</v>
      </c>
      <c r="DA14" s="994">
        <v>14.430100080000001</v>
      </c>
      <c r="DB14" s="994">
        <v>15.21314971</v>
      </c>
      <c r="DC14" s="994">
        <v>14.725355049999999</v>
      </c>
      <c r="DD14" s="1065">
        <v>13.449618470000001</v>
      </c>
      <c r="DE14" s="1065">
        <v>13.49137487</v>
      </c>
      <c r="DF14" s="1065">
        <v>13.693136109999999</v>
      </c>
      <c r="DG14" s="1017">
        <v>13.2541612</v>
      </c>
      <c r="DH14" s="1017">
        <v>8.3835420900000006</v>
      </c>
      <c r="DI14" s="1017">
        <v>10.29822912</v>
      </c>
      <c r="DJ14" s="1017">
        <v>10.11127774</v>
      </c>
      <c r="DK14" s="1017">
        <v>10.43964443</v>
      </c>
      <c r="DL14" s="1017">
        <v>18.530975040000001</v>
      </c>
      <c r="DM14" s="1017">
        <v>13.16586676</v>
      </c>
      <c r="DN14" s="1017">
        <v>13.283064639999999</v>
      </c>
      <c r="DO14" s="1017">
        <v>13.595074609999999</v>
      </c>
      <c r="DP14" s="1017">
        <v>13.596465650000001</v>
      </c>
      <c r="DQ14" s="1017">
        <v>10.45711551</v>
      </c>
      <c r="DR14" s="1017">
        <v>9.5560258699999991</v>
      </c>
      <c r="DS14" s="1017">
        <v>8.7300143600000002</v>
      </c>
      <c r="DT14" s="1017">
        <v>7.7894355800000001</v>
      </c>
      <c r="DU14" s="1017">
        <v>16.220745340000001</v>
      </c>
      <c r="DV14" s="1017">
        <v>16.626281630000001</v>
      </c>
      <c r="DW14" s="1017">
        <v>17.317262360000001</v>
      </c>
      <c r="DX14" s="1017">
        <v>15.71157923</v>
      </c>
      <c r="DY14" s="1017">
        <v>15.202089559999999</v>
      </c>
      <c r="DZ14" s="1017">
        <v>14.979586599999999</v>
      </c>
      <c r="EA14" s="1017">
        <v>13.82867304</v>
      </c>
      <c r="EB14" s="1017">
        <v>12.5698259</v>
      </c>
      <c r="EC14" s="1017">
        <v>11.238747679999999</v>
      </c>
      <c r="ED14" s="1017">
        <v>9.8295236100000007</v>
      </c>
      <c r="EE14" s="1017">
        <v>8.4128692100000002</v>
      </c>
      <c r="EK14" s="400"/>
    </row>
    <row r="15" spans="1:141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K15" s="400"/>
    </row>
    <row r="16" spans="1:141" ht="19.8">
      <c r="A16" s="1513" t="s">
        <v>189</v>
      </c>
      <c r="B16" s="949">
        <v>0.64119899999999996</v>
      </c>
      <c r="C16" s="949">
        <v>3.1885865600000001</v>
      </c>
      <c r="D16" s="949">
        <v>3.0289974599999998</v>
      </c>
      <c r="E16" s="949">
        <v>2.94338861</v>
      </c>
      <c r="F16" s="949">
        <v>2.9025678500000001</v>
      </c>
      <c r="G16" s="949">
        <v>2.86120281</v>
      </c>
      <c r="H16" s="949">
        <v>2.8192862400000003</v>
      </c>
      <c r="I16" s="949">
        <v>2.7768107899999999</v>
      </c>
      <c r="J16" s="949">
        <v>2.6841425099999996</v>
      </c>
      <c r="K16" s="949">
        <v>2.6562397</v>
      </c>
      <c r="L16" s="949">
        <v>2.6562397</v>
      </c>
      <c r="M16" s="946">
        <v>2.599313</v>
      </c>
      <c r="N16" s="950">
        <v>2.599313</v>
      </c>
      <c r="O16" s="950">
        <v>2.6623130000000002</v>
      </c>
      <c r="P16" s="950">
        <v>2.6623130000000002</v>
      </c>
      <c r="Q16" s="950">
        <v>2.6623130000000002</v>
      </c>
      <c r="R16" s="950">
        <v>2.7076475000000002</v>
      </c>
      <c r="S16" s="950">
        <v>2.6699227799999998</v>
      </c>
      <c r="T16" s="950">
        <v>2.4580871600000003</v>
      </c>
      <c r="U16" s="950">
        <v>2.4454015600000001</v>
      </c>
      <c r="V16" s="950">
        <v>2.9325502999999999</v>
      </c>
      <c r="W16" s="950">
        <v>3.4191944799999998</v>
      </c>
      <c r="X16" s="950">
        <v>3.4063452400000003</v>
      </c>
      <c r="Y16" s="946">
        <v>3.3829859</v>
      </c>
      <c r="Z16" s="950">
        <v>3.3694529800000002</v>
      </c>
      <c r="AA16" s="950">
        <v>3.3557439100000002</v>
      </c>
      <c r="AB16" s="946">
        <v>3.3418563999999997</v>
      </c>
      <c r="AC16" s="946">
        <v>3.3331367699999999</v>
      </c>
      <c r="AD16" s="946">
        <v>3.3239522400000001</v>
      </c>
      <c r="AE16" s="946">
        <v>3.3251662099999999</v>
      </c>
      <c r="AF16" s="946">
        <v>3.3251662099999999</v>
      </c>
      <c r="AG16" s="946">
        <v>3.3039457099999998</v>
      </c>
      <c r="AH16" s="946">
        <v>2.3027786899999998</v>
      </c>
      <c r="AI16" s="946">
        <v>2.30507975</v>
      </c>
      <c r="AJ16" s="946">
        <v>2.3035937400000002</v>
      </c>
      <c r="AK16" s="946">
        <v>2.3029763999999999</v>
      </c>
      <c r="AL16" s="946">
        <v>2.9057499999999999E-3</v>
      </c>
      <c r="AM16" s="946">
        <v>2.4296999999999999E-3</v>
      </c>
      <c r="AN16" s="946">
        <v>2.4296999999999999E-3</v>
      </c>
      <c r="AO16" s="946">
        <v>2.1495100000000003E-3</v>
      </c>
      <c r="AP16" s="946">
        <v>1.5647899999999999E-3</v>
      </c>
      <c r="AQ16" s="946">
        <v>1.5647899999999999E-3</v>
      </c>
      <c r="AR16" s="946">
        <v>1.26399E-3</v>
      </c>
      <c r="AS16" s="946">
        <v>6.4259000000000007E-4</v>
      </c>
      <c r="AT16" s="946">
        <v>6.4259000000000007E-4</v>
      </c>
      <c r="AU16" s="946">
        <v>0</v>
      </c>
      <c r="AV16" s="946">
        <v>0</v>
      </c>
      <c r="AW16" s="946">
        <v>0</v>
      </c>
      <c r="AX16" s="946">
        <v>0</v>
      </c>
      <c r="AY16" s="946">
        <v>0</v>
      </c>
      <c r="AZ16" s="946">
        <v>0</v>
      </c>
      <c r="BA16" s="946">
        <v>0</v>
      </c>
      <c r="BB16" s="946">
        <v>0</v>
      </c>
      <c r="BC16" s="946">
        <v>0</v>
      </c>
      <c r="BD16" s="946">
        <v>0</v>
      </c>
      <c r="BE16" s="946">
        <v>0</v>
      </c>
      <c r="BF16" s="946">
        <v>0</v>
      </c>
      <c r="BG16" s="946">
        <v>0</v>
      </c>
      <c r="BH16" s="1004">
        <v>0</v>
      </c>
      <c r="BI16" s="993">
        <v>0</v>
      </c>
      <c r="BJ16" s="993">
        <v>0</v>
      </c>
      <c r="BK16" s="993">
        <v>0</v>
      </c>
      <c r="BL16" s="993">
        <v>0</v>
      </c>
      <c r="BM16" s="993">
        <v>0</v>
      </c>
      <c r="BN16" s="993">
        <v>0</v>
      </c>
      <c r="BO16" s="993">
        <v>0</v>
      </c>
      <c r="BP16" s="993">
        <v>0</v>
      </c>
      <c r="BQ16" s="993">
        <v>0</v>
      </c>
      <c r="BR16" s="993">
        <v>0</v>
      </c>
      <c r="BS16" s="993">
        <v>0</v>
      </c>
      <c r="BT16" s="993">
        <v>0</v>
      </c>
      <c r="BU16" s="993">
        <v>0</v>
      </c>
      <c r="BV16" s="993">
        <v>0</v>
      </c>
      <c r="BW16" s="993">
        <v>0</v>
      </c>
      <c r="BX16" s="993">
        <v>0</v>
      </c>
      <c r="BY16" s="993">
        <v>0</v>
      </c>
      <c r="BZ16" s="993">
        <v>0</v>
      </c>
      <c r="CA16" s="993">
        <v>0</v>
      </c>
      <c r="CB16" s="993">
        <v>0</v>
      </c>
      <c r="CC16" s="993">
        <v>0</v>
      </c>
      <c r="CD16" s="993">
        <v>0</v>
      </c>
      <c r="CE16" s="993">
        <v>0</v>
      </c>
      <c r="CF16" s="993">
        <v>0</v>
      </c>
      <c r="CG16" s="993">
        <v>0</v>
      </c>
      <c r="CH16" s="993">
        <v>0</v>
      </c>
      <c r="CI16" s="993">
        <v>3.6014999999999998E-2</v>
      </c>
      <c r="CJ16" s="993">
        <v>0.17</v>
      </c>
      <c r="CK16" s="993">
        <v>0.16999881</v>
      </c>
      <c r="CL16" s="993">
        <v>0.22813617</v>
      </c>
      <c r="CM16" s="993">
        <v>0.24810538000000001</v>
      </c>
      <c r="CN16" s="993">
        <v>0.26338486999999999</v>
      </c>
      <c r="CO16" s="993">
        <v>0.28679180999999998</v>
      </c>
      <c r="CP16" s="993">
        <v>0.27318320000000001</v>
      </c>
      <c r="CQ16" s="993">
        <v>2.5516420600000003</v>
      </c>
      <c r="CR16" s="993">
        <v>6.5469235299999999</v>
      </c>
      <c r="CS16" s="993">
        <v>6.5372503200000001</v>
      </c>
      <c r="CT16" s="993">
        <v>6.5357042500000002</v>
      </c>
      <c r="CU16" s="993">
        <v>6.56729479</v>
      </c>
      <c r="CV16" s="993">
        <v>6.6029321799999998</v>
      </c>
      <c r="CW16" s="993">
        <v>5.7637168000000001</v>
      </c>
      <c r="CX16" s="993">
        <v>5.6817105699999999</v>
      </c>
      <c r="CY16" s="993">
        <v>5.5884434000000001</v>
      </c>
      <c r="CZ16" s="993">
        <v>5.4598165300000003</v>
      </c>
      <c r="DA16" s="993">
        <v>5.3929222000000001</v>
      </c>
      <c r="DB16" s="993">
        <v>5.3089718299999999</v>
      </c>
      <c r="DC16" s="993">
        <v>5.3413550499999998</v>
      </c>
      <c r="DD16" s="1064">
        <v>5.2810724699999998</v>
      </c>
      <c r="DE16" s="1064">
        <v>4.3113288699999996</v>
      </c>
      <c r="DF16" s="1064">
        <v>4.3413278699999998</v>
      </c>
      <c r="DG16" s="1016">
        <v>4.3603377200000004</v>
      </c>
      <c r="DH16" s="1016">
        <v>0.34827711</v>
      </c>
      <c r="DI16" s="1016">
        <v>0.33360413999999999</v>
      </c>
      <c r="DJ16" s="1016">
        <v>0.30063297</v>
      </c>
      <c r="DK16" s="1016">
        <v>0.30405411999999998</v>
      </c>
      <c r="DL16" s="1016">
        <v>5.7688247500000003</v>
      </c>
      <c r="DM16" s="1016">
        <v>0.10602584</v>
      </c>
      <c r="DN16" s="1016">
        <v>0.11482098</v>
      </c>
      <c r="DO16" s="1016">
        <v>0.42209913999999998</v>
      </c>
      <c r="DP16" s="1016">
        <v>0.43780026999999999</v>
      </c>
      <c r="DQ16" s="1016">
        <v>9.8862350000000002E-2</v>
      </c>
      <c r="DR16" s="1016">
        <v>9.4607689999999994E-2</v>
      </c>
      <c r="DS16" s="1016">
        <v>0.2114558</v>
      </c>
      <c r="DT16" s="1016">
        <v>0.20791689999999999</v>
      </c>
      <c r="DU16" s="1016">
        <v>10.242612449999999</v>
      </c>
      <c r="DV16" s="1016">
        <v>9.59196676</v>
      </c>
      <c r="DW16" s="1016">
        <v>8.8117587799999999</v>
      </c>
      <c r="DX16" s="1016">
        <v>7.9343709100000002</v>
      </c>
      <c r="DY16" s="1016">
        <v>6.9759928100000002</v>
      </c>
      <c r="DZ16" s="1016">
        <v>6.9985704999999996</v>
      </c>
      <c r="EA16" s="1016">
        <v>6.0937587500000001</v>
      </c>
      <c r="EB16" s="1016">
        <v>5.18080769</v>
      </c>
      <c r="EC16" s="1016">
        <v>4.2528200900000002</v>
      </c>
      <c r="ED16" s="1016">
        <v>3.3433034400000001</v>
      </c>
      <c r="EE16" s="1016">
        <v>2.4287300599999999</v>
      </c>
      <c r="EK16" s="400"/>
    </row>
    <row r="17" spans="1:141" ht="19.8">
      <c r="A17" s="1514" t="s">
        <v>2001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50">
        <v>0</v>
      </c>
      <c r="N17" s="946">
        <v>0</v>
      </c>
      <c r="O17" s="946">
        <v>0</v>
      </c>
      <c r="P17" s="946">
        <v>0</v>
      </c>
      <c r="Q17" s="946">
        <v>0</v>
      </c>
      <c r="R17" s="946">
        <v>0</v>
      </c>
      <c r="S17" s="946">
        <v>0</v>
      </c>
      <c r="T17" s="946">
        <v>0</v>
      </c>
      <c r="U17" s="946">
        <v>0</v>
      </c>
      <c r="V17" s="946">
        <v>0</v>
      </c>
      <c r="W17" s="946">
        <v>0</v>
      </c>
      <c r="X17" s="946">
        <v>0</v>
      </c>
      <c r="Y17" s="950">
        <v>0</v>
      </c>
      <c r="Z17" s="946">
        <v>0</v>
      </c>
      <c r="AA17" s="946">
        <v>0</v>
      </c>
      <c r="AB17" s="950">
        <v>0</v>
      </c>
      <c r="AC17" s="950">
        <v>0</v>
      </c>
      <c r="AD17" s="950">
        <v>0</v>
      </c>
      <c r="AE17" s="950">
        <v>0</v>
      </c>
      <c r="AF17" s="950">
        <v>0</v>
      </c>
      <c r="AG17" s="950">
        <v>0</v>
      </c>
      <c r="AH17" s="950">
        <v>0</v>
      </c>
      <c r="AI17" s="950">
        <v>0</v>
      </c>
      <c r="AJ17" s="950">
        <v>0</v>
      </c>
      <c r="AK17" s="950">
        <v>0</v>
      </c>
      <c r="AL17" s="950">
        <v>0</v>
      </c>
      <c r="AM17" s="950">
        <v>0</v>
      </c>
      <c r="AN17" s="950">
        <v>0</v>
      </c>
      <c r="AO17" s="950">
        <v>0</v>
      </c>
      <c r="AP17" s="950">
        <v>0</v>
      </c>
      <c r="AQ17" s="950">
        <v>0</v>
      </c>
      <c r="AR17" s="950">
        <v>0</v>
      </c>
      <c r="AS17" s="950">
        <v>0</v>
      </c>
      <c r="AT17" s="950">
        <v>0</v>
      </c>
      <c r="AU17" s="950">
        <v>0</v>
      </c>
      <c r="AV17" s="950">
        <v>0</v>
      </c>
      <c r="AW17" s="950">
        <v>0</v>
      </c>
      <c r="AX17" s="950">
        <v>0</v>
      </c>
      <c r="AY17" s="950">
        <v>0</v>
      </c>
      <c r="AZ17" s="950">
        <v>0</v>
      </c>
      <c r="BA17" s="950">
        <v>0</v>
      </c>
      <c r="BB17" s="950">
        <v>0</v>
      </c>
      <c r="BC17" s="950">
        <v>0</v>
      </c>
      <c r="BD17" s="950">
        <v>0</v>
      </c>
      <c r="BE17" s="950">
        <v>0</v>
      </c>
      <c r="BF17" s="950">
        <v>0</v>
      </c>
      <c r="BG17" s="950">
        <v>0</v>
      </c>
      <c r="BH17" s="1005">
        <v>0</v>
      </c>
      <c r="BI17" s="994">
        <v>0</v>
      </c>
      <c r="BJ17" s="994">
        <v>0</v>
      </c>
      <c r="BK17" s="994">
        <v>0</v>
      </c>
      <c r="BL17" s="994">
        <v>0</v>
      </c>
      <c r="BM17" s="994">
        <v>0</v>
      </c>
      <c r="BN17" s="994">
        <v>0</v>
      </c>
      <c r="BO17" s="994">
        <v>0</v>
      </c>
      <c r="BP17" s="994">
        <v>0</v>
      </c>
      <c r="BQ17" s="994">
        <v>0</v>
      </c>
      <c r="BR17" s="994">
        <v>0</v>
      </c>
      <c r="BS17" s="994">
        <v>0</v>
      </c>
      <c r="BT17" s="994">
        <v>0</v>
      </c>
      <c r="BU17" s="994">
        <v>0</v>
      </c>
      <c r="BV17" s="994">
        <v>0</v>
      </c>
      <c r="BW17" s="994">
        <v>0</v>
      </c>
      <c r="BX17" s="994">
        <v>0</v>
      </c>
      <c r="BY17" s="994">
        <v>0</v>
      </c>
      <c r="BZ17" s="994">
        <v>0</v>
      </c>
      <c r="CA17" s="994">
        <v>0</v>
      </c>
      <c r="CB17" s="994">
        <v>0</v>
      </c>
      <c r="CC17" s="994">
        <v>0</v>
      </c>
      <c r="CD17" s="994">
        <v>0</v>
      </c>
      <c r="CE17" s="994">
        <v>0</v>
      </c>
      <c r="CF17" s="994">
        <v>0</v>
      </c>
      <c r="CG17" s="994">
        <v>0</v>
      </c>
      <c r="CH17" s="994">
        <v>0</v>
      </c>
      <c r="CI17" s="994">
        <v>0</v>
      </c>
      <c r="CJ17" s="994">
        <v>0</v>
      </c>
      <c r="CK17" s="994">
        <v>0</v>
      </c>
      <c r="CL17" s="994">
        <v>0</v>
      </c>
      <c r="CM17" s="994">
        <v>0</v>
      </c>
      <c r="CN17" s="994">
        <v>0</v>
      </c>
      <c r="CO17" s="994">
        <v>0</v>
      </c>
      <c r="CP17" s="994">
        <v>0</v>
      </c>
      <c r="CQ17" s="994">
        <v>0</v>
      </c>
      <c r="CR17" s="994">
        <v>0</v>
      </c>
      <c r="CS17" s="994">
        <v>0</v>
      </c>
      <c r="CT17" s="994">
        <v>0</v>
      </c>
      <c r="CU17" s="994">
        <v>0</v>
      </c>
      <c r="CV17" s="994">
        <v>0</v>
      </c>
      <c r="CW17" s="994">
        <v>0</v>
      </c>
      <c r="CX17" s="994">
        <v>0</v>
      </c>
      <c r="CY17" s="994">
        <v>0</v>
      </c>
      <c r="CZ17" s="994">
        <v>0</v>
      </c>
      <c r="DA17" s="994">
        <v>0</v>
      </c>
      <c r="DB17" s="994">
        <v>0</v>
      </c>
      <c r="DC17" s="994">
        <v>0</v>
      </c>
      <c r="DD17" s="1065">
        <v>0</v>
      </c>
      <c r="DE17" s="1065">
        <v>0</v>
      </c>
      <c r="DF17" s="1065">
        <v>0</v>
      </c>
      <c r="DG17" s="1017">
        <v>0</v>
      </c>
      <c r="DH17" s="1017">
        <v>0</v>
      </c>
      <c r="DI17" s="1017">
        <v>0</v>
      </c>
      <c r="DJ17" s="1017">
        <v>0</v>
      </c>
      <c r="DK17" s="1017">
        <v>0</v>
      </c>
      <c r="DL17" s="1017">
        <v>0</v>
      </c>
      <c r="DM17" s="1017">
        <v>0</v>
      </c>
      <c r="DN17" s="1017">
        <v>0</v>
      </c>
      <c r="DO17" s="1017">
        <v>0</v>
      </c>
      <c r="DP17" s="1017">
        <v>0</v>
      </c>
      <c r="DQ17" s="1017">
        <v>0</v>
      </c>
      <c r="DR17" s="1017">
        <v>0</v>
      </c>
      <c r="DS17" s="1017">
        <v>0</v>
      </c>
      <c r="DT17" s="1017">
        <v>0</v>
      </c>
      <c r="DU17" s="1017">
        <v>0</v>
      </c>
      <c r="DV17" s="1017">
        <v>0</v>
      </c>
      <c r="DW17" s="1017">
        <v>0</v>
      </c>
      <c r="DX17" s="1017">
        <v>0</v>
      </c>
      <c r="DY17" s="1017">
        <v>0</v>
      </c>
      <c r="DZ17" s="1017">
        <v>0</v>
      </c>
      <c r="EA17" s="1017">
        <v>0</v>
      </c>
      <c r="EB17" s="1017">
        <v>0</v>
      </c>
      <c r="EC17" s="1017">
        <v>0</v>
      </c>
      <c r="ED17" s="1017">
        <v>0</v>
      </c>
      <c r="EE17" s="1017">
        <v>0</v>
      </c>
      <c r="EK17" s="400"/>
    </row>
    <row r="18" spans="1:141" ht="19.8">
      <c r="A18" s="1515" t="s">
        <v>2002</v>
      </c>
      <c r="B18" s="949">
        <f>+B16-B17</f>
        <v>0.64119899999999996</v>
      </c>
      <c r="C18" s="949">
        <f t="shared" ref="C18:V18" si="4">+C16-C17</f>
        <v>3.1885865600000001</v>
      </c>
      <c r="D18" s="949">
        <f t="shared" si="4"/>
        <v>3.0289974599999998</v>
      </c>
      <c r="E18" s="949">
        <f t="shared" si="4"/>
        <v>2.94338861</v>
      </c>
      <c r="F18" s="949">
        <f t="shared" si="4"/>
        <v>2.9025678500000001</v>
      </c>
      <c r="G18" s="949">
        <f t="shared" si="4"/>
        <v>2.86120281</v>
      </c>
      <c r="H18" s="949">
        <f t="shared" si="4"/>
        <v>2.8192862400000003</v>
      </c>
      <c r="I18" s="949">
        <f t="shared" si="4"/>
        <v>2.7768107899999999</v>
      </c>
      <c r="J18" s="949">
        <f t="shared" si="4"/>
        <v>2.6841425099999996</v>
      </c>
      <c r="K18" s="949">
        <f t="shared" si="4"/>
        <v>2.6562397</v>
      </c>
      <c r="L18" s="949">
        <f t="shared" si="4"/>
        <v>2.6562397</v>
      </c>
      <c r="M18" s="950">
        <f t="shared" si="4"/>
        <v>2.599313</v>
      </c>
      <c r="N18" s="950">
        <f t="shared" si="4"/>
        <v>2.599313</v>
      </c>
      <c r="O18" s="950">
        <f t="shared" si="4"/>
        <v>2.6623130000000002</v>
      </c>
      <c r="P18" s="950">
        <f t="shared" si="4"/>
        <v>2.6623130000000002</v>
      </c>
      <c r="Q18" s="950">
        <f t="shared" si="4"/>
        <v>2.6623130000000002</v>
      </c>
      <c r="R18" s="950">
        <f t="shared" si="4"/>
        <v>2.7076475000000002</v>
      </c>
      <c r="S18" s="950">
        <f t="shared" si="4"/>
        <v>2.6699227799999998</v>
      </c>
      <c r="T18" s="950">
        <f t="shared" si="4"/>
        <v>2.4580871600000003</v>
      </c>
      <c r="U18" s="950">
        <f t="shared" si="4"/>
        <v>2.4454015600000001</v>
      </c>
      <c r="V18" s="950">
        <f t="shared" si="4"/>
        <v>2.9325502999999999</v>
      </c>
      <c r="W18" s="950">
        <v>3.4191944799999998</v>
      </c>
      <c r="X18" s="950">
        <v>3.4063452400000003</v>
      </c>
      <c r="Y18" s="950">
        <v>3.3829859</v>
      </c>
      <c r="Z18" s="950">
        <v>3.3694529800000002</v>
      </c>
      <c r="AA18" s="950">
        <v>3.3557439100000002</v>
      </c>
      <c r="AB18" s="950">
        <v>3.3418563999999997</v>
      </c>
      <c r="AC18" s="950">
        <v>3.3331367699999999</v>
      </c>
      <c r="AD18" s="950">
        <v>3.3239522400000001</v>
      </c>
      <c r="AE18" s="950">
        <v>3.3251662099999999</v>
      </c>
      <c r="AF18" s="950">
        <v>3.3251662099999999</v>
      </c>
      <c r="AG18" s="950">
        <v>3.3039457099999998</v>
      </c>
      <c r="AH18" s="950">
        <f>+AH16-AH17</f>
        <v>2.3027786899999998</v>
      </c>
      <c r="AI18" s="950">
        <v>2.30507975</v>
      </c>
      <c r="AJ18" s="950">
        <f>+AJ16-AJ17</f>
        <v>2.3035937400000002</v>
      </c>
      <c r="AK18" s="950">
        <f>+AK16-AK17</f>
        <v>2.3029763999999999</v>
      </c>
      <c r="AL18" s="950">
        <v>2.9057499999999999E-3</v>
      </c>
      <c r="AM18" s="950">
        <f>+AM16-AM17</f>
        <v>2.4296999999999999E-3</v>
      </c>
      <c r="AN18" s="950">
        <f>+AN16-AN17</f>
        <v>2.4296999999999999E-3</v>
      </c>
      <c r="AO18" s="950">
        <f>+AO16-AO17</f>
        <v>2.1495100000000003E-3</v>
      </c>
      <c r="AP18" s="950">
        <f>+AP16-AP17</f>
        <v>1.5647899999999999E-3</v>
      </c>
      <c r="AQ18" s="950">
        <v>1.5647899999999999E-3</v>
      </c>
      <c r="AR18" s="950">
        <f>+AR16-AR17</f>
        <v>1.26399E-3</v>
      </c>
      <c r="AS18" s="950">
        <f>+AS16-AS17</f>
        <v>6.4259000000000007E-4</v>
      </c>
      <c r="AT18" s="950">
        <f>+AT16-AT17</f>
        <v>6.4259000000000007E-4</v>
      </c>
      <c r="AU18" s="950">
        <v>0</v>
      </c>
      <c r="AV18" s="950">
        <v>0</v>
      </c>
      <c r="AW18" s="950">
        <v>0</v>
      </c>
      <c r="AX18" s="950">
        <v>0</v>
      </c>
      <c r="AY18" s="950">
        <v>0</v>
      </c>
      <c r="AZ18" s="950">
        <v>0</v>
      </c>
      <c r="BA18" s="950">
        <v>0</v>
      </c>
      <c r="BB18" s="950">
        <v>0</v>
      </c>
      <c r="BC18" s="950">
        <v>0</v>
      </c>
      <c r="BD18" s="950">
        <f>+BD16-BD17</f>
        <v>0</v>
      </c>
      <c r="BE18" s="950">
        <v>0</v>
      </c>
      <c r="BF18" s="950">
        <v>0</v>
      </c>
      <c r="BG18" s="950">
        <v>0</v>
      </c>
      <c r="BH18" s="1005">
        <v>0</v>
      </c>
      <c r="BI18" s="994">
        <v>0</v>
      </c>
      <c r="BJ18" s="994">
        <v>0</v>
      </c>
      <c r="BK18" s="994">
        <v>0</v>
      </c>
      <c r="BL18" s="994">
        <v>0</v>
      </c>
      <c r="BM18" s="994">
        <v>0</v>
      </c>
      <c r="BN18" s="994">
        <v>0</v>
      </c>
      <c r="BO18" s="994">
        <v>0</v>
      </c>
      <c r="BP18" s="994">
        <v>0</v>
      </c>
      <c r="BQ18" s="994">
        <v>0</v>
      </c>
      <c r="BR18" s="994">
        <v>0</v>
      </c>
      <c r="BS18" s="994">
        <v>0</v>
      </c>
      <c r="BT18" s="994">
        <v>0</v>
      </c>
      <c r="BU18" s="994">
        <v>0</v>
      </c>
      <c r="BV18" s="994">
        <v>0</v>
      </c>
      <c r="BW18" s="994">
        <v>0</v>
      </c>
      <c r="BX18" s="994">
        <v>0</v>
      </c>
      <c r="BY18" s="994">
        <v>0</v>
      </c>
      <c r="BZ18" s="994">
        <v>0</v>
      </c>
      <c r="CA18" s="994">
        <v>0</v>
      </c>
      <c r="CB18" s="994">
        <v>0</v>
      </c>
      <c r="CC18" s="994">
        <v>0</v>
      </c>
      <c r="CD18" s="994">
        <v>0</v>
      </c>
      <c r="CE18" s="994">
        <f t="shared" ref="CE18:CP18" si="5">+CE16-CE17</f>
        <v>0</v>
      </c>
      <c r="CF18" s="994">
        <f t="shared" si="5"/>
        <v>0</v>
      </c>
      <c r="CG18" s="994">
        <f t="shared" si="5"/>
        <v>0</v>
      </c>
      <c r="CH18" s="994">
        <f t="shared" si="5"/>
        <v>0</v>
      </c>
      <c r="CI18" s="994">
        <f t="shared" si="5"/>
        <v>3.6014999999999998E-2</v>
      </c>
      <c r="CJ18" s="994">
        <f t="shared" si="5"/>
        <v>0.17</v>
      </c>
      <c r="CK18" s="994">
        <f t="shared" si="5"/>
        <v>0.16999881</v>
      </c>
      <c r="CL18" s="994">
        <f t="shared" si="5"/>
        <v>0.22813617</v>
      </c>
      <c r="CM18" s="994">
        <f t="shared" si="5"/>
        <v>0.24810538000000001</v>
      </c>
      <c r="CN18" s="994">
        <f t="shared" si="5"/>
        <v>0.26338486999999999</v>
      </c>
      <c r="CO18" s="994">
        <f t="shared" si="5"/>
        <v>0.28679180999999998</v>
      </c>
      <c r="CP18" s="994">
        <f t="shared" si="5"/>
        <v>0.27318320000000001</v>
      </c>
      <c r="CQ18" s="994">
        <f>+CQ16-CQ17</f>
        <v>2.5516420600000003</v>
      </c>
      <c r="CR18" s="994">
        <f>+CR16-CR17</f>
        <v>6.5469235299999999</v>
      </c>
      <c r="CS18" s="994">
        <f>+CS16-CS17</f>
        <v>6.5372503200000001</v>
      </c>
      <c r="CT18" s="994">
        <v>6.5357042500000002</v>
      </c>
      <c r="CU18" s="994">
        <v>6.56729479</v>
      </c>
      <c r="CV18" s="994">
        <v>6.6029321799999998</v>
      </c>
      <c r="CW18" s="994">
        <v>5.7637168000000001</v>
      </c>
      <c r="CX18" s="994">
        <v>5.6817105699999999</v>
      </c>
      <c r="CY18" s="994">
        <v>5.5884434000000001</v>
      </c>
      <c r="CZ18" s="994">
        <v>5.4598165300000003</v>
      </c>
      <c r="DA18" s="994">
        <v>5.3929222000000001</v>
      </c>
      <c r="DB18" s="994">
        <v>5.3089718299999999</v>
      </c>
      <c r="DC18" s="994">
        <v>5.3413550499999998</v>
      </c>
      <c r="DD18" s="1065">
        <v>5.2810724699999998</v>
      </c>
      <c r="DE18" s="1065">
        <v>4.3113288699999996</v>
      </c>
      <c r="DF18" s="1065">
        <v>4.3413278699999998</v>
      </c>
      <c r="DG18" s="1017">
        <v>4.3603377200000004</v>
      </c>
      <c r="DH18" s="1017">
        <v>0.34827711</v>
      </c>
      <c r="DI18" s="1017">
        <v>0.33360413999999999</v>
      </c>
      <c r="DJ18" s="1017">
        <v>0.30063297</v>
      </c>
      <c r="DK18" s="1017">
        <v>0.30405411999999998</v>
      </c>
      <c r="DL18" s="1017">
        <v>5.7688247500000003</v>
      </c>
      <c r="DM18" s="1017">
        <v>0.10602584</v>
      </c>
      <c r="DN18" s="1017">
        <v>0.11482098</v>
      </c>
      <c r="DO18" s="1017">
        <v>0.42209913999999998</v>
      </c>
      <c r="DP18" s="1017">
        <v>0.43780026999999999</v>
      </c>
      <c r="DQ18" s="1017">
        <v>9.8862350000000002E-2</v>
      </c>
      <c r="DR18" s="1017">
        <v>9.4607689999999994E-2</v>
      </c>
      <c r="DS18" s="1017">
        <v>0.2114558</v>
      </c>
      <c r="DT18" s="1017">
        <v>0.20791689999999999</v>
      </c>
      <c r="DU18" s="1017">
        <v>10.242612449999999</v>
      </c>
      <c r="DV18" s="1017">
        <v>9.59196676</v>
      </c>
      <c r="DW18" s="1017">
        <v>8.8117587799999999</v>
      </c>
      <c r="DX18" s="1017">
        <v>7.9343709100000002</v>
      </c>
      <c r="DY18" s="1017">
        <v>6.9759928100000002</v>
      </c>
      <c r="DZ18" s="1017">
        <v>6.9985704999999996</v>
      </c>
      <c r="EA18" s="1017">
        <v>6.0937587500000001</v>
      </c>
      <c r="EB18" s="1017">
        <v>5.18080769</v>
      </c>
      <c r="EC18" s="1017">
        <v>4.2528200900000002</v>
      </c>
      <c r="ED18" s="1017">
        <v>3.3433034400000001</v>
      </c>
      <c r="EE18" s="1017">
        <v>2.4287300599999999</v>
      </c>
      <c r="EK18" s="400"/>
    </row>
    <row r="19" spans="1:141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K19" s="400"/>
    </row>
    <row r="20" spans="1:141" ht="19.8">
      <c r="A20" s="1513" t="s">
        <v>2822</v>
      </c>
      <c r="B20" s="949">
        <v>7.8047800000000001E-2</v>
      </c>
      <c r="C20" s="949">
        <v>0.13717519</v>
      </c>
      <c r="D20" s="949">
        <v>0.13733999999999999</v>
      </c>
      <c r="E20" s="949">
        <v>0.13730500000000001</v>
      </c>
      <c r="F20" s="949">
        <v>0.13730500000000001</v>
      </c>
      <c r="G20" s="949">
        <v>0.13728750000000001</v>
      </c>
      <c r="H20" s="949">
        <v>0.13728750000000001</v>
      </c>
      <c r="I20" s="949">
        <v>9.8049999999999998E-2</v>
      </c>
      <c r="J20" s="949">
        <v>9.8062499999999997E-2</v>
      </c>
      <c r="K20" s="949">
        <v>9.8062499999999997E-2</v>
      </c>
      <c r="L20" s="949">
        <v>9.8049999999999998E-2</v>
      </c>
      <c r="M20" s="946">
        <v>9.8062499999999997E-2</v>
      </c>
      <c r="N20" s="950">
        <v>9.8025000000000001E-2</v>
      </c>
      <c r="O20" s="950">
        <v>9.8049999999999998E-2</v>
      </c>
      <c r="P20" s="950">
        <v>9.80375E-2</v>
      </c>
      <c r="Q20" s="950">
        <v>9.80375E-2</v>
      </c>
      <c r="R20" s="950">
        <v>9.8049999999999998E-2</v>
      </c>
      <c r="S20" s="950">
        <v>9.80375E-2</v>
      </c>
      <c r="T20" s="950">
        <v>8.6779029999999993E-2</v>
      </c>
      <c r="U20" s="950">
        <v>0.48680122999999997</v>
      </c>
      <c r="V20" s="950">
        <v>0.80970498999999996</v>
      </c>
      <c r="W20" s="950">
        <v>0.98739275000000004</v>
      </c>
      <c r="X20" s="950">
        <v>1.3802924399999998</v>
      </c>
      <c r="Y20" s="946">
        <v>1.62000901</v>
      </c>
      <c r="Z20" s="950">
        <v>1.6343196</v>
      </c>
      <c r="AA20" s="950">
        <v>2.3159765099999996</v>
      </c>
      <c r="AB20" s="946">
        <v>2.3365006400000001</v>
      </c>
      <c r="AC20" s="946">
        <v>2.3609036699999999</v>
      </c>
      <c r="AD20" s="946">
        <v>2.3609036699999999</v>
      </c>
      <c r="AE20" s="946">
        <v>1.3812801699999999</v>
      </c>
      <c r="AF20" s="946">
        <v>1.3812801699999999</v>
      </c>
      <c r="AG20" s="946">
        <v>1.6438123600000001</v>
      </c>
      <c r="AH20" s="946">
        <v>1.61800707</v>
      </c>
      <c r="AI20" s="946">
        <v>1.6094662500000001</v>
      </c>
      <c r="AJ20" s="946">
        <v>1.5941239299999999</v>
      </c>
      <c r="AK20" s="946">
        <v>2.3204904399999999</v>
      </c>
      <c r="AL20" s="946">
        <v>2.1406699300000001</v>
      </c>
      <c r="AM20" s="946">
        <v>2.0934650000000001</v>
      </c>
      <c r="AN20" s="946">
        <v>0</v>
      </c>
      <c r="AO20" s="946">
        <v>0</v>
      </c>
      <c r="AP20" s="946">
        <v>0</v>
      </c>
      <c r="AQ20" s="946">
        <v>0</v>
      </c>
      <c r="AR20" s="946">
        <v>0</v>
      </c>
      <c r="AS20" s="946">
        <v>0</v>
      </c>
      <c r="AT20" s="946">
        <f>AT12-AT16</f>
        <v>0</v>
      </c>
      <c r="AU20" s="946">
        <v>0</v>
      </c>
      <c r="AV20" s="946">
        <v>0</v>
      </c>
      <c r="AW20" s="946">
        <v>0</v>
      </c>
      <c r="AX20" s="946">
        <v>0</v>
      </c>
      <c r="AY20" s="946">
        <v>0</v>
      </c>
      <c r="AZ20" s="946">
        <v>0</v>
      </c>
      <c r="BA20" s="946">
        <v>0</v>
      </c>
      <c r="BB20" s="946">
        <v>0</v>
      </c>
      <c r="BC20" s="946">
        <v>0</v>
      </c>
      <c r="BD20" s="946">
        <v>0</v>
      </c>
      <c r="BE20" s="946">
        <v>0</v>
      </c>
      <c r="BF20" s="946">
        <v>0</v>
      </c>
      <c r="BG20" s="946">
        <v>0</v>
      </c>
      <c r="BH20" s="1004">
        <v>0</v>
      </c>
      <c r="BI20" s="993">
        <v>0</v>
      </c>
      <c r="BJ20" s="993">
        <v>0</v>
      </c>
      <c r="BK20" s="993">
        <v>0</v>
      </c>
      <c r="BL20" s="993">
        <v>3.4</v>
      </c>
      <c r="BM20" s="993">
        <v>3.4</v>
      </c>
      <c r="BN20" s="993">
        <v>3.4</v>
      </c>
      <c r="BO20" s="993">
        <v>3.4</v>
      </c>
      <c r="BP20" s="993">
        <v>3.4</v>
      </c>
      <c r="BQ20" s="993">
        <v>2.9750000000000001</v>
      </c>
      <c r="BR20" s="993">
        <v>2.9750000000000001</v>
      </c>
      <c r="BS20" s="993">
        <v>2.9750000000000001</v>
      </c>
      <c r="BT20" s="993">
        <v>2.9750000000000001</v>
      </c>
      <c r="BU20" s="993">
        <v>2.9750000000000001</v>
      </c>
      <c r="BV20" s="993">
        <v>2.9750000000000001</v>
      </c>
      <c r="BW20" s="993">
        <v>2.9750000000000001</v>
      </c>
      <c r="BX20" s="993">
        <v>2.9750000000000001</v>
      </c>
      <c r="BY20" s="993">
        <v>2.9750000000000001</v>
      </c>
      <c r="BZ20" s="993">
        <v>2.9750000000000001</v>
      </c>
      <c r="CA20" s="993">
        <v>2.9750000000000001</v>
      </c>
      <c r="CB20" s="993">
        <v>2.9750000000000001</v>
      </c>
      <c r="CC20" s="993">
        <v>2.9750000000000001</v>
      </c>
      <c r="CD20" s="993">
        <v>2.9750000000000001</v>
      </c>
      <c r="CE20" s="993">
        <v>3.145</v>
      </c>
      <c r="CF20" s="993">
        <v>3.3149999999999999</v>
      </c>
      <c r="CG20" s="993">
        <v>3.3149999999999999</v>
      </c>
      <c r="CH20" s="993">
        <v>3.3149999999999999</v>
      </c>
      <c r="CI20" s="993">
        <v>3.3149999999999999</v>
      </c>
      <c r="CJ20" s="993">
        <v>3.3149999999999999</v>
      </c>
      <c r="CK20" s="993">
        <v>3.4510000000000001</v>
      </c>
      <c r="CL20" s="993">
        <v>3.67491616</v>
      </c>
      <c r="CM20" s="993">
        <v>3.6699677899999998</v>
      </c>
      <c r="CN20" s="993">
        <v>3.6650029500000003</v>
      </c>
      <c r="CO20" s="993">
        <v>3.6600104999999998</v>
      </c>
      <c r="CP20" s="993">
        <v>6.2950652999999992</v>
      </c>
      <c r="CQ20" s="993">
        <v>6.8110514100000001</v>
      </c>
      <c r="CR20" s="993">
        <v>10.41452995</v>
      </c>
      <c r="CS20" s="993">
        <v>10.092981870000001</v>
      </c>
      <c r="CT20" s="993">
        <v>9.3033774999999999</v>
      </c>
      <c r="CU20" s="993">
        <v>8.0480916899999997</v>
      </c>
      <c r="CV20" s="993">
        <v>7.6060916900000004</v>
      </c>
      <c r="CW20" s="993">
        <v>6.58246193</v>
      </c>
      <c r="CX20" s="993">
        <v>5.8978254000000003</v>
      </c>
      <c r="CY20" s="993">
        <v>6.2321778800000001</v>
      </c>
      <c r="CZ20" s="993">
        <v>7.5921778800000004</v>
      </c>
      <c r="DA20" s="993">
        <v>9.0371778799999998</v>
      </c>
      <c r="DB20" s="993">
        <v>9.9041778800000007</v>
      </c>
      <c r="DC20" s="993">
        <v>9.3840000000000003</v>
      </c>
      <c r="DD20" s="1064">
        <v>8.1685459999999992</v>
      </c>
      <c r="DE20" s="1064">
        <v>9.1800460000000008</v>
      </c>
      <c r="DF20" s="1064">
        <v>9.3518082400000004</v>
      </c>
      <c r="DG20" s="1016">
        <v>8.89382348</v>
      </c>
      <c r="DH20" s="1016">
        <v>8.0352649799999991</v>
      </c>
      <c r="DI20" s="1016">
        <v>9.96462498</v>
      </c>
      <c r="DJ20" s="1016">
        <v>9.8106447699999997</v>
      </c>
      <c r="DK20" s="1016">
        <v>10.13559031</v>
      </c>
      <c r="DL20" s="1016">
        <v>12.762150289999999</v>
      </c>
      <c r="DM20" s="1016">
        <v>13.059840919999999</v>
      </c>
      <c r="DN20" s="1016">
        <v>13.16824366</v>
      </c>
      <c r="DO20" s="1016">
        <v>13.172975470000001</v>
      </c>
      <c r="DP20" s="1016">
        <v>13.15866538</v>
      </c>
      <c r="DQ20" s="1016">
        <v>10.35825316</v>
      </c>
      <c r="DR20" s="1016">
        <v>9.4614181800000008</v>
      </c>
      <c r="DS20" s="1016">
        <v>8.5185585600000007</v>
      </c>
      <c r="DT20" s="1016">
        <v>7.5815186800000003</v>
      </c>
      <c r="DU20" s="1016">
        <v>5.9781328900000004</v>
      </c>
      <c r="DV20" s="1016">
        <v>7.0343148700000002</v>
      </c>
      <c r="DW20" s="1016">
        <v>8.5055035799999992</v>
      </c>
      <c r="DX20" s="1016">
        <v>7.7772083199999997</v>
      </c>
      <c r="DY20" s="1016">
        <v>8.22609675</v>
      </c>
      <c r="DZ20" s="1016">
        <v>7.9810160999999997</v>
      </c>
      <c r="EA20" s="1016">
        <v>7.7349142899999999</v>
      </c>
      <c r="EB20" s="1016">
        <v>7.3890182099999997</v>
      </c>
      <c r="EC20" s="1016">
        <v>6.9859275900000002</v>
      </c>
      <c r="ED20" s="1016">
        <v>6.4862201700000002</v>
      </c>
      <c r="EE20" s="1016">
        <v>5.9841391499999999</v>
      </c>
      <c r="EK20" s="400"/>
    </row>
    <row r="21" spans="1:141" ht="19.8">
      <c r="A21" s="1514" t="s">
        <v>2001</v>
      </c>
      <c r="B21" s="949">
        <v>0</v>
      </c>
      <c r="C21" s="949">
        <v>0</v>
      </c>
      <c r="D21" s="949">
        <v>0</v>
      </c>
      <c r="E21" s="949">
        <v>0</v>
      </c>
      <c r="F21" s="949">
        <v>0</v>
      </c>
      <c r="G21" s="949">
        <v>0</v>
      </c>
      <c r="H21" s="949">
        <v>0</v>
      </c>
      <c r="I21" s="949">
        <v>0</v>
      </c>
      <c r="J21" s="949">
        <v>0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</v>
      </c>
      <c r="AB21" s="950">
        <v>0</v>
      </c>
      <c r="AC21" s="950">
        <v>0</v>
      </c>
      <c r="AD21" s="950">
        <v>0</v>
      </c>
      <c r="AE21" s="950">
        <v>0</v>
      </c>
      <c r="AF21" s="950">
        <v>0</v>
      </c>
      <c r="AG21" s="950">
        <v>0</v>
      </c>
      <c r="AH21" s="950">
        <v>0</v>
      </c>
      <c r="AI21" s="950">
        <v>0</v>
      </c>
      <c r="AJ21" s="950">
        <v>0</v>
      </c>
      <c r="AK21" s="950">
        <v>0</v>
      </c>
      <c r="AL21" s="950">
        <v>0</v>
      </c>
      <c r="AM21" s="950">
        <v>0</v>
      </c>
      <c r="AN21" s="950">
        <v>0</v>
      </c>
      <c r="AO21" s="950">
        <v>0</v>
      </c>
      <c r="AP21" s="950">
        <v>0</v>
      </c>
      <c r="AQ21" s="950">
        <v>0</v>
      </c>
      <c r="AR21" s="950">
        <v>0</v>
      </c>
      <c r="AS21" s="950">
        <v>0</v>
      </c>
      <c r="AT21" s="950">
        <f>AT13-AT17</f>
        <v>0</v>
      </c>
      <c r="AU21" s="950">
        <v>0</v>
      </c>
      <c r="AV21" s="950">
        <v>0</v>
      </c>
      <c r="AW21" s="950">
        <v>0</v>
      </c>
      <c r="AX21" s="950">
        <v>0</v>
      </c>
      <c r="AY21" s="950">
        <v>0</v>
      </c>
      <c r="AZ21" s="950">
        <v>0</v>
      </c>
      <c r="BA21" s="950">
        <v>0</v>
      </c>
      <c r="BB21" s="950">
        <v>0</v>
      </c>
      <c r="BC21" s="950">
        <v>0</v>
      </c>
      <c r="BD21" s="950">
        <v>0</v>
      </c>
      <c r="BE21" s="950">
        <v>0</v>
      </c>
      <c r="BF21" s="950">
        <v>0</v>
      </c>
      <c r="BG21" s="950">
        <v>0</v>
      </c>
      <c r="BH21" s="1005">
        <v>0</v>
      </c>
      <c r="BI21" s="994">
        <v>0</v>
      </c>
      <c r="BJ21" s="994">
        <v>0</v>
      </c>
      <c r="BK21" s="994">
        <v>0</v>
      </c>
      <c r="BL21" s="994">
        <v>0</v>
      </c>
      <c r="BM21" s="994">
        <v>0</v>
      </c>
      <c r="BN21" s="994">
        <v>0</v>
      </c>
      <c r="BO21" s="994">
        <v>0</v>
      </c>
      <c r="BP21" s="994">
        <v>0</v>
      </c>
      <c r="BQ21" s="994">
        <v>0</v>
      </c>
      <c r="BR21" s="994">
        <v>0</v>
      </c>
      <c r="BS21" s="994">
        <v>0</v>
      </c>
      <c r="BT21" s="994">
        <v>0</v>
      </c>
      <c r="BU21" s="994">
        <v>0</v>
      </c>
      <c r="BV21" s="994">
        <v>0</v>
      </c>
      <c r="BW21" s="994">
        <v>0</v>
      </c>
      <c r="BX21" s="994">
        <v>0</v>
      </c>
      <c r="BY21" s="994">
        <v>0</v>
      </c>
      <c r="BZ21" s="994">
        <v>0</v>
      </c>
      <c r="CA21" s="994">
        <v>0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</v>
      </c>
      <c r="CI21" s="994">
        <v>0</v>
      </c>
      <c r="CJ21" s="994">
        <v>0</v>
      </c>
      <c r="CK21" s="994">
        <v>0</v>
      </c>
      <c r="CL21" s="994">
        <v>0</v>
      </c>
      <c r="CM21" s="994">
        <v>0</v>
      </c>
      <c r="CN21" s="994">
        <v>0</v>
      </c>
      <c r="CO21" s="994">
        <v>0</v>
      </c>
      <c r="CP21" s="994">
        <v>0</v>
      </c>
      <c r="CQ21" s="994">
        <v>0</v>
      </c>
      <c r="CR21" s="994">
        <v>0</v>
      </c>
      <c r="CS21" s="994">
        <v>0</v>
      </c>
      <c r="CT21" s="994">
        <v>0</v>
      </c>
      <c r="CU21" s="994">
        <v>0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</v>
      </c>
      <c r="DN21" s="1017">
        <v>0</v>
      </c>
      <c r="DO21" s="1017">
        <v>0</v>
      </c>
      <c r="DP21" s="1017">
        <v>0</v>
      </c>
      <c r="DQ21" s="1017">
        <v>0</v>
      </c>
      <c r="DR21" s="1017">
        <v>0</v>
      </c>
      <c r="DS21" s="1017">
        <v>0</v>
      </c>
      <c r="DT21" s="1017">
        <v>0</v>
      </c>
      <c r="DU21" s="1017">
        <v>0</v>
      </c>
      <c r="DV21" s="1017">
        <v>0</v>
      </c>
      <c r="DW21" s="1017">
        <v>0</v>
      </c>
      <c r="DX21" s="1017">
        <v>0</v>
      </c>
      <c r="DY21" s="1017">
        <v>0</v>
      </c>
      <c r="DZ21" s="1017">
        <v>0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K21" s="400"/>
    </row>
    <row r="22" spans="1:141" ht="19.8">
      <c r="A22" s="1515" t="s">
        <v>2002</v>
      </c>
      <c r="B22" s="945">
        <f>+B20-B21</f>
        <v>7.8047800000000001E-2</v>
      </c>
      <c r="C22" s="949">
        <f t="shared" ref="C22:V22" si="6">+C20-C21</f>
        <v>0.13717519</v>
      </c>
      <c r="D22" s="949">
        <f t="shared" si="6"/>
        <v>0.13733999999999999</v>
      </c>
      <c r="E22" s="949">
        <f t="shared" si="6"/>
        <v>0.13730500000000001</v>
      </c>
      <c r="F22" s="949">
        <f t="shared" si="6"/>
        <v>0.13730500000000001</v>
      </c>
      <c r="G22" s="949">
        <f t="shared" si="6"/>
        <v>0.13728750000000001</v>
      </c>
      <c r="H22" s="949">
        <f t="shared" si="6"/>
        <v>0.13728750000000001</v>
      </c>
      <c r="I22" s="949">
        <f t="shared" si="6"/>
        <v>9.8049999999999998E-2</v>
      </c>
      <c r="J22" s="949">
        <f t="shared" si="6"/>
        <v>9.8062499999999997E-2</v>
      </c>
      <c r="K22" s="949">
        <f t="shared" si="6"/>
        <v>9.8062499999999997E-2</v>
      </c>
      <c r="L22" s="949">
        <f t="shared" si="6"/>
        <v>9.8049999999999998E-2</v>
      </c>
      <c r="M22" s="950">
        <f t="shared" si="6"/>
        <v>9.8062499999999997E-2</v>
      </c>
      <c r="N22" s="950">
        <f t="shared" si="6"/>
        <v>9.8025000000000001E-2</v>
      </c>
      <c r="O22" s="950">
        <f t="shared" si="6"/>
        <v>9.8049999999999998E-2</v>
      </c>
      <c r="P22" s="946">
        <f t="shared" si="6"/>
        <v>9.80375E-2</v>
      </c>
      <c r="Q22" s="946">
        <f t="shared" si="6"/>
        <v>9.80375E-2</v>
      </c>
      <c r="R22" s="946">
        <f t="shared" si="6"/>
        <v>9.8049999999999998E-2</v>
      </c>
      <c r="S22" s="946">
        <f t="shared" si="6"/>
        <v>9.80375E-2</v>
      </c>
      <c r="T22" s="946">
        <f t="shared" si="6"/>
        <v>8.6779029999999993E-2</v>
      </c>
      <c r="U22" s="946">
        <f t="shared" si="6"/>
        <v>0.48680122999999997</v>
      </c>
      <c r="V22" s="946">
        <f t="shared" si="6"/>
        <v>0.80970498999999996</v>
      </c>
      <c r="W22" s="946">
        <v>0.98739275000000004</v>
      </c>
      <c r="X22" s="946">
        <v>1.3802924399999998</v>
      </c>
      <c r="Y22" s="950">
        <v>1.62000901</v>
      </c>
      <c r="Z22" s="946">
        <v>1.6343196</v>
      </c>
      <c r="AA22" s="950">
        <v>2.3159765099999996</v>
      </c>
      <c r="AB22" s="950">
        <v>2.3365006400000001</v>
      </c>
      <c r="AC22" s="950">
        <v>2.3609036699999999</v>
      </c>
      <c r="AD22" s="950">
        <v>2.3609036699999999</v>
      </c>
      <c r="AE22" s="950">
        <v>1.3812801699999999</v>
      </c>
      <c r="AF22" s="950">
        <v>1.3812801699999999</v>
      </c>
      <c r="AG22" s="950">
        <v>1.6438123600000001</v>
      </c>
      <c r="AH22" s="950">
        <f>+AH20-AH21</f>
        <v>1.61800707</v>
      </c>
      <c r="AI22" s="950">
        <v>1.6094662500000001</v>
      </c>
      <c r="AJ22" s="950">
        <f>+AJ20-AJ21</f>
        <v>1.5941239299999999</v>
      </c>
      <c r="AK22" s="950">
        <f>+AK20-AK21</f>
        <v>2.3204904399999999</v>
      </c>
      <c r="AL22" s="950">
        <v>2.1406699300000001</v>
      </c>
      <c r="AM22" s="950">
        <f>+AM20-AM21</f>
        <v>2.0934650000000001</v>
      </c>
      <c r="AN22" s="950">
        <f>+AN20-AN21</f>
        <v>0</v>
      </c>
      <c r="AO22" s="950">
        <f>+AO20-AO21</f>
        <v>0</v>
      </c>
      <c r="AP22" s="950">
        <f>+AP20-AP21</f>
        <v>0</v>
      </c>
      <c r="AQ22" s="950">
        <v>0</v>
      </c>
      <c r="AR22" s="950">
        <f>+AR20-AR21</f>
        <v>0</v>
      </c>
      <c r="AS22" s="950">
        <f>+AS20-AS21</f>
        <v>0</v>
      </c>
      <c r="AT22" s="950">
        <f>AT14-AT18</f>
        <v>0</v>
      </c>
      <c r="AU22" s="950">
        <v>0</v>
      </c>
      <c r="AV22" s="950">
        <v>0</v>
      </c>
      <c r="AW22" s="950">
        <v>0</v>
      </c>
      <c r="AX22" s="950">
        <v>0</v>
      </c>
      <c r="AY22" s="950">
        <v>0</v>
      </c>
      <c r="AZ22" s="950">
        <v>0</v>
      </c>
      <c r="BA22" s="950">
        <v>0</v>
      </c>
      <c r="BB22" s="950">
        <v>0</v>
      </c>
      <c r="BC22" s="950">
        <v>0</v>
      </c>
      <c r="BD22" s="950">
        <f>+BD20-BD21</f>
        <v>0</v>
      </c>
      <c r="BE22" s="950">
        <v>0</v>
      </c>
      <c r="BF22" s="950">
        <v>0</v>
      </c>
      <c r="BG22" s="950">
        <v>0</v>
      </c>
      <c r="BH22" s="1005">
        <v>0</v>
      </c>
      <c r="BI22" s="994">
        <v>0</v>
      </c>
      <c r="BJ22" s="994">
        <v>0</v>
      </c>
      <c r="BK22" s="994">
        <v>0</v>
      </c>
      <c r="BL22" s="994">
        <v>3.4</v>
      </c>
      <c r="BM22" s="994">
        <v>3.4</v>
      </c>
      <c r="BN22" s="994">
        <v>3.4</v>
      </c>
      <c r="BO22" s="994">
        <v>3.4</v>
      </c>
      <c r="BP22" s="994">
        <v>3.4</v>
      </c>
      <c r="BQ22" s="994">
        <v>2.9750000000000001</v>
      </c>
      <c r="BR22" s="994">
        <v>2.9750000000000001</v>
      </c>
      <c r="BS22" s="994">
        <v>2.9750000000000001</v>
      </c>
      <c r="BT22" s="994">
        <v>2.9750000000000001</v>
      </c>
      <c r="BU22" s="994">
        <v>2.9750000000000001</v>
      </c>
      <c r="BV22" s="994">
        <v>2.9750000000000001</v>
      </c>
      <c r="BW22" s="994">
        <v>2.9750000000000001</v>
      </c>
      <c r="BX22" s="994">
        <v>2.9750000000000001</v>
      </c>
      <c r="BY22" s="994">
        <v>2.9750000000000001</v>
      </c>
      <c r="BZ22" s="994">
        <v>2.9750000000000001</v>
      </c>
      <c r="CA22" s="994">
        <v>2.9750000000000001</v>
      </c>
      <c r="CB22" s="994">
        <v>2.9750000000000001</v>
      </c>
      <c r="CC22" s="994">
        <v>2.9750000000000001</v>
      </c>
      <c r="CD22" s="994">
        <v>2.9750000000000001</v>
      </c>
      <c r="CE22" s="994">
        <f t="shared" ref="CE22:CP22" si="7">+CE20-CE21</f>
        <v>3.145</v>
      </c>
      <c r="CF22" s="994">
        <f t="shared" si="7"/>
        <v>3.3149999999999999</v>
      </c>
      <c r="CG22" s="994">
        <f t="shared" si="7"/>
        <v>3.3149999999999999</v>
      </c>
      <c r="CH22" s="994">
        <f t="shared" si="7"/>
        <v>3.3149999999999999</v>
      </c>
      <c r="CI22" s="994">
        <f t="shared" si="7"/>
        <v>3.3149999999999999</v>
      </c>
      <c r="CJ22" s="994">
        <f t="shared" si="7"/>
        <v>3.3149999999999999</v>
      </c>
      <c r="CK22" s="994">
        <f t="shared" si="7"/>
        <v>3.4510000000000001</v>
      </c>
      <c r="CL22" s="994">
        <f t="shared" si="7"/>
        <v>3.67491616</v>
      </c>
      <c r="CM22" s="994">
        <f t="shared" si="7"/>
        <v>3.6699677899999998</v>
      </c>
      <c r="CN22" s="994">
        <f t="shared" si="7"/>
        <v>3.6650029500000003</v>
      </c>
      <c r="CO22" s="994">
        <f t="shared" si="7"/>
        <v>3.6600104999999998</v>
      </c>
      <c r="CP22" s="994">
        <f t="shared" si="7"/>
        <v>6.2950652999999992</v>
      </c>
      <c r="CQ22" s="994">
        <f>+CQ20-CQ21</f>
        <v>6.8110514100000001</v>
      </c>
      <c r="CR22" s="994">
        <f>+CR20-CR21</f>
        <v>10.41452995</v>
      </c>
      <c r="CS22" s="994">
        <f>+CS20-CS21</f>
        <v>10.092981870000001</v>
      </c>
      <c r="CT22" s="994">
        <v>9.3033774999999999</v>
      </c>
      <c r="CU22" s="994">
        <v>8.0480916899999997</v>
      </c>
      <c r="CV22" s="994">
        <v>7.6060916900000004</v>
      </c>
      <c r="CW22" s="994">
        <v>6.58246193</v>
      </c>
      <c r="CX22" s="994">
        <v>5.8978254000000003</v>
      </c>
      <c r="CY22" s="994">
        <v>6.2321778800000001</v>
      </c>
      <c r="CZ22" s="994">
        <v>7.5921778800000004</v>
      </c>
      <c r="DA22" s="994">
        <v>9.0371778799999998</v>
      </c>
      <c r="DB22" s="994">
        <v>9.9041778800000007</v>
      </c>
      <c r="DC22" s="994">
        <v>9.3840000000000003</v>
      </c>
      <c r="DD22" s="1065">
        <v>8.1685459999999992</v>
      </c>
      <c r="DE22" s="1065">
        <v>9.1800460000000008</v>
      </c>
      <c r="DF22" s="1065">
        <v>9.3518082400000004</v>
      </c>
      <c r="DG22" s="1017">
        <v>8.89382348</v>
      </c>
      <c r="DH22" s="1017">
        <v>8.0352649799999991</v>
      </c>
      <c r="DI22" s="1017">
        <v>9.96462498</v>
      </c>
      <c r="DJ22" s="1017">
        <v>9.8106447699999997</v>
      </c>
      <c r="DK22" s="1017">
        <v>10.13559031</v>
      </c>
      <c r="DL22" s="1017">
        <v>12.762150289999999</v>
      </c>
      <c r="DM22" s="1017">
        <v>13.059840919999999</v>
      </c>
      <c r="DN22" s="1017">
        <v>13.16824366</v>
      </c>
      <c r="DO22" s="1017">
        <v>13.172975470000001</v>
      </c>
      <c r="DP22" s="1017">
        <v>13.15866538</v>
      </c>
      <c r="DQ22" s="1017">
        <v>10.35825316</v>
      </c>
      <c r="DR22" s="1017">
        <v>9.4614181800000008</v>
      </c>
      <c r="DS22" s="1017">
        <v>8.5185585600000007</v>
      </c>
      <c r="DT22" s="1017">
        <v>7.5815186800000003</v>
      </c>
      <c r="DU22" s="1017">
        <v>5.9781328900000004</v>
      </c>
      <c r="DV22" s="1017">
        <v>7.0343148700000002</v>
      </c>
      <c r="DW22" s="1017">
        <v>8.5055035799999992</v>
      </c>
      <c r="DX22" s="1017">
        <v>7.7772083199999997</v>
      </c>
      <c r="DY22" s="1017">
        <v>8.22609675</v>
      </c>
      <c r="DZ22" s="1017">
        <v>7.9810160999999997</v>
      </c>
      <c r="EA22" s="1017">
        <v>7.7349142899999999</v>
      </c>
      <c r="EB22" s="1017">
        <v>7.3890182099999997</v>
      </c>
      <c r="EC22" s="1017">
        <v>6.9859275900000002</v>
      </c>
      <c r="ED22" s="1017">
        <v>6.4862201700000002</v>
      </c>
      <c r="EE22" s="1017">
        <v>5.9841391499999999</v>
      </c>
      <c r="EK22" s="400"/>
    </row>
    <row r="23" spans="1:141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K23" s="400"/>
    </row>
    <row r="24" spans="1:141" ht="19.8">
      <c r="A24" s="976" t="s">
        <v>2823</v>
      </c>
      <c r="B24" s="945">
        <v>169.16457667999998</v>
      </c>
      <c r="C24" s="949">
        <v>244.67308358000002</v>
      </c>
      <c r="D24" s="949">
        <v>239.07501956999999</v>
      </c>
      <c r="E24" s="949">
        <v>242.44313004</v>
      </c>
      <c r="F24" s="949">
        <v>243.17232341000002</v>
      </c>
      <c r="G24" s="949">
        <v>249.96290884999999</v>
      </c>
      <c r="H24" s="949">
        <v>248.42091298</v>
      </c>
      <c r="I24" s="949">
        <v>248.42281967</v>
      </c>
      <c r="J24" s="949">
        <v>248.89588411</v>
      </c>
      <c r="K24" s="949">
        <v>255.45785597999998</v>
      </c>
      <c r="L24" s="949">
        <v>256.71346672000004</v>
      </c>
      <c r="M24" s="946">
        <v>257.81000266000001</v>
      </c>
      <c r="N24" s="950">
        <v>256.3101944</v>
      </c>
      <c r="O24" s="950">
        <v>257.90063965999997</v>
      </c>
      <c r="P24" s="946">
        <v>258.19521717999999</v>
      </c>
      <c r="Q24" s="946">
        <v>258.55232223000002</v>
      </c>
      <c r="R24" s="946">
        <v>258.63868702000002</v>
      </c>
      <c r="S24" s="946">
        <v>261.62380450000001</v>
      </c>
      <c r="T24" s="946">
        <v>262.76768393000003</v>
      </c>
      <c r="U24" s="946">
        <v>260.87678449999999</v>
      </c>
      <c r="V24" s="946">
        <v>259.69504685999999</v>
      </c>
      <c r="W24" s="946">
        <v>258.52264810000003</v>
      </c>
      <c r="X24" s="946">
        <v>257.83310813000003</v>
      </c>
      <c r="Y24" s="946">
        <v>306.12694904</v>
      </c>
      <c r="Z24" s="946">
        <v>299.05096579999997</v>
      </c>
      <c r="AA24" s="950">
        <v>910.00501505</v>
      </c>
      <c r="AB24" s="946">
        <v>857.66547176000006</v>
      </c>
      <c r="AC24" s="946">
        <v>860.05756269000005</v>
      </c>
      <c r="AD24" s="946">
        <v>856.00823334999995</v>
      </c>
      <c r="AE24" s="946">
        <v>855.99026775000004</v>
      </c>
      <c r="AF24" s="946">
        <v>860.06130783000003</v>
      </c>
      <c r="AG24" s="946">
        <v>859.59549937999986</v>
      </c>
      <c r="AH24" s="946">
        <v>859.49620554000001</v>
      </c>
      <c r="AI24" s="946">
        <v>599.63196271999993</v>
      </c>
      <c r="AJ24" s="946">
        <v>594.32434321000005</v>
      </c>
      <c r="AK24" s="946">
        <v>863.71037535999994</v>
      </c>
      <c r="AL24" s="946">
        <v>866.83216538000011</v>
      </c>
      <c r="AM24" s="946">
        <v>850.37242359999993</v>
      </c>
      <c r="AN24" s="946">
        <v>836.18665514999998</v>
      </c>
      <c r="AO24" s="946">
        <v>762.63869340999997</v>
      </c>
      <c r="AP24" s="946">
        <v>742.98002315000008</v>
      </c>
      <c r="AQ24" s="946">
        <v>766.15572374999988</v>
      </c>
      <c r="AR24" s="946">
        <v>773.38004274000002</v>
      </c>
      <c r="AS24" s="946">
        <v>775.36298009000006</v>
      </c>
      <c r="AT24" s="946">
        <f>AT8-AT12</f>
        <v>767.86277877999999</v>
      </c>
      <c r="AU24" s="946">
        <v>771.95771472000013</v>
      </c>
      <c r="AV24" s="946">
        <v>813.86239699000009</v>
      </c>
      <c r="AW24" s="946">
        <v>831.06472173000009</v>
      </c>
      <c r="AX24" s="946">
        <v>898.53107594999994</v>
      </c>
      <c r="AY24" s="946">
        <v>818.37992768000004</v>
      </c>
      <c r="AZ24" s="946">
        <v>806.64993419999996</v>
      </c>
      <c r="BA24" s="946">
        <v>795.55517027999997</v>
      </c>
      <c r="BB24" s="946">
        <v>734.72260599999993</v>
      </c>
      <c r="BC24" s="946">
        <v>51.911281440000003</v>
      </c>
      <c r="BD24" s="946">
        <v>43.957436620000003</v>
      </c>
      <c r="BE24" s="946">
        <v>22.02057245</v>
      </c>
      <c r="BF24" s="946">
        <v>16.685853870000003</v>
      </c>
      <c r="BG24" s="946">
        <v>15.09283226</v>
      </c>
      <c r="BH24" s="1004">
        <v>14.213046050000001</v>
      </c>
      <c r="BI24" s="993">
        <v>12.14333553</v>
      </c>
      <c r="BJ24" s="993">
        <v>8.3822816200000005</v>
      </c>
      <c r="BK24" s="993">
        <v>7.50647252</v>
      </c>
      <c r="BL24" s="993">
        <v>6.6303028200000007</v>
      </c>
      <c r="BM24" s="993">
        <v>9.1545452300000001</v>
      </c>
      <c r="BN24" s="993">
        <v>11.051147650000001</v>
      </c>
      <c r="BO24" s="993">
        <v>10.17539006</v>
      </c>
      <c r="BP24" s="993">
        <v>9.7996324799999996</v>
      </c>
      <c r="BQ24" s="993">
        <v>6.9413587000000003</v>
      </c>
      <c r="BR24" s="993">
        <v>3.5232411100000003</v>
      </c>
      <c r="BS24" s="993">
        <v>2.7174837999999997</v>
      </c>
      <c r="BT24" s="993">
        <v>2.8557804700000005</v>
      </c>
      <c r="BU24" s="993">
        <v>1.1139691800000002</v>
      </c>
      <c r="BV24" s="993">
        <v>1.1085534500000001</v>
      </c>
      <c r="BW24" s="993">
        <v>1.0937518599999998</v>
      </c>
      <c r="BX24" s="993">
        <v>1.0881907500000003</v>
      </c>
      <c r="BY24" s="993">
        <v>1.0825554900000003</v>
      </c>
      <c r="BZ24" s="993">
        <v>0.4397770900000002</v>
      </c>
      <c r="CA24" s="993">
        <v>0.43351300000000004</v>
      </c>
      <c r="CB24" s="993">
        <v>7.6521642599999993</v>
      </c>
      <c r="CC24" s="993">
        <v>7.5799689500000014</v>
      </c>
      <c r="CD24" s="993">
        <v>13.0370613</v>
      </c>
      <c r="CE24" s="993">
        <v>23.08084015</v>
      </c>
      <c r="CF24" s="993">
        <v>162.32129550000002</v>
      </c>
      <c r="CG24" s="993">
        <v>32.50946158</v>
      </c>
      <c r="CH24" s="993">
        <v>39.747833190000001</v>
      </c>
      <c r="CI24" s="993">
        <v>42.638868039999998</v>
      </c>
      <c r="CJ24" s="993">
        <v>38.953705810000002</v>
      </c>
      <c r="CK24" s="993">
        <v>37.703061680000005</v>
      </c>
      <c r="CL24" s="993">
        <v>43.87218403</v>
      </c>
      <c r="CM24" s="993">
        <v>47.676133889999996</v>
      </c>
      <c r="CN24" s="993">
        <v>62.672806539999996</v>
      </c>
      <c r="CO24" s="993">
        <v>65.176940799999997</v>
      </c>
      <c r="CP24" s="993">
        <v>68.68251309</v>
      </c>
      <c r="CQ24" s="993">
        <v>66.859239349999996</v>
      </c>
      <c r="CR24" s="993">
        <v>79.021363940000001</v>
      </c>
      <c r="CS24" s="993">
        <v>84.335263909999995</v>
      </c>
      <c r="CT24" s="993">
        <v>88.966924050000003</v>
      </c>
      <c r="CU24" s="993">
        <v>229.13648541000001</v>
      </c>
      <c r="CV24" s="993">
        <v>233.74872245</v>
      </c>
      <c r="CW24" s="993">
        <v>236.89294927</v>
      </c>
      <c r="CX24" s="993">
        <v>240.72943480000001</v>
      </c>
      <c r="CY24" s="993">
        <v>253.50690846000001</v>
      </c>
      <c r="CZ24" s="993">
        <v>253.28223016000001</v>
      </c>
      <c r="DA24" s="993">
        <v>251.35155596000001</v>
      </c>
      <c r="DB24" s="993">
        <v>260.18953818</v>
      </c>
      <c r="DC24" s="993">
        <v>258.41309854000002</v>
      </c>
      <c r="DD24" s="1064">
        <v>256.91704485000002</v>
      </c>
      <c r="DE24" s="1064">
        <v>266.44814016999999</v>
      </c>
      <c r="DF24" s="1064">
        <v>262.96956067999997</v>
      </c>
      <c r="DG24" s="1016">
        <v>261.76922853999997</v>
      </c>
      <c r="DH24" s="1016">
        <v>260.06957312999998</v>
      </c>
      <c r="DI24" s="1016">
        <v>263.70760704999998</v>
      </c>
      <c r="DJ24" s="1016">
        <v>266.32617428999998</v>
      </c>
      <c r="DK24" s="1016">
        <v>271.96856812999999</v>
      </c>
      <c r="DL24" s="1016">
        <v>270.71395276999999</v>
      </c>
      <c r="DM24" s="1016">
        <v>270.36713847999999</v>
      </c>
      <c r="DN24" s="1016">
        <v>269.48847241999999</v>
      </c>
      <c r="DO24" s="1016">
        <v>269.42387896000002</v>
      </c>
      <c r="DP24" s="1016">
        <v>249.48314621</v>
      </c>
      <c r="DQ24" s="1016">
        <v>250.80805072000001</v>
      </c>
      <c r="DR24" s="1016">
        <v>251.94744259999999</v>
      </c>
      <c r="DS24" s="1016">
        <v>250.98132444999999</v>
      </c>
      <c r="DT24" s="1016">
        <v>249.43174246999999</v>
      </c>
      <c r="DU24" s="1016">
        <v>249.38717915999999</v>
      </c>
      <c r="DV24" s="1016">
        <v>265.68558123000003</v>
      </c>
      <c r="DW24" s="1016">
        <v>264.02238437</v>
      </c>
      <c r="DX24" s="1016">
        <v>261.15649266999998</v>
      </c>
      <c r="DY24" s="1016">
        <v>259.96863043000002</v>
      </c>
      <c r="DZ24" s="1016">
        <v>260.14571527999999</v>
      </c>
      <c r="EA24" s="1016">
        <v>259.09976869000002</v>
      </c>
      <c r="EB24" s="1016">
        <v>257.81734741000002</v>
      </c>
      <c r="EC24" s="1016">
        <v>256.76363832999999</v>
      </c>
      <c r="ED24" s="1016">
        <v>254.97924892</v>
      </c>
      <c r="EE24" s="1016">
        <v>252.12639056</v>
      </c>
      <c r="EK24" s="400"/>
    </row>
    <row r="25" spans="1:141" ht="19.8">
      <c r="A25" s="977" t="s">
        <v>2001</v>
      </c>
      <c r="B25" s="949">
        <v>0</v>
      </c>
      <c r="C25" s="949">
        <v>0</v>
      </c>
      <c r="D25" s="949">
        <v>0</v>
      </c>
      <c r="E25" s="949">
        <v>0</v>
      </c>
      <c r="F25" s="949">
        <v>0</v>
      </c>
      <c r="G25" s="949">
        <v>0</v>
      </c>
      <c r="H25" s="949">
        <v>0</v>
      </c>
      <c r="I25" s="949">
        <v>0</v>
      </c>
      <c r="J25" s="949">
        <v>0</v>
      </c>
      <c r="K25" s="949">
        <v>0</v>
      </c>
      <c r="L25" s="949">
        <v>0</v>
      </c>
      <c r="M25" s="950">
        <v>0</v>
      </c>
      <c r="N25" s="950">
        <v>0</v>
      </c>
      <c r="O25" s="950">
        <v>0</v>
      </c>
      <c r="P25" s="950">
        <v>0</v>
      </c>
      <c r="Q25" s="950">
        <v>0</v>
      </c>
      <c r="R25" s="950">
        <v>0</v>
      </c>
      <c r="S25" s="950">
        <v>0</v>
      </c>
      <c r="T25" s="950">
        <v>0</v>
      </c>
      <c r="U25" s="950">
        <v>0</v>
      </c>
      <c r="V25" s="950">
        <v>0</v>
      </c>
      <c r="W25" s="950">
        <v>0</v>
      </c>
      <c r="X25" s="950">
        <v>0</v>
      </c>
      <c r="Y25" s="950">
        <v>0</v>
      </c>
      <c r="Z25" s="950">
        <v>0</v>
      </c>
      <c r="AA25" s="950">
        <v>0</v>
      </c>
      <c r="AB25" s="950">
        <v>0</v>
      </c>
      <c r="AC25" s="950">
        <v>0</v>
      </c>
      <c r="AD25" s="950">
        <v>0</v>
      </c>
      <c r="AE25" s="950">
        <v>0</v>
      </c>
      <c r="AF25" s="950">
        <v>0</v>
      </c>
      <c r="AG25" s="950">
        <v>0</v>
      </c>
      <c r="AH25" s="950">
        <v>0</v>
      </c>
      <c r="AI25" s="950">
        <v>0</v>
      </c>
      <c r="AJ25" s="950">
        <v>0</v>
      </c>
      <c r="AK25" s="950">
        <v>0</v>
      </c>
      <c r="AL25" s="950">
        <v>0</v>
      </c>
      <c r="AM25" s="950">
        <v>0</v>
      </c>
      <c r="AN25" s="950">
        <v>0</v>
      </c>
      <c r="AO25" s="950">
        <v>0</v>
      </c>
      <c r="AP25" s="950">
        <v>0</v>
      </c>
      <c r="AQ25" s="950">
        <v>0</v>
      </c>
      <c r="AR25" s="950">
        <v>0</v>
      </c>
      <c r="AS25" s="950">
        <v>0</v>
      </c>
      <c r="AT25" s="950">
        <f>AT9-AT13</f>
        <v>0</v>
      </c>
      <c r="AU25" s="950">
        <v>0</v>
      </c>
      <c r="AV25" s="950">
        <v>0</v>
      </c>
      <c r="AW25" s="950">
        <v>0</v>
      </c>
      <c r="AX25" s="950">
        <v>0</v>
      </c>
      <c r="AY25" s="950">
        <v>0</v>
      </c>
      <c r="AZ25" s="950">
        <v>0</v>
      </c>
      <c r="BA25" s="950">
        <v>0</v>
      </c>
      <c r="BB25" s="950">
        <v>0</v>
      </c>
      <c r="BC25" s="950">
        <v>0</v>
      </c>
      <c r="BD25" s="950">
        <v>0</v>
      </c>
      <c r="BE25" s="950">
        <v>0</v>
      </c>
      <c r="BF25" s="950">
        <v>0</v>
      </c>
      <c r="BG25" s="950">
        <v>0</v>
      </c>
      <c r="BH25" s="1005">
        <v>0</v>
      </c>
      <c r="BI25" s="994">
        <v>0</v>
      </c>
      <c r="BJ25" s="994">
        <v>0</v>
      </c>
      <c r="BK25" s="994">
        <v>0</v>
      </c>
      <c r="BL25" s="994">
        <v>0</v>
      </c>
      <c r="BM25" s="994">
        <v>0</v>
      </c>
      <c r="BN25" s="994">
        <v>0</v>
      </c>
      <c r="BO25" s="994">
        <v>0</v>
      </c>
      <c r="BP25" s="994">
        <v>0</v>
      </c>
      <c r="BQ25" s="994">
        <v>0</v>
      </c>
      <c r="BR25" s="994">
        <v>0</v>
      </c>
      <c r="BS25" s="994">
        <v>0</v>
      </c>
      <c r="BT25" s="994">
        <v>0</v>
      </c>
      <c r="BU25" s="994">
        <v>0</v>
      </c>
      <c r="BV25" s="994">
        <v>0</v>
      </c>
      <c r="BW25" s="994">
        <v>0</v>
      </c>
      <c r="BX25" s="994">
        <v>0</v>
      </c>
      <c r="BY25" s="994">
        <v>0</v>
      </c>
      <c r="BZ25" s="994">
        <v>0</v>
      </c>
      <c r="CA25" s="994">
        <v>0</v>
      </c>
      <c r="CB25" s="994">
        <v>0</v>
      </c>
      <c r="CC25" s="994">
        <v>0</v>
      </c>
      <c r="CD25" s="994">
        <v>5.1007791600000001</v>
      </c>
      <c r="CE25" s="994">
        <v>0</v>
      </c>
      <c r="CF25" s="994">
        <v>0</v>
      </c>
      <c r="CG25" s="994">
        <v>0</v>
      </c>
      <c r="CH25" s="994">
        <v>0</v>
      </c>
      <c r="CI25" s="994">
        <v>0</v>
      </c>
      <c r="CJ25" s="994">
        <v>0</v>
      </c>
      <c r="CK25" s="994">
        <v>0</v>
      </c>
      <c r="CL25" s="994">
        <v>0</v>
      </c>
      <c r="CM25" s="994">
        <v>0</v>
      </c>
      <c r="CN25" s="994">
        <v>0</v>
      </c>
      <c r="CO25" s="994">
        <v>0</v>
      </c>
      <c r="CP25" s="994">
        <v>0</v>
      </c>
      <c r="CQ25" s="994">
        <v>0</v>
      </c>
      <c r="CR25" s="994">
        <v>0</v>
      </c>
      <c r="CS25" s="994">
        <v>0</v>
      </c>
      <c r="CT25" s="994">
        <v>0</v>
      </c>
      <c r="CU25" s="994">
        <v>0</v>
      </c>
      <c r="CV25" s="994">
        <v>0</v>
      </c>
      <c r="CW25" s="994">
        <v>0</v>
      </c>
      <c r="CX25" s="994">
        <v>0</v>
      </c>
      <c r="CY25" s="994">
        <v>0</v>
      </c>
      <c r="CZ25" s="994">
        <v>0</v>
      </c>
      <c r="DA25" s="994">
        <v>0</v>
      </c>
      <c r="DB25" s="994">
        <v>0</v>
      </c>
      <c r="DC25" s="994">
        <v>0</v>
      </c>
      <c r="DD25" s="1065">
        <v>0</v>
      </c>
      <c r="DE25" s="1065">
        <v>0</v>
      </c>
      <c r="DF25" s="1065">
        <v>0</v>
      </c>
      <c r="DG25" s="1017">
        <v>0</v>
      </c>
      <c r="DH25" s="1017">
        <v>0</v>
      </c>
      <c r="DI25" s="1017">
        <v>0</v>
      </c>
      <c r="DJ25" s="1017">
        <v>0</v>
      </c>
      <c r="DK25" s="1017">
        <v>0</v>
      </c>
      <c r="DL25" s="1017">
        <v>0</v>
      </c>
      <c r="DM25" s="1017">
        <v>0</v>
      </c>
      <c r="DN25" s="1017">
        <v>0</v>
      </c>
      <c r="DO25" s="1017">
        <v>0</v>
      </c>
      <c r="DP25" s="1017">
        <v>0</v>
      </c>
      <c r="DQ25" s="1017">
        <v>0</v>
      </c>
      <c r="DR25" s="1017">
        <v>0</v>
      </c>
      <c r="DS25" s="1017">
        <v>0</v>
      </c>
      <c r="DT25" s="1017">
        <v>0</v>
      </c>
      <c r="DU25" s="1017">
        <v>0</v>
      </c>
      <c r="DV25" s="1017">
        <v>0</v>
      </c>
      <c r="DW25" s="1017">
        <v>0</v>
      </c>
      <c r="DX25" s="1017">
        <v>0</v>
      </c>
      <c r="DY25" s="1017">
        <v>0</v>
      </c>
      <c r="DZ25" s="1017">
        <v>0</v>
      </c>
      <c r="EA25" s="1017">
        <v>0</v>
      </c>
      <c r="EB25" s="1017">
        <v>0</v>
      </c>
      <c r="EC25" s="1017">
        <v>0</v>
      </c>
      <c r="ED25" s="1017">
        <v>0</v>
      </c>
      <c r="EE25" s="1017">
        <v>0</v>
      </c>
      <c r="EK25" s="400"/>
    </row>
    <row r="26" spans="1:141" ht="19.8">
      <c r="A26" s="978" t="s">
        <v>2002</v>
      </c>
      <c r="B26" s="945">
        <f>+B24-B25</f>
        <v>169.16457667999998</v>
      </c>
      <c r="C26" s="949">
        <f t="shared" ref="C26:V26" si="8">+C24-C25</f>
        <v>244.67308358000002</v>
      </c>
      <c r="D26" s="949">
        <f t="shared" si="8"/>
        <v>239.07501956999999</v>
      </c>
      <c r="E26" s="949">
        <f t="shared" si="8"/>
        <v>242.44313004</v>
      </c>
      <c r="F26" s="949">
        <f t="shared" si="8"/>
        <v>243.17232341000002</v>
      </c>
      <c r="G26" s="949">
        <f t="shared" si="8"/>
        <v>249.96290884999999</v>
      </c>
      <c r="H26" s="949">
        <f t="shared" si="8"/>
        <v>248.42091298</v>
      </c>
      <c r="I26" s="949">
        <f t="shared" si="8"/>
        <v>248.42281967</v>
      </c>
      <c r="J26" s="949">
        <f t="shared" si="8"/>
        <v>248.89588411</v>
      </c>
      <c r="K26" s="949">
        <f t="shared" si="8"/>
        <v>255.45785597999998</v>
      </c>
      <c r="L26" s="949">
        <f t="shared" si="8"/>
        <v>256.71346672000004</v>
      </c>
      <c r="M26" s="950">
        <f t="shared" si="8"/>
        <v>257.81000266000001</v>
      </c>
      <c r="N26" s="950">
        <f t="shared" si="8"/>
        <v>256.3101944</v>
      </c>
      <c r="O26" s="950">
        <f t="shared" si="8"/>
        <v>257.90063965999997</v>
      </c>
      <c r="P26" s="946">
        <f t="shared" si="8"/>
        <v>258.19521717999999</v>
      </c>
      <c r="Q26" s="946">
        <f t="shared" si="8"/>
        <v>258.55232223000002</v>
      </c>
      <c r="R26" s="946">
        <f t="shared" si="8"/>
        <v>258.63868702000002</v>
      </c>
      <c r="S26" s="946">
        <f t="shared" si="8"/>
        <v>261.62380450000001</v>
      </c>
      <c r="T26" s="946">
        <f t="shared" si="8"/>
        <v>262.76768393000003</v>
      </c>
      <c r="U26" s="946">
        <f t="shared" si="8"/>
        <v>260.87678449999999</v>
      </c>
      <c r="V26" s="946">
        <f t="shared" si="8"/>
        <v>259.69504685999999</v>
      </c>
      <c r="W26" s="946">
        <v>258.52264810000003</v>
      </c>
      <c r="X26" s="946">
        <v>257.83310813000003</v>
      </c>
      <c r="Y26" s="950">
        <v>306.12694904</v>
      </c>
      <c r="Z26" s="946">
        <v>299.05096579999997</v>
      </c>
      <c r="AA26" s="950">
        <v>910.00501505</v>
      </c>
      <c r="AB26" s="950">
        <v>857.66547176000006</v>
      </c>
      <c r="AC26" s="950">
        <v>860.05756269000005</v>
      </c>
      <c r="AD26" s="950">
        <v>856.00823334999995</v>
      </c>
      <c r="AE26" s="950">
        <v>855.99026775000004</v>
      </c>
      <c r="AF26" s="950">
        <v>860.06130783000003</v>
      </c>
      <c r="AG26" s="950">
        <v>859.59549937999986</v>
      </c>
      <c r="AH26" s="950">
        <f>+AH24-AH25</f>
        <v>859.49620554000001</v>
      </c>
      <c r="AI26" s="950">
        <v>599.63196271999993</v>
      </c>
      <c r="AJ26" s="950">
        <f>+AJ24-AJ25</f>
        <v>594.32434321000005</v>
      </c>
      <c r="AK26" s="950">
        <f>+AK24-AK25</f>
        <v>863.71037535999994</v>
      </c>
      <c r="AL26" s="950">
        <v>866.83216538000011</v>
      </c>
      <c r="AM26" s="950">
        <f>+AM24-AM25</f>
        <v>850.37242359999993</v>
      </c>
      <c r="AN26" s="950">
        <f>+AN24-AN25</f>
        <v>836.18665514999998</v>
      </c>
      <c r="AO26" s="950">
        <f>+AO24-AO25</f>
        <v>762.63869340999997</v>
      </c>
      <c r="AP26" s="950">
        <f>+AP24-AP25</f>
        <v>742.98002315000008</v>
      </c>
      <c r="AQ26" s="950">
        <v>766.15572374999988</v>
      </c>
      <c r="AR26" s="950">
        <f>+AR24-AR25</f>
        <v>773.38004274000002</v>
      </c>
      <c r="AS26" s="950">
        <f>+AS24-AS25</f>
        <v>775.36298009000006</v>
      </c>
      <c r="AT26" s="950">
        <f>AT10-AT14</f>
        <v>767.86277877999999</v>
      </c>
      <c r="AU26" s="950">
        <v>771.95771472000013</v>
      </c>
      <c r="AV26" s="950">
        <v>813.86239699000009</v>
      </c>
      <c r="AW26" s="950">
        <v>831.06472173000009</v>
      </c>
      <c r="AX26" s="950">
        <v>898.53107594999994</v>
      </c>
      <c r="AY26" s="950">
        <v>818.37992768000004</v>
      </c>
      <c r="AZ26" s="950">
        <v>806.64993419999996</v>
      </c>
      <c r="BA26" s="950">
        <v>795.55517027999997</v>
      </c>
      <c r="BB26" s="950">
        <v>734.72260599999993</v>
      </c>
      <c r="BC26" s="950">
        <v>51.911281440000003</v>
      </c>
      <c r="BD26" s="950">
        <f>+BD24-BD25</f>
        <v>43.957436620000003</v>
      </c>
      <c r="BE26" s="950">
        <v>22.02057245</v>
      </c>
      <c r="BF26" s="950">
        <v>16.685853870000003</v>
      </c>
      <c r="BG26" s="950">
        <v>15.09283226</v>
      </c>
      <c r="BH26" s="1005">
        <v>14.213046050000001</v>
      </c>
      <c r="BI26" s="994">
        <v>12.14333553</v>
      </c>
      <c r="BJ26" s="994">
        <v>8.3822816200000005</v>
      </c>
      <c r="BK26" s="994">
        <v>7.50647252</v>
      </c>
      <c r="BL26" s="994">
        <v>6.6303028200000007</v>
      </c>
      <c r="BM26" s="994">
        <v>9.1545452300000001</v>
      </c>
      <c r="BN26" s="994">
        <v>11.051147650000001</v>
      </c>
      <c r="BO26" s="994">
        <v>10.17539006</v>
      </c>
      <c r="BP26" s="994">
        <v>9.7996324799999996</v>
      </c>
      <c r="BQ26" s="994">
        <v>6.9413587000000003</v>
      </c>
      <c r="BR26" s="994">
        <v>3.5232411100000003</v>
      </c>
      <c r="BS26" s="994">
        <v>2.7174837999999997</v>
      </c>
      <c r="BT26" s="994">
        <v>2.8557804700000005</v>
      </c>
      <c r="BU26" s="994">
        <v>1.1139691800000002</v>
      </c>
      <c r="BV26" s="994">
        <v>1.1085534500000001</v>
      </c>
      <c r="BW26" s="994">
        <v>1.0937518599999998</v>
      </c>
      <c r="BX26" s="994">
        <v>1.0881907500000003</v>
      </c>
      <c r="BY26" s="994">
        <v>1.0825554900000003</v>
      </c>
      <c r="BZ26" s="994">
        <v>0.4397770900000002</v>
      </c>
      <c r="CA26" s="994">
        <v>0.43351300000000004</v>
      </c>
      <c r="CB26" s="994">
        <v>7.6521642599999993</v>
      </c>
      <c r="CC26" s="994">
        <v>7.5799689500000014</v>
      </c>
      <c r="CD26" s="994">
        <v>7.9362821399999994</v>
      </c>
      <c r="CE26" s="994">
        <f t="shared" ref="CE26:CJ26" si="9">+CE10-CE14</f>
        <v>23.08084015</v>
      </c>
      <c r="CF26" s="994">
        <f t="shared" si="9"/>
        <v>162.32129550000002</v>
      </c>
      <c r="CG26" s="994">
        <f t="shared" si="9"/>
        <v>32.50946158</v>
      </c>
      <c r="CH26" s="994">
        <f t="shared" si="9"/>
        <v>39.747833190000001</v>
      </c>
      <c r="CI26" s="994">
        <f t="shared" si="9"/>
        <v>42.638868039999998</v>
      </c>
      <c r="CJ26" s="994">
        <f t="shared" si="9"/>
        <v>38.953705810000002</v>
      </c>
      <c r="CK26" s="994">
        <f>+CK10-CK14</f>
        <v>37.703061680000005</v>
      </c>
      <c r="CL26" s="994">
        <f>+CL10-CL14</f>
        <v>43.87218403</v>
      </c>
      <c r="CM26" s="994">
        <f>+CM10-CM14</f>
        <v>47.676133889999996</v>
      </c>
      <c r="CN26" s="994">
        <f>+CN10-CN14</f>
        <v>62.672806539999996</v>
      </c>
      <c r="CO26" s="994">
        <f>+CO24-CO25</f>
        <v>65.176940799999997</v>
      </c>
      <c r="CP26" s="994">
        <f>+CP24-CP25</f>
        <v>68.68251309</v>
      </c>
      <c r="CQ26" s="994">
        <f>+CQ24-CQ25</f>
        <v>66.859239349999996</v>
      </c>
      <c r="CR26" s="994">
        <f>+CR24-CR25</f>
        <v>79.021363940000001</v>
      </c>
      <c r="CS26" s="994">
        <f>+CS24-CS25</f>
        <v>84.335263909999995</v>
      </c>
      <c r="CT26" s="994">
        <v>88.966924050000003</v>
      </c>
      <c r="CU26" s="994">
        <v>229.13648541000001</v>
      </c>
      <c r="CV26" s="994">
        <v>233.74872245</v>
      </c>
      <c r="CW26" s="994">
        <v>236.89294927</v>
      </c>
      <c r="CX26" s="994">
        <v>240.72943480000001</v>
      </c>
      <c r="CY26" s="994">
        <v>253.50690846000001</v>
      </c>
      <c r="CZ26" s="994">
        <v>253.28223016000001</v>
      </c>
      <c r="DA26" s="994">
        <v>251.35155596000001</v>
      </c>
      <c r="DB26" s="994">
        <v>260.18953818</v>
      </c>
      <c r="DC26" s="994">
        <v>258.41309854000002</v>
      </c>
      <c r="DD26" s="1065">
        <v>256.91704485000002</v>
      </c>
      <c r="DE26" s="1065">
        <v>266.44814016999999</v>
      </c>
      <c r="DF26" s="1065">
        <v>262.96956067999997</v>
      </c>
      <c r="DG26" s="1017">
        <v>261.76922853999997</v>
      </c>
      <c r="DH26" s="1017">
        <v>260.06957312999998</v>
      </c>
      <c r="DI26" s="1017">
        <v>263.70760704999998</v>
      </c>
      <c r="DJ26" s="1017">
        <v>266.32617428999998</v>
      </c>
      <c r="DK26" s="1017">
        <v>271.96856812999999</v>
      </c>
      <c r="DL26" s="1017">
        <v>270.71395276999999</v>
      </c>
      <c r="DM26" s="1017">
        <v>270.36713847999999</v>
      </c>
      <c r="DN26" s="1017">
        <v>269.48847241999999</v>
      </c>
      <c r="DO26" s="1017">
        <v>269.42387896000002</v>
      </c>
      <c r="DP26" s="1017">
        <v>249.48314621</v>
      </c>
      <c r="DQ26" s="1017">
        <v>250.80805072000001</v>
      </c>
      <c r="DR26" s="1017">
        <v>251.94744259999999</v>
      </c>
      <c r="DS26" s="1017">
        <v>250.98132444999999</v>
      </c>
      <c r="DT26" s="1017">
        <v>249.43174246999999</v>
      </c>
      <c r="DU26" s="1017">
        <v>249.38717915999999</v>
      </c>
      <c r="DV26" s="1017">
        <v>265.68558123000003</v>
      </c>
      <c r="DW26" s="1017">
        <v>264.02238437</v>
      </c>
      <c r="DX26" s="1017">
        <v>261.15649266999998</v>
      </c>
      <c r="DY26" s="1017">
        <v>259.96863043000002</v>
      </c>
      <c r="DZ26" s="1017">
        <v>260.14571527999999</v>
      </c>
      <c r="EA26" s="1017">
        <v>259.09976869000002</v>
      </c>
      <c r="EB26" s="1017">
        <v>257.81734741000002</v>
      </c>
      <c r="EC26" s="1017">
        <v>256.76363832999999</v>
      </c>
      <c r="ED26" s="1017">
        <v>254.97924892</v>
      </c>
      <c r="EE26" s="1017">
        <v>252.12639056</v>
      </c>
      <c r="EK26" s="400"/>
    </row>
    <row r="27" spans="1:141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K27" s="400"/>
    </row>
    <row r="28" spans="1:141" ht="19.8">
      <c r="A28" s="1513" t="s">
        <v>189</v>
      </c>
      <c r="B28" s="949">
        <v>46.254203830000002</v>
      </c>
      <c r="C28" s="949">
        <v>38.63327065</v>
      </c>
      <c r="D28" s="949">
        <v>38.005698259999996</v>
      </c>
      <c r="E28" s="949">
        <v>37.752392560000004</v>
      </c>
      <c r="F28" s="949">
        <v>38.409636040000002</v>
      </c>
      <c r="G28" s="949">
        <v>38.030524630000002</v>
      </c>
      <c r="H28" s="949">
        <v>41.412116140000002</v>
      </c>
      <c r="I28" s="949">
        <v>41.423112780000004</v>
      </c>
      <c r="J28" s="949">
        <v>40.948909869999994</v>
      </c>
      <c r="K28" s="949">
        <v>46.425499030000005</v>
      </c>
      <c r="L28" s="949">
        <v>46.771095100000004</v>
      </c>
      <c r="M28" s="946">
        <v>47.724016729999995</v>
      </c>
      <c r="N28" s="950">
        <v>47.62525333</v>
      </c>
      <c r="O28" s="950">
        <v>48.289740159999994</v>
      </c>
      <c r="P28" s="950">
        <v>48.47032652</v>
      </c>
      <c r="Q28" s="950">
        <v>48.325112920000002</v>
      </c>
      <c r="R28" s="950">
        <v>49.679857920000003</v>
      </c>
      <c r="S28" s="950">
        <v>50.427143649999998</v>
      </c>
      <c r="T28" s="950">
        <v>52.78641588</v>
      </c>
      <c r="U28" s="950">
        <v>52.462860110000001</v>
      </c>
      <c r="V28" s="950">
        <v>54.315938729999999</v>
      </c>
      <c r="W28" s="950">
        <v>53.859680350000005</v>
      </c>
      <c r="X28" s="950">
        <v>52.73801933</v>
      </c>
      <c r="Y28" s="946">
        <v>50.650812119999998</v>
      </c>
      <c r="Z28" s="950">
        <v>48.588748100000004</v>
      </c>
      <c r="AA28" s="950">
        <v>53.085998420000003</v>
      </c>
      <c r="AB28" s="946">
        <v>50.670332070000001</v>
      </c>
      <c r="AC28" s="946">
        <v>49.512955689999998</v>
      </c>
      <c r="AD28" s="946">
        <v>48.395055820000003</v>
      </c>
      <c r="AE28" s="946">
        <v>47.587859479999999</v>
      </c>
      <c r="AF28" s="946">
        <v>35.700965109999999</v>
      </c>
      <c r="AG28" s="946">
        <v>33.519754329999998</v>
      </c>
      <c r="AH28" s="946">
        <v>33.222163610000003</v>
      </c>
      <c r="AI28" s="946">
        <v>32.218120939999999</v>
      </c>
      <c r="AJ28" s="946">
        <v>594.32434321000005</v>
      </c>
      <c r="AK28" s="946">
        <v>21.745366440000002</v>
      </c>
      <c r="AL28" s="946">
        <v>2.95465131</v>
      </c>
      <c r="AM28" s="946">
        <v>2.69867546</v>
      </c>
      <c r="AN28" s="946">
        <v>2.3819547700000001</v>
      </c>
      <c r="AO28" s="946">
        <v>2.1228837</v>
      </c>
      <c r="AP28" s="946">
        <v>1.86236366</v>
      </c>
      <c r="AQ28" s="946">
        <v>1.5902256100000001</v>
      </c>
      <c r="AR28" s="946">
        <v>1.3071844699999999</v>
      </c>
      <c r="AS28" s="946">
        <v>1.14420543</v>
      </c>
      <c r="AT28" s="946">
        <v>1.0801258999999999</v>
      </c>
      <c r="AU28" s="946">
        <v>4.1510900000000003E-2</v>
      </c>
      <c r="AV28" s="946">
        <v>3.6001390000000001E-2</v>
      </c>
      <c r="AW28" s="946">
        <v>3.6001390000000001E-2</v>
      </c>
      <c r="AX28" s="946">
        <v>3.3181410000000001E-2</v>
      </c>
      <c r="AY28" s="946">
        <v>3.0323830000000003E-2</v>
      </c>
      <c r="AZ28" s="946">
        <v>2.7428150000000002E-2</v>
      </c>
      <c r="BA28" s="946">
        <v>2.7428150000000002E-2</v>
      </c>
      <c r="BB28" s="946">
        <v>2.1520439999999998E-2</v>
      </c>
      <c r="BC28" s="946">
        <v>2.1520439999999998E-2</v>
      </c>
      <c r="BD28" s="946">
        <v>2.1520439999999998E-2</v>
      </c>
      <c r="BE28" s="946">
        <v>2.1520439999999998E-2</v>
      </c>
      <c r="BF28" s="946">
        <v>0.50922513999999997</v>
      </c>
      <c r="BG28" s="946">
        <v>0.50614813999999997</v>
      </c>
      <c r="BH28" s="1004">
        <v>0.50302897999999996</v>
      </c>
      <c r="BI28" s="993">
        <v>0.5</v>
      </c>
      <c r="BJ28" s="993">
        <v>0.5</v>
      </c>
      <c r="BK28" s="993">
        <v>0.5</v>
      </c>
      <c r="BL28" s="993">
        <v>0.5</v>
      </c>
      <c r="BM28" s="993">
        <v>0.5</v>
      </c>
      <c r="BN28" s="993">
        <v>0.5</v>
      </c>
      <c r="BO28" s="993">
        <v>0.5</v>
      </c>
      <c r="BP28" s="993">
        <v>1</v>
      </c>
      <c r="BQ28" s="993">
        <v>1</v>
      </c>
      <c r="BR28" s="993">
        <v>1.23</v>
      </c>
      <c r="BS28" s="993">
        <v>1.3</v>
      </c>
      <c r="BT28" s="993">
        <v>1.4382966699999999</v>
      </c>
      <c r="BU28" s="993">
        <v>1.1046555300000001</v>
      </c>
      <c r="BV28" s="993">
        <v>1.0992398000000001</v>
      </c>
      <c r="BW28" s="993">
        <v>1.09375186</v>
      </c>
      <c r="BX28" s="993">
        <v>1.0881907500000001</v>
      </c>
      <c r="BY28" s="993">
        <v>1.0825554900000001</v>
      </c>
      <c r="BZ28" s="993">
        <v>0.43977709000000004</v>
      </c>
      <c r="CA28" s="993">
        <v>0.43351299999999998</v>
      </c>
      <c r="CB28" s="993">
        <v>0.42716426000000002</v>
      </c>
      <c r="CC28" s="993">
        <v>0.42072953999999996</v>
      </c>
      <c r="CD28" s="993">
        <v>0.91420779000000008</v>
      </c>
      <c r="CE28" s="993">
        <v>0.88817696000000002</v>
      </c>
      <c r="CF28" s="993">
        <v>0.85961054000000003</v>
      </c>
      <c r="CG28" s="993">
        <v>0.82986705000000005</v>
      </c>
      <c r="CH28" s="993">
        <v>0.80053240000000003</v>
      </c>
      <c r="CI28" s="993">
        <v>0.77084754</v>
      </c>
      <c r="CJ28" s="993">
        <v>1.0837384800000001</v>
      </c>
      <c r="CK28" s="993">
        <v>1.06462246</v>
      </c>
      <c r="CL28" s="993">
        <v>3.4928417299999999</v>
      </c>
      <c r="CM28" s="993">
        <v>3.3867915899999996</v>
      </c>
      <c r="CN28" s="993">
        <v>3.48192586</v>
      </c>
      <c r="CO28" s="993">
        <v>3.3735617200000001</v>
      </c>
      <c r="CP28" s="993">
        <v>3.2288478199999999</v>
      </c>
      <c r="CQ28" s="993">
        <v>3.0862252200000002</v>
      </c>
      <c r="CR28" s="993">
        <v>3.0259489400000001</v>
      </c>
      <c r="CS28" s="993">
        <v>3.1478981400000001</v>
      </c>
      <c r="CT28" s="993">
        <v>5.6253254200000002</v>
      </c>
      <c r="CU28" s="993">
        <v>6.5365980400000003</v>
      </c>
      <c r="CV28" s="993">
        <v>6.70918964</v>
      </c>
      <c r="CW28" s="993">
        <v>8.4208723699999997</v>
      </c>
      <c r="CX28" s="993">
        <v>8.3062313799999998</v>
      </c>
      <c r="CY28" s="993">
        <v>8.4308104999999998</v>
      </c>
      <c r="CZ28" s="993">
        <v>9.9346093500000006</v>
      </c>
      <c r="DA28" s="993">
        <v>9.6225126799999998</v>
      </c>
      <c r="DB28" s="993">
        <v>9.2815698900000001</v>
      </c>
      <c r="DC28" s="993">
        <v>9.0561801299999996</v>
      </c>
      <c r="DD28" s="1064">
        <v>8.6403173100000004</v>
      </c>
      <c r="DE28" s="1064">
        <v>9.9563370800000008</v>
      </c>
      <c r="DF28" s="1064">
        <v>6.7567788699999998</v>
      </c>
      <c r="DG28" s="1016">
        <v>6.4284177099999997</v>
      </c>
      <c r="DH28" s="1016">
        <v>5.9816840100000004</v>
      </c>
      <c r="DI28" s="1016">
        <v>5.9379101700000003</v>
      </c>
      <c r="DJ28" s="1016">
        <v>5.8115643200000004</v>
      </c>
      <c r="DK28" s="1016">
        <v>5.9884891299999996</v>
      </c>
      <c r="DL28" s="1016">
        <v>6.2783188799999996</v>
      </c>
      <c r="DM28" s="1016">
        <v>6.3582407500000002</v>
      </c>
      <c r="DN28" s="1016">
        <v>7.0952761100000004</v>
      </c>
      <c r="DO28" s="1016">
        <v>7.4373536700000002</v>
      </c>
      <c r="DP28" s="1016">
        <v>7.1380993699999999</v>
      </c>
      <c r="DQ28" s="1016">
        <v>7.4423620799999997</v>
      </c>
      <c r="DR28" s="1016">
        <v>8.1970261999999998</v>
      </c>
      <c r="DS28" s="1016">
        <v>7.9577714100000003</v>
      </c>
      <c r="DT28" s="1016">
        <v>7.8265489300000004</v>
      </c>
      <c r="DU28" s="1016">
        <v>8.2620568199999997</v>
      </c>
      <c r="DV28" s="1016">
        <v>7.7208884600000003</v>
      </c>
      <c r="DW28" s="1016">
        <v>7.6056059400000002</v>
      </c>
      <c r="DX28" s="1016">
        <v>7.5055935500000004</v>
      </c>
      <c r="DY28" s="1016">
        <v>7.2034147099999997</v>
      </c>
      <c r="DZ28" s="1016">
        <v>8.2190036000000006</v>
      </c>
      <c r="EA28" s="1016">
        <v>8.9177553199999995</v>
      </c>
      <c r="EB28" s="1016">
        <v>8.7709543799999992</v>
      </c>
      <c r="EC28" s="1016">
        <v>8.9404617799999997</v>
      </c>
      <c r="ED28" s="1016">
        <v>9.0334841499999996</v>
      </c>
      <c r="EE28" s="1016">
        <v>8.8891335700000003</v>
      </c>
      <c r="EK28" s="400"/>
    </row>
    <row r="29" spans="1:141" ht="19.8">
      <c r="A29" s="1514" t="s">
        <v>2001</v>
      </c>
      <c r="B29" s="949">
        <v>0</v>
      </c>
      <c r="C29" s="949">
        <v>0</v>
      </c>
      <c r="D29" s="949">
        <v>0</v>
      </c>
      <c r="E29" s="949">
        <v>0</v>
      </c>
      <c r="F29" s="949">
        <v>0</v>
      </c>
      <c r="G29" s="949">
        <v>0</v>
      </c>
      <c r="H29" s="949">
        <v>0</v>
      </c>
      <c r="I29" s="949">
        <v>0</v>
      </c>
      <c r="J29" s="949">
        <v>0</v>
      </c>
      <c r="K29" s="949">
        <v>0</v>
      </c>
      <c r="L29" s="949">
        <v>0</v>
      </c>
      <c r="M29" s="950">
        <v>0</v>
      </c>
      <c r="N29" s="950">
        <v>0</v>
      </c>
      <c r="O29" s="950">
        <v>0</v>
      </c>
      <c r="P29" s="950">
        <v>0</v>
      </c>
      <c r="Q29" s="950">
        <v>0</v>
      </c>
      <c r="R29" s="950">
        <v>0</v>
      </c>
      <c r="S29" s="950">
        <v>0</v>
      </c>
      <c r="T29" s="950">
        <v>0</v>
      </c>
      <c r="U29" s="950">
        <v>0</v>
      </c>
      <c r="V29" s="950">
        <v>0</v>
      </c>
      <c r="W29" s="950">
        <v>0</v>
      </c>
      <c r="X29" s="950">
        <v>0</v>
      </c>
      <c r="Y29" s="950">
        <v>0</v>
      </c>
      <c r="Z29" s="950">
        <v>0</v>
      </c>
      <c r="AA29" s="950">
        <v>0</v>
      </c>
      <c r="AB29" s="950">
        <v>0</v>
      </c>
      <c r="AC29" s="950">
        <v>0</v>
      </c>
      <c r="AD29" s="950">
        <v>0</v>
      </c>
      <c r="AE29" s="950">
        <v>0</v>
      </c>
      <c r="AF29" s="950">
        <v>0</v>
      </c>
      <c r="AG29" s="950">
        <v>0</v>
      </c>
      <c r="AH29" s="950">
        <v>0</v>
      </c>
      <c r="AI29" s="950">
        <v>0</v>
      </c>
      <c r="AJ29" s="950">
        <v>0</v>
      </c>
      <c r="AK29" s="950">
        <v>0</v>
      </c>
      <c r="AL29" s="950">
        <v>0</v>
      </c>
      <c r="AM29" s="950">
        <v>0</v>
      </c>
      <c r="AN29" s="950">
        <v>0</v>
      </c>
      <c r="AO29" s="950">
        <v>0</v>
      </c>
      <c r="AP29" s="950">
        <v>0</v>
      </c>
      <c r="AQ29" s="950">
        <v>0</v>
      </c>
      <c r="AR29" s="950">
        <v>0</v>
      </c>
      <c r="AS29" s="950">
        <v>0</v>
      </c>
      <c r="AT29" s="950">
        <v>0</v>
      </c>
      <c r="AU29" s="950">
        <v>0</v>
      </c>
      <c r="AV29" s="950">
        <v>0</v>
      </c>
      <c r="AW29" s="950">
        <v>0</v>
      </c>
      <c r="AX29" s="950">
        <v>0</v>
      </c>
      <c r="AY29" s="950">
        <v>0</v>
      </c>
      <c r="AZ29" s="950">
        <v>0</v>
      </c>
      <c r="BA29" s="950">
        <v>0</v>
      </c>
      <c r="BB29" s="950">
        <v>0</v>
      </c>
      <c r="BC29" s="950">
        <v>0</v>
      </c>
      <c r="BD29" s="950">
        <v>0</v>
      </c>
      <c r="BE29" s="950">
        <v>0</v>
      </c>
      <c r="BF29" s="950">
        <v>0</v>
      </c>
      <c r="BG29" s="950">
        <v>0</v>
      </c>
      <c r="BH29" s="1005">
        <v>0</v>
      </c>
      <c r="BI29" s="994">
        <v>0</v>
      </c>
      <c r="BJ29" s="994">
        <v>0</v>
      </c>
      <c r="BK29" s="994">
        <v>0</v>
      </c>
      <c r="BL29" s="994">
        <v>0</v>
      </c>
      <c r="BM29" s="994">
        <v>0</v>
      </c>
      <c r="BN29" s="994">
        <v>0</v>
      </c>
      <c r="BO29" s="994">
        <v>0</v>
      </c>
      <c r="BP29" s="994">
        <v>0</v>
      </c>
      <c r="BQ29" s="994">
        <v>0</v>
      </c>
      <c r="BR29" s="994">
        <v>0</v>
      </c>
      <c r="BS29" s="994">
        <v>0</v>
      </c>
      <c r="BT29" s="994">
        <v>0</v>
      </c>
      <c r="BU29" s="994">
        <v>0</v>
      </c>
      <c r="BV29" s="994">
        <v>0</v>
      </c>
      <c r="BW29" s="994">
        <v>0</v>
      </c>
      <c r="BX29" s="994">
        <v>0</v>
      </c>
      <c r="BY29" s="994">
        <v>0</v>
      </c>
      <c r="BZ29" s="994">
        <v>0</v>
      </c>
      <c r="CA29" s="994">
        <v>0</v>
      </c>
      <c r="CB29" s="994">
        <v>0</v>
      </c>
      <c r="CC29" s="994">
        <v>0</v>
      </c>
      <c r="CD29" s="994">
        <v>0</v>
      </c>
      <c r="CE29" s="994">
        <v>0</v>
      </c>
      <c r="CF29" s="994">
        <v>0</v>
      </c>
      <c r="CG29" s="994">
        <v>0</v>
      </c>
      <c r="CH29" s="994">
        <v>0</v>
      </c>
      <c r="CI29" s="994">
        <v>0</v>
      </c>
      <c r="CJ29" s="994">
        <v>0</v>
      </c>
      <c r="CK29" s="994">
        <v>0</v>
      </c>
      <c r="CL29" s="994">
        <v>0</v>
      </c>
      <c r="CM29" s="994">
        <v>0</v>
      </c>
      <c r="CN29" s="994">
        <v>0</v>
      </c>
      <c r="CO29" s="994">
        <v>0</v>
      </c>
      <c r="CP29" s="994">
        <v>0</v>
      </c>
      <c r="CQ29" s="994">
        <v>0</v>
      </c>
      <c r="CR29" s="994">
        <v>0</v>
      </c>
      <c r="CS29" s="994">
        <v>0</v>
      </c>
      <c r="CT29" s="994">
        <v>0</v>
      </c>
      <c r="CU29" s="994">
        <v>0</v>
      </c>
      <c r="CV29" s="994">
        <v>0</v>
      </c>
      <c r="CW29" s="994">
        <v>0</v>
      </c>
      <c r="CX29" s="994">
        <v>0</v>
      </c>
      <c r="CY29" s="994">
        <v>0</v>
      </c>
      <c r="CZ29" s="994">
        <v>0</v>
      </c>
      <c r="DA29" s="994">
        <v>0</v>
      </c>
      <c r="DB29" s="994">
        <v>0</v>
      </c>
      <c r="DC29" s="994">
        <v>0</v>
      </c>
      <c r="DD29" s="1065">
        <v>0</v>
      </c>
      <c r="DE29" s="1065">
        <v>0</v>
      </c>
      <c r="DF29" s="1065">
        <v>0</v>
      </c>
      <c r="DG29" s="1017">
        <v>0</v>
      </c>
      <c r="DH29" s="1017">
        <v>0</v>
      </c>
      <c r="DI29" s="1017">
        <v>0</v>
      </c>
      <c r="DJ29" s="1017">
        <v>0</v>
      </c>
      <c r="DK29" s="1017">
        <v>0</v>
      </c>
      <c r="DL29" s="1017">
        <v>0</v>
      </c>
      <c r="DM29" s="1017">
        <v>0</v>
      </c>
      <c r="DN29" s="1017">
        <v>0</v>
      </c>
      <c r="DO29" s="1017">
        <v>0</v>
      </c>
      <c r="DP29" s="1017">
        <v>0</v>
      </c>
      <c r="DQ29" s="1017">
        <v>0</v>
      </c>
      <c r="DR29" s="1017">
        <v>0</v>
      </c>
      <c r="DS29" s="1017">
        <v>0</v>
      </c>
      <c r="DT29" s="1017">
        <v>0</v>
      </c>
      <c r="DU29" s="1017">
        <v>0</v>
      </c>
      <c r="DV29" s="1017">
        <v>0</v>
      </c>
      <c r="DW29" s="1017">
        <v>0</v>
      </c>
      <c r="DX29" s="1017">
        <v>0</v>
      </c>
      <c r="DY29" s="1017">
        <v>0</v>
      </c>
      <c r="DZ29" s="1017">
        <v>0</v>
      </c>
      <c r="EA29" s="1017">
        <v>0</v>
      </c>
      <c r="EB29" s="1017">
        <v>0</v>
      </c>
      <c r="EC29" s="1017">
        <v>0</v>
      </c>
      <c r="ED29" s="1017">
        <v>0</v>
      </c>
      <c r="EE29" s="1017">
        <v>0</v>
      </c>
      <c r="EK29" s="400"/>
    </row>
    <row r="30" spans="1:141" ht="19.8">
      <c r="A30" s="1515" t="s">
        <v>2002</v>
      </c>
      <c r="B30" s="945">
        <f>+B28-B29</f>
        <v>46.254203830000002</v>
      </c>
      <c r="C30" s="945">
        <f t="shared" ref="C30:V30" si="10">+C28-C29</f>
        <v>38.63327065</v>
      </c>
      <c r="D30" s="945">
        <f t="shared" si="10"/>
        <v>38.005698259999996</v>
      </c>
      <c r="E30" s="945">
        <f t="shared" si="10"/>
        <v>37.752392560000004</v>
      </c>
      <c r="F30" s="945">
        <f t="shared" si="10"/>
        <v>38.409636040000002</v>
      </c>
      <c r="G30" s="945">
        <f t="shared" si="10"/>
        <v>38.030524630000002</v>
      </c>
      <c r="H30" s="945">
        <f t="shared" si="10"/>
        <v>41.412116140000002</v>
      </c>
      <c r="I30" s="945">
        <f t="shared" si="10"/>
        <v>41.423112780000004</v>
      </c>
      <c r="J30" s="945">
        <f t="shared" si="10"/>
        <v>40.948909869999994</v>
      </c>
      <c r="K30" s="945">
        <f t="shared" si="10"/>
        <v>46.425499030000005</v>
      </c>
      <c r="L30" s="945">
        <f t="shared" si="10"/>
        <v>46.771095100000004</v>
      </c>
      <c r="M30" s="950">
        <f t="shared" si="10"/>
        <v>47.724016729999995</v>
      </c>
      <c r="N30" s="946">
        <f t="shared" si="10"/>
        <v>47.62525333</v>
      </c>
      <c r="O30" s="946">
        <f t="shared" si="10"/>
        <v>48.289740159999994</v>
      </c>
      <c r="P30" s="946">
        <f t="shared" si="10"/>
        <v>48.47032652</v>
      </c>
      <c r="Q30" s="946">
        <f t="shared" si="10"/>
        <v>48.325112920000002</v>
      </c>
      <c r="R30" s="946">
        <f t="shared" si="10"/>
        <v>49.679857920000003</v>
      </c>
      <c r="S30" s="946">
        <f t="shared" si="10"/>
        <v>50.427143649999998</v>
      </c>
      <c r="T30" s="946">
        <f t="shared" si="10"/>
        <v>52.78641588</v>
      </c>
      <c r="U30" s="946">
        <f t="shared" si="10"/>
        <v>52.462860110000001</v>
      </c>
      <c r="V30" s="946">
        <f t="shared" si="10"/>
        <v>54.315938729999999</v>
      </c>
      <c r="W30" s="946">
        <v>53.859680350000005</v>
      </c>
      <c r="X30" s="946">
        <v>52.73801933</v>
      </c>
      <c r="Y30" s="950">
        <v>50.650812119999998</v>
      </c>
      <c r="Z30" s="946">
        <v>48.588748100000004</v>
      </c>
      <c r="AA30" s="946">
        <v>53.085998420000003</v>
      </c>
      <c r="AB30" s="950">
        <v>50.670332070000001</v>
      </c>
      <c r="AC30" s="950">
        <v>49.512955689999998</v>
      </c>
      <c r="AD30" s="950">
        <v>48.395055820000003</v>
      </c>
      <c r="AE30" s="950">
        <v>47.587859479999999</v>
      </c>
      <c r="AF30" s="950">
        <v>35.700965109999999</v>
      </c>
      <c r="AG30" s="950">
        <v>33.519754329999998</v>
      </c>
      <c r="AH30" s="950">
        <f>+AH28-AH29</f>
        <v>33.222163610000003</v>
      </c>
      <c r="AI30" s="950">
        <v>32.218120939999999</v>
      </c>
      <c r="AJ30" s="950">
        <f>+AJ28-AJ29</f>
        <v>594.32434321000005</v>
      </c>
      <c r="AK30" s="950">
        <f>+AK28-AK29</f>
        <v>21.745366440000002</v>
      </c>
      <c r="AL30" s="950">
        <v>2.95465131</v>
      </c>
      <c r="AM30" s="950">
        <f>+AM28-AM29</f>
        <v>2.69867546</v>
      </c>
      <c r="AN30" s="950">
        <f>+AN28-AN29</f>
        <v>2.3819547700000001</v>
      </c>
      <c r="AO30" s="950">
        <f>+AO28-AO29</f>
        <v>2.1228837</v>
      </c>
      <c r="AP30" s="950">
        <f>+AP28-AP29</f>
        <v>1.86236366</v>
      </c>
      <c r="AQ30" s="950">
        <v>1.5902256100000001</v>
      </c>
      <c r="AR30" s="950">
        <f>+AR28-AR29</f>
        <v>1.3071844699999999</v>
      </c>
      <c r="AS30" s="950">
        <f>+AS28-AS29</f>
        <v>1.14420543</v>
      </c>
      <c r="AT30" s="950">
        <f>+AT28-AT29</f>
        <v>1.0801258999999999</v>
      </c>
      <c r="AU30" s="950">
        <v>4.1510900000000003E-2</v>
      </c>
      <c r="AV30" s="950">
        <v>3.6001390000000001E-2</v>
      </c>
      <c r="AW30" s="950">
        <v>3.6001390000000001E-2</v>
      </c>
      <c r="AX30" s="950">
        <v>3.3181410000000001E-2</v>
      </c>
      <c r="AY30" s="950">
        <v>3.0323830000000003E-2</v>
      </c>
      <c r="AZ30" s="950">
        <v>2.7428150000000002E-2</v>
      </c>
      <c r="BA30" s="950">
        <v>2.7428150000000002E-2</v>
      </c>
      <c r="BB30" s="950">
        <v>2.1520439999999998E-2</v>
      </c>
      <c r="BC30" s="950">
        <v>2.1520439999999998E-2</v>
      </c>
      <c r="BD30" s="950">
        <f>+BD28-BD29</f>
        <v>2.1520439999999998E-2</v>
      </c>
      <c r="BE30" s="950">
        <v>2.1520439999999998E-2</v>
      </c>
      <c r="BF30" s="950">
        <v>0.50922513999999997</v>
      </c>
      <c r="BG30" s="950">
        <v>0.50614813999999997</v>
      </c>
      <c r="BH30" s="1005">
        <v>0.50302897999999996</v>
      </c>
      <c r="BI30" s="994">
        <v>0.5</v>
      </c>
      <c r="BJ30" s="994">
        <v>0.5</v>
      </c>
      <c r="BK30" s="994">
        <v>0.5</v>
      </c>
      <c r="BL30" s="994">
        <v>0.5</v>
      </c>
      <c r="BM30" s="994">
        <v>0.5</v>
      </c>
      <c r="BN30" s="994">
        <v>0.5</v>
      </c>
      <c r="BO30" s="994">
        <v>0.5</v>
      </c>
      <c r="BP30" s="994">
        <v>1</v>
      </c>
      <c r="BQ30" s="994">
        <v>1</v>
      </c>
      <c r="BR30" s="994">
        <v>1.23</v>
      </c>
      <c r="BS30" s="994">
        <v>1.3</v>
      </c>
      <c r="BT30" s="994">
        <v>1.4382966699999999</v>
      </c>
      <c r="BU30" s="994">
        <v>1.1046555300000001</v>
      </c>
      <c r="BV30" s="994">
        <v>1.0992398000000001</v>
      </c>
      <c r="BW30" s="994">
        <v>1.09375186</v>
      </c>
      <c r="BX30" s="994">
        <v>1.0881907500000001</v>
      </c>
      <c r="BY30" s="994">
        <v>1.0825554900000001</v>
      </c>
      <c r="BZ30" s="994">
        <v>0.43977709000000004</v>
      </c>
      <c r="CA30" s="994">
        <v>0.43351299999999998</v>
      </c>
      <c r="CB30" s="994">
        <v>0.42716426000000002</v>
      </c>
      <c r="CC30" s="994">
        <v>0.42072953999999996</v>
      </c>
      <c r="CD30" s="994">
        <v>0.91420779000000008</v>
      </c>
      <c r="CE30" s="994">
        <f t="shared" ref="CE30:CP30" si="11">+CE28-CE29</f>
        <v>0.88817696000000002</v>
      </c>
      <c r="CF30" s="994">
        <f t="shared" si="11"/>
        <v>0.85961054000000003</v>
      </c>
      <c r="CG30" s="994">
        <f t="shared" si="11"/>
        <v>0.82986705000000005</v>
      </c>
      <c r="CH30" s="994">
        <f t="shared" si="11"/>
        <v>0.80053240000000003</v>
      </c>
      <c r="CI30" s="994">
        <f t="shared" si="11"/>
        <v>0.77084754</v>
      </c>
      <c r="CJ30" s="994">
        <f t="shared" si="11"/>
        <v>1.0837384800000001</v>
      </c>
      <c r="CK30" s="994">
        <f t="shared" si="11"/>
        <v>1.06462246</v>
      </c>
      <c r="CL30" s="994">
        <f t="shared" si="11"/>
        <v>3.4928417299999999</v>
      </c>
      <c r="CM30" s="994">
        <f t="shared" si="11"/>
        <v>3.3867915899999996</v>
      </c>
      <c r="CN30" s="994">
        <f t="shared" si="11"/>
        <v>3.48192586</v>
      </c>
      <c r="CO30" s="994">
        <f t="shared" si="11"/>
        <v>3.3735617200000001</v>
      </c>
      <c r="CP30" s="994">
        <f t="shared" si="11"/>
        <v>3.2288478199999999</v>
      </c>
      <c r="CQ30" s="994">
        <f>+CQ28-CQ29</f>
        <v>3.0862252200000002</v>
      </c>
      <c r="CR30" s="994">
        <f>+CR28-CR29</f>
        <v>3.0259489400000001</v>
      </c>
      <c r="CS30" s="994">
        <f>+CS28-CS29</f>
        <v>3.1478981400000001</v>
      </c>
      <c r="CT30" s="994">
        <v>5.6253254200000002</v>
      </c>
      <c r="CU30" s="994">
        <v>6.5365980400000003</v>
      </c>
      <c r="CV30" s="994">
        <v>6.70918964</v>
      </c>
      <c r="CW30" s="994">
        <v>8.4208723699999997</v>
      </c>
      <c r="CX30" s="994">
        <v>8.3062313799999998</v>
      </c>
      <c r="CY30" s="994">
        <v>8.4308104999999998</v>
      </c>
      <c r="CZ30" s="994">
        <v>9.9346093500000006</v>
      </c>
      <c r="DA30" s="994">
        <v>9.6225126799999998</v>
      </c>
      <c r="DB30" s="994">
        <v>9.2815698900000001</v>
      </c>
      <c r="DC30" s="994">
        <v>9.0561801299999996</v>
      </c>
      <c r="DD30" s="1065">
        <v>8.6403173100000004</v>
      </c>
      <c r="DE30" s="1065">
        <v>9.9563370800000008</v>
      </c>
      <c r="DF30" s="1065">
        <v>6.7567788699999998</v>
      </c>
      <c r="DG30" s="1017">
        <v>6.4284177099999997</v>
      </c>
      <c r="DH30" s="1017">
        <v>5.9816840100000004</v>
      </c>
      <c r="DI30" s="1017">
        <v>5.9379101700000003</v>
      </c>
      <c r="DJ30" s="1017">
        <v>5.8115643200000004</v>
      </c>
      <c r="DK30" s="1017">
        <v>5.9884891299999996</v>
      </c>
      <c r="DL30" s="1017">
        <v>6.2783188799999996</v>
      </c>
      <c r="DM30" s="1017">
        <v>6.3582407500000002</v>
      </c>
      <c r="DN30" s="1017">
        <v>7.0952761100000004</v>
      </c>
      <c r="DO30" s="1017">
        <v>7.4373536700000002</v>
      </c>
      <c r="DP30" s="1017">
        <v>7.1380993699999999</v>
      </c>
      <c r="DQ30" s="1017">
        <v>7.4423620799999997</v>
      </c>
      <c r="DR30" s="1017">
        <v>8.1970261999999998</v>
      </c>
      <c r="DS30" s="1017">
        <v>7.9577714100000003</v>
      </c>
      <c r="DT30" s="1017">
        <v>7.8265489300000004</v>
      </c>
      <c r="DU30" s="1017">
        <v>8.2620568199999997</v>
      </c>
      <c r="DV30" s="1017">
        <v>7.7208884600000003</v>
      </c>
      <c r="DW30" s="1017">
        <v>7.6056059400000002</v>
      </c>
      <c r="DX30" s="1017">
        <v>7.5055935500000004</v>
      </c>
      <c r="DY30" s="1017">
        <v>7.2034147099999997</v>
      </c>
      <c r="DZ30" s="1017">
        <v>8.2190036000000006</v>
      </c>
      <c r="EA30" s="1017">
        <v>8.9177553199999995</v>
      </c>
      <c r="EB30" s="1017">
        <v>8.7709543799999992</v>
      </c>
      <c r="EC30" s="1017">
        <v>8.9404617799999997</v>
      </c>
      <c r="ED30" s="1017">
        <v>9.0334841499999996</v>
      </c>
      <c r="EE30" s="1017">
        <v>8.8891335700000003</v>
      </c>
      <c r="EK30" s="400"/>
    </row>
    <row r="31" spans="1:141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K31" s="400"/>
    </row>
    <row r="32" spans="1:141" ht="19.8">
      <c r="A32" s="1513" t="s">
        <v>2822</v>
      </c>
      <c r="B32" s="945">
        <v>122.91037284999999</v>
      </c>
      <c r="C32" s="945">
        <v>206.03981293000001</v>
      </c>
      <c r="D32" s="945">
        <v>201.06932130999999</v>
      </c>
      <c r="E32" s="945">
        <v>204.69073748</v>
      </c>
      <c r="F32" s="945">
        <v>204.76268737000001</v>
      </c>
      <c r="G32" s="945">
        <v>211.93238421999999</v>
      </c>
      <c r="H32" s="945">
        <v>207.00879684</v>
      </c>
      <c r="I32" s="945">
        <v>206.99970689</v>
      </c>
      <c r="J32" s="945">
        <v>207.94697424</v>
      </c>
      <c r="K32" s="945">
        <v>209.03235694999998</v>
      </c>
      <c r="L32" s="945">
        <v>209.94237162000002</v>
      </c>
      <c r="M32" s="946">
        <v>210.08598593000002</v>
      </c>
      <c r="N32" s="946">
        <v>208.68494106999998</v>
      </c>
      <c r="O32" s="946">
        <v>209.61089949999999</v>
      </c>
      <c r="P32" s="946">
        <v>209.72489066</v>
      </c>
      <c r="Q32" s="946">
        <v>210.22720931000001</v>
      </c>
      <c r="R32" s="946">
        <v>208.9588291</v>
      </c>
      <c r="S32" s="946">
        <v>211.19666085</v>
      </c>
      <c r="T32" s="946">
        <v>209.98126805000001</v>
      </c>
      <c r="U32" s="946">
        <v>208.41392438999998</v>
      </c>
      <c r="V32" s="946">
        <v>205.37910812999999</v>
      </c>
      <c r="W32" s="946">
        <v>204.66296775000001</v>
      </c>
      <c r="X32" s="946">
        <v>205.09508880000001</v>
      </c>
      <c r="Y32" s="946">
        <v>255.47613691999999</v>
      </c>
      <c r="Z32" s="946">
        <v>250.4622177</v>
      </c>
      <c r="AA32" s="946">
        <v>856.91901662999999</v>
      </c>
      <c r="AB32" s="946">
        <v>806.99513969000009</v>
      </c>
      <c r="AC32" s="946">
        <v>810.54460700000004</v>
      </c>
      <c r="AD32" s="946">
        <v>807.61317752999992</v>
      </c>
      <c r="AE32" s="946">
        <v>808.40240827000002</v>
      </c>
      <c r="AF32" s="946">
        <v>824.36034272000006</v>
      </c>
      <c r="AG32" s="946">
        <v>826.07574504999991</v>
      </c>
      <c r="AH32" s="946">
        <v>826.27404192999995</v>
      </c>
      <c r="AI32" s="946">
        <v>567.41384177999998</v>
      </c>
      <c r="AJ32" s="946">
        <v>567.38418463000005</v>
      </c>
      <c r="AK32" s="946">
        <v>841.96500891999995</v>
      </c>
      <c r="AL32" s="946">
        <v>863.87751407000007</v>
      </c>
      <c r="AM32" s="946">
        <v>847.67374813999993</v>
      </c>
      <c r="AN32" s="946">
        <v>833.80470037999999</v>
      </c>
      <c r="AO32" s="946">
        <v>760.51580970999998</v>
      </c>
      <c r="AP32" s="946">
        <v>741.11765949000005</v>
      </c>
      <c r="AQ32" s="946">
        <v>764.56549813999993</v>
      </c>
      <c r="AR32" s="946">
        <v>772.07285826999998</v>
      </c>
      <c r="AS32" s="946">
        <v>774.21877466000001</v>
      </c>
      <c r="AT32" s="946">
        <f>AT24-AT28</f>
        <v>766.78265288</v>
      </c>
      <c r="AU32" s="946">
        <v>771.91620382000008</v>
      </c>
      <c r="AV32" s="946">
        <v>813.82639560000007</v>
      </c>
      <c r="AW32" s="946">
        <v>831.02872034000006</v>
      </c>
      <c r="AX32" s="946">
        <v>898.49789453999995</v>
      </c>
      <c r="AY32" s="946">
        <v>818.34960384999999</v>
      </c>
      <c r="AZ32" s="946">
        <v>806.62250604999997</v>
      </c>
      <c r="BA32" s="946">
        <v>795.53067641999996</v>
      </c>
      <c r="BB32" s="946">
        <v>734.70108555999991</v>
      </c>
      <c r="BC32" s="946">
        <v>51.89276581</v>
      </c>
      <c r="BD32" s="946">
        <v>43.941982340000003</v>
      </c>
      <c r="BE32" s="946">
        <v>22.02057245</v>
      </c>
      <c r="BF32" s="946">
        <v>16.176628730000001</v>
      </c>
      <c r="BG32" s="946">
        <v>14.586684119999999</v>
      </c>
      <c r="BH32" s="1004">
        <v>13.710017070000001</v>
      </c>
      <c r="BI32" s="993">
        <v>11.64333553</v>
      </c>
      <c r="BJ32" s="993">
        <v>7.8822816200000005</v>
      </c>
      <c r="BK32" s="993">
        <v>7.00647252</v>
      </c>
      <c r="BL32" s="993">
        <v>6.1303028200000007</v>
      </c>
      <c r="BM32" s="993">
        <v>8.6545452300000001</v>
      </c>
      <c r="BN32" s="993">
        <v>10.551147650000001</v>
      </c>
      <c r="BO32" s="993">
        <v>9.6753900599999998</v>
      </c>
      <c r="BP32" s="993">
        <v>8.7996324799999996</v>
      </c>
      <c r="BQ32" s="993">
        <v>5.9413587000000003</v>
      </c>
      <c r="BR32" s="993">
        <v>2.2932411100000003</v>
      </c>
      <c r="BS32" s="993">
        <v>1.4174837999999996</v>
      </c>
      <c r="BT32" s="993">
        <v>1.4174838000000005</v>
      </c>
      <c r="BU32" s="993">
        <v>9.3136500000001732E-3</v>
      </c>
      <c r="BV32" s="993">
        <v>9.3136499999999511E-3</v>
      </c>
      <c r="BW32" s="993">
        <v>0</v>
      </c>
      <c r="BX32" s="993">
        <v>0</v>
      </c>
      <c r="BY32" s="993">
        <v>0</v>
      </c>
      <c r="BZ32" s="993">
        <v>0</v>
      </c>
      <c r="CA32" s="993">
        <v>0</v>
      </c>
      <c r="CB32" s="993">
        <v>7.2249999999999996</v>
      </c>
      <c r="CC32" s="993">
        <v>7.1592394100000014</v>
      </c>
      <c r="CD32" s="993">
        <v>12.122853509999999</v>
      </c>
      <c r="CE32" s="993">
        <v>22.192663190000001</v>
      </c>
      <c r="CF32" s="993">
        <v>161.46168496000001</v>
      </c>
      <c r="CG32" s="993">
        <v>31.679594530000003</v>
      </c>
      <c r="CH32" s="993">
        <v>38.94730079</v>
      </c>
      <c r="CI32" s="993">
        <v>41.8680205</v>
      </c>
      <c r="CJ32" s="993">
        <v>37.869967330000001</v>
      </c>
      <c r="CK32" s="993">
        <v>36.638439220000002</v>
      </c>
      <c r="CL32" s="993">
        <v>40.379342299999998</v>
      </c>
      <c r="CM32" s="993">
        <v>44.289342299999994</v>
      </c>
      <c r="CN32" s="993">
        <v>59.190880679999999</v>
      </c>
      <c r="CO32" s="993">
        <v>61.803379079999999</v>
      </c>
      <c r="CP32" s="993">
        <v>65.453665270000002</v>
      </c>
      <c r="CQ32" s="993">
        <v>63.77301413</v>
      </c>
      <c r="CR32" s="993">
        <v>75.995414999999994</v>
      </c>
      <c r="CS32" s="993">
        <v>81.18736577</v>
      </c>
      <c r="CT32" s="993">
        <v>83.341598629999993</v>
      </c>
      <c r="CU32" s="993">
        <v>222.59988737</v>
      </c>
      <c r="CV32" s="993">
        <v>227.03953281</v>
      </c>
      <c r="CW32" s="993">
        <v>228.47207689999999</v>
      </c>
      <c r="CX32" s="993">
        <v>232.42320341999999</v>
      </c>
      <c r="CY32" s="993">
        <v>245.07609796</v>
      </c>
      <c r="CZ32" s="993">
        <v>243.34762081</v>
      </c>
      <c r="DA32" s="993">
        <v>241.72904328000001</v>
      </c>
      <c r="DB32" s="993">
        <v>250.90796829000001</v>
      </c>
      <c r="DC32" s="993">
        <v>249.35691840999999</v>
      </c>
      <c r="DD32" s="1064">
        <v>248.27672754</v>
      </c>
      <c r="DE32" s="1064">
        <v>256.49180309000002</v>
      </c>
      <c r="DF32" s="1064">
        <v>256.21278181000002</v>
      </c>
      <c r="DG32" s="1016">
        <v>255.34081083000001</v>
      </c>
      <c r="DH32" s="1016">
        <v>254.08788912</v>
      </c>
      <c r="DI32" s="1016">
        <v>257.76969688000003</v>
      </c>
      <c r="DJ32" s="1016">
        <v>260.51460996999998</v>
      </c>
      <c r="DK32" s="1016">
        <v>265.98007899999999</v>
      </c>
      <c r="DL32" s="1016">
        <v>264.43563389000002</v>
      </c>
      <c r="DM32" s="1016">
        <v>264.00889773</v>
      </c>
      <c r="DN32" s="1016">
        <v>262.39319631000001</v>
      </c>
      <c r="DO32" s="1016">
        <v>261.98652528999997</v>
      </c>
      <c r="DP32" s="1016">
        <v>242.34504684000001</v>
      </c>
      <c r="DQ32" s="1016">
        <v>243.36568864</v>
      </c>
      <c r="DR32" s="1016">
        <v>243.75041640000001</v>
      </c>
      <c r="DS32" s="1016">
        <v>243.02355304</v>
      </c>
      <c r="DT32" s="1016">
        <v>241.60519353999999</v>
      </c>
      <c r="DU32" s="1016">
        <v>241.12512233999999</v>
      </c>
      <c r="DV32" s="1016">
        <v>257.96469277</v>
      </c>
      <c r="DW32" s="1016">
        <v>256.41677843000002</v>
      </c>
      <c r="DX32" s="1016">
        <v>253.65089911999999</v>
      </c>
      <c r="DY32" s="1016">
        <v>252.76521571999999</v>
      </c>
      <c r="DZ32" s="1016">
        <v>251.92671168000001</v>
      </c>
      <c r="EA32" s="1016">
        <v>250.18201336999999</v>
      </c>
      <c r="EB32" s="1016">
        <v>249.04639302999999</v>
      </c>
      <c r="EC32" s="1016">
        <v>247.82317655</v>
      </c>
      <c r="ED32" s="1016">
        <v>245.94576477000001</v>
      </c>
      <c r="EE32" s="1016">
        <v>243.23725698999999</v>
      </c>
      <c r="EK32" s="400"/>
    </row>
    <row r="33" spans="1:141" ht="19.8">
      <c r="A33" s="1514" t="s">
        <v>2001</v>
      </c>
      <c r="B33" s="949">
        <v>0</v>
      </c>
      <c r="C33" s="949">
        <v>0</v>
      </c>
      <c r="D33" s="949">
        <v>0</v>
      </c>
      <c r="E33" s="949">
        <v>0</v>
      </c>
      <c r="F33" s="949">
        <v>0</v>
      </c>
      <c r="G33" s="949">
        <v>0</v>
      </c>
      <c r="H33" s="949">
        <v>0</v>
      </c>
      <c r="I33" s="949">
        <v>0</v>
      </c>
      <c r="J33" s="949">
        <v>0</v>
      </c>
      <c r="K33" s="949">
        <v>0</v>
      </c>
      <c r="L33" s="949">
        <v>0</v>
      </c>
      <c r="M33" s="950">
        <v>0</v>
      </c>
      <c r="N33" s="950">
        <v>0</v>
      </c>
      <c r="O33" s="950">
        <v>0</v>
      </c>
      <c r="P33" s="950">
        <v>0</v>
      </c>
      <c r="Q33" s="950">
        <v>0</v>
      </c>
      <c r="R33" s="950">
        <v>0</v>
      </c>
      <c r="S33" s="950">
        <v>0</v>
      </c>
      <c r="T33" s="950">
        <v>0</v>
      </c>
      <c r="U33" s="950">
        <v>0</v>
      </c>
      <c r="V33" s="950">
        <v>0</v>
      </c>
      <c r="W33" s="950">
        <v>0</v>
      </c>
      <c r="X33" s="950">
        <v>0</v>
      </c>
      <c r="Y33" s="950">
        <v>0</v>
      </c>
      <c r="Z33" s="950">
        <v>0</v>
      </c>
      <c r="AA33" s="950">
        <v>0</v>
      </c>
      <c r="AB33" s="950">
        <v>0</v>
      </c>
      <c r="AC33" s="950">
        <v>0</v>
      </c>
      <c r="AD33" s="950">
        <v>0</v>
      </c>
      <c r="AE33" s="950">
        <v>0</v>
      </c>
      <c r="AF33" s="950">
        <v>0</v>
      </c>
      <c r="AG33" s="950">
        <v>0</v>
      </c>
      <c r="AH33" s="950">
        <v>0</v>
      </c>
      <c r="AI33" s="950">
        <v>0</v>
      </c>
      <c r="AJ33" s="950">
        <v>0</v>
      </c>
      <c r="AK33" s="950">
        <v>0</v>
      </c>
      <c r="AL33" s="950">
        <v>0</v>
      </c>
      <c r="AM33" s="950">
        <v>0</v>
      </c>
      <c r="AN33" s="950">
        <v>0</v>
      </c>
      <c r="AO33" s="950">
        <v>0</v>
      </c>
      <c r="AP33" s="950">
        <v>0</v>
      </c>
      <c r="AQ33" s="950">
        <v>0</v>
      </c>
      <c r="AR33" s="950">
        <v>0</v>
      </c>
      <c r="AS33" s="950">
        <v>0</v>
      </c>
      <c r="AT33" s="950">
        <f>AT25-AT29</f>
        <v>0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</v>
      </c>
      <c r="BF33" s="950">
        <v>0</v>
      </c>
      <c r="BG33" s="950">
        <v>0</v>
      </c>
      <c r="BH33" s="1005">
        <v>0</v>
      </c>
      <c r="BI33" s="994">
        <v>0</v>
      </c>
      <c r="BJ33" s="994">
        <v>0</v>
      </c>
      <c r="BK33" s="994">
        <v>0</v>
      </c>
      <c r="BL33" s="994">
        <v>0</v>
      </c>
      <c r="BM33" s="994">
        <v>0</v>
      </c>
      <c r="BN33" s="994">
        <v>0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5.1007791600000001</v>
      </c>
      <c r="CE33" s="994">
        <v>0</v>
      </c>
      <c r="CF33" s="994">
        <v>0</v>
      </c>
      <c r="CG33" s="994">
        <v>0</v>
      </c>
      <c r="CH33" s="994">
        <v>0</v>
      </c>
      <c r="CI33" s="994">
        <v>0</v>
      </c>
      <c r="CJ33" s="994">
        <v>0</v>
      </c>
      <c r="CK33" s="994">
        <v>0</v>
      </c>
      <c r="CL33" s="994">
        <v>0</v>
      </c>
      <c r="CM33" s="994">
        <v>0</v>
      </c>
      <c r="CN33" s="994">
        <v>0</v>
      </c>
      <c r="CO33" s="994">
        <v>0</v>
      </c>
      <c r="CP33" s="994">
        <v>0</v>
      </c>
      <c r="CQ33" s="994">
        <v>0</v>
      </c>
      <c r="CR33" s="994">
        <v>0</v>
      </c>
      <c r="CS33" s="994">
        <v>0</v>
      </c>
      <c r="CT33" s="994">
        <v>0</v>
      </c>
      <c r="CU33" s="994">
        <v>0</v>
      </c>
      <c r="CV33" s="994">
        <v>0</v>
      </c>
      <c r="CW33" s="994">
        <v>0</v>
      </c>
      <c r="CX33" s="994">
        <v>0</v>
      </c>
      <c r="CY33" s="994">
        <v>0</v>
      </c>
      <c r="CZ33" s="994">
        <v>0</v>
      </c>
      <c r="DA33" s="994">
        <v>0</v>
      </c>
      <c r="DB33" s="994">
        <v>0</v>
      </c>
      <c r="DC33" s="994">
        <v>0</v>
      </c>
      <c r="DD33" s="1065">
        <v>0</v>
      </c>
      <c r="DE33" s="1065">
        <v>0</v>
      </c>
      <c r="DF33" s="1065">
        <v>0</v>
      </c>
      <c r="DG33" s="1017">
        <v>0</v>
      </c>
      <c r="DH33" s="1017">
        <v>0</v>
      </c>
      <c r="DI33" s="1017">
        <v>0</v>
      </c>
      <c r="DJ33" s="1017">
        <v>0</v>
      </c>
      <c r="DK33" s="1017">
        <v>0</v>
      </c>
      <c r="DL33" s="1017">
        <v>0</v>
      </c>
      <c r="DM33" s="1017">
        <v>0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0</v>
      </c>
      <c r="EE33" s="1017">
        <v>0</v>
      </c>
      <c r="EK33" s="400"/>
    </row>
    <row r="34" spans="1:141" ht="19.8">
      <c r="A34" s="1516" t="s">
        <v>2002</v>
      </c>
      <c r="B34" s="982">
        <f>+B32-B33</f>
        <v>122.91037284999999</v>
      </c>
      <c r="C34" s="982">
        <f t="shared" ref="C34:V34" si="12">+C32-C33</f>
        <v>206.03981293000001</v>
      </c>
      <c r="D34" s="982">
        <f t="shared" si="12"/>
        <v>201.06932130999999</v>
      </c>
      <c r="E34" s="982">
        <f t="shared" si="12"/>
        <v>204.69073748</v>
      </c>
      <c r="F34" s="982">
        <f t="shared" si="12"/>
        <v>204.76268737000001</v>
      </c>
      <c r="G34" s="982">
        <f t="shared" si="12"/>
        <v>211.93238421999999</v>
      </c>
      <c r="H34" s="982">
        <f t="shared" si="12"/>
        <v>207.00879684</v>
      </c>
      <c r="I34" s="982">
        <f t="shared" si="12"/>
        <v>206.99970689</v>
      </c>
      <c r="J34" s="982">
        <f t="shared" si="12"/>
        <v>207.94697424</v>
      </c>
      <c r="K34" s="982">
        <f t="shared" si="12"/>
        <v>209.03235694999998</v>
      </c>
      <c r="L34" s="982">
        <f t="shared" si="12"/>
        <v>209.94237162000002</v>
      </c>
      <c r="M34" s="957">
        <f t="shared" si="12"/>
        <v>210.08598593000002</v>
      </c>
      <c r="N34" s="964">
        <f t="shared" si="12"/>
        <v>208.68494106999998</v>
      </c>
      <c r="O34" s="964">
        <f t="shared" si="12"/>
        <v>209.61089949999999</v>
      </c>
      <c r="P34" s="964">
        <f t="shared" si="12"/>
        <v>209.72489066</v>
      </c>
      <c r="Q34" s="964">
        <f t="shared" si="12"/>
        <v>210.22720931000001</v>
      </c>
      <c r="R34" s="964">
        <f t="shared" si="12"/>
        <v>208.9588291</v>
      </c>
      <c r="S34" s="964">
        <f t="shared" si="12"/>
        <v>211.19666085</v>
      </c>
      <c r="T34" s="964">
        <f t="shared" si="12"/>
        <v>209.98126805000001</v>
      </c>
      <c r="U34" s="964">
        <f t="shared" si="12"/>
        <v>208.41392438999998</v>
      </c>
      <c r="V34" s="964">
        <f t="shared" si="12"/>
        <v>205.37910812999999</v>
      </c>
      <c r="W34" s="964">
        <v>204.66296775000001</v>
      </c>
      <c r="X34" s="964">
        <v>205.09508880000001</v>
      </c>
      <c r="Y34" s="957">
        <v>255.47613691999999</v>
      </c>
      <c r="Z34" s="964">
        <v>250.4622177</v>
      </c>
      <c r="AA34" s="964">
        <v>856.91901662999999</v>
      </c>
      <c r="AB34" s="957">
        <v>806.99513969000009</v>
      </c>
      <c r="AC34" s="957">
        <v>810.54460700000004</v>
      </c>
      <c r="AD34" s="957">
        <v>807.61317752999992</v>
      </c>
      <c r="AE34" s="957">
        <v>808.40240827000002</v>
      </c>
      <c r="AF34" s="957">
        <v>824.36034272000006</v>
      </c>
      <c r="AG34" s="957">
        <v>826.07574504999991</v>
      </c>
      <c r="AH34" s="957">
        <f>+AH32-AH33</f>
        <v>826.27404192999995</v>
      </c>
      <c r="AI34" s="957">
        <v>567.41384177999998</v>
      </c>
      <c r="AJ34" s="957">
        <f>+AJ32-AJ33</f>
        <v>567.38418463000005</v>
      </c>
      <c r="AK34" s="957">
        <f>+AK32-AK33</f>
        <v>841.96500891999995</v>
      </c>
      <c r="AL34" s="957">
        <v>863.87751407000007</v>
      </c>
      <c r="AM34" s="957">
        <f>+AM32-AM33</f>
        <v>847.67374813999993</v>
      </c>
      <c r="AN34" s="957">
        <f>+AN32-AN33</f>
        <v>833.80470037999999</v>
      </c>
      <c r="AO34" s="957">
        <f>+AO32-AO33</f>
        <v>760.51580970999998</v>
      </c>
      <c r="AP34" s="957">
        <f>+AP32-AP33</f>
        <v>741.11765949000005</v>
      </c>
      <c r="AQ34" s="957">
        <v>764.56549813999993</v>
      </c>
      <c r="AR34" s="957">
        <f>+AR32-AR33</f>
        <v>772.07285826999998</v>
      </c>
      <c r="AS34" s="957">
        <f>+AS32-AS33</f>
        <v>774.21877466000001</v>
      </c>
      <c r="AT34" s="957">
        <f>AT26-AT30</f>
        <v>766.78265288</v>
      </c>
      <c r="AU34" s="957">
        <v>771.91620382000008</v>
      </c>
      <c r="AV34" s="957">
        <v>813.82639560000007</v>
      </c>
      <c r="AW34" s="957">
        <v>831.02872034000006</v>
      </c>
      <c r="AX34" s="957">
        <v>898.49789453999995</v>
      </c>
      <c r="AY34" s="957">
        <v>818.34960384999999</v>
      </c>
      <c r="AZ34" s="957">
        <v>806.62250604999997</v>
      </c>
      <c r="BA34" s="957">
        <v>795.53067641999996</v>
      </c>
      <c r="BB34" s="957">
        <v>734.70108555999991</v>
      </c>
      <c r="BC34" s="957">
        <v>51.89276581</v>
      </c>
      <c r="BD34" s="957">
        <f>+BD32-BD33</f>
        <v>43.941982340000003</v>
      </c>
      <c r="BE34" s="957">
        <v>22.02057245</v>
      </c>
      <c r="BF34" s="957">
        <v>16.176628730000001</v>
      </c>
      <c r="BG34" s="957">
        <v>14.586684119999999</v>
      </c>
      <c r="BH34" s="1006">
        <v>13.710017070000001</v>
      </c>
      <c r="BI34" s="996">
        <v>11.64333553</v>
      </c>
      <c r="BJ34" s="996">
        <v>7.8822816200000005</v>
      </c>
      <c r="BK34" s="996">
        <v>7.00647252</v>
      </c>
      <c r="BL34" s="996">
        <v>6.1303028200000007</v>
      </c>
      <c r="BM34" s="996">
        <v>8.6545452300000001</v>
      </c>
      <c r="BN34" s="996">
        <v>10.551147650000001</v>
      </c>
      <c r="BO34" s="996">
        <v>9.6753900599999998</v>
      </c>
      <c r="BP34" s="996">
        <v>8.7996324799999996</v>
      </c>
      <c r="BQ34" s="996">
        <v>5.9413587000000003</v>
      </c>
      <c r="BR34" s="996">
        <v>2.2932411100000003</v>
      </c>
      <c r="BS34" s="996">
        <v>1.4174837999999996</v>
      </c>
      <c r="BT34" s="996">
        <v>1.4174838000000005</v>
      </c>
      <c r="BU34" s="996">
        <v>9.3136500000001732E-3</v>
      </c>
      <c r="BV34" s="996">
        <v>9.3136499999999511E-3</v>
      </c>
      <c r="BW34" s="996">
        <v>0</v>
      </c>
      <c r="BX34" s="996">
        <v>0</v>
      </c>
      <c r="BY34" s="996">
        <v>0</v>
      </c>
      <c r="BZ34" s="996">
        <v>0</v>
      </c>
      <c r="CA34" s="996">
        <v>0</v>
      </c>
      <c r="CB34" s="996">
        <v>7.2249999999999996</v>
      </c>
      <c r="CC34" s="996">
        <v>7.1592394100000014</v>
      </c>
      <c r="CD34" s="996">
        <v>7.0220743499999987</v>
      </c>
      <c r="CE34" s="996">
        <f t="shared" ref="CE34:CP34" si="13">+CE32-CE33</f>
        <v>22.192663190000001</v>
      </c>
      <c r="CF34" s="996">
        <f t="shared" si="13"/>
        <v>161.46168496000001</v>
      </c>
      <c r="CG34" s="996">
        <f t="shared" si="13"/>
        <v>31.679594530000003</v>
      </c>
      <c r="CH34" s="996">
        <f t="shared" si="13"/>
        <v>38.94730079</v>
      </c>
      <c r="CI34" s="996">
        <f t="shared" si="13"/>
        <v>41.8680205</v>
      </c>
      <c r="CJ34" s="996">
        <f t="shared" si="13"/>
        <v>37.869967330000001</v>
      </c>
      <c r="CK34" s="996">
        <f t="shared" si="13"/>
        <v>36.638439220000002</v>
      </c>
      <c r="CL34" s="996">
        <f t="shared" si="13"/>
        <v>40.379342299999998</v>
      </c>
      <c r="CM34" s="996">
        <f t="shared" si="13"/>
        <v>44.289342299999994</v>
      </c>
      <c r="CN34" s="996">
        <f t="shared" si="13"/>
        <v>59.190880679999999</v>
      </c>
      <c r="CO34" s="996">
        <f t="shared" si="13"/>
        <v>61.803379079999999</v>
      </c>
      <c r="CP34" s="996">
        <f t="shared" si="13"/>
        <v>65.453665270000002</v>
      </c>
      <c r="CQ34" s="996">
        <f>+CQ32-CQ33</f>
        <v>63.77301413</v>
      </c>
      <c r="CR34" s="996">
        <f>+CR32-CR33</f>
        <v>75.995414999999994</v>
      </c>
      <c r="CS34" s="996">
        <f>+CS32-CS33</f>
        <v>81.18736577</v>
      </c>
      <c r="CT34" s="996">
        <v>83.341598629999993</v>
      </c>
      <c r="CU34" s="996">
        <v>222.59988737</v>
      </c>
      <c r="CV34" s="996">
        <v>227.03953281</v>
      </c>
      <c r="CW34" s="996">
        <v>228.47207689999999</v>
      </c>
      <c r="CX34" s="996">
        <v>232.42320341999999</v>
      </c>
      <c r="CY34" s="996">
        <v>245.07609796</v>
      </c>
      <c r="CZ34" s="996">
        <v>243.34762081</v>
      </c>
      <c r="DA34" s="996">
        <v>241.72904328000001</v>
      </c>
      <c r="DB34" s="996">
        <v>250.90796829000001</v>
      </c>
      <c r="DC34" s="996">
        <v>249.35691840999999</v>
      </c>
      <c r="DD34" s="1066">
        <v>248.27672754</v>
      </c>
      <c r="DE34" s="1066">
        <v>256.49180309000002</v>
      </c>
      <c r="DF34" s="1066">
        <v>256.21278181000002</v>
      </c>
      <c r="DG34" s="1018">
        <v>255.34081083000001</v>
      </c>
      <c r="DH34" s="1018">
        <v>254.08788912</v>
      </c>
      <c r="DI34" s="1018">
        <v>257.76969688000003</v>
      </c>
      <c r="DJ34" s="1018">
        <v>260.51460996999998</v>
      </c>
      <c r="DK34" s="1018">
        <v>265.98007899999999</v>
      </c>
      <c r="DL34" s="1018">
        <v>264.43563389000002</v>
      </c>
      <c r="DM34" s="1018">
        <v>264.00889773</v>
      </c>
      <c r="DN34" s="1018">
        <v>262.39319631000001</v>
      </c>
      <c r="DO34" s="1018">
        <v>261.98652528999997</v>
      </c>
      <c r="DP34" s="1018">
        <v>242.34504684000001</v>
      </c>
      <c r="DQ34" s="1018">
        <v>243.36568864</v>
      </c>
      <c r="DR34" s="1018">
        <v>243.75041640000001</v>
      </c>
      <c r="DS34" s="1018">
        <v>243.02355304</v>
      </c>
      <c r="DT34" s="1018">
        <v>241.60519353999999</v>
      </c>
      <c r="DU34" s="1018">
        <v>241.12512233999999</v>
      </c>
      <c r="DV34" s="1018">
        <v>257.96469277</v>
      </c>
      <c r="DW34" s="1018">
        <v>256.41677843000002</v>
      </c>
      <c r="DX34" s="1018">
        <v>253.65089911999999</v>
      </c>
      <c r="DY34" s="1018">
        <f>DY32-DY33</f>
        <v>252.76521571999999</v>
      </c>
      <c r="DZ34" s="1018">
        <v>251.92671168000001</v>
      </c>
      <c r="EA34" s="1018">
        <v>250.18201336999999</v>
      </c>
      <c r="EB34" s="1018">
        <v>249.04639302999999</v>
      </c>
      <c r="EC34" s="1018">
        <v>247.82317655</v>
      </c>
      <c r="ED34" s="1018">
        <v>245.94576477000001</v>
      </c>
      <c r="EE34" s="1018">
        <v>243.23725698999999</v>
      </c>
      <c r="EK34" s="400"/>
    </row>
    <row r="35" spans="1:141" s="890" customFormat="1" ht="42.75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41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K36" s="400"/>
    </row>
    <row r="37" spans="1:141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K37" s="400"/>
    </row>
    <row r="38" spans="1:141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K38" s="400"/>
    </row>
    <row r="39" spans="1:141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K39" s="400"/>
    </row>
    <row r="40" spans="1:141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K40" s="400"/>
    </row>
    <row r="41" spans="1:141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K41" s="400"/>
    </row>
    <row r="42" spans="1:141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K42" s="400"/>
    </row>
    <row r="43" spans="1:141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K43" s="400"/>
    </row>
    <row r="44" spans="1:141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K44" s="400"/>
    </row>
    <row r="45" spans="1:141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K45" s="400"/>
    </row>
    <row r="46" spans="1:141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K46" s="400"/>
    </row>
    <row r="47" spans="1:141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K47" s="400"/>
    </row>
    <row r="48" spans="1:141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EK48" s="400"/>
    </row>
    <row r="49" spans="1:141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EK49" s="400"/>
    </row>
    <row r="50" spans="1:141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EK50" s="400"/>
    </row>
    <row r="51" spans="1:141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EK51" s="400"/>
    </row>
    <row r="52" spans="1:141">
      <c r="EK52" s="400"/>
    </row>
    <row r="53" spans="1:141">
      <c r="EK53" s="400"/>
    </row>
    <row r="54" spans="1:141">
      <c r="EK54" s="400"/>
    </row>
    <row r="55" spans="1:141">
      <c r="EK55" s="400"/>
    </row>
    <row r="56" spans="1:141">
      <c r="EK56" s="400"/>
    </row>
    <row r="57" spans="1:141">
      <c r="EK57" s="400"/>
    </row>
    <row r="58" spans="1:141">
      <c r="EK58" s="400"/>
    </row>
    <row r="59" spans="1:141">
      <c r="EK59" s="400"/>
    </row>
    <row r="60" spans="1:141">
      <c r="EK60" s="400"/>
    </row>
    <row r="61" spans="1:141">
      <c r="EK61" s="400"/>
    </row>
    <row r="62" spans="1:141">
      <c r="EK62" s="400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L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E51"/>
  <sheetViews>
    <sheetView showGridLines="0" view="pageBreakPreview" zoomScale="70" zoomScaleNormal="100" zoomScaleSheetLayoutView="70" workbookViewId="0">
      <selection activeCell="EF41" sqref="EF41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8" style="397" hidden="1" customWidth="1"/>
    <col min="36" max="36" width="18.88671875" style="397" hidden="1" customWidth="1"/>
    <col min="37" max="37" width="16.88671875" style="397" hidden="1" customWidth="1"/>
    <col min="38" max="44" width="14.6640625" style="397" hidden="1" customWidth="1"/>
    <col min="45" max="60" width="18" style="397" hidden="1" customWidth="1"/>
    <col min="61" max="61" width="14" style="397" customWidth="1"/>
    <col min="62" max="72" width="18" style="397" hidden="1" customWidth="1"/>
    <col min="73" max="73" width="14" style="397" customWidth="1"/>
    <col min="74" max="82" width="18" style="397" hidden="1" customWidth="1"/>
    <col min="83" max="84" width="17" style="397" hidden="1" customWidth="1"/>
    <col min="85" max="85" width="14" style="397" customWidth="1"/>
    <col min="86" max="90" width="17" style="397" hidden="1" customWidth="1"/>
    <col min="91" max="96" width="14.88671875" style="397" hidden="1" customWidth="1"/>
    <col min="97" max="97" width="14" style="397" customWidth="1"/>
    <col min="98" max="108" width="14" style="397" hidden="1" customWidth="1"/>
    <col min="109" max="109" width="14" style="397" customWidth="1"/>
    <col min="110" max="120" width="14" style="397" hidden="1" customWidth="1"/>
    <col min="121" max="121" width="14" style="397" customWidth="1"/>
    <col min="122" max="132" width="14" style="397" hidden="1" customWidth="1"/>
    <col min="133" max="135" width="14" style="397" customWidth="1"/>
    <col min="136" max="16384" width="9.109375" style="397"/>
  </cols>
  <sheetData>
    <row r="2" spans="1:135" ht="57" customHeight="1">
      <c r="A2" s="2380" t="s">
        <v>3375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35" ht="41.25" customHeight="1">
      <c r="A3" s="2389" t="s">
        <v>3371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35" s="788" customFormat="1" ht="28.2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</row>
    <row r="5" spans="1:135" s="788" customFormat="1" ht="21.75" customHeight="1">
      <c r="A5" s="2410" t="s">
        <v>2488</v>
      </c>
      <c r="B5" s="2410"/>
      <c r="C5" s="2410"/>
      <c r="D5" s="2410"/>
      <c r="E5" s="2410"/>
      <c r="F5" s="2410"/>
      <c r="G5" s="2410"/>
      <c r="H5" s="2410"/>
      <c r="I5" s="2410"/>
      <c r="J5" s="2410"/>
      <c r="K5" s="2410"/>
      <c r="L5" s="2410"/>
      <c r="M5" s="2410"/>
      <c r="N5" s="2410"/>
      <c r="O5" s="2410"/>
      <c r="P5" s="2410"/>
      <c r="Q5" s="2410"/>
      <c r="R5" s="2410"/>
      <c r="S5" s="2410"/>
      <c r="T5" s="2410"/>
      <c r="U5" s="2410"/>
      <c r="V5" s="2410"/>
      <c r="W5" s="2410"/>
      <c r="X5" s="2410"/>
      <c r="Y5" s="2410"/>
      <c r="Z5" s="2410"/>
      <c r="AA5" s="2410"/>
      <c r="AB5" s="2410"/>
      <c r="AC5" s="2410"/>
      <c r="AD5" s="2410"/>
      <c r="AE5" s="2410"/>
      <c r="AF5" s="2410"/>
      <c r="AG5" s="2410"/>
      <c r="AH5" s="2410"/>
      <c r="AI5" s="2410"/>
      <c r="AJ5" s="2410"/>
      <c r="AK5" s="2410"/>
      <c r="AL5" s="2410"/>
      <c r="AM5" s="2410"/>
      <c r="AN5" s="2410"/>
      <c r="AO5" s="2410"/>
      <c r="AP5" s="2410"/>
      <c r="AQ5" s="2410"/>
      <c r="AR5" s="2410"/>
      <c r="AS5" s="2410"/>
      <c r="AT5" s="2410"/>
      <c r="AU5" s="2410"/>
      <c r="AV5" s="2410"/>
      <c r="AW5" s="2410"/>
      <c r="AX5" s="2410"/>
      <c r="AY5" s="2410"/>
      <c r="AZ5" s="2410"/>
      <c r="BA5" s="2410"/>
      <c r="BB5" s="2410"/>
      <c r="BC5" s="2410"/>
      <c r="BD5" s="2410"/>
      <c r="BE5" s="2410"/>
      <c r="BF5" s="2410"/>
      <c r="BG5" s="2410"/>
      <c r="BH5" s="2410"/>
      <c r="BI5" s="2410"/>
      <c r="BJ5" s="2410"/>
      <c r="BK5" s="2410"/>
      <c r="BL5" s="2410"/>
      <c r="BM5" s="2410"/>
      <c r="BN5" s="2410"/>
      <c r="BO5" s="2410"/>
      <c r="BP5" s="2410"/>
      <c r="BQ5" s="2410"/>
      <c r="BR5" s="2410"/>
      <c r="BS5" s="2410"/>
      <c r="BT5" s="2410"/>
      <c r="BU5" s="2410"/>
      <c r="BV5" s="2410"/>
      <c r="BW5" s="2410"/>
      <c r="BX5" s="2410"/>
      <c r="BY5" s="2410"/>
      <c r="BZ5" s="2410"/>
      <c r="CA5" s="2410"/>
      <c r="CB5" s="2410"/>
      <c r="CC5" s="2410"/>
      <c r="CD5" s="2410"/>
      <c r="CE5" s="2410"/>
      <c r="CF5" s="2410"/>
      <c r="CG5" s="2410"/>
      <c r="CH5" s="2410"/>
      <c r="CI5" s="2410"/>
      <c r="CJ5" s="2410"/>
      <c r="CK5" s="2410"/>
      <c r="CL5" s="2410"/>
      <c r="CM5" s="2410"/>
      <c r="CN5" s="2410"/>
      <c r="CO5" s="2410"/>
      <c r="CP5" s="2410"/>
      <c r="CQ5" s="2410"/>
      <c r="CR5" s="2410"/>
      <c r="CS5" s="2410"/>
      <c r="CT5" s="2410"/>
      <c r="CU5" s="2410"/>
      <c r="CV5" s="2410"/>
      <c r="CW5" s="2410"/>
      <c r="CX5" s="2410"/>
      <c r="CY5" s="2410"/>
      <c r="CZ5" s="2410"/>
      <c r="DA5" s="2410"/>
      <c r="DB5" s="2410"/>
      <c r="DC5" s="2410"/>
      <c r="DD5" s="2410"/>
      <c r="DE5" s="2410"/>
      <c r="DF5" s="2410"/>
      <c r="DG5" s="2410"/>
      <c r="DH5" s="2410"/>
      <c r="DI5" s="2410"/>
      <c r="DJ5" s="2410"/>
      <c r="DK5" s="2410"/>
      <c r="DL5" s="2410"/>
      <c r="DM5" s="2410"/>
      <c r="DN5" s="2410"/>
      <c r="DO5" s="2410"/>
      <c r="DP5" s="2410"/>
      <c r="DQ5" s="2410"/>
      <c r="DR5" s="2410"/>
      <c r="DS5" s="2410"/>
      <c r="DT5" s="2410"/>
      <c r="DU5" s="2410"/>
      <c r="DV5" s="2410"/>
      <c r="DW5" s="2410"/>
      <c r="DX5" s="2410"/>
      <c r="DY5" s="2410"/>
      <c r="DZ5" s="2410"/>
      <c r="EA5" s="2410"/>
      <c r="EB5" s="2410"/>
      <c r="EC5" s="2410"/>
      <c r="ED5" s="2410"/>
      <c r="EE5" s="2410"/>
    </row>
    <row r="6" spans="1:135" ht="31.5" customHeight="1">
      <c r="A6" s="2401"/>
      <c r="B6" s="2415">
        <v>2013</v>
      </c>
      <c r="C6" s="2415"/>
      <c r="D6" s="2415"/>
      <c r="E6" s="2415"/>
      <c r="F6" s="2415"/>
      <c r="G6" s="2415"/>
      <c r="H6" s="2415"/>
      <c r="I6" s="2415"/>
      <c r="J6" s="2415"/>
      <c r="K6" s="2415"/>
      <c r="L6" s="2415"/>
      <c r="M6" s="2415"/>
      <c r="N6" s="2415">
        <v>2014</v>
      </c>
      <c r="O6" s="2415"/>
      <c r="P6" s="2415"/>
      <c r="Q6" s="2415"/>
      <c r="R6" s="2415"/>
      <c r="S6" s="2415"/>
      <c r="T6" s="2415"/>
      <c r="U6" s="2415"/>
      <c r="V6" s="2415"/>
      <c r="W6" s="2415"/>
      <c r="X6" s="2415"/>
      <c r="Y6" s="2415"/>
      <c r="Z6" s="2415">
        <v>2015</v>
      </c>
      <c r="AA6" s="2415"/>
      <c r="AB6" s="2415"/>
      <c r="AC6" s="2415"/>
      <c r="AD6" s="2415"/>
      <c r="AE6" s="2415"/>
      <c r="AF6" s="2415"/>
      <c r="AG6" s="2415"/>
      <c r="AH6" s="2415"/>
      <c r="AI6" s="2415"/>
      <c r="AJ6" s="2415"/>
      <c r="AK6" s="2415"/>
      <c r="AL6" s="983">
        <v>2016</v>
      </c>
      <c r="AM6" s="983"/>
      <c r="AN6" s="983"/>
      <c r="AO6" s="983"/>
      <c r="AP6" s="983"/>
      <c r="AQ6" s="983"/>
      <c r="AR6" s="983"/>
      <c r="AS6" s="983"/>
      <c r="AT6" s="983"/>
      <c r="AU6" s="983"/>
      <c r="AV6" s="2415">
        <v>2016</v>
      </c>
      <c r="AW6" s="2415"/>
      <c r="AX6" s="983">
        <v>2017</v>
      </c>
      <c r="AY6" s="983"/>
      <c r="AZ6" s="983"/>
      <c r="BA6" s="983"/>
      <c r="BB6" s="983"/>
      <c r="BC6" s="983"/>
      <c r="BD6" s="983"/>
      <c r="BE6" s="983"/>
      <c r="BF6" s="983"/>
      <c r="BG6" s="983"/>
      <c r="BH6" s="1019"/>
      <c r="BI6" s="1010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1010">
        <v>2018</v>
      </c>
      <c r="BV6" s="2405">
        <v>2019</v>
      </c>
      <c r="BW6" s="2405"/>
      <c r="BX6" s="2405"/>
      <c r="BY6" s="2405"/>
      <c r="BZ6" s="2405"/>
      <c r="CA6" s="2405"/>
      <c r="CB6" s="2405"/>
      <c r="CC6" s="2405"/>
      <c r="CD6" s="2405"/>
      <c r="CE6" s="2405"/>
      <c r="CF6" s="2405"/>
      <c r="CG6" s="2405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35" ht="31.5" customHeight="1">
      <c r="A7" s="2402"/>
      <c r="B7" s="984" t="s">
        <v>1988</v>
      </c>
      <c r="C7" s="984" t="s">
        <v>1999</v>
      </c>
      <c r="D7" s="984" t="s">
        <v>1998</v>
      </c>
      <c r="E7" s="984" t="s">
        <v>1997</v>
      </c>
      <c r="F7" s="984" t="s">
        <v>1996</v>
      </c>
      <c r="G7" s="984" t="s">
        <v>1995</v>
      </c>
      <c r="H7" s="984" t="s">
        <v>1994</v>
      </c>
      <c r="I7" s="984" t="s">
        <v>1993</v>
      </c>
      <c r="J7" s="984" t="s">
        <v>1992</v>
      </c>
      <c r="K7" s="984" t="s">
        <v>1991</v>
      </c>
      <c r="L7" s="984" t="s">
        <v>1990</v>
      </c>
      <c r="M7" s="984" t="s">
        <v>1989</v>
      </c>
      <c r="N7" s="984" t="s">
        <v>1988</v>
      </c>
      <c r="O7" s="984" t="s">
        <v>1999</v>
      </c>
      <c r="P7" s="984" t="s">
        <v>1998</v>
      </c>
      <c r="Q7" s="984" t="s">
        <v>1997</v>
      </c>
      <c r="R7" s="984" t="s">
        <v>1996</v>
      </c>
      <c r="S7" s="984" t="s">
        <v>1995</v>
      </c>
      <c r="T7" s="984" t="s">
        <v>1994</v>
      </c>
      <c r="U7" s="984" t="s">
        <v>1993</v>
      </c>
      <c r="V7" s="984" t="s">
        <v>1992</v>
      </c>
      <c r="W7" s="984" t="s">
        <v>1991</v>
      </c>
      <c r="X7" s="984" t="s">
        <v>1990</v>
      </c>
      <c r="Y7" s="984" t="s">
        <v>1989</v>
      </c>
      <c r="Z7" s="984" t="s">
        <v>1988</v>
      </c>
      <c r="AA7" s="984" t="s">
        <v>1999</v>
      </c>
      <c r="AB7" s="984" t="s">
        <v>1998</v>
      </c>
      <c r="AC7" s="984" t="s">
        <v>1997</v>
      </c>
      <c r="AD7" s="984" t="s">
        <v>1996</v>
      </c>
      <c r="AE7" s="984" t="s">
        <v>2000</v>
      </c>
      <c r="AF7" s="984" t="s">
        <v>2004</v>
      </c>
      <c r="AG7" s="984" t="s">
        <v>1993</v>
      </c>
      <c r="AH7" s="984" t="s">
        <v>1992</v>
      </c>
      <c r="AI7" s="984" t="s">
        <v>1991</v>
      </c>
      <c r="AJ7" s="984" t="s">
        <v>1990</v>
      </c>
      <c r="AK7" s="984" t="s">
        <v>1989</v>
      </c>
      <c r="AL7" s="984" t="s">
        <v>1988</v>
      </c>
      <c r="AM7" s="984" t="s">
        <v>1999</v>
      </c>
      <c r="AN7" s="984" t="s">
        <v>1998</v>
      </c>
      <c r="AO7" s="984" t="s">
        <v>1997</v>
      </c>
      <c r="AP7" s="984" t="s">
        <v>1996</v>
      </c>
      <c r="AQ7" s="984" t="s">
        <v>1995</v>
      </c>
      <c r="AR7" s="984" t="s">
        <v>1994</v>
      </c>
      <c r="AS7" s="984" t="s">
        <v>1993</v>
      </c>
      <c r="AT7" s="984" t="s">
        <v>1992</v>
      </c>
      <c r="AU7" s="984" t="s">
        <v>1991</v>
      </c>
      <c r="AV7" s="984" t="s">
        <v>1990</v>
      </c>
      <c r="AW7" s="984" t="s">
        <v>1989</v>
      </c>
      <c r="AX7" s="984" t="s">
        <v>1988</v>
      </c>
      <c r="AY7" s="984" t="s">
        <v>1987</v>
      </c>
      <c r="AZ7" s="984" t="s">
        <v>1986</v>
      </c>
      <c r="BA7" s="984" t="s">
        <v>1985</v>
      </c>
      <c r="BB7" s="984" t="s">
        <v>2005</v>
      </c>
      <c r="BC7" s="984" t="s">
        <v>2006</v>
      </c>
      <c r="BD7" s="984" t="s">
        <v>2015</v>
      </c>
      <c r="BE7" s="984" t="s">
        <v>2025</v>
      </c>
      <c r="BF7" s="984" t="s">
        <v>2035</v>
      </c>
      <c r="BG7" s="984" t="s">
        <v>2048</v>
      </c>
      <c r="BH7" s="1015" t="s">
        <v>2059</v>
      </c>
      <c r="BI7" s="1025" t="s">
        <v>1989</v>
      </c>
      <c r="BJ7" s="1025" t="s">
        <v>1988</v>
      </c>
      <c r="BK7" s="1025" t="s">
        <v>1987</v>
      </c>
      <c r="BL7" s="1025" t="s">
        <v>1986</v>
      </c>
      <c r="BM7" s="1025" t="s">
        <v>1985</v>
      </c>
      <c r="BN7" s="1025" t="s">
        <v>2005</v>
      </c>
      <c r="BO7" s="1025" t="s">
        <v>2006</v>
      </c>
      <c r="BP7" s="1025" t="s">
        <v>2015</v>
      </c>
      <c r="BQ7" s="1025" t="s">
        <v>2025</v>
      </c>
      <c r="BR7" s="1025" t="s">
        <v>2035</v>
      </c>
      <c r="BS7" s="1025" t="s">
        <v>2048</v>
      </c>
      <c r="BT7" s="1025" t="s">
        <v>2059</v>
      </c>
      <c r="BU7" s="1025" t="s">
        <v>1989</v>
      </c>
      <c r="BV7" s="1025" t="s">
        <v>1988</v>
      </c>
      <c r="BW7" s="1025" t="s">
        <v>1987</v>
      </c>
      <c r="BX7" s="1025" t="s">
        <v>1986</v>
      </c>
      <c r="BY7" s="1025" t="s">
        <v>1985</v>
      </c>
      <c r="BZ7" s="1025" t="s">
        <v>2005</v>
      </c>
      <c r="CA7" s="1025" t="s">
        <v>2006</v>
      </c>
      <c r="CB7" s="1025" t="s">
        <v>2015</v>
      </c>
      <c r="CC7" s="1025" t="s">
        <v>2025</v>
      </c>
      <c r="CD7" s="1025" t="s">
        <v>2035</v>
      </c>
      <c r="CE7" s="1025" t="s">
        <v>2048</v>
      </c>
      <c r="CF7" s="1025" t="s">
        <v>2059</v>
      </c>
      <c r="CG7" s="1025" t="s">
        <v>1989</v>
      </c>
      <c r="CH7" s="1025" t="s">
        <v>1988</v>
      </c>
      <c r="CI7" s="1025" t="s">
        <v>1987</v>
      </c>
      <c r="CJ7" s="1025" t="s">
        <v>1986</v>
      </c>
      <c r="CK7" s="1025" t="s">
        <v>1985</v>
      </c>
      <c r="CL7" s="1025" t="s">
        <v>2005</v>
      </c>
      <c r="CM7" s="1025" t="s">
        <v>2462</v>
      </c>
      <c r="CN7" s="1025" t="s">
        <v>2471</v>
      </c>
      <c r="CO7" s="1025" t="s">
        <v>2025</v>
      </c>
      <c r="CP7" s="1025" t="s">
        <v>2035</v>
      </c>
      <c r="CQ7" s="1025" t="s">
        <v>2048</v>
      </c>
      <c r="CR7" s="1025" t="s">
        <v>2059</v>
      </c>
      <c r="CS7" s="1025" t="s">
        <v>1989</v>
      </c>
      <c r="CT7" s="1025" t="s">
        <v>1988</v>
      </c>
      <c r="CU7" s="1025" t="s">
        <v>1987</v>
      </c>
      <c r="CV7" s="1025" t="s">
        <v>1986</v>
      </c>
      <c r="CW7" s="1025" t="s">
        <v>1985</v>
      </c>
      <c r="CX7" s="1025" t="s">
        <v>2005</v>
      </c>
      <c r="CY7" s="1025" t="s">
        <v>2006</v>
      </c>
      <c r="CZ7" s="1025" t="s">
        <v>2015</v>
      </c>
      <c r="DA7" s="1025" t="s">
        <v>2025</v>
      </c>
      <c r="DB7" s="1025" t="s">
        <v>2035</v>
      </c>
      <c r="DC7" s="1025" t="s">
        <v>2048</v>
      </c>
      <c r="DD7" s="1063" t="s">
        <v>2059</v>
      </c>
      <c r="DE7" s="1063" t="s">
        <v>1989</v>
      </c>
      <c r="DF7" s="1063" t="s">
        <v>1988</v>
      </c>
      <c r="DG7" s="1026" t="s">
        <v>1987</v>
      </c>
      <c r="DH7" s="1026" t="s">
        <v>1986</v>
      </c>
      <c r="DI7" s="1026" t="s">
        <v>1985</v>
      </c>
      <c r="DJ7" s="1026" t="s">
        <v>2005</v>
      </c>
      <c r="DK7" s="1026" t="s">
        <v>2006</v>
      </c>
      <c r="DL7" s="1026" t="s">
        <v>2015</v>
      </c>
      <c r="DM7" s="1026" t="s">
        <v>2025</v>
      </c>
      <c r="DN7" s="1026" t="s">
        <v>2035</v>
      </c>
      <c r="DO7" s="1026" t="s">
        <v>2048</v>
      </c>
      <c r="DP7" s="1026" t="s">
        <v>2059</v>
      </c>
      <c r="DQ7" s="1026" t="s">
        <v>1989</v>
      </c>
      <c r="DR7" s="1026" t="s">
        <v>1988</v>
      </c>
      <c r="DS7" s="1026" t="s">
        <v>1987</v>
      </c>
      <c r="DT7" s="1026" t="s">
        <v>1986</v>
      </c>
      <c r="DU7" s="1026" t="s">
        <v>1985</v>
      </c>
      <c r="DV7" s="1026" t="s">
        <v>2005</v>
      </c>
      <c r="DW7" s="1026" t="s">
        <v>2006</v>
      </c>
      <c r="DX7" s="1026" t="s">
        <v>2015</v>
      </c>
      <c r="DY7" s="1026" t="s">
        <v>2025</v>
      </c>
      <c r="DZ7" s="1026" t="s">
        <v>2035</v>
      </c>
      <c r="EA7" s="1026" t="s">
        <v>2048</v>
      </c>
      <c r="EB7" s="1026" t="s">
        <v>2059</v>
      </c>
      <c r="EC7" s="1026" t="s">
        <v>1989</v>
      </c>
      <c r="ED7" s="1026" t="s">
        <v>1988</v>
      </c>
      <c r="EE7" s="1026" t="s">
        <v>1987</v>
      </c>
    </row>
    <row r="8" spans="1:135" ht="19.8">
      <c r="A8" s="976" t="s">
        <v>2820</v>
      </c>
      <c r="B8" s="945">
        <v>1428.183906</v>
      </c>
      <c r="C8" s="945">
        <v>1149.18645735</v>
      </c>
      <c r="D8" s="945">
        <v>1139.6423065099998</v>
      </c>
      <c r="E8" s="945">
        <v>1230.9027256600002</v>
      </c>
      <c r="F8" s="945">
        <v>1283.85502954</v>
      </c>
      <c r="G8" s="945">
        <v>1341.61179952</v>
      </c>
      <c r="H8" s="945">
        <v>1371.82922347</v>
      </c>
      <c r="I8" s="945">
        <v>1412.9474226100001</v>
      </c>
      <c r="J8" s="945">
        <v>1467.32344638</v>
      </c>
      <c r="K8" s="945">
        <v>1456.38456032</v>
      </c>
      <c r="L8" s="945">
        <v>1461.20563808</v>
      </c>
      <c r="M8" s="946">
        <v>1516.4168226499999</v>
      </c>
      <c r="N8" s="946">
        <v>1841.3114409099999</v>
      </c>
      <c r="O8" s="946">
        <v>1801.4803269099998</v>
      </c>
      <c r="P8" s="946">
        <v>1830.6190634100003</v>
      </c>
      <c r="Q8" s="946">
        <v>1907.9842716100002</v>
      </c>
      <c r="R8" s="946">
        <v>1925.2843710400002</v>
      </c>
      <c r="S8" s="946">
        <v>1965.7615578500004</v>
      </c>
      <c r="T8" s="946">
        <v>1994.8483600300001</v>
      </c>
      <c r="U8" s="946">
        <v>2008.4568079000001</v>
      </c>
      <c r="V8" s="946">
        <v>2021.0187138399999</v>
      </c>
      <c r="W8" s="946">
        <v>2078.34941669</v>
      </c>
      <c r="X8" s="946">
        <v>2066.6721560299998</v>
      </c>
      <c r="Y8" s="946">
        <v>2027.84494105</v>
      </c>
      <c r="Z8" s="946">
        <v>2007.0901509099999</v>
      </c>
      <c r="AA8" s="946">
        <v>2248.13395915</v>
      </c>
      <c r="AB8" s="946">
        <v>2238.0025100100002</v>
      </c>
      <c r="AC8" s="946">
        <v>2210.9461330099998</v>
      </c>
      <c r="AD8" s="946">
        <v>2182.7752435699999</v>
      </c>
      <c r="AE8" s="946">
        <v>2172.1726600900001</v>
      </c>
      <c r="AF8" s="946">
        <v>2177.4185807900003</v>
      </c>
      <c r="AG8" s="946">
        <v>2135.7916002400002</v>
      </c>
      <c r="AH8" s="946">
        <v>1968.91817251</v>
      </c>
      <c r="AI8" s="946">
        <v>1610.2726114500001</v>
      </c>
      <c r="AJ8" s="946">
        <v>1818.6654537099998</v>
      </c>
      <c r="AK8" s="946">
        <v>1948.3333018399999</v>
      </c>
      <c r="AL8" s="946">
        <v>1881.53008694</v>
      </c>
      <c r="AM8" s="946">
        <v>1723.0961431700002</v>
      </c>
      <c r="AN8" s="946">
        <v>1369.0636536899999</v>
      </c>
      <c r="AO8" s="946">
        <v>1208.0488752299998</v>
      </c>
      <c r="AP8" s="946">
        <v>1211.70943842</v>
      </c>
      <c r="AQ8" s="946">
        <v>1325.8798217900001</v>
      </c>
      <c r="AR8" s="946">
        <v>1306.0223551099998</v>
      </c>
      <c r="AS8" s="946">
        <v>1320.3134043</v>
      </c>
      <c r="AT8" s="946">
        <v>1332.11418411</v>
      </c>
      <c r="AU8" s="946">
        <v>1208.6823844099999</v>
      </c>
      <c r="AV8" s="946">
        <v>1238.3630109599999</v>
      </c>
      <c r="AW8" s="946">
        <v>1263.1095771600001</v>
      </c>
      <c r="AX8" s="946">
        <v>1298.45241844</v>
      </c>
      <c r="AY8" s="946">
        <v>1254.3710778200002</v>
      </c>
      <c r="AZ8" s="946">
        <v>1204.3293183199999</v>
      </c>
      <c r="BA8" s="946">
        <v>1206.1408741700002</v>
      </c>
      <c r="BB8" s="946">
        <v>1071.5953943</v>
      </c>
      <c r="BC8" s="946">
        <v>1040.3336183599999</v>
      </c>
      <c r="BD8" s="946">
        <v>633.34679924</v>
      </c>
      <c r="BE8" s="946">
        <v>638.24987032000001</v>
      </c>
      <c r="BF8" s="946">
        <v>632.05855556999995</v>
      </c>
      <c r="BG8" s="946">
        <v>615.22808975999999</v>
      </c>
      <c r="BH8" s="1004">
        <v>625.64178061999996</v>
      </c>
      <c r="BI8" s="993">
        <v>612.36645699999997</v>
      </c>
      <c r="BJ8" s="993">
        <v>614.72017367000001</v>
      </c>
      <c r="BK8" s="993">
        <v>651.64406981000002</v>
      </c>
      <c r="BL8" s="993">
        <v>647.4186706800001</v>
      </c>
      <c r="BM8" s="993">
        <v>669.29635422000001</v>
      </c>
      <c r="BN8" s="993">
        <v>685.77672811000002</v>
      </c>
      <c r="BO8" s="993">
        <v>677.00939595999989</v>
      </c>
      <c r="BP8" s="993">
        <v>664.36494074999996</v>
      </c>
      <c r="BQ8" s="993">
        <v>676.72343440999998</v>
      </c>
      <c r="BR8" s="993">
        <v>671.8785015200001</v>
      </c>
      <c r="BS8" s="993">
        <v>681.46482938999998</v>
      </c>
      <c r="BT8" s="993">
        <v>679.59337290999997</v>
      </c>
      <c r="BU8" s="993">
        <v>700.64651284000001</v>
      </c>
      <c r="BV8" s="993">
        <v>701.46210560999998</v>
      </c>
      <c r="BW8" s="993">
        <v>720.27792026999998</v>
      </c>
      <c r="BX8" s="993">
        <v>742.80116336000003</v>
      </c>
      <c r="BY8" s="993">
        <v>757.10349629999996</v>
      </c>
      <c r="BZ8" s="993">
        <v>766.29979461999994</v>
      </c>
      <c r="CA8" s="993">
        <v>777.35009609999997</v>
      </c>
      <c r="CB8" s="993">
        <v>895.79496054999993</v>
      </c>
      <c r="CC8" s="993">
        <v>856.11254572999997</v>
      </c>
      <c r="CD8" s="993">
        <v>866.21003390999999</v>
      </c>
      <c r="CE8" s="993">
        <v>898.55133841999987</v>
      </c>
      <c r="CF8" s="993">
        <v>924.54653706999989</v>
      </c>
      <c r="CG8" s="993">
        <v>869.43478271000004</v>
      </c>
      <c r="CH8" s="993">
        <v>1135.2953768500001</v>
      </c>
      <c r="CI8" s="993">
        <v>1132.1902052399998</v>
      </c>
      <c r="CJ8" s="993">
        <v>1123.7267305099999</v>
      </c>
      <c r="CK8" s="993">
        <v>1132.2547219600001</v>
      </c>
      <c r="CL8" s="993">
        <v>1153.8423967900001</v>
      </c>
      <c r="CM8" s="993">
        <v>1164.4747104199998</v>
      </c>
      <c r="CN8" s="993">
        <v>1183.6976434199998</v>
      </c>
      <c r="CO8" s="993">
        <v>1187.6001615399998</v>
      </c>
      <c r="CP8" s="993">
        <v>1182.60945509</v>
      </c>
      <c r="CQ8" s="993">
        <v>1221.48748387</v>
      </c>
      <c r="CR8" s="993">
        <v>1375.1527625599999</v>
      </c>
      <c r="CS8" s="993">
        <v>1241.2799363700001</v>
      </c>
      <c r="CT8" s="993">
        <v>972.77601623999999</v>
      </c>
      <c r="CU8" s="993">
        <v>899.53158281000003</v>
      </c>
      <c r="CV8" s="993">
        <v>910.73295687999996</v>
      </c>
      <c r="CW8" s="993">
        <v>905.59455224999999</v>
      </c>
      <c r="CX8" s="993">
        <v>915.36763212000005</v>
      </c>
      <c r="CY8" s="993">
        <v>910.15272129000004</v>
      </c>
      <c r="CZ8" s="993">
        <v>906.00177702999997</v>
      </c>
      <c r="DA8" s="993">
        <v>860.10702729000002</v>
      </c>
      <c r="DB8" s="993">
        <v>894.29216449</v>
      </c>
      <c r="DC8" s="993">
        <v>931.10649753999996</v>
      </c>
      <c r="DD8" s="1064">
        <v>924.56066939000004</v>
      </c>
      <c r="DE8" s="1064">
        <v>960.22491319000005</v>
      </c>
      <c r="DF8" s="1064">
        <v>948.28755951000005</v>
      </c>
      <c r="DG8" s="1016">
        <v>985.04823421000003</v>
      </c>
      <c r="DH8" s="1016">
        <v>1004.56486473</v>
      </c>
      <c r="DI8" s="1016">
        <v>1013.29004033</v>
      </c>
      <c r="DJ8" s="1016">
        <v>981.09731834000002</v>
      </c>
      <c r="DK8" s="1016">
        <v>980.58902658</v>
      </c>
      <c r="DL8" s="1016">
        <v>1037.67454316</v>
      </c>
      <c r="DM8" s="1016">
        <v>1061.30586866</v>
      </c>
      <c r="DN8" s="1016">
        <v>1057.6198145200001</v>
      </c>
      <c r="DO8" s="1016">
        <v>1068.7433036299999</v>
      </c>
      <c r="DP8" s="1016">
        <v>1052.0862463799999</v>
      </c>
      <c r="DQ8" s="1016">
        <v>1048.8211128</v>
      </c>
      <c r="DR8" s="1016">
        <v>1064.04884924</v>
      </c>
      <c r="DS8" s="1016">
        <v>1064.9589326600001</v>
      </c>
      <c r="DT8" s="1016">
        <v>1077.43719143</v>
      </c>
      <c r="DU8" s="1016">
        <v>1050.6385203299999</v>
      </c>
      <c r="DV8" s="1016">
        <v>1021.98210517</v>
      </c>
      <c r="DW8" s="1016">
        <v>1065.86555006</v>
      </c>
      <c r="DX8" s="1016">
        <v>1070.5849528399999</v>
      </c>
      <c r="DY8" s="1016">
        <v>1084.6226701200001</v>
      </c>
      <c r="DZ8" s="1016">
        <v>1089.5345540999999</v>
      </c>
      <c r="EA8" s="1016">
        <v>1130.77302792</v>
      </c>
      <c r="EB8" s="1016">
        <v>1143.0243782</v>
      </c>
      <c r="EC8" s="1016">
        <v>1188.0659588000001</v>
      </c>
      <c r="ED8" s="1016">
        <v>1386.1662965099999</v>
      </c>
      <c r="EE8" s="1016">
        <v>1390.6726234499999</v>
      </c>
    </row>
    <row r="9" spans="1:135" ht="19.8">
      <c r="A9" s="977" t="s">
        <v>2001</v>
      </c>
      <c r="B9" s="949">
        <v>651.98611257999994</v>
      </c>
      <c r="C9" s="949">
        <v>123.34811096</v>
      </c>
      <c r="D9" s="949">
        <v>84.942547319999989</v>
      </c>
      <c r="E9" s="949">
        <v>93.558326480000005</v>
      </c>
      <c r="F9" s="949">
        <v>107.3112879</v>
      </c>
      <c r="G9" s="949">
        <v>121.18865502</v>
      </c>
      <c r="H9" s="949">
        <v>112.74529396</v>
      </c>
      <c r="I9" s="949">
        <v>115.3464295</v>
      </c>
      <c r="J9" s="949">
        <v>115.02437277</v>
      </c>
      <c r="K9" s="949">
        <v>105.37847120000001</v>
      </c>
      <c r="L9" s="949">
        <v>93.916759949999999</v>
      </c>
      <c r="M9" s="950">
        <v>79.894837569999993</v>
      </c>
      <c r="N9" s="950">
        <v>60.546527869999998</v>
      </c>
      <c r="O9" s="950">
        <v>54.994578830000002</v>
      </c>
      <c r="P9" s="950">
        <v>53.3447344</v>
      </c>
      <c r="Q9" s="950">
        <v>51.62177234</v>
      </c>
      <c r="R9" s="950">
        <v>52.261443479999997</v>
      </c>
      <c r="S9" s="950">
        <v>52.530328589999996</v>
      </c>
      <c r="T9" s="950">
        <v>53.531505750000001</v>
      </c>
      <c r="U9" s="950">
        <v>54.019738589999996</v>
      </c>
      <c r="V9" s="950">
        <v>53.310998820000002</v>
      </c>
      <c r="W9" s="950">
        <v>52.87204741</v>
      </c>
      <c r="X9" s="950">
        <v>48.302395709999999</v>
      </c>
      <c r="Y9" s="950">
        <v>40.770908400000003</v>
      </c>
      <c r="Z9" s="950">
        <v>33.28503164</v>
      </c>
      <c r="AA9" s="950">
        <v>27.107521759999997</v>
      </c>
      <c r="AB9" s="950">
        <v>18.536644770000002</v>
      </c>
      <c r="AC9" s="950">
        <v>15.784246169999999</v>
      </c>
      <c r="AD9" s="950">
        <v>14.779076669999998</v>
      </c>
      <c r="AE9" s="950">
        <v>13.26026487</v>
      </c>
      <c r="AF9" s="950">
        <v>13.94947726</v>
      </c>
      <c r="AG9" s="950">
        <v>13.85207387</v>
      </c>
      <c r="AH9" s="950">
        <v>13.49778178</v>
      </c>
      <c r="AI9" s="950">
        <v>15.92621205</v>
      </c>
      <c r="AJ9" s="950">
        <v>14.416971999999998</v>
      </c>
      <c r="AK9" s="950">
        <v>19.46189841</v>
      </c>
      <c r="AL9" s="950">
        <v>21.357508299999999</v>
      </c>
      <c r="AM9" s="950">
        <v>20.367606909999999</v>
      </c>
      <c r="AN9" s="950">
        <v>22.914722780000002</v>
      </c>
      <c r="AO9" s="950">
        <v>21.132616680000002</v>
      </c>
      <c r="AP9" s="950">
        <v>21.499350680000003</v>
      </c>
      <c r="AQ9" s="950">
        <v>22.26900942</v>
      </c>
      <c r="AR9" s="950">
        <v>22.45482453</v>
      </c>
      <c r="AS9" s="950">
        <v>22.280903590000001</v>
      </c>
      <c r="AT9" s="950">
        <v>23.485196890000001</v>
      </c>
      <c r="AU9" s="950">
        <v>20.956096049999999</v>
      </c>
      <c r="AV9" s="950">
        <v>21.044413550000002</v>
      </c>
      <c r="AW9" s="950">
        <v>17.73985519</v>
      </c>
      <c r="AX9" s="950">
        <v>22.30469712</v>
      </c>
      <c r="AY9" s="950">
        <v>22.897321599999998</v>
      </c>
      <c r="AZ9" s="950">
        <v>20.292370980000001</v>
      </c>
      <c r="BA9" s="950">
        <v>23.61504691</v>
      </c>
      <c r="BB9" s="950">
        <v>22.90025121</v>
      </c>
      <c r="BC9" s="950">
        <v>22.938948440000001</v>
      </c>
      <c r="BD9" s="950">
        <v>22.403413019999999</v>
      </c>
      <c r="BE9" s="950">
        <v>24.46950056</v>
      </c>
      <c r="BF9" s="950">
        <v>23.432095689999997</v>
      </c>
      <c r="BG9" s="950">
        <v>22.675817760000001</v>
      </c>
      <c r="BH9" s="1005">
        <v>23.54920005</v>
      </c>
      <c r="BI9" s="994">
        <v>23.637622069999999</v>
      </c>
      <c r="BJ9" s="994">
        <v>20.342743950000003</v>
      </c>
      <c r="BK9" s="994">
        <v>24.144741289999999</v>
      </c>
      <c r="BL9" s="994">
        <v>23.137942340000002</v>
      </c>
      <c r="BM9" s="994">
        <v>21.437334610000001</v>
      </c>
      <c r="BN9" s="994">
        <v>21.633768979999999</v>
      </c>
      <c r="BO9" s="994">
        <v>22.662641319999999</v>
      </c>
      <c r="BP9" s="994">
        <v>21.761955990000004</v>
      </c>
      <c r="BQ9" s="994">
        <v>19.806999430000001</v>
      </c>
      <c r="BR9" s="994">
        <v>20.397622049999999</v>
      </c>
      <c r="BS9" s="994">
        <v>19.575226149999999</v>
      </c>
      <c r="BT9" s="994">
        <v>23.448292249999998</v>
      </c>
      <c r="BU9" s="994">
        <v>12.177229570000002</v>
      </c>
      <c r="BV9" s="994">
        <v>12.43824287</v>
      </c>
      <c r="BW9" s="994">
        <v>13.67680236</v>
      </c>
      <c r="BX9" s="994">
        <v>13.57144452</v>
      </c>
      <c r="BY9" s="994">
        <v>15.702372579999999</v>
      </c>
      <c r="BZ9" s="994">
        <v>14.08868629</v>
      </c>
      <c r="CA9" s="994">
        <v>16.750325050000001</v>
      </c>
      <c r="CB9" s="994">
        <v>14.1899651</v>
      </c>
      <c r="CC9" s="994">
        <v>12.52060232</v>
      </c>
      <c r="CD9" s="994">
        <v>12.352258450000001</v>
      </c>
      <c r="CE9" s="994">
        <v>12.20372592</v>
      </c>
      <c r="CF9" s="994">
        <v>12.215536160000001</v>
      </c>
      <c r="CG9" s="994">
        <v>8.8058696399999992</v>
      </c>
      <c r="CH9" s="994">
        <v>264.49295413999999</v>
      </c>
      <c r="CI9" s="994">
        <v>266.14130547000002</v>
      </c>
      <c r="CJ9" s="994">
        <v>267.28400216</v>
      </c>
      <c r="CK9" s="994">
        <v>265.30857500000002</v>
      </c>
      <c r="CL9" s="994">
        <v>274.49015537999998</v>
      </c>
      <c r="CM9" s="994">
        <v>280.19506337000001</v>
      </c>
      <c r="CN9" s="994">
        <v>280.98960104999998</v>
      </c>
      <c r="CO9" s="994">
        <v>280.63102354</v>
      </c>
      <c r="CP9" s="994">
        <v>278.43564430999999</v>
      </c>
      <c r="CQ9" s="994">
        <v>283.33021944000001</v>
      </c>
      <c r="CR9" s="994">
        <v>413.50147177999997</v>
      </c>
      <c r="CS9" s="994">
        <v>286.41053583000001</v>
      </c>
      <c r="CT9" s="994">
        <v>15.9027449</v>
      </c>
      <c r="CU9" s="994">
        <v>15.368054860000001</v>
      </c>
      <c r="CV9" s="994">
        <v>15.2672519</v>
      </c>
      <c r="CW9" s="994">
        <v>11.529267020000001</v>
      </c>
      <c r="CX9" s="994">
        <v>16.267083329999998</v>
      </c>
      <c r="CY9" s="994">
        <v>16.473009080000001</v>
      </c>
      <c r="CZ9" s="994">
        <v>15.80165077</v>
      </c>
      <c r="DA9" s="994">
        <v>15.57330054</v>
      </c>
      <c r="DB9" s="994">
        <v>15.64790814</v>
      </c>
      <c r="DC9" s="994">
        <v>16.702823819999999</v>
      </c>
      <c r="DD9" s="1065">
        <v>16.683767499999998</v>
      </c>
      <c r="DE9" s="1065">
        <v>14.19515752</v>
      </c>
      <c r="DF9" s="1065">
        <v>14.00784185</v>
      </c>
      <c r="DG9" s="1017">
        <v>13.823232170000001</v>
      </c>
      <c r="DH9" s="1017">
        <v>13.66506221</v>
      </c>
      <c r="DI9" s="1017">
        <v>14.52001843</v>
      </c>
      <c r="DJ9" s="1017">
        <v>14.11484432</v>
      </c>
      <c r="DK9" s="1017">
        <v>10.81065757</v>
      </c>
      <c r="DL9" s="1017">
        <v>11.19815386</v>
      </c>
      <c r="DM9" s="1017">
        <v>11.17009751</v>
      </c>
      <c r="DN9" s="1017">
        <v>8.5135082299999993</v>
      </c>
      <c r="DO9" s="1017">
        <v>7.7260031099999997</v>
      </c>
      <c r="DP9" s="1017">
        <v>7.5939121399999996</v>
      </c>
      <c r="DQ9" s="1017">
        <v>13.03948666</v>
      </c>
      <c r="DR9" s="1017">
        <v>12.74168663</v>
      </c>
      <c r="DS9" s="1017">
        <v>10.956747910000001</v>
      </c>
      <c r="DT9" s="1017">
        <v>9.8013200200000004</v>
      </c>
      <c r="DU9" s="1017">
        <v>7.9357922399999996</v>
      </c>
      <c r="DV9" s="1017">
        <v>12.98133402</v>
      </c>
      <c r="DW9" s="1017">
        <v>12.14476973</v>
      </c>
      <c r="DX9" s="1017">
        <v>12.46498132</v>
      </c>
      <c r="DY9" s="1017">
        <v>13.58357942</v>
      </c>
      <c r="DZ9" s="1017">
        <v>13.890954860000001</v>
      </c>
      <c r="EA9" s="1017">
        <v>6.32633724</v>
      </c>
      <c r="EB9" s="1017">
        <v>12.241687499999999</v>
      </c>
      <c r="EC9" s="1017">
        <v>12.831688550000001</v>
      </c>
      <c r="ED9" s="1017">
        <v>225.40449473999999</v>
      </c>
      <c r="EE9" s="1017">
        <v>225.63851518999999</v>
      </c>
    </row>
    <row r="10" spans="1:135" ht="19.8">
      <c r="A10" s="978" t="s">
        <v>2002</v>
      </c>
      <c r="B10" s="945">
        <f>+B8-B9</f>
        <v>776.19779342000004</v>
      </c>
      <c r="C10" s="945">
        <f t="shared" ref="C10:V10" si="0">+C8-C9</f>
        <v>1025.83834639</v>
      </c>
      <c r="D10" s="945">
        <f t="shared" si="0"/>
        <v>1054.6997591899999</v>
      </c>
      <c r="E10" s="945">
        <f t="shared" si="0"/>
        <v>1137.3443991800002</v>
      </c>
      <c r="F10" s="945">
        <f t="shared" si="0"/>
        <v>1176.54374164</v>
      </c>
      <c r="G10" s="945">
        <f t="shared" si="0"/>
        <v>1220.4231445</v>
      </c>
      <c r="H10" s="945">
        <f t="shared" si="0"/>
        <v>1259.08392951</v>
      </c>
      <c r="I10" s="945">
        <f t="shared" si="0"/>
        <v>1297.6009931100002</v>
      </c>
      <c r="J10" s="945">
        <f t="shared" si="0"/>
        <v>1352.2990736100001</v>
      </c>
      <c r="K10" s="945">
        <f t="shared" si="0"/>
        <v>1351.0060891200001</v>
      </c>
      <c r="L10" s="945">
        <f t="shared" si="0"/>
        <v>1367.2888781300001</v>
      </c>
      <c r="M10" s="950">
        <f t="shared" si="0"/>
        <v>1436.5219850799999</v>
      </c>
      <c r="N10" s="946">
        <f t="shared" si="0"/>
        <v>1780.7649130399998</v>
      </c>
      <c r="O10" s="946">
        <f t="shared" si="0"/>
        <v>1746.4857480799999</v>
      </c>
      <c r="P10" s="946">
        <f t="shared" si="0"/>
        <v>1777.2743290100002</v>
      </c>
      <c r="Q10" s="946">
        <f t="shared" si="0"/>
        <v>1856.3624992700002</v>
      </c>
      <c r="R10" s="946">
        <f t="shared" si="0"/>
        <v>1873.0229275600002</v>
      </c>
      <c r="S10" s="946">
        <f t="shared" si="0"/>
        <v>1913.2312292600004</v>
      </c>
      <c r="T10" s="946">
        <f t="shared" si="0"/>
        <v>1941.3168542800001</v>
      </c>
      <c r="U10" s="946">
        <f t="shared" si="0"/>
        <v>1954.43706931</v>
      </c>
      <c r="V10" s="946">
        <f t="shared" si="0"/>
        <v>1967.70771502</v>
      </c>
      <c r="W10" s="946">
        <v>2025.4773692799999</v>
      </c>
      <c r="X10" s="946">
        <v>2018.3697603199998</v>
      </c>
      <c r="Y10" s="950">
        <v>1987.0740326499999</v>
      </c>
      <c r="Z10" s="946">
        <v>1973.80511927</v>
      </c>
      <c r="AA10" s="946">
        <v>2221.02643739</v>
      </c>
      <c r="AB10" s="950">
        <f>+AB8-AB9</f>
        <v>2219.4658652400003</v>
      </c>
      <c r="AC10" s="950">
        <v>2195.1618868399996</v>
      </c>
      <c r="AD10" s="950">
        <v>2167.9961668999999</v>
      </c>
      <c r="AE10" s="950">
        <v>2158.9123952200002</v>
      </c>
      <c r="AF10" s="950">
        <v>2163.4691035300002</v>
      </c>
      <c r="AG10" s="950">
        <v>2121.9395263700003</v>
      </c>
      <c r="AH10" s="950">
        <f>+AH8-AH9</f>
        <v>1955.42039073</v>
      </c>
      <c r="AI10" s="950">
        <v>1594.3463994000001</v>
      </c>
      <c r="AJ10" s="950">
        <f>+AJ8-AJ9</f>
        <v>1804.2484817099999</v>
      </c>
      <c r="AK10" s="950">
        <f>+AK8-AK9</f>
        <v>1928.8714034299999</v>
      </c>
      <c r="AL10" s="950">
        <v>1860.17257864</v>
      </c>
      <c r="AM10" s="950">
        <f>+AM8-AM9</f>
        <v>1702.7285362600003</v>
      </c>
      <c r="AN10" s="950">
        <f>+AN8-AN9</f>
        <v>1346.14893091</v>
      </c>
      <c r="AO10" s="950">
        <f>+AO8-AO9</f>
        <v>1186.9162585499998</v>
      </c>
      <c r="AP10" s="950">
        <f>+AP8-AP9</f>
        <v>1190.2100877400001</v>
      </c>
      <c r="AQ10" s="950">
        <v>1303.6108123700001</v>
      </c>
      <c r="AR10" s="950">
        <f>+AR8-AR9</f>
        <v>1283.5675305799998</v>
      </c>
      <c r="AS10" s="950">
        <f>+AS8-AS9</f>
        <v>1298.03250071</v>
      </c>
      <c r="AT10" s="950">
        <f>+AT8-AT9</f>
        <v>1308.62898722</v>
      </c>
      <c r="AU10" s="950">
        <v>1187.7262883599999</v>
      </c>
      <c r="AV10" s="950">
        <v>1217.3185974099999</v>
      </c>
      <c r="AW10" s="950">
        <v>1245.36972197</v>
      </c>
      <c r="AX10" s="950">
        <v>1276.1477213200001</v>
      </c>
      <c r="AY10" s="950">
        <v>1231.4737562200003</v>
      </c>
      <c r="AZ10" s="950">
        <v>1184.0369473399999</v>
      </c>
      <c r="BA10" s="950">
        <v>1182.5258272600001</v>
      </c>
      <c r="BB10" s="950">
        <v>1048.6951430899999</v>
      </c>
      <c r="BC10" s="950">
        <v>1017.39466992</v>
      </c>
      <c r="BD10" s="950">
        <f>+BD8-BD9</f>
        <v>610.94338621999998</v>
      </c>
      <c r="BE10" s="950">
        <v>613.78036975999999</v>
      </c>
      <c r="BF10" s="950">
        <v>608.62645987999997</v>
      </c>
      <c r="BG10" s="950">
        <v>592.55227200000002</v>
      </c>
      <c r="BH10" s="1005">
        <v>602.09258057</v>
      </c>
      <c r="BI10" s="994">
        <v>588.72883492999995</v>
      </c>
      <c r="BJ10" s="994">
        <v>594.37742972000001</v>
      </c>
      <c r="BK10" s="994">
        <v>627.49932852000006</v>
      </c>
      <c r="BL10" s="994">
        <v>624.28072834000011</v>
      </c>
      <c r="BM10" s="994">
        <v>647.85901961000002</v>
      </c>
      <c r="BN10" s="994">
        <v>664.14295913000001</v>
      </c>
      <c r="BO10" s="994">
        <v>654.34675463999986</v>
      </c>
      <c r="BP10" s="994">
        <v>642.60298475999991</v>
      </c>
      <c r="BQ10" s="994">
        <v>656.91643497999996</v>
      </c>
      <c r="BR10" s="994">
        <v>651.4808794700001</v>
      </c>
      <c r="BS10" s="994">
        <v>661.88960323999993</v>
      </c>
      <c r="BT10" s="994">
        <v>656.14508065999996</v>
      </c>
      <c r="BU10" s="994">
        <v>688.46928327000001</v>
      </c>
      <c r="BV10" s="994">
        <v>689.02386274000003</v>
      </c>
      <c r="BW10" s="994">
        <v>706.60111790999997</v>
      </c>
      <c r="BX10" s="994">
        <v>729.22971884000003</v>
      </c>
      <c r="BY10" s="994">
        <v>741.40112371999999</v>
      </c>
      <c r="BZ10" s="994">
        <v>752.21110832999989</v>
      </c>
      <c r="CA10" s="994">
        <v>760.59977104999996</v>
      </c>
      <c r="CB10" s="994">
        <v>881.60499544999993</v>
      </c>
      <c r="CC10" s="994">
        <v>843.59194341</v>
      </c>
      <c r="CD10" s="994">
        <v>853.85777545999997</v>
      </c>
      <c r="CE10" s="994">
        <f t="shared" ref="CE10:CP10" si="1">+CE8-CE9</f>
        <v>886.34761249999985</v>
      </c>
      <c r="CF10" s="994">
        <f t="shared" si="1"/>
        <v>912.33100090999983</v>
      </c>
      <c r="CG10" s="994">
        <f t="shared" si="1"/>
        <v>860.62891307000007</v>
      </c>
      <c r="CH10" s="994">
        <f t="shared" si="1"/>
        <v>870.8024227100002</v>
      </c>
      <c r="CI10" s="994">
        <f t="shared" si="1"/>
        <v>866.04889976999982</v>
      </c>
      <c r="CJ10" s="994">
        <f t="shared" si="1"/>
        <v>856.44272834999992</v>
      </c>
      <c r="CK10" s="994">
        <f t="shared" si="1"/>
        <v>866.94614696000008</v>
      </c>
      <c r="CL10" s="994">
        <f t="shared" si="1"/>
        <v>879.35224141000003</v>
      </c>
      <c r="CM10" s="994">
        <f t="shared" si="1"/>
        <v>884.27964704999977</v>
      </c>
      <c r="CN10" s="994">
        <f t="shared" si="1"/>
        <v>902.70804236999993</v>
      </c>
      <c r="CO10" s="994">
        <f t="shared" si="1"/>
        <v>906.96913799999982</v>
      </c>
      <c r="CP10" s="994">
        <f t="shared" si="1"/>
        <v>904.17381077999994</v>
      </c>
      <c r="CQ10" s="994">
        <f>+CQ8-CQ9</f>
        <v>938.15726442999994</v>
      </c>
      <c r="CR10" s="994">
        <f>+CR8-CR9</f>
        <v>961.65129077999995</v>
      </c>
      <c r="CS10" s="994">
        <v>954.86940054000002</v>
      </c>
      <c r="CT10" s="994">
        <v>956.87327133999997</v>
      </c>
      <c r="CU10" s="994">
        <v>884.16352795</v>
      </c>
      <c r="CV10" s="994">
        <v>895.46570498000006</v>
      </c>
      <c r="CW10" s="994">
        <v>894.06528522999997</v>
      </c>
      <c r="CX10" s="994">
        <v>899.10054878999995</v>
      </c>
      <c r="CY10" s="994">
        <v>893.67971221000005</v>
      </c>
      <c r="CZ10" s="994">
        <v>890.20012626000005</v>
      </c>
      <c r="DA10" s="994">
        <v>844.53372675000003</v>
      </c>
      <c r="DB10" s="994">
        <v>878.64425634999998</v>
      </c>
      <c r="DC10" s="994">
        <v>914.40367372000003</v>
      </c>
      <c r="DD10" s="1065">
        <v>907.87690189</v>
      </c>
      <c r="DE10" s="1065">
        <v>946.02975566999999</v>
      </c>
      <c r="DF10" s="1065">
        <v>934.27971765999996</v>
      </c>
      <c r="DG10" s="1017">
        <v>971.22500204000005</v>
      </c>
      <c r="DH10" s="1017">
        <v>990.89980251999998</v>
      </c>
      <c r="DI10" s="1017">
        <v>998.77002189999996</v>
      </c>
      <c r="DJ10" s="1017">
        <v>966.98247402000004</v>
      </c>
      <c r="DK10" s="1017">
        <v>969.77836901000001</v>
      </c>
      <c r="DL10" s="1017">
        <v>1026.4763892999999</v>
      </c>
      <c r="DM10" s="1017">
        <v>1050.13577115</v>
      </c>
      <c r="DN10" s="1017">
        <v>1049.10630629</v>
      </c>
      <c r="DO10" s="1017">
        <v>1061.0173005199999</v>
      </c>
      <c r="DP10" s="1017">
        <v>1044.49233424</v>
      </c>
      <c r="DQ10" s="1017">
        <v>1035.7816261400001</v>
      </c>
      <c r="DR10" s="1017">
        <v>1051.30716261</v>
      </c>
      <c r="DS10" s="1017">
        <v>1054.00218475</v>
      </c>
      <c r="DT10" s="1017">
        <v>1067.6358714099999</v>
      </c>
      <c r="DU10" s="1017">
        <v>1042.7027280899999</v>
      </c>
      <c r="DV10" s="1017">
        <v>1009.00077115</v>
      </c>
      <c r="DW10" s="1017">
        <v>1053.72078033</v>
      </c>
      <c r="DX10" s="1017">
        <v>1058.11997152</v>
      </c>
      <c r="DY10" s="1017">
        <v>1071.0390907000001</v>
      </c>
      <c r="DZ10" s="1017">
        <v>1075.64359924</v>
      </c>
      <c r="EA10" s="1017">
        <v>1124.4466906800001</v>
      </c>
      <c r="EB10" s="1017">
        <v>1130.7826907000001</v>
      </c>
      <c r="EC10" s="1017">
        <v>1175.23427025</v>
      </c>
      <c r="ED10" s="1017">
        <v>1160.7618017699999</v>
      </c>
      <c r="EE10" s="1017">
        <v>1165.03410826</v>
      </c>
    </row>
    <row r="11" spans="1:135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</row>
    <row r="12" spans="1:135" ht="19.8">
      <c r="A12" s="976" t="s">
        <v>2821</v>
      </c>
      <c r="B12" s="945">
        <v>764.33278829999995</v>
      </c>
      <c r="C12" s="945">
        <v>273.13636229999997</v>
      </c>
      <c r="D12" s="945">
        <v>242.81806624999996</v>
      </c>
      <c r="E12" s="945">
        <v>235.77288635000002</v>
      </c>
      <c r="F12" s="945">
        <v>239.94204141</v>
      </c>
      <c r="G12" s="945">
        <v>249.33901094000001</v>
      </c>
      <c r="H12" s="945">
        <v>250.32201478000002</v>
      </c>
      <c r="I12" s="945">
        <v>269.24925845000001</v>
      </c>
      <c r="J12" s="945">
        <v>272.96780111999999</v>
      </c>
      <c r="K12" s="945">
        <v>271.79538146000004</v>
      </c>
      <c r="L12" s="945">
        <v>262.01861151999998</v>
      </c>
      <c r="M12" s="946">
        <v>261.23455690999998</v>
      </c>
      <c r="N12" s="946">
        <v>238.20380871999998</v>
      </c>
      <c r="O12" s="946">
        <v>252.48645586000001</v>
      </c>
      <c r="P12" s="946">
        <v>260.79145755000002</v>
      </c>
      <c r="Q12" s="946">
        <v>294.34738585000002</v>
      </c>
      <c r="R12" s="946">
        <v>295.23385059999998</v>
      </c>
      <c r="S12" s="946">
        <v>294.84701727000004</v>
      </c>
      <c r="T12" s="946">
        <v>304.00494399000002</v>
      </c>
      <c r="U12" s="946">
        <v>300.20331023999995</v>
      </c>
      <c r="V12" s="946">
        <v>309.53497033999997</v>
      </c>
      <c r="W12" s="946">
        <v>309.96735160000003</v>
      </c>
      <c r="X12" s="946">
        <v>315.55264082000002</v>
      </c>
      <c r="Y12" s="946">
        <v>307.32375281999998</v>
      </c>
      <c r="Z12" s="946">
        <v>300.26873007999995</v>
      </c>
      <c r="AA12" s="946">
        <v>479.40811377</v>
      </c>
      <c r="AB12" s="946">
        <v>481.54872170000004</v>
      </c>
      <c r="AC12" s="946">
        <v>486.29095879000005</v>
      </c>
      <c r="AD12" s="946">
        <v>456.50135356999999</v>
      </c>
      <c r="AE12" s="946">
        <v>447.74253826</v>
      </c>
      <c r="AF12" s="946">
        <v>452.89100569000004</v>
      </c>
      <c r="AG12" s="946">
        <v>405.89062719000003</v>
      </c>
      <c r="AH12" s="946">
        <v>405.31201484000002</v>
      </c>
      <c r="AI12" s="946">
        <v>483.05333233000005</v>
      </c>
      <c r="AJ12" s="946">
        <v>700.20921448000001</v>
      </c>
      <c r="AK12" s="946">
        <v>723.13352765999991</v>
      </c>
      <c r="AL12" s="946">
        <v>673.39233919000003</v>
      </c>
      <c r="AM12" s="946">
        <v>609.50014180000005</v>
      </c>
      <c r="AN12" s="946">
        <v>323.16673334000001</v>
      </c>
      <c r="AO12" s="946">
        <v>315.88162025999998</v>
      </c>
      <c r="AP12" s="946">
        <v>313.42586082000003</v>
      </c>
      <c r="AQ12" s="946">
        <v>431.35450308000003</v>
      </c>
      <c r="AR12" s="946">
        <v>417.40145485999994</v>
      </c>
      <c r="AS12" s="946">
        <v>431.92466652000002</v>
      </c>
      <c r="AT12" s="946">
        <v>432.87207080000002</v>
      </c>
      <c r="AU12" s="946">
        <v>327.43604424</v>
      </c>
      <c r="AV12" s="946">
        <v>344.96267849000003</v>
      </c>
      <c r="AW12" s="946">
        <v>382.95774993999999</v>
      </c>
      <c r="AX12" s="946">
        <v>405.18065394000001</v>
      </c>
      <c r="AY12" s="946">
        <v>378.28280013000006</v>
      </c>
      <c r="AZ12" s="946">
        <v>377.09081828000001</v>
      </c>
      <c r="BA12" s="946">
        <v>385.58098824000012</v>
      </c>
      <c r="BB12" s="946">
        <v>253.95349143999999</v>
      </c>
      <c r="BC12" s="946">
        <v>250.19132418000001</v>
      </c>
      <c r="BD12" s="946">
        <v>240.80403874999996</v>
      </c>
      <c r="BE12" s="946">
        <v>245.11331634999999</v>
      </c>
      <c r="BF12" s="946">
        <v>248.42211828000001</v>
      </c>
      <c r="BG12" s="946">
        <v>244.90238615000001</v>
      </c>
      <c r="BH12" s="1004">
        <v>255.09694987000003</v>
      </c>
      <c r="BI12" s="993">
        <v>256.80792014999997</v>
      </c>
      <c r="BJ12" s="993">
        <v>251.82990612</v>
      </c>
      <c r="BK12" s="993">
        <v>268.17866142000003</v>
      </c>
      <c r="BL12" s="993">
        <v>261.75677084</v>
      </c>
      <c r="BM12" s="993">
        <v>264.84207832999999</v>
      </c>
      <c r="BN12" s="993">
        <v>267.24130347000005</v>
      </c>
      <c r="BO12" s="993">
        <v>250.57817277999996</v>
      </c>
      <c r="BP12" s="993">
        <v>244.87794990000003</v>
      </c>
      <c r="BQ12" s="993">
        <v>257.78054635000001</v>
      </c>
      <c r="BR12" s="993">
        <v>258.74390237</v>
      </c>
      <c r="BS12" s="993">
        <v>271.71127867999996</v>
      </c>
      <c r="BT12" s="993">
        <v>271.19047797999997</v>
      </c>
      <c r="BU12" s="993">
        <v>264.58771673000001</v>
      </c>
      <c r="BV12" s="993">
        <v>270.61441042999996</v>
      </c>
      <c r="BW12" s="993">
        <v>249.41993125000002</v>
      </c>
      <c r="BX12" s="993">
        <v>261.10512685000003</v>
      </c>
      <c r="BY12" s="993">
        <v>269.69504792999999</v>
      </c>
      <c r="BZ12" s="993">
        <v>273.19123680999996</v>
      </c>
      <c r="CA12" s="993">
        <v>277.99782220999998</v>
      </c>
      <c r="CB12" s="993">
        <v>284.05481932999999</v>
      </c>
      <c r="CC12" s="993">
        <v>251.21388495999997</v>
      </c>
      <c r="CD12" s="993">
        <v>229.37810027</v>
      </c>
      <c r="CE12" s="993">
        <v>226.89817868999995</v>
      </c>
      <c r="CF12" s="993">
        <v>224.99674381</v>
      </c>
      <c r="CG12" s="993">
        <v>196.18120028999999</v>
      </c>
      <c r="CH12" s="993">
        <v>171.731109</v>
      </c>
      <c r="CI12" s="993">
        <v>166.70615744</v>
      </c>
      <c r="CJ12" s="993">
        <v>158.17235597000001</v>
      </c>
      <c r="CK12" s="993">
        <v>171.86250315000001</v>
      </c>
      <c r="CL12" s="993">
        <v>176.08408481000001</v>
      </c>
      <c r="CM12" s="993">
        <v>190.20428197999999</v>
      </c>
      <c r="CN12" s="993">
        <v>203.66827004000001</v>
      </c>
      <c r="CO12" s="993">
        <v>188.15086406999998</v>
      </c>
      <c r="CP12" s="993">
        <v>167.85167876</v>
      </c>
      <c r="CQ12" s="993">
        <v>180.27271314000001</v>
      </c>
      <c r="CR12" s="993">
        <v>196.59545661999999</v>
      </c>
      <c r="CS12" s="993">
        <v>198.11179692000002</v>
      </c>
      <c r="CT12" s="993">
        <v>187.93672921999999</v>
      </c>
      <c r="CU12" s="993">
        <v>180.04779614</v>
      </c>
      <c r="CV12" s="993">
        <v>189.1546233</v>
      </c>
      <c r="CW12" s="993">
        <v>185.01074826999999</v>
      </c>
      <c r="CX12" s="993">
        <v>188.00151504999999</v>
      </c>
      <c r="CY12" s="993">
        <v>184.44429113999999</v>
      </c>
      <c r="CZ12" s="993">
        <v>181.21699839999999</v>
      </c>
      <c r="DA12" s="993">
        <v>165.13474151</v>
      </c>
      <c r="DB12" s="993">
        <v>188.18320693999999</v>
      </c>
      <c r="DC12" s="993">
        <v>181.41635216</v>
      </c>
      <c r="DD12" s="1064">
        <v>161.97030642999999</v>
      </c>
      <c r="DE12" s="1064">
        <v>193.21195172</v>
      </c>
      <c r="DF12" s="1064">
        <v>182.3762893</v>
      </c>
      <c r="DG12" s="1016">
        <v>219.14479502</v>
      </c>
      <c r="DH12" s="1016">
        <v>228.29227791</v>
      </c>
      <c r="DI12" s="1016">
        <v>237.87733865999999</v>
      </c>
      <c r="DJ12" s="1016">
        <v>205.38218677</v>
      </c>
      <c r="DK12" s="1016">
        <v>216.96679571000001</v>
      </c>
      <c r="DL12" s="1016">
        <v>277.10623106999998</v>
      </c>
      <c r="DM12" s="1016">
        <v>302.72616127999999</v>
      </c>
      <c r="DN12" s="1016">
        <v>309.67748311999998</v>
      </c>
      <c r="DO12" s="1016">
        <v>325.95657333999998</v>
      </c>
      <c r="DP12" s="1016">
        <v>295.18903718000001</v>
      </c>
      <c r="DQ12" s="1016">
        <v>292.72840972</v>
      </c>
      <c r="DR12" s="1016">
        <v>316.86186744999998</v>
      </c>
      <c r="DS12" s="1016">
        <v>324.04200945999997</v>
      </c>
      <c r="DT12" s="1016">
        <v>326.41512289999997</v>
      </c>
      <c r="DU12" s="1016">
        <v>308.42903669999998</v>
      </c>
      <c r="DV12" s="1016">
        <v>310.94359176</v>
      </c>
      <c r="DW12" s="1016">
        <v>299.35875191000002</v>
      </c>
      <c r="DX12" s="1016">
        <v>241.24993072999999</v>
      </c>
      <c r="DY12" s="1016">
        <v>257.60235734999998</v>
      </c>
      <c r="DZ12" s="1016">
        <v>268.41155113000002</v>
      </c>
      <c r="EA12" s="1016">
        <v>263.92982164</v>
      </c>
      <c r="EB12" s="1016">
        <v>275.41044871000003</v>
      </c>
      <c r="EC12" s="1016">
        <v>283.93735722999998</v>
      </c>
      <c r="ED12" s="1016">
        <v>240.15516047</v>
      </c>
      <c r="EE12" s="1016">
        <v>267.93743290999998</v>
      </c>
    </row>
    <row r="13" spans="1:135" ht="19.8">
      <c r="A13" s="977" t="s">
        <v>2001</v>
      </c>
      <c r="B13" s="949">
        <v>650.41113174999998</v>
      </c>
      <c r="C13" s="949">
        <v>121.7726464</v>
      </c>
      <c r="D13" s="949">
        <v>83.368055939999991</v>
      </c>
      <c r="E13" s="949">
        <v>72.055313510000005</v>
      </c>
      <c r="F13" s="949">
        <v>65.779194959999998</v>
      </c>
      <c r="G13" s="949">
        <v>59.858204659999998</v>
      </c>
      <c r="H13" s="949">
        <v>51.425258720000002</v>
      </c>
      <c r="I13" s="949">
        <v>54.107795719999999</v>
      </c>
      <c r="J13" s="949">
        <v>53.813629559999995</v>
      </c>
      <c r="K13" s="949">
        <v>45.197733810000003</v>
      </c>
      <c r="L13" s="949">
        <v>35.764143869999998</v>
      </c>
      <c r="M13" s="950">
        <v>25.942348289999998</v>
      </c>
      <c r="N13" s="950">
        <v>9.4000834700000002</v>
      </c>
      <c r="O13" s="950">
        <v>8.5983040000000006</v>
      </c>
      <c r="P13" s="950">
        <v>11.97663275</v>
      </c>
      <c r="Q13" s="950">
        <v>12.281787339999999</v>
      </c>
      <c r="R13" s="950">
        <v>13.766649789999999</v>
      </c>
      <c r="S13" s="950">
        <v>12.529960460000002</v>
      </c>
      <c r="T13" s="950">
        <v>13.914934199999999</v>
      </c>
      <c r="U13" s="950">
        <v>13.24890291</v>
      </c>
      <c r="V13" s="950">
        <v>13.416887300000001</v>
      </c>
      <c r="W13" s="950">
        <v>14.015406050000001</v>
      </c>
      <c r="X13" s="950">
        <v>13.613941310000001</v>
      </c>
      <c r="Y13" s="950">
        <v>12.48963131</v>
      </c>
      <c r="Z13" s="950">
        <v>7.5203049900000005</v>
      </c>
      <c r="AA13" s="950">
        <v>6.9408427599999998</v>
      </c>
      <c r="AB13" s="950">
        <v>2.4049563300000001</v>
      </c>
      <c r="AC13" s="950">
        <v>1.8466481200000002</v>
      </c>
      <c r="AD13" s="950">
        <v>2.1767448899999997</v>
      </c>
      <c r="AE13" s="950">
        <v>1.08859321</v>
      </c>
      <c r="AF13" s="950">
        <v>1.896695</v>
      </c>
      <c r="AG13" s="950">
        <v>1.9988699999999999</v>
      </c>
      <c r="AH13" s="950">
        <v>1.8954366899999999</v>
      </c>
      <c r="AI13" s="950">
        <v>5.3511279599999995</v>
      </c>
      <c r="AJ13" s="950">
        <v>7.5500896499999994</v>
      </c>
      <c r="AK13" s="950">
        <v>17.543890359999999</v>
      </c>
      <c r="AL13" s="950">
        <v>19.240113940000001</v>
      </c>
      <c r="AM13" s="950">
        <v>18.2445795</v>
      </c>
      <c r="AN13" s="950">
        <v>18.772289520000001</v>
      </c>
      <c r="AO13" s="950">
        <v>18.914564640000002</v>
      </c>
      <c r="AP13" s="950">
        <v>18.014781990000003</v>
      </c>
      <c r="AQ13" s="950">
        <v>18.06390648</v>
      </c>
      <c r="AR13" s="950">
        <v>18.973721699999999</v>
      </c>
      <c r="AS13" s="950">
        <v>19.313851190000001</v>
      </c>
      <c r="AT13" s="950">
        <v>19.672717380000002</v>
      </c>
      <c r="AU13" s="950">
        <v>17.37625091</v>
      </c>
      <c r="AV13" s="950">
        <v>17.040956449999999</v>
      </c>
      <c r="AW13" s="950">
        <v>17.54308606</v>
      </c>
      <c r="AX13" s="950">
        <v>20.497531479999999</v>
      </c>
      <c r="AY13" s="950">
        <v>19.751545419999999</v>
      </c>
      <c r="AZ13" s="950">
        <v>16.91437535</v>
      </c>
      <c r="BA13" s="950">
        <v>20.12416035</v>
      </c>
      <c r="BB13" s="950">
        <v>21.064033819999999</v>
      </c>
      <c r="BC13" s="950">
        <v>20.525368280000002</v>
      </c>
      <c r="BD13" s="950">
        <v>20.946569279999999</v>
      </c>
      <c r="BE13" s="950">
        <v>20.902486879999998</v>
      </c>
      <c r="BF13" s="950">
        <v>20.682232889999998</v>
      </c>
      <c r="BG13" s="950">
        <v>19.15858742</v>
      </c>
      <c r="BH13" s="1005">
        <v>21.570038180000001</v>
      </c>
      <c r="BI13" s="994">
        <v>21.557572069999999</v>
      </c>
      <c r="BJ13" s="994">
        <v>19.034693950000001</v>
      </c>
      <c r="BK13" s="994">
        <v>21.245904289999999</v>
      </c>
      <c r="BL13" s="994">
        <v>21.079163270000002</v>
      </c>
      <c r="BM13" s="994">
        <v>18.459834610000001</v>
      </c>
      <c r="BN13" s="994">
        <v>18.103456810000001</v>
      </c>
      <c r="BO13" s="994">
        <v>15.836106860000001</v>
      </c>
      <c r="BP13" s="994">
        <v>15.282047380000002</v>
      </c>
      <c r="BQ13" s="994">
        <v>15.35496749</v>
      </c>
      <c r="BR13" s="994">
        <v>16.21010922</v>
      </c>
      <c r="BS13" s="994">
        <v>14.549584830000001</v>
      </c>
      <c r="BT13" s="994">
        <v>16.812253519999999</v>
      </c>
      <c r="BU13" s="994">
        <v>6.2650000000000006</v>
      </c>
      <c r="BV13" s="994">
        <v>6.7940000000000005</v>
      </c>
      <c r="BW13" s="994">
        <v>7.0139999999999993</v>
      </c>
      <c r="BX13" s="994">
        <v>8.1950000000000003</v>
      </c>
      <c r="BY13" s="994">
        <v>8.0359999999999996</v>
      </c>
      <c r="BZ13" s="994">
        <v>8.2110000000000003</v>
      </c>
      <c r="CA13" s="994">
        <v>7.6859999999999999</v>
      </c>
      <c r="CB13" s="994">
        <v>7.7887000000000004</v>
      </c>
      <c r="CC13" s="994">
        <v>7.3456999999999999</v>
      </c>
      <c r="CD13" s="994">
        <v>7.1909999999999998</v>
      </c>
      <c r="CE13" s="994">
        <v>6.7069999999999999</v>
      </c>
      <c r="CF13" s="994">
        <v>6.5890000000000004</v>
      </c>
      <c r="CG13" s="994">
        <v>6.5227458799999996</v>
      </c>
      <c r="CH13" s="994">
        <v>7.5727396699999998</v>
      </c>
      <c r="CI13" s="994">
        <v>9.1257390000000012</v>
      </c>
      <c r="CJ13" s="994">
        <v>9.5325889999999998</v>
      </c>
      <c r="CK13" s="994">
        <v>7.54405036</v>
      </c>
      <c r="CL13" s="994">
        <v>15.333654800000001</v>
      </c>
      <c r="CM13" s="994">
        <v>21.437702510000001</v>
      </c>
      <c r="CN13" s="994">
        <v>22.549366110000001</v>
      </c>
      <c r="CO13" s="994">
        <v>22.42336611</v>
      </c>
      <c r="CP13" s="994">
        <v>21.76210335</v>
      </c>
      <c r="CQ13" s="994">
        <v>26.53186479</v>
      </c>
      <c r="CR13" s="994">
        <v>29.511061259999998</v>
      </c>
      <c r="CS13" s="994">
        <v>21.133880769999998</v>
      </c>
      <c r="CT13" s="994">
        <v>13.09826934</v>
      </c>
      <c r="CU13" s="994">
        <v>9.0209716400000008</v>
      </c>
      <c r="CV13" s="994">
        <v>8.7614615899999997</v>
      </c>
      <c r="CW13" s="994">
        <v>4.8704298000000001</v>
      </c>
      <c r="CX13" s="994">
        <v>8.9205261999999994</v>
      </c>
      <c r="CY13" s="994">
        <v>9.2053453800000007</v>
      </c>
      <c r="CZ13" s="994">
        <v>9.7330824699999994</v>
      </c>
      <c r="DA13" s="994">
        <v>9.3675582500000001</v>
      </c>
      <c r="DB13" s="994">
        <v>9.6358915500000002</v>
      </c>
      <c r="DC13" s="994">
        <v>10.078200000000001</v>
      </c>
      <c r="DD13" s="1065">
        <v>10.281391920000001</v>
      </c>
      <c r="DE13" s="1065">
        <v>8.4299919200000009</v>
      </c>
      <c r="DF13" s="1065">
        <v>8.4279919200000002</v>
      </c>
      <c r="DG13" s="1017">
        <v>8.4279919200000002</v>
      </c>
      <c r="DH13" s="1017">
        <v>8.4562030200000002</v>
      </c>
      <c r="DI13" s="1017">
        <v>8.4732030199999997</v>
      </c>
      <c r="DJ13" s="1017">
        <v>8.3318947600000008</v>
      </c>
      <c r="DK13" s="1017">
        <v>5.2045525599999998</v>
      </c>
      <c r="DL13" s="1017">
        <v>5.2024812999999996</v>
      </c>
      <c r="DM13" s="1017">
        <v>5.4320924100000001</v>
      </c>
      <c r="DN13" s="1017">
        <v>5.4067743699999999</v>
      </c>
      <c r="DO13" s="1017">
        <v>5.3827034999999999</v>
      </c>
      <c r="DP13" s="1017">
        <v>5.3224290200000004</v>
      </c>
      <c r="DQ13" s="1017">
        <v>10.308236490000001</v>
      </c>
      <c r="DR13" s="1017">
        <v>10.29899397</v>
      </c>
      <c r="DS13" s="1017">
        <v>8.6647075200000003</v>
      </c>
      <c r="DT13" s="1017">
        <v>7.4537629799999996</v>
      </c>
      <c r="DU13" s="1017">
        <v>5.67875029</v>
      </c>
      <c r="DV13" s="1017">
        <v>10.775110059999999</v>
      </c>
      <c r="DW13" s="1017">
        <v>9.9747194500000003</v>
      </c>
      <c r="DX13" s="1017">
        <v>10.463433090000001</v>
      </c>
      <c r="DY13" s="1017">
        <v>11.045642300000001</v>
      </c>
      <c r="DZ13" s="1017">
        <v>11.203847870000001</v>
      </c>
      <c r="EA13" s="1017">
        <v>3.7315561000000002</v>
      </c>
      <c r="EB13" s="1017">
        <v>10.050590189999999</v>
      </c>
      <c r="EC13" s="1017">
        <v>11.08775857</v>
      </c>
      <c r="ED13" s="1017">
        <v>11.05338845</v>
      </c>
      <c r="EE13" s="1017">
        <v>11.387021880000001</v>
      </c>
    </row>
    <row r="14" spans="1:135" ht="19.8">
      <c r="A14" s="978" t="s">
        <v>2002</v>
      </c>
      <c r="B14" s="949">
        <f>+B12-B13</f>
        <v>113.92165654999997</v>
      </c>
      <c r="C14" s="949">
        <f t="shared" ref="C14:V14" si="2">+C12-C13</f>
        <v>151.36371589999999</v>
      </c>
      <c r="D14" s="949">
        <f t="shared" si="2"/>
        <v>159.45001030999998</v>
      </c>
      <c r="E14" s="949">
        <f t="shared" si="2"/>
        <v>163.71757284</v>
      </c>
      <c r="F14" s="949">
        <f t="shared" si="2"/>
        <v>174.16284645000002</v>
      </c>
      <c r="G14" s="949">
        <f t="shared" si="2"/>
        <v>189.48080628000002</v>
      </c>
      <c r="H14" s="949">
        <f t="shared" si="2"/>
        <v>198.89675606000003</v>
      </c>
      <c r="I14" s="949">
        <f t="shared" si="2"/>
        <v>215.14146273</v>
      </c>
      <c r="J14" s="949">
        <f t="shared" si="2"/>
        <v>219.15417156000001</v>
      </c>
      <c r="K14" s="949">
        <f t="shared" si="2"/>
        <v>226.59764765000006</v>
      </c>
      <c r="L14" s="949">
        <f t="shared" si="2"/>
        <v>226.25446764999998</v>
      </c>
      <c r="M14" s="950">
        <f t="shared" si="2"/>
        <v>235.29220862</v>
      </c>
      <c r="N14" s="950">
        <f t="shared" si="2"/>
        <v>228.80372524999999</v>
      </c>
      <c r="O14" s="950">
        <f t="shared" si="2"/>
        <v>243.88815185999999</v>
      </c>
      <c r="P14" s="950">
        <f t="shared" si="2"/>
        <v>248.81482480000003</v>
      </c>
      <c r="Q14" s="950">
        <f t="shared" si="2"/>
        <v>282.06559851000003</v>
      </c>
      <c r="R14" s="950">
        <f t="shared" si="2"/>
        <v>281.46720081000001</v>
      </c>
      <c r="S14" s="950">
        <f t="shared" si="2"/>
        <v>282.31705681000005</v>
      </c>
      <c r="T14" s="950">
        <f t="shared" si="2"/>
        <v>290.09000979000001</v>
      </c>
      <c r="U14" s="950">
        <f t="shared" si="2"/>
        <v>286.95440732999992</v>
      </c>
      <c r="V14" s="950">
        <f t="shared" si="2"/>
        <v>296.11808303999999</v>
      </c>
      <c r="W14" s="950">
        <v>295.95194555</v>
      </c>
      <c r="X14" s="950">
        <v>301.93869950999999</v>
      </c>
      <c r="Y14" s="950">
        <v>294.83412150999999</v>
      </c>
      <c r="Z14" s="950">
        <v>292.74842508999996</v>
      </c>
      <c r="AA14" s="950">
        <v>472.46727100999999</v>
      </c>
      <c r="AB14" s="950">
        <f>+AB12-AB13</f>
        <v>479.14376537000004</v>
      </c>
      <c r="AC14" s="950">
        <v>484.44431067000005</v>
      </c>
      <c r="AD14" s="950">
        <v>454.32460867999998</v>
      </c>
      <c r="AE14" s="950">
        <v>446.65394505</v>
      </c>
      <c r="AF14" s="950">
        <v>450.99431069000002</v>
      </c>
      <c r="AG14" s="950">
        <v>403.89175719000002</v>
      </c>
      <c r="AH14" s="950">
        <f>+AH12-AH13</f>
        <v>403.41657815000002</v>
      </c>
      <c r="AI14" s="950">
        <v>477.70220437000006</v>
      </c>
      <c r="AJ14" s="950">
        <f>+AJ12-AJ13</f>
        <v>692.65912483</v>
      </c>
      <c r="AK14" s="950">
        <f>+AK12-AK13</f>
        <v>705.58963729999994</v>
      </c>
      <c r="AL14" s="950">
        <v>654.15222525000001</v>
      </c>
      <c r="AM14" s="950">
        <f>+AM12-AM13</f>
        <v>591.25556230000007</v>
      </c>
      <c r="AN14" s="950">
        <f>+AN12-AN13</f>
        <v>304.39444381999999</v>
      </c>
      <c r="AO14" s="950">
        <f>+AO12-AO13</f>
        <v>296.96705562</v>
      </c>
      <c r="AP14" s="950">
        <f>+AP12-AP13</f>
        <v>295.41107883000001</v>
      </c>
      <c r="AQ14" s="950">
        <v>413.29059660000001</v>
      </c>
      <c r="AR14" s="950">
        <f>+AR12-AR13</f>
        <v>398.42773315999995</v>
      </c>
      <c r="AS14" s="950">
        <f>+AS12-AS13</f>
        <v>412.61081533000004</v>
      </c>
      <c r="AT14" s="950">
        <f>+AT12-AT13</f>
        <v>413.19935342000002</v>
      </c>
      <c r="AU14" s="950">
        <v>310.05979332999999</v>
      </c>
      <c r="AV14" s="950">
        <v>327.92172204000002</v>
      </c>
      <c r="AW14" s="950">
        <v>365.41466387999998</v>
      </c>
      <c r="AX14" s="950">
        <v>384.68312245999999</v>
      </c>
      <c r="AY14" s="950">
        <v>358.53125471000004</v>
      </c>
      <c r="AZ14" s="950">
        <v>360.17644293000001</v>
      </c>
      <c r="BA14" s="950">
        <v>365.45682789000011</v>
      </c>
      <c r="BB14" s="950">
        <v>232.88945762</v>
      </c>
      <c r="BC14" s="950">
        <v>229.6659559</v>
      </c>
      <c r="BD14" s="950">
        <f>+BD12-BD13</f>
        <v>219.85746946999996</v>
      </c>
      <c r="BE14" s="950">
        <v>224.21082946999999</v>
      </c>
      <c r="BF14" s="950">
        <v>227.73988539000001</v>
      </c>
      <c r="BG14" s="950">
        <v>225.74379873000001</v>
      </c>
      <c r="BH14" s="1005">
        <v>233.52691169000002</v>
      </c>
      <c r="BI14" s="994">
        <v>235.25034807999998</v>
      </c>
      <c r="BJ14" s="994">
        <v>232.79521217000001</v>
      </c>
      <c r="BK14" s="994">
        <v>246.93275713000003</v>
      </c>
      <c r="BL14" s="994">
        <v>240.67760756999999</v>
      </c>
      <c r="BM14" s="994">
        <v>246.38224371999999</v>
      </c>
      <c r="BN14" s="994">
        <v>249.13784666000004</v>
      </c>
      <c r="BO14" s="994">
        <v>234.74206591999996</v>
      </c>
      <c r="BP14" s="994">
        <v>229.59590252000004</v>
      </c>
      <c r="BQ14" s="994">
        <v>242.42557886</v>
      </c>
      <c r="BR14" s="994">
        <v>242.53379315000001</v>
      </c>
      <c r="BS14" s="994">
        <v>257.16169384999995</v>
      </c>
      <c r="BT14" s="994">
        <v>254.37822445999996</v>
      </c>
      <c r="BU14" s="994">
        <v>258.32271673000002</v>
      </c>
      <c r="BV14" s="994">
        <v>263.82041042999998</v>
      </c>
      <c r="BW14" s="994">
        <v>242.40593125000001</v>
      </c>
      <c r="BX14" s="994">
        <v>252.91012685000004</v>
      </c>
      <c r="BY14" s="994">
        <v>261.65904792999999</v>
      </c>
      <c r="BZ14" s="994">
        <v>264.98023680999995</v>
      </c>
      <c r="CA14" s="994">
        <v>270.31182221</v>
      </c>
      <c r="CB14" s="994">
        <v>276.26611932999998</v>
      </c>
      <c r="CC14" s="994">
        <v>243.86818495999998</v>
      </c>
      <c r="CD14" s="994">
        <v>222.18710027</v>
      </c>
      <c r="CE14" s="994">
        <f t="shared" ref="CE14:CP14" si="3">+CE12-CE13</f>
        <v>220.19117868999996</v>
      </c>
      <c r="CF14" s="994">
        <f t="shared" si="3"/>
        <v>218.40774381</v>
      </c>
      <c r="CG14" s="994">
        <f t="shared" si="3"/>
        <v>189.65845440999999</v>
      </c>
      <c r="CH14" s="994">
        <f t="shared" si="3"/>
        <v>164.15836933</v>
      </c>
      <c r="CI14" s="994">
        <f t="shared" si="3"/>
        <v>157.58041843999999</v>
      </c>
      <c r="CJ14" s="994">
        <f t="shared" si="3"/>
        <v>148.63976697000001</v>
      </c>
      <c r="CK14" s="994">
        <f t="shared" si="3"/>
        <v>164.31845279000001</v>
      </c>
      <c r="CL14" s="994">
        <f t="shared" si="3"/>
        <v>160.75043001</v>
      </c>
      <c r="CM14" s="994">
        <f t="shared" si="3"/>
        <v>168.76657946999998</v>
      </c>
      <c r="CN14" s="994">
        <f t="shared" si="3"/>
        <v>181.11890393000002</v>
      </c>
      <c r="CO14" s="994">
        <f t="shared" si="3"/>
        <v>165.72749795999999</v>
      </c>
      <c r="CP14" s="994">
        <f t="shared" si="3"/>
        <v>146.08957541000001</v>
      </c>
      <c r="CQ14" s="994">
        <f>+CQ12-CQ13</f>
        <v>153.74084835000002</v>
      </c>
      <c r="CR14" s="994">
        <f>+CR12-CR13</f>
        <v>167.08439536</v>
      </c>
      <c r="CS14" s="994">
        <v>176.97791615000003</v>
      </c>
      <c r="CT14" s="994">
        <v>174.83845987999999</v>
      </c>
      <c r="CU14" s="994">
        <v>171.0268245</v>
      </c>
      <c r="CV14" s="994">
        <v>180.39316170999999</v>
      </c>
      <c r="CW14" s="994">
        <v>180.14031847000001</v>
      </c>
      <c r="CX14" s="994">
        <v>179.08098885000001</v>
      </c>
      <c r="CY14" s="994">
        <v>175.23894576000001</v>
      </c>
      <c r="CZ14" s="994">
        <v>171.48391592999999</v>
      </c>
      <c r="DA14" s="994">
        <v>155.76718326</v>
      </c>
      <c r="DB14" s="994">
        <v>178.54731538999999</v>
      </c>
      <c r="DC14" s="994">
        <v>171.33815215999999</v>
      </c>
      <c r="DD14" s="1065">
        <v>151.68891450999999</v>
      </c>
      <c r="DE14" s="1065">
        <v>184.78195980000001</v>
      </c>
      <c r="DF14" s="1065">
        <v>173.94829738000001</v>
      </c>
      <c r="DG14" s="1017">
        <v>210.71680309999999</v>
      </c>
      <c r="DH14" s="1017">
        <v>219.83607488999999</v>
      </c>
      <c r="DI14" s="1017">
        <v>229.40413563999999</v>
      </c>
      <c r="DJ14" s="1017">
        <v>197.05029200999999</v>
      </c>
      <c r="DK14" s="1017">
        <v>211.76224314999999</v>
      </c>
      <c r="DL14" s="1017">
        <v>271.90374976999999</v>
      </c>
      <c r="DM14" s="1017">
        <v>297.29406886999999</v>
      </c>
      <c r="DN14" s="1017">
        <v>304.27070874999998</v>
      </c>
      <c r="DO14" s="1017">
        <v>320.57386983999999</v>
      </c>
      <c r="DP14" s="1017">
        <v>289.86660816</v>
      </c>
      <c r="DQ14" s="1017">
        <v>282.42017322999999</v>
      </c>
      <c r="DR14" s="1017">
        <v>306.56287348000001</v>
      </c>
      <c r="DS14" s="1017">
        <v>315.37730194</v>
      </c>
      <c r="DT14" s="1017">
        <v>318.96135992000001</v>
      </c>
      <c r="DU14" s="1017">
        <v>302.75028641</v>
      </c>
      <c r="DV14" s="1017">
        <v>300.16848169999997</v>
      </c>
      <c r="DW14" s="1017">
        <v>289.38403246000001</v>
      </c>
      <c r="DX14" s="1017">
        <v>230.78649763999999</v>
      </c>
      <c r="DY14" s="1017">
        <v>246.55671505000001</v>
      </c>
      <c r="DZ14" s="1017">
        <v>257.20770326000002</v>
      </c>
      <c r="EA14" s="1017">
        <v>260.19826554000002</v>
      </c>
      <c r="EB14" s="1017">
        <v>265.35985851999999</v>
      </c>
      <c r="EC14" s="1017">
        <v>272.84959866000003</v>
      </c>
      <c r="ED14" s="1017">
        <v>229.10177202</v>
      </c>
      <c r="EE14" s="1017">
        <v>256.55041103000002</v>
      </c>
    </row>
    <row r="15" spans="1:135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</row>
    <row r="16" spans="1:135" ht="19.8">
      <c r="A16" s="1513" t="s">
        <v>189</v>
      </c>
      <c r="B16" s="949">
        <v>720.11121107999998</v>
      </c>
      <c r="C16" s="949">
        <v>194.72925989999999</v>
      </c>
      <c r="D16" s="949">
        <v>159.93338204999998</v>
      </c>
      <c r="E16" s="949">
        <v>160.52472284000001</v>
      </c>
      <c r="F16" s="949">
        <v>159.52265652</v>
      </c>
      <c r="G16" s="949">
        <v>144.70108126</v>
      </c>
      <c r="H16" s="949">
        <v>142.56554070999999</v>
      </c>
      <c r="I16" s="949">
        <v>146.10422783000001</v>
      </c>
      <c r="J16" s="949">
        <v>145.40225165000001</v>
      </c>
      <c r="K16" s="949">
        <v>147.33464153</v>
      </c>
      <c r="L16" s="949">
        <v>135.83484147999999</v>
      </c>
      <c r="M16" s="946">
        <v>111.85460558999999</v>
      </c>
      <c r="N16" s="950">
        <v>89.153139980000006</v>
      </c>
      <c r="O16" s="950">
        <v>100.10180312</v>
      </c>
      <c r="P16" s="950">
        <v>105.09325987</v>
      </c>
      <c r="Q16" s="950">
        <v>126.47441056</v>
      </c>
      <c r="R16" s="950">
        <v>117.59632866000001</v>
      </c>
      <c r="S16" s="950">
        <v>121.62733879</v>
      </c>
      <c r="T16" s="950">
        <v>128.20105099</v>
      </c>
      <c r="U16" s="950">
        <v>121.85977472</v>
      </c>
      <c r="V16" s="950">
        <v>132.65585058000002</v>
      </c>
      <c r="W16" s="950">
        <v>134.07466457000001</v>
      </c>
      <c r="X16" s="950">
        <v>133.09121311000001</v>
      </c>
      <c r="Y16" s="946">
        <v>133.20614158000001</v>
      </c>
      <c r="Z16" s="950">
        <v>128.83268241000002</v>
      </c>
      <c r="AA16" s="950">
        <v>127.81307801</v>
      </c>
      <c r="AB16" s="946">
        <v>112.93254564999999</v>
      </c>
      <c r="AC16" s="946">
        <v>115.16454180000001</v>
      </c>
      <c r="AD16" s="946">
        <v>92.58494327999999</v>
      </c>
      <c r="AE16" s="946">
        <v>90.389732970000011</v>
      </c>
      <c r="AF16" s="946">
        <v>91.315301329999997</v>
      </c>
      <c r="AG16" s="946">
        <v>93.629050989999996</v>
      </c>
      <c r="AH16" s="946">
        <v>92.935331599999998</v>
      </c>
      <c r="AI16" s="946">
        <v>304.14350253000003</v>
      </c>
      <c r="AJ16" s="946">
        <v>90.290286630000011</v>
      </c>
      <c r="AK16" s="946">
        <v>95.557863440000006</v>
      </c>
      <c r="AL16" s="946">
        <v>87.708865000000003</v>
      </c>
      <c r="AM16" s="946">
        <v>90.368312549999999</v>
      </c>
      <c r="AN16" s="946">
        <v>82.726903800000002</v>
      </c>
      <c r="AO16" s="946">
        <v>85.98050997</v>
      </c>
      <c r="AP16" s="946">
        <v>82.526037279999997</v>
      </c>
      <c r="AQ16" s="946">
        <v>86.779612319999998</v>
      </c>
      <c r="AR16" s="946">
        <v>68.613470180000007</v>
      </c>
      <c r="AS16" s="946">
        <v>68.066315630000005</v>
      </c>
      <c r="AT16" s="946">
        <v>71.442575829999996</v>
      </c>
      <c r="AU16" s="946">
        <v>72.161136929999998</v>
      </c>
      <c r="AV16" s="946">
        <v>72.521586650000017</v>
      </c>
      <c r="AW16" s="946">
        <v>96.738754749999998</v>
      </c>
      <c r="AX16" s="946">
        <v>98.321915919999995</v>
      </c>
      <c r="AY16" s="946">
        <v>100.93252884</v>
      </c>
      <c r="AZ16" s="946">
        <v>89.123798640000004</v>
      </c>
      <c r="BA16" s="946">
        <v>81.836132660000004</v>
      </c>
      <c r="BB16" s="946">
        <v>80.807884320000014</v>
      </c>
      <c r="BC16" s="946">
        <v>81.084688370000009</v>
      </c>
      <c r="BD16" s="946">
        <v>82.561553079999996</v>
      </c>
      <c r="BE16" s="946">
        <v>88.55584816999999</v>
      </c>
      <c r="BF16" s="946">
        <v>88.351730759999995</v>
      </c>
      <c r="BG16" s="946">
        <v>88.290310669999997</v>
      </c>
      <c r="BH16" s="1004">
        <v>93.113518090000014</v>
      </c>
      <c r="BI16" s="993">
        <v>86.056356940000001</v>
      </c>
      <c r="BJ16" s="993">
        <v>76.828976130000001</v>
      </c>
      <c r="BK16" s="993">
        <v>110.73359939000001</v>
      </c>
      <c r="BL16" s="993">
        <v>105.89611619</v>
      </c>
      <c r="BM16" s="993">
        <v>109.37079328999999</v>
      </c>
      <c r="BN16" s="993">
        <v>108.28777256000001</v>
      </c>
      <c r="BO16" s="993">
        <v>105.38545138999999</v>
      </c>
      <c r="BP16" s="993">
        <v>104.02466145000001</v>
      </c>
      <c r="BQ16" s="993">
        <v>102.76030075999999</v>
      </c>
      <c r="BR16" s="993">
        <v>103.35884204999999</v>
      </c>
      <c r="BS16" s="993">
        <v>107.75461632</v>
      </c>
      <c r="BT16" s="993">
        <v>111.22226065999999</v>
      </c>
      <c r="BU16" s="993">
        <v>117.00546561</v>
      </c>
      <c r="BV16" s="993">
        <v>127.90872376</v>
      </c>
      <c r="BW16" s="993">
        <v>98.859927260000006</v>
      </c>
      <c r="BX16" s="993">
        <v>99.354056549999996</v>
      </c>
      <c r="BY16" s="993">
        <v>104.12769965000001</v>
      </c>
      <c r="BZ16" s="993">
        <v>107.73652255</v>
      </c>
      <c r="CA16" s="993">
        <v>112.32144751</v>
      </c>
      <c r="CB16" s="993">
        <v>117.58753481000001</v>
      </c>
      <c r="CC16" s="993">
        <v>79.277199769999996</v>
      </c>
      <c r="CD16" s="993">
        <v>88.649087569999992</v>
      </c>
      <c r="CE16" s="993">
        <v>91.320025909999984</v>
      </c>
      <c r="CF16" s="993">
        <v>96.827300219999998</v>
      </c>
      <c r="CG16" s="993">
        <v>82.710180479999991</v>
      </c>
      <c r="CH16" s="993">
        <v>82.15486829000001</v>
      </c>
      <c r="CI16" s="993">
        <v>84.986707060000001</v>
      </c>
      <c r="CJ16" s="993">
        <v>92.257867050000002</v>
      </c>
      <c r="CK16" s="993">
        <v>105.82295098000002</v>
      </c>
      <c r="CL16" s="993">
        <v>105.88883366</v>
      </c>
      <c r="CM16" s="993">
        <v>117.17730945999999</v>
      </c>
      <c r="CN16" s="993">
        <v>129.4674224</v>
      </c>
      <c r="CO16" s="993">
        <v>133.62233340999998</v>
      </c>
      <c r="CP16" s="993">
        <v>120.99077589000001</v>
      </c>
      <c r="CQ16" s="993">
        <v>126.92148451</v>
      </c>
      <c r="CR16" s="993">
        <v>136.19566469</v>
      </c>
      <c r="CS16" s="993">
        <v>142.24177610000001</v>
      </c>
      <c r="CT16" s="993">
        <v>145.53592545000001</v>
      </c>
      <c r="CU16" s="993">
        <v>146.14189972</v>
      </c>
      <c r="CV16" s="993">
        <v>155.81307996000001</v>
      </c>
      <c r="CW16" s="993">
        <v>149.76039560000001</v>
      </c>
      <c r="CX16" s="993">
        <v>152.75246217</v>
      </c>
      <c r="CY16" s="993">
        <v>148.22829204000001</v>
      </c>
      <c r="CZ16" s="993">
        <v>142.73280592</v>
      </c>
      <c r="DA16" s="993">
        <v>122.93782935999999</v>
      </c>
      <c r="DB16" s="993">
        <v>128.02028483000001</v>
      </c>
      <c r="DC16" s="993">
        <v>128.45369385999999</v>
      </c>
      <c r="DD16" s="1064">
        <v>123.17923958</v>
      </c>
      <c r="DE16" s="1064">
        <v>146.82455558000001</v>
      </c>
      <c r="DF16" s="1064">
        <v>133.54999178</v>
      </c>
      <c r="DG16" s="1016">
        <v>167.44911625</v>
      </c>
      <c r="DH16" s="1016">
        <v>171.85857386000001</v>
      </c>
      <c r="DI16" s="1016">
        <v>180.95014789999999</v>
      </c>
      <c r="DJ16" s="1016">
        <v>154.09880745000001</v>
      </c>
      <c r="DK16" s="1016">
        <v>156.65372793</v>
      </c>
      <c r="DL16" s="1016">
        <v>170.79291794</v>
      </c>
      <c r="DM16" s="1016">
        <v>191.38931873999999</v>
      </c>
      <c r="DN16" s="1016">
        <v>218.35430608999999</v>
      </c>
      <c r="DO16" s="1016">
        <v>232.44670146000001</v>
      </c>
      <c r="DP16" s="1016">
        <v>224.49026789999999</v>
      </c>
      <c r="DQ16" s="1016">
        <v>217.71049951000001</v>
      </c>
      <c r="DR16" s="1016">
        <v>242.23235002999999</v>
      </c>
      <c r="DS16" s="1016">
        <v>246.7641429</v>
      </c>
      <c r="DT16" s="1016">
        <v>253.20969435000001</v>
      </c>
      <c r="DU16" s="1016">
        <v>245.50933921999999</v>
      </c>
      <c r="DV16" s="1016">
        <v>255.58430145</v>
      </c>
      <c r="DW16" s="1016">
        <v>250.03115775000001</v>
      </c>
      <c r="DX16" s="1016">
        <v>181.60744059999999</v>
      </c>
      <c r="DY16" s="1016">
        <v>187.65763683</v>
      </c>
      <c r="DZ16" s="1016">
        <v>188.57040778000001</v>
      </c>
      <c r="EA16" s="1016">
        <v>179.74251558</v>
      </c>
      <c r="EB16" s="1016">
        <v>174.8259075</v>
      </c>
      <c r="EC16" s="1016">
        <v>171.56673466000001</v>
      </c>
      <c r="ED16" s="1016">
        <v>135.02707896000001</v>
      </c>
      <c r="EE16" s="1016">
        <v>163.89239950000001</v>
      </c>
    </row>
    <row r="17" spans="1:135" ht="19.8">
      <c r="A17" s="1514" t="s">
        <v>2001</v>
      </c>
      <c r="B17" s="945">
        <v>636.01739175</v>
      </c>
      <c r="C17" s="945">
        <v>115.9651264</v>
      </c>
      <c r="D17" s="945">
        <v>79.914935939999992</v>
      </c>
      <c r="E17" s="945">
        <v>72.055313510000005</v>
      </c>
      <c r="F17" s="945">
        <v>65.779194959999998</v>
      </c>
      <c r="G17" s="945">
        <v>59.269829659999999</v>
      </c>
      <c r="H17" s="945">
        <v>51.425258720000002</v>
      </c>
      <c r="I17" s="945">
        <v>52.382115720000002</v>
      </c>
      <c r="J17" s="945">
        <v>49.498879559999999</v>
      </c>
      <c r="K17" s="945">
        <v>45.197733810000003</v>
      </c>
      <c r="L17" s="945">
        <v>35.764143869999998</v>
      </c>
      <c r="M17" s="950">
        <v>25.942348289999998</v>
      </c>
      <c r="N17" s="946">
        <v>9.4000834700000002</v>
      </c>
      <c r="O17" s="946">
        <v>8.5983040000000006</v>
      </c>
      <c r="P17" s="946">
        <v>11.97663275</v>
      </c>
      <c r="Q17" s="946">
        <v>12.281787339999999</v>
      </c>
      <c r="R17" s="946">
        <v>13.766649789999999</v>
      </c>
      <c r="S17" s="946">
        <v>12.529960460000002</v>
      </c>
      <c r="T17" s="946">
        <v>13.914934199999999</v>
      </c>
      <c r="U17" s="946">
        <v>13.24890291</v>
      </c>
      <c r="V17" s="946">
        <v>13.416887300000001</v>
      </c>
      <c r="W17" s="946">
        <v>14.015406050000001</v>
      </c>
      <c r="X17" s="946">
        <v>13.613941310000001</v>
      </c>
      <c r="Y17" s="950">
        <v>12.48963131</v>
      </c>
      <c r="Z17" s="946">
        <v>7.5203049900000005</v>
      </c>
      <c r="AA17" s="946">
        <v>6.7308827600000001</v>
      </c>
      <c r="AB17" s="950">
        <v>2.1952563299999999</v>
      </c>
      <c r="AC17" s="950">
        <v>1.6369081200000002</v>
      </c>
      <c r="AD17" s="950">
        <v>1.9668648899999999</v>
      </c>
      <c r="AE17" s="950">
        <v>0.87893320999999991</v>
      </c>
      <c r="AF17" s="950">
        <v>1.7392700000000001</v>
      </c>
      <c r="AG17" s="950">
        <v>1.7892699999999999</v>
      </c>
      <c r="AH17" s="950">
        <v>1.6858366899999999</v>
      </c>
      <c r="AI17" s="950">
        <v>2.5095144300000003</v>
      </c>
      <c r="AJ17" s="950">
        <v>4.7681624299999994</v>
      </c>
      <c r="AK17" s="950">
        <v>2.51684142</v>
      </c>
      <c r="AL17" s="950">
        <v>3.7653435399999999</v>
      </c>
      <c r="AM17" s="950">
        <v>3.56099342</v>
      </c>
      <c r="AN17" s="950">
        <v>4.3081834199999998</v>
      </c>
      <c r="AO17" s="950">
        <v>4.8365834200000002</v>
      </c>
      <c r="AP17" s="950">
        <v>4.5915445300000002</v>
      </c>
      <c r="AQ17" s="950">
        <v>4.2775630400000004</v>
      </c>
      <c r="AR17" s="950">
        <v>4.3514367500000004</v>
      </c>
      <c r="AS17" s="950">
        <v>3.9271130400000001</v>
      </c>
      <c r="AT17" s="950">
        <v>4.5648387900000005</v>
      </c>
      <c r="AU17" s="950">
        <v>4.5571547900000002</v>
      </c>
      <c r="AV17" s="950">
        <v>3.7206134700000004</v>
      </c>
      <c r="AW17" s="950">
        <v>4.0084596800000005</v>
      </c>
      <c r="AX17" s="950">
        <v>5.8484596799999995</v>
      </c>
      <c r="AY17" s="950">
        <v>6.37080118</v>
      </c>
      <c r="AZ17" s="950">
        <v>3.2525686299999998</v>
      </c>
      <c r="BA17" s="950">
        <v>6.9486822500000001</v>
      </c>
      <c r="BB17" s="950">
        <v>6.6975244000000007</v>
      </c>
      <c r="BC17" s="950">
        <v>6.2060431900000008</v>
      </c>
      <c r="BD17" s="950">
        <v>7.1442663299999998</v>
      </c>
      <c r="BE17" s="950">
        <v>7.2661542099999998</v>
      </c>
      <c r="BF17" s="950">
        <v>7.1373235399999997</v>
      </c>
      <c r="BG17" s="950">
        <v>6.16622629</v>
      </c>
      <c r="BH17" s="1005">
        <v>8.5784412200000002</v>
      </c>
      <c r="BI17" s="994">
        <v>8.5659751100000001</v>
      </c>
      <c r="BJ17" s="994">
        <v>6.0430969900000004</v>
      </c>
      <c r="BK17" s="994">
        <v>8.2543073299999996</v>
      </c>
      <c r="BL17" s="994">
        <v>8.0883304699999989</v>
      </c>
      <c r="BM17" s="994">
        <v>5.46900181</v>
      </c>
      <c r="BN17" s="994">
        <v>5.1126240100000002</v>
      </c>
      <c r="BO17" s="994">
        <v>2.8452740599999999</v>
      </c>
      <c r="BP17" s="994">
        <v>2.2912145800000001</v>
      </c>
      <c r="BQ17" s="994">
        <v>3.0101346900000001</v>
      </c>
      <c r="BR17" s="994">
        <v>3.8652764199999998</v>
      </c>
      <c r="BS17" s="994">
        <v>2.2047520299999999</v>
      </c>
      <c r="BT17" s="994">
        <v>4.4674207199999998</v>
      </c>
      <c r="BU17" s="994">
        <v>5.0750000000000002</v>
      </c>
      <c r="BV17" s="994">
        <v>5.6040000000000001</v>
      </c>
      <c r="BW17" s="994">
        <v>5.8239999999999998</v>
      </c>
      <c r="BX17" s="994">
        <v>7.0049999999999999</v>
      </c>
      <c r="BY17" s="994">
        <v>6.8460000000000001</v>
      </c>
      <c r="BZ17" s="994">
        <v>7.0209999999999999</v>
      </c>
      <c r="CA17" s="994">
        <v>6.4960000000000004</v>
      </c>
      <c r="CB17" s="994">
        <v>7.7887000000000004</v>
      </c>
      <c r="CC17" s="994">
        <v>7.3456999999999999</v>
      </c>
      <c r="CD17" s="994">
        <v>7.1909999999999998</v>
      </c>
      <c r="CE17" s="994">
        <v>6.7069999999999999</v>
      </c>
      <c r="CF17" s="994">
        <v>6.5890000000000004</v>
      </c>
      <c r="CG17" s="994">
        <v>6.5227458799999996</v>
      </c>
      <c r="CH17" s="994">
        <v>7.4197396700000002</v>
      </c>
      <c r="CI17" s="994">
        <v>8.9727390000000007</v>
      </c>
      <c r="CJ17" s="994">
        <v>9.0727390000000003</v>
      </c>
      <c r="CK17" s="994">
        <v>4.97620036</v>
      </c>
      <c r="CL17" s="994">
        <v>6.8843930000000002</v>
      </c>
      <c r="CM17" s="994">
        <v>9.0353929999999991</v>
      </c>
      <c r="CN17" s="994">
        <v>9.0853929999999998</v>
      </c>
      <c r="CO17" s="994">
        <v>8.9593930000000004</v>
      </c>
      <c r="CP17" s="994">
        <v>8.7506532400000001</v>
      </c>
      <c r="CQ17" s="994">
        <v>9.2478102899999985</v>
      </c>
      <c r="CR17" s="994">
        <v>9.3370067599999995</v>
      </c>
      <c r="CS17" s="994">
        <v>9.4598262699999989</v>
      </c>
      <c r="CT17" s="994">
        <v>7.1491462200000004</v>
      </c>
      <c r="CU17" s="994">
        <v>8.9881345400000008</v>
      </c>
      <c r="CV17" s="994">
        <v>8.7614615899999997</v>
      </c>
      <c r="CW17" s="994">
        <v>4.8704298000000001</v>
      </c>
      <c r="CX17" s="994">
        <v>8.9205261999999994</v>
      </c>
      <c r="CY17" s="994">
        <v>9.2053453800000007</v>
      </c>
      <c r="CZ17" s="994">
        <v>9.7330824699999994</v>
      </c>
      <c r="DA17" s="994">
        <v>9.3675582500000001</v>
      </c>
      <c r="DB17" s="994">
        <v>9.6358915500000002</v>
      </c>
      <c r="DC17" s="994">
        <v>10.078200000000001</v>
      </c>
      <c r="DD17" s="1065">
        <v>10.281391920000001</v>
      </c>
      <c r="DE17" s="1065">
        <v>8.4299919200000009</v>
      </c>
      <c r="DF17" s="1065">
        <v>8.4279919200000002</v>
      </c>
      <c r="DG17" s="1017">
        <v>8.4279919200000002</v>
      </c>
      <c r="DH17" s="1017">
        <v>8.4562030200000002</v>
      </c>
      <c r="DI17" s="1017">
        <v>8.4732030199999997</v>
      </c>
      <c r="DJ17" s="1017">
        <v>8.3318947600000008</v>
      </c>
      <c r="DK17" s="1017">
        <v>5.2045525599999998</v>
      </c>
      <c r="DL17" s="1017">
        <v>5.2024812999999996</v>
      </c>
      <c r="DM17" s="1017">
        <v>5.1940924099999997</v>
      </c>
      <c r="DN17" s="1017">
        <v>5.18811423</v>
      </c>
      <c r="DO17" s="1017">
        <v>5.1834050500000002</v>
      </c>
      <c r="DP17" s="1017">
        <v>5.1819736399999998</v>
      </c>
      <c r="DQ17" s="1017">
        <v>10.273671119999999</v>
      </c>
      <c r="DR17" s="1017">
        <v>10.26867549</v>
      </c>
      <c r="DS17" s="1017">
        <v>8.6386699500000006</v>
      </c>
      <c r="DT17" s="1017">
        <v>7.4320126899999996</v>
      </c>
      <c r="DU17" s="1017">
        <v>5.657</v>
      </c>
      <c r="DV17" s="1017">
        <v>10.762</v>
      </c>
      <c r="DW17" s="1017">
        <v>9.9616093899999996</v>
      </c>
      <c r="DX17" s="1017">
        <v>8.8590798100000008</v>
      </c>
      <c r="DY17" s="1017">
        <v>9.4586767999999992</v>
      </c>
      <c r="DZ17" s="1017">
        <v>9.6661303699999994</v>
      </c>
      <c r="EA17" s="1017">
        <v>2.9030025400000001</v>
      </c>
      <c r="EB17" s="1017">
        <v>2.9025932999999999</v>
      </c>
      <c r="EC17" s="1017">
        <v>2.9021695699999999</v>
      </c>
      <c r="ED17" s="1017">
        <v>2.90174595</v>
      </c>
      <c r="EE17" s="1017">
        <v>2.9013173800000001</v>
      </c>
    </row>
    <row r="18" spans="1:135" ht="19.8">
      <c r="A18" s="1515" t="s">
        <v>2002</v>
      </c>
      <c r="B18" s="949">
        <f>+B16-B17</f>
        <v>84.093819329999974</v>
      </c>
      <c r="C18" s="949">
        <f t="shared" ref="C18:V18" si="4">+C16-C17</f>
        <v>78.764133499999986</v>
      </c>
      <c r="D18" s="949">
        <f t="shared" si="4"/>
        <v>80.018446109999985</v>
      </c>
      <c r="E18" s="949">
        <f t="shared" si="4"/>
        <v>88.469409330000005</v>
      </c>
      <c r="F18" s="949">
        <f t="shared" si="4"/>
        <v>93.74346156</v>
      </c>
      <c r="G18" s="949">
        <f t="shared" si="4"/>
        <v>85.431251599999996</v>
      </c>
      <c r="H18" s="949">
        <f t="shared" si="4"/>
        <v>91.140281989999991</v>
      </c>
      <c r="I18" s="949">
        <f t="shared" si="4"/>
        <v>93.722112110000012</v>
      </c>
      <c r="J18" s="949">
        <f t="shared" si="4"/>
        <v>95.903372090000005</v>
      </c>
      <c r="K18" s="949">
        <f t="shared" si="4"/>
        <v>102.13690772</v>
      </c>
      <c r="L18" s="949">
        <f t="shared" si="4"/>
        <v>100.07069761</v>
      </c>
      <c r="M18" s="950">
        <f t="shared" si="4"/>
        <v>85.912257299999993</v>
      </c>
      <c r="N18" s="950">
        <f t="shared" si="4"/>
        <v>79.753056510000008</v>
      </c>
      <c r="O18" s="950">
        <f t="shared" si="4"/>
        <v>91.503499120000001</v>
      </c>
      <c r="P18" s="950">
        <f t="shared" si="4"/>
        <v>93.116627120000004</v>
      </c>
      <c r="Q18" s="950">
        <f t="shared" si="4"/>
        <v>114.19262322</v>
      </c>
      <c r="R18" s="950">
        <f t="shared" si="4"/>
        <v>103.82967887000001</v>
      </c>
      <c r="S18" s="950">
        <f t="shared" si="4"/>
        <v>109.09737833</v>
      </c>
      <c r="T18" s="950">
        <f t="shared" si="4"/>
        <v>114.28611678999999</v>
      </c>
      <c r="U18" s="950">
        <f t="shared" si="4"/>
        <v>108.61087181000001</v>
      </c>
      <c r="V18" s="950">
        <f t="shared" si="4"/>
        <v>119.23896328000002</v>
      </c>
      <c r="W18" s="950">
        <v>120.05925852000001</v>
      </c>
      <c r="X18" s="950">
        <v>119.47727180000001</v>
      </c>
      <c r="Y18" s="950">
        <v>120.71651027000001</v>
      </c>
      <c r="Z18" s="950">
        <v>121.31237742000002</v>
      </c>
      <c r="AA18" s="950">
        <v>121.08219525</v>
      </c>
      <c r="AB18" s="950">
        <f>+AB16-AB17</f>
        <v>110.73728931999999</v>
      </c>
      <c r="AC18" s="950">
        <v>113.52763368000001</v>
      </c>
      <c r="AD18" s="950">
        <v>90.618078389999994</v>
      </c>
      <c r="AE18" s="950">
        <v>89.510799760000012</v>
      </c>
      <c r="AF18" s="950">
        <v>89.576031329999992</v>
      </c>
      <c r="AG18" s="950">
        <v>91.839780989999994</v>
      </c>
      <c r="AH18" s="950">
        <f>+AH16-AH17</f>
        <v>91.249494909999996</v>
      </c>
      <c r="AI18" s="950">
        <v>301.63398810000001</v>
      </c>
      <c r="AJ18" s="950">
        <f>+AJ16-AJ17</f>
        <v>85.522124200000007</v>
      </c>
      <c r="AK18" s="950">
        <f>+AK16-AK17</f>
        <v>93.04102202</v>
      </c>
      <c r="AL18" s="950">
        <v>83.943521459999999</v>
      </c>
      <c r="AM18" s="950">
        <f>+AM16-AM17</f>
        <v>86.807319129999996</v>
      </c>
      <c r="AN18" s="950">
        <f>+AN16-AN17</f>
        <v>78.418720379999996</v>
      </c>
      <c r="AO18" s="950">
        <f>+AO16-AO17</f>
        <v>81.143926550000003</v>
      </c>
      <c r="AP18" s="950">
        <f>+AP16-AP17</f>
        <v>77.934492750000004</v>
      </c>
      <c r="AQ18" s="950">
        <v>82.502049279999994</v>
      </c>
      <c r="AR18" s="950">
        <f>+AR16-AR17</f>
        <v>64.262033430000002</v>
      </c>
      <c r="AS18" s="950">
        <f>+AS16-AS17</f>
        <v>64.139202590000011</v>
      </c>
      <c r="AT18" s="950">
        <f>+AT16-AT17</f>
        <v>66.87773704</v>
      </c>
      <c r="AU18" s="950">
        <v>67.603982139999999</v>
      </c>
      <c r="AV18" s="950">
        <v>68.800973180000014</v>
      </c>
      <c r="AW18" s="950">
        <v>92.730295069999997</v>
      </c>
      <c r="AX18" s="950">
        <v>92.47345623999999</v>
      </c>
      <c r="AY18" s="950">
        <v>94.561727660000003</v>
      </c>
      <c r="AZ18" s="950">
        <v>85.871230010000005</v>
      </c>
      <c r="BA18" s="950">
        <v>74.88745041</v>
      </c>
      <c r="BB18" s="950">
        <v>74.110359920000008</v>
      </c>
      <c r="BC18" s="950">
        <v>74.878645180000007</v>
      </c>
      <c r="BD18" s="950">
        <f>+BD16-BD17</f>
        <v>75.417286750000002</v>
      </c>
      <c r="BE18" s="950">
        <v>81.289693959999994</v>
      </c>
      <c r="BF18" s="950">
        <v>81.214407219999998</v>
      </c>
      <c r="BG18" s="950">
        <v>82.124084379999999</v>
      </c>
      <c r="BH18" s="1005">
        <v>84.535076870000012</v>
      </c>
      <c r="BI18" s="994">
        <v>77.490381830000004</v>
      </c>
      <c r="BJ18" s="994">
        <v>70.785879140000006</v>
      </c>
      <c r="BK18" s="994">
        <v>102.47929206000001</v>
      </c>
      <c r="BL18" s="994">
        <v>97.807785719999998</v>
      </c>
      <c r="BM18" s="994">
        <v>103.90179148</v>
      </c>
      <c r="BN18" s="994">
        <v>103.17514855</v>
      </c>
      <c r="BO18" s="994">
        <v>102.54017732999999</v>
      </c>
      <c r="BP18" s="994">
        <v>101.73344687000001</v>
      </c>
      <c r="BQ18" s="994">
        <v>99.750166069999992</v>
      </c>
      <c r="BR18" s="994">
        <v>99.493565629999992</v>
      </c>
      <c r="BS18" s="994">
        <v>105.54986429</v>
      </c>
      <c r="BT18" s="994">
        <v>106.75483993999998</v>
      </c>
      <c r="BU18" s="994">
        <v>111.93046561</v>
      </c>
      <c r="BV18" s="994">
        <v>122.30472376</v>
      </c>
      <c r="BW18" s="994">
        <v>93.035927260000008</v>
      </c>
      <c r="BX18" s="994">
        <v>92.34905655</v>
      </c>
      <c r="BY18" s="994">
        <v>97.281699650000007</v>
      </c>
      <c r="BZ18" s="994">
        <v>100.71552255</v>
      </c>
      <c r="CA18" s="994">
        <v>105.82544751</v>
      </c>
      <c r="CB18" s="994">
        <v>109.79883481</v>
      </c>
      <c r="CC18" s="994">
        <v>71.931499770000002</v>
      </c>
      <c r="CD18" s="994">
        <v>81.458087569999989</v>
      </c>
      <c r="CE18" s="994">
        <f t="shared" ref="CE18:CP18" si="5">+CE16-CE17</f>
        <v>84.61302590999999</v>
      </c>
      <c r="CF18" s="994">
        <f t="shared" si="5"/>
        <v>90.238300219999999</v>
      </c>
      <c r="CG18" s="994">
        <f t="shared" si="5"/>
        <v>76.187434599999989</v>
      </c>
      <c r="CH18" s="994">
        <f t="shared" si="5"/>
        <v>74.735128620000012</v>
      </c>
      <c r="CI18" s="994">
        <f t="shared" si="5"/>
        <v>76.013968059999996</v>
      </c>
      <c r="CJ18" s="994">
        <f t="shared" si="5"/>
        <v>83.185128050000003</v>
      </c>
      <c r="CK18" s="994">
        <f t="shared" si="5"/>
        <v>100.84675062000002</v>
      </c>
      <c r="CL18" s="994">
        <f t="shared" si="5"/>
        <v>99.00444066</v>
      </c>
      <c r="CM18" s="994">
        <f t="shared" si="5"/>
        <v>108.14191645999999</v>
      </c>
      <c r="CN18" s="994">
        <f t="shared" si="5"/>
        <v>120.38202940000001</v>
      </c>
      <c r="CO18" s="994">
        <f t="shared" si="5"/>
        <v>124.66294040999998</v>
      </c>
      <c r="CP18" s="994">
        <f t="shared" si="5"/>
        <v>112.24012265</v>
      </c>
      <c r="CQ18" s="994">
        <f>+CQ16-CQ17</f>
        <v>117.67367422</v>
      </c>
      <c r="CR18" s="994">
        <f>+CR16-CR17</f>
        <v>126.85865793000001</v>
      </c>
      <c r="CS18" s="994">
        <v>132.78194983</v>
      </c>
      <c r="CT18" s="994">
        <v>138.38677923</v>
      </c>
      <c r="CU18" s="994">
        <v>137.15376517999999</v>
      </c>
      <c r="CV18" s="994">
        <v>147.05161837</v>
      </c>
      <c r="CW18" s="994">
        <v>144.8899658</v>
      </c>
      <c r="CX18" s="994">
        <v>143.83193596999999</v>
      </c>
      <c r="CY18" s="994">
        <v>139.02294666</v>
      </c>
      <c r="CZ18" s="994">
        <v>132.99972345</v>
      </c>
      <c r="DA18" s="994">
        <v>113.57027110999999</v>
      </c>
      <c r="DB18" s="994">
        <v>118.38439328</v>
      </c>
      <c r="DC18" s="994">
        <v>118.37549386000001</v>
      </c>
      <c r="DD18" s="1065">
        <v>112.89784766</v>
      </c>
      <c r="DE18" s="1065">
        <v>138.39456365999999</v>
      </c>
      <c r="DF18" s="1065">
        <v>125.12199986</v>
      </c>
      <c r="DG18" s="1017">
        <v>159.02112432999999</v>
      </c>
      <c r="DH18" s="1017">
        <v>163.40237084</v>
      </c>
      <c r="DI18" s="1017">
        <v>172.47694487999999</v>
      </c>
      <c r="DJ18" s="1017">
        <v>145.76691269</v>
      </c>
      <c r="DK18" s="1017">
        <v>151.44917537000001</v>
      </c>
      <c r="DL18" s="1017">
        <v>165.59043664000001</v>
      </c>
      <c r="DM18" s="1017">
        <v>186.19522633</v>
      </c>
      <c r="DN18" s="1017">
        <v>213.16619186</v>
      </c>
      <c r="DO18" s="1017">
        <v>227.26329641000001</v>
      </c>
      <c r="DP18" s="1017">
        <v>219.30829426</v>
      </c>
      <c r="DQ18" s="1017">
        <v>207.43682838999999</v>
      </c>
      <c r="DR18" s="1017">
        <v>231.96367454</v>
      </c>
      <c r="DS18" s="1017">
        <v>238.12547294999999</v>
      </c>
      <c r="DT18" s="1017">
        <v>245.77768166000001</v>
      </c>
      <c r="DU18" s="1017">
        <v>239.85233922</v>
      </c>
      <c r="DV18" s="1017">
        <v>244.82230145</v>
      </c>
      <c r="DW18" s="1017">
        <v>240.06954836</v>
      </c>
      <c r="DX18" s="1017">
        <v>172.74836078999999</v>
      </c>
      <c r="DY18" s="1017">
        <v>178.19896002999999</v>
      </c>
      <c r="DZ18" s="1017">
        <v>178.90427740999999</v>
      </c>
      <c r="EA18" s="1017">
        <v>176.83951304000001</v>
      </c>
      <c r="EB18" s="1017">
        <v>171.92331419999999</v>
      </c>
      <c r="EC18" s="1017">
        <v>168.66456509</v>
      </c>
      <c r="ED18" s="1017">
        <v>132.12533300999999</v>
      </c>
      <c r="EE18" s="1017">
        <v>160.99108211999999</v>
      </c>
    </row>
    <row r="19" spans="1:135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</row>
    <row r="20" spans="1:135" ht="19.8">
      <c r="A20" s="1513" t="s">
        <v>2822</v>
      </c>
      <c r="B20" s="949">
        <v>44.22157722</v>
      </c>
      <c r="C20" s="949">
        <v>78.407102399999985</v>
      </c>
      <c r="D20" s="949">
        <v>82.884684199999995</v>
      </c>
      <c r="E20" s="949">
        <v>75.248163509999998</v>
      </c>
      <c r="F20" s="949">
        <v>80.419384890000003</v>
      </c>
      <c r="G20" s="949">
        <v>104.63792968000001</v>
      </c>
      <c r="H20" s="949">
        <v>107.75647407000001</v>
      </c>
      <c r="I20" s="949">
        <v>123.14503061999999</v>
      </c>
      <c r="J20" s="949">
        <v>127.56554947000001</v>
      </c>
      <c r="K20" s="949">
        <v>124.46073993000002</v>
      </c>
      <c r="L20" s="949">
        <v>126.18377004</v>
      </c>
      <c r="M20" s="946">
        <v>149.37995132</v>
      </c>
      <c r="N20" s="950">
        <v>149.05066873999999</v>
      </c>
      <c r="O20" s="950">
        <v>152.38465274000001</v>
      </c>
      <c r="P20" s="950">
        <v>155.69819767999999</v>
      </c>
      <c r="Q20" s="950">
        <v>167.87297529000003</v>
      </c>
      <c r="R20" s="950">
        <v>177.63752194</v>
      </c>
      <c r="S20" s="950">
        <v>173.21967848000003</v>
      </c>
      <c r="T20" s="950">
        <v>175.80389299999999</v>
      </c>
      <c r="U20" s="950">
        <v>178.34353551999996</v>
      </c>
      <c r="V20" s="950">
        <v>176.87911975999998</v>
      </c>
      <c r="W20" s="950">
        <v>175.89268702999999</v>
      </c>
      <c r="X20" s="950">
        <v>182.46142771000001</v>
      </c>
      <c r="Y20" s="946">
        <v>174.11761124</v>
      </c>
      <c r="Z20" s="950">
        <v>171.43604766999997</v>
      </c>
      <c r="AA20" s="950">
        <v>351.59503576000003</v>
      </c>
      <c r="AB20" s="946">
        <v>368.61617605000004</v>
      </c>
      <c r="AC20" s="946">
        <v>371.12641699000005</v>
      </c>
      <c r="AD20" s="946">
        <v>363.91641028999999</v>
      </c>
      <c r="AE20" s="946">
        <v>357.35280528999999</v>
      </c>
      <c r="AF20" s="946">
        <v>361.57570436000003</v>
      </c>
      <c r="AG20" s="946">
        <v>312.26157620000004</v>
      </c>
      <c r="AH20" s="946">
        <v>312.37668324000003</v>
      </c>
      <c r="AI20" s="946">
        <v>178.90982980000001</v>
      </c>
      <c r="AJ20" s="946">
        <v>609.91892785000005</v>
      </c>
      <c r="AK20" s="946">
        <v>627.57566421999991</v>
      </c>
      <c r="AL20" s="946">
        <v>585.68347418999997</v>
      </c>
      <c r="AM20" s="946">
        <v>519.13182925000001</v>
      </c>
      <c r="AN20" s="946">
        <v>240.43982954000001</v>
      </c>
      <c r="AO20" s="946">
        <v>229.90111028999999</v>
      </c>
      <c r="AP20" s="946">
        <v>230.89982354</v>
      </c>
      <c r="AQ20" s="946">
        <v>344.57489076000002</v>
      </c>
      <c r="AR20" s="946">
        <v>348.78798467999997</v>
      </c>
      <c r="AS20" s="946">
        <v>363.85835089</v>
      </c>
      <c r="AT20" s="946">
        <f>AT12-AT16</f>
        <v>361.42949497000001</v>
      </c>
      <c r="AU20" s="946">
        <v>255.27490731</v>
      </c>
      <c r="AV20" s="946">
        <v>272.44109184000001</v>
      </c>
      <c r="AW20" s="946">
        <v>286.21899518999999</v>
      </c>
      <c r="AX20" s="946">
        <v>306.85873802000003</v>
      </c>
      <c r="AY20" s="946">
        <v>277.35027129000002</v>
      </c>
      <c r="AZ20" s="946">
        <v>287.96701963999999</v>
      </c>
      <c r="BA20" s="946">
        <v>303.74485558000009</v>
      </c>
      <c r="BB20" s="946">
        <v>173.14560711999999</v>
      </c>
      <c r="BC20" s="946">
        <v>169.10663581</v>
      </c>
      <c r="BD20" s="946">
        <v>158.24248566999998</v>
      </c>
      <c r="BE20" s="946">
        <v>156.55746818</v>
      </c>
      <c r="BF20" s="946">
        <v>160.07038752</v>
      </c>
      <c r="BG20" s="946">
        <v>156.61207548000002</v>
      </c>
      <c r="BH20" s="1004">
        <v>161.98343178000002</v>
      </c>
      <c r="BI20" s="993">
        <v>170.75156320999997</v>
      </c>
      <c r="BJ20" s="993">
        <v>175.00092999</v>
      </c>
      <c r="BK20" s="993">
        <v>157.44506203000003</v>
      </c>
      <c r="BL20" s="993">
        <v>155.86065465000001</v>
      </c>
      <c r="BM20" s="993">
        <v>155.47128504</v>
      </c>
      <c r="BN20" s="993">
        <v>158.95353091000004</v>
      </c>
      <c r="BO20" s="993">
        <v>145.19272138999997</v>
      </c>
      <c r="BP20" s="993">
        <v>140.85328845000004</v>
      </c>
      <c r="BQ20" s="993">
        <v>155.02024559</v>
      </c>
      <c r="BR20" s="993">
        <v>155.38506032000001</v>
      </c>
      <c r="BS20" s="993">
        <v>163.95666235999997</v>
      </c>
      <c r="BT20" s="993">
        <v>159.96821731999998</v>
      </c>
      <c r="BU20" s="993">
        <v>147.58225112000002</v>
      </c>
      <c r="BV20" s="993">
        <v>142.70568666999998</v>
      </c>
      <c r="BW20" s="993">
        <v>150.56000399000001</v>
      </c>
      <c r="BX20" s="993">
        <v>161.75107030000004</v>
      </c>
      <c r="BY20" s="993">
        <v>165.56734827999998</v>
      </c>
      <c r="BZ20" s="993">
        <v>165.45471425999995</v>
      </c>
      <c r="CA20" s="993">
        <v>165.6763747</v>
      </c>
      <c r="CB20" s="993">
        <v>166.46728451999996</v>
      </c>
      <c r="CC20" s="993">
        <v>171.93668518999999</v>
      </c>
      <c r="CD20" s="993">
        <v>140.7290127</v>
      </c>
      <c r="CE20" s="993">
        <v>135.57815277999998</v>
      </c>
      <c r="CF20" s="993">
        <v>128.16944359000001</v>
      </c>
      <c r="CG20" s="993">
        <v>113.47101981</v>
      </c>
      <c r="CH20" s="993">
        <v>89.576240709999993</v>
      </c>
      <c r="CI20" s="993">
        <v>81.719450379999998</v>
      </c>
      <c r="CJ20" s="993">
        <v>65.914488920000011</v>
      </c>
      <c r="CK20" s="993">
        <v>66.039552170000007</v>
      </c>
      <c r="CL20" s="993">
        <v>70.195251150000004</v>
      </c>
      <c r="CM20" s="993">
        <v>73.026972520000001</v>
      </c>
      <c r="CN20" s="993">
        <v>74.200847640000006</v>
      </c>
      <c r="CO20" s="993">
        <v>54.528530659999994</v>
      </c>
      <c r="CP20" s="993">
        <v>46.860902869999997</v>
      </c>
      <c r="CQ20" s="993">
        <v>53.351228630000008</v>
      </c>
      <c r="CR20" s="993">
        <v>60.399791930000006</v>
      </c>
      <c r="CS20" s="993">
        <v>55.870020820000008</v>
      </c>
      <c r="CT20" s="993">
        <v>42.400803770000003</v>
      </c>
      <c r="CU20" s="993">
        <v>33.905896419999998</v>
      </c>
      <c r="CV20" s="993">
        <v>33.341543340000001</v>
      </c>
      <c r="CW20" s="993">
        <v>35.250352669999998</v>
      </c>
      <c r="CX20" s="993">
        <v>35.249052880000001</v>
      </c>
      <c r="CY20" s="993">
        <v>36.215999099999998</v>
      </c>
      <c r="CZ20" s="993">
        <v>38.484192479999997</v>
      </c>
      <c r="DA20" s="993">
        <v>42.196912150000003</v>
      </c>
      <c r="DB20" s="993">
        <v>60.162922109999997</v>
      </c>
      <c r="DC20" s="993">
        <v>52.962658300000001</v>
      </c>
      <c r="DD20" s="1064">
        <v>38.79106685</v>
      </c>
      <c r="DE20" s="1064">
        <v>46.38739614</v>
      </c>
      <c r="DF20" s="1064">
        <v>48.826297519999997</v>
      </c>
      <c r="DG20" s="1016">
        <v>51.695678770000001</v>
      </c>
      <c r="DH20" s="1016">
        <v>56.433704050000003</v>
      </c>
      <c r="DI20" s="1016">
        <v>56.927190760000002</v>
      </c>
      <c r="DJ20" s="1016">
        <v>51.283379320000002</v>
      </c>
      <c r="DK20" s="1016">
        <v>60.313067779999997</v>
      </c>
      <c r="DL20" s="1016">
        <v>106.31331313</v>
      </c>
      <c r="DM20" s="1016">
        <v>111.33684254000001</v>
      </c>
      <c r="DN20" s="1016">
        <v>91.323177029999997</v>
      </c>
      <c r="DO20" s="1016">
        <v>93.509871880000006</v>
      </c>
      <c r="DP20" s="1016">
        <v>70.698769279999993</v>
      </c>
      <c r="DQ20" s="1016">
        <v>75.017910209999997</v>
      </c>
      <c r="DR20" s="1016">
        <v>74.629517419999999</v>
      </c>
      <c r="DS20" s="1016">
        <v>77.277866560000007</v>
      </c>
      <c r="DT20" s="1016">
        <v>73.205428549999993</v>
      </c>
      <c r="DU20" s="1016">
        <v>62.919697480000004</v>
      </c>
      <c r="DV20" s="1016">
        <v>55.359290309999999</v>
      </c>
      <c r="DW20" s="1016">
        <v>49.327594159999997</v>
      </c>
      <c r="DX20" s="1016">
        <v>59.642490129999999</v>
      </c>
      <c r="DY20" s="1016">
        <v>69.944720520000004</v>
      </c>
      <c r="DZ20" s="1016">
        <v>79.841143349999996</v>
      </c>
      <c r="EA20" s="1016">
        <v>84.187306059999997</v>
      </c>
      <c r="EB20" s="1016">
        <v>100.58454121</v>
      </c>
      <c r="EC20" s="1016">
        <v>112.37062256999999</v>
      </c>
      <c r="ED20" s="1016">
        <v>105.12808151</v>
      </c>
      <c r="EE20" s="1016">
        <v>104.04503341</v>
      </c>
    </row>
    <row r="21" spans="1:135" ht="19.8">
      <c r="A21" s="1514" t="s">
        <v>2001</v>
      </c>
      <c r="B21" s="949">
        <v>14.393739999999999</v>
      </c>
      <c r="C21" s="949">
        <v>5.8075200000000002</v>
      </c>
      <c r="D21" s="949">
        <v>3.4531200000000002</v>
      </c>
      <c r="E21" s="949">
        <v>0</v>
      </c>
      <c r="F21" s="949">
        <v>0</v>
      </c>
      <c r="G21" s="949">
        <v>0.58837499999999998</v>
      </c>
      <c r="H21" s="949">
        <v>0</v>
      </c>
      <c r="I21" s="949">
        <v>1.7256800000000001</v>
      </c>
      <c r="J21" s="949">
        <v>4.3147500000000001</v>
      </c>
      <c r="K21" s="949">
        <v>0</v>
      </c>
      <c r="L21" s="949">
        <v>0</v>
      </c>
      <c r="M21" s="950">
        <v>0</v>
      </c>
      <c r="N21" s="950">
        <v>0</v>
      </c>
      <c r="O21" s="950">
        <v>0</v>
      </c>
      <c r="P21" s="950">
        <v>0</v>
      </c>
      <c r="Q21" s="950">
        <v>0</v>
      </c>
      <c r="R21" s="950">
        <v>0</v>
      </c>
      <c r="S21" s="950">
        <v>0</v>
      </c>
      <c r="T21" s="950">
        <v>0</v>
      </c>
      <c r="U21" s="950">
        <v>0</v>
      </c>
      <c r="V21" s="950">
        <v>0</v>
      </c>
      <c r="W21" s="950">
        <v>0</v>
      </c>
      <c r="X21" s="950">
        <v>0</v>
      </c>
      <c r="Y21" s="950">
        <v>0</v>
      </c>
      <c r="Z21" s="950">
        <v>0</v>
      </c>
      <c r="AA21" s="950">
        <v>0.20996000000000001</v>
      </c>
      <c r="AB21" s="950">
        <v>0.2097</v>
      </c>
      <c r="AC21" s="950">
        <v>0.20974000000000001</v>
      </c>
      <c r="AD21" s="950">
        <v>0.20988000000000001</v>
      </c>
      <c r="AE21" s="950">
        <v>0.20966000000000001</v>
      </c>
      <c r="AF21" s="950">
        <v>0.15742500000000001</v>
      </c>
      <c r="AG21" s="950">
        <v>0.20960000000000001</v>
      </c>
      <c r="AH21" s="950">
        <v>0.20960000000000001</v>
      </c>
      <c r="AI21" s="950">
        <v>2.8416135299999996</v>
      </c>
      <c r="AJ21" s="950">
        <v>2.78192722</v>
      </c>
      <c r="AK21" s="950">
        <v>15.02704894</v>
      </c>
      <c r="AL21" s="950">
        <v>15.474770400000001</v>
      </c>
      <c r="AM21" s="950">
        <v>14.68358608</v>
      </c>
      <c r="AN21" s="950">
        <v>14.4641061</v>
      </c>
      <c r="AO21" s="950">
        <v>14.07798122</v>
      </c>
      <c r="AP21" s="950">
        <v>13.423237460000001</v>
      </c>
      <c r="AQ21" s="950">
        <v>13.78634344</v>
      </c>
      <c r="AR21" s="950">
        <v>14.622284949999999</v>
      </c>
      <c r="AS21" s="950">
        <v>15.386738149999999</v>
      </c>
      <c r="AT21" s="950">
        <f>AT13-AT17</f>
        <v>15.107878590000002</v>
      </c>
      <c r="AU21" s="950">
        <v>12.819096119999999</v>
      </c>
      <c r="AV21" s="950">
        <v>13.320342979999999</v>
      </c>
      <c r="AW21" s="950">
        <v>13.534626379999999</v>
      </c>
      <c r="AX21" s="950">
        <v>14.6490718</v>
      </c>
      <c r="AY21" s="950">
        <v>13.38074424</v>
      </c>
      <c r="AZ21" s="950">
        <v>13.661806720000001</v>
      </c>
      <c r="BA21" s="950">
        <v>13.175478099999999</v>
      </c>
      <c r="BB21" s="950">
        <v>14.36650942</v>
      </c>
      <c r="BC21" s="950">
        <v>14.31932509</v>
      </c>
      <c r="BD21" s="950">
        <v>13.80230295</v>
      </c>
      <c r="BE21" s="950">
        <v>13.63633267</v>
      </c>
      <c r="BF21" s="950">
        <v>13.544909349999998</v>
      </c>
      <c r="BG21" s="950">
        <v>12.992361129999999</v>
      </c>
      <c r="BH21" s="1005">
        <v>12.991596960000001</v>
      </c>
      <c r="BI21" s="994">
        <v>12.991596959999999</v>
      </c>
      <c r="BJ21" s="994">
        <v>12.991596960000001</v>
      </c>
      <c r="BK21" s="994">
        <v>12.991596959999999</v>
      </c>
      <c r="BL21" s="994">
        <v>12.990832800000003</v>
      </c>
      <c r="BM21" s="994">
        <v>12.990832800000002</v>
      </c>
      <c r="BN21" s="994">
        <v>12.9908328</v>
      </c>
      <c r="BO21" s="994">
        <v>12.990832800000002</v>
      </c>
      <c r="BP21" s="994">
        <v>12.990832800000002</v>
      </c>
      <c r="BQ21" s="994">
        <v>12.344832799999999</v>
      </c>
      <c r="BR21" s="994">
        <v>12.344832799999999</v>
      </c>
      <c r="BS21" s="994">
        <v>12.344832800000001</v>
      </c>
      <c r="BT21" s="994">
        <v>12.344832799999999</v>
      </c>
      <c r="BU21" s="994">
        <v>1.1900000000000004</v>
      </c>
      <c r="BV21" s="994">
        <v>1.1900000000000004</v>
      </c>
      <c r="BW21" s="994">
        <v>1.1899999999999995</v>
      </c>
      <c r="BX21" s="994">
        <v>1.1900000000000004</v>
      </c>
      <c r="BY21" s="994">
        <v>1.1899999999999995</v>
      </c>
      <c r="BZ21" s="994">
        <v>1.1900000000000004</v>
      </c>
      <c r="CA21" s="994">
        <v>1.1899999999999995</v>
      </c>
      <c r="CB21" s="994">
        <v>0</v>
      </c>
      <c r="CC21" s="994">
        <v>0</v>
      </c>
      <c r="CD21" s="994">
        <v>0</v>
      </c>
      <c r="CE21" s="994">
        <v>0</v>
      </c>
      <c r="CF21" s="994">
        <v>0</v>
      </c>
      <c r="CG21" s="994">
        <v>0</v>
      </c>
      <c r="CH21" s="994">
        <v>0.153</v>
      </c>
      <c r="CI21" s="994">
        <v>0.153</v>
      </c>
      <c r="CJ21" s="994">
        <v>0.45984999999999998</v>
      </c>
      <c r="CK21" s="994">
        <v>2.56785</v>
      </c>
      <c r="CL21" s="994">
        <v>8.4492618000000004</v>
      </c>
      <c r="CM21" s="994">
        <v>12.40230951</v>
      </c>
      <c r="CN21" s="994">
        <v>13.46397311</v>
      </c>
      <c r="CO21" s="994">
        <v>13.46397311</v>
      </c>
      <c r="CP21" s="994">
        <v>13.01145011</v>
      </c>
      <c r="CQ21" s="994">
        <v>17.2840545</v>
      </c>
      <c r="CR21" s="994">
        <v>20.1740545</v>
      </c>
      <c r="CS21" s="994">
        <v>11.6740545</v>
      </c>
      <c r="CT21" s="994">
        <v>5.9491231200000003</v>
      </c>
      <c r="CU21" s="994">
        <v>3.2837100000000001E-2</v>
      </c>
      <c r="CV21" s="994">
        <v>0</v>
      </c>
      <c r="CW21" s="994">
        <v>0</v>
      </c>
      <c r="CX21" s="994">
        <v>0</v>
      </c>
      <c r="CY21" s="994">
        <v>0</v>
      </c>
      <c r="CZ21" s="994">
        <v>0</v>
      </c>
      <c r="DA21" s="994">
        <v>0</v>
      </c>
      <c r="DB21" s="994">
        <v>0</v>
      </c>
      <c r="DC21" s="994">
        <v>0</v>
      </c>
      <c r="DD21" s="1065">
        <v>0</v>
      </c>
      <c r="DE21" s="1065">
        <v>0</v>
      </c>
      <c r="DF21" s="1065">
        <v>0</v>
      </c>
      <c r="DG21" s="1017">
        <v>0</v>
      </c>
      <c r="DH21" s="1017">
        <v>0</v>
      </c>
      <c r="DI21" s="1017">
        <v>0</v>
      </c>
      <c r="DJ21" s="1017">
        <v>0</v>
      </c>
      <c r="DK21" s="1017">
        <v>0</v>
      </c>
      <c r="DL21" s="1017">
        <v>0</v>
      </c>
      <c r="DM21" s="1017">
        <v>0.23799999999999999</v>
      </c>
      <c r="DN21" s="1017">
        <v>0.21866014</v>
      </c>
      <c r="DO21" s="1017">
        <v>0.19929844999999999</v>
      </c>
      <c r="DP21" s="1017">
        <v>0.14045537999999999</v>
      </c>
      <c r="DQ21" s="1017">
        <v>3.4565369999999998E-2</v>
      </c>
      <c r="DR21" s="1017">
        <v>3.0318479999999998E-2</v>
      </c>
      <c r="DS21" s="1017">
        <v>2.6037569999999999E-2</v>
      </c>
      <c r="DT21" s="1017">
        <v>2.1750289999999999E-2</v>
      </c>
      <c r="DU21" s="1017">
        <v>2.1750289999999999E-2</v>
      </c>
      <c r="DV21" s="1017">
        <v>1.311006E-2</v>
      </c>
      <c r="DW21" s="1017">
        <v>1.311006E-2</v>
      </c>
      <c r="DX21" s="1017">
        <v>1.60435328</v>
      </c>
      <c r="DY21" s="1017">
        <v>1.5869655</v>
      </c>
      <c r="DZ21" s="1017">
        <v>1.5377175000000001</v>
      </c>
      <c r="EA21" s="1017">
        <v>0.82855356000000002</v>
      </c>
      <c r="EB21" s="1017">
        <v>7.1479968899999999</v>
      </c>
      <c r="EC21" s="1017">
        <v>8.1855890000000002</v>
      </c>
      <c r="ED21" s="1017">
        <v>8.1516424999999995</v>
      </c>
      <c r="EE21" s="1017">
        <v>8.4857045000000006</v>
      </c>
    </row>
    <row r="22" spans="1:135" ht="19.8">
      <c r="A22" s="1515" t="s">
        <v>2002</v>
      </c>
      <c r="B22" s="945">
        <f>+B20-B21</f>
        <v>29.827837219999999</v>
      </c>
      <c r="C22" s="949">
        <f t="shared" ref="C22:V22" si="6">+C20-C21</f>
        <v>72.599582399999989</v>
      </c>
      <c r="D22" s="949">
        <f t="shared" si="6"/>
        <v>79.431564199999997</v>
      </c>
      <c r="E22" s="949">
        <f t="shared" si="6"/>
        <v>75.248163509999998</v>
      </c>
      <c r="F22" s="949">
        <f t="shared" si="6"/>
        <v>80.419384890000003</v>
      </c>
      <c r="G22" s="949">
        <f t="shared" si="6"/>
        <v>104.04955468000001</v>
      </c>
      <c r="H22" s="949">
        <f t="shared" si="6"/>
        <v>107.75647407000001</v>
      </c>
      <c r="I22" s="949">
        <f t="shared" si="6"/>
        <v>121.41935061999999</v>
      </c>
      <c r="J22" s="949">
        <f t="shared" si="6"/>
        <v>123.25079947</v>
      </c>
      <c r="K22" s="949">
        <f t="shared" si="6"/>
        <v>124.46073993000002</v>
      </c>
      <c r="L22" s="949">
        <f t="shared" si="6"/>
        <v>126.18377004</v>
      </c>
      <c r="M22" s="950">
        <f t="shared" si="6"/>
        <v>149.37995132</v>
      </c>
      <c r="N22" s="950">
        <f t="shared" si="6"/>
        <v>149.05066873999999</v>
      </c>
      <c r="O22" s="950">
        <f t="shared" si="6"/>
        <v>152.38465274000001</v>
      </c>
      <c r="P22" s="946">
        <f t="shared" si="6"/>
        <v>155.69819767999999</v>
      </c>
      <c r="Q22" s="946">
        <f t="shared" si="6"/>
        <v>167.87297529000003</v>
      </c>
      <c r="R22" s="946">
        <f t="shared" si="6"/>
        <v>177.63752194</v>
      </c>
      <c r="S22" s="946">
        <f t="shared" si="6"/>
        <v>173.21967848000003</v>
      </c>
      <c r="T22" s="946">
        <f t="shared" si="6"/>
        <v>175.80389299999999</v>
      </c>
      <c r="U22" s="946">
        <f t="shared" si="6"/>
        <v>178.34353551999996</v>
      </c>
      <c r="V22" s="946">
        <f t="shared" si="6"/>
        <v>176.87911975999998</v>
      </c>
      <c r="W22" s="946">
        <v>175.89268702999999</v>
      </c>
      <c r="X22" s="946">
        <v>182.46142771000001</v>
      </c>
      <c r="Y22" s="950">
        <v>174.11761124</v>
      </c>
      <c r="Z22" s="946">
        <v>171.43604766999997</v>
      </c>
      <c r="AA22" s="950">
        <v>351.38507576000001</v>
      </c>
      <c r="AB22" s="950">
        <f>+AB20-AB21</f>
        <v>368.40647605000004</v>
      </c>
      <c r="AC22" s="950">
        <v>370.91667699000004</v>
      </c>
      <c r="AD22" s="950">
        <v>363.70653028999999</v>
      </c>
      <c r="AE22" s="950">
        <v>357.14314529000001</v>
      </c>
      <c r="AF22" s="950">
        <v>361.41827936000004</v>
      </c>
      <c r="AG22" s="950">
        <v>312.05197620000001</v>
      </c>
      <c r="AH22" s="950">
        <f>+AH20-AH21</f>
        <v>312.16708324000001</v>
      </c>
      <c r="AI22" s="950">
        <v>176.06821627000002</v>
      </c>
      <c r="AJ22" s="950">
        <f>+AJ20-AJ21</f>
        <v>607.1370006300001</v>
      </c>
      <c r="AK22" s="950">
        <f>+AK20-AK21</f>
        <v>612.54861527999992</v>
      </c>
      <c r="AL22" s="950">
        <v>570.20870378999996</v>
      </c>
      <c r="AM22" s="950">
        <f>+AM20-AM21</f>
        <v>504.44824317000001</v>
      </c>
      <c r="AN22" s="950">
        <f>+AN20-AN21</f>
        <v>225.97572344</v>
      </c>
      <c r="AO22" s="950">
        <f>+AO20-AO21</f>
        <v>215.82312906999999</v>
      </c>
      <c r="AP22" s="950">
        <f>+AP20-AP21</f>
        <v>217.47658608</v>
      </c>
      <c r="AQ22" s="950">
        <v>330.78854732000002</v>
      </c>
      <c r="AR22" s="950">
        <f>+AR20-AR21</f>
        <v>334.16569972999997</v>
      </c>
      <c r="AS22" s="950">
        <f>+AS20-AS21</f>
        <v>348.47161274000001</v>
      </c>
      <c r="AT22" s="950">
        <f>AT14-AT18</f>
        <v>346.32161638000002</v>
      </c>
      <c r="AU22" s="950">
        <v>242.45581118999999</v>
      </c>
      <c r="AV22" s="950">
        <v>259.12074885999999</v>
      </c>
      <c r="AW22" s="950">
        <v>272.68436880999997</v>
      </c>
      <c r="AX22" s="950">
        <v>292.20966622000003</v>
      </c>
      <c r="AY22" s="950">
        <v>263.96952705000001</v>
      </c>
      <c r="AZ22" s="950">
        <v>274.30521291999997</v>
      </c>
      <c r="BA22" s="950">
        <v>290.56937748000007</v>
      </c>
      <c r="BB22" s="950">
        <v>158.77909769999999</v>
      </c>
      <c r="BC22" s="950">
        <v>154.78731071999999</v>
      </c>
      <c r="BD22" s="950">
        <f>+BD20-BD21</f>
        <v>144.44018271999997</v>
      </c>
      <c r="BE22" s="950">
        <v>142.92113551</v>
      </c>
      <c r="BF22" s="950">
        <v>146.52547816999999</v>
      </c>
      <c r="BG22" s="950">
        <v>143.61971435000001</v>
      </c>
      <c r="BH22" s="1005">
        <v>148.99183482000001</v>
      </c>
      <c r="BI22" s="994">
        <v>157.75996624999996</v>
      </c>
      <c r="BJ22" s="994">
        <v>162.00933302999999</v>
      </c>
      <c r="BK22" s="994">
        <v>144.45346507000002</v>
      </c>
      <c r="BL22" s="994">
        <v>142.86982185000002</v>
      </c>
      <c r="BM22" s="994">
        <v>142.48045224000001</v>
      </c>
      <c r="BN22" s="994">
        <v>145.96269811000005</v>
      </c>
      <c r="BO22" s="994">
        <v>132.20188858999998</v>
      </c>
      <c r="BP22" s="994">
        <v>127.86245565000003</v>
      </c>
      <c r="BQ22" s="994">
        <v>142.67541279</v>
      </c>
      <c r="BR22" s="994">
        <v>143.04022752</v>
      </c>
      <c r="BS22" s="994">
        <v>151.61182955999996</v>
      </c>
      <c r="BT22" s="994">
        <v>147.62338451999997</v>
      </c>
      <c r="BU22" s="994">
        <v>146.39225112000003</v>
      </c>
      <c r="BV22" s="994">
        <v>141.51568666999998</v>
      </c>
      <c r="BW22" s="994">
        <v>149.37000399000001</v>
      </c>
      <c r="BX22" s="994">
        <v>160.56107030000004</v>
      </c>
      <c r="BY22" s="994">
        <v>164.37734827999998</v>
      </c>
      <c r="BZ22" s="994">
        <v>164.26471425999995</v>
      </c>
      <c r="CA22" s="994">
        <v>164.4863747</v>
      </c>
      <c r="CB22" s="994">
        <v>166.46728451999996</v>
      </c>
      <c r="CC22" s="994">
        <v>171.93668518999999</v>
      </c>
      <c r="CD22" s="994">
        <v>140.7290127</v>
      </c>
      <c r="CE22" s="994">
        <f t="shared" ref="CE22:CP22" si="7">+CE20-CE21</f>
        <v>135.57815277999998</v>
      </c>
      <c r="CF22" s="994">
        <f t="shared" si="7"/>
        <v>128.16944359000001</v>
      </c>
      <c r="CG22" s="994">
        <f t="shared" si="7"/>
        <v>113.47101981</v>
      </c>
      <c r="CH22" s="994">
        <f t="shared" si="7"/>
        <v>89.423240709999988</v>
      </c>
      <c r="CI22" s="994">
        <f t="shared" si="7"/>
        <v>81.566450379999992</v>
      </c>
      <c r="CJ22" s="994">
        <f t="shared" si="7"/>
        <v>65.454638920000008</v>
      </c>
      <c r="CK22" s="994">
        <f t="shared" si="7"/>
        <v>63.471702170000007</v>
      </c>
      <c r="CL22" s="994">
        <f t="shared" si="7"/>
        <v>61.745989350000002</v>
      </c>
      <c r="CM22" s="994">
        <f t="shared" si="7"/>
        <v>60.624663009999999</v>
      </c>
      <c r="CN22" s="994">
        <f t="shared" si="7"/>
        <v>60.736874530000009</v>
      </c>
      <c r="CO22" s="994">
        <f t="shared" si="7"/>
        <v>41.064557549999996</v>
      </c>
      <c r="CP22" s="994">
        <f t="shared" si="7"/>
        <v>33.849452759999998</v>
      </c>
      <c r="CQ22" s="994">
        <f>+CQ20-CQ21</f>
        <v>36.067174130000012</v>
      </c>
      <c r="CR22" s="994">
        <f>+CR20-CR21</f>
        <v>40.225737430000009</v>
      </c>
      <c r="CS22" s="994">
        <v>44.195966320000011</v>
      </c>
      <c r="CT22" s="994">
        <v>36.45168065</v>
      </c>
      <c r="CU22" s="994">
        <v>33.873059320000003</v>
      </c>
      <c r="CV22" s="994">
        <v>33.341543340000001</v>
      </c>
      <c r="CW22" s="994">
        <v>35.250352669999998</v>
      </c>
      <c r="CX22" s="994">
        <v>35.249052880000001</v>
      </c>
      <c r="CY22" s="994">
        <v>36.215999099999998</v>
      </c>
      <c r="CZ22" s="994">
        <v>38.484192479999997</v>
      </c>
      <c r="DA22" s="994">
        <v>42.196912150000003</v>
      </c>
      <c r="DB22" s="994">
        <v>60.162922109999997</v>
      </c>
      <c r="DC22" s="994">
        <v>52.962658300000001</v>
      </c>
      <c r="DD22" s="1065">
        <v>38.79106685</v>
      </c>
      <c r="DE22" s="1065">
        <v>46.38739614</v>
      </c>
      <c r="DF22" s="1065">
        <v>48.826297519999997</v>
      </c>
      <c r="DG22" s="1017">
        <v>51.695678770000001</v>
      </c>
      <c r="DH22" s="1017">
        <v>56.433704050000003</v>
      </c>
      <c r="DI22" s="1017">
        <v>56.927190760000002</v>
      </c>
      <c r="DJ22" s="1017">
        <v>51.283379320000002</v>
      </c>
      <c r="DK22" s="1017">
        <v>60.313067779999997</v>
      </c>
      <c r="DL22" s="1017">
        <v>106.31331313</v>
      </c>
      <c r="DM22" s="1017">
        <v>111.09884254000001</v>
      </c>
      <c r="DN22" s="1017">
        <v>91.104516889999999</v>
      </c>
      <c r="DO22" s="1017">
        <v>93.310573430000005</v>
      </c>
      <c r="DP22" s="1017">
        <v>70.558313900000002</v>
      </c>
      <c r="DQ22" s="1017">
        <v>74.983344840000001</v>
      </c>
      <c r="DR22" s="1017">
        <v>74.599198939999994</v>
      </c>
      <c r="DS22" s="1017">
        <v>77.251828990000007</v>
      </c>
      <c r="DT22" s="1017">
        <v>73.183678259999994</v>
      </c>
      <c r="DU22" s="1017">
        <v>62.897947189999996</v>
      </c>
      <c r="DV22" s="1017">
        <v>55.346180250000003</v>
      </c>
      <c r="DW22" s="1017">
        <v>49.314484100000001</v>
      </c>
      <c r="DX22" s="1017">
        <v>58.038136850000001</v>
      </c>
      <c r="DY22" s="1017">
        <v>68.357755019999999</v>
      </c>
      <c r="DZ22" s="1017">
        <v>78.303425849999996</v>
      </c>
      <c r="EA22" s="1017">
        <v>83.358752499999994</v>
      </c>
      <c r="EB22" s="1017">
        <v>93.436544319999996</v>
      </c>
      <c r="EC22" s="1017">
        <v>104.18503357</v>
      </c>
      <c r="ED22" s="1017">
        <v>96.976439010000007</v>
      </c>
      <c r="EE22" s="1017">
        <v>95.559328910000005</v>
      </c>
    </row>
    <row r="23" spans="1:135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>
        <v>0</v>
      </c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</row>
    <row r="24" spans="1:135" ht="19.8">
      <c r="A24" s="976" t="s">
        <v>2823</v>
      </c>
      <c r="B24" s="945">
        <v>663.85111770000003</v>
      </c>
      <c r="C24" s="949">
        <v>876.05009504999998</v>
      </c>
      <c r="D24" s="949">
        <v>896.8242402599999</v>
      </c>
      <c r="E24" s="949">
        <v>995.12983931000008</v>
      </c>
      <c r="F24" s="949">
        <v>1043.91298813</v>
      </c>
      <c r="G24" s="949">
        <v>1092.27278858</v>
      </c>
      <c r="H24" s="949">
        <v>1121.50720869</v>
      </c>
      <c r="I24" s="949">
        <v>1143.69816416</v>
      </c>
      <c r="J24" s="949">
        <v>1194.3556452600001</v>
      </c>
      <c r="K24" s="949">
        <v>1184.5891788599999</v>
      </c>
      <c r="L24" s="949">
        <v>1199.18702656</v>
      </c>
      <c r="M24" s="946">
        <v>1255.1822657399998</v>
      </c>
      <c r="N24" s="950">
        <v>1603.10763219</v>
      </c>
      <c r="O24" s="950">
        <v>1548.9938710499998</v>
      </c>
      <c r="P24" s="946">
        <v>1569.8276058600002</v>
      </c>
      <c r="Q24" s="946">
        <v>1613.63688576</v>
      </c>
      <c r="R24" s="946">
        <v>1630.0505204400001</v>
      </c>
      <c r="S24" s="946">
        <v>1670.9145405800002</v>
      </c>
      <c r="T24" s="946">
        <v>1690.8434160400002</v>
      </c>
      <c r="U24" s="946">
        <v>1708.25349766</v>
      </c>
      <c r="V24" s="946">
        <v>1711.4837434999999</v>
      </c>
      <c r="W24" s="946">
        <v>1768.3820650900002</v>
      </c>
      <c r="X24" s="946">
        <v>1751.1195152099999</v>
      </c>
      <c r="Y24" s="946">
        <v>1720.52118823</v>
      </c>
      <c r="Z24" s="946">
        <v>1706.8214208300001</v>
      </c>
      <c r="AA24" s="950">
        <v>1768.72584538</v>
      </c>
      <c r="AB24" s="946">
        <v>1756.4537883100002</v>
      </c>
      <c r="AC24" s="946">
        <v>1724.6551742199999</v>
      </c>
      <c r="AD24" s="946">
        <v>1726.2738899999999</v>
      </c>
      <c r="AE24" s="946">
        <v>1724.4301218300002</v>
      </c>
      <c r="AF24" s="946">
        <v>1724.5275751000001</v>
      </c>
      <c r="AG24" s="946">
        <v>1729.9009730500002</v>
      </c>
      <c r="AH24" s="946">
        <v>1563.6061576699999</v>
      </c>
      <c r="AI24" s="946">
        <v>1127.21927912</v>
      </c>
      <c r="AJ24" s="946">
        <v>1118.4562392299999</v>
      </c>
      <c r="AK24" s="946">
        <v>1225.1997741799998</v>
      </c>
      <c r="AL24" s="946">
        <v>1208.13774775</v>
      </c>
      <c r="AM24" s="946">
        <v>1113.5960013700001</v>
      </c>
      <c r="AN24" s="946">
        <v>1045.8969203499998</v>
      </c>
      <c r="AO24" s="946">
        <v>892.16725496999993</v>
      </c>
      <c r="AP24" s="946">
        <v>898.28357760000006</v>
      </c>
      <c r="AQ24" s="946">
        <v>894.52531871000008</v>
      </c>
      <c r="AR24" s="946">
        <v>888.62090024999998</v>
      </c>
      <c r="AS24" s="946">
        <v>888.38873778000004</v>
      </c>
      <c r="AT24" s="946">
        <f>AT8-AT12</f>
        <v>899.24211330999992</v>
      </c>
      <c r="AU24" s="946">
        <v>881.24634016999994</v>
      </c>
      <c r="AV24" s="946">
        <v>893.40033246999985</v>
      </c>
      <c r="AW24" s="946">
        <v>880.15182722000009</v>
      </c>
      <c r="AX24" s="946">
        <v>893.27176450000002</v>
      </c>
      <c r="AY24" s="946">
        <v>876.08827769000004</v>
      </c>
      <c r="AZ24" s="946">
        <v>827.23850003999996</v>
      </c>
      <c r="BA24" s="946">
        <v>820.55988593000006</v>
      </c>
      <c r="BB24" s="946">
        <v>817.64190286000007</v>
      </c>
      <c r="BC24" s="946">
        <v>790.14229418000002</v>
      </c>
      <c r="BD24" s="946">
        <v>392.54276049000003</v>
      </c>
      <c r="BE24" s="946">
        <v>393.13655397000002</v>
      </c>
      <c r="BF24" s="946">
        <v>383.63643728999995</v>
      </c>
      <c r="BG24" s="946">
        <v>370.32570361000001</v>
      </c>
      <c r="BH24" s="1004">
        <v>370.54483074999996</v>
      </c>
      <c r="BI24" s="993">
        <v>355.55853685</v>
      </c>
      <c r="BJ24" s="993">
        <v>362.89026754999998</v>
      </c>
      <c r="BK24" s="993">
        <v>383.46540838999999</v>
      </c>
      <c r="BL24" s="993">
        <v>385.6618998400001</v>
      </c>
      <c r="BM24" s="993">
        <v>404.45427589000002</v>
      </c>
      <c r="BN24" s="993">
        <v>418.53542463999997</v>
      </c>
      <c r="BO24" s="993">
        <v>426.43122317999996</v>
      </c>
      <c r="BP24" s="993">
        <v>419.48699084999993</v>
      </c>
      <c r="BQ24" s="993">
        <v>418.94288805999997</v>
      </c>
      <c r="BR24" s="993">
        <v>413.1345991500001</v>
      </c>
      <c r="BS24" s="993">
        <v>409.75355071000001</v>
      </c>
      <c r="BT24" s="993">
        <v>408.40289493</v>
      </c>
      <c r="BU24" s="993">
        <v>436.05879611</v>
      </c>
      <c r="BV24" s="993">
        <v>430.84769518000002</v>
      </c>
      <c r="BW24" s="993">
        <v>470.85798901999999</v>
      </c>
      <c r="BX24" s="993">
        <v>481.69603651</v>
      </c>
      <c r="BY24" s="993">
        <v>487.40844836999997</v>
      </c>
      <c r="BZ24" s="993">
        <v>493.10855780999998</v>
      </c>
      <c r="CA24" s="993">
        <v>499.35227388999999</v>
      </c>
      <c r="CB24" s="993">
        <v>611.74014121999994</v>
      </c>
      <c r="CC24" s="993">
        <v>604.89866076999999</v>
      </c>
      <c r="CD24" s="993">
        <v>636.83193363999999</v>
      </c>
      <c r="CE24" s="993">
        <v>671.65315972999997</v>
      </c>
      <c r="CF24" s="993">
        <v>699.54979325999989</v>
      </c>
      <c r="CG24" s="993">
        <v>673.25358242000004</v>
      </c>
      <c r="CH24" s="993">
        <v>963.56426785000008</v>
      </c>
      <c r="CI24" s="993">
        <v>965.48404779999987</v>
      </c>
      <c r="CJ24" s="993">
        <v>965.55437454000003</v>
      </c>
      <c r="CK24" s="993">
        <v>960.39221881000003</v>
      </c>
      <c r="CL24" s="993">
        <v>977.75831198000014</v>
      </c>
      <c r="CM24" s="993">
        <v>974.27042843999993</v>
      </c>
      <c r="CN24" s="993">
        <v>980.02937337999992</v>
      </c>
      <c r="CO24" s="993">
        <v>999.44929746999992</v>
      </c>
      <c r="CP24" s="993">
        <v>1014.75777633</v>
      </c>
      <c r="CQ24" s="993">
        <v>1041.2147707300001</v>
      </c>
      <c r="CR24" s="993">
        <v>1178.5573059399999</v>
      </c>
      <c r="CS24" s="993">
        <v>1043.1681394500001</v>
      </c>
      <c r="CT24" s="993">
        <v>784.83928702000003</v>
      </c>
      <c r="CU24" s="993">
        <v>719.48378666999997</v>
      </c>
      <c r="CV24" s="993">
        <v>721.57833358000005</v>
      </c>
      <c r="CW24" s="993">
        <v>720.58380397999997</v>
      </c>
      <c r="CX24" s="993">
        <v>727.36611706999997</v>
      </c>
      <c r="CY24" s="993">
        <v>725.70843015000003</v>
      </c>
      <c r="CZ24" s="993">
        <v>724.78477863000001</v>
      </c>
      <c r="DA24" s="993">
        <v>694.97228577999999</v>
      </c>
      <c r="DB24" s="993">
        <v>706.10895755000001</v>
      </c>
      <c r="DC24" s="993">
        <v>749.69014537999999</v>
      </c>
      <c r="DD24" s="1064">
        <v>762.59036295999999</v>
      </c>
      <c r="DE24" s="1064">
        <v>767.01296147000005</v>
      </c>
      <c r="DF24" s="1064">
        <v>765.91127021</v>
      </c>
      <c r="DG24" s="1016">
        <v>765.90343918999997</v>
      </c>
      <c r="DH24" s="1016">
        <v>776.27258682000001</v>
      </c>
      <c r="DI24" s="1016">
        <v>775.41270167000005</v>
      </c>
      <c r="DJ24" s="1016">
        <v>775.71513157000004</v>
      </c>
      <c r="DK24" s="1016">
        <v>763.62223086999995</v>
      </c>
      <c r="DL24" s="1016">
        <v>760.56831208999995</v>
      </c>
      <c r="DM24" s="1016">
        <v>758.57970737999995</v>
      </c>
      <c r="DN24" s="1016">
        <v>747.94233139999994</v>
      </c>
      <c r="DO24" s="1016">
        <v>742.78673029000004</v>
      </c>
      <c r="DP24" s="1016">
        <v>756.89720920000002</v>
      </c>
      <c r="DQ24" s="1016">
        <v>756.09270307999998</v>
      </c>
      <c r="DR24" s="1016">
        <v>747.18698179</v>
      </c>
      <c r="DS24" s="1016">
        <v>740.91692320000004</v>
      </c>
      <c r="DT24" s="1016">
        <v>751.02206852999996</v>
      </c>
      <c r="DU24" s="1016">
        <v>742.20948363000002</v>
      </c>
      <c r="DV24" s="1016">
        <v>711.03851340999995</v>
      </c>
      <c r="DW24" s="1016">
        <v>766.50679815000001</v>
      </c>
      <c r="DX24" s="1016">
        <v>829.33502210999995</v>
      </c>
      <c r="DY24" s="1016">
        <v>827.02031277000003</v>
      </c>
      <c r="DZ24" s="1016">
        <v>821.12300297000002</v>
      </c>
      <c r="EA24" s="1016">
        <v>866.84320628</v>
      </c>
      <c r="EB24" s="1016">
        <v>867.61392949000003</v>
      </c>
      <c r="EC24" s="1016">
        <v>904.12860157</v>
      </c>
      <c r="ED24" s="1016">
        <v>1146.0111360400001</v>
      </c>
      <c r="EE24" s="1016">
        <v>1122.7351905400001</v>
      </c>
    </row>
    <row r="25" spans="1:135" ht="19.8">
      <c r="A25" s="977" t="s">
        <v>2001</v>
      </c>
      <c r="B25" s="949">
        <v>1.5749808299999999</v>
      </c>
      <c r="C25" s="949">
        <v>1.5754645599999999</v>
      </c>
      <c r="D25" s="949">
        <v>1.57449138</v>
      </c>
      <c r="E25" s="949">
        <v>21.503012970000004</v>
      </c>
      <c r="F25" s="949">
        <v>41.532092939999998</v>
      </c>
      <c r="G25" s="949">
        <v>61.33045036</v>
      </c>
      <c r="H25" s="949">
        <v>61.320035240000003</v>
      </c>
      <c r="I25" s="949">
        <v>61.238633780000001</v>
      </c>
      <c r="J25" s="949">
        <v>61.210743210000004</v>
      </c>
      <c r="K25" s="949">
        <v>60.180737389999997</v>
      </c>
      <c r="L25" s="949">
        <v>58.152616080000001</v>
      </c>
      <c r="M25" s="950">
        <v>53.952489279999995</v>
      </c>
      <c r="N25" s="950">
        <v>51.1464444</v>
      </c>
      <c r="O25" s="950">
        <v>46.396274830000003</v>
      </c>
      <c r="P25" s="950">
        <v>41.36810165</v>
      </c>
      <c r="Q25" s="950">
        <v>39.339984999999999</v>
      </c>
      <c r="R25" s="950">
        <v>38.494793690000002</v>
      </c>
      <c r="S25" s="950">
        <v>40.000368129999998</v>
      </c>
      <c r="T25" s="950">
        <v>39.616571550000003</v>
      </c>
      <c r="U25" s="950">
        <v>40.770835679999998</v>
      </c>
      <c r="V25" s="950">
        <v>39.894111520000003</v>
      </c>
      <c r="W25" s="950">
        <v>38.856641359999998</v>
      </c>
      <c r="X25" s="950">
        <v>34.688454399999998</v>
      </c>
      <c r="Y25" s="950">
        <v>28.281277090000003</v>
      </c>
      <c r="Z25" s="950">
        <v>25.76472665</v>
      </c>
      <c r="AA25" s="950">
        <v>20.166678999999998</v>
      </c>
      <c r="AB25" s="950">
        <v>16.131688440000001</v>
      </c>
      <c r="AC25" s="950">
        <v>13.93759805</v>
      </c>
      <c r="AD25" s="950">
        <v>12.602331779999998</v>
      </c>
      <c r="AE25" s="950">
        <v>12.171671659999999</v>
      </c>
      <c r="AF25" s="950">
        <v>12.052782260000001</v>
      </c>
      <c r="AG25" s="950">
        <v>11.85320387</v>
      </c>
      <c r="AH25" s="950">
        <v>11.60234509</v>
      </c>
      <c r="AI25" s="950">
        <v>10.575084090000001</v>
      </c>
      <c r="AJ25" s="950">
        <v>6.8668823499999991</v>
      </c>
      <c r="AK25" s="950">
        <v>1.9180080500000001</v>
      </c>
      <c r="AL25" s="950">
        <v>2.11739436</v>
      </c>
      <c r="AM25" s="950">
        <v>2.1230274099999997</v>
      </c>
      <c r="AN25" s="950">
        <v>4.1424332599999998</v>
      </c>
      <c r="AO25" s="950">
        <v>2.2180520399999999</v>
      </c>
      <c r="AP25" s="950">
        <v>3.4845686900000001</v>
      </c>
      <c r="AQ25" s="950">
        <v>4.2051029399999997</v>
      </c>
      <c r="AR25" s="950">
        <v>3.4811028300000002</v>
      </c>
      <c r="AS25" s="950">
        <v>2.9670524</v>
      </c>
      <c r="AT25" s="950">
        <f>AT9-AT13</f>
        <v>3.8124795099999993</v>
      </c>
      <c r="AU25" s="950">
        <v>3.5798451399999998</v>
      </c>
      <c r="AV25" s="950">
        <v>4.0034571000000021</v>
      </c>
      <c r="AW25" s="950">
        <v>0.19676912999999985</v>
      </c>
      <c r="AX25" s="950">
        <v>1.8071656400000009</v>
      </c>
      <c r="AY25" s="950">
        <v>3.1457761800000004</v>
      </c>
      <c r="AZ25" s="950">
        <v>3.37799563</v>
      </c>
      <c r="BA25" s="950">
        <v>3.4908865599999999</v>
      </c>
      <c r="BB25" s="950">
        <v>1.8362173899999998</v>
      </c>
      <c r="BC25" s="950">
        <v>2.41358016</v>
      </c>
      <c r="BD25" s="950">
        <v>1.4568437400000001</v>
      </c>
      <c r="BE25" s="950">
        <v>3.5670136800000005</v>
      </c>
      <c r="BF25" s="950">
        <v>2.7498627999999989</v>
      </c>
      <c r="BG25" s="950">
        <v>3.5172303400000011</v>
      </c>
      <c r="BH25" s="1005">
        <v>1.9791618699999987</v>
      </c>
      <c r="BI25" s="994">
        <v>2.08005</v>
      </c>
      <c r="BJ25" s="994">
        <v>1.3080500000000015</v>
      </c>
      <c r="BK25" s="994">
        <v>2.8988370000000003</v>
      </c>
      <c r="BL25" s="994">
        <v>2.0587790699999999</v>
      </c>
      <c r="BM25" s="994">
        <v>2.9774999999999991</v>
      </c>
      <c r="BN25" s="994">
        <v>3.5303121699999984</v>
      </c>
      <c r="BO25" s="994">
        <v>6.8265344599999978</v>
      </c>
      <c r="BP25" s="994">
        <v>6.4799086100000025</v>
      </c>
      <c r="BQ25" s="994">
        <v>4.4520319400000012</v>
      </c>
      <c r="BR25" s="994">
        <v>4.1875128299999993</v>
      </c>
      <c r="BS25" s="994">
        <v>5.0256413199999983</v>
      </c>
      <c r="BT25" s="994">
        <v>6.6360387299999992</v>
      </c>
      <c r="BU25" s="994">
        <v>5.9122295700000009</v>
      </c>
      <c r="BV25" s="994">
        <v>5.6442428699999994</v>
      </c>
      <c r="BW25" s="994">
        <v>6.6628023600000006</v>
      </c>
      <c r="BX25" s="994">
        <v>5.3764445199999997</v>
      </c>
      <c r="BY25" s="994">
        <v>7.6663725799999991</v>
      </c>
      <c r="BZ25" s="994">
        <v>5.8776862899999998</v>
      </c>
      <c r="CA25" s="994">
        <v>9.0643250500000008</v>
      </c>
      <c r="CB25" s="994">
        <v>6.4012650999999998</v>
      </c>
      <c r="CC25" s="994">
        <v>5.1749023200000002</v>
      </c>
      <c r="CD25" s="994">
        <v>5.1612584500000001</v>
      </c>
      <c r="CE25" s="994">
        <v>5.4967259200000003</v>
      </c>
      <c r="CF25" s="994">
        <v>5.6265361600000006</v>
      </c>
      <c r="CG25" s="994">
        <v>2.2831237599999996</v>
      </c>
      <c r="CH25" s="994">
        <v>256.92021447000002</v>
      </c>
      <c r="CI25" s="994">
        <v>257.01556647000001</v>
      </c>
      <c r="CJ25" s="994">
        <v>257.75141316000003</v>
      </c>
      <c r="CK25" s="994">
        <v>257.76452463999999</v>
      </c>
      <c r="CL25" s="994">
        <v>259.15650058</v>
      </c>
      <c r="CM25" s="994">
        <v>258.75736086000001</v>
      </c>
      <c r="CN25" s="994">
        <v>258.44023493999998</v>
      </c>
      <c r="CO25" s="994">
        <v>258.20765742999998</v>
      </c>
      <c r="CP25" s="994">
        <v>256.67354095999997</v>
      </c>
      <c r="CQ25" s="994">
        <v>256.79835465000002</v>
      </c>
      <c r="CR25" s="994">
        <v>383.99041051999995</v>
      </c>
      <c r="CS25" s="994">
        <v>265.27665506</v>
      </c>
      <c r="CT25" s="994">
        <v>2.8044755600000002</v>
      </c>
      <c r="CU25" s="994">
        <v>6.34708322</v>
      </c>
      <c r="CV25" s="994">
        <v>6.5057903100000001</v>
      </c>
      <c r="CW25" s="994">
        <v>6.6588372199999997</v>
      </c>
      <c r="CX25" s="994">
        <v>7.3465571299999999</v>
      </c>
      <c r="CY25" s="994">
        <v>7.2676636999999999</v>
      </c>
      <c r="CZ25" s="994">
        <v>6.0685682999999999</v>
      </c>
      <c r="DA25" s="994">
        <v>6.2057422899999999</v>
      </c>
      <c r="DB25" s="994">
        <v>6.01201659</v>
      </c>
      <c r="DC25" s="994">
        <v>6.6246238200000001</v>
      </c>
      <c r="DD25" s="1065">
        <v>6.4023755800000002</v>
      </c>
      <c r="DE25" s="1065">
        <v>5.7651655999999996</v>
      </c>
      <c r="DF25" s="1065">
        <v>5.57984993</v>
      </c>
      <c r="DG25" s="1017">
        <v>5.3952402499999996</v>
      </c>
      <c r="DH25" s="1017">
        <v>5.2088591900000001</v>
      </c>
      <c r="DI25" s="1017">
        <v>6.0468154099999998</v>
      </c>
      <c r="DJ25" s="1017">
        <v>5.7829495599999996</v>
      </c>
      <c r="DK25" s="1017">
        <v>5.6061050100000003</v>
      </c>
      <c r="DL25" s="1017">
        <v>5.99567256</v>
      </c>
      <c r="DM25" s="1017">
        <v>5.7380050999999996</v>
      </c>
      <c r="DN25" s="1017">
        <v>3.1067338599999998</v>
      </c>
      <c r="DO25" s="1017">
        <v>2.3432996099999999</v>
      </c>
      <c r="DP25" s="1017">
        <v>2.2714831200000001</v>
      </c>
      <c r="DQ25" s="1017">
        <v>2.73125017</v>
      </c>
      <c r="DR25" s="1017">
        <v>2.4426926600000001</v>
      </c>
      <c r="DS25" s="1017">
        <v>2.2920403899999999</v>
      </c>
      <c r="DT25" s="1017">
        <v>2.3475570399999999</v>
      </c>
      <c r="DU25" s="1017">
        <v>2.2570419500000001</v>
      </c>
      <c r="DV25" s="1017">
        <v>2.20622396</v>
      </c>
      <c r="DW25" s="1017">
        <v>2.1700502799999999</v>
      </c>
      <c r="DX25" s="1017">
        <v>2.00154823</v>
      </c>
      <c r="DY25" s="1017">
        <v>2.53793712</v>
      </c>
      <c r="DZ25" s="1017">
        <v>2.6871069900000002</v>
      </c>
      <c r="EA25" s="1017">
        <v>2.5947811399999998</v>
      </c>
      <c r="EB25" s="1017">
        <v>2.19109731</v>
      </c>
      <c r="EC25" s="1017">
        <v>1.7439299800000001</v>
      </c>
      <c r="ED25" s="1017">
        <v>214.35110628999999</v>
      </c>
      <c r="EE25" s="1017">
        <v>214.25149331</v>
      </c>
    </row>
    <row r="26" spans="1:135" ht="19.8">
      <c r="A26" s="978" t="s">
        <v>2002</v>
      </c>
      <c r="B26" s="945">
        <f>+B24-B25</f>
        <v>662.27613687000007</v>
      </c>
      <c r="C26" s="949">
        <f t="shared" ref="C26:R26" si="8">+C24-C25</f>
        <v>874.47463048999998</v>
      </c>
      <c r="D26" s="949">
        <f t="shared" si="8"/>
        <v>895.24974887999986</v>
      </c>
      <c r="E26" s="949">
        <f t="shared" si="8"/>
        <v>973.62682634000009</v>
      </c>
      <c r="F26" s="949">
        <f t="shared" si="8"/>
        <v>1002.38089519</v>
      </c>
      <c r="G26" s="949">
        <f t="shared" si="8"/>
        <v>1030.94233822</v>
      </c>
      <c r="H26" s="949">
        <f t="shared" si="8"/>
        <v>1060.18717345</v>
      </c>
      <c r="I26" s="949">
        <f t="shared" si="8"/>
        <v>1082.4595303799999</v>
      </c>
      <c r="J26" s="949">
        <f t="shared" si="8"/>
        <v>1133.1449020500002</v>
      </c>
      <c r="K26" s="949">
        <f t="shared" si="8"/>
        <v>1124.4084414699998</v>
      </c>
      <c r="L26" s="949">
        <f t="shared" si="8"/>
        <v>1141.0344104800001</v>
      </c>
      <c r="M26" s="950">
        <f t="shared" si="8"/>
        <v>1201.2297764599998</v>
      </c>
      <c r="N26" s="950">
        <f t="shared" si="8"/>
        <v>1551.9611877899999</v>
      </c>
      <c r="O26" s="950">
        <f t="shared" si="8"/>
        <v>1502.5975962199998</v>
      </c>
      <c r="P26" s="946">
        <f t="shared" si="8"/>
        <v>1528.4595042100002</v>
      </c>
      <c r="Q26" s="946">
        <f t="shared" si="8"/>
        <v>1574.29690076</v>
      </c>
      <c r="R26" s="946">
        <f t="shared" si="8"/>
        <v>1591.5557267500001</v>
      </c>
      <c r="S26" s="946">
        <f>+S24-S25</f>
        <v>1630.9141724500003</v>
      </c>
      <c r="T26" s="946">
        <f>+T24-T25</f>
        <v>1651.2268444900001</v>
      </c>
      <c r="U26" s="946">
        <f>+U24-U25</f>
        <v>1667.4826619800001</v>
      </c>
      <c r="V26" s="946">
        <f>+V24-V25</f>
        <v>1671.5896319799999</v>
      </c>
      <c r="W26" s="946">
        <v>1729.5254237300003</v>
      </c>
      <c r="X26" s="946">
        <v>1716.43106081</v>
      </c>
      <c r="Y26" s="950">
        <v>1692.23991114</v>
      </c>
      <c r="Z26" s="946">
        <v>1681.05669418</v>
      </c>
      <c r="AA26" s="950">
        <v>1748.5591663800001</v>
      </c>
      <c r="AB26" s="950">
        <f>+AB24-AB25</f>
        <v>1740.3220998700001</v>
      </c>
      <c r="AC26" s="950">
        <v>1710.71757617</v>
      </c>
      <c r="AD26" s="950">
        <v>1713.67155822</v>
      </c>
      <c r="AE26" s="950">
        <v>1712.2584501700003</v>
      </c>
      <c r="AF26" s="950">
        <v>1712.4747928400002</v>
      </c>
      <c r="AG26" s="950">
        <v>1718.0477691800002</v>
      </c>
      <c r="AH26" s="950">
        <f>+AH24-AH25</f>
        <v>1552.0038125799999</v>
      </c>
      <c r="AI26" s="950">
        <v>1116.64419503</v>
      </c>
      <c r="AJ26" s="950">
        <f>+AJ24-AJ25</f>
        <v>1111.58935688</v>
      </c>
      <c r="AK26" s="950">
        <f>+AK24-AK25</f>
        <v>1223.2817661299998</v>
      </c>
      <c r="AL26" s="950">
        <v>1206.0203533900001</v>
      </c>
      <c r="AM26" s="950">
        <f>+AM24-AM25</f>
        <v>1111.47297396</v>
      </c>
      <c r="AN26" s="950">
        <f>+AN24-AN25</f>
        <v>1041.7544870899999</v>
      </c>
      <c r="AO26" s="950">
        <f>+AO24-AO25</f>
        <v>889.94920292999996</v>
      </c>
      <c r="AP26" s="950">
        <f>+AP24-AP25</f>
        <v>894.79900891000011</v>
      </c>
      <c r="AQ26" s="950">
        <v>890.32021577000012</v>
      </c>
      <c r="AR26" s="950">
        <f>+AR24-AR25</f>
        <v>885.13979741999992</v>
      </c>
      <c r="AS26" s="950">
        <f>+AS24-AS25</f>
        <v>885.4216853800001</v>
      </c>
      <c r="AT26" s="950">
        <f>AT10-AT14</f>
        <v>895.42963379999992</v>
      </c>
      <c r="AU26" s="950">
        <v>877.66649502999985</v>
      </c>
      <c r="AV26" s="950">
        <v>889.39687536999986</v>
      </c>
      <c r="AW26" s="950">
        <v>879.95505808999997</v>
      </c>
      <c r="AX26" s="950">
        <v>891.46459886000002</v>
      </c>
      <c r="AY26" s="950">
        <v>872.94250151000006</v>
      </c>
      <c r="AZ26" s="950">
        <v>823.86050440999998</v>
      </c>
      <c r="BA26" s="950">
        <v>817.06899937000003</v>
      </c>
      <c r="BB26" s="950">
        <v>815.80568547000007</v>
      </c>
      <c r="BC26" s="950">
        <v>787.72871401999998</v>
      </c>
      <c r="BD26" s="950">
        <f>+BD24-BD25</f>
        <v>391.08591675000002</v>
      </c>
      <c r="BE26" s="950">
        <v>389.56954029000002</v>
      </c>
      <c r="BF26" s="950">
        <v>380.88657448999993</v>
      </c>
      <c r="BG26" s="950">
        <v>366.80847326999998</v>
      </c>
      <c r="BH26" s="1005">
        <v>368.56566887999998</v>
      </c>
      <c r="BI26" s="994">
        <v>353.47848684999997</v>
      </c>
      <c r="BJ26" s="994">
        <v>361.58221755</v>
      </c>
      <c r="BK26" s="994">
        <v>380.56657138999998</v>
      </c>
      <c r="BL26" s="994">
        <v>383.60312077000009</v>
      </c>
      <c r="BM26" s="994">
        <v>401.47677589</v>
      </c>
      <c r="BN26" s="994">
        <v>415.00511246999997</v>
      </c>
      <c r="BO26" s="994">
        <v>419.60468871999996</v>
      </c>
      <c r="BP26" s="994">
        <v>413.00708223999993</v>
      </c>
      <c r="BQ26" s="994">
        <v>414.49085611999999</v>
      </c>
      <c r="BR26" s="994">
        <v>408.9470863200001</v>
      </c>
      <c r="BS26" s="994">
        <v>404.72790939000004</v>
      </c>
      <c r="BT26" s="994">
        <v>401.76685620000001</v>
      </c>
      <c r="BU26" s="994">
        <v>430.14656653999998</v>
      </c>
      <c r="BV26" s="994">
        <v>425.20345230999999</v>
      </c>
      <c r="BW26" s="994">
        <v>464.19518665999999</v>
      </c>
      <c r="BX26" s="994">
        <v>476.31959198999999</v>
      </c>
      <c r="BY26" s="994">
        <v>479.74207579</v>
      </c>
      <c r="BZ26" s="994">
        <v>487.23087151999999</v>
      </c>
      <c r="CA26" s="994">
        <v>490.28794884000001</v>
      </c>
      <c r="CB26" s="994">
        <v>605.3388761199999</v>
      </c>
      <c r="CC26" s="994">
        <v>599.72375844999999</v>
      </c>
      <c r="CD26" s="994">
        <v>631.67067519</v>
      </c>
      <c r="CE26" s="994">
        <f t="shared" ref="CE26:CP26" si="9">+CE24-CE25</f>
        <v>666.15643380999995</v>
      </c>
      <c r="CF26" s="994">
        <f t="shared" si="9"/>
        <v>693.92325709999989</v>
      </c>
      <c r="CG26" s="994">
        <f t="shared" si="9"/>
        <v>670.97045866000008</v>
      </c>
      <c r="CH26" s="994">
        <f t="shared" si="9"/>
        <v>706.64405338000006</v>
      </c>
      <c r="CI26" s="994">
        <f t="shared" si="9"/>
        <v>708.4684813299998</v>
      </c>
      <c r="CJ26" s="994">
        <f t="shared" si="9"/>
        <v>707.80296137999994</v>
      </c>
      <c r="CK26" s="994">
        <f t="shared" si="9"/>
        <v>702.62769417000004</v>
      </c>
      <c r="CL26" s="994">
        <f t="shared" si="9"/>
        <v>718.60181140000009</v>
      </c>
      <c r="CM26" s="994">
        <f t="shared" si="9"/>
        <v>715.51306757999987</v>
      </c>
      <c r="CN26" s="994">
        <f t="shared" si="9"/>
        <v>721.58913843999994</v>
      </c>
      <c r="CO26" s="994">
        <f t="shared" si="9"/>
        <v>741.24164003999999</v>
      </c>
      <c r="CP26" s="994">
        <f t="shared" si="9"/>
        <v>758.08423536999999</v>
      </c>
      <c r="CQ26" s="994">
        <f>+CQ24-CQ25</f>
        <v>784.41641608000009</v>
      </c>
      <c r="CR26" s="994">
        <f>+CR24-CR25</f>
        <v>794.56689541999992</v>
      </c>
      <c r="CS26" s="994">
        <v>777.89148439000019</v>
      </c>
      <c r="CT26" s="994">
        <v>782.03481146000001</v>
      </c>
      <c r="CU26" s="994">
        <v>713.13670345000003</v>
      </c>
      <c r="CV26" s="994">
        <v>715.07254326999998</v>
      </c>
      <c r="CW26" s="994">
        <v>713.92496675999996</v>
      </c>
      <c r="CX26" s="994">
        <v>720.01955994000002</v>
      </c>
      <c r="CY26" s="994">
        <v>718.44076644999996</v>
      </c>
      <c r="CZ26" s="994">
        <v>718.71621032999997</v>
      </c>
      <c r="DA26" s="994">
        <v>688.76654349</v>
      </c>
      <c r="DB26" s="994">
        <v>700.09694095999998</v>
      </c>
      <c r="DC26" s="994">
        <v>743.06552155999998</v>
      </c>
      <c r="DD26" s="1065">
        <v>756.18798737999998</v>
      </c>
      <c r="DE26" s="1065">
        <v>761.24779587</v>
      </c>
      <c r="DF26" s="1065">
        <v>760.33142027999997</v>
      </c>
      <c r="DG26" s="1017">
        <v>760.50819894000006</v>
      </c>
      <c r="DH26" s="1017">
        <v>771.06372763000002</v>
      </c>
      <c r="DI26" s="1017">
        <v>769.36588626000002</v>
      </c>
      <c r="DJ26" s="1017">
        <v>769.93218201000002</v>
      </c>
      <c r="DK26" s="1017">
        <v>758.01612585999999</v>
      </c>
      <c r="DL26" s="1017">
        <v>754.57263952999995</v>
      </c>
      <c r="DM26" s="1017">
        <v>752.84170228000005</v>
      </c>
      <c r="DN26" s="1017">
        <v>744.83559753999998</v>
      </c>
      <c r="DO26" s="1017">
        <v>740.44343068000001</v>
      </c>
      <c r="DP26" s="1017">
        <v>754.62572608000005</v>
      </c>
      <c r="DQ26" s="1017">
        <v>753.36145291000003</v>
      </c>
      <c r="DR26" s="1017">
        <v>744.74428912999997</v>
      </c>
      <c r="DS26" s="1017">
        <v>738.62488281000003</v>
      </c>
      <c r="DT26" s="1017">
        <v>748.67451148999999</v>
      </c>
      <c r="DU26" s="1017">
        <v>739.95244167999999</v>
      </c>
      <c r="DV26" s="1017">
        <v>708.83228944999996</v>
      </c>
      <c r="DW26" s="1017">
        <v>764.33674786999995</v>
      </c>
      <c r="DX26" s="1017">
        <v>827.33347388000004</v>
      </c>
      <c r="DY26" s="1017">
        <v>824.48237564999999</v>
      </c>
      <c r="DZ26" s="1017">
        <v>818.43589598000005</v>
      </c>
      <c r="EA26" s="1017">
        <v>864.24842513999999</v>
      </c>
      <c r="EB26" s="1017">
        <v>865.42283218</v>
      </c>
      <c r="EC26" s="1017">
        <v>902.38467159000004</v>
      </c>
      <c r="ED26" s="1017">
        <v>931.66002975000004</v>
      </c>
      <c r="EE26" s="1017">
        <v>908.48369722999996</v>
      </c>
    </row>
    <row r="27" spans="1:135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</row>
    <row r="28" spans="1:135" ht="19.8">
      <c r="A28" s="1513" t="s">
        <v>189</v>
      </c>
      <c r="B28" s="949">
        <v>474.68845883</v>
      </c>
      <c r="C28" s="949">
        <v>611.46492519000003</v>
      </c>
      <c r="D28" s="949">
        <v>626.70764567999993</v>
      </c>
      <c r="E28" s="949">
        <v>664.65496351000002</v>
      </c>
      <c r="F28" s="949">
        <v>711.39151156000003</v>
      </c>
      <c r="G28" s="949">
        <v>752.65386182000009</v>
      </c>
      <c r="H28" s="949">
        <v>772.64654458999996</v>
      </c>
      <c r="I28" s="949">
        <v>788.50070264999999</v>
      </c>
      <c r="J28" s="949">
        <v>809.35866274</v>
      </c>
      <c r="K28" s="949">
        <v>826.06029692999994</v>
      </c>
      <c r="L28" s="949">
        <v>840.95243269000002</v>
      </c>
      <c r="M28" s="946">
        <v>891.41350994999993</v>
      </c>
      <c r="N28" s="950">
        <v>1238.58983304</v>
      </c>
      <c r="O28" s="950">
        <v>1212.0741544099999</v>
      </c>
      <c r="P28" s="950">
        <v>1231.3432686200001</v>
      </c>
      <c r="Q28" s="950">
        <v>1249.4109852399999</v>
      </c>
      <c r="R28" s="950">
        <v>1268.42319378</v>
      </c>
      <c r="S28" s="950">
        <v>1302.9464996800002</v>
      </c>
      <c r="T28" s="950">
        <v>1322.2987384000003</v>
      </c>
      <c r="U28" s="950">
        <v>1338.1425938699999</v>
      </c>
      <c r="V28" s="950">
        <v>1342.83459741</v>
      </c>
      <c r="W28" s="950">
        <v>1404.8691184900001</v>
      </c>
      <c r="X28" s="950">
        <v>1384.9072332799999</v>
      </c>
      <c r="Y28" s="946">
        <v>1381.5846281199999</v>
      </c>
      <c r="Z28" s="950">
        <v>1375.62979612</v>
      </c>
      <c r="AA28" s="950">
        <v>948.33576385000003</v>
      </c>
      <c r="AB28" s="946">
        <v>934.45402221999996</v>
      </c>
      <c r="AC28" s="946">
        <v>906.88430116999996</v>
      </c>
      <c r="AD28" s="946">
        <v>887.26889962999996</v>
      </c>
      <c r="AE28" s="946">
        <v>879.16980595000007</v>
      </c>
      <c r="AF28" s="946">
        <v>875.75709975000007</v>
      </c>
      <c r="AG28" s="946">
        <v>883.05004988000007</v>
      </c>
      <c r="AH28" s="946">
        <v>783.33371264999994</v>
      </c>
      <c r="AI28" s="946">
        <v>786.47550797999997</v>
      </c>
      <c r="AJ28" s="946">
        <v>776.00162976000001</v>
      </c>
      <c r="AK28" s="946">
        <v>756.76556631999995</v>
      </c>
      <c r="AL28" s="946">
        <v>737.69932990000007</v>
      </c>
      <c r="AM28" s="946">
        <v>726.16111610000007</v>
      </c>
      <c r="AN28" s="946">
        <v>725.25790355999993</v>
      </c>
      <c r="AO28" s="946">
        <v>727.07730872999991</v>
      </c>
      <c r="AP28" s="946">
        <v>731.60823546000006</v>
      </c>
      <c r="AQ28" s="946">
        <v>722.3579024500001</v>
      </c>
      <c r="AR28" s="946">
        <v>716.69626521999999</v>
      </c>
      <c r="AS28" s="946">
        <v>712.38654869000004</v>
      </c>
      <c r="AT28" s="946">
        <v>726.08608998</v>
      </c>
      <c r="AU28" s="946">
        <v>710.62299726000003</v>
      </c>
      <c r="AV28" s="946">
        <v>709.38333647000002</v>
      </c>
      <c r="AW28" s="946">
        <v>693.88603808000005</v>
      </c>
      <c r="AX28" s="946">
        <v>693.33924743999989</v>
      </c>
      <c r="AY28" s="946">
        <v>694.31419715000004</v>
      </c>
      <c r="AZ28" s="946">
        <v>648.92004098999996</v>
      </c>
      <c r="BA28" s="946">
        <v>646.06421168000008</v>
      </c>
      <c r="BB28" s="946">
        <v>645.72058558000003</v>
      </c>
      <c r="BC28" s="946">
        <v>648.36736957000005</v>
      </c>
      <c r="BD28" s="946">
        <v>254.76191244</v>
      </c>
      <c r="BE28" s="946">
        <v>255.45488173999999</v>
      </c>
      <c r="BF28" s="946">
        <v>256.18259761000002</v>
      </c>
      <c r="BG28" s="946">
        <v>241.00010439000002</v>
      </c>
      <c r="BH28" s="1004">
        <v>241.68829052999999</v>
      </c>
      <c r="BI28" s="993">
        <v>202.97773952</v>
      </c>
      <c r="BJ28" s="993">
        <v>218.58858434999999</v>
      </c>
      <c r="BK28" s="993">
        <v>236.78829243000001</v>
      </c>
      <c r="BL28" s="993">
        <v>237.68166059000001</v>
      </c>
      <c r="BM28" s="993">
        <v>237.24107013999998</v>
      </c>
      <c r="BN28" s="993">
        <v>240.43486102</v>
      </c>
      <c r="BO28" s="993">
        <v>251.72277008</v>
      </c>
      <c r="BP28" s="993">
        <v>248.29137097</v>
      </c>
      <c r="BQ28" s="993">
        <v>238.72267816000002</v>
      </c>
      <c r="BR28" s="993">
        <v>239.21937254000002</v>
      </c>
      <c r="BS28" s="993">
        <v>236.02649700000001</v>
      </c>
      <c r="BT28" s="993">
        <v>232.87185169</v>
      </c>
      <c r="BU28" s="993">
        <v>252.70315393000001</v>
      </c>
      <c r="BV28" s="993">
        <v>253.18948444</v>
      </c>
      <c r="BW28" s="993">
        <v>288.76078735999999</v>
      </c>
      <c r="BX28" s="993">
        <v>293.00708994000001</v>
      </c>
      <c r="BY28" s="993">
        <v>287.89675228999994</v>
      </c>
      <c r="BZ28" s="993">
        <v>289.36685556999998</v>
      </c>
      <c r="CA28" s="993">
        <v>297.86059657999994</v>
      </c>
      <c r="CB28" s="993">
        <v>410.35721357</v>
      </c>
      <c r="CC28" s="993">
        <v>400.32397682999999</v>
      </c>
      <c r="CD28" s="993">
        <v>403.87273599000002</v>
      </c>
      <c r="CE28" s="993">
        <v>401.76014967000003</v>
      </c>
      <c r="CF28" s="993">
        <v>412.32391673999996</v>
      </c>
      <c r="CG28" s="993">
        <v>415.26517176000004</v>
      </c>
      <c r="CH28" s="993">
        <v>436.45404734000005</v>
      </c>
      <c r="CI28" s="993">
        <v>428.21777049999997</v>
      </c>
      <c r="CJ28" s="993">
        <v>442.10341133000003</v>
      </c>
      <c r="CK28" s="993">
        <v>444.43814493000002</v>
      </c>
      <c r="CL28" s="993">
        <v>447.18179942</v>
      </c>
      <c r="CM28" s="993">
        <v>449.61185095000002</v>
      </c>
      <c r="CN28" s="993">
        <v>450.26061403</v>
      </c>
      <c r="CO28" s="993">
        <v>456.28828979999997</v>
      </c>
      <c r="CP28" s="993">
        <v>485.72001609999995</v>
      </c>
      <c r="CQ28" s="993">
        <v>508.50552796000005</v>
      </c>
      <c r="CR28" s="993">
        <v>638.12730896999994</v>
      </c>
      <c r="CS28" s="993">
        <v>515.36702852000008</v>
      </c>
      <c r="CT28" s="993">
        <v>531.96766222999997</v>
      </c>
      <c r="CU28" s="993">
        <v>480.65060196000002</v>
      </c>
      <c r="CV28" s="993">
        <v>487.16329051999998</v>
      </c>
      <c r="CW28" s="993">
        <v>488.71805323000001</v>
      </c>
      <c r="CX28" s="993">
        <v>495.09318661999998</v>
      </c>
      <c r="CY28" s="993">
        <v>498.10874708</v>
      </c>
      <c r="CZ28" s="993">
        <v>499.46747268000001</v>
      </c>
      <c r="DA28" s="993">
        <v>507.76260033</v>
      </c>
      <c r="DB28" s="993">
        <v>516.67723479000006</v>
      </c>
      <c r="DC28" s="993">
        <v>536.72924520000004</v>
      </c>
      <c r="DD28" s="1064">
        <v>550.95203300000003</v>
      </c>
      <c r="DE28" s="1064">
        <v>555.13193616000001</v>
      </c>
      <c r="DF28" s="1064">
        <v>555.88656311</v>
      </c>
      <c r="DG28" s="1016">
        <v>557.91790326</v>
      </c>
      <c r="DH28" s="1016">
        <v>561.96033402</v>
      </c>
      <c r="DI28" s="1016">
        <v>562.80412735000004</v>
      </c>
      <c r="DJ28" s="1016">
        <v>560.31954817999997</v>
      </c>
      <c r="DK28" s="1016">
        <v>552.69970995999995</v>
      </c>
      <c r="DL28" s="1016">
        <v>553.87479445999998</v>
      </c>
      <c r="DM28" s="1016">
        <v>553.41518113999996</v>
      </c>
      <c r="DN28" s="1016">
        <v>544.33927215000006</v>
      </c>
      <c r="DO28" s="1016">
        <v>538.14527094000005</v>
      </c>
      <c r="DP28" s="1016">
        <v>554.13832834000004</v>
      </c>
      <c r="DQ28" s="1016">
        <v>553.78529338999999</v>
      </c>
      <c r="DR28" s="1016">
        <v>544.52479427000003</v>
      </c>
      <c r="DS28" s="1016">
        <v>544.86614851000002</v>
      </c>
      <c r="DT28" s="1016">
        <v>555.85496264999995</v>
      </c>
      <c r="DU28" s="1016">
        <v>557.92545203999998</v>
      </c>
      <c r="DV28" s="1016">
        <v>531.40294759000005</v>
      </c>
      <c r="DW28" s="1016">
        <v>558.32028118999995</v>
      </c>
      <c r="DX28" s="1016">
        <v>616.92675036000003</v>
      </c>
      <c r="DY28" s="1016">
        <v>618.95100677999994</v>
      </c>
      <c r="DZ28" s="1016">
        <v>620.11702971</v>
      </c>
      <c r="EA28" s="1016">
        <v>657.25711834000003</v>
      </c>
      <c r="EB28" s="1016">
        <v>666.28424563999999</v>
      </c>
      <c r="EC28" s="1016">
        <v>696.60013135999998</v>
      </c>
      <c r="ED28" s="1016">
        <v>731.37505315999999</v>
      </c>
      <c r="EE28" s="1016">
        <v>708.98148876000005</v>
      </c>
    </row>
    <row r="29" spans="1:135" ht="19.8">
      <c r="A29" s="1514" t="s">
        <v>2001</v>
      </c>
      <c r="B29" s="949">
        <v>0.62639933999999997</v>
      </c>
      <c r="C29" s="949">
        <v>0.62639933999999997</v>
      </c>
      <c r="D29" s="949">
        <v>0.62542616000000006</v>
      </c>
      <c r="E29" s="949">
        <v>20.554189620000002</v>
      </c>
      <c r="F29" s="949">
        <v>40.58326959</v>
      </c>
      <c r="G29" s="949">
        <v>60.555332849999999</v>
      </c>
      <c r="H29" s="949">
        <v>60.55404618</v>
      </c>
      <c r="I29" s="949">
        <v>60.472742359999998</v>
      </c>
      <c r="J29" s="949">
        <v>60.444754150000001</v>
      </c>
      <c r="K29" s="949">
        <v>59.414748329999995</v>
      </c>
      <c r="L29" s="949">
        <v>57.386724659999999</v>
      </c>
      <c r="M29" s="950">
        <v>53.358682899999998</v>
      </c>
      <c r="N29" s="950">
        <v>50.330622810000001</v>
      </c>
      <c r="O29" s="950">
        <v>45.802544140000002</v>
      </c>
      <c r="P29" s="950">
        <v>40.774446650000002</v>
      </c>
      <c r="Q29" s="950">
        <v>38.74633</v>
      </c>
      <c r="R29" s="950">
        <v>37.901063000000001</v>
      </c>
      <c r="S29" s="950">
        <v>39.596046000000001</v>
      </c>
      <c r="T29" s="950">
        <v>39.212300970000001</v>
      </c>
      <c r="U29" s="950">
        <v>40.366461999999999</v>
      </c>
      <c r="V29" s="950">
        <v>39.489737840000004</v>
      </c>
      <c r="W29" s="950">
        <v>38.38370484</v>
      </c>
      <c r="X29" s="950">
        <v>34.284080719999999</v>
      </c>
      <c r="Y29" s="950">
        <v>28.074688600000002</v>
      </c>
      <c r="Z29" s="950">
        <v>25.176263219999999</v>
      </c>
      <c r="AA29" s="950">
        <v>20.166678999999998</v>
      </c>
      <c r="AB29" s="950">
        <v>15.82814769</v>
      </c>
      <c r="AC29" s="950">
        <v>13.8170395</v>
      </c>
      <c r="AD29" s="950">
        <v>12.335800599999999</v>
      </c>
      <c r="AE29" s="950">
        <v>11.819963869999999</v>
      </c>
      <c r="AF29" s="950">
        <v>11.79912676</v>
      </c>
      <c r="AG29" s="950">
        <v>11.78852206</v>
      </c>
      <c r="AH29" s="950">
        <v>11.2754891</v>
      </c>
      <c r="AI29" s="950">
        <v>9.74122427</v>
      </c>
      <c r="AJ29" s="950">
        <v>5.7032649199999996</v>
      </c>
      <c r="AK29" s="950">
        <v>0.36331476000000001</v>
      </c>
      <c r="AL29" s="950">
        <v>0.52142602000000005</v>
      </c>
      <c r="AM29" s="950">
        <v>0.56225252999999997</v>
      </c>
      <c r="AN29" s="950">
        <v>2.6049877499999998</v>
      </c>
      <c r="AO29" s="950">
        <v>0.71408993000000009</v>
      </c>
      <c r="AP29" s="950">
        <v>1.9955536200000001</v>
      </c>
      <c r="AQ29" s="950">
        <v>2.66733975</v>
      </c>
      <c r="AR29" s="950">
        <v>1.8976882399999999</v>
      </c>
      <c r="AS29" s="950">
        <v>1.3366877800000001</v>
      </c>
      <c r="AT29" s="950">
        <v>2.19310319</v>
      </c>
      <c r="AU29" s="950">
        <v>3.5798451400000002</v>
      </c>
      <c r="AV29" s="950">
        <v>4.0034571000000003</v>
      </c>
      <c r="AW29" s="950">
        <v>0.19676913000000001</v>
      </c>
      <c r="AX29" s="950">
        <v>1.8071656399999998</v>
      </c>
      <c r="AY29" s="950">
        <v>3.1457761800000004</v>
      </c>
      <c r="AZ29" s="950">
        <v>3.37799563</v>
      </c>
      <c r="BA29" s="950">
        <v>3.4908865599999999</v>
      </c>
      <c r="BB29" s="950">
        <v>1.8362173899999998</v>
      </c>
      <c r="BC29" s="950">
        <v>2.41358016</v>
      </c>
      <c r="BD29" s="950">
        <v>1.4568437400000001</v>
      </c>
      <c r="BE29" s="950">
        <v>2.7165136800000003</v>
      </c>
      <c r="BF29" s="950">
        <v>1.8997628</v>
      </c>
      <c r="BG29" s="950">
        <v>2.6671303399999999</v>
      </c>
      <c r="BH29" s="1005">
        <v>1.12911187</v>
      </c>
      <c r="BI29" s="994">
        <v>1.23</v>
      </c>
      <c r="BJ29" s="994">
        <v>0.45800000000000002</v>
      </c>
      <c r="BK29" s="994">
        <v>2.0487869999999999</v>
      </c>
      <c r="BL29" s="994">
        <v>1.2087790700000001</v>
      </c>
      <c r="BM29" s="994">
        <v>2.1274999999999999</v>
      </c>
      <c r="BN29" s="994">
        <v>2.8150003300000002</v>
      </c>
      <c r="BO29" s="994">
        <v>6.8265344599999995</v>
      </c>
      <c r="BP29" s="994">
        <v>6.4799086100000007</v>
      </c>
      <c r="BQ29" s="994">
        <v>4.4520319400000004</v>
      </c>
      <c r="BR29" s="994">
        <v>4.1875128300000002</v>
      </c>
      <c r="BS29" s="994">
        <v>5.0256413200000001</v>
      </c>
      <c r="BT29" s="994">
        <v>6.6360387300000001</v>
      </c>
      <c r="BU29" s="994">
        <v>5.91222957</v>
      </c>
      <c r="BV29" s="994">
        <v>5.6442428700000002</v>
      </c>
      <c r="BW29" s="994">
        <v>6.6628023600000006</v>
      </c>
      <c r="BX29" s="994">
        <v>5.3764445199999997</v>
      </c>
      <c r="BY29" s="994">
        <v>7.66637258</v>
      </c>
      <c r="BZ29" s="994">
        <v>5.8776862899999998</v>
      </c>
      <c r="CA29" s="994">
        <v>9.0643250500000008</v>
      </c>
      <c r="CB29" s="994">
        <v>6.4012650999999998</v>
      </c>
      <c r="CC29" s="994">
        <v>5.1749023200000002</v>
      </c>
      <c r="CD29" s="994">
        <v>5.1612584500000001</v>
      </c>
      <c r="CE29" s="994">
        <v>5.4967259200000003</v>
      </c>
      <c r="CF29" s="994">
        <v>5.6265361600000006</v>
      </c>
      <c r="CG29" s="994">
        <v>2.2831237599999996</v>
      </c>
      <c r="CH29" s="994">
        <v>1.9202144699999999</v>
      </c>
      <c r="CI29" s="994">
        <v>2.01556647</v>
      </c>
      <c r="CJ29" s="994">
        <v>2.3748631600000003</v>
      </c>
      <c r="CK29" s="994">
        <v>2.2859746400000001</v>
      </c>
      <c r="CL29" s="994">
        <v>2.7454316200000002</v>
      </c>
      <c r="CM29" s="994">
        <v>2.3631322900000002</v>
      </c>
      <c r="CN29" s="994">
        <v>2.1292574800000001</v>
      </c>
      <c r="CO29" s="994">
        <v>1.91381527</v>
      </c>
      <c r="CP29" s="994">
        <v>0.73654407999999993</v>
      </c>
      <c r="CQ29" s="994">
        <v>0.91531054000000001</v>
      </c>
      <c r="CR29" s="994">
        <v>128.06712059999998</v>
      </c>
      <c r="CS29" s="994">
        <v>0.89275553000000007</v>
      </c>
      <c r="CT29" s="994">
        <v>1.96100553</v>
      </c>
      <c r="CU29" s="994">
        <v>0.90255545999999998</v>
      </c>
      <c r="CV29" s="994">
        <v>1.20280192</v>
      </c>
      <c r="CW29" s="994">
        <v>1.57891483</v>
      </c>
      <c r="CX29" s="994">
        <v>2.42425092</v>
      </c>
      <c r="CY29" s="994">
        <v>2.5025888100000002</v>
      </c>
      <c r="CZ29" s="994">
        <v>1.46274452</v>
      </c>
      <c r="DA29" s="994">
        <v>1.7588790599999999</v>
      </c>
      <c r="DB29" s="994">
        <v>1.7241877299999999</v>
      </c>
      <c r="DC29" s="994">
        <v>2.5713719400000001</v>
      </c>
      <c r="DD29" s="1065">
        <v>2.5347394099999998</v>
      </c>
      <c r="DE29" s="1065">
        <v>2.03585824</v>
      </c>
      <c r="DF29" s="1065">
        <v>1.9898499599999999</v>
      </c>
      <c r="DG29" s="1017">
        <v>1.94398717</v>
      </c>
      <c r="DH29" s="1017">
        <v>1.8972975400000001</v>
      </c>
      <c r="DI29" s="1017">
        <v>2.8758463500000002</v>
      </c>
      <c r="DJ29" s="1017">
        <v>2.7523732299999999</v>
      </c>
      <c r="DK29" s="1017">
        <v>2.7160197899999998</v>
      </c>
      <c r="DL29" s="1017">
        <v>3.2466822199999998</v>
      </c>
      <c r="DM29" s="1017">
        <v>2.9890147599999999</v>
      </c>
      <c r="DN29" s="1017">
        <v>3.1067338599999998</v>
      </c>
      <c r="DO29" s="1017">
        <v>2.3432996099999999</v>
      </c>
      <c r="DP29" s="1017">
        <v>2.2714831200000001</v>
      </c>
      <c r="DQ29" s="1017">
        <v>2.73125017</v>
      </c>
      <c r="DR29" s="1017">
        <v>2.4426926600000001</v>
      </c>
      <c r="DS29" s="1017">
        <v>2.2920403899999999</v>
      </c>
      <c r="DT29" s="1017">
        <v>2.3475570399999999</v>
      </c>
      <c r="DU29" s="1017">
        <v>2.2570419500000001</v>
      </c>
      <c r="DV29" s="1017">
        <v>2.20622396</v>
      </c>
      <c r="DW29" s="1017">
        <v>2.1700502799999999</v>
      </c>
      <c r="DX29" s="1017">
        <v>2.00154823</v>
      </c>
      <c r="DY29" s="1017">
        <v>2.53793712</v>
      </c>
      <c r="DZ29" s="1017">
        <v>2.6871069900000002</v>
      </c>
      <c r="EA29" s="1017">
        <v>2.5947811399999998</v>
      </c>
      <c r="EB29" s="1017">
        <v>2.19109731</v>
      </c>
      <c r="EC29" s="1017">
        <v>1.7439299800000001</v>
      </c>
      <c r="ED29" s="1017">
        <v>1.8511062899999999</v>
      </c>
      <c r="EE29" s="1017">
        <v>1.7514933100000001</v>
      </c>
    </row>
    <row r="30" spans="1:135" ht="19.8">
      <c r="A30" s="1515" t="s">
        <v>2002</v>
      </c>
      <c r="B30" s="945">
        <f>+B28-B29</f>
        <v>474.06205949000002</v>
      </c>
      <c r="C30" s="945">
        <f t="shared" ref="C30:V30" si="10">+C28-C29</f>
        <v>610.83852585</v>
      </c>
      <c r="D30" s="945">
        <f t="shared" si="10"/>
        <v>626.08221951999997</v>
      </c>
      <c r="E30" s="945">
        <f t="shared" si="10"/>
        <v>644.10077389000003</v>
      </c>
      <c r="F30" s="945">
        <f t="shared" si="10"/>
        <v>670.80824197000004</v>
      </c>
      <c r="G30" s="945">
        <f t="shared" si="10"/>
        <v>692.09852897000007</v>
      </c>
      <c r="H30" s="945">
        <f t="shared" si="10"/>
        <v>712.09249840999996</v>
      </c>
      <c r="I30" s="945">
        <f t="shared" si="10"/>
        <v>728.02796029000001</v>
      </c>
      <c r="J30" s="945">
        <f t="shared" si="10"/>
        <v>748.91390859000001</v>
      </c>
      <c r="K30" s="945">
        <f t="shared" si="10"/>
        <v>766.64554859999998</v>
      </c>
      <c r="L30" s="945">
        <f t="shared" si="10"/>
        <v>783.56570803</v>
      </c>
      <c r="M30" s="950">
        <f t="shared" si="10"/>
        <v>838.05482704999997</v>
      </c>
      <c r="N30" s="946">
        <f t="shared" si="10"/>
        <v>1188.25921023</v>
      </c>
      <c r="O30" s="946">
        <f t="shared" si="10"/>
        <v>1166.2716102699999</v>
      </c>
      <c r="P30" s="946">
        <f t="shared" si="10"/>
        <v>1190.56882197</v>
      </c>
      <c r="Q30" s="946">
        <f t="shared" si="10"/>
        <v>1210.66465524</v>
      </c>
      <c r="R30" s="946">
        <f t="shared" si="10"/>
        <v>1230.52213078</v>
      </c>
      <c r="S30" s="946">
        <f t="shared" si="10"/>
        <v>1263.3504536800001</v>
      </c>
      <c r="T30" s="946">
        <f t="shared" si="10"/>
        <v>1283.0864374300004</v>
      </c>
      <c r="U30" s="946">
        <f t="shared" si="10"/>
        <v>1297.77613187</v>
      </c>
      <c r="V30" s="946">
        <f t="shared" si="10"/>
        <v>1303.3448595699999</v>
      </c>
      <c r="W30" s="946">
        <v>1366.4854136500001</v>
      </c>
      <c r="X30" s="946">
        <v>1350.6231525599999</v>
      </c>
      <c r="Y30" s="950">
        <v>1353.50993952</v>
      </c>
      <c r="Z30" s="946">
        <v>1350.4535329</v>
      </c>
      <c r="AA30" s="946">
        <v>928.16908484999999</v>
      </c>
      <c r="AB30" s="950">
        <f>+AB28-AB29</f>
        <v>918.62587452999992</v>
      </c>
      <c r="AC30" s="950">
        <v>893.06726166999999</v>
      </c>
      <c r="AD30" s="950">
        <v>874.93309902999999</v>
      </c>
      <c r="AE30" s="950">
        <v>867.34984208000003</v>
      </c>
      <c r="AF30" s="950">
        <v>863.95797299000003</v>
      </c>
      <c r="AG30" s="950">
        <v>871.26152782000008</v>
      </c>
      <c r="AH30" s="950">
        <f>+AH28-AH29</f>
        <v>772.05822354999998</v>
      </c>
      <c r="AI30" s="950">
        <v>776.73428371</v>
      </c>
      <c r="AJ30" s="950">
        <f>+AJ28-AJ29</f>
        <v>770.29836483999998</v>
      </c>
      <c r="AK30" s="950">
        <f>+AK28-AK29</f>
        <v>756.40225155999997</v>
      </c>
      <c r="AL30" s="950">
        <v>737.17790388000003</v>
      </c>
      <c r="AM30" s="950">
        <f>+AM28-AM29</f>
        <v>725.59886357000005</v>
      </c>
      <c r="AN30" s="950">
        <f>+AN28-AN29</f>
        <v>722.65291580999997</v>
      </c>
      <c r="AO30" s="950">
        <f>+AO28-AO29</f>
        <v>726.36321879999991</v>
      </c>
      <c r="AP30" s="950">
        <f>+AP28-AP29</f>
        <v>729.61268184000005</v>
      </c>
      <c r="AQ30" s="950">
        <v>719.6905627000001</v>
      </c>
      <c r="AR30" s="950">
        <f>+AR28-AR29</f>
        <v>714.79857698000001</v>
      </c>
      <c r="AS30" s="950">
        <f>+AS28-AS29</f>
        <v>711.04986091000001</v>
      </c>
      <c r="AT30" s="950">
        <f>+AT28-AT29</f>
        <v>723.89298679000001</v>
      </c>
      <c r="AU30" s="950">
        <v>707.04315212000006</v>
      </c>
      <c r="AV30" s="950">
        <v>705.37987937000003</v>
      </c>
      <c r="AW30" s="950">
        <v>693.68926895000004</v>
      </c>
      <c r="AX30" s="950">
        <v>691.5320817999999</v>
      </c>
      <c r="AY30" s="950">
        <v>691.16842097000006</v>
      </c>
      <c r="AZ30" s="950">
        <v>645.54204535999997</v>
      </c>
      <c r="BA30" s="950">
        <v>642.57332512000005</v>
      </c>
      <c r="BB30" s="950">
        <v>643.88436819000003</v>
      </c>
      <c r="BC30" s="950">
        <v>645.95378941000001</v>
      </c>
      <c r="BD30" s="950">
        <f>+BD28-BD29</f>
        <v>253.30506869999999</v>
      </c>
      <c r="BE30" s="950">
        <v>252.73836806</v>
      </c>
      <c r="BF30" s="950">
        <v>254.28283481000003</v>
      </c>
      <c r="BG30" s="950">
        <v>238.33297405000002</v>
      </c>
      <c r="BH30" s="1005">
        <v>240.55917865999999</v>
      </c>
      <c r="BI30" s="994">
        <v>201.74773952000001</v>
      </c>
      <c r="BJ30" s="994">
        <v>218.13058434999999</v>
      </c>
      <c r="BK30" s="994">
        <v>234.73950543000001</v>
      </c>
      <c r="BL30" s="994">
        <v>236.47288152000002</v>
      </c>
      <c r="BM30" s="994">
        <v>235.11357013999998</v>
      </c>
      <c r="BN30" s="994">
        <v>237.61986069</v>
      </c>
      <c r="BO30" s="994">
        <v>244.89623562</v>
      </c>
      <c r="BP30" s="994">
        <v>241.81146236000001</v>
      </c>
      <c r="BQ30" s="994">
        <v>234.27064622</v>
      </c>
      <c r="BR30" s="994">
        <v>235.03185971000002</v>
      </c>
      <c r="BS30" s="994">
        <v>231.00085568</v>
      </c>
      <c r="BT30" s="994">
        <v>226.23581296</v>
      </c>
      <c r="BU30" s="994">
        <v>246.79092436000002</v>
      </c>
      <c r="BV30" s="994">
        <v>247.54524157</v>
      </c>
      <c r="BW30" s="994">
        <v>282.09798499999999</v>
      </c>
      <c r="BX30" s="994">
        <v>287.63064542000001</v>
      </c>
      <c r="BY30" s="994">
        <v>280.23037970999997</v>
      </c>
      <c r="BZ30" s="994">
        <v>283.48916928</v>
      </c>
      <c r="CA30" s="994">
        <v>288.79627152999996</v>
      </c>
      <c r="CB30" s="994">
        <v>403.95594847000001</v>
      </c>
      <c r="CC30" s="994">
        <v>395.14907450999999</v>
      </c>
      <c r="CD30" s="994">
        <v>398.71147754000003</v>
      </c>
      <c r="CE30" s="994">
        <f t="shared" ref="CE30:CP30" si="11">+CE28-CE29</f>
        <v>396.26342375000002</v>
      </c>
      <c r="CF30" s="994">
        <f t="shared" si="11"/>
        <v>406.69738057999996</v>
      </c>
      <c r="CG30" s="994">
        <f t="shared" si="11"/>
        <v>412.98204800000002</v>
      </c>
      <c r="CH30" s="994">
        <f t="shared" si="11"/>
        <v>434.53383287000003</v>
      </c>
      <c r="CI30" s="994">
        <f t="shared" si="11"/>
        <v>426.20220402999996</v>
      </c>
      <c r="CJ30" s="994">
        <f t="shared" si="11"/>
        <v>439.72854817000001</v>
      </c>
      <c r="CK30" s="994">
        <f t="shared" si="11"/>
        <v>442.15217029000002</v>
      </c>
      <c r="CL30" s="994">
        <f t="shared" si="11"/>
        <v>444.43636780000003</v>
      </c>
      <c r="CM30" s="994">
        <f t="shared" si="11"/>
        <v>447.24871866000001</v>
      </c>
      <c r="CN30" s="994">
        <f t="shared" si="11"/>
        <v>448.13135655000002</v>
      </c>
      <c r="CO30" s="994">
        <f t="shared" si="11"/>
        <v>454.37447452999999</v>
      </c>
      <c r="CP30" s="994">
        <f t="shared" si="11"/>
        <v>484.98347201999997</v>
      </c>
      <c r="CQ30" s="994">
        <f>+CQ28-CQ29</f>
        <v>507.59021742000004</v>
      </c>
      <c r="CR30" s="994">
        <f>+CR28-CR29</f>
        <v>510.06018836999999</v>
      </c>
      <c r="CS30" s="994">
        <v>514.47427299000003</v>
      </c>
      <c r="CT30" s="994">
        <v>530.00665670000001</v>
      </c>
      <c r="CU30" s="994">
        <v>479.74804649999999</v>
      </c>
      <c r="CV30" s="994">
        <v>485.96048860000002</v>
      </c>
      <c r="CW30" s="994">
        <v>487.13913839999998</v>
      </c>
      <c r="CX30" s="994">
        <v>492.66893570000002</v>
      </c>
      <c r="CY30" s="994">
        <v>495.60615826999998</v>
      </c>
      <c r="CZ30" s="994">
        <v>498.00472816000001</v>
      </c>
      <c r="DA30" s="994">
        <v>506.00372127000003</v>
      </c>
      <c r="DB30" s="994">
        <v>514.95304706000002</v>
      </c>
      <c r="DC30" s="994">
        <v>534.15787325999997</v>
      </c>
      <c r="DD30" s="1065">
        <v>548.41729358999999</v>
      </c>
      <c r="DE30" s="1065">
        <v>553.09607791999997</v>
      </c>
      <c r="DF30" s="1065">
        <v>553.89671314999998</v>
      </c>
      <c r="DG30" s="1017">
        <v>555.97391608999999</v>
      </c>
      <c r="DH30" s="1017">
        <v>560.06303648000005</v>
      </c>
      <c r="DI30" s="1017">
        <v>559.92828099999997</v>
      </c>
      <c r="DJ30" s="1017">
        <v>557.56717494999998</v>
      </c>
      <c r="DK30" s="1017">
        <v>549.98369017000005</v>
      </c>
      <c r="DL30" s="1017">
        <v>550.62811223999995</v>
      </c>
      <c r="DM30" s="1017">
        <v>550.42616638000004</v>
      </c>
      <c r="DN30" s="1017">
        <v>541.23253828999998</v>
      </c>
      <c r="DO30" s="1017">
        <v>535.80197133000001</v>
      </c>
      <c r="DP30" s="1017">
        <v>551.86684521999996</v>
      </c>
      <c r="DQ30" s="1017">
        <v>551.05404322000004</v>
      </c>
      <c r="DR30" s="1017">
        <v>542.08210161</v>
      </c>
      <c r="DS30" s="1017">
        <v>542.57410812000001</v>
      </c>
      <c r="DT30" s="1017">
        <v>553.50740560999998</v>
      </c>
      <c r="DU30" s="1017">
        <v>555.66841008999995</v>
      </c>
      <c r="DV30" s="1017">
        <v>529.19672362999995</v>
      </c>
      <c r="DW30" s="1017">
        <v>556.15023091</v>
      </c>
      <c r="DX30" s="1017">
        <v>614.92520213</v>
      </c>
      <c r="DY30" s="1017">
        <v>616.41306966000002</v>
      </c>
      <c r="DZ30" s="1017">
        <v>617.42992272000004</v>
      </c>
      <c r="EA30" s="1017">
        <v>654.66233720000002</v>
      </c>
      <c r="EB30" s="1017">
        <v>664.09314832999996</v>
      </c>
      <c r="EC30" s="1017">
        <v>694.85620138000002</v>
      </c>
      <c r="ED30" s="1017">
        <v>729.52394687000003</v>
      </c>
      <c r="EE30" s="1017">
        <v>707.22999545000005</v>
      </c>
    </row>
    <row r="31" spans="1:135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</row>
    <row r="32" spans="1:135" ht="19.8">
      <c r="A32" s="1513" t="s">
        <v>2822</v>
      </c>
      <c r="B32" s="945">
        <v>189.16265887</v>
      </c>
      <c r="C32" s="945">
        <v>264.58516986000001</v>
      </c>
      <c r="D32" s="945">
        <v>270.11659458000003</v>
      </c>
      <c r="E32" s="945">
        <v>330.47487580000001</v>
      </c>
      <c r="F32" s="945">
        <v>332.52147657</v>
      </c>
      <c r="G32" s="945">
        <v>339.61892675999997</v>
      </c>
      <c r="H32" s="945">
        <v>348.86066410000001</v>
      </c>
      <c r="I32" s="945">
        <v>355.19746150999998</v>
      </c>
      <c r="J32" s="945">
        <v>384.99698251999996</v>
      </c>
      <c r="K32" s="945">
        <v>358.52888193000001</v>
      </c>
      <c r="L32" s="945">
        <v>358.23459386999997</v>
      </c>
      <c r="M32" s="946">
        <v>363.76875579</v>
      </c>
      <c r="N32" s="946">
        <v>364.51779914999997</v>
      </c>
      <c r="O32" s="946">
        <v>336.91971663999993</v>
      </c>
      <c r="P32" s="946">
        <v>338.48433724</v>
      </c>
      <c r="Q32" s="946">
        <v>364.22590051999998</v>
      </c>
      <c r="R32" s="946">
        <v>361.62732665999999</v>
      </c>
      <c r="S32" s="946">
        <v>367.96804090000001</v>
      </c>
      <c r="T32" s="946">
        <v>368.54467764000003</v>
      </c>
      <c r="U32" s="946">
        <v>370.11090379000001</v>
      </c>
      <c r="V32" s="946">
        <v>368.64914609000004</v>
      </c>
      <c r="W32" s="946">
        <v>363.51294660000002</v>
      </c>
      <c r="X32" s="946">
        <v>366.21228193000002</v>
      </c>
      <c r="Y32" s="946">
        <v>338.93656011000002</v>
      </c>
      <c r="Z32" s="946">
        <v>331.19162470999999</v>
      </c>
      <c r="AA32" s="946">
        <v>820.39008152999997</v>
      </c>
      <c r="AB32" s="946">
        <v>821.99976609000009</v>
      </c>
      <c r="AC32" s="946">
        <v>817.77087305000009</v>
      </c>
      <c r="AD32" s="946">
        <v>839.00499037000009</v>
      </c>
      <c r="AE32" s="946">
        <v>845.26031588000001</v>
      </c>
      <c r="AF32" s="946">
        <v>848.77047535000008</v>
      </c>
      <c r="AG32" s="946">
        <v>846.85092316999999</v>
      </c>
      <c r="AH32" s="946">
        <v>783.33371264999994</v>
      </c>
      <c r="AI32" s="946">
        <v>340.74377113999998</v>
      </c>
      <c r="AJ32" s="946">
        <v>342.45460947000004</v>
      </c>
      <c r="AK32" s="946">
        <v>468.43420785999996</v>
      </c>
      <c r="AL32" s="946">
        <v>470.43841785000001</v>
      </c>
      <c r="AM32" s="946">
        <v>387.43488527</v>
      </c>
      <c r="AN32" s="946">
        <v>320.63901678999997</v>
      </c>
      <c r="AO32" s="946">
        <v>165.08994623999999</v>
      </c>
      <c r="AP32" s="946">
        <v>166.67534214</v>
      </c>
      <c r="AQ32" s="946">
        <v>172.16741625999998</v>
      </c>
      <c r="AR32" s="946">
        <v>171.92463502999999</v>
      </c>
      <c r="AS32" s="946">
        <v>176.00218909</v>
      </c>
      <c r="AT32" s="946">
        <f>AT24-AT28</f>
        <v>173.15602332999993</v>
      </c>
      <c r="AU32" s="946">
        <v>170.62334290999991</v>
      </c>
      <c r="AV32" s="946">
        <v>184.01699599999984</v>
      </c>
      <c r="AW32" s="946">
        <v>186.26578914000004</v>
      </c>
      <c r="AX32" s="946">
        <v>199.93251706000012</v>
      </c>
      <c r="AY32" s="946">
        <v>181.77408054</v>
      </c>
      <c r="AZ32" s="946">
        <v>178.31845905000003</v>
      </c>
      <c r="BA32" s="946">
        <v>174.49567425000001</v>
      </c>
      <c r="BB32" s="946">
        <v>171.92131727999998</v>
      </c>
      <c r="BC32" s="946">
        <v>141.77492461</v>
      </c>
      <c r="BD32" s="946">
        <v>137.78084805000003</v>
      </c>
      <c r="BE32" s="946">
        <v>137.68167223</v>
      </c>
      <c r="BF32" s="946">
        <v>127.45383967999993</v>
      </c>
      <c r="BG32" s="946">
        <v>129.32559921999999</v>
      </c>
      <c r="BH32" s="1004">
        <v>128.85654021999997</v>
      </c>
      <c r="BI32" s="993">
        <v>152.58079733</v>
      </c>
      <c r="BJ32" s="993">
        <v>144.30168319999999</v>
      </c>
      <c r="BK32" s="993">
        <v>146.67711595999998</v>
      </c>
      <c r="BL32" s="993">
        <v>147.9802392500001</v>
      </c>
      <c r="BM32" s="993">
        <v>167.21320575000004</v>
      </c>
      <c r="BN32" s="993">
        <v>178.10056361999997</v>
      </c>
      <c r="BO32" s="993">
        <v>174.70845309999996</v>
      </c>
      <c r="BP32" s="993">
        <v>171.19561987999992</v>
      </c>
      <c r="BQ32" s="993">
        <v>180.22020989999996</v>
      </c>
      <c r="BR32" s="993">
        <v>173.91522661000008</v>
      </c>
      <c r="BS32" s="993">
        <v>173.72705371000001</v>
      </c>
      <c r="BT32" s="993">
        <v>175.53104324</v>
      </c>
      <c r="BU32" s="993">
        <v>183.35564217999999</v>
      </c>
      <c r="BV32" s="993">
        <v>177.65821074000002</v>
      </c>
      <c r="BW32" s="993">
        <v>182.09720166</v>
      </c>
      <c r="BX32" s="993">
        <v>188.68894656999998</v>
      </c>
      <c r="BY32" s="993">
        <v>199.51169608000004</v>
      </c>
      <c r="BZ32" s="993">
        <v>203.74170224</v>
      </c>
      <c r="CA32" s="993">
        <v>201.49167731000006</v>
      </c>
      <c r="CB32" s="993">
        <v>201.38292764999994</v>
      </c>
      <c r="CC32" s="993">
        <v>204.57468394</v>
      </c>
      <c r="CD32" s="993">
        <v>232.95919764999999</v>
      </c>
      <c r="CE32" s="993">
        <v>269.89301005999999</v>
      </c>
      <c r="CF32" s="993">
        <v>287.22587651999999</v>
      </c>
      <c r="CG32" s="993">
        <v>257.98841066</v>
      </c>
      <c r="CH32" s="993">
        <v>527.11022050999998</v>
      </c>
      <c r="CI32" s="993">
        <v>537.26627729999996</v>
      </c>
      <c r="CJ32" s="993">
        <v>523.45096321000005</v>
      </c>
      <c r="CK32" s="993">
        <v>515.95407388000001</v>
      </c>
      <c r="CL32" s="993">
        <v>530.57651256000008</v>
      </c>
      <c r="CM32" s="993">
        <v>524.65857748999997</v>
      </c>
      <c r="CN32" s="993">
        <v>529.76875934999998</v>
      </c>
      <c r="CO32" s="993">
        <v>543.16100767</v>
      </c>
      <c r="CP32" s="993">
        <v>529.03776023</v>
      </c>
      <c r="CQ32" s="993">
        <v>532.70924277000006</v>
      </c>
      <c r="CR32" s="993">
        <v>540.42999696999993</v>
      </c>
      <c r="CS32" s="993">
        <v>527.80111093000005</v>
      </c>
      <c r="CT32" s="993">
        <v>252.87162479</v>
      </c>
      <c r="CU32" s="993">
        <v>238.83318471000001</v>
      </c>
      <c r="CV32" s="993">
        <v>234.41504305999999</v>
      </c>
      <c r="CW32" s="993">
        <v>231.86575074999999</v>
      </c>
      <c r="CX32" s="993">
        <v>232.27293044999999</v>
      </c>
      <c r="CY32" s="993">
        <v>227.59968307</v>
      </c>
      <c r="CZ32" s="993">
        <v>225.31730594999999</v>
      </c>
      <c r="DA32" s="993">
        <v>187.20968544999999</v>
      </c>
      <c r="DB32" s="993">
        <v>189.43172276000001</v>
      </c>
      <c r="DC32" s="993">
        <v>212.96090018000001</v>
      </c>
      <c r="DD32" s="1064">
        <v>211.63832995999999</v>
      </c>
      <c r="DE32" s="1064">
        <v>211.88102531000001</v>
      </c>
      <c r="DF32" s="1064">
        <v>210.0247071</v>
      </c>
      <c r="DG32" s="1016">
        <v>207.98553593</v>
      </c>
      <c r="DH32" s="1016">
        <v>214.31225280000001</v>
      </c>
      <c r="DI32" s="1016">
        <v>212.60857432</v>
      </c>
      <c r="DJ32" s="1016">
        <v>215.39558339000001</v>
      </c>
      <c r="DK32" s="1016">
        <v>210.92252091</v>
      </c>
      <c r="DL32" s="1016">
        <v>206.69351763</v>
      </c>
      <c r="DM32" s="1016">
        <v>205.16452623999999</v>
      </c>
      <c r="DN32" s="1016">
        <v>203.60305925</v>
      </c>
      <c r="DO32" s="1016">
        <v>204.64145934999999</v>
      </c>
      <c r="DP32" s="1016">
        <v>202.75888086</v>
      </c>
      <c r="DQ32" s="1016">
        <v>202.30740968999999</v>
      </c>
      <c r="DR32" s="1016">
        <v>202.66218752</v>
      </c>
      <c r="DS32" s="1016">
        <v>196.05077469</v>
      </c>
      <c r="DT32" s="1016">
        <v>195.16710588000001</v>
      </c>
      <c r="DU32" s="1016">
        <v>184.28403159000001</v>
      </c>
      <c r="DV32" s="1016">
        <v>179.63556582000001</v>
      </c>
      <c r="DW32" s="1016">
        <v>208.18651696000001</v>
      </c>
      <c r="DX32" s="1016">
        <v>212.40827175000001</v>
      </c>
      <c r="DY32" s="1016">
        <v>208.06930599</v>
      </c>
      <c r="DZ32" s="1016">
        <v>201.00597325999999</v>
      </c>
      <c r="EA32" s="1016">
        <v>209.58608794</v>
      </c>
      <c r="EB32" s="1016">
        <v>201.32968385000001</v>
      </c>
      <c r="EC32" s="1016">
        <v>207.52847020999999</v>
      </c>
      <c r="ED32" s="1016">
        <v>414.63608288</v>
      </c>
      <c r="EE32" s="1016">
        <v>413.75370177999997</v>
      </c>
    </row>
    <row r="33" spans="1:135" ht="19.8">
      <c r="A33" s="1514" t="s">
        <v>2001</v>
      </c>
      <c r="B33" s="949">
        <v>0.94858149000000003</v>
      </c>
      <c r="C33" s="949">
        <v>0.94906521999999993</v>
      </c>
      <c r="D33" s="949">
        <v>0.94906521999999993</v>
      </c>
      <c r="E33" s="949">
        <v>0.94882334999999995</v>
      </c>
      <c r="F33" s="949">
        <v>0.94882334999999995</v>
      </c>
      <c r="G33" s="949">
        <v>0.77511750999999995</v>
      </c>
      <c r="H33" s="949">
        <v>0.76598906000000011</v>
      </c>
      <c r="I33" s="949">
        <v>0.76589141999999999</v>
      </c>
      <c r="J33" s="949">
        <v>0.76598906000000011</v>
      </c>
      <c r="K33" s="949">
        <v>0.76598906000000011</v>
      </c>
      <c r="L33" s="949">
        <v>0.76589141999999999</v>
      </c>
      <c r="M33" s="950">
        <v>0.59380637999999997</v>
      </c>
      <c r="N33" s="950">
        <v>0.81582158999999999</v>
      </c>
      <c r="O33" s="950">
        <v>0.59373068999999989</v>
      </c>
      <c r="P33" s="950">
        <v>0.59365500000000004</v>
      </c>
      <c r="Q33" s="950">
        <v>0.59365500000000004</v>
      </c>
      <c r="R33" s="950">
        <v>0.59373068999999989</v>
      </c>
      <c r="S33" s="950">
        <v>0.40432213</v>
      </c>
      <c r="T33" s="950">
        <v>0.40427057999999999</v>
      </c>
      <c r="U33" s="950">
        <v>0.40437368000000001</v>
      </c>
      <c r="V33" s="950">
        <v>0.40437368000000001</v>
      </c>
      <c r="W33" s="950">
        <v>0.47293652000000003</v>
      </c>
      <c r="X33" s="950">
        <v>0.40437368000000001</v>
      </c>
      <c r="Y33" s="950">
        <v>0.20658848999999999</v>
      </c>
      <c r="Z33" s="950">
        <v>0.58846343000000001</v>
      </c>
      <c r="AA33" s="950">
        <v>0</v>
      </c>
      <c r="AB33" s="950">
        <v>0.30354075000000003</v>
      </c>
      <c r="AC33" s="950">
        <v>0.12055855</v>
      </c>
      <c r="AD33" s="950">
        <v>0.26653117999999998</v>
      </c>
      <c r="AE33" s="950">
        <v>0.35170778999999996</v>
      </c>
      <c r="AF33" s="950">
        <v>0.25365549999999998</v>
      </c>
      <c r="AG33" s="950">
        <v>6.4681809999999992E-2</v>
      </c>
      <c r="AH33" s="950">
        <v>11.2754891</v>
      </c>
      <c r="AI33" s="950">
        <v>0.83385981999999992</v>
      </c>
      <c r="AJ33" s="950">
        <v>1.16361743</v>
      </c>
      <c r="AK33" s="950">
        <v>1.5546932900000001</v>
      </c>
      <c r="AL33" s="950">
        <v>1.59596834</v>
      </c>
      <c r="AM33" s="950">
        <v>1.5607748799999999</v>
      </c>
      <c r="AN33" s="950">
        <v>1.53744551</v>
      </c>
      <c r="AO33" s="950">
        <v>1.50396211</v>
      </c>
      <c r="AP33" s="950">
        <v>1.48901507</v>
      </c>
      <c r="AQ33" s="950">
        <v>1.5377631899999999</v>
      </c>
      <c r="AR33" s="950">
        <v>1.5834145900000001</v>
      </c>
      <c r="AS33" s="950">
        <v>1.6303646200000002</v>
      </c>
      <c r="AT33" s="950">
        <f>AT25-AT29</f>
        <v>1.6193763199999993</v>
      </c>
      <c r="AU33" s="950">
        <v>0</v>
      </c>
      <c r="AV33" s="950">
        <v>0</v>
      </c>
      <c r="AW33" s="950">
        <v>0</v>
      </c>
      <c r="AX33" s="950">
        <v>0</v>
      </c>
      <c r="AY33" s="950">
        <v>0</v>
      </c>
      <c r="AZ33" s="950">
        <v>0</v>
      </c>
      <c r="BA33" s="950">
        <v>0</v>
      </c>
      <c r="BB33" s="950">
        <v>0</v>
      </c>
      <c r="BC33" s="950">
        <v>0</v>
      </c>
      <c r="BD33" s="950">
        <v>0</v>
      </c>
      <c r="BE33" s="950">
        <v>0.85050000000000003</v>
      </c>
      <c r="BF33" s="950">
        <v>0.85009999999999897</v>
      </c>
      <c r="BG33" s="950">
        <v>0.85010000000000119</v>
      </c>
      <c r="BH33" s="1005">
        <v>0.85004999999999864</v>
      </c>
      <c r="BI33" s="994">
        <v>0.85004999999999997</v>
      </c>
      <c r="BJ33" s="994">
        <v>0.85005000000000153</v>
      </c>
      <c r="BK33" s="994">
        <v>0.85005000000000042</v>
      </c>
      <c r="BL33" s="994">
        <v>0.84999999999999987</v>
      </c>
      <c r="BM33" s="994">
        <v>0.8499999999999992</v>
      </c>
      <c r="BN33" s="994">
        <v>0.71531183999999826</v>
      </c>
      <c r="BO33" s="994">
        <v>0</v>
      </c>
      <c r="BP33" s="994">
        <v>0</v>
      </c>
      <c r="BQ33" s="994">
        <v>0</v>
      </c>
      <c r="BR33" s="994">
        <v>0</v>
      </c>
      <c r="BS33" s="994">
        <v>0</v>
      </c>
      <c r="BT33" s="994">
        <v>0</v>
      </c>
      <c r="BU33" s="994">
        <v>0</v>
      </c>
      <c r="BV33" s="994">
        <v>0</v>
      </c>
      <c r="BW33" s="994">
        <v>0</v>
      </c>
      <c r="BX33" s="994">
        <v>0</v>
      </c>
      <c r="BY33" s="994">
        <v>0</v>
      </c>
      <c r="BZ33" s="994">
        <v>0</v>
      </c>
      <c r="CA33" s="994">
        <v>0</v>
      </c>
      <c r="CB33" s="994">
        <v>0</v>
      </c>
      <c r="CC33" s="994">
        <v>0</v>
      </c>
      <c r="CD33" s="994">
        <v>0</v>
      </c>
      <c r="CE33" s="994">
        <v>0</v>
      </c>
      <c r="CF33" s="994">
        <v>0</v>
      </c>
      <c r="CG33" s="994">
        <v>0</v>
      </c>
      <c r="CH33" s="994">
        <v>255</v>
      </c>
      <c r="CI33" s="994">
        <v>255</v>
      </c>
      <c r="CJ33" s="994">
        <v>255.37655000000001</v>
      </c>
      <c r="CK33" s="994">
        <v>255.47855000000001</v>
      </c>
      <c r="CL33" s="994">
        <v>256.41106896000002</v>
      </c>
      <c r="CM33" s="994">
        <v>256.39422857</v>
      </c>
      <c r="CN33" s="994">
        <v>256.31097746</v>
      </c>
      <c r="CO33" s="994">
        <v>256.29384216</v>
      </c>
      <c r="CP33" s="994">
        <v>255.93699687999998</v>
      </c>
      <c r="CQ33" s="994">
        <v>255.88304411000001</v>
      </c>
      <c r="CR33" s="994">
        <v>255.92328991999997</v>
      </c>
      <c r="CS33" s="994">
        <v>264.38389953000001</v>
      </c>
      <c r="CT33" s="994">
        <v>0.84347002999999998</v>
      </c>
      <c r="CU33" s="994">
        <v>5.4445277599999997</v>
      </c>
      <c r="CV33" s="994">
        <v>5.3029883900000003</v>
      </c>
      <c r="CW33" s="994">
        <v>5.0799223900000001</v>
      </c>
      <c r="CX33" s="994">
        <v>4.9223062100000003</v>
      </c>
      <c r="CY33" s="994">
        <v>4.7650748900000002</v>
      </c>
      <c r="CZ33" s="994">
        <v>4.6058237799999997</v>
      </c>
      <c r="DA33" s="994">
        <v>4.4468632299999999</v>
      </c>
      <c r="DB33" s="994">
        <v>4.2878288600000003</v>
      </c>
      <c r="DC33" s="994">
        <v>4.0532518800000004</v>
      </c>
      <c r="DD33" s="1065">
        <v>3.8676361699999999</v>
      </c>
      <c r="DE33" s="1065">
        <v>3.72930736</v>
      </c>
      <c r="DF33" s="1065">
        <v>3.58999997</v>
      </c>
      <c r="DG33" s="1017">
        <v>3.4512530799999999</v>
      </c>
      <c r="DH33" s="1017">
        <v>3.3115616499999998</v>
      </c>
      <c r="DI33" s="1017">
        <v>3.17096906</v>
      </c>
      <c r="DJ33" s="1017">
        <v>3.0305763300000002</v>
      </c>
      <c r="DK33" s="1017">
        <v>2.89008522</v>
      </c>
      <c r="DL33" s="1017">
        <v>2.7489903400000002</v>
      </c>
      <c r="DM33" s="1017">
        <v>2.7489903400000002</v>
      </c>
      <c r="DN33" s="1017">
        <v>0</v>
      </c>
      <c r="DO33" s="1017">
        <v>0</v>
      </c>
      <c r="DP33" s="1017">
        <v>0</v>
      </c>
      <c r="DQ33" s="1017">
        <v>0</v>
      </c>
      <c r="DR33" s="1017">
        <v>0</v>
      </c>
      <c r="DS33" s="1017">
        <v>0</v>
      </c>
      <c r="DT33" s="1017">
        <v>0</v>
      </c>
      <c r="DU33" s="1017">
        <v>0</v>
      </c>
      <c r="DV33" s="1017">
        <v>0</v>
      </c>
      <c r="DW33" s="1017">
        <v>0</v>
      </c>
      <c r="DX33" s="1017">
        <v>0</v>
      </c>
      <c r="DY33" s="1017">
        <v>0</v>
      </c>
      <c r="DZ33" s="1017">
        <v>0</v>
      </c>
      <c r="EA33" s="1017">
        <v>0</v>
      </c>
      <c r="EB33" s="1017">
        <v>0</v>
      </c>
      <c r="EC33" s="1017">
        <v>0</v>
      </c>
      <c r="ED33" s="1017">
        <v>212.5</v>
      </c>
      <c r="EE33" s="1017">
        <v>212.5</v>
      </c>
    </row>
    <row r="34" spans="1:135" ht="19.8">
      <c r="A34" s="1516" t="s">
        <v>2002</v>
      </c>
      <c r="B34" s="982">
        <f>+B32-B33</f>
        <v>188.21407737999999</v>
      </c>
      <c r="C34" s="982">
        <f t="shared" ref="C34:V34" si="12">+C32-C33</f>
        <v>263.63610463999999</v>
      </c>
      <c r="D34" s="982">
        <f t="shared" si="12"/>
        <v>269.16752936</v>
      </c>
      <c r="E34" s="982">
        <f t="shared" si="12"/>
        <v>329.52605245000001</v>
      </c>
      <c r="F34" s="982">
        <f t="shared" si="12"/>
        <v>331.57265322000001</v>
      </c>
      <c r="G34" s="982">
        <f t="shared" si="12"/>
        <v>338.84380924999999</v>
      </c>
      <c r="H34" s="982">
        <f t="shared" si="12"/>
        <v>348.09467504000003</v>
      </c>
      <c r="I34" s="982">
        <f t="shared" si="12"/>
        <v>354.43157008999998</v>
      </c>
      <c r="J34" s="982">
        <f t="shared" si="12"/>
        <v>384.23099345999998</v>
      </c>
      <c r="K34" s="982">
        <f t="shared" si="12"/>
        <v>357.76289287000003</v>
      </c>
      <c r="L34" s="982">
        <f t="shared" si="12"/>
        <v>357.46870244999997</v>
      </c>
      <c r="M34" s="957">
        <f t="shared" si="12"/>
        <v>363.17494941000001</v>
      </c>
      <c r="N34" s="964">
        <f t="shared" si="12"/>
        <v>363.70197755999999</v>
      </c>
      <c r="O34" s="964">
        <f t="shared" si="12"/>
        <v>336.32598594999996</v>
      </c>
      <c r="P34" s="964">
        <f t="shared" si="12"/>
        <v>337.89068223999999</v>
      </c>
      <c r="Q34" s="964">
        <f t="shared" si="12"/>
        <v>363.63224551999997</v>
      </c>
      <c r="R34" s="964">
        <f t="shared" si="12"/>
        <v>361.03359597000002</v>
      </c>
      <c r="S34" s="964">
        <f t="shared" si="12"/>
        <v>367.56371876999998</v>
      </c>
      <c r="T34" s="964">
        <f t="shared" si="12"/>
        <v>368.14040706000003</v>
      </c>
      <c r="U34" s="964">
        <f t="shared" si="12"/>
        <v>369.70653011000002</v>
      </c>
      <c r="V34" s="964">
        <f t="shared" si="12"/>
        <v>368.24477241000005</v>
      </c>
      <c r="W34" s="964">
        <v>363.04001008</v>
      </c>
      <c r="X34" s="964">
        <v>365.80790825000003</v>
      </c>
      <c r="Y34" s="957">
        <v>338.72997162000001</v>
      </c>
      <c r="Z34" s="964">
        <v>330.60316127999999</v>
      </c>
      <c r="AA34" s="964">
        <v>820.39008152999997</v>
      </c>
      <c r="AB34" s="957">
        <f>+AB32-AB33</f>
        <v>821.69622534000007</v>
      </c>
      <c r="AC34" s="957">
        <v>817.65031450000004</v>
      </c>
      <c r="AD34" s="957">
        <v>838.73845919000007</v>
      </c>
      <c r="AE34" s="957">
        <v>844.90860809000003</v>
      </c>
      <c r="AF34" s="957">
        <v>848.51681985000005</v>
      </c>
      <c r="AG34" s="957">
        <v>846.78624135999996</v>
      </c>
      <c r="AH34" s="957">
        <f>+AH32-AH33</f>
        <v>772.05822354999998</v>
      </c>
      <c r="AI34" s="957">
        <v>339.90991131999999</v>
      </c>
      <c r="AJ34" s="957">
        <f>+AJ32-AJ33</f>
        <v>341.29099204000005</v>
      </c>
      <c r="AK34" s="957">
        <f>+AK32-AK33</f>
        <v>466.87951456999997</v>
      </c>
      <c r="AL34" s="957">
        <v>468.84244950999999</v>
      </c>
      <c r="AM34" s="957">
        <f>+AM32-AM33</f>
        <v>385.87411039</v>
      </c>
      <c r="AN34" s="957">
        <f>+AN32-AN33</f>
        <v>319.10157127999997</v>
      </c>
      <c r="AO34" s="957">
        <f>+AO32-AO33</f>
        <v>163.58598412999999</v>
      </c>
      <c r="AP34" s="957">
        <f>+AP32-AP33</f>
        <v>165.18632707</v>
      </c>
      <c r="AQ34" s="957">
        <v>170.62965306999999</v>
      </c>
      <c r="AR34" s="957">
        <f>+AR32-AR33</f>
        <v>170.34122044</v>
      </c>
      <c r="AS34" s="957">
        <f>+AS32-AS33</f>
        <v>174.37182447000001</v>
      </c>
      <c r="AT34" s="957">
        <f>AT26-AT30</f>
        <v>171.53664700999991</v>
      </c>
      <c r="AU34" s="957">
        <v>170.62334290999979</v>
      </c>
      <c r="AV34" s="957">
        <v>184.01699599999984</v>
      </c>
      <c r="AW34" s="957">
        <v>186.26578913999992</v>
      </c>
      <c r="AX34" s="957">
        <v>199.93251706000012</v>
      </c>
      <c r="AY34" s="957">
        <v>181.77408054</v>
      </c>
      <c r="AZ34" s="957">
        <v>178.31845905000003</v>
      </c>
      <c r="BA34" s="957">
        <v>174.49567425000001</v>
      </c>
      <c r="BB34" s="957">
        <v>171.92131727999998</v>
      </c>
      <c r="BC34" s="957">
        <v>141.77492461</v>
      </c>
      <c r="BD34" s="957">
        <f>+BD32-BD33</f>
        <v>137.78084805000003</v>
      </c>
      <c r="BE34" s="957">
        <v>136.83117222999999</v>
      </c>
      <c r="BF34" s="957">
        <v>126.60373967999993</v>
      </c>
      <c r="BG34" s="957">
        <v>128.47549921999999</v>
      </c>
      <c r="BH34" s="1006">
        <v>128.00649021999996</v>
      </c>
      <c r="BI34" s="996">
        <v>151.73074732999999</v>
      </c>
      <c r="BJ34" s="996">
        <v>143.45163319999997</v>
      </c>
      <c r="BK34" s="996">
        <v>145.82706595999997</v>
      </c>
      <c r="BL34" s="996">
        <v>147.1302392500001</v>
      </c>
      <c r="BM34" s="996">
        <v>166.36320575000005</v>
      </c>
      <c r="BN34" s="996">
        <v>177.38525177999998</v>
      </c>
      <c r="BO34" s="996">
        <v>174.70845309999996</v>
      </c>
      <c r="BP34" s="996">
        <v>171.19561987999992</v>
      </c>
      <c r="BQ34" s="996">
        <v>180.22020989999996</v>
      </c>
      <c r="BR34" s="996">
        <v>173.91522661000008</v>
      </c>
      <c r="BS34" s="996">
        <v>173.72705371000001</v>
      </c>
      <c r="BT34" s="996">
        <v>175.53104324</v>
      </c>
      <c r="BU34" s="996">
        <v>183.35564217999999</v>
      </c>
      <c r="BV34" s="996">
        <v>177.65821074000002</v>
      </c>
      <c r="BW34" s="996">
        <v>182.09720166</v>
      </c>
      <c r="BX34" s="996">
        <v>188.68894656999998</v>
      </c>
      <c r="BY34" s="996">
        <v>199.51169608000004</v>
      </c>
      <c r="BZ34" s="996">
        <v>203.74170224</v>
      </c>
      <c r="CA34" s="996">
        <v>201.49167731000006</v>
      </c>
      <c r="CB34" s="996">
        <v>201.38292764999994</v>
      </c>
      <c r="CC34" s="996">
        <v>204.57468394</v>
      </c>
      <c r="CD34" s="996">
        <v>232.95919764999999</v>
      </c>
      <c r="CE34" s="996">
        <f t="shared" ref="CE34:CP34" si="13">+CE32-CE33</f>
        <v>269.89301005999999</v>
      </c>
      <c r="CF34" s="996">
        <f t="shared" si="13"/>
        <v>287.22587651999999</v>
      </c>
      <c r="CG34" s="996">
        <f t="shared" si="13"/>
        <v>257.98841066</v>
      </c>
      <c r="CH34" s="996">
        <f t="shared" si="13"/>
        <v>272.11022050999998</v>
      </c>
      <c r="CI34" s="996">
        <f t="shared" si="13"/>
        <v>282.26627729999996</v>
      </c>
      <c r="CJ34" s="996">
        <f t="shared" si="13"/>
        <v>268.07441321000005</v>
      </c>
      <c r="CK34" s="996">
        <f t="shared" si="13"/>
        <v>260.47552387999997</v>
      </c>
      <c r="CL34" s="996">
        <f t="shared" si="13"/>
        <v>274.16544360000006</v>
      </c>
      <c r="CM34" s="996">
        <f t="shared" si="13"/>
        <v>268.26434891999997</v>
      </c>
      <c r="CN34" s="996">
        <f t="shared" si="13"/>
        <v>273.45778188999998</v>
      </c>
      <c r="CO34" s="996">
        <f t="shared" si="13"/>
        <v>286.86716551000001</v>
      </c>
      <c r="CP34" s="996">
        <f t="shared" si="13"/>
        <v>273.10076335000002</v>
      </c>
      <c r="CQ34" s="996">
        <f>+CQ32-CQ33</f>
        <v>276.82619866000005</v>
      </c>
      <c r="CR34" s="996">
        <f>+CR32-CR33</f>
        <v>284.50670704999993</v>
      </c>
      <c r="CS34" s="996">
        <v>263.41721140000004</v>
      </c>
      <c r="CT34" s="996">
        <v>252.02815476000001</v>
      </c>
      <c r="CU34" s="996">
        <v>233.38865695000001</v>
      </c>
      <c r="CV34" s="996">
        <v>229.11205466999999</v>
      </c>
      <c r="CW34" s="996">
        <v>226.78582836000001</v>
      </c>
      <c r="CX34" s="996">
        <v>227.35062424</v>
      </c>
      <c r="CY34" s="996">
        <v>222.83460818</v>
      </c>
      <c r="CZ34" s="996">
        <v>220.71148217000001</v>
      </c>
      <c r="DA34" s="996">
        <v>182.76282222</v>
      </c>
      <c r="DB34" s="996">
        <v>185.14389389999999</v>
      </c>
      <c r="DC34" s="996">
        <v>208.90764830000001</v>
      </c>
      <c r="DD34" s="1066">
        <v>207.77069379</v>
      </c>
      <c r="DE34" s="1066">
        <v>208.15171795000001</v>
      </c>
      <c r="DF34" s="1066">
        <v>206.43470712999999</v>
      </c>
      <c r="DG34" s="1018">
        <v>204.53428285000001</v>
      </c>
      <c r="DH34" s="1018">
        <v>211.00069114999999</v>
      </c>
      <c r="DI34" s="1018">
        <v>209.43760526</v>
      </c>
      <c r="DJ34" s="1018">
        <v>212.36500706000001</v>
      </c>
      <c r="DK34" s="1018">
        <v>208.03243569</v>
      </c>
      <c r="DL34" s="1018">
        <v>203.94452729</v>
      </c>
      <c r="DM34" s="1018">
        <v>202.41553590000001</v>
      </c>
      <c r="DN34" s="1018">
        <v>203.60305925</v>
      </c>
      <c r="DO34" s="1018">
        <v>204.64145934999999</v>
      </c>
      <c r="DP34" s="1018">
        <v>202.75888086</v>
      </c>
      <c r="DQ34" s="1018">
        <v>202.30740968999999</v>
      </c>
      <c r="DR34" s="1018">
        <v>202.66218752</v>
      </c>
      <c r="DS34" s="1018">
        <v>196.05077469</v>
      </c>
      <c r="DT34" s="1018">
        <v>195.16710588000001</v>
      </c>
      <c r="DU34" s="1018">
        <v>184.28403159000001</v>
      </c>
      <c r="DV34" s="1018">
        <v>179.63556582000001</v>
      </c>
      <c r="DW34" s="1018">
        <v>208.18651696000001</v>
      </c>
      <c r="DX34" s="1018">
        <v>212.40827175000001</v>
      </c>
      <c r="DY34" s="1018">
        <v>208.06930599</v>
      </c>
      <c r="DZ34" s="1018">
        <v>201.00597325999999</v>
      </c>
      <c r="EA34" s="1018">
        <v>209.58608794</v>
      </c>
      <c r="EB34" s="1018">
        <v>201.32968385000001</v>
      </c>
      <c r="EC34" s="1018">
        <v>207.52847020999999</v>
      </c>
      <c r="ED34" s="1018">
        <v>202.13608288</v>
      </c>
      <c r="EE34" s="1018">
        <v>201.25370178</v>
      </c>
    </row>
    <row r="35" spans="1:135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35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5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5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5" ht="17.399999999999999">
      <c r="A39" s="92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5" ht="18">
      <c r="A40" s="91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5" ht="17.399999999999999">
      <c r="A41" s="92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5" ht="17.399999999999999">
      <c r="A42" s="92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5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5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5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5" ht="17.399999999999999">
      <c r="A46" s="92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5" ht="18">
      <c r="A47" s="91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81"/>
      <c r="CN47" s="481"/>
      <c r="CO47" s="481"/>
      <c r="CP47" s="481"/>
      <c r="CQ47" s="481"/>
      <c r="CR47" s="481"/>
      <c r="CS47" s="481"/>
      <c r="CT47" s="481"/>
      <c r="CU47" s="481"/>
      <c r="CV47" s="481"/>
      <c r="CW47" s="481"/>
      <c r="CX47" s="481"/>
      <c r="CY47" s="481"/>
      <c r="CZ47" s="481"/>
      <c r="DA47" s="481"/>
      <c r="DB47" s="481"/>
      <c r="DC47" s="481"/>
      <c r="DD47" s="481"/>
      <c r="DE47" s="481"/>
      <c r="DF47" s="481"/>
      <c r="DG47" s="481"/>
      <c r="DH47" s="481"/>
      <c r="DI47" s="481"/>
      <c r="DJ47" s="481"/>
      <c r="DK47" s="481"/>
      <c r="DL47" s="481"/>
      <c r="DM47" s="481"/>
      <c r="DN47" s="481"/>
      <c r="DO47" s="481"/>
      <c r="DP47" s="481"/>
      <c r="DQ47" s="481"/>
      <c r="DR47" s="481"/>
      <c r="DS47" s="481"/>
      <c r="DT47" s="481"/>
      <c r="DU47" s="481"/>
      <c r="DV47" s="481"/>
      <c r="DW47" s="481"/>
      <c r="DX47" s="481"/>
      <c r="DY47" s="481"/>
      <c r="DZ47" s="481"/>
      <c r="EA47" s="481"/>
      <c r="EB47" s="481"/>
      <c r="EC47" s="481"/>
      <c r="ED47" s="481"/>
      <c r="EE47" s="481"/>
    </row>
    <row r="48" spans="1:135" ht="17.399999999999999">
      <c r="A48" s="923"/>
      <c r="B48" s="401"/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81"/>
      <c r="CN48" s="481"/>
      <c r="CO48" s="481"/>
      <c r="CP48" s="481"/>
      <c r="CQ48" s="481"/>
      <c r="CR48" s="481"/>
      <c r="CS48" s="481"/>
      <c r="CT48" s="481"/>
      <c r="CU48" s="481"/>
      <c r="CV48" s="481"/>
      <c r="CW48" s="481"/>
      <c r="CX48" s="481"/>
      <c r="CY48" s="481"/>
      <c r="CZ48" s="481"/>
      <c r="DA48" s="481"/>
      <c r="DB48" s="481"/>
      <c r="DC48" s="481"/>
      <c r="DD48" s="481"/>
      <c r="DE48" s="481"/>
      <c r="DF48" s="481"/>
      <c r="DG48" s="481"/>
      <c r="DH48" s="481"/>
      <c r="DI48" s="481"/>
      <c r="DJ48" s="481"/>
      <c r="DK48" s="481"/>
      <c r="DL48" s="481"/>
      <c r="DM48" s="481"/>
      <c r="DN48" s="481"/>
      <c r="DO48" s="481"/>
      <c r="DP48" s="481"/>
      <c r="DQ48" s="481"/>
      <c r="DR48" s="481"/>
      <c r="DS48" s="481"/>
      <c r="DT48" s="481"/>
      <c r="DU48" s="481"/>
      <c r="DV48" s="481"/>
      <c r="DW48" s="481"/>
      <c r="DX48" s="481"/>
      <c r="DY48" s="481"/>
      <c r="DZ48" s="481"/>
      <c r="EA48" s="481"/>
      <c r="EB48" s="481"/>
      <c r="EC48" s="481"/>
      <c r="ED48" s="481"/>
      <c r="EE48" s="481"/>
    </row>
    <row r="49" spans="1:135" ht="17.399999999999999">
      <c r="A49" s="924"/>
      <c r="B49" s="401"/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81"/>
      <c r="CN49" s="481"/>
      <c r="CO49" s="481"/>
      <c r="CP49" s="481"/>
      <c r="CQ49" s="481"/>
      <c r="CR49" s="481"/>
      <c r="CS49" s="481"/>
      <c r="CT49" s="481"/>
      <c r="CU49" s="481"/>
      <c r="CV49" s="481"/>
      <c r="CW49" s="481"/>
      <c r="CX49" s="481"/>
      <c r="CY49" s="481"/>
      <c r="CZ49" s="481"/>
      <c r="DA49" s="481"/>
      <c r="DB49" s="481"/>
      <c r="DC49" s="481"/>
      <c r="DD49" s="481"/>
      <c r="DE49" s="481"/>
      <c r="DF49" s="481"/>
      <c r="DG49" s="481"/>
      <c r="DH49" s="481"/>
      <c r="DI49" s="481"/>
      <c r="DJ49" s="481"/>
      <c r="DK49" s="481"/>
      <c r="DL49" s="481"/>
      <c r="DM49" s="481"/>
      <c r="DN49" s="481"/>
      <c r="DO49" s="481"/>
      <c r="DP49" s="481"/>
      <c r="DQ49" s="481"/>
      <c r="DR49" s="481"/>
      <c r="DS49" s="481"/>
      <c r="DT49" s="481"/>
      <c r="DU49" s="481"/>
      <c r="DV49" s="481"/>
      <c r="DW49" s="481"/>
      <c r="DX49" s="481"/>
      <c r="DY49" s="481"/>
      <c r="DZ49" s="481"/>
      <c r="EA49" s="481"/>
      <c r="EB49" s="481"/>
      <c r="EC49" s="481"/>
      <c r="ED49" s="481"/>
      <c r="EE49" s="481"/>
    </row>
    <row r="50" spans="1:135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  <c r="CY50" s="481"/>
      <c r="CZ50" s="481"/>
      <c r="DA50" s="481"/>
      <c r="DB50" s="481"/>
      <c r="DC50" s="481"/>
      <c r="DD50" s="481"/>
      <c r="DE50" s="481"/>
      <c r="DF50" s="481"/>
      <c r="DG50" s="481"/>
      <c r="DH50" s="481"/>
      <c r="DI50" s="481"/>
      <c r="DJ50" s="481"/>
      <c r="DK50" s="481"/>
      <c r="DL50" s="481"/>
      <c r="DM50" s="481"/>
      <c r="DN50" s="481"/>
      <c r="DO50" s="481"/>
      <c r="DP50" s="481"/>
      <c r="DQ50" s="481"/>
      <c r="DR50" s="481"/>
      <c r="DS50" s="481"/>
      <c r="DT50" s="481"/>
      <c r="DU50" s="481"/>
      <c r="DV50" s="481"/>
      <c r="DW50" s="481"/>
      <c r="DX50" s="481"/>
      <c r="DY50" s="481"/>
      <c r="DZ50" s="481"/>
      <c r="EA50" s="481"/>
      <c r="EB50" s="481"/>
      <c r="EC50" s="481"/>
      <c r="ED50" s="481"/>
      <c r="EE50" s="481"/>
    </row>
    <row r="51" spans="1:135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  <c r="CJ51" s="481"/>
      <c r="CK51" s="481"/>
      <c r="CL51" s="481"/>
      <c r="CM51" s="481"/>
      <c r="CN51" s="481"/>
      <c r="CO51" s="481"/>
      <c r="CP51" s="481"/>
      <c r="CQ51" s="481"/>
      <c r="CR51" s="481"/>
      <c r="CS51" s="481"/>
      <c r="CT51" s="481"/>
      <c r="CU51" s="481"/>
      <c r="CV51" s="481"/>
      <c r="CW51" s="481"/>
      <c r="CX51" s="481"/>
      <c r="CY51" s="481"/>
      <c r="CZ51" s="481"/>
      <c r="DA51" s="481"/>
      <c r="DB51" s="481"/>
      <c r="DC51" s="481"/>
      <c r="DD51" s="481"/>
      <c r="DE51" s="481"/>
      <c r="DF51" s="481"/>
      <c r="DG51" s="481"/>
      <c r="DH51" s="481"/>
      <c r="DI51" s="481"/>
      <c r="DJ51" s="481"/>
      <c r="DK51" s="481"/>
      <c r="DL51" s="481"/>
      <c r="DM51" s="481"/>
      <c r="DN51" s="481"/>
      <c r="DO51" s="481"/>
      <c r="DP51" s="481"/>
      <c r="DQ51" s="481"/>
      <c r="DR51" s="481"/>
      <c r="DS51" s="481"/>
      <c r="DT51" s="481"/>
      <c r="DU51" s="481"/>
      <c r="DV51" s="481"/>
      <c r="DW51" s="481"/>
      <c r="DX51" s="481"/>
      <c r="DY51" s="481"/>
      <c r="DZ51" s="481"/>
      <c r="EA51" s="481"/>
      <c r="EB51" s="481"/>
      <c r="EC51" s="481"/>
      <c r="ED51" s="481"/>
      <c r="EE51" s="481"/>
    </row>
  </sheetData>
  <mergeCells count="14">
    <mergeCell ref="A35:EE35"/>
    <mergeCell ref="A2:EE2"/>
    <mergeCell ref="A5:EE5"/>
    <mergeCell ref="A6:A7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K62"/>
  <sheetViews>
    <sheetView showGridLines="0" view="pageBreakPreview" zoomScale="70" zoomScaleNormal="100" zoomScaleSheetLayoutView="70" workbookViewId="0">
      <selection activeCell="EM34" sqref="EM34"/>
    </sheetView>
  </sheetViews>
  <sheetFormatPr defaultColWidth="9.109375" defaultRowHeight="13.8"/>
  <cols>
    <col min="1" max="1" width="61.44140625" style="926" customWidth="1"/>
    <col min="2" max="12" width="13.5546875" style="397" hidden="1" customWidth="1"/>
    <col min="13" max="13" width="19" style="397" hidden="1" customWidth="1"/>
    <col min="14" max="23" width="13.5546875" style="397" hidden="1" customWidth="1"/>
    <col min="24" max="24" width="13.33203125" style="397" hidden="1" customWidth="1"/>
    <col min="25" max="25" width="18.109375" style="397" hidden="1" customWidth="1"/>
    <col min="26" max="33" width="14.6640625" style="397" hidden="1" customWidth="1"/>
    <col min="34" max="34" width="17.88671875" style="397" hidden="1" customWidth="1"/>
    <col min="35" max="35" width="16.109375" style="397" hidden="1" customWidth="1"/>
    <col min="36" max="36" width="14.6640625" style="397" hidden="1" customWidth="1"/>
    <col min="37" max="37" width="16.88671875" style="397" hidden="1" customWidth="1"/>
    <col min="38" max="44" width="14.6640625" style="397" hidden="1" customWidth="1"/>
    <col min="45" max="60" width="16" style="397" hidden="1" customWidth="1"/>
    <col min="61" max="61" width="13.33203125" style="397" customWidth="1"/>
    <col min="62" max="72" width="16" style="397" hidden="1" customWidth="1"/>
    <col min="73" max="73" width="13.33203125" style="397" customWidth="1"/>
    <col min="74" max="82" width="16" style="397" hidden="1" customWidth="1"/>
    <col min="83" max="84" width="17.5546875" style="397" hidden="1" customWidth="1"/>
    <col min="85" max="85" width="13.33203125" style="397" customWidth="1"/>
    <col min="86" max="96" width="15.88671875" style="397" hidden="1" customWidth="1"/>
    <col min="97" max="97" width="13.33203125" style="397" customWidth="1"/>
    <col min="98" max="108" width="13.33203125" style="397" hidden="1" customWidth="1"/>
    <col min="109" max="109" width="13.33203125" style="397" customWidth="1"/>
    <col min="110" max="120" width="13.33203125" style="397" hidden="1" customWidth="1"/>
    <col min="121" max="121" width="13.33203125" style="397" customWidth="1"/>
    <col min="122" max="132" width="13.33203125" style="397" hidden="1" customWidth="1"/>
    <col min="133" max="135" width="13.33203125" style="397" customWidth="1"/>
    <col min="136" max="138" width="9.109375" style="397"/>
    <col min="139" max="139" width="0" style="397" hidden="1" customWidth="1"/>
    <col min="140" max="16384" width="9.109375" style="397"/>
  </cols>
  <sheetData>
    <row r="1" spans="1:141" ht="18.75" customHeight="1"/>
    <row r="2" spans="1:141" ht="54" customHeight="1">
      <c r="A2" s="2380" t="s">
        <v>3374</v>
      </c>
      <c r="B2" s="2380"/>
      <c r="C2" s="2380"/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0"/>
      <c r="V2" s="2380"/>
      <c r="W2" s="2380"/>
      <c r="X2" s="2380"/>
      <c r="Y2" s="2380"/>
      <c r="Z2" s="2380"/>
      <c r="AA2" s="2380"/>
      <c r="AB2" s="2380"/>
      <c r="AC2" s="2380"/>
      <c r="AD2" s="2380"/>
      <c r="AE2" s="2380"/>
      <c r="AF2" s="2380"/>
      <c r="AG2" s="2380"/>
      <c r="AH2" s="2380"/>
      <c r="AI2" s="2380"/>
      <c r="AJ2" s="2380"/>
      <c r="AK2" s="2380"/>
      <c r="AL2" s="2380"/>
      <c r="AM2" s="2380"/>
      <c r="AN2" s="2380"/>
      <c r="AO2" s="2380"/>
      <c r="AP2" s="2380"/>
      <c r="AQ2" s="2380"/>
      <c r="AR2" s="2380"/>
      <c r="AS2" s="2380"/>
      <c r="AT2" s="2380"/>
      <c r="AU2" s="2380"/>
      <c r="AV2" s="2380"/>
      <c r="AW2" s="2380"/>
      <c r="AX2" s="2380"/>
      <c r="AY2" s="2380"/>
      <c r="AZ2" s="2380"/>
      <c r="BA2" s="2380"/>
      <c r="BB2" s="2380"/>
      <c r="BC2" s="2380"/>
      <c r="BD2" s="2380"/>
      <c r="BE2" s="2380"/>
      <c r="BF2" s="2380"/>
      <c r="BG2" s="2380"/>
      <c r="BH2" s="2380"/>
      <c r="BI2" s="2380"/>
      <c r="BJ2" s="2380"/>
      <c r="BK2" s="2380"/>
      <c r="BL2" s="2380"/>
      <c r="BM2" s="2380"/>
      <c r="BN2" s="2380"/>
      <c r="BO2" s="2380"/>
      <c r="BP2" s="2380"/>
      <c r="BQ2" s="2380"/>
      <c r="BR2" s="2380"/>
      <c r="BS2" s="2380"/>
      <c r="BT2" s="2380"/>
      <c r="BU2" s="2380"/>
      <c r="BV2" s="2380"/>
      <c r="BW2" s="2380"/>
      <c r="BX2" s="2380"/>
      <c r="BY2" s="2380"/>
      <c r="BZ2" s="2380"/>
      <c r="CA2" s="2380"/>
      <c r="CB2" s="2380"/>
      <c r="CC2" s="2380"/>
      <c r="CD2" s="2380"/>
      <c r="CE2" s="2380"/>
      <c r="CF2" s="2380"/>
      <c r="CG2" s="2380"/>
      <c r="CH2" s="2380"/>
      <c r="CI2" s="2380"/>
      <c r="CJ2" s="2380"/>
      <c r="CK2" s="2380"/>
      <c r="CL2" s="2380"/>
      <c r="CM2" s="2380"/>
      <c r="CN2" s="2380"/>
      <c r="CO2" s="2380"/>
      <c r="CP2" s="2380"/>
      <c r="CQ2" s="2380"/>
      <c r="CR2" s="2380"/>
      <c r="CS2" s="2380"/>
      <c r="CT2" s="2380"/>
      <c r="CU2" s="2380"/>
      <c r="CV2" s="2380"/>
      <c r="CW2" s="2380"/>
      <c r="CX2" s="2380"/>
      <c r="CY2" s="2380"/>
      <c r="CZ2" s="2380"/>
      <c r="DA2" s="2380"/>
      <c r="DB2" s="2380"/>
      <c r="DC2" s="2380"/>
      <c r="DD2" s="2380"/>
      <c r="DE2" s="2380"/>
      <c r="DF2" s="2380"/>
      <c r="DG2" s="2380"/>
      <c r="DH2" s="2380"/>
      <c r="DI2" s="2380"/>
      <c r="DJ2" s="2380"/>
      <c r="DK2" s="2380"/>
      <c r="DL2" s="2380"/>
      <c r="DM2" s="2380"/>
      <c r="DN2" s="2380"/>
      <c r="DO2" s="2380"/>
      <c r="DP2" s="2380"/>
      <c r="DQ2" s="2380"/>
      <c r="DR2" s="2380"/>
      <c r="DS2" s="2380"/>
      <c r="DT2" s="2380"/>
      <c r="DU2" s="2380"/>
      <c r="DV2" s="2380"/>
      <c r="DW2" s="2380"/>
      <c r="DX2" s="2380"/>
      <c r="DY2" s="2380"/>
      <c r="DZ2" s="2380"/>
      <c r="EA2" s="2380"/>
      <c r="EB2" s="2380"/>
      <c r="EC2" s="2380"/>
      <c r="ED2" s="2380"/>
      <c r="EE2" s="2380"/>
    </row>
    <row r="3" spans="1:141" ht="39.75" customHeight="1">
      <c r="A3" s="2389" t="s">
        <v>3372</v>
      </c>
      <c r="B3" s="2389"/>
      <c r="C3" s="2389"/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89"/>
      <c r="BU3" s="2389"/>
      <c r="BV3" s="2389"/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</row>
    <row r="4" spans="1:141" s="788" customFormat="1" ht="20.25" customHeight="1">
      <c r="A4" s="929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</row>
    <row r="5" spans="1:141" s="788" customFormat="1" ht="20.25" customHeight="1">
      <c r="A5" s="2350" t="s">
        <v>2489</v>
      </c>
      <c r="B5" s="2350"/>
      <c r="C5" s="2350"/>
      <c r="D5" s="2350"/>
      <c r="E5" s="2350"/>
      <c r="F5" s="2350"/>
      <c r="G5" s="2350"/>
      <c r="H5" s="2350"/>
      <c r="I5" s="2350"/>
      <c r="J5" s="2350"/>
      <c r="K5" s="2350"/>
      <c r="L5" s="2350"/>
      <c r="M5" s="2350"/>
      <c r="N5" s="2350"/>
      <c r="O5" s="2350"/>
      <c r="P5" s="2350"/>
      <c r="Q5" s="2350"/>
      <c r="R5" s="2350"/>
      <c r="S5" s="2350"/>
      <c r="T5" s="2350"/>
      <c r="U5" s="2350"/>
      <c r="V5" s="2350"/>
      <c r="W5" s="2350"/>
      <c r="X5" s="2350"/>
      <c r="Y5" s="2350"/>
      <c r="Z5" s="2350"/>
      <c r="AA5" s="2350"/>
      <c r="AB5" s="2350"/>
      <c r="AC5" s="2350"/>
      <c r="AD5" s="2350"/>
      <c r="AE5" s="2350"/>
      <c r="AF5" s="2350"/>
      <c r="AG5" s="2350"/>
      <c r="AH5" s="2350"/>
      <c r="AI5" s="2350"/>
      <c r="AJ5" s="2350"/>
      <c r="AK5" s="2350"/>
      <c r="AL5" s="2350"/>
      <c r="AM5" s="2350"/>
      <c r="AN5" s="2350"/>
      <c r="AO5" s="2350"/>
      <c r="AP5" s="2350"/>
      <c r="AQ5" s="2350"/>
      <c r="AR5" s="2350"/>
      <c r="AS5" s="2350"/>
      <c r="AT5" s="2350"/>
      <c r="AU5" s="2350"/>
      <c r="AV5" s="2350"/>
      <c r="AW5" s="2350"/>
      <c r="AX5" s="2350"/>
      <c r="AY5" s="2350"/>
      <c r="AZ5" s="2350"/>
      <c r="BA5" s="2350"/>
      <c r="BB5" s="2350"/>
      <c r="BC5" s="2350"/>
      <c r="BD5" s="2350"/>
      <c r="BE5" s="2350"/>
      <c r="BF5" s="2350"/>
      <c r="BG5" s="2350"/>
      <c r="BH5" s="2350"/>
      <c r="BI5" s="2350"/>
      <c r="BJ5" s="2350"/>
      <c r="BK5" s="2350"/>
      <c r="BL5" s="2350"/>
      <c r="BM5" s="2350"/>
      <c r="BN5" s="2350"/>
      <c r="BO5" s="2350"/>
      <c r="BP5" s="2350"/>
      <c r="BQ5" s="2350"/>
      <c r="BR5" s="2350"/>
      <c r="BS5" s="2350"/>
      <c r="BT5" s="2350"/>
      <c r="BU5" s="2350"/>
      <c r="BV5" s="2350"/>
      <c r="BW5" s="2350"/>
      <c r="BX5" s="2350"/>
      <c r="BY5" s="2350"/>
      <c r="BZ5" s="2350"/>
      <c r="CA5" s="2350"/>
      <c r="CB5" s="2350"/>
      <c r="CC5" s="2350"/>
      <c r="CD5" s="2350"/>
      <c r="CE5" s="2350"/>
      <c r="CF5" s="2350"/>
      <c r="CG5" s="2350"/>
      <c r="CH5" s="2350"/>
      <c r="CI5" s="2350"/>
      <c r="CJ5" s="2350"/>
      <c r="CK5" s="2350"/>
      <c r="CL5" s="2350"/>
      <c r="CM5" s="2350"/>
      <c r="CN5" s="2350"/>
      <c r="CO5" s="2350"/>
      <c r="CP5" s="2350"/>
      <c r="CQ5" s="2350"/>
      <c r="CR5" s="2350"/>
      <c r="CS5" s="2350"/>
      <c r="CT5" s="2350"/>
      <c r="CU5" s="2350"/>
      <c r="CV5" s="2350"/>
      <c r="CW5" s="2350"/>
      <c r="CX5" s="2350"/>
      <c r="CY5" s="2350"/>
      <c r="CZ5" s="2350"/>
      <c r="DA5" s="2350"/>
      <c r="DB5" s="2350"/>
      <c r="DC5" s="2350"/>
      <c r="DD5" s="2350"/>
      <c r="DE5" s="2350"/>
      <c r="DF5" s="2350"/>
      <c r="DG5" s="2350"/>
      <c r="DH5" s="2350"/>
      <c r="DI5" s="2350"/>
      <c r="DJ5" s="2350"/>
      <c r="DK5" s="2350"/>
      <c r="DL5" s="2350"/>
      <c r="DM5" s="2350"/>
      <c r="DN5" s="2350"/>
      <c r="DO5" s="2350"/>
      <c r="DP5" s="2350"/>
      <c r="DQ5" s="2350"/>
      <c r="DR5" s="2350"/>
      <c r="DS5" s="2350"/>
      <c r="DT5" s="2350"/>
      <c r="DU5" s="2350"/>
      <c r="DV5" s="2350"/>
      <c r="DW5" s="2350"/>
      <c r="DX5" s="2350"/>
      <c r="DY5" s="2350"/>
      <c r="DZ5" s="2350"/>
      <c r="EA5" s="2350"/>
      <c r="EB5" s="2350"/>
      <c r="EC5" s="2350"/>
      <c r="ED5" s="2350"/>
      <c r="EE5" s="2350"/>
    </row>
    <row r="6" spans="1:141" ht="34.5" customHeight="1">
      <c r="A6" s="2103"/>
      <c r="B6" s="2416">
        <v>2013</v>
      </c>
      <c r="C6" s="2417"/>
      <c r="D6" s="2417"/>
      <c r="E6" s="2417"/>
      <c r="F6" s="2417"/>
      <c r="G6" s="2417"/>
      <c r="H6" s="2417"/>
      <c r="I6" s="2417"/>
      <c r="J6" s="2417"/>
      <c r="K6" s="2417"/>
      <c r="L6" s="2417"/>
      <c r="M6" s="2418"/>
      <c r="N6" s="2416">
        <v>2014</v>
      </c>
      <c r="O6" s="2417"/>
      <c r="P6" s="2417"/>
      <c r="Q6" s="2417"/>
      <c r="R6" s="2417"/>
      <c r="S6" s="2417"/>
      <c r="T6" s="2417"/>
      <c r="U6" s="2417"/>
      <c r="V6" s="2417"/>
      <c r="W6" s="2417"/>
      <c r="X6" s="2417"/>
      <c r="Y6" s="2418"/>
      <c r="Z6" s="2416">
        <v>2015</v>
      </c>
      <c r="AA6" s="2417"/>
      <c r="AB6" s="2417"/>
      <c r="AC6" s="2417"/>
      <c r="AD6" s="2417"/>
      <c r="AE6" s="2417"/>
      <c r="AF6" s="2417"/>
      <c r="AG6" s="2417"/>
      <c r="AH6" s="2417"/>
      <c r="AI6" s="2417"/>
      <c r="AJ6" s="2417"/>
      <c r="AK6" s="2418"/>
      <c r="AL6" s="985">
        <v>2016</v>
      </c>
      <c r="AM6" s="985"/>
      <c r="AN6" s="985"/>
      <c r="AO6" s="985"/>
      <c r="AP6" s="985"/>
      <c r="AQ6" s="985"/>
      <c r="AR6" s="985"/>
      <c r="AS6" s="985"/>
      <c r="AT6" s="985"/>
      <c r="AU6" s="985"/>
      <c r="AV6" s="2416">
        <v>2016</v>
      </c>
      <c r="AW6" s="2418"/>
      <c r="AX6" s="985">
        <v>2017</v>
      </c>
      <c r="AY6" s="985"/>
      <c r="AZ6" s="985"/>
      <c r="BA6" s="985"/>
      <c r="BB6" s="985"/>
      <c r="BC6" s="985"/>
      <c r="BD6" s="985"/>
      <c r="BE6" s="985"/>
      <c r="BF6" s="985"/>
      <c r="BG6" s="985"/>
      <c r="BH6" s="1021"/>
      <c r="BI6" s="2104">
        <v>2017</v>
      </c>
      <c r="BJ6" s="1011">
        <v>2018</v>
      </c>
      <c r="BK6" s="1011"/>
      <c r="BL6" s="1011"/>
      <c r="BM6" s="1011"/>
      <c r="BN6" s="1011"/>
      <c r="BO6" s="1011"/>
      <c r="BP6" s="1011"/>
      <c r="BQ6" s="1011"/>
      <c r="BR6" s="1011"/>
      <c r="BS6" s="1011"/>
      <c r="BT6" s="1011"/>
      <c r="BU6" s="2104">
        <v>2018</v>
      </c>
      <c r="BV6" s="2381">
        <v>2019</v>
      </c>
      <c r="BW6" s="2382"/>
      <c r="BX6" s="2382"/>
      <c r="BY6" s="2382"/>
      <c r="BZ6" s="2382"/>
      <c r="CA6" s="2382"/>
      <c r="CB6" s="2382"/>
      <c r="CC6" s="2382"/>
      <c r="CD6" s="2382"/>
      <c r="CE6" s="2382"/>
      <c r="CF6" s="2382"/>
      <c r="CG6" s="2383"/>
      <c r="CH6" s="1012">
        <v>2020</v>
      </c>
      <c r="CI6" s="1012">
        <v>2020</v>
      </c>
      <c r="CJ6" s="1012">
        <v>2020</v>
      </c>
      <c r="CK6" s="1012">
        <v>2020</v>
      </c>
      <c r="CL6" s="1012">
        <v>2020</v>
      </c>
      <c r="CM6" s="1012">
        <v>2020</v>
      </c>
      <c r="CN6" s="1012">
        <v>2020</v>
      </c>
      <c r="CO6" s="1012">
        <v>2020</v>
      </c>
      <c r="CP6" s="1012">
        <v>2020</v>
      </c>
      <c r="CQ6" s="1012">
        <v>2020</v>
      </c>
      <c r="CR6" s="1012">
        <v>2020</v>
      </c>
      <c r="CS6" s="1012">
        <v>2020</v>
      </c>
      <c r="CT6" s="2396">
        <v>2021</v>
      </c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8"/>
      <c r="DF6" s="2399">
        <v>2022</v>
      </c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8"/>
      <c r="DR6" s="2399">
        <v>2023</v>
      </c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8"/>
      <c r="ED6" s="2399">
        <v>2024</v>
      </c>
      <c r="EE6" s="2398"/>
    </row>
    <row r="7" spans="1:141" ht="34.5" customHeight="1">
      <c r="A7" s="988"/>
      <c r="B7" s="986" t="s">
        <v>1988</v>
      </c>
      <c r="C7" s="986" t="s">
        <v>1999</v>
      </c>
      <c r="D7" s="986" t="s">
        <v>1998</v>
      </c>
      <c r="E7" s="986" t="s">
        <v>1997</v>
      </c>
      <c r="F7" s="986" t="s">
        <v>1996</v>
      </c>
      <c r="G7" s="986" t="s">
        <v>1995</v>
      </c>
      <c r="H7" s="986" t="s">
        <v>1994</v>
      </c>
      <c r="I7" s="986" t="s">
        <v>1993</v>
      </c>
      <c r="J7" s="986" t="s">
        <v>1992</v>
      </c>
      <c r="K7" s="986" t="s">
        <v>1991</v>
      </c>
      <c r="L7" s="986" t="s">
        <v>1990</v>
      </c>
      <c r="M7" s="987" t="s">
        <v>1989</v>
      </c>
      <c r="N7" s="987" t="s">
        <v>1988</v>
      </c>
      <c r="O7" s="987" t="s">
        <v>1999</v>
      </c>
      <c r="P7" s="987" t="s">
        <v>1998</v>
      </c>
      <c r="Q7" s="987" t="s">
        <v>1997</v>
      </c>
      <c r="R7" s="987" t="s">
        <v>1996</v>
      </c>
      <c r="S7" s="987" t="s">
        <v>1995</v>
      </c>
      <c r="T7" s="987" t="s">
        <v>1994</v>
      </c>
      <c r="U7" s="987" t="s">
        <v>1993</v>
      </c>
      <c r="V7" s="987" t="s">
        <v>1992</v>
      </c>
      <c r="W7" s="987" t="s">
        <v>1991</v>
      </c>
      <c r="X7" s="987" t="s">
        <v>1990</v>
      </c>
      <c r="Y7" s="987" t="s">
        <v>1989</v>
      </c>
      <c r="Z7" s="987" t="s">
        <v>1988</v>
      </c>
      <c r="AA7" s="987" t="s">
        <v>1999</v>
      </c>
      <c r="AB7" s="987" t="s">
        <v>1998</v>
      </c>
      <c r="AC7" s="987" t="s">
        <v>1997</v>
      </c>
      <c r="AD7" s="987" t="s">
        <v>1996</v>
      </c>
      <c r="AE7" s="987" t="s">
        <v>2000</v>
      </c>
      <c r="AF7" s="987" t="s">
        <v>2004</v>
      </c>
      <c r="AG7" s="987" t="s">
        <v>1993</v>
      </c>
      <c r="AH7" s="987" t="s">
        <v>1992</v>
      </c>
      <c r="AI7" s="987" t="s">
        <v>1991</v>
      </c>
      <c r="AJ7" s="987" t="s">
        <v>1990</v>
      </c>
      <c r="AK7" s="987" t="s">
        <v>1989</v>
      </c>
      <c r="AL7" s="987" t="s">
        <v>1988</v>
      </c>
      <c r="AM7" s="987" t="s">
        <v>1999</v>
      </c>
      <c r="AN7" s="987" t="s">
        <v>1998</v>
      </c>
      <c r="AO7" s="987" t="s">
        <v>1997</v>
      </c>
      <c r="AP7" s="987" t="s">
        <v>1996</v>
      </c>
      <c r="AQ7" s="987" t="s">
        <v>1995</v>
      </c>
      <c r="AR7" s="987" t="s">
        <v>1994</v>
      </c>
      <c r="AS7" s="987" t="s">
        <v>1993</v>
      </c>
      <c r="AT7" s="987" t="s">
        <v>1992</v>
      </c>
      <c r="AU7" s="987" t="s">
        <v>1991</v>
      </c>
      <c r="AV7" s="987" t="s">
        <v>1990</v>
      </c>
      <c r="AW7" s="987" t="s">
        <v>1989</v>
      </c>
      <c r="AX7" s="987" t="s">
        <v>1988</v>
      </c>
      <c r="AY7" s="987" t="s">
        <v>1987</v>
      </c>
      <c r="AZ7" s="987" t="s">
        <v>1986</v>
      </c>
      <c r="BA7" s="987" t="s">
        <v>1985</v>
      </c>
      <c r="BB7" s="987" t="s">
        <v>2005</v>
      </c>
      <c r="BC7" s="987" t="s">
        <v>2006</v>
      </c>
      <c r="BD7" s="987" t="s">
        <v>2015</v>
      </c>
      <c r="BE7" s="987" t="s">
        <v>2025</v>
      </c>
      <c r="BF7" s="987" t="s">
        <v>2035</v>
      </c>
      <c r="BG7" s="987" t="s">
        <v>2048</v>
      </c>
      <c r="BH7" s="1020" t="s">
        <v>2059</v>
      </c>
      <c r="BI7" s="1027" t="s">
        <v>1989</v>
      </c>
      <c r="BJ7" s="1027" t="s">
        <v>1988</v>
      </c>
      <c r="BK7" s="1027" t="s">
        <v>1987</v>
      </c>
      <c r="BL7" s="1027" t="s">
        <v>1986</v>
      </c>
      <c r="BM7" s="1027" t="s">
        <v>1985</v>
      </c>
      <c r="BN7" s="1027" t="s">
        <v>2005</v>
      </c>
      <c r="BO7" s="1027" t="s">
        <v>2006</v>
      </c>
      <c r="BP7" s="1027" t="s">
        <v>2015</v>
      </c>
      <c r="BQ7" s="1027" t="s">
        <v>2025</v>
      </c>
      <c r="BR7" s="1027" t="s">
        <v>2035</v>
      </c>
      <c r="BS7" s="1027" t="s">
        <v>2048</v>
      </c>
      <c r="BT7" s="1027" t="s">
        <v>2059</v>
      </c>
      <c r="BU7" s="1027" t="s">
        <v>1989</v>
      </c>
      <c r="BV7" s="1027" t="s">
        <v>1988</v>
      </c>
      <c r="BW7" s="1027" t="s">
        <v>1987</v>
      </c>
      <c r="BX7" s="1027" t="s">
        <v>1986</v>
      </c>
      <c r="BY7" s="1027" t="s">
        <v>1985</v>
      </c>
      <c r="BZ7" s="1027" t="s">
        <v>2005</v>
      </c>
      <c r="CA7" s="1027" t="s">
        <v>2006</v>
      </c>
      <c r="CB7" s="1027" t="s">
        <v>2015</v>
      </c>
      <c r="CC7" s="1027" t="s">
        <v>2025</v>
      </c>
      <c r="CD7" s="1027" t="s">
        <v>2035</v>
      </c>
      <c r="CE7" s="1027" t="s">
        <v>2048</v>
      </c>
      <c r="CF7" s="1027" t="s">
        <v>2059</v>
      </c>
      <c r="CG7" s="1027" t="s">
        <v>1989</v>
      </c>
      <c r="CH7" s="1027" t="s">
        <v>1988</v>
      </c>
      <c r="CI7" s="1027" t="s">
        <v>1987</v>
      </c>
      <c r="CJ7" s="1027" t="s">
        <v>1986</v>
      </c>
      <c r="CK7" s="1027" t="s">
        <v>1985</v>
      </c>
      <c r="CL7" s="1027" t="s">
        <v>2005</v>
      </c>
      <c r="CM7" s="1027" t="s">
        <v>2462</v>
      </c>
      <c r="CN7" s="1027" t="s">
        <v>2471</v>
      </c>
      <c r="CO7" s="1027" t="s">
        <v>2025</v>
      </c>
      <c r="CP7" s="1027" t="s">
        <v>2035</v>
      </c>
      <c r="CQ7" s="1027" t="s">
        <v>2048</v>
      </c>
      <c r="CR7" s="1027" t="s">
        <v>2059</v>
      </c>
      <c r="CS7" s="1027" t="s">
        <v>1989</v>
      </c>
      <c r="CT7" s="1027" t="s">
        <v>1988</v>
      </c>
      <c r="CU7" s="1027" t="s">
        <v>1987</v>
      </c>
      <c r="CV7" s="1027" t="s">
        <v>1986</v>
      </c>
      <c r="CW7" s="1027" t="s">
        <v>1985</v>
      </c>
      <c r="CX7" s="1027" t="s">
        <v>2005</v>
      </c>
      <c r="CY7" s="1027" t="s">
        <v>2006</v>
      </c>
      <c r="CZ7" s="1027" t="s">
        <v>2015</v>
      </c>
      <c r="DA7" s="1027" t="s">
        <v>2025</v>
      </c>
      <c r="DB7" s="1027" t="s">
        <v>2035</v>
      </c>
      <c r="DC7" s="1027" t="s">
        <v>2048</v>
      </c>
      <c r="DD7" s="1067" t="s">
        <v>2059</v>
      </c>
      <c r="DE7" s="1067" t="s">
        <v>1989</v>
      </c>
      <c r="DF7" s="1067" t="s">
        <v>1988</v>
      </c>
      <c r="DG7" s="1028" t="s">
        <v>1987</v>
      </c>
      <c r="DH7" s="1028" t="s">
        <v>1986</v>
      </c>
      <c r="DI7" s="1028" t="s">
        <v>1985</v>
      </c>
      <c r="DJ7" s="1028" t="s">
        <v>2005</v>
      </c>
      <c r="DK7" s="1028" t="s">
        <v>2006</v>
      </c>
      <c r="DL7" s="1028" t="s">
        <v>2015</v>
      </c>
      <c r="DM7" s="1028" t="s">
        <v>2025</v>
      </c>
      <c r="DN7" s="1028" t="s">
        <v>2035</v>
      </c>
      <c r="DO7" s="1028" t="s">
        <v>2048</v>
      </c>
      <c r="DP7" s="1028" t="s">
        <v>2059</v>
      </c>
      <c r="DQ7" s="1028" t="s">
        <v>1989</v>
      </c>
      <c r="DR7" s="1028" t="s">
        <v>1988</v>
      </c>
      <c r="DS7" s="1028" t="s">
        <v>1987</v>
      </c>
      <c r="DT7" s="1028" t="s">
        <v>1986</v>
      </c>
      <c r="DU7" s="1028" t="s">
        <v>1985</v>
      </c>
      <c r="DV7" s="1028" t="s">
        <v>2005</v>
      </c>
      <c r="DW7" s="1028" t="s">
        <v>2006</v>
      </c>
      <c r="DX7" s="1028" t="s">
        <v>2015</v>
      </c>
      <c r="DY7" s="1028" t="s">
        <v>2025</v>
      </c>
      <c r="DZ7" s="1028" t="s">
        <v>2035</v>
      </c>
      <c r="EA7" s="1028" t="s">
        <v>2048</v>
      </c>
      <c r="EB7" s="1028" t="s">
        <v>2059</v>
      </c>
      <c r="EC7" s="1028" t="s">
        <v>1989</v>
      </c>
      <c r="ED7" s="1028" t="s">
        <v>1988</v>
      </c>
      <c r="EE7" s="1028" t="s">
        <v>1987</v>
      </c>
    </row>
    <row r="8" spans="1:141" ht="19.8">
      <c r="A8" s="976" t="s">
        <v>2820</v>
      </c>
      <c r="B8" s="945">
        <v>774.89987827000004</v>
      </c>
      <c r="C8" s="945">
        <v>806.98599349999995</v>
      </c>
      <c r="D8" s="945">
        <v>817.19575879000001</v>
      </c>
      <c r="E8" s="945">
        <v>829.72123290000013</v>
      </c>
      <c r="F8" s="945">
        <v>448.45985101999997</v>
      </c>
      <c r="G8" s="945">
        <v>442.89592489</v>
      </c>
      <c r="H8" s="945">
        <v>488.90894050999998</v>
      </c>
      <c r="I8" s="945">
        <v>482.49486396999993</v>
      </c>
      <c r="J8" s="945">
        <v>515.53094249000003</v>
      </c>
      <c r="K8" s="945">
        <v>497.00290584999993</v>
      </c>
      <c r="L8" s="945">
        <v>500.85395933000001</v>
      </c>
      <c r="M8" s="946">
        <v>506.04149092999995</v>
      </c>
      <c r="N8" s="946">
        <v>514.73581374999992</v>
      </c>
      <c r="O8" s="946">
        <v>529.5908810200001</v>
      </c>
      <c r="P8" s="946">
        <v>579.24930182000003</v>
      </c>
      <c r="Q8" s="946">
        <v>586.28539974</v>
      </c>
      <c r="R8" s="946">
        <v>581.96836254000004</v>
      </c>
      <c r="S8" s="946">
        <v>586.77895809999995</v>
      </c>
      <c r="T8" s="946">
        <v>578.71437349999997</v>
      </c>
      <c r="U8" s="946">
        <v>586.53495371999998</v>
      </c>
      <c r="V8" s="946">
        <v>582.64030193000008</v>
      </c>
      <c r="W8" s="946">
        <v>569.07431792000011</v>
      </c>
      <c r="X8" s="946">
        <v>562.82478220999997</v>
      </c>
      <c r="Y8" s="946">
        <v>736.03862677000006</v>
      </c>
      <c r="Z8" s="946">
        <v>726.45876132000001</v>
      </c>
      <c r="AA8" s="946">
        <v>831.82752202000006</v>
      </c>
      <c r="AB8" s="946">
        <v>866.0972816200001</v>
      </c>
      <c r="AC8" s="946">
        <v>871.72757006000006</v>
      </c>
      <c r="AD8" s="946">
        <v>890.88034559999994</v>
      </c>
      <c r="AE8" s="946">
        <v>894.92473717000007</v>
      </c>
      <c r="AF8" s="946">
        <v>921.03092142999992</v>
      </c>
      <c r="AG8" s="946">
        <v>1005.7535230899999</v>
      </c>
      <c r="AH8" s="946">
        <v>1014.1371359100001</v>
      </c>
      <c r="AI8" s="946">
        <v>1074.4110466299999</v>
      </c>
      <c r="AJ8" s="946">
        <v>1059.7072641499999</v>
      </c>
      <c r="AK8" s="946">
        <v>1464.96452346</v>
      </c>
      <c r="AL8" s="946">
        <v>1501.3373809099999</v>
      </c>
      <c r="AM8" s="946">
        <v>1536.8921674200001</v>
      </c>
      <c r="AN8" s="946">
        <v>1512.8207082200001</v>
      </c>
      <c r="AO8" s="946">
        <v>1511.7901545600002</v>
      </c>
      <c r="AP8" s="946">
        <v>1243.4556798399999</v>
      </c>
      <c r="AQ8" s="946">
        <v>1273.18458379</v>
      </c>
      <c r="AR8" s="946">
        <v>1156.2404554</v>
      </c>
      <c r="AS8" s="946">
        <v>1175.4458427300001</v>
      </c>
      <c r="AT8" s="946">
        <v>1162.7504401900001</v>
      </c>
      <c r="AU8" s="946">
        <v>1164.5475072699999</v>
      </c>
      <c r="AV8" s="946">
        <v>1233.4677069900001</v>
      </c>
      <c r="AW8" s="946">
        <v>1270.7975573800002</v>
      </c>
      <c r="AX8" s="946">
        <v>1395.6981700000001</v>
      </c>
      <c r="AY8" s="946">
        <v>1268.8936271600001</v>
      </c>
      <c r="AZ8" s="946">
        <v>1227.1089426399999</v>
      </c>
      <c r="BA8" s="946">
        <v>1208.7685870400001</v>
      </c>
      <c r="BB8" s="946">
        <v>1001.92446995</v>
      </c>
      <c r="BC8" s="946">
        <v>1022.6385556299999</v>
      </c>
      <c r="BD8" s="946">
        <v>1059.3154159000001</v>
      </c>
      <c r="BE8" s="946">
        <v>1062.6306521900001</v>
      </c>
      <c r="BF8" s="946">
        <v>1060.9058423000001</v>
      </c>
      <c r="BG8" s="946">
        <v>1069.4876785700001</v>
      </c>
      <c r="BH8" s="1004">
        <v>1069.57037728</v>
      </c>
      <c r="BI8" s="993">
        <v>1126.7102225399999</v>
      </c>
      <c r="BJ8" s="993">
        <v>1120.4296421500001</v>
      </c>
      <c r="BK8" s="993">
        <v>983.26888073000009</v>
      </c>
      <c r="BL8" s="993">
        <v>992.91432655000006</v>
      </c>
      <c r="BM8" s="993">
        <v>1104.84376737</v>
      </c>
      <c r="BN8" s="993">
        <v>1101.37557242</v>
      </c>
      <c r="BO8" s="993">
        <v>1157.44073469</v>
      </c>
      <c r="BP8" s="993">
        <v>1176.20237238</v>
      </c>
      <c r="BQ8" s="993">
        <v>1175.08520795</v>
      </c>
      <c r="BR8" s="993">
        <v>1289.2964963599998</v>
      </c>
      <c r="BS8" s="993">
        <v>1288.9801127799999</v>
      </c>
      <c r="BT8" s="993">
        <v>1367.1655438299999</v>
      </c>
      <c r="BU8" s="993">
        <v>1370.6535793099999</v>
      </c>
      <c r="BV8" s="993">
        <v>1368.1564542599999</v>
      </c>
      <c r="BW8" s="993">
        <v>1359.0258615700002</v>
      </c>
      <c r="BX8" s="993">
        <v>1357.88037076</v>
      </c>
      <c r="BY8" s="993">
        <v>1271.92489125</v>
      </c>
      <c r="BZ8" s="993">
        <v>1301.1727264900001</v>
      </c>
      <c r="CA8" s="993">
        <v>1335.5882296099999</v>
      </c>
      <c r="CB8" s="993">
        <v>1274.1666465100002</v>
      </c>
      <c r="CC8" s="993">
        <v>1268.7893180599999</v>
      </c>
      <c r="CD8" s="993">
        <v>1167.7401792000001</v>
      </c>
      <c r="CE8" s="993">
        <v>1163.7995481300002</v>
      </c>
      <c r="CF8" s="993">
        <v>1207.65957334</v>
      </c>
      <c r="CG8" s="993">
        <v>1203.8487096499998</v>
      </c>
      <c r="CH8" s="993">
        <v>1177.10613827</v>
      </c>
      <c r="CI8" s="993">
        <v>1172.1177573999998</v>
      </c>
      <c r="CJ8" s="993">
        <v>1168.1839398400002</v>
      </c>
      <c r="CK8" s="993">
        <v>1101.1423324299999</v>
      </c>
      <c r="CL8" s="993">
        <v>961.53081285999986</v>
      </c>
      <c r="CM8" s="993">
        <v>915.38829026000008</v>
      </c>
      <c r="CN8" s="993">
        <v>917.40482293999992</v>
      </c>
      <c r="CO8" s="993">
        <v>901.43872137000005</v>
      </c>
      <c r="CP8" s="993">
        <v>891.58932236999988</v>
      </c>
      <c r="CQ8" s="993">
        <v>875.18294334000007</v>
      </c>
      <c r="CR8" s="993">
        <v>857.47137640999995</v>
      </c>
      <c r="CS8" s="993">
        <v>847.85810412000001</v>
      </c>
      <c r="CT8" s="993">
        <v>831.50276643999996</v>
      </c>
      <c r="CU8" s="993">
        <v>859.87628553000002</v>
      </c>
      <c r="CV8" s="993">
        <v>853.29803943000002</v>
      </c>
      <c r="CW8" s="993">
        <v>870.09419117000004</v>
      </c>
      <c r="CX8" s="993">
        <v>824.98340723000001</v>
      </c>
      <c r="CY8" s="993">
        <v>820.05745450999996</v>
      </c>
      <c r="CZ8" s="993">
        <v>756.40349148999996</v>
      </c>
      <c r="DA8" s="993">
        <v>747.68904634</v>
      </c>
      <c r="DB8" s="993">
        <v>751.53076547000001</v>
      </c>
      <c r="DC8" s="993">
        <v>746.35539194</v>
      </c>
      <c r="DD8" s="1064">
        <v>740.65590216999999</v>
      </c>
      <c r="DE8" s="1064">
        <v>733.94094085999996</v>
      </c>
      <c r="DF8" s="1064">
        <v>741.22516050000002</v>
      </c>
      <c r="DG8" s="1016">
        <v>728.15753729000005</v>
      </c>
      <c r="DH8" s="1016">
        <v>734.21636339999998</v>
      </c>
      <c r="DI8" s="1016">
        <v>739.31876212999998</v>
      </c>
      <c r="DJ8" s="1016">
        <v>758.37285073999999</v>
      </c>
      <c r="DK8" s="1016">
        <v>770.25907812000003</v>
      </c>
      <c r="DL8" s="1016">
        <v>778.42155815000001</v>
      </c>
      <c r="DM8" s="1016">
        <v>755.42052295999997</v>
      </c>
      <c r="DN8" s="1016">
        <v>789.14396804</v>
      </c>
      <c r="DO8" s="1016">
        <v>794.39277890000005</v>
      </c>
      <c r="DP8" s="1016">
        <v>797.74826809000001</v>
      </c>
      <c r="DQ8" s="1016">
        <v>788.56792967000001</v>
      </c>
      <c r="DR8" s="1016">
        <v>781.41484681999998</v>
      </c>
      <c r="DS8" s="1016">
        <v>766.25506600999995</v>
      </c>
      <c r="DT8" s="1016">
        <v>796.96831259999999</v>
      </c>
      <c r="DU8" s="1016">
        <v>820.09704146000001</v>
      </c>
      <c r="DV8" s="1016">
        <v>856.07240155</v>
      </c>
      <c r="DW8" s="1016">
        <v>1089.99946987</v>
      </c>
      <c r="DX8" s="1016">
        <v>1076.02517726</v>
      </c>
      <c r="DY8" s="1016">
        <v>1098.5173462400001</v>
      </c>
      <c r="DZ8" s="1016">
        <v>1105.06507093</v>
      </c>
      <c r="EA8" s="1016">
        <v>1321.41701459</v>
      </c>
      <c r="EB8" s="1016">
        <v>1314.2108879</v>
      </c>
      <c r="EC8" s="1016">
        <v>1421.0077585399999</v>
      </c>
      <c r="ED8" s="1016">
        <v>1390.6909822099999</v>
      </c>
      <c r="EE8" s="1016">
        <v>1462.80029496</v>
      </c>
      <c r="EJ8" s="398"/>
      <c r="EK8" s="399"/>
    </row>
    <row r="9" spans="1:141" ht="19.8">
      <c r="A9" s="977" t="s">
        <v>2001</v>
      </c>
      <c r="B9" s="949">
        <v>470.33041431999999</v>
      </c>
      <c r="C9" s="949">
        <v>482.01647725999999</v>
      </c>
      <c r="D9" s="949">
        <v>490.5559197</v>
      </c>
      <c r="E9" s="949">
        <v>498.72304463</v>
      </c>
      <c r="F9" s="949">
        <v>118.74163664</v>
      </c>
      <c r="G9" s="949">
        <v>108.19685994000001</v>
      </c>
      <c r="H9" s="949">
        <v>136.06096600999999</v>
      </c>
      <c r="I9" s="949">
        <v>134.05635708</v>
      </c>
      <c r="J9" s="949">
        <v>141.09821805000001</v>
      </c>
      <c r="K9" s="949">
        <v>131.09943238</v>
      </c>
      <c r="L9" s="949">
        <v>135.14853092000001</v>
      </c>
      <c r="M9" s="950">
        <v>131.08763291999998</v>
      </c>
      <c r="N9" s="950">
        <v>137.21736048999998</v>
      </c>
      <c r="O9" s="950">
        <v>144.02456171</v>
      </c>
      <c r="P9" s="950">
        <v>205.66816359000001</v>
      </c>
      <c r="Q9" s="950">
        <v>215.91092725999999</v>
      </c>
      <c r="R9" s="950">
        <v>221.94209365999998</v>
      </c>
      <c r="S9" s="950">
        <v>224.63880134999999</v>
      </c>
      <c r="T9" s="950">
        <v>221.55502951</v>
      </c>
      <c r="U9" s="950">
        <v>221.02653531999999</v>
      </c>
      <c r="V9" s="950">
        <v>223.51583880000001</v>
      </c>
      <c r="W9" s="950">
        <v>227.59999175999997</v>
      </c>
      <c r="X9" s="950">
        <v>229.86968580999996</v>
      </c>
      <c r="Y9" s="950">
        <v>393.36210693999999</v>
      </c>
      <c r="Z9" s="950">
        <v>388.02356772999997</v>
      </c>
      <c r="AA9" s="950">
        <v>436.99734518000002</v>
      </c>
      <c r="AB9" s="950">
        <v>454.13826929000004</v>
      </c>
      <c r="AC9" s="950">
        <v>449.91782843999999</v>
      </c>
      <c r="AD9" s="950">
        <v>459.96901541999995</v>
      </c>
      <c r="AE9" s="950">
        <v>459.89180684000002</v>
      </c>
      <c r="AF9" s="950">
        <v>452.38938588999997</v>
      </c>
      <c r="AG9" s="950">
        <v>539.40436950999992</v>
      </c>
      <c r="AH9" s="950">
        <v>543.35058392999997</v>
      </c>
      <c r="AI9" s="950">
        <v>590.25791898</v>
      </c>
      <c r="AJ9" s="950">
        <v>587.18085044999998</v>
      </c>
      <c r="AK9" s="950">
        <v>835.96484687999998</v>
      </c>
      <c r="AL9" s="950">
        <v>859.81413688999987</v>
      </c>
      <c r="AM9" s="950">
        <v>915.97287056000005</v>
      </c>
      <c r="AN9" s="950">
        <v>889.22349469999995</v>
      </c>
      <c r="AO9" s="950">
        <v>904.59454247999997</v>
      </c>
      <c r="AP9" s="950">
        <v>635.17052659000001</v>
      </c>
      <c r="AQ9" s="950">
        <v>649.76178717999994</v>
      </c>
      <c r="AR9" s="950">
        <v>658.46331538000004</v>
      </c>
      <c r="AS9" s="950">
        <v>666.23566278999999</v>
      </c>
      <c r="AT9" s="950">
        <v>662.05018065000002</v>
      </c>
      <c r="AU9" s="950">
        <v>655.82043627999997</v>
      </c>
      <c r="AV9" s="950">
        <v>692.64777032000006</v>
      </c>
      <c r="AW9" s="950">
        <v>716.52135666000004</v>
      </c>
      <c r="AX9" s="950">
        <v>815.97289054999999</v>
      </c>
      <c r="AY9" s="950">
        <v>739.92917187</v>
      </c>
      <c r="AZ9" s="950">
        <v>717.05636463999997</v>
      </c>
      <c r="BA9" s="950">
        <v>713.26840070000003</v>
      </c>
      <c r="BB9" s="950">
        <v>514.74406880000004</v>
      </c>
      <c r="BC9" s="950">
        <v>449.93814546999999</v>
      </c>
      <c r="BD9" s="950">
        <v>556.28803870000002</v>
      </c>
      <c r="BE9" s="950">
        <v>562.03467877000003</v>
      </c>
      <c r="BF9" s="950">
        <v>564.23899266000001</v>
      </c>
      <c r="BG9" s="950">
        <v>560.90701624000008</v>
      </c>
      <c r="BH9" s="1005">
        <v>558.24920702999998</v>
      </c>
      <c r="BI9" s="994">
        <v>587.45271791999994</v>
      </c>
      <c r="BJ9" s="994">
        <v>576.41761564000001</v>
      </c>
      <c r="BK9" s="994">
        <v>448.34323267999997</v>
      </c>
      <c r="BL9" s="994">
        <v>438.21877163999994</v>
      </c>
      <c r="BM9" s="994">
        <v>440.79072854999998</v>
      </c>
      <c r="BN9" s="994">
        <v>439.97160451999997</v>
      </c>
      <c r="BO9" s="994">
        <v>460.61150981999998</v>
      </c>
      <c r="BP9" s="994">
        <v>466.35573925000006</v>
      </c>
      <c r="BQ9" s="994">
        <v>464.39037102999998</v>
      </c>
      <c r="BR9" s="994">
        <v>468.22312769000001</v>
      </c>
      <c r="BS9" s="994">
        <v>461.28682637999998</v>
      </c>
      <c r="BT9" s="994">
        <v>462.71017678999999</v>
      </c>
      <c r="BU9" s="994">
        <v>473.28663753000001</v>
      </c>
      <c r="BV9" s="994">
        <v>466.40882180000006</v>
      </c>
      <c r="BW9" s="994">
        <v>472.49069474000004</v>
      </c>
      <c r="BX9" s="994">
        <v>469.18256199000001</v>
      </c>
      <c r="BY9" s="994">
        <v>400.03511544999998</v>
      </c>
      <c r="BZ9" s="994">
        <v>407.39206663000004</v>
      </c>
      <c r="CA9" s="994">
        <v>406.87375298999996</v>
      </c>
      <c r="CB9" s="994">
        <v>402.11777109999997</v>
      </c>
      <c r="CC9" s="994">
        <v>399.35571682000005</v>
      </c>
      <c r="CD9" s="994">
        <v>276.84450260999995</v>
      </c>
      <c r="CE9" s="994">
        <v>282.57323888000002</v>
      </c>
      <c r="CF9" s="994">
        <v>270.02359273000002</v>
      </c>
      <c r="CG9" s="994">
        <v>289.62521072999999</v>
      </c>
      <c r="CH9" s="994">
        <v>261.82338851999998</v>
      </c>
      <c r="CI9" s="994">
        <v>269.92292183999996</v>
      </c>
      <c r="CJ9" s="994">
        <v>276.25197876999999</v>
      </c>
      <c r="CK9" s="994">
        <v>272.28082657000004</v>
      </c>
      <c r="CL9" s="994">
        <v>211.66581278999999</v>
      </c>
      <c r="CM9" s="994">
        <v>193.70737768999999</v>
      </c>
      <c r="CN9" s="994">
        <v>193.03314757000001</v>
      </c>
      <c r="CO9" s="994">
        <v>187.74701800000003</v>
      </c>
      <c r="CP9" s="994">
        <v>187.18031102999998</v>
      </c>
      <c r="CQ9" s="994">
        <v>189.93353534000002</v>
      </c>
      <c r="CR9" s="994">
        <v>190.64017178</v>
      </c>
      <c r="CS9" s="994">
        <v>173.28483374999999</v>
      </c>
      <c r="CT9" s="994">
        <v>171.06707675999999</v>
      </c>
      <c r="CU9" s="994">
        <v>169.51842887000001</v>
      </c>
      <c r="CV9" s="994">
        <v>170.57506821999999</v>
      </c>
      <c r="CW9" s="994">
        <v>169.32613724999999</v>
      </c>
      <c r="CX9" s="994">
        <v>163.59614475999999</v>
      </c>
      <c r="CY9" s="994">
        <v>180.80696243</v>
      </c>
      <c r="CZ9" s="994">
        <v>179.16939737999999</v>
      </c>
      <c r="DA9" s="994">
        <v>177.69214934999999</v>
      </c>
      <c r="DB9" s="994">
        <v>176.30831752</v>
      </c>
      <c r="DC9" s="994">
        <v>174.87861373000001</v>
      </c>
      <c r="DD9" s="1065">
        <v>163.74010878000001</v>
      </c>
      <c r="DE9" s="1065">
        <v>163.89743983</v>
      </c>
      <c r="DF9" s="1065">
        <v>163.86037561000001</v>
      </c>
      <c r="DG9" s="1017">
        <v>163.85986507999999</v>
      </c>
      <c r="DH9" s="1017">
        <v>163.84735309999999</v>
      </c>
      <c r="DI9" s="1017">
        <v>163.83257510000001</v>
      </c>
      <c r="DJ9" s="1017">
        <v>163.78346113000001</v>
      </c>
      <c r="DK9" s="1017">
        <v>163.77177048999999</v>
      </c>
      <c r="DL9" s="1017">
        <v>163.74109053999999</v>
      </c>
      <c r="DM9" s="1017">
        <v>152.39220904999999</v>
      </c>
      <c r="DN9" s="1017">
        <v>152.66013919</v>
      </c>
      <c r="DO9" s="1017">
        <v>146.94425215000001</v>
      </c>
      <c r="DP9" s="1017">
        <v>141.31359064</v>
      </c>
      <c r="DQ9" s="1017">
        <v>98.171173249999995</v>
      </c>
      <c r="DR9" s="1017">
        <v>96.143053170000002</v>
      </c>
      <c r="DS9" s="1017">
        <v>96.142682820000005</v>
      </c>
      <c r="DT9" s="1017">
        <v>96.119826759999995</v>
      </c>
      <c r="DU9" s="1017">
        <v>96.096153959999995</v>
      </c>
      <c r="DV9" s="1017">
        <v>96.072547170000007</v>
      </c>
      <c r="DW9" s="1017">
        <v>96.091957750000006</v>
      </c>
      <c r="DX9" s="1017">
        <v>96.053906449999999</v>
      </c>
      <c r="DY9" s="1017">
        <v>94.838897309999993</v>
      </c>
      <c r="DZ9" s="1017">
        <v>56.138270470000002</v>
      </c>
      <c r="EA9" s="1017">
        <v>258.88372269000001</v>
      </c>
      <c r="EB9" s="1017">
        <v>258.85848026999997</v>
      </c>
      <c r="EC9" s="1017">
        <v>233.33244382000001</v>
      </c>
      <c r="ED9" s="1017">
        <v>227.48407116000001</v>
      </c>
      <c r="EE9" s="1017">
        <v>227.47848124000001</v>
      </c>
      <c r="EK9" s="400"/>
    </row>
    <row r="10" spans="1:141" ht="19.8">
      <c r="A10" s="978" t="s">
        <v>2002</v>
      </c>
      <c r="B10" s="945">
        <f>+B8-B9</f>
        <v>304.56946395000006</v>
      </c>
      <c r="C10" s="945">
        <f t="shared" ref="C10:V10" si="0">+C8-C9</f>
        <v>324.96951623999996</v>
      </c>
      <c r="D10" s="945">
        <f t="shared" si="0"/>
        <v>326.63983909000001</v>
      </c>
      <c r="E10" s="945">
        <f t="shared" si="0"/>
        <v>330.99818827000013</v>
      </c>
      <c r="F10" s="945">
        <f t="shared" si="0"/>
        <v>329.71821437999995</v>
      </c>
      <c r="G10" s="945">
        <f t="shared" si="0"/>
        <v>334.69906494999998</v>
      </c>
      <c r="H10" s="945">
        <f t="shared" si="0"/>
        <v>352.84797449999996</v>
      </c>
      <c r="I10" s="945">
        <f t="shared" si="0"/>
        <v>348.43850688999993</v>
      </c>
      <c r="J10" s="945">
        <f t="shared" si="0"/>
        <v>374.43272444000002</v>
      </c>
      <c r="K10" s="945">
        <f t="shared" si="0"/>
        <v>365.90347346999994</v>
      </c>
      <c r="L10" s="945">
        <f t="shared" si="0"/>
        <v>365.70542840999997</v>
      </c>
      <c r="M10" s="950">
        <f t="shared" si="0"/>
        <v>374.95385800999998</v>
      </c>
      <c r="N10" s="946">
        <f t="shared" si="0"/>
        <v>377.51845325999994</v>
      </c>
      <c r="O10" s="946">
        <f t="shared" si="0"/>
        <v>385.5663193100001</v>
      </c>
      <c r="P10" s="946">
        <f t="shared" si="0"/>
        <v>373.58113823000002</v>
      </c>
      <c r="Q10" s="946">
        <f t="shared" si="0"/>
        <v>370.37447248000001</v>
      </c>
      <c r="R10" s="946">
        <f t="shared" si="0"/>
        <v>360.02626888000009</v>
      </c>
      <c r="S10" s="946">
        <f t="shared" si="0"/>
        <v>362.14015674999996</v>
      </c>
      <c r="T10" s="946">
        <f t="shared" si="0"/>
        <v>357.15934398999997</v>
      </c>
      <c r="U10" s="946">
        <f t="shared" si="0"/>
        <v>365.50841839999998</v>
      </c>
      <c r="V10" s="946">
        <f t="shared" si="0"/>
        <v>359.12446313000009</v>
      </c>
      <c r="W10" s="946">
        <v>341.47432616000015</v>
      </c>
      <c r="X10" s="946">
        <v>332.9550964</v>
      </c>
      <c r="Y10" s="950">
        <v>342.67651983000007</v>
      </c>
      <c r="Z10" s="946">
        <v>338.43519359000004</v>
      </c>
      <c r="AA10" s="946">
        <v>394.83017684000004</v>
      </c>
      <c r="AB10" s="950">
        <f>AB8-AB9</f>
        <v>411.95901233000006</v>
      </c>
      <c r="AC10" s="950">
        <v>421.80974162000007</v>
      </c>
      <c r="AD10" s="950">
        <v>430.91133017999999</v>
      </c>
      <c r="AE10" s="950">
        <v>435.03293033000006</v>
      </c>
      <c r="AF10" s="950">
        <v>468.64153553999995</v>
      </c>
      <c r="AG10" s="950">
        <v>466.34915358000001</v>
      </c>
      <c r="AH10" s="950">
        <f>AH8-AH9</f>
        <v>470.78655198000013</v>
      </c>
      <c r="AI10" s="950">
        <v>484.15312764999987</v>
      </c>
      <c r="AJ10" s="950">
        <f>AJ8-AJ9</f>
        <v>472.52641369999992</v>
      </c>
      <c r="AK10" s="950">
        <f>AK8-AK9</f>
        <v>628.99967658000003</v>
      </c>
      <c r="AL10" s="950">
        <v>641.52324401999999</v>
      </c>
      <c r="AM10" s="950">
        <f>AM8-AM9</f>
        <v>620.91929686000003</v>
      </c>
      <c r="AN10" s="950">
        <f>AN8-AN9</f>
        <v>623.5972135200002</v>
      </c>
      <c r="AO10" s="950">
        <f>AO8-AO9</f>
        <v>607.19561208000027</v>
      </c>
      <c r="AP10" s="950">
        <f>AP8-AP9</f>
        <v>608.28515324999989</v>
      </c>
      <c r="AQ10" s="950">
        <v>623.42279661000009</v>
      </c>
      <c r="AR10" s="950">
        <f>AR8-AR9</f>
        <v>497.77714001999993</v>
      </c>
      <c r="AS10" s="950">
        <v>509.2101799400001</v>
      </c>
      <c r="AT10" s="950">
        <f>AT8-AT9</f>
        <v>500.70025954000005</v>
      </c>
      <c r="AU10" s="950">
        <v>508.7270709899999</v>
      </c>
      <c r="AV10" s="950">
        <v>540.81993667000006</v>
      </c>
      <c r="AW10" s="950">
        <v>554.27620072000013</v>
      </c>
      <c r="AX10" s="950">
        <v>579.72527945000013</v>
      </c>
      <c r="AY10" s="950">
        <v>528.96445529000005</v>
      </c>
      <c r="AZ10" s="950">
        <v>510.05257799999993</v>
      </c>
      <c r="BA10" s="950">
        <v>495.50018634000003</v>
      </c>
      <c r="BB10" s="950">
        <v>487.18040114999997</v>
      </c>
      <c r="BC10" s="950">
        <v>572.70041015999993</v>
      </c>
      <c r="BD10" s="950">
        <f>+BD8-BD9</f>
        <v>503.02737720000005</v>
      </c>
      <c r="BE10" s="950">
        <v>500.59597342000006</v>
      </c>
      <c r="BF10" s="950">
        <v>496.66684964000012</v>
      </c>
      <c r="BG10" s="950">
        <v>508.58066233</v>
      </c>
      <c r="BH10" s="1005">
        <v>511.32117025000002</v>
      </c>
      <c r="BI10" s="994">
        <v>539.25750461999996</v>
      </c>
      <c r="BJ10" s="994">
        <v>544.01202651000006</v>
      </c>
      <c r="BK10" s="994">
        <v>534.92564805000006</v>
      </c>
      <c r="BL10" s="994">
        <v>554.69555491000006</v>
      </c>
      <c r="BM10" s="994">
        <v>664.05303881999998</v>
      </c>
      <c r="BN10" s="994">
        <v>661.4039679</v>
      </c>
      <c r="BO10" s="994">
        <v>696.82922486999996</v>
      </c>
      <c r="BP10" s="994">
        <v>709.84663312999999</v>
      </c>
      <c r="BQ10" s="994">
        <v>710.69483692000006</v>
      </c>
      <c r="BR10" s="994">
        <v>821.07336866999981</v>
      </c>
      <c r="BS10" s="994">
        <v>827.69328639999992</v>
      </c>
      <c r="BT10" s="994">
        <v>904.45536703999994</v>
      </c>
      <c r="BU10" s="994">
        <v>897.36694177999993</v>
      </c>
      <c r="BV10" s="994">
        <v>901.74763245999986</v>
      </c>
      <c r="BW10" s="994">
        <v>886.53516683000021</v>
      </c>
      <c r="BX10" s="994">
        <v>888.69780876999994</v>
      </c>
      <c r="BY10" s="994">
        <v>871.88977580000005</v>
      </c>
      <c r="BZ10" s="994">
        <v>893.78065986000001</v>
      </c>
      <c r="CA10" s="994">
        <v>928.71447661999991</v>
      </c>
      <c r="CB10" s="994">
        <v>872.04887541000016</v>
      </c>
      <c r="CC10" s="994">
        <v>869.43360123999992</v>
      </c>
      <c r="CD10" s="994">
        <v>890.89567659000011</v>
      </c>
      <c r="CE10" s="994">
        <f t="shared" ref="CE10:CP10" si="1">+CE8-CE9</f>
        <v>881.22630925000021</v>
      </c>
      <c r="CF10" s="994">
        <f t="shared" si="1"/>
        <v>937.63598060999993</v>
      </c>
      <c r="CG10" s="994">
        <f t="shared" si="1"/>
        <v>914.22349891999988</v>
      </c>
      <c r="CH10" s="994">
        <f t="shared" si="1"/>
        <v>915.28274974999999</v>
      </c>
      <c r="CI10" s="994">
        <f t="shared" si="1"/>
        <v>902.19483555999989</v>
      </c>
      <c r="CJ10" s="994">
        <f t="shared" si="1"/>
        <v>891.93196107000017</v>
      </c>
      <c r="CK10" s="994">
        <f t="shared" si="1"/>
        <v>828.86150585999985</v>
      </c>
      <c r="CL10" s="994">
        <f t="shared" si="1"/>
        <v>749.86500006999984</v>
      </c>
      <c r="CM10" s="994">
        <f t="shared" si="1"/>
        <v>721.68091257000015</v>
      </c>
      <c r="CN10" s="994">
        <f t="shared" si="1"/>
        <v>724.37167536999993</v>
      </c>
      <c r="CO10" s="994">
        <f t="shared" si="1"/>
        <v>713.69170337000003</v>
      </c>
      <c r="CP10" s="994">
        <f t="shared" si="1"/>
        <v>704.40901133999989</v>
      </c>
      <c r="CQ10" s="994">
        <f>+CQ8-CQ9</f>
        <v>685.24940800000002</v>
      </c>
      <c r="CR10" s="994">
        <f>+CR8-CR9</f>
        <v>666.83120463</v>
      </c>
      <c r="CS10" s="994">
        <v>674.57327037000005</v>
      </c>
      <c r="CT10" s="994">
        <v>660.43568968</v>
      </c>
      <c r="CU10" s="994">
        <v>690.35785666000004</v>
      </c>
      <c r="CV10" s="994">
        <v>682.72297120999997</v>
      </c>
      <c r="CW10" s="994">
        <v>700.76805392000006</v>
      </c>
      <c r="CX10" s="994">
        <v>661.38726247</v>
      </c>
      <c r="CY10" s="994">
        <v>639.25049207999996</v>
      </c>
      <c r="CZ10" s="994">
        <v>577.23409411</v>
      </c>
      <c r="DA10" s="994">
        <v>569.99689698999998</v>
      </c>
      <c r="DB10" s="994">
        <v>575.22244794999995</v>
      </c>
      <c r="DC10" s="994">
        <v>571.47677821000002</v>
      </c>
      <c r="DD10" s="1065">
        <v>576.91579338999998</v>
      </c>
      <c r="DE10" s="1065">
        <v>570.04350103000002</v>
      </c>
      <c r="DF10" s="1065">
        <v>577.36478489000001</v>
      </c>
      <c r="DG10" s="1017">
        <v>564.29767220999997</v>
      </c>
      <c r="DH10" s="1017">
        <v>570.36901030000001</v>
      </c>
      <c r="DI10" s="1017">
        <v>575.48618703</v>
      </c>
      <c r="DJ10" s="1017">
        <v>594.58938961000001</v>
      </c>
      <c r="DK10" s="1017">
        <v>606.48730763000003</v>
      </c>
      <c r="DL10" s="1017">
        <v>614.68046761000005</v>
      </c>
      <c r="DM10" s="1017">
        <v>603.02831390999995</v>
      </c>
      <c r="DN10" s="1017">
        <v>636.48382885000001</v>
      </c>
      <c r="DO10" s="1017">
        <v>647.44852675000004</v>
      </c>
      <c r="DP10" s="1017">
        <v>656.43467744999998</v>
      </c>
      <c r="DQ10" s="1017">
        <v>690.39675641999997</v>
      </c>
      <c r="DR10" s="1017">
        <v>685.27179364999995</v>
      </c>
      <c r="DS10" s="1017">
        <v>670.11238318999995</v>
      </c>
      <c r="DT10" s="1017">
        <v>700.84848583999997</v>
      </c>
      <c r="DU10" s="1017">
        <v>724.00088749999998</v>
      </c>
      <c r="DV10" s="1017">
        <v>759.99985437999999</v>
      </c>
      <c r="DW10" s="1017">
        <v>993.90751211999998</v>
      </c>
      <c r="DX10" s="1017">
        <v>979.97127080999996</v>
      </c>
      <c r="DY10" s="1017">
        <v>1003.6784489299999</v>
      </c>
      <c r="DZ10" s="1017">
        <v>1048.9268004600001</v>
      </c>
      <c r="EA10" s="1017">
        <v>1062.5332919</v>
      </c>
      <c r="EB10" s="1017">
        <v>1055.35240763</v>
      </c>
      <c r="EC10" s="1017">
        <v>1187.67531472</v>
      </c>
      <c r="ED10" s="1017">
        <v>1163.2069110499999</v>
      </c>
      <c r="EE10" s="1017">
        <v>1235.3218137199999</v>
      </c>
      <c r="EK10" s="400"/>
    </row>
    <row r="11" spans="1:141" ht="19.8">
      <c r="A11" s="977"/>
      <c r="B11" s="949"/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50"/>
      <c r="N11" s="950"/>
      <c r="O11" s="950"/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50"/>
      <c r="AA11" s="950"/>
      <c r="AB11" s="950"/>
      <c r="AC11" s="950"/>
      <c r="AD11" s="950"/>
      <c r="AE11" s="950"/>
      <c r="AF11" s="950"/>
      <c r="AG11" s="950"/>
      <c r="AH11" s="950"/>
      <c r="AI11" s="950"/>
      <c r="AJ11" s="950"/>
      <c r="AK11" s="950"/>
      <c r="AL11" s="950"/>
      <c r="AM11" s="950"/>
      <c r="AN11" s="950"/>
      <c r="AO11" s="950"/>
      <c r="AP11" s="950"/>
      <c r="AQ11" s="950"/>
      <c r="AR11" s="950"/>
      <c r="AS11" s="950"/>
      <c r="AT11" s="950"/>
      <c r="AU11" s="950"/>
      <c r="AV11" s="950"/>
      <c r="AW11" s="950"/>
      <c r="AX11" s="950"/>
      <c r="AY11" s="950"/>
      <c r="AZ11" s="950"/>
      <c r="BA11" s="950"/>
      <c r="BB11" s="950"/>
      <c r="BC11" s="950"/>
      <c r="BD11" s="950"/>
      <c r="BE11" s="950"/>
      <c r="BF11" s="950"/>
      <c r="BG11" s="950"/>
      <c r="BH11" s="1005"/>
      <c r="BI11" s="994"/>
      <c r="BJ11" s="994"/>
      <c r="BK11" s="994"/>
      <c r="BL11" s="994"/>
      <c r="BM11" s="994"/>
      <c r="BN11" s="994"/>
      <c r="BO11" s="994"/>
      <c r="BP11" s="994"/>
      <c r="BQ11" s="994"/>
      <c r="BR11" s="994"/>
      <c r="BS11" s="994"/>
      <c r="BT11" s="994"/>
      <c r="BU11" s="994"/>
      <c r="BV11" s="994"/>
      <c r="BW11" s="994"/>
      <c r="BX11" s="994"/>
      <c r="BY11" s="994"/>
      <c r="BZ11" s="994"/>
      <c r="CA11" s="994"/>
      <c r="CB11" s="994"/>
      <c r="CC11" s="994"/>
      <c r="CD11" s="994"/>
      <c r="CE11" s="994"/>
      <c r="CF11" s="994"/>
      <c r="CG11" s="994"/>
      <c r="CH11" s="994"/>
      <c r="CI11" s="994"/>
      <c r="CJ11" s="994"/>
      <c r="CK11" s="994"/>
      <c r="CL11" s="994"/>
      <c r="CM11" s="994"/>
      <c r="CN11" s="994"/>
      <c r="CO11" s="994"/>
      <c r="CP11" s="994"/>
      <c r="CQ11" s="994"/>
      <c r="CR11" s="994"/>
      <c r="CS11" s="994"/>
      <c r="CT11" s="994"/>
      <c r="CU11" s="994"/>
      <c r="CV11" s="994"/>
      <c r="CW11" s="994"/>
      <c r="CX11" s="994"/>
      <c r="CY11" s="994"/>
      <c r="CZ11" s="994"/>
      <c r="DA11" s="994"/>
      <c r="DB11" s="994"/>
      <c r="DC11" s="994"/>
      <c r="DD11" s="1065"/>
      <c r="DE11" s="1065"/>
      <c r="DF11" s="1065"/>
      <c r="DG11" s="1017"/>
      <c r="DH11" s="1017"/>
      <c r="DI11" s="1017"/>
      <c r="DJ11" s="1017"/>
      <c r="DK11" s="1017"/>
      <c r="DL11" s="1017"/>
      <c r="DM11" s="1017"/>
      <c r="DN11" s="1017"/>
      <c r="DO11" s="1017"/>
      <c r="DP11" s="1017"/>
      <c r="DQ11" s="1017"/>
      <c r="DR11" s="1017"/>
      <c r="DS11" s="1017"/>
      <c r="DT11" s="1017"/>
      <c r="DU11" s="1017"/>
      <c r="DV11" s="1017"/>
      <c r="DW11" s="1017"/>
      <c r="DX11" s="1017"/>
      <c r="DY11" s="1017"/>
      <c r="DZ11" s="1017"/>
      <c r="EA11" s="1017"/>
      <c r="EB11" s="1017"/>
      <c r="EC11" s="1017"/>
      <c r="ED11" s="1017"/>
      <c r="EE11" s="1017"/>
      <c r="EK11" s="400"/>
    </row>
    <row r="12" spans="1:141" ht="19.8">
      <c r="A12" s="976" t="s">
        <v>2821</v>
      </c>
      <c r="B12" s="945">
        <v>507.42843032000002</v>
      </c>
      <c r="C12" s="945">
        <v>524.99967651999998</v>
      </c>
      <c r="D12" s="945">
        <v>534.04919411000003</v>
      </c>
      <c r="E12" s="945">
        <v>540.16775615000006</v>
      </c>
      <c r="F12" s="945">
        <v>163.89234923000001</v>
      </c>
      <c r="G12" s="945">
        <v>153.89323934999999</v>
      </c>
      <c r="H12" s="945">
        <v>183.08798338</v>
      </c>
      <c r="I12" s="945">
        <v>180.10297616999998</v>
      </c>
      <c r="J12" s="945">
        <v>182.85229500000003</v>
      </c>
      <c r="K12" s="945">
        <v>168.39408284999999</v>
      </c>
      <c r="L12" s="945">
        <v>174.02265593999999</v>
      </c>
      <c r="M12" s="946">
        <v>166.41937283999999</v>
      </c>
      <c r="N12" s="946">
        <v>178.53736264999998</v>
      </c>
      <c r="O12" s="946">
        <v>187.98067644000002</v>
      </c>
      <c r="P12" s="946">
        <v>240.49386544999999</v>
      </c>
      <c r="Q12" s="946">
        <v>248.98681202999998</v>
      </c>
      <c r="R12" s="946">
        <v>243.00768470000003</v>
      </c>
      <c r="S12" s="946">
        <v>247.12669526999997</v>
      </c>
      <c r="T12" s="946">
        <v>244.17903846999997</v>
      </c>
      <c r="U12" s="946">
        <v>253.08849155000001</v>
      </c>
      <c r="V12" s="946">
        <v>185.46936525000001</v>
      </c>
      <c r="W12" s="946">
        <v>173.20822641000001</v>
      </c>
      <c r="X12" s="946">
        <v>165.37175228999999</v>
      </c>
      <c r="Y12" s="946">
        <v>329.00700834999998</v>
      </c>
      <c r="Z12" s="946">
        <v>322.35860346999999</v>
      </c>
      <c r="AA12" s="946">
        <v>371.96641175000002</v>
      </c>
      <c r="AB12" s="946">
        <v>370.33742301000007</v>
      </c>
      <c r="AC12" s="946">
        <v>366.51985273000003</v>
      </c>
      <c r="AD12" s="946">
        <v>368.48354021</v>
      </c>
      <c r="AE12" s="946">
        <v>369.93536634000003</v>
      </c>
      <c r="AF12" s="946">
        <v>394.30213676999995</v>
      </c>
      <c r="AG12" s="946">
        <v>405.70291370999996</v>
      </c>
      <c r="AH12" s="946">
        <v>381.26119168999998</v>
      </c>
      <c r="AI12" s="946">
        <v>379.39115588000004</v>
      </c>
      <c r="AJ12" s="946">
        <v>382.19071415999997</v>
      </c>
      <c r="AK12" s="946">
        <v>544.50113308000005</v>
      </c>
      <c r="AL12" s="946">
        <v>561.68299117999993</v>
      </c>
      <c r="AM12" s="946">
        <v>550.83424279999997</v>
      </c>
      <c r="AN12" s="946">
        <v>526.31375068</v>
      </c>
      <c r="AO12" s="946">
        <v>525.61498124000002</v>
      </c>
      <c r="AP12" s="946">
        <v>269.06161515999997</v>
      </c>
      <c r="AQ12" s="946">
        <v>266.83380957999998</v>
      </c>
      <c r="AR12" s="946">
        <v>231.72581046000005</v>
      </c>
      <c r="AS12" s="946">
        <v>227.1274688</v>
      </c>
      <c r="AT12" s="946">
        <v>211.23994210000001</v>
      </c>
      <c r="AU12" s="946">
        <v>202.23761458999996</v>
      </c>
      <c r="AV12" s="946">
        <v>228.21558055</v>
      </c>
      <c r="AW12" s="946">
        <v>255.37415869</v>
      </c>
      <c r="AX12" s="946">
        <v>314.04464339000003</v>
      </c>
      <c r="AY12" s="946">
        <v>280.92747125</v>
      </c>
      <c r="AZ12" s="946">
        <v>280.09984621000001</v>
      </c>
      <c r="BA12" s="946">
        <v>279.50294514000001</v>
      </c>
      <c r="BB12" s="946">
        <v>237.45733312999999</v>
      </c>
      <c r="BC12" s="946">
        <v>227.52258305999999</v>
      </c>
      <c r="BD12" s="946">
        <v>225.43872663999997</v>
      </c>
      <c r="BE12" s="946">
        <v>223.88630667000001</v>
      </c>
      <c r="BF12" s="946">
        <v>227.73351843</v>
      </c>
      <c r="BG12" s="946">
        <v>237.67564231</v>
      </c>
      <c r="BH12" s="1004">
        <v>237.88854345000001</v>
      </c>
      <c r="BI12" s="993">
        <v>239.78881192999995</v>
      </c>
      <c r="BJ12" s="993">
        <v>228.50738426999999</v>
      </c>
      <c r="BK12" s="993">
        <v>223.85886670999997</v>
      </c>
      <c r="BL12" s="993">
        <v>280.41741375000004</v>
      </c>
      <c r="BM12" s="993">
        <v>305.19798595000003</v>
      </c>
      <c r="BN12" s="993">
        <v>305.58191987999999</v>
      </c>
      <c r="BO12" s="993">
        <v>287.55329999999998</v>
      </c>
      <c r="BP12" s="993">
        <v>303.02505136000002</v>
      </c>
      <c r="BQ12" s="993">
        <v>302.73775936999999</v>
      </c>
      <c r="BR12" s="993">
        <v>316.63087144999997</v>
      </c>
      <c r="BS12" s="993">
        <v>330.08963831</v>
      </c>
      <c r="BT12" s="993">
        <v>350.82080633999999</v>
      </c>
      <c r="BU12" s="993">
        <v>325.14299610999996</v>
      </c>
      <c r="BV12" s="993">
        <v>334.01972843999999</v>
      </c>
      <c r="BW12" s="993">
        <v>335.80891435999996</v>
      </c>
      <c r="BX12" s="993">
        <v>345.99121041000001</v>
      </c>
      <c r="BY12" s="993">
        <v>330.66645369999998</v>
      </c>
      <c r="BZ12" s="993">
        <v>343.76317367000001</v>
      </c>
      <c r="CA12" s="993">
        <v>331.27804697000005</v>
      </c>
      <c r="CB12" s="993">
        <v>285.13509785999997</v>
      </c>
      <c r="CC12" s="993">
        <v>283.99604725</v>
      </c>
      <c r="CD12" s="993">
        <v>284.57489620000001</v>
      </c>
      <c r="CE12" s="993">
        <v>286.91781349000001</v>
      </c>
      <c r="CF12" s="993">
        <v>285.66822238999998</v>
      </c>
      <c r="CG12" s="993">
        <v>215.57699778999995</v>
      </c>
      <c r="CH12" s="993">
        <v>204.24516796999998</v>
      </c>
      <c r="CI12" s="993">
        <v>203.38606125000001</v>
      </c>
      <c r="CJ12" s="993">
        <v>201.84166063000001</v>
      </c>
      <c r="CK12" s="993">
        <v>199.75225159999999</v>
      </c>
      <c r="CL12" s="993">
        <v>160.23167658</v>
      </c>
      <c r="CM12" s="993">
        <v>155.63601152000001</v>
      </c>
      <c r="CN12" s="993">
        <v>159.64286839999997</v>
      </c>
      <c r="CO12" s="993">
        <v>158.49652209999999</v>
      </c>
      <c r="CP12" s="993">
        <v>155.42169095999998</v>
      </c>
      <c r="CQ12" s="993">
        <v>158.77220137</v>
      </c>
      <c r="CR12" s="993">
        <v>159.34004904</v>
      </c>
      <c r="CS12" s="993">
        <v>150.13681513</v>
      </c>
      <c r="CT12" s="993">
        <v>140.99529387000001</v>
      </c>
      <c r="CU12" s="993">
        <v>135.03820755999999</v>
      </c>
      <c r="CV12" s="993">
        <v>135.05164977000001</v>
      </c>
      <c r="CW12" s="993">
        <v>136.31650493999999</v>
      </c>
      <c r="CX12" s="993">
        <v>111.04016678000001</v>
      </c>
      <c r="CY12" s="993">
        <v>115.21341258</v>
      </c>
      <c r="CZ12" s="993">
        <v>114.46442819000001</v>
      </c>
      <c r="DA12" s="993">
        <v>113.35979033</v>
      </c>
      <c r="DB12" s="993">
        <v>114.55895836000001</v>
      </c>
      <c r="DC12" s="993">
        <v>114.44869543</v>
      </c>
      <c r="DD12" s="1064">
        <v>119.90102752999999</v>
      </c>
      <c r="DE12" s="1064">
        <v>114.54357974</v>
      </c>
      <c r="DF12" s="1064">
        <v>105.94506761</v>
      </c>
      <c r="DG12" s="1016">
        <v>99.917687290000003</v>
      </c>
      <c r="DH12" s="1016">
        <v>102.27527628</v>
      </c>
      <c r="DI12" s="1016">
        <v>106.52911872999999</v>
      </c>
      <c r="DJ12" s="1016">
        <v>125.0299682</v>
      </c>
      <c r="DK12" s="1016">
        <v>143.56555510000001</v>
      </c>
      <c r="DL12" s="1016">
        <v>154.52858075</v>
      </c>
      <c r="DM12" s="1016">
        <v>135.54000291</v>
      </c>
      <c r="DN12" s="1016">
        <v>142.32856484000001</v>
      </c>
      <c r="DO12" s="1016">
        <v>143.24978615000001</v>
      </c>
      <c r="DP12" s="1016">
        <v>152.44454098</v>
      </c>
      <c r="DQ12" s="1016">
        <v>133.24660169000001</v>
      </c>
      <c r="DR12" s="1016">
        <v>130.89760705</v>
      </c>
      <c r="DS12" s="1016">
        <v>118.28909629</v>
      </c>
      <c r="DT12" s="1016">
        <v>120.07092326999999</v>
      </c>
      <c r="DU12" s="1016">
        <v>131.47410522999999</v>
      </c>
      <c r="DV12" s="1016">
        <v>125.98212436999999</v>
      </c>
      <c r="DW12" s="1016">
        <v>165.21896161999999</v>
      </c>
      <c r="DX12" s="1016">
        <v>163.76919305999999</v>
      </c>
      <c r="DY12" s="1016">
        <v>172.80605455</v>
      </c>
      <c r="DZ12" s="1016">
        <v>165.5356524</v>
      </c>
      <c r="EA12" s="1016">
        <v>152.11525878</v>
      </c>
      <c r="EB12" s="1016">
        <v>153.54993941999999</v>
      </c>
      <c r="EC12" s="1016">
        <v>185.40605622999999</v>
      </c>
      <c r="ED12" s="1016">
        <v>178.93155598999999</v>
      </c>
      <c r="EE12" s="1016">
        <v>184.4530187</v>
      </c>
      <c r="EK12" s="400"/>
    </row>
    <row r="13" spans="1:141" ht="19.8">
      <c r="A13" s="977" t="s">
        <v>2001</v>
      </c>
      <c r="B13" s="949">
        <v>421.77123088999997</v>
      </c>
      <c r="C13" s="949">
        <v>433.70391663999999</v>
      </c>
      <c r="D13" s="949">
        <v>440.61041441000003</v>
      </c>
      <c r="E13" s="949">
        <v>442.83119631</v>
      </c>
      <c r="F13" s="949">
        <v>65.143066930000003</v>
      </c>
      <c r="G13" s="949">
        <v>47.453785300000007</v>
      </c>
      <c r="H13" s="949">
        <v>73.282596829999989</v>
      </c>
      <c r="I13" s="949">
        <v>68.302858470000004</v>
      </c>
      <c r="J13" s="949">
        <v>70.391703250000006</v>
      </c>
      <c r="K13" s="949">
        <v>61.005585449999998</v>
      </c>
      <c r="L13" s="949">
        <v>65.232429150000002</v>
      </c>
      <c r="M13" s="950">
        <v>57.139128810000003</v>
      </c>
      <c r="N13" s="950">
        <v>64.137846449999998</v>
      </c>
      <c r="O13" s="950">
        <v>68.692105150000003</v>
      </c>
      <c r="P13" s="950">
        <v>123.62457008000001</v>
      </c>
      <c r="Q13" s="950">
        <v>131.87406752999999</v>
      </c>
      <c r="R13" s="950">
        <v>133.52639028999999</v>
      </c>
      <c r="S13" s="950">
        <v>131.98248361999998</v>
      </c>
      <c r="T13" s="950">
        <v>130.03342852</v>
      </c>
      <c r="U13" s="950">
        <v>129.68638933</v>
      </c>
      <c r="V13" s="950">
        <v>126.55434447</v>
      </c>
      <c r="W13" s="950">
        <v>129.27390130999999</v>
      </c>
      <c r="X13" s="950">
        <v>127.71818900999999</v>
      </c>
      <c r="Y13" s="950">
        <v>290.03036824999998</v>
      </c>
      <c r="Z13" s="950">
        <v>283.99101204999999</v>
      </c>
      <c r="AA13" s="950">
        <v>311.32461193</v>
      </c>
      <c r="AB13" s="950">
        <v>314.38521264000002</v>
      </c>
      <c r="AC13" s="950">
        <v>303.41292950999997</v>
      </c>
      <c r="AD13" s="950">
        <v>289.54116685999998</v>
      </c>
      <c r="AE13" s="950">
        <v>290.13801495000001</v>
      </c>
      <c r="AF13" s="950">
        <v>289.00668979</v>
      </c>
      <c r="AG13" s="950">
        <v>300.32606691999996</v>
      </c>
      <c r="AH13" s="950">
        <v>303.96089654999997</v>
      </c>
      <c r="AI13" s="950">
        <v>307.58140834</v>
      </c>
      <c r="AJ13" s="950">
        <v>308.16335513000001</v>
      </c>
      <c r="AK13" s="950">
        <v>439.56167402</v>
      </c>
      <c r="AL13" s="950">
        <v>454.03155796999994</v>
      </c>
      <c r="AM13" s="950">
        <v>444.82720469999998</v>
      </c>
      <c r="AN13" s="950">
        <v>440.57643894</v>
      </c>
      <c r="AO13" s="950">
        <v>441.26456444000002</v>
      </c>
      <c r="AP13" s="950">
        <v>184.57451903999998</v>
      </c>
      <c r="AQ13" s="950">
        <v>184.71156592999998</v>
      </c>
      <c r="AR13" s="950">
        <v>183.83922755000003</v>
      </c>
      <c r="AS13" s="950">
        <v>179.04532610000001</v>
      </c>
      <c r="AT13" s="950">
        <v>165.81514197999999</v>
      </c>
      <c r="AU13" s="950">
        <v>157.44744721999999</v>
      </c>
      <c r="AV13" s="950">
        <v>170.13295744999999</v>
      </c>
      <c r="AW13" s="950">
        <v>197.09213811000001</v>
      </c>
      <c r="AX13" s="950">
        <v>257.35990168000001</v>
      </c>
      <c r="AY13" s="950">
        <v>235.7791105</v>
      </c>
      <c r="AZ13" s="950">
        <v>228.27365291999999</v>
      </c>
      <c r="BA13" s="950">
        <v>230.80530952000001</v>
      </c>
      <c r="BB13" s="950">
        <v>193.81864182000001</v>
      </c>
      <c r="BC13" s="950">
        <v>183.35464489</v>
      </c>
      <c r="BD13" s="950">
        <v>183.26709857999998</v>
      </c>
      <c r="BE13" s="950">
        <v>183.04152098</v>
      </c>
      <c r="BF13" s="950">
        <v>188.74528176999999</v>
      </c>
      <c r="BG13" s="950">
        <v>187.16640705999998</v>
      </c>
      <c r="BH13" s="1005">
        <v>187.15658876999998</v>
      </c>
      <c r="BI13" s="994">
        <v>188.73520959999996</v>
      </c>
      <c r="BJ13" s="994">
        <v>178.72520959999997</v>
      </c>
      <c r="BK13" s="994">
        <v>178.72520959999997</v>
      </c>
      <c r="BL13" s="994">
        <v>178.71588724999998</v>
      </c>
      <c r="BM13" s="994">
        <v>178.71588724999998</v>
      </c>
      <c r="BN13" s="994">
        <v>178.71588724999998</v>
      </c>
      <c r="BO13" s="994">
        <v>178.71588724999998</v>
      </c>
      <c r="BP13" s="994">
        <v>183.81588725</v>
      </c>
      <c r="BQ13" s="994">
        <v>183.81588725</v>
      </c>
      <c r="BR13" s="994">
        <v>188.81588725</v>
      </c>
      <c r="BS13" s="994">
        <v>180.31588725</v>
      </c>
      <c r="BT13" s="994">
        <v>106.36588725</v>
      </c>
      <c r="BU13" s="994">
        <v>100.13027600999999</v>
      </c>
      <c r="BV13" s="994">
        <v>92.52027600000001</v>
      </c>
      <c r="BW13" s="994">
        <v>97.920276000000001</v>
      </c>
      <c r="BX13" s="994">
        <v>95.220275999999998</v>
      </c>
      <c r="BY13" s="994">
        <v>81.620276000000004</v>
      </c>
      <c r="BZ13" s="994">
        <v>86.720275999999998</v>
      </c>
      <c r="CA13" s="994">
        <v>86.720275999999998</v>
      </c>
      <c r="CB13" s="994">
        <v>86.720275999999998</v>
      </c>
      <c r="CC13" s="994">
        <v>86.720275999999998</v>
      </c>
      <c r="CD13" s="994">
        <v>86.347895080000001</v>
      </c>
      <c r="CE13" s="994">
        <v>86.076304780000001</v>
      </c>
      <c r="CF13" s="994">
        <v>85.895518879999997</v>
      </c>
      <c r="CG13" s="994">
        <v>90.71862123999999</v>
      </c>
      <c r="CH13" s="994">
        <v>80.426628570000005</v>
      </c>
      <c r="CI13" s="994">
        <v>80.444288180000001</v>
      </c>
      <c r="CJ13" s="994">
        <v>80.160836200000006</v>
      </c>
      <c r="CK13" s="994">
        <v>79.874079160000008</v>
      </c>
      <c r="CL13" s="994">
        <v>78.270528180000014</v>
      </c>
      <c r="CM13" s="994">
        <v>75.323675589999993</v>
      </c>
      <c r="CN13" s="994">
        <v>76.797602370000007</v>
      </c>
      <c r="CO13" s="994">
        <v>75.271472130000006</v>
      </c>
      <c r="CP13" s="994">
        <v>76.528116389999994</v>
      </c>
      <c r="CQ13" s="994">
        <v>82.779120180000007</v>
      </c>
      <c r="CR13" s="994">
        <v>80.047220180000011</v>
      </c>
      <c r="CS13" s="994">
        <v>72.760275989999997</v>
      </c>
      <c r="CT13" s="994">
        <v>63.899107839999999</v>
      </c>
      <c r="CU13" s="994">
        <v>63.934107840000003</v>
      </c>
      <c r="CV13" s="994">
        <v>64.019087839999997</v>
      </c>
      <c r="CW13" s="994">
        <v>64.035072970000002</v>
      </c>
      <c r="CX13" s="994">
        <v>64.472031340000001</v>
      </c>
      <c r="CY13" s="994">
        <v>67.564279769999999</v>
      </c>
      <c r="CZ13" s="994">
        <v>67.552745869999995</v>
      </c>
      <c r="DA13" s="994">
        <v>67.541102449999997</v>
      </c>
      <c r="DB13" s="994">
        <v>67.459664129999993</v>
      </c>
      <c r="DC13" s="994">
        <v>67.441742399999995</v>
      </c>
      <c r="DD13" s="1065">
        <v>67.427479259999998</v>
      </c>
      <c r="DE13" s="1065">
        <v>67.409172749999996</v>
      </c>
      <c r="DF13" s="1065">
        <v>67.376765219999996</v>
      </c>
      <c r="DG13" s="1017">
        <v>67.361237959999997</v>
      </c>
      <c r="DH13" s="1017">
        <v>67.349689659999996</v>
      </c>
      <c r="DI13" s="1017">
        <v>67.342205480000004</v>
      </c>
      <c r="DJ13" s="1017">
        <v>67.320500499999994</v>
      </c>
      <c r="DK13" s="1017">
        <v>67.316276939999995</v>
      </c>
      <c r="DL13" s="1017">
        <v>67.299107840000005</v>
      </c>
      <c r="DM13" s="1017">
        <v>55.963607889999999</v>
      </c>
      <c r="DN13" s="1017">
        <v>55.963607889999999</v>
      </c>
      <c r="DO13" s="1017">
        <v>50.24921913</v>
      </c>
      <c r="DP13" s="1017">
        <v>50.24921913</v>
      </c>
      <c r="DQ13" s="1017">
        <v>46.214380149999997</v>
      </c>
      <c r="DR13" s="1017">
        <v>44.188920150000001</v>
      </c>
      <c r="DS13" s="1017">
        <v>44.208920149999997</v>
      </c>
      <c r="DT13" s="1017">
        <v>44.206929070000001</v>
      </c>
      <c r="DU13" s="1017">
        <v>44.204747939999997</v>
      </c>
      <c r="DV13" s="1017">
        <v>44.202617429999997</v>
      </c>
      <c r="DW13" s="1017">
        <v>44.200418399999997</v>
      </c>
      <c r="DX13" s="1017">
        <v>44.198196869999997</v>
      </c>
      <c r="DY13" s="1017">
        <v>43.005941870000001</v>
      </c>
      <c r="DZ13" s="1017">
        <v>30.1536379</v>
      </c>
      <c r="EA13" s="1017">
        <v>2.2499999999999999E-2</v>
      </c>
      <c r="EB13" s="1017">
        <v>2.0786220000000001E-2</v>
      </c>
      <c r="EC13" s="1017">
        <v>1.9014699999999999E-2</v>
      </c>
      <c r="ED13" s="1017">
        <v>1.7237389999999998E-2</v>
      </c>
      <c r="EE13" s="1017">
        <v>1.5442040000000001E-2</v>
      </c>
      <c r="EK13" s="400"/>
    </row>
    <row r="14" spans="1:141" ht="19.8">
      <c r="A14" s="978" t="s">
        <v>2002</v>
      </c>
      <c r="B14" s="949">
        <f>+B12-B13</f>
        <v>85.657199430000048</v>
      </c>
      <c r="C14" s="949">
        <f t="shared" ref="C14:V14" si="2">+C12-C13</f>
        <v>91.295759879999991</v>
      </c>
      <c r="D14" s="949">
        <f t="shared" si="2"/>
        <v>93.438779699999998</v>
      </c>
      <c r="E14" s="949">
        <f t="shared" si="2"/>
        <v>97.336559840000064</v>
      </c>
      <c r="F14" s="949">
        <f t="shared" si="2"/>
        <v>98.749282300000004</v>
      </c>
      <c r="G14" s="949">
        <f t="shared" si="2"/>
        <v>106.43945404999998</v>
      </c>
      <c r="H14" s="949">
        <f t="shared" si="2"/>
        <v>109.80538655000001</v>
      </c>
      <c r="I14" s="949">
        <f t="shared" si="2"/>
        <v>111.80011769999997</v>
      </c>
      <c r="J14" s="949">
        <f t="shared" si="2"/>
        <v>112.46059175000002</v>
      </c>
      <c r="K14" s="949">
        <f t="shared" si="2"/>
        <v>107.38849739999999</v>
      </c>
      <c r="L14" s="949">
        <f t="shared" si="2"/>
        <v>108.79022678999999</v>
      </c>
      <c r="M14" s="950">
        <f t="shared" si="2"/>
        <v>109.28024402999999</v>
      </c>
      <c r="N14" s="950">
        <f t="shared" si="2"/>
        <v>114.39951619999998</v>
      </c>
      <c r="O14" s="950">
        <f t="shared" si="2"/>
        <v>119.28857129000002</v>
      </c>
      <c r="P14" s="950">
        <f t="shared" si="2"/>
        <v>116.86929536999997</v>
      </c>
      <c r="Q14" s="950">
        <f t="shared" si="2"/>
        <v>117.11274449999999</v>
      </c>
      <c r="R14" s="950">
        <f t="shared" si="2"/>
        <v>109.48129441000003</v>
      </c>
      <c r="S14" s="950">
        <f t="shared" si="2"/>
        <v>115.14421164999999</v>
      </c>
      <c r="T14" s="950">
        <f t="shared" si="2"/>
        <v>114.14560994999997</v>
      </c>
      <c r="U14" s="950">
        <f t="shared" si="2"/>
        <v>123.40210222000002</v>
      </c>
      <c r="V14" s="950">
        <f t="shared" si="2"/>
        <v>58.915020780000006</v>
      </c>
      <c r="W14" s="950">
        <v>43.934325100000024</v>
      </c>
      <c r="X14" s="950">
        <v>37.65356328</v>
      </c>
      <c r="Y14" s="950">
        <v>38.976640099999997</v>
      </c>
      <c r="Z14" s="950">
        <v>38.367591419999997</v>
      </c>
      <c r="AA14" s="950">
        <v>60.641799820000017</v>
      </c>
      <c r="AB14" s="950">
        <f>+AB12-AB13</f>
        <v>55.952210370000046</v>
      </c>
      <c r="AC14" s="950">
        <v>63.106923220000056</v>
      </c>
      <c r="AD14" s="950">
        <v>78.942373350000025</v>
      </c>
      <c r="AE14" s="950">
        <v>79.797351390000017</v>
      </c>
      <c r="AF14" s="950">
        <v>105.29544697999995</v>
      </c>
      <c r="AG14" s="950">
        <v>105.37684679</v>
      </c>
      <c r="AH14" s="950">
        <f>+AH12-AH13</f>
        <v>77.300295140000003</v>
      </c>
      <c r="AI14" s="950">
        <v>71.809747540000046</v>
      </c>
      <c r="AJ14" s="950">
        <f>+AJ12-AJ13</f>
        <v>74.027359029999957</v>
      </c>
      <c r="AK14" s="950">
        <f>+AK12-AK13</f>
        <v>104.93945906000005</v>
      </c>
      <c r="AL14" s="950">
        <v>107.65143320999999</v>
      </c>
      <c r="AM14" s="950">
        <f>+AM12-AM13</f>
        <v>106.00703809999999</v>
      </c>
      <c r="AN14" s="950">
        <f>+AN12-AN13</f>
        <v>85.737311739999996</v>
      </c>
      <c r="AO14" s="950">
        <f>+AO12-AO13</f>
        <v>84.350416800000005</v>
      </c>
      <c r="AP14" s="950">
        <f>+AP12-AP13</f>
        <v>84.48709611999999</v>
      </c>
      <c r="AQ14" s="950">
        <v>82.122243650000001</v>
      </c>
      <c r="AR14" s="950">
        <f>+AR12-AR13</f>
        <v>47.886582910000016</v>
      </c>
      <c r="AS14" s="950">
        <v>48.082142699999991</v>
      </c>
      <c r="AT14" s="950">
        <f>+AT12-AT13</f>
        <v>45.424800120000015</v>
      </c>
      <c r="AU14" s="950">
        <v>44.790167369999978</v>
      </c>
      <c r="AV14" s="950">
        <v>58.082623100000006</v>
      </c>
      <c r="AW14" s="950">
        <v>58.282020579999994</v>
      </c>
      <c r="AX14" s="950">
        <v>56.684741710000026</v>
      </c>
      <c r="AY14" s="950">
        <v>45.148360749999995</v>
      </c>
      <c r="AZ14" s="950">
        <v>51.82619329000002</v>
      </c>
      <c r="BA14" s="950">
        <v>48.69763562</v>
      </c>
      <c r="BB14" s="950">
        <v>43.638691309999984</v>
      </c>
      <c r="BC14" s="950">
        <v>44.167938169999985</v>
      </c>
      <c r="BD14" s="950">
        <f>+BD12-BD13</f>
        <v>42.171628059999989</v>
      </c>
      <c r="BE14" s="950">
        <v>40.844785690000009</v>
      </c>
      <c r="BF14" s="950">
        <v>38.988236660000013</v>
      </c>
      <c r="BG14" s="950">
        <v>50.509235250000017</v>
      </c>
      <c r="BH14" s="1005">
        <v>50.73195468000003</v>
      </c>
      <c r="BI14" s="994">
        <v>51.05360232999999</v>
      </c>
      <c r="BJ14" s="994">
        <v>49.782174670000018</v>
      </c>
      <c r="BK14" s="994">
        <v>45.133657110000001</v>
      </c>
      <c r="BL14" s="994">
        <v>101.70152650000006</v>
      </c>
      <c r="BM14" s="994">
        <v>126.48209870000005</v>
      </c>
      <c r="BN14" s="994">
        <v>126.86603263000001</v>
      </c>
      <c r="BO14" s="994">
        <v>108.83741275</v>
      </c>
      <c r="BP14" s="994">
        <v>119.20916411000002</v>
      </c>
      <c r="BQ14" s="994">
        <v>118.92187211999999</v>
      </c>
      <c r="BR14" s="994">
        <v>127.81498419999997</v>
      </c>
      <c r="BS14" s="994">
        <v>149.77375106</v>
      </c>
      <c r="BT14" s="994">
        <v>244.45491908999998</v>
      </c>
      <c r="BU14" s="994">
        <v>225.01272009999997</v>
      </c>
      <c r="BV14" s="994">
        <v>241.49945243999997</v>
      </c>
      <c r="BW14" s="994">
        <v>237.88863835999996</v>
      </c>
      <c r="BX14" s="994">
        <v>250.77093441</v>
      </c>
      <c r="BY14" s="994">
        <v>249.04617769999999</v>
      </c>
      <c r="BZ14" s="994">
        <v>257.04289767</v>
      </c>
      <c r="CA14" s="994">
        <v>244.55777097000004</v>
      </c>
      <c r="CB14" s="994">
        <v>198.41482185999996</v>
      </c>
      <c r="CC14" s="994">
        <v>197.27577124999999</v>
      </c>
      <c r="CD14" s="994">
        <v>198.22700112000001</v>
      </c>
      <c r="CE14" s="994">
        <f t="shared" ref="CE14:CP14" si="3">+CE12-CE13</f>
        <v>200.84150871000003</v>
      </c>
      <c r="CF14" s="994">
        <f t="shared" si="3"/>
        <v>199.77270350999999</v>
      </c>
      <c r="CG14" s="994">
        <f t="shared" si="3"/>
        <v>124.85837654999996</v>
      </c>
      <c r="CH14" s="994">
        <f t="shared" si="3"/>
        <v>123.81853939999998</v>
      </c>
      <c r="CI14" s="994">
        <f t="shared" si="3"/>
        <v>122.94177307000001</v>
      </c>
      <c r="CJ14" s="994">
        <f t="shared" si="3"/>
        <v>121.68082443</v>
      </c>
      <c r="CK14" s="994">
        <f t="shared" si="3"/>
        <v>119.87817243999999</v>
      </c>
      <c r="CL14" s="994">
        <f t="shared" si="3"/>
        <v>81.961148399999985</v>
      </c>
      <c r="CM14" s="994">
        <f t="shared" si="3"/>
        <v>80.312335930000017</v>
      </c>
      <c r="CN14" s="994">
        <f t="shared" si="3"/>
        <v>82.845266029999962</v>
      </c>
      <c r="CO14" s="994">
        <f t="shared" si="3"/>
        <v>83.225049969999986</v>
      </c>
      <c r="CP14" s="994">
        <f t="shared" si="3"/>
        <v>78.893574569999984</v>
      </c>
      <c r="CQ14" s="994">
        <f>+CQ12-CQ13</f>
        <v>75.993081189999998</v>
      </c>
      <c r="CR14" s="994">
        <f>+CR12-CR13</f>
        <v>79.292828859999986</v>
      </c>
      <c r="CS14" s="994">
        <v>77.376539140000006</v>
      </c>
      <c r="CT14" s="994">
        <v>77.096186029999998</v>
      </c>
      <c r="CU14" s="994">
        <v>71.104099719999994</v>
      </c>
      <c r="CV14" s="994">
        <v>71.03256193</v>
      </c>
      <c r="CW14" s="994">
        <v>72.28143197</v>
      </c>
      <c r="CX14" s="994">
        <v>46.568135439999999</v>
      </c>
      <c r="CY14" s="994">
        <v>47.649132809999998</v>
      </c>
      <c r="CZ14" s="994">
        <v>46.911682319999997</v>
      </c>
      <c r="DA14" s="994">
        <v>45.818687879999999</v>
      </c>
      <c r="DB14" s="994">
        <v>47.099294229999998</v>
      </c>
      <c r="DC14" s="994">
        <v>47.006953029999998</v>
      </c>
      <c r="DD14" s="1065">
        <v>52.473548270000002</v>
      </c>
      <c r="DE14" s="1065">
        <v>47.134406990000002</v>
      </c>
      <c r="DF14" s="1065">
        <v>38.568302389999999</v>
      </c>
      <c r="DG14" s="1017">
        <v>32.55644933</v>
      </c>
      <c r="DH14" s="1017">
        <v>34.925586619999997</v>
      </c>
      <c r="DI14" s="1017">
        <v>39.186913250000003</v>
      </c>
      <c r="DJ14" s="1017">
        <v>57.709467699999998</v>
      </c>
      <c r="DK14" s="1017">
        <v>76.249278160000003</v>
      </c>
      <c r="DL14" s="1017">
        <v>87.229472909999998</v>
      </c>
      <c r="DM14" s="1017">
        <v>79.576395020000007</v>
      </c>
      <c r="DN14" s="1017">
        <v>86.364956950000007</v>
      </c>
      <c r="DO14" s="1017">
        <v>93.000567020000005</v>
      </c>
      <c r="DP14" s="1017">
        <v>102.19532185</v>
      </c>
      <c r="DQ14" s="1017">
        <v>87.032221539999995</v>
      </c>
      <c r="DR14" s="1017">
        <v>86.708686900000004</v>
      </c>
      <c r="DS14" s="1017">
        <v>74.080176140000006</v>
      </c>
      <c r="DT14" s="1017">
        <v>75.863994199999993</v>
      </c>
      <c r="DU14" s="1017">
        <v>87.269357290000002</v>
      </c>
      <c r="DV14" s="1017">
        <v>81.779506940000005</v>
      </c>
      <c r="DW14" s="1017">
        <v>121.01854322</v>
      </c>
      <c r="DX14" s="1017">
        <v>119.57099619</v>
      </c>
      <c r="DY14" s="1017">
        <v>129.80011268000001</v>
      </c>
      <c r="DZ14" s="1017">
        <v>135.3820145</v>
      </c>
      <c r="EA14" s="1017">
        <v>152.09275878</v>
      </c>
      <c r="EB14" s="1017">
        <v>153.5291532</v>
      </c>
      <c r="EC14" s="1017">
        <v>185.38704153</v>
      </c>
      <c r="ED14" s="1017">
        <v>178.9143186</v>
      </c>
      <c r="EE14" s="1017">
        <v>184.43757665999999</v>
      </c>
      <c r="EK14" s="400"/>
    </row>
    <row r="15" spans="1:141" ht="19.8">
      <c r="A15" s="979"/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6"/>
      <c r="AA15" s="946"/>
      <c r="AB15" s="946"/>
      <c r="AC15" s="946"/>
      <c r="AD15" s="946"/>
      <c r="AE15" s="946"/>
      <c r="AF15" s="946"/>
      <c r="AG15" s="946"/>
      <c r="AH15" s="946"/>
      <c r="AI15" s="946"/>
      <c r="AJ15" s="946"/>
      <c r="AK15" s="946"/>
      <c r="AL15" s="946"/>
      <c r="AM15" s="946"/>
      <c r="AN15" s="946"/>
      <c r="AO15" s="946"/>
      <c r="AP15" s="946"/>
      <c r="AQ15" s="946"/>
      <c r="AR15" s="946"/>
      <c r="AS15" s="946"/>
      <c r="AT15" s="946"/>
      <c r="AU15" s="946"/>
      <c r="AV15" s="946"/>
      <c r="AW15" s="946"/>
      <c r="AX15" s="946"/>
      <c r="AY15" s="946"/>
      <c r="AZ15" s="946"/>
      <c r="BA15" s="946"/>
      <c r="BB15" s="946"/>
      <c r="BC15" s="946"/>
      <c r="BD15" s="946"/>
      <c r="BE15" s="946"/>
      <c r="BF15" s="946"/>
      <c r="BG15" s="946"/>
      <c r="BH15" s="1004"/>
      <c r="BI15" s="993"/>
      <c r="BJ15" s="993"/>
      <c r="BK15" s="993"/>
      <c r="BL15" s="993"/>
      <c r="BM15" s="993"/>
      <c r="BN15" s="993"/>
      <c r="BO15" s="993"/>
      <c r="BP15" s="993"/>
      <c r="BQ15" s="993"/>
      <c r="BR15" s="993"/>
      <c r="BS15" s="993"/>
      <c r="BT15" s="993"/>
      <c r="BU15" s="993"/>
      <c r="BV15" s="993"/>
      <c r="BW15" s="993"/>
      <c r="BX15" s="993"/>
      <c r="BY15" s="993"/>
      <c r="BZ15" s="993"/>
      <c r="CA15" s="993"/>
      <c r="CB15" s="993"/>
      <c r="CC15" s="993"/>
      <c r="CD15" s="993"/>
      <c r="CE15" s="993"/>
      <c r="CF15" s="993"/>
      <c r="CG15" s="993"/>
      <c r="CH15" s="993"/>
      <c r="CI15" s="993"/>
      <c r="CJ15" s="993"/>
      <c r="CK15" s="993"/>
      <c r="CL15" s="993"/>
      <c r="CM15" s="993"/>
      <c r="CN15" s="993"/>
      <c r="CO15" s="993"/>
      <c r="CP15" s="993"/>
      <c r="CQ15" s="993"/>
      <c r="CR15" s="993"/>
      <c r="CS15" s="993"/>
      <c r="CT15" s="993"/>
      <c r="CU15" s="993"/>
      <c r="CV15" s="993"/>
      <c r="CW15" s="993"/>
      <c r="CX15" s="993"/>
      <c r="CY15" s="993"/>
      <c r="CZ15" s="993"/>
      <c r="DA15" s="993"/>
      <c r="DB15" s="993"/>
      <c r="DC15" s="993"/>
      <c r="DD15" s="1064"/>
      <c r="DE15" s="1064"/>
      <c r="DF15" s="1064"/>
      <c r="DG15" s="1016"/>
      <c r="DH15" s="1016"/>
      <c r="DI15" s="1016"/>
      <c r="DJ15" s="1016"/>
      <c r="DK15" s="1016"/>
      <c r="DL15" s="1016"/>
      <c r="DM15" s="1016"/>
      <c r="DN15" s="1016"/>
      <c r="DO15" s="1016"/>
      <c r="DP15" s="1016"/>
      <c r="DQ15" s="1016"/>
      <c r="DR15" s="1016"/>
      <c r="DS15" s="1016"/>
      <c r="DT15" s="1016"/>
      <c r="DU15" s="1016"/>
      <c r="DV15" s="1016"/>
      <c r="DW15" s="1016"/>
      <c r="DX15" s="1016"/>
      <c r="DY15" s="1016"/>
      <c r="DZ15" s="1016"/>
      <c r="EA15" s="1016"/>
      <c r="EB15" s="1016"/>
      <c r="EC15" s="1016"/>
      <c r="ED15" s="1016"/>
      <c r="EE15" s="1016"/>
      <c r="EK15" s="400"/>
    </row>
    <row r="16" spans="1:141" ht="19.8">
      <c r="A16" s="1513" t="s">
        <v>189</v>
      </c>
      <c r="B16" s="949">
        <v>63.543391400000004</v>
      </c>
      <c r="C16" s="949">
        <v>65.497840239999988</v>
      </c>
      <c r="D16" s="949">
        <v>63.8877162</v>
      </c>
      <c r="E16" s="949">
        <v>64.492311760000007</v>
      </c>
      <c r="F16" s="949">
        <v>91.649270990000005</v>
      </c>
      <c r="G16" s="949">
        <v>79.740994099999995</v>
      </c>
      <c r="H16" s="949">
        <v>94.403503540000003</v>
      </c>
      <c r="I16" s="949">
        <v>89.560851299999996</v>
      </c>
      <c r="J16" s="949">
        <v>89.907766510000002</v>
      </c>
      <c r="K16" s="949">
        <v>85.567900839999993</v>
      </c>
      <c r="L16" s="949">
        <v>92.193794270000012</v>
      </c>
      <c r="M16" s="946">
        <v>87.407880659999989</v>
      </c>
      <c r="N16" s="950">
        <v>98.807692129999992</v>
      </c>
      <c r="O16" s="950">
        <v>101.46063670000001</v>
      </c>
      <c r="P16" s="950">
        <v>99.279568470000001</v>
      </c>
      <c r="Q16" s="950">
        <v>103.21040708999999</v>
      </c>
      <c r="R16" s="950">
        <v>101.46150639000001</v>
      </c>
      <c r="S16" s="950">
        <v>101.11443770999999</v>
      </c>
      <c r="T16" s="950">
        <v>98.050094880000003</v>
      </c>
      <c r="U16" s="950">
        <v>91.232598440000004</v>
      </c>
      <c r="V16" s="950">
        <v>71.465355000000002</v>
      </c>
      <c r="W16" s="950">
        <v>66.996252690000006</v>
      </c>
      <c r="X16" s="950">
        <v>65.906070639999996</v>
      </c>
      <c r="Y16" s="946">
        <v>77.975106089999997</v>
      </c>
      <c r="Z16" s="950">
        <v>71.273859260000009</v>
      </c>
      <c r="AA16" s="950">
        <v>67.327085370000006</v>
      </c>
      <c r="AB16" s="946">
        <v>67.342085310000002</v>
      </c>
      <c r="AC16" s="946">
        <v>53.88084164</v>
      </c>
      <c r="AD16" s="946">
        <v>41.315329930000004</v>
      </c>
      <c r="AE16" s="946">
        <v>40.321463799999997</v>
      </c>
      <c r="AF16" s="946">
        <v>61.36611293</v>
      </c>
      <c r="AG16" s="946">
        <v>58.600953070000003</v>
      </c>
      <c r="AH16" s="946">
        <v>47.304734850000003</v>
      </c>
      <c r="AI16" s="946">
        <v>53.197158680000001</v>
      </c>
      <c r="AJ16" s="946">
        <v>53.698320980000005</v>
      </c>
      <c r="AK16" s="946">
        <v>53.867807830000004</v>
      </c>
      <c r="AL16" s="946">
        <v>53.290021580000001</v>
      </c>
      <c r="AM16" s="946">
        <v>68.361724339999995</v>
      </c>
      <c r="AN16" s="946">
        <v>68.827131699999995</v>
      </c>
      <c r="AO16" s="946">
        <v>70.727390360000001</v>
      </c>
      <c r="AP16" s="946">
        <v>65.500680529999997</v>
      </c>
      <c r="AQ16" s="946">
        <v>63.018631110000001</v>
      </c>
      <c r="AR16" s="946">
        <v>61.838905830000002</v>
      </c>
      <c r="AS16" s="946">
        <v>62.040386159999997</v>
      </c>
      <c r="AT16" s="946">
        <v>60.256518679999999</v>
      </c>
      <c r="AU16" s="946">
        <v>59.650852669999992</v>
      </c>
      <c r="AV16" s="946">
        <v>62.915649989999999</v>
      </c>
      <c r="AW16" s="946">
        <v>57.353747429999999</v>
      </c>
      <c r="AX16" s="946">
        <v>55.480426800000004</v>
      </c>
      <c r="AY16" s="946">
        <v>53.728997379999996</v>
      </c>
      <c r="AZ16" s="946">
        <v>53.063912290000005</v>
      </c>
      <c r="BA16" s="946">
        <v>50.030097380000001</v>
      </c>
      <c r="BB16" s="946">
        <v>46.4256879</v>
      </c>
      <c r="BC16" s="946">
        <v>46.359113690000001</v>
      </c>
      <c r="BD16" s="946">
        <v>44.742390299999997</v>
      </c>
      <c r="BE16" s="946">
        <v>43.145765909999994</v>
      </c>
      <c r="BF16" s="946">
        <v>42.988271839999996</v>
      </c>
      <c r="BG16" s="946">
        <v>42.535881140000001</v>
      </c>
      <c r="BH16" s="1004">
        <v>41.665515509999999</v>
      </c>
      <c r="BI16" s="993">
        <v>41.620709950000006</v>
      </c>
      <c r="BJ16" s="993">
        <v>41.195556539999998</v>
      </c>
      <c r="BK16" s="993">
        <v>43.713749020000002</v>
      </c>
      <c r="BL16" s="993">
        <v>52.091083120000008</v>
      </c>
      <c r="BM16" s="993">
        <v>67.240190429999998</v>
      </c>
      <c r="BN16" s="993">
        <v>66.844149219999991</v>
      </c>
      <c r="BO16" s="993">
        <v>50.029586850000001</v>
      </c>
      <c r="BP16" s="993">
        <v>49.578828940000008</v>
      </c>
      <c r="BQ16" s="993">
        <v>49.289878139999999</v>
      </c>
      <c r="BR16" s="993">
        <v>53.975874149999996</v>
      </c>
      <c r="BS16" s="993">
        <v>53.784508119999998</v>
      </c>
      <c r="BT16" s="993">
        <v>68.885795110000004</v>
      </c>
      <c r="BU16" s="993">
        <v>61.219958030000008</v>
      </c>
      <c r="BV16" s="993">
        <v>62.973301640000003</v>
      </c>
      <c r="BW16" s="993">
        <v>62.907938210000005</v>
      </c>
      <c r="BX16" s="993">
        <v>65.46037681</v>
      </c>
      <c r="BY16" s="993">
        <v>63.812843180000002</v>
      </c>
      <c r="BZ16" s="993">
        <v>63.708767300000005</v>
      </c>
      <c r="CA16" s="993">
        <v>64.165253939999999</v>
      </c>
      <c r="CB16" s="993">
        <v>63.848569960000006</v>
      </c>
      <c r="CC16" s="993">
        <v>60.988305100000005</v>
      </c>
      <c r="CD16" s="993">
        <v>63.493601720000001</v>
      </c>
      <c r="CE16" s="993">
        <v>64.626751620000007</v>
      </c>
      <c r="CF16" s="993">
        <v>64.133804159999997</v>
      </c>
      <c r="CG16" s="993">
        <v>59.441486130000001</v>
      </c>
      <c r="CH16" s="993">
        <v>59.288069790000009</v>
      </c>
      <c r="CI16" s="993">
        <v>59.28220658</v>
      </c>
      <c r="CJ16" s="993">
        <v>58.842645180000005</v>
      </c>
      <c r="CK16" s="993">
        <v>57.926599599999996</v>
      </c>
      <c r="CL16" s="993">
        <v>26.651984530000004</v>
      </c>
      <c r="CM16" s="993">
        <v>27.640808550000003</v>
      </c>
      <c r="CN16" s="993">
        <v>29.821847400000003</v>
      </c>
      <c r="CO16" s="993">
        <v>28.416935070000001</v>
      </c>
      <c r="CP16" s="993">
        <v>26.827105759999998</v>
      </c>
      <c r="CQ16" s="993">
        <v>24.778588940000002</v>
      </c>
      <c r="CR16" s="993">
        <v>26.295627320000001</v>
      </c>
      <c r="CS16" s="993">
        <v>24.058719340000003</v>
      </c>
      <c r="CT16" s="993">
        <v>24.095563429999999</v>
      </c>
      <c r="CU16" s="993">
        <v>26.135681869999999</v>
      </c>
      <c r="CV16" s="993">
        <v>26.338683379999999</v>
      </c>
      <c r="CW16" s="993">
        <v>27.41761236</v>
      </c>
      <c r="CX16" s="993">
        <v>26.509607800000001</v>
      </c>
      <c r="CY16" s="993">
        <v>27.444412010000001</v>
      </c>
      <c r="CZ16" s="993">
        <v>26.702016530000002</v>
      </c>
      <c r="DA16" s="993">
        <v>25.869946460000001</v>
      </c>
      <c r="DB16" s="993">
        <v>26.4010359</v>
      </c>
      <c r="DC16" s="993">
        <v>26.20778705</v>
      </c>
      <c r="DD16" s="1064">
        <v>32.5343789</v>
      </c>
      <c r="DE16" s="1064">
        <v>26.921160789999998</v>
      </c>
      <c r="DF16" s="1064">
        <v>37.253493220000003</v>
      </c>
      <c r="DG16" s="1016">
        <v>29.90041497</v>
      </c>
      <c r="DH16" s="1016">
        <v>30.204882130000001</v>
      </c>
      <c r="DI16" s="1016">
        <v>32.801261580000002</v>
      </c>
      <c r="DJ16" s="1016">
        <v>33.538321590000002</v>
      </c>
      <c r="DK16" s="1016">
        <v>38.200409360000002</v>
      </c>
      <c r="DL16" s="1016">
        <v>40.706396849999997</v>
      </c>
      <c r="DM16" s="1016">
        <v>46.042587670000003</v>
      </c>
      <c r="DN16" s="1016">
        <v>50.402703809999998</v>
      </c>
      <c r="DO16" s="1016">
        <v>44.791325729999997</v>
      </c>
      <c r="DP16" s="1016">
        <v>50.152879169999999</v>
      </c>
      <c r="DQ16" s="1016">
        <v>42.897924809999999</v>
      </c>
      <c r="DR16" s="1016">
        <v>42.720975150000001</v>
      </c>
      <c r="DS16" s="1016">
        <v>29.249177</v>
      </c>
      <c r="DT16" s="1016">
        <v>29.093294830000001</v>
      </c>
      <c r="DU16" s="1016">
        <v>30.426668670000002</v>
      </c>
      <c r="DV16" s="1016">
        <v>26.228072189999999</v>
      </c>
      <c r="DW16" s="1016">
        <v>51.1996751</v>
      </c>
      <c r="DX16" s="1016">
        <v>51.158143709999997</v>
      </c>
      <c r="DY16" s="1016">
        <v>60.387924750000003</v>
      </c>
      <c r="DZ16" s="1016">
        <v>56.252762269999998</v>
      </c>
      <c r="EA16" s="1016">
        <v>61.754041299999997</v>
      </c>
      <c r="EB16" s="1016">
        <v>60.572684440000003</v>
      </c>
      <c r="EC16" s="1016">
        <v>90.94095523</v>
      </c>
      <c r="ED16" s="1016">
        <v>86.357866770000001</v>
      </c>
      <c r="EE16" s="1016">
        <v>91.781873610000005</v>
      </c>
      <c r="EK16" s="400"/>
    </row>
    <row r="17" spans="1:141" ht="19.8">
      <c r="A17" s="1514" t="s">
        <v>2001</v>
      </c>
      <c r="B17" s="945">
        <v>36.700619530000004</v>
      </c>
      <c r="C17" s="945">
        <v>36.664940869999995</v>
      </c>
      <c r="D17" s="945">
        <v>36.576302800000001</v>
      </c>
      <c r="E17" s="945">
        <v>38.979519880000005</v>
      </c>
      <c r="F17" s="945">
        <v>63.26440753</v>
      </c>
      <c r="G17" s="945">
        <v>45.575365340000005</v>
      </c>
      <c r="H17" s="945">
        <v>61.597926869999995</v>
      </c>
      <c r="I17" s="945">
        <v>56.657630869999998</v>
      </c>
      <c r="J17" s="945">
        <v>58.744991040000002</v>
      </c>
      <c r="K17" s="945">
        <v>49.440618139999998</v>
      </c>
      <c r="L17" s="945">
        <v>53.668936030000005</v>
      </c>
      <c r="M17" s="950">
        <v>45.732315939999999</v>
      </c>
      <c r="N17" s="946">
        <v>52.735395650000001</v>
      </c>
      <c r="O17" s="946">
        <v>53.756946310000004</v>
      </c>
      <c r="P17" s="946">
        <v>54.776118400000001</v>
      </c>
      <c r="Q17" s="946">
        <v>57.836687829999995</v>
      </c>
      <c r="R17" s="946">
        <v>58.143885920000002</v>
      </c>
      <c r="S17" s="946">
        <v>56.808644799999996</v>
      </c>
      <c r="T17" s="946">
        <v>55.454344570000004</v>
      </c>
      <c r="U17" s="946">
        <v>51.043722459999998</v>
      </c>
      <c r="V17" s="946">
        <v>47.852847600000004</v>
      </c>
      <c r="W17" s="946">
        <v>49.264253600000004</v>
      </c>
      <c r="X17" s="946">
        <v>53.24264599</v>
      </c>
      <c r="Y17" s="950">
        <v>64.53884497</v>
      </c>
      <c r="Z17" s="946">
        <v>58.514654600000007</v>
      </c>
      <c r="AA17" s="946">
        <v>49.523415520000007</v>
      </c>
      <c r="AB17" s="950">
        <v>52.908212800000001</v>
      </c>
      <c r="AC17" s="950">
        <v>36.15992936</v>
      </c>
      <c r="AD17" s="950">
        <v>23.525657670000001</v>
      </c>
      <c r="AE17" s="950">
        <v>23.376456989999998</v>
      </c>
      <c r="AF17" s="950">
        <v>23.041742079999999</v>
      </c>
      <c r="AG17" s="950">
        <v>22.898850149999998</v>
      </c>
      <c r="AH17" s="950">
        <v>22.76087978</v>
      </c>
      <c r="AI17" s="950">
        <v>32.95795476</v>
      </c>
      <c r="AJ17" s="950">
        <v>28.747954760000002</v>
      </c>
      <c r="AK17" s="950">
        <v>28.767954760000002</v>
      </c>
      <c r="AL17" s="950">
        <v>28.61795476</v>
      </c>
      <c r="AM17" s="950">
        <v>32.661383620000002</v>
      </c>
      <c r="AN17" s="950">
        <v>34.355490520000004</v>
      </c>
      <c r="AO17" s="950">
        <v>36.954972610000006</v>
      </c>
      <c r="AP17" s="950">
        <v>33.205486279999995</v>
      </c>
      <c r="AQ17" s="950">
        <v>32.151202949999998</v>
      </c>
      <c r="AR17" s="950">
        <v>31.479302059999998</v>
      </c>
      <c r="AS17" s="950">
        <v>31.254349949999998</v>
      </c>
      <c r="AT17" s="950">
        <v>31.016773949999997</v>
      </c>
      <c r="AU17" s="950">
        <v>31.016186949999998</v>
      </c>
      <c r="AV17" s="950">
        <v>30.465582949999998</v>
      </c>
      <c r="AW17" s="950">
        <v>23.765582949999999</v>
      </c>
      <c r="AX17" s="950">
        <v>23.765582949999999</v>
      </c>
      <c r="AY17" s="950">
        <v>23.61558295</v>
      </c>
      <c r="AZ17" s="950">
        <v>23.61558295</v>
      </c>
      <c r="BA17" s="950">
        <v>23.61558295</v>
      </c>
      <c r="BB17" s="950">
        <v>20.244959949999998</v>
      </c>
      <c r="BC17" s="950">
        <v>20.244959949999998</v>
      </c>
      <c r="BD17" s="950">
        <v>20.235959949999998</v>
      </c>
      <c r="BE17" s="950">
        <v>20.235959949999998</v>
      </c>
      <c r="BF17" s="950">
        <v>20.235959949999998</v>
      </c>
      <c r="BG17" s="950">
        <v>20.235798930000001</v>
      </c>
      <c r="BH17" s="1005">
        <v>20.235798930000001</v>
      </c>
      <c r="BI17" s="994">
        <v>20.235798930000001</v>
      </c>
      <c r="BJ17" s="994">
        <v>20.235798930000001</v>
      </c>
      <c r="BK17" s="994">
        <v>20.235798930000001</v>
      </c>
      <c r="BL17" s="994">
        <v>20.235798930000001</v>
      </c>
      <c r="BM17" s="994">
        <v>20.235798930000001</v>
      </c>
      <c r="BN17" s="994">
        <v>20.235798930000001</v>
      </c>
      <c r="BO17" s="994">
        <v>20.235798930000001</v>
      </c>
      <c r="BP17" s="994">
        <v>20.235798930000001</v>
      </c>
      <c r="BQ17" s="994">
        <v>20.235798930000001</v>
      </c>
      <c r="BR17" s="994">
        <v>25.235798930000001</v>
      </c>
      <c r="BS17" s="994">
        <v>25.235798930000001</v>
      </c>
      <c r="BT17" s="994">
        <v>25.235798930000001</v>
      </c>
      <c r="BU17" s="994">
        <v>21.550187690000001</v>
      </c>
      <c r="BV17" s="994">
        <v>20.550187690000001</v>
      </c>
      <c r="BW17" s="994">
        <v>22.550187690000001</v>
      </c>
      <c r="BX17" s="994">
        <v>19.850187690000002</v>
      </c>
      <c r="BY17" s="994">
        <v>19.850187690000002</v>
      </c>
      <c r="BZ17" s="994">
        <v>19.850187690000002</v>
      </c>
      <c r="CA17" s="994">
        <v>19.850187690000002</v>
      </c>
      <c r="CB17" s="994">
        <v>19.850187690000002</v>
      </c>
      <c r="CC17" s="994">
        <v>19.850187690000002</v>
      </c>
      <c r="CD17" s="994">
        <v>19.850187690000002</v>
      </c>
      <c r="CE17" s="994">
        <v>19.850187690000002</v>
      </c>
      <c r="CF17" s="994">
        <v>19.850187690000002</v>
      </c>
      <c r="CG17" s="994">
        <v>19.850187690000002</v>
      </c>
      <c r="CH17" s="994">
        <v>19.850187690000002</v>
      </c>
      <c r="CI17" s="994">
        <v>20.150187690000003</v>
      </c>
      <c r="CJ17" s="994">
        <v>20.150187690000003</v>
      </c>
      <c r="CK17" s="994">
        <v>20.150187690000003</v>
      </c>
      <c r="CL17" s="994">
        <v>20.150187690000003</v>
      </c>
      <c r="CM17" s="994">
        <v>20.150187690000003</v>
      </c>
      <c r="CN17" s="994">
        <v>21.920187690000002</v>
      </c>
      <c r="CO17" s="994">
        <v>20.6921055</v>
      </c>
      <c r="CP17" s="994">
        <v>20.21236566</v>
      </c>
      <c r="CQ17" s="994">
        <v>20.150187690000003</v>
      </c>
      <c r="CR17" s="994">
        <v>20.150187690000003</v>
      </c>
      <c r="CS17" s="994">
        <v>20.150187690000003</v>
      </c>
      <c r="CT17" s="994">
        <v>20.150187689999999</v>
      </c>
      <c r="CU17" s="994">
        <v>20.185187689999999</v>
      </c>
      <c r="CV17" s="994">
        <v>20.220187689999999</v>
      </c>
      <c r="CW17" s="994">
        <v>20.240187689999999</v>
      </c>
      <c r="CX17" s="994">
        <v>20.681187690000002</v>
      </c>
      <c r="CY17" s="994">
        <v>20.37748607</v>
      </c>
      <c r="CZ17" s="994">
        <v>20.370064589999998</v>
      </c>
      <c r="DA17" s="994">
        <v>20.362544159999999</v>
      </c>
      <c r="DB17" s="994">
        <v>20.26076398</v>
      </c>
      <c r="DC17" s="994">
        <v>20.24684611</v>
      </c>
      <c r="DD17" s="1065">
        <v>20.232582969999999</v>
      </c>
      <c r="DE17" s="1065">
        <v>20.21818846</v>
      </c>
      <c r="DF17" s="1065">
        <v>20.189852699999999</v>
      </c>
      <c r="DG17" s="1017">
        <v>20.178443049999998</v>
      </c>
      <c r="DH17" s="1017">
        <v>20.17103036</v>
      </c>
      <c r="DI17" s="1017">
        <v>20.167696129999999</v>
      </c>
      <c r="DJ17" s="1017">
        <v>20.150187689999999</v>
      </c>
      <c r="DK17" s="1017">
        <v>20.150187689999999</v>
      </c>
      <c r="DL17" s="1017">
        <v>20.150187689999999</v>
      </c>
      <c r="DM17" s="1017">
        <v>16.464687739999999</v>
      </c>
      <c r="DN17" s="1017">
        <v>16.464687739999999</v>
      </c>
      <c r="DO17" s="1017">
        <v>10.75029898</v>
      </c>
      <c r="DP17" s="1017">
        <v>10.75029898</v>
      </c>
      <c r="DQ17" s="1017">
        <v>6.7154600000000002</v>
      </c>
      <c r="DR17" s="1017">
        <v>4.6900000000000004</v>
      </c>
      <c r="DS17" s="1017">
        <v>4.71</v>
      </c>
      <c r="DT17" s="1017">
        <v>4.7080089200000002</v>
      </c>
      <c r="DU17" s="1017">
        <v>4.7058277899999998</v>
      </c>
      <c r="DV17" s="1017">
        <v>4.7036972800000001</v>
      </c>
      <c r="DW17" s="1017">
        <v>4.7014982500000002</v>
      </c>
      <c r="DX17" s="1017">
        <v>4.6992767200000003</v>
      </c>
      <c r="DY17" s="1017">
        <v>3.50702172</v>
      </c>
      <c r="DZ17" s="1017">
        <v>4.7177499999999997E-3</v>
      </c>
      <c r="EA17" s="1017">
        <v>2.2499999999999999E-2</v>
      </c>
      <c r="EB17" s="1017">
        <v>2.0786220000000001E-2</v>
      </c>
      <c r="EC17" s="1017">
        <v>1.9014699999999999E-2</v>
      </c>
      <c r="ED17" s="1017">
        <v>1.7237389999999998E-2</v>
      </c>
      <c r="EE17" s="1017">
        <v>1.5442040000000001E-2</v>
      </c>
      <c r="EK17" s="400"/>
    </row>
    <row r="18" spans="1:141" ht="19.8">
      <c r="A18" s="1515" t="s">
        <v>2002</v>
      </c>
      <c r="B18" s="949">
        <f>+B16-B17</f>
        <v>26.84277187</v>
      </c>
      <c r="C18" s="949">
        <f t="shared" ref="C18:V18" si="4">+C16-C17</f>
        <v>28.832899369999993</v>
      </c>
      <c r="D18" s="949">
        <f t="shared" si="4"/>
        <v>27.311413399999999</v>
      </c>
      <c r="E18" s="949">
        <f t="shared" si="4"/>
        <v>25.512791880000002</v>
      </c>
      <c r="F18" s="949">
        <f t="shared" si="4"/>
        <v>28.384863460000005</v>
      </c>
      <c r="G18" s="949">
        <f t="shared" si="4"/>
        <v>34.16562875999999</v>
      </c>
      <c r="H18" s="949">
        <f t="shared" si="4"/>
        <v>32.805576670000008</v>
      </c>
      <c r="I18" s="949">
        <f t="shared" si="4"/>
        <v>32.903220429999998</v>
      </c>
      <c r="J18" s="949">
        <f t="shared" si="4"/>
        <v>31.16277547</v>
      </c>
      <c r="K18" s="949">
        <f t="shared" si="4"/>
        <v>36.127282699999995</v>
      </c>
      <c r="L18" s="949">
        <f t="shared" si="4"/>
        <v>38.524858240000007</v>
      </c>
      <c r="M18" s="950">
        <f t="shared" si="4"/>
        <v>41.67556471999999</v>
      </c>
      <c r="N18" s="950">
        <f t="shared" si="4"/>
        <v>46.072296479999991</v>
      </c>
      <c r="O18" s="950">
        <f t="shared" si="4"/>
        <v>47.703690390000006</v>
      </c>
      <c r="P18" s="950">
        <f t="shared" si="4"/>
        <v>44.50345007</v>
      </c>
      <c r="Q18" s="950">
        <f t="shared" si="4"/>
        <v>45.373719259999994</v>
      </c>
      <c r="R18" s="950">
        <f t="shared" si="4"/>
        <v>43.317620470000008</v>
      </c>
      <c r="S18" s="950">
        <f t="shared" si="4"/>
        <v>44.305792909999994</v>
      </c>
      <c r="T18" s="950">
        <f t="shared" si="4"/>
        <v>42.59575031</v>
      </c>
      <c r="U18" s="950">
        <f t="shared" si="4"/>
        <v>40.188875980000006</v>
      </c>
      <c r="V18" s="950">
        <f t="shared" si="4"/>
        <v>23.612507399999998</v>
      </c>
      <c r="W18" s="950">
        <v>17.731999090000002</v>
      </c>
      <c r="X18" s="950">
        <v>12.663424649999996</v>
      </c>
      <c r="Y18" s="950">
        <v>13.436261119999998</v>
      </c>
      <c r="Z18" s="950">
        <v>12.759204660000002</v>
      </c>
      <c r="AA18" s="950">
        <v>17.803669849999999</v>
      </c>
      <c r="AB18" s="950">
        <f>+AB16-AB17</f>
        <v>14.43387251</v>
      </c>
      <c r="AC18" s="950">
        <v>17.72091228</v>
      </c>
      <c r="AD18" s="950">
        <v>17.789672260000003</v>
      </c>
      <c r="AE18" s="950">
        <v>16.945006809999999</v>
      </c>
      <c r="AF18" s="950">
        <v>38.324370850000001</v>
      </c>
      <c r="AG18" s="950">
        <v>35.702102920000002</v>
      </c>
      <c r="AH18" s="950">
        <f>+AH16-AH17</f>
        <v>24.543855070000003</v>
      </c>
      <c r="AI18" s="950">
        <v>20.239203920000001</v>
      </c>
      <c r="AJ18" s="950">
        <f>+AJ16-AJ17</f>
        <v>24.950366220000003</v>
      </c>
      <c r="AK18" s="950">
        <f>+AK16-AK17</f>
        <v>25.099853070000002</v>
      </c>
      <c r="AL18" s="950">
        <v>24.672066820000001</v>
      </c>
      <c r="AM18" s="950">
        <f>+AM16-AM17</f>
        <v>35.700340719999993</v>
      </c>
      <c r="AN18" s="950">
        <f>+AN16-AN17</f>
        <v>34.471641179999992</v>
      </c>
      <c r="AO18" s="950">
        <f>+AO16-AO17</f>
        <v>33.772417749999995</v>
      </c>
      <c r="AP18" s="950">
        <f>+AP16-AP17</f>
        <v>32.295194250000002</v>
      </c>
      <c r="AQ18" s="950">
        <v>30.867428160000003</v>
      </c>
      <c r="AR18" s="950">
        <f>+AR16-AR17</f>
        <v>30.359603770000003</v>
      </c>
      <c r="AS18" s="950">
        <v>30.786036209999999</v>
      </c>
      <c r="AT18" s="950">
        <f>+AT16-AT17</f>
        <v>29.239744730000002</v>
      </c>
      <c r="AU18" s="950">
        <v>28.634665719999994</v>
      </c>
      <c r="AV18" s="950">
        <v>32.45006704</v>
      </c>
      <c r="AW18" s="950">
        <v>33.588164480000003</v>
      </c>
      <c r="AX18" s="950">
        <v>31.714843850000005</v>
      </c>
      <c r="AY18" s="950">
        <v>30.113414429999995</v>
      </c>
      <c r="AZ18" s="950">
        <v>29.448329340000004</v>
      </c>
      <c r="BA18" s="950">
        <v>26.414514430000001</v>
      </c>
      <c r="BB18" s="950">
        <v>26.180727950000001</v>
      </c>
      <c r="BC18" s="950">
        <v>26.114153740000003</v>
      </c>
      <c r="BD18" s="950">
        <f>+BD16-BD17</f>
        <v>24.506430349999999</v>
      </c>
      <c r="BE18" s="950">
        <v>22.909805959999996</v>
      </c>
      <c r="BF18" s="950">
        <v>22.752311889999998</v>
      </c>
      <c r="BG18" s="950">
        <v>22.300082209999999</v>
      </c>
      <c r="BH18" s="1005">
        <v>21.429716579999997</v>
      </c>
      <c r="BI18" s="994">
        <v>21.384911020000004</v>
      </c>
      <c r="BJ18" s="994">
        <v>20.959757609999997</v>
      </c>
      <c r="BK18" s="994">
        <v>23.47795009</v>
      </c>
      <c r="BL18" s="994">
        <v>31.855284190000006</v>
      </c>
      <c r="BM18" s="994">
        <v>47.004391499999997</v>
      </c>
      <c r="BN18" s="994">
        <v>46.60835028999999</v>
      </c>
      <c r="BO18" s="994">
        <v>29.79378792</v>
      </c>
      <c r="BP18" s="994">
        <v>29.343030010000007</v>
      </c>
      <c r="BQ18" s="994">
        <v>29.054079209999998</v>
      </c>
      <c r="BR18" s="994">
        <v>28.740075219999994</v>
      </c>
      <c r="BS18" s="994">
        <v>28.548709189999997</v>
      </c>
      <c r="BT18" s="994">
        <v>43.649996180000002</v>
      </c>
      <c r="BU18" s="994">
        <v>39.669770340000007</v>
      </c>
      <c r="BV18" s="994">
        <v>42.423113950000001</v>
      </c>
      <c r="BW18" s="994">
        <v>40.357750520000003</v>
      </c>
      <c r="BX18" s="994">
        <v>45.610189120000001</v>
      </c>
      <c r="BY18" s="994">
        <v>43.962655490000003</v>
      </c>
      <c r="BZ18" s="994">
        <v>43.858579610000007</v>
      </c>
      <c r="CA18" s="994">
        <v>44.315066250000001</v>
      </c>
      <c r="CB18" s="994">
        <v>43.998382270000008</v>
      </c>
      <c r="CC18" s="994">
        <v>41.138117410000007</v>
      </c>
      <c r="CD18" s="994">
        <v>43.643414030000002</v>
      </c>
      <c r="CE18" s="994">
        <f t="shared" ref="CE18:CP18" si="5">+CE16-CE17</f>
        <v>44.776563930000009</v>
      </c>
      <c r="CF18" s="994">
        <f t="shared" si="5"/>
        <v>44.283616469999998</v>
      </c>
      <c r="CG18" s="994">
        <f t="shared" si="5"/>
        <v>39.591298440000003</v>
      </c>
      <c r="CH18" s="994">
        <f t="shared" si="5"/>
        <v>39.43788210000001</v>
      </c>
      <c r="CI18" s="994">
        <f t="shared" si="5"/>
        <v>39.132018889999998</v>
      </c>
      <c r="CJ18" s="994">
        <f t="shared" si="5"/>
        <v>38.692457490000002</v>
      </c>
      <c r="CK18" s="994">
        <f t="shared" si="5"/>
        <v>37.776411909999993</v>
      </c>
      <c r="CL18" s="994">
        <f t="shared" si="5"/>
        <v>6.5017968400000008</v>
      </c>
      <c r="CM18" s="994">
        <f t="shared" si="5"/>
        <v>7.4906208599999999</v>
      </c>
      <c r="CN18" s="994">
        <f t="shared" si="5"/>
        <v>7.9016597100000006</v>
      </c>
      <c r="CO18" s="994">
        <f t="shared" si="5"/>
        <v>7.7248295700000007</v>
      </c>
      <c r="CP18" s="994">
        <f t="shared" si="5"/>
        <v>6.6147400999999988</v>
      </c>
      <c r="CQ18" s="994">
        <f>+CQ16-CQ17</f>
        <v>4.6284012499999996</v>
      </c>
      <c r="CR18" s="994">
        <f>+CR16-CR17</f>
        <v>6.1454396299999985</v>
      </c>
      <c r="CS18" s="994">
        <v>3.9085316500000005</v>
      </c>
      <c r="CT18" s="994">
        <v>3.9453757399999998</v>
      </c>
      <c r="CU18" s="994">
        <v>5.9504941799999997</v>
      </c>
      <c r="CV18" s="994">
        <v>6.1184956899999996</v>
      </c>
      <c r="CW18" s="994">
        <v>7.1774246699999997</v>
      </c>
      <c r="CX18" s="994">
        <v>5.8284201099999997</v>
      </c>
      <c r="CY18" s="994">
        <v>7.06692594</v>
      </c>
      <c r="CZ18" s="994">
        <v>6.3319519399999997</v>
      </c>
      <c r="DA18" s="994">
        <v>5.5074022999999999</v>
      </c>
      <c r="DB18" s="994">
        <v>6.14027192</v>
      </c>
      <c r="DC18" s="994">
        <v>5.9609409400000004</v>
      </c>
      <c r="DD18" s="1065">
        <v>12.301795930000001</v>
      </c>
      <c r="DE18" s="1065">
        <v>6.7029723299999997</v>
      </c>
      <c r="DF18" s="1065">
        <v>17.06364052</v>
      </c>
      <c r="DG18" s="1017">
        <v>9.7219719199999997</v>
      </c>
      <c r="DH18" s="1017">
        <v>10.03385177</v>
      </c>
      <c r="DI18" s="1017">
        <v>12.633565450000001</v>
      </c>
      <c r="DJ18" s="1017">
        <v>13.3881339</v>
      </c>
      <c r="DK18" s="1017">
        <v>18.050221669999999</v>
      </c>
      <c r="DL18" s="1017">
        <v>20.556209160000002</v>
      </c>
      <c r="DM18" s="1017">
        <v>29.577899930000001</v>
      </c>
      <c r="DN18" s="1017">
        <v>33.938016070000003</v>
      </c>
      <c r="DO18" s="1017">
        <v>34.04102675</v>
      </c>
      <c r="DP18" s="1017">
        <v>39.402580190000002</v>
      </c>
      <c r="DQ18" s="1017">
        <v>36.182464809999999</v>
      </c>
      <c r="DR18" s="1017">
        <v>38.030975150000003</v>
      </c>
      <c r="DS18" s="1017">
        <v>24.539176999999999</v>
      </c>
      <c r="DT18" s="1017">
        <v>24.38528591</v>
      </c>
      <c r="DU18" s="1017">
        <v>25.720840880000001</v>
      </c>
      <c r="DV18" s="1017">
        <v>21.524374909999999</v>
      </c>
      <c r="DW18" s="1017">
        <v>46.49817685</v>
      </c>
      <c r="DX18" s="1017">
        <v>46.458866989999997</v>
      </c>
      <c r="DY18" s="1017">
        <v>56.880903029999999</v>
      </c>
      <c r="DZ18" s="1017">
        <v>56.248044520000001</v>
      </c>
      <c r="EA18" s="1017">
        <v>61.731541300000004</v>
      </c>
      <c r="EB18" s="1017">
        <v>60.551898219999998</v>
      </c>
      <c r="EC18" s="1017">
        <v>90.921940530000001</v>
      </c>
      <c r="ED18" s="1017">
        <v>86.340629379999996</v>
      </c>
      <c r="EE18" s="1017">
        <v>91.766431569999995</v>
      </c>
      <c r="EK18" s="400"/>
    </row>
    <row r="19" spans="1:141" ht="19.8">
      <c r="A19" s="1513"/>
      <c r="B19" s="945"/>
      <c r="C19" s="945"/>
      <c r="D19" s="945"/>
      <c r="E19" s="945"/>
      <c r="F19" s="945"/>
      <c r="G19" s="945"/>
      <c r="H19" s="945"/>
      <c r="I19" s="945"/>
      <c r="J19" s="945"/>
      <c r="K19" s="945"/>
      <c r="L19" s="945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L19" s="946"/>
      <c r="AM19" s="946"/>
      <c r="AN19" s="946"/>
      <c r="AO19" s="946"/>
      <c r="AP19" s="946"/>
      <c r="AQ19" s="946"/>
      <c r="AR19" s="946"/>
      <c r="AS19" s="946"/>
      <c r="AT19" s="946"/>
      <c r="AU19" s="946"/>
      <c r="AV19" s="946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1004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1064"/>
      <c r="DE19" s="1064"/>
      <c r="DF19" s="1064"/>
      <c r="DG19" s="1016"/>
      <c r="DH19" s="1016"/>
      <c r="DI19" s="1016"/>
      <c r="DJ19" s="1016"/>
      <c r="DK19" s="1016"/>
      <c r="DL19" s="1016"/>
      <c r="DM19" s="1016"/>
      <c r="DN19" s="1016"/>
      <c r="DO19" s="1016"/>
      <c r="DP19" s="1016"/>
      <c r="DQ19" s="1016"/>
      <c r="DR19" s="1016"/>
      <c r="DS19" s="1016"/>
      <c r="DT19" s="1016"/>
      <c r="DU19" s="1016"/>
      <c r="DV19" s="1016"/>
      <c r="DW19" s="1016"/>
      <c r="DX19" s="1016"/>
      <c r="DY19" s="1016"/>
      <c r="DZ19" s="1016"/>
      <c r="EA19" s="1016"/>
      <c r="EB19" s="1016"/>
      <c r="EC19" s="1016"/>
      <c r="ED19" s="1016"/>
      <c r="EE19" s="1016"/>
      <c r="EK19" s="400"/>
    </row>
    <row r="20" spans="1:141" ht="19.8">
      <c r="A20" s="1513" t="s">
        <v>2822</v>
      </c>
      <c r="B20" s="949">
        <v>443.88503892</v>
      </c>
      <c r="C20" s="949">
        <v>459.50183627999996</v>
      </c>
      <c r="D20" s="949">
        <v>470.16147791000003</v>
      </c>
      <c r="E20" s="949">
        <v>475.67544439</v>
      </c>
      <c r="F20" s="949">
        <v>72.243078240000003</v>
      </c>
      <c r="G20" s="949">
        <v>74.152245250000007</v>
      </c>
      <c r="H20" s="949">
        <v>88.684479839999995</v>
      </c>
      <c r="I20" s="949">
        <v>90.542124869999995</v>
      </c>
      <c r="J20" s="949">
        <v>92.94452849000001</v>
      </c>
      <c r="K20" s="949">
        <v>82.826182009999997</v>
      </c>
      <c r="L20" s="949">
        <v>81.828861669999995</v>
      </c>
      <c r="M20" s="946">
        <v>79.011492180000005</v>
      </c>
      <c r="N20" s="950">
        <v>79.729670519999985</v>
      </c>
      <c r="O20" s="950">
        <v>86.520039740000001</v>
      </c>
      <c r="P20" s="950">
        <v>141.21429698</v>
      </c>
      <c r="Q20" s="950">
        <v>145.77640493999999</v>
      </c>
      <c r="R20" s="950">
        <v>141.54617831000002</v>
      </c>
      <c r="S20" s="950">
        <v>146.01225755999997</v>
      </c>
      <c r="T20" s="950">
        <v>146.12894358999998</v>
      </c>
      <c r="U20" s="950">
        <v>161.85589311000001</v>
      </c>
      <c r="V20" s="950">
        <v>114.00401024999999</v>
      </c>
      <c r="W20" s="950">
        <v>106.21197372</v>
      </c>
      <c r="X20" s="950">
        <v>99.465681649999993</v>
      </c>
      <c r="Y20" s="946">
        <v>251.03190225999998</v>
      </c>
      <c r="Z20" s="950">
        <v>251.08474421</v>
      </c>
      <c r="AA20" s="950">
        <v>304.63932638</v>
      </c>
      <c r="AB20" s="946">
        <v>302.99533770000005</v>
      </c>
      <c r="AC20" s="946">
        <v>312.63901109</v>
      </c>
      <c r="AD20" s="946">
        <v>327.16821027999998</v>
      </c>
      <c r="AE20" s="946">
        <v>329.61390254000003</v>
      </c>
      <c r="AF20" s="946">
        <v>332.93602383999996</v>
      </c>
      <c r="AG20" s="946">
        <v>347.10196063999996</v>
      </c>
      <c r="AH20" s="946">
        <v>333.95645683999999</v>
      </c>
      <c r="AI20" s="946">
        <v>326.19399720000001</v>
      </c>
      <c r="AJ20" s="946">
        <v>328.49239317999997</v>
      </c>
      <c r="AK20" s="946">
        <v>490.63332524999998</v>
      </c>
      <c r="AL20" s="946">
        <v>508.39296959999996</v>
      </c>
      <c r="AM20" s="946">
        <v>482.47251846</v>
      </c>
      <c r="AN20" s="946">
        <v>457.48661898</v>
      </c>
      <c r="AO20" s="946">
        <v>454.88759088</v>
      </c>
      <c r="AP20" s="946">
        <v>203.56093462999996</v>
      </c>
      <c r="AQ20" s="946">
        <v>203.81517846999998</v>
      </c>
      <c r="AR20" s="946">
        <v>169.88690463000003</v>
      </c>
      <c r="AS20" s="946">
        <v>165.08708264000001</v>
      </c>
      <c r="AT20" s="946">
        <f>AT12-AT16</f>
        <v>150.98342342000001</v>
      </c>
      <c r="AU20" s="946">
        <v>142.58676191999996</v>
      </c>
      <c r="AV20" s="946">
        <v>165.29993056000001</v>
      </c>
      <c r="AW20" s="946">
        <v>198.02041126</v>
      </c>
      <c r="AX20" s="946">
        <v>258.56421659</v>
      </c>
      <c r="AY20" s="946">
        <v>227.19847386999999</v>
      </c>
      <c r="AZ20" s="946">
        <v>227.03593391999999</v>
      </c>
      <c r="BA20" s="946">
        <v>229.47284776000001</v>
      </c>
      <c r="BB20" s="946">
        <v>191.03164523000001</v>
      </c>
      <c r="BC20" s="946">
        <v>181.16346937</v>
      </c>
      <c r="BD20" s="946">
        <v>180.69633633999999</v>
      </c>
      <c r="BE20" s="946">
        <v>180.74054076000002</v>
      </c>
      <c r="BF20" s="946">
        <v>184.74524659000002</v>
      </c>
      <c r="BG20" s="946">
        <v>195.13976116999999</v>
      </c>
      <c r="BH20" s="1004">
        <v>196.22302794000001</v>
      </c>
      <c r="BI20" s="993">
        <v>198.16810197999996</v>
      </c>
      <c r="BJ20" s="993">
        <v>187.31182773</v>
      </c>
      <c r="BK20" s="993">
        <v>180.14511768999998</v>
      </c>
      <c r="BL20" s="993">
        <v>228.32633063000003</v>
      </c>
      <c r="BM20" s="993">
        <v>237.95779552000005</v>
      </c>
      <c r="BN20" s="993">
        <v>238.73777066</v>
      </c>
      <c r="BO20" s="993">
        <v>237.52371314999999</v>
      </c>
      <c r="BP20" s="993">
        <v>253.44622242000003</v>
      </c>
      <c r="BQ20" s="993">
        <v>253.44788123000001</v>
      </c>
      <c r="BR20" s="993">
        <v>262.65499729999999</v>
      </c>
      <c r="BS20" s="993">
        <v>276.30513019</v>
      </c>
      <c r="BT20" s="993">
        <v>281.93501122999999</v>
      </c>
      <c r="BU20" s="993">
        <v>263.92303807999997</v>
      </c>
      <c r="BV20" s="993">
        <v>271.04642680000001</v>
      </c>
      <c r="BW20" s="993">
        <v>272.90097614999996</v>
      </c>
      <c r="BX20" s="993">
        <v>280.53083359999999</v>
      </c>
      <c r="BY20" s="993">
        <v>266.85361051999996</v>
      </c>
      <c r="BZ20" s="993">
        <v>280.05440637000004</v>
      </c>
      <c r="CA20" s="993">
        <v>267.11279303000003</v>
      </c>
      <c r="CB20" s="993">
        <v>221.28652789999995</v>
      </c>
      <c r="CC20" s="993">
        <v>223.00774215000001</v>
      </c>
      <c r="CD20" s="993">
        <v>221.08129448</v>
      </c>
      <c r="CE20" s="993">
        <v>222.29106186999999</v>
      </c>
      <c r="CF20" s="993">
        <v>221.53441822999997</v>
      </c>
      <c r="CG20" s="993">
        <v>156.13551165999996</v>
      </c>
      <c r="CH20" s="993">
        <v>144.95709817999997</v>
      </c>
      <c r="CI20" s="993">
        <v>144.10385467</v>
      </c>
      <c r="CJ20" s="993">
        <v>142.99901545</v>
      </c>
      <c r="CK20" s="993">
        <v>141.82565199999999</v>
      </c>
      <c r="CL20" s="993">
        <v>133.57969205000001</v>
      </c>
      <c r="CM20" s="993">
        <v>127.99520296999999</v>
      </c>
      <c r="CN20" s="993">
        <v>129.82102099999997</v>
      </c>
      <c r="CO20" s="993">
        <v>130.07958703</v>
      </c>
      <c r="CP20" s="993">
        <v>128.59458519999998</v>
      </c>
      <c r="CQ20" s="993">
        <v>133.99361243000001</v>
      </c>
      <c r="CR20" s="993">
        <v>133.04442172</v>
      </c>
      <c r="CS20" s="993">
        <v>126.07809578999999</v>
      </c>
      <c r="CT20" s="993">
        <v>116.89973044</v>
      </c>
      <c r="CU20" s="993">
        <v>108.90252569</v>
      </c>
      <c r="CV20" s="993">
        <v>108.71296639000001</v>
      </c>
      <c r="CW20" s="993">
        <v>108.89889257999999</v>
      </c>
      <c r="CX20" s="993">
        <v>84.530558979999995</v>
      </c>
      <c r="CY20" s="993">
        <v>87.769000570000003</v>
      </c>
      <c r="CZ20" s="993">
        <v>87.762411659999998</v>
      </c>
      <c r="DA20" s="993">
        <v>87.489843870000001</v>
      </c>
      <c r="DB20" s="993">
        <v>88.157922459999995</v>
      </c>
      <c r="DC20" s="993">
        <v>88.240908379999993</v>
      </c>
      <c r="DD20" s="1064">
        <v>87.36664863</v>
      </c>
      <c r="DE20" s="1064">
        <v>87.622418949999997</v>
      </c>
      <c r="DF20" s="1064">
        <v>68.69157439</v>
      </c>
      <c r="DG20" s="1016">
        <v>70.017272320000004</v>
      </c>
      <c r="DH20" s="1016">
        <v>72.070394149999998</v>
      </c>
      <c r="DI20" s="1016">
        <v>73.727857150000006</v>
      </c>
      <c r="DJ20" s="1016">
        <v>91.491646610000004</v>
      </c>
      <c r="DK20" s="1016">
        <v>105.36514574</v>
      </c>
      <c r="DL20" s="1016">
        <v>113.8221839</v>
      </c>
      <c r="DM20" s="1016">
        <v>89.497415239999995</v>
      </c>
      <c r="DN20" s="1016">
        <v>91.925861029999993</v>
      </c>
      <c r="DO20" s="1016">
        <v>98.458460419999994</v>
      </c>
      <c r="DP20" s="1016">
        <v>102.29166180999999</v>
      </c>
      <c r="DQ20" s="1016">
        <v>90.348676879999999</v>
      </c>
      <c r="DR20" s="1016">
        <v>88.176631900000004</v>
      </c>
      <c r="DS20" s="1016">
        <v>89.03991929</v>
      </c>
      <c r="DT20" s="1016">
        <v>90.977628440000004</v>
      </c>
      <c r="DU20" s="1016">
        <v>101.04743655999999</v>
      </c>
      <c r="DV20" s="1016">
        <v>99.754052180000002</v>
      </c>
      <c r="DW20" s="1016">
        <v>114.01928651999999</v>
      </c>
      <c r="DX20" s="1016">
        <v>112.61104935</v>
      </c>
      <c r="DY20" s="1016">
        <v>112.4181298</v>
      </c>
      <c r="DZ20" s="1016">
        <v>109.28289013</v>
      </c>
      <c r="EA20" s="1016">
        <v>90.361217479999993</v>
      </c>
      <c r="EB20" s="1016">
        <v>92.977254979999998</v>
      </c>
      <c r="EC20" s="1016">
        <v>94.465101000000004</v>
      </c>
      <c r="ED20" s="1016">
        <v>92.573689220000006</v>
      </c>
      <c r="EE20" s="1016">
        <v>92.671145089999996</v>
      </c>
      <c r="EK20" s="400"/>
    </row>
    <row r="21" spans="1:141" ht="19.8">
      <c r="A21" s="1514" t="s">
        <v>2001</v>
      </c>
      <c r="B21" s="949">
        <v>385.07061135999999</v>
      </c>
      <c r="C21" s="949">
        <v>397.03897576999998</v>
      </c>
      <c r="D21" s="949">
        <v>404.03411161000002</v>
      </c>
      <c r="E21" s="949">
        <v>403.85167643</v>
      </c>
      <c r="F21" s="949">
        <v>1.8786593999999999</v>
      </c>
      <c r="G21" s="949">
        <v>1.87841996</v>
      </c>
      <c r="H21" s="949">
        <v>11.684669960000001</v>
      </c>
      <c r="I21" s="949">
        <v>11.6452276</v>
      </c>
      <c r="J21" s="949">
        <v>11.64671221</v>
      </c>
      <c r="K21" s="949">
        <v>11.56496731</v>
      </c>
      <c r="L21" s="949">
        <v>11.563493119999999</v>
      </c>
      <c r="M21" s="950">
        <v>11.40681287</v>
      </c>
      <c r="N21" s="950">
        <v>11.4024508</v>
      </c>
      <c r="O21" s="950">
        <v>14.93515884</v>
      </c>
      <c r="P21" s="950">
        <v>68.848451680000011</v>
      </c>
      <c r="Q21" s="950">
        <v>74.037379700000002</v>
      </c>
      <c r="R21" s="950">
        <v>75.382504370000007</v>
      </c>
      <c r="S21" s="950">
        <v>75.173838819999986</v>
      </c>
      <c r="T21" s="950">
        <v>74.579083949999998</v>
      </c>
      <c r="U21" s="950">
        <v>78.642666869999999</v>
      </c>
      <c r="V21" s="950">
        <v>78.70149687</v>
      </c>
      <c r="W21" s="950">
        <v>80.009647709999996</v>
      </c>
      <c r="X21" s="950">
        <v>74.475543019999989</v>
      </c>
      <c r="Y21" s="950">
        <v>225.49152328</v>
      </c>
      <c r="Z21" s="950">
        <v>225.47635744999999</v>
      </c>
      <c r="AA21" s="950">
        <v>261.80119640999999</v>
      </c>
      <c r="AB21" s="950">
        <v>261.47699984000002</v>
      </c>
      <c r="AC21" s="950">
        <v>267.25300014999999</v>
      </c>
      <c r="AD21" s="950">
        <v>266.01550918999999</v>
      </c>
      <c r="AE21" s="950">
        <v>266.76155796</v>
      </c>
      <c r="AF21" s="950">
        <v>265.96494770999999</v>
      </c>
      <c r="AG21" s="950">
        <v>277.42721676999997</v>
      </c>
      <c r="AH21" s="950">
        <v>281.20001676999999</v>
      </c>
      <c r="AI21" s="950">
        <v>274.62345357999999</v>
      </c>
      <c r="AJ21" s="950">
        <v>279.41540036999999</v>
      </c>
      <c r="AK21" s="950">
        <v>410.79371925999999</v>
      </c>
      <c r="AL21" s="950">
        <v>425.41360320999996</v>
      </c>
      <c r="AM21" s="950">
        <v>412.16582108</v>
      </c>
      <c r="AN21" s="950">
        <v>406.22094842000001</v>
      </c>
      <c r="AO21" s="950">
        <v>404.30959182999999</v>
      </c>
      <c r="AP21" s="950">
        <v>151.36903275999998</v>
      </c>
      <c r="AQ21" s="950">
        <v>152.56036297999998</v>
      </c>
      <c r="AR21" s="950">
        <v>152.35992549000002</v>
      </c>
      <c r="AS21" s="950">
        <v>147.79097615000001</v>
      </c>
      <c r="AT21" s="950">
        <f>AT13-AT17</f>
        <v>134.79836803000001</v>
      </c>
      <c r="AU21" s="950">
        <v>126.43126027</v>
      </c>
      <c r="AV21" s="950">
        <v>139.66737449999999</v>
      </c>
      <c r="AW21" s="950">
        <v>173.32655516</v>
      </c>
      <c r="AX21" s="950">
        <v>233.59431873</v>
      </c>
      <c r="AY21" s="950">
        <v>212.16352755</v>
      </c>
      <c r="AZ21" s="950">
        <v>204.65806996999999</v>
      </c>
      <c r="BA21" s="950">
        <v>207.18972657</v>
      </c>
      <c r="BB21" s="950">
        <v>173.57368187</v>
      </c>
      <c r="BC21" s="950">
        <v>163.10968493999999</v>
      </c>
      <c r="BD21" s="950">
        <v>163.03113862999999</v>
      </c>
      <c r="BE21" s="950">
        <v>162.80556103000001</v>
      </c>
      <c r="BF21" s="950">
        <v>168.50932182</v>
      </c>
      <c r="BG21" s="950">
        <v>166.93060813</v>
      </c>
      <c r="BH21" s="1005">
        <v>166.92078984</v>
      </c>
      <c r="BI21" s="994">
        <v>168.49941066999997</v>
      </c>
      <c r="BJ21" s="994">
        <v>158.48941066999998</v>
      </c>
      <c r="BK21" s="994">
        <v>158.48941066999998</v>
      </c>
      <c r="BL21" s="994">
        <v>158.48008831999999</v>
      </c>
      <c r="BM21" s="994">
        <v>158.48008831999999</v>
      </c>
      <c r="BN21" s="994">
        <v>158.48008831999999</v>
      </c>
      <c r="BO21" s="994">
        <v>158.48008831999999</v>
      </c>
      <c r="BP21" s="994">
        <v>163.58008832000002</v>
      </c>
      <c r="BQ21" s="994">
        <v>163.58008832000002</v>
      </c>
      <c r="BR21" s="994">
        <v>163.58008832000002</v>
      </c>
      <c r="BS21" s="994">
        <v>155.08008832000002</v>
      </c>
      <c r="BT21" s="994">
        <v>81.130088319999999</v>
      </c>
      <c r="BU21" s="994">
        <v>78.580088319999987</v>
      </c>
      <c r="BV21" s="994">
        <v>71.970088310000008</v>
      </c>
      <c r="BW21" s="994">
        <v>75.37008831</v>
      </c>
      <c r="BX21" s="994">
        <v>75.37008831</v>
      </c>
      <c r="BY21" s="994">
        <v>61.770088310000006</v>
      </c>
      <c r="BZ21" s="994">
        <v>66.87008831</v>
      </c>
      <c r="CA21" s="994">
        <v>66.87008831</v>
      </c>
      <c r="CB21" s="994">
        <v>66.87008831</v>
      </c>
      <c r="CC21" s="994">
        <v>66.87008831</v>
      </c>
      <c r="CD21" s="994">
        <v>66.497707390000002</v>
      </c>
      <c r="CE21" s="994">
        <v>66.226117090000002</v>
      </c>
      <c r="CF21" s="994">
        <v>66.045331189999999</v>
      </c>
      <c r="CG21" s="994">
        <v>70.868433549999992</v>
      </c>
      <c r="CH21" s="994">
        <v>60.57644088</v>
      </c>
      <c r="CI21" s="994">
        <v>60.294100490000005</v>
      </c>
      <c r="CJ21" s="994">
        <v>60.010648509999996</v>
      </c>
      <c r="CK21" s="994">
        <v>59.723891469999998</v>
      </c>
      <c r="CL21" s="994">
        <v>58.120340490000004</v>
      </c>
      <c r="CM21" s="994">
        <v>55.173487899999998</v>
      </c>
      <c r="CN21" s="994">
        <v>54.877414680000001</v>
      </c>
      <c r="CO21" s="994">
        <v>54.579366630000003</v>
      </c>
      <c r="CP21" s="994">
        <v>56.315750729999998</v>
      </c>
      <c r="CQ21" s="994">
        <v>62.628932490000004</v>
      </c>
      <c r="CR21" s="994">
        <v>59.897032490000001</v>
      </c>
      <c r="CS21" s="994">
        <v>52.610088299999994</v>
      </c>
      <c r="CT21" s="994">
        <v>43.748920149999996</v>
      </c>
      <c r="CU21" s="994">
        <v>43.748920149999996</v>
      </c>
      <c r="CV21" s="994">
        <v>43.798900150000001</v>
      </c>
      <c r="CW21" s="994">
        <v>43.794885280000003</v>
      </c>
      <c r="CX21" s="994">
        <v>43.790843649999999</v>
      </c>
      <c r="CY21" s="994">
        <v>47.186793700000003</v>
      </c>
      <c r="CZ21" s="994">
        <v>47.182681279999997</v>
      </c>
      <c r="DA21" s="994">
        <v>47.178558289999998</v>
      </c>
      <c r="DB21" s="994">
        <v>47.19890015</v>
      </c>
      <c r="DC21" s="994">
        <v>47.194896290000003</v>
      </c>
      <c r="DD21" s="1065">
        <v>47.194896290000003</v>
      </c>
      <c r="DE21" s="1065">
        <v>47.190984290000003</v>
      </c>
      <c r="DF21" s="1065">
        <v>47.18691252</v>
      </c>
      <c r="DG21" s="1017">
        <v>47.182794909999998</v>
      </c>
      <c r="DH21" s="1017">
        <v>47.1786593</v>
      </c>
      <c r="DI21" s="1017">
        <v>47.174509350000001</v>
      </c>
      <c r="DJ21" s="1017">
        <v>47.170312809999999</v>
      </c>
      <c r="DK21" s="1017">
        <v>47.166089249999999</v>
      </c>
      <c r="DL21" s="1017">
        <v>47.148920150000002</v>
      </c>
      <c r="DM21" s="1017">
        <v>39.498920149999996</v>
      </c>
      <c r="DN21" s="1017">
        <v>39.498920149999996</v>
      </c>
      <c r="DO21" s="1017">
        <v>39.498920149999996</v>
      </c>
      <c r="DP21" s="1017">
        <v>39.498920149999996</v>
      </c>
      <c r="DQ21" s="1017">
        <v>39.498920149999996</v>
      </c>
      <c r="DR21" s="1017">
        <v>39.498920149999996</v>
      </c>
      <c r="DS21" s="1017">
        <v>39.498920149999996</v>
      </c>
      <c r="DT21" s="1017">
        <v>39.498920149999996</v>
      </c>
      <c r="DU21" s="1017">
        <v>39.498920149999996</v>
      </c>
      <c r="DV21" s="1017">
        <v>39.498920149999996</v>
      </c>
      <c r="DW21" s="1017">
        <v>39.498920149999996</v>
      </c>
      <c r="DX21" s="1017">
        <v>39.498920149999996</v>
      </c>
      <c r="DY21" s="1017">
        <v>39.498920149999996</v>
      </c>
      <c r="DZ21" s="1017">
        <v>30.148920149999999</v>
      </c>
      <c r="EA21" s="1017">
        <v>0</v>
      </c>
      <c r="EB21" s="1017">
        <v>0</v>
      </c>
      <c r="EC21" s="1017">
        <v>0</v>
      </c>
      <c r="ED21" s="1017">
        <v>0</v>
      </c>
      <c r="EE21" s="1017">
        <v>0</v>
      </c>
      <c r="EK21" s="400"/>
    </row>
    <row r="22" spans="1:141" ht="19.8">
      <c r="A22" s="1515" t="s">
        <v>2002</v>
      </c>
      <c r="B22" s="945">
        <f>+B20-B21</f>
        <v>58.814427560000013</v>
      </c>
      <c r="C22" s="949">
        <f t="shared" ref="C22:V22" si="6">+C20-C21</f>
        <v>62.462860509999985</v>
      </c>
      <c r="D22" s="949">
        <f t="shared" si="6"/>
        <v>66.127366300000006</v>
      </c>
      <c r="E22" s="949">
        <f t="shared" si="6"/>
        <v>71.823767959999998</v>
      </c>
      <c r="F22" s="949">
        <f t="shared" si="6"/>
        <v>70.364418839999999</v>
      </c>
      <c r="G22" s="949">
        <f t="shared" si="6"/>
        <v>72.273825290000005</v>
      </c>
      <c r="H22" s="949">
        <f t="shared" si="6"/>
        <v>76.999809879999987</v>
      </c>
      <c r="I22" s="949">
        <f t="shared" si="6"/>
        <v>78.896897269999997</v>
      </c>
      <c r="J22" s="949">
        <f t="shared" si="6"/>
        <v>81.297816280000006</v>
      </c>
      <c r="K22" s="949">
        <f t="shared" si="6"/>
        <v>71.261214699999996</v>
      </c>
      <c r="L22" s="949">
        <f t="shared" si="6"/>
        <v>70.265368549999991</v>
      </c>
      <c r="M22" s="950">
        <f t="shared" si="6"/>
        <v>67.604679310000009</v>
      </c>
      <c r="N22" s="950">
        <f t="shared" si="6"/>
        <v>68.327219719999988</v>
      </c>
      <c r="O22" s="950">
        <f t="shared" si="6"/>
        <v>71.584880900000002</v>
      </c>
      <c r="P22" s="946">
        <f t="shared" si="6"/>
        <v>72.365845299999989</v>
      </c>
      <c r="Q22" s="946">
        <f t="shared" si="6"/>
        <v>71.739025239999989</v>
      </c>
      <c r="R22" s="946">
        <f t="shared" si="6"/>
        <v>66.16367394000001</v>
      </c>
      <c r="S22" s="946">
        <f t="shared" si="6"/>
        <v>70.83841873999998</v>
      </c>
      <c r="T22" s="946">
        <f t="shared" si="6"/>
        <v>71.54985963999998</v>
      </c>
      <c r="U22" s="946">
        <f t="shared" si="6"/>
        <v>83.213226240000012</v>
      </c>
      <c r="V22" s="946">
        <f t="shared" si="6"/>
        <v>35.302513379999994</v>
      </c>
      <c r="W22" s="946">
        <v>26.202326010000007</v>
      </c>
      <c r="X22" s="946">
        <v>24.990138630000004</v>
      </c>
      <c r="Y22" s="950">
        <v>25.540378979999986</v>
      </c>
      <c r="Z22" s="946">
        <v>25.608386760000002</v>
      </c>
      <c r="AA22" s="950">
        <v>42.838129970000011</v>
      </c>
      <c r="AB22" s="950">
        <f>+AB20-AB21</f>
        <v>41.518337860000031</v>
      </c>
      <c r="AC22" s="950">
        <v>45.386010940000006</v>
      </c>
      <c r="AD22" s="950">
        <v>61.152701089999994</v>
      </c>
      <c r="AE22" s="950">
        <v>62.852344580000022</v>
      </c>
      <c r="AF22" s="950">
        <v>66.971076129999972</v>
      </c>
      <c r="AG22" s="950">
        <v>69.674743869999986</v>
      </c>
      <c r="AH22" s="950">
        <f>+AH20-AH21</f>
        <v>52.756440069999996</v>
      </c>
      <c r="AI22" s="950">
        <v>51.570543620000024</v>
      </c>
      <c r="AJ22" s="950">
        <f>+AJ20-AJ21</f>
        <v>49.076992809999979</v>
      </c>
      <c r="AK22" s="950">
        <f>+AK20-AK21</f>
        <v>79.839605989999995</v>
      </c>
      <c r="AL22" s="950">
        <v>82.979366389999996</v>
      </c>
      <c r="AM22" s="950">
        <f>+AM20-AM21</f>
        <v>70.306697380000003</v>
      </c>
      <c r="AN22" s="950">
        <f>+AN20-AN21</f>
        <v>51.26567055999999</v>
      </c>
      <c r="AO22" s="950">
        <f>+AO20-AO21</f>
        <v>50.577999050000017</v>
      </c>
      <c r="AP22" s="950">
        <f>+AP20-AP21</f>
        <v>52.191901869999981</v>
      </c>
      <c r="AQ22" s="950">
        <v>51.254815489999999</v>
      </c>
      <c r="AR22" s="950">
        <f>+AR20-AR21</f>
        <v>17.526979140000009</v>
      </c>
      <c r="AS22" s="950">
        <v>17.29610649</v>
      </c>
      <c r="AT22" s="950">
        <f>AT14-AT18</f>
        <v>16.185055390000013</v>
      </c>
      <c r="AU22" s="950">
        <v>16.155501649999984</v>
      </c>
      <c r="AV22" s="950">
        <v>25.632556060000006</v>
      </c>
      <c r="AW22" s="950">
        <v>24.693856099999991</v>
      </c>
      <c r="AX22" s="950">
        <v>24.969897860000021</v>
      </c>
      <c r="AY22" s="950">
        <v>15.034946319999989</v>
      </c>
      <c r="AZ22" s="950">
        <v>22.377863950000005</v>
      </c>
      <c r="BA22" s="950">
        <v>22.283121190000003</v>
      </c>
      <c r="BB22" s="950">
        <v>17.457963360000008</v>
      </c>
      <c r="BC22" s="950">
        <v>18.053784430000007</v>
      </c>
      <c r="BD22" s="950">
        <f>+BD20-BD21</f>
        <v>17.665197710000001</v>
      </c>
      <c r="BE22" s="950">
        <v>17.934979730000009</v>
      </c>
      <c r="BF22" s="950">
        <v>16.235924770000025</v>
      </c>
      <c r="BG22" s="950">
        <v>28.20915303999999</v>
      </c>
      <c r="BH22" s="1005">
        <v>29.302238100000011</v>
      </c>
      <c r="BI22" s="994">
        <v>29.668691309999986</v>
      </c>
      <c r="BJ22" s="994">
        <v>28.822417060000021</v>
      </c>
      <c r="BK22" s="994">
        <v>21.655707019999994</v>
      </c>
      <c r="BL22" s="994">
        <v>69.846242310000036</v>
      </c>
      <c r="BM22" s="994">
        <v>79.477707200000054</v>
      </c>
      <c r="BN22" s="994">
        <v>80.257682340000002</v>
      </c>
      <c r="BO22" s="994">
        <v>79.043624829999999</v>
      </c>
      <c r="BP22" s="994">
        <v>89.866134100000011</v>
      </c>
      <c r="BQ22" s="994">
        <v>89.867792909999991</v>
      </c>
      <c r="BR22" s="994">
        <v>99.074908979999975</v>
      </c>
      <c r="BS22" s="994">
        <v>121.22504186999998</v>
      </c>
      <c r="BT22" s="994">
        <v>200.80492290999999</v>
      </c>
      <c r="BU22" s="994">
        <v>185.34294975999998</v>
      </c>
      <c r="BV22" s="994">
        <v>199.07633849000001</v>
      </c>
      <c r="BW22" s="994">
        <v>197.53088783999996</v>
      </c>
      <c r="BX22" s="994">
        <v>205.16074528999999</v>
      </c>
      <c r="BY22" s="994">
        <v>205.08352220999996</v>
      </c>
      <c r="BZ22" s="994">
        <v>213.18431806000004</v>
      </c>
      <c r="CA22" s="994">
        <v>200.24270472000003</v>
      </c>
      <c r="CB22" s="994">
        <v>154.41643958999995</v>
      </c>
      <c r="CC22" s="994">
        <v>156.13765384000001</v>
      </c>
      <c r="CD22" s="994">
        <v>154.58358708999998</v>
      </c>
      <c r="CE22" s="994">
        <f t="shared" ref="CE22:CP22" si="7">+CE20-CE21</f>
        <v>156.06494477999999</v>
      </c>
      <c r="CF22" s="994">
        <f t="shared" si="7"/>
        <v>155.48908703999996</v>
      </c>
      <c r="CG22" s="994">
        <f t="shared" si="7"/>
        <v>85.267078109999972</v>
      </c>
      <c r="CH22" s="994">
        <f t="shared" si="7"/>
        <v>84.380657299999967</v>
      </c>
      <c r="CI22" s="994">
        <f t="shared" si="7"/>
        <v>83.809754179999999</v>
      </c>
      <c r="CJ22" s="994">
        <f t="shared" si="7"/>
        <v>82.988366940000006</v>
      </c>
      <c r="CK22" s="994">
        <f t="shared" si="7"/>
        <v>82.101760529999993</v>
      </c>
      <c r="CL22" s="994">
        <f t="shared" si="7"/>
        <v>75.459351560000002</v>
      </c>
      <c r="CM22" s="994">
        <f t="shared" si="7"/>
        <v>72.821715069999996</v>
      </c>
      <c r="CN22" s="994">
        <f t="shared" si="7"/>
        <v>74.943606319999972</v>
      </c>
      <c r="CO22" s="994">
        <f t="shared" si="7"/>
        <v>75.500220399999989</v>
      </c>
      <c r="CP22" s="994">
        <f t="shared" si="7"/>
        <v>72.278834469999993</v>
      </c>
      <c r="CQ22" s="994">
        <f>+CQ20-CQ21</f>
        <v>71.364679940000002</v>
      </c>
      <c r="CR22" s="994">
        <f>+CR20-CR21</f>
        <v>73.147389230000002</v>
      </c>
      <c r="CS22" s="994">
        <v>73.468007489999991</v>
      </c>
      <c r="CT22" s="994">
        <v>73.150810289999995</v>
      </c>
      <c r="CU22" s="994">
        <v>65.153605540000001</v>
      </c>
      <c r="CV22" s="994">
        <v>64.914066239999997</v>
      </c>
      <c r="CW22" s="994">
        <v>65.104007300000006</v>
      </c>
      <c r="CX22" s="994">
        <v>40.739715330000003</v>
      </c>
      <c r="CY22" s="994">
        <v>40.58220687</v>
      </c>
      <c r="CZ22" s="994">
        <v>40.579730380000001</v>
      </c>
      <c r="DA22" s="994">
        <v>40.311285580000003</v>
      </c>
      <c r="DB22" s="994">
        <v>40.959022310000002</v>
      </c>
      <c r="DC22" s="994">
        <v>41.046012089999998</v>
      </c>
      <c r="DD22" s="1065">
        <v>40.171752339999998</v>
      </c>
      <c r="DE22" s="1065">
        <v>40.431434660000001</v>
      </c>
      <c r="DF22" s="1065">
        <v>21.50466187</v>
      </c>
      <c r="DG22" s="1017">
        <v>22.834477410000002</v>
      </c>
      <c r="DH22" s="1017">
        <v>24.891734849999999</v>
      </c>
      <c r="DI22" s="1017">
        <v>26.553347800000001</v>
      </c>
      <c r="DJ22" s="1017">
        <v>44.321333799999998</v>
      </c>
      <c r="DK22" s="1017">
        <v>58.199056489999997</v>
      </c>
      <c r="DL22" s="1017">
        <v>66.673263750000004</v>
      </c>
      <c r="DM22" s="1017">
        <v>49.998495089999999</v>
      </c>
      <c r="DN22" s="1017">
        <v>52.426940879999997</v>
      </c>
      <c r="DO22" s="1017">
        <v>58.959540269999998</v>
      </c>
      <c r="DP22" s="1017">
        <v>62.792741659999997</v>
      </c>
      <c r="DQ22" s="1017">
        <v>50.849756730000003</v>
      </c>
      <c r="DR22" s="1017">
        <v>48.67771175</v>
      </c>
      <c r="DS22" s="1017">
        <v>49.540999139999997</v>
      </c>
      <c r="DT22" s="1017">
        <v>51.47870829</v>
      </c>
      <c r="DU22" s="1017">
        <v>61.548516409999998</v>
      </c>
      <c r="DV22" s="1017">
        <v>60.255132029999999</v>
      </c>
      <c r="DW22" s="1017">
        <v>74.520366370000005</v>
      </c>
      <c r="DX22" s="1017">
        <v>73.112129199999998</v>
      </c>
      <c r="DY22" s="1017">
        <v>72.919209649999999</v>
      </c>
      <c r="DZ22" s="1017">
        <v>79.133969980000003</v>
      </c>
      <c r="EA22" s="1017">
        <v>90.361217479999993</v>
      </c>
      <c r="EB22" s="1017">
        <v>92.977254979999998</v>
      </c>
      <c r="EC22" s="1017">
        <v>94.465101000000004</v>
      </c>
      <c r="ED22" s="1017">
        <v>92.573689220000006</v>
      </c>
      <c r="EE22" s="1017">
        <v>92.671145089999996</v>
      </c>
      <c r="EK22" s="400"/>
    </row>
    <row r="23" spans="1:141" ht="19.8">
      <c r="A23" s="977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50"/>
      <c r="AA23" s="950"/>
      <c r="AB23" s="950"/>
      <c r="AC23" s="950"/>
      <c r="AD23" s="950"/>
      <c r="AE23" s="950"/>
      <c r="AF23" s="950"/>
      <c r="AG23" s="950"/>
      <c r="AH23" s="950"/>
      <c r="AI23" s="950"/>
      <c r="AJ23" s="950"/>
      <c r="AK23" s="950"/>
      <c r="AL23" s="950"/>
      <c r="AM23" s="950"/>
      <c r="AN23" s="950"/>
      <c r="AO23" s="950"/>
      <c r="AP23" s="950"/>
      <c r="AQ23" s="950"/>
      <c r="AR23" s="950"/>
      <c r="AS23" s="950"/>
      <c r="AT23" s="950"/>
      <c r="AU23" s="950"/>
      <c r="AV23" s="950"/>
      <c r="AW23" s="950"/>
      <c r="AX23" s="950"/>
      <c r="AY23" s="950"/>
      <c r="AZ23" s="950"/>
      <c r="BA23" s="950"/>
      <c r="BB23" s="950"/>
      <c r="BC23" s="950"/>
      <c r="BD23" s="950"/>
      <c r="BE23" s="950"/>
      <c r="BF23" s="950"/>
      <c r="BG23" s="950"/>
      <c r="BH23" s="1005"/>
      <c r="BI23" s="994"/>
      <c r="BJ23" s="994"/>
      <c r="BK23" s="994"/>
      <c r="BL23" s="994"/>
      <c r="BM23" s="994"/>
      <c r="BN23" s="994"/>
      <c r="BO23" s="994"/>
      <c r="BP23" s="994"/>
      <c r="BQ23" s="994"/>
      <c r="BR23" s="994"/>
      <c r="BS23" s="994"/>
      <c r="BT23" s="994"/>
      <c r="BU23" s="994"/>
      <c r="BV23" s="994"/>
      <c r="BW23" s="994"/>
      <c r="BX23" s="994"/>
      <c r="BY23" s="994"/>
      <c r="BZ23" s="994"/>
      <c r="CA23" s="994"/>
      <c r="CB23" s="994"/>
      <c r="CC23" s="994"/>
      <c r="CD23" s="994"/>
      <c r="CE23" s="994"/>
      <c r="CF23" s="994"/>
      <c r="CG23" s="994"/>
      <c r="CH23" s="994"/>
      <c r="CI23" s="994"/>
      <c r="CJ23" s="994"/>
      <c r="CK23" s="994"/>
      <c r="CL23" s="994"/>
      <c r="CM23" s="994"/>
      <c r="CN23" s="994"/>
      <c r="CO23" s="994"/>
      <c r="CP23" s="994"/>
      <c r="CQ23" s="994"/>
      <c r="CR23" s="994"/>
      <c r="CS23" s="994"/>
      <c r="CT23" s="994"/>
      <c r="CU23" s="994"/>
      <c r="CV23" s="994"/>
      <c r="CW23" s="994"/>
      <c r="CX23" s="994"/>
      <c r="CY23" s="994"/>
      <c r="CZ23" s="994"/>
      <c r="DA23" s="994"/>
      <c r="DB23" s="994"/>
      <c r="DC23" s="994"/>
      <c r="DD23" s="1065"/>
      <c r="DE23" s="1065"/>
      <c r="DF23" s="1065"/>
      <c r="DG23" s="1017"/>
      <c r="DH23" s="1017"/>
      <c r="DI23" s="1017"/>
      <c r="DJ23" s="1017"/>
      <c r="DK23" s="1017"/>
      <c r="DL23" s="1017"/>
      <c r="DM23" s="1017"/>
      <c r="DN23" s="1017"/>
      <c r="DO23" s="1017"/>
      <c r="DP23" s="1017"/>
      <c r="DQ23" s="1017"/>
      <c r="DR23" s="1017"/>
      <c r="DS23" s="1017"/>
      <c r="DT23" s="1017"/>
      <c r="DU23" s="1017"/>
      <c r="DV23" s="1017"/>
      <c r="DW23" s="1017"/>
      <c r="DX23" s="1017"/>
      <c r="DY23" s="1017"/>
      <c r="DZ23" s="1017"/>
      <c r="EA23" s="1017"/>
      <c r="EB23" s="1017"/>
      <c r="EC23" s="1017"/>
      <c r="ED23" s="1017"/>
      <c r="EE23" s="1017"/>
      <c r="EK23" s="400"/>
    </row>
    <row r="24" spans="1:141" ht="19.8">
      <c r="A24" s="976" t="s">
        <v>2823</v>
      </c>
      <c r="B24" s="945">
        <v>267.47144794999997</v>
      </c>
      <c r="C24" s="949">
        <v>281.98631698000003</v>
      </c>
      <c r="D24" s="949">
        <v>283.14656467999998</v>
      </c>
      <c r="E24" s="949">
        <v>289.55347675000002</v>
      </c>
      <c r="F24" s="949">
        <v>284.56750178999999</v>
      </c>
      <c r="G24" s="949">
        <v>289.00268554000002</v>
      </c>
      <c r="H24" s="949">
        <v>305.82095713000001</v>
      </c>
      <c r="I24" s="949">
        <v>302.39188779999995</v>
      </c>
      <c r="J24" s="949">
        <v>332.67864749</v>
      </c>
      <c r="K24" s="949">
        <v>328.60882299999997</v>
      </c>
      <c r="L24" s="949">
        <v>326.83130339000002</v>
      </c>
      <c r="M24" s="946">
        <v>339.62211808999996</v>
      </c>
      <c r="N24" s="950">
        <v>336.19845109999994</v>
      </c>
      <c r="O24" s="950">
        <v>341.61020458000002</v>
      </c>
      <c r="P24" s="946">
        <v>338.75543636999998</v>
      </c>
      <c r="Q24" s="946">
        <v>337.29858770999999</v>
      </c>
      <c r="R24" s="946">
        <v>338.96067784000002</v>
      </c>
      <c r="S24" s="946">
        <v>339.65226282999998</v>
      </c>
      <c r="T24" s="946">
        <v>334.53533503</v>
      </c>
      <c r="U24" s="946">
        <v>333.44646217000002</v>
      </c>
      <c r="V24" s="946">
        <v>397.17093668000007</v>
      </c>
      <c r="W24" s="946">
        <v>395.86609151000005</v>
      </c>
      <c r="X24" s="946">
        <v>397.45302992000001</v>
      </c>
      <c r="Y24" s="946">
        <v>407.03161842000003</v>
      </c>
      <c r="Z24" s="946">
        <v>404.10015785000002</v>
      </c>
      <c r="AA24" s="950">
        <v>459.86111026999998</v>
      </c>
      <c r="AB24" s="946">
        <v>495.75985860999998</v>
      </c>
      <c r="AC24" s="946">
        <v>505.20771732999998</v>
      </c>
      <c r="AD24" s="946">
        <v>522.39680538999994</v>
      </c>
      <c r="AE24" s="946">
        <v>524.98937082999998</v>
      </c>
      <c r="AF24" s="946">
        <v>526.72878465999997</v>
      </c>
      <c r="AG24" s="946">
        <v>600.05060937999997</v>
      </c>
      <c r="AH24" s="946">
        <v>632.87594422000006</v>
      </c>
      <c r="AI24" s="946">
        <v>695.01989074999995</v>
      </c>
      <c r="AJ24" s="946">
        <v>677.51654999000004</v>
      </c>
      <c r="AK24" s="946">
        <v>920.46339037999996</v>
      </c>
      <c r="AL24" s="946">
        <v>939.65438973000005</v>
      </c>
      <c r="AM24" s="946">
        <v>986.05792461999999</v>
      </c>
      <c r="AN24" s="946">
        <v>986.50695754000003</v>
      </c>
      <c r="AO24" s="946">
        <v>986.17517332000011</v>
      </c>
      <c r="AP24" s="946">
        <v>974.39406467999993</v>
      </c>
      <c r="AQ24" s="946">
        <v>1006.3507742099999</v>
      </c>
      <c r="AR24" s="946">
        <v>924.51464494000004</v>
      </c>
      <c r="AS24" s="946">
        <v>948.31837393000001</v>
      </c>
      <c r="AT24" s="946">
        <f>AT8-AT12</f>
        <v>951.51049809000006</v>
      </c>
      <c r="AU24" s="946">
        <v>962.30989267999985</v>
      </c>
      <c r="AV24" s="946">
        <v>1005.2521264400001</v>
      </c>
      <c r="AW24" s="946">
        <v>1015.4233986900001</v>
      </c>
      <c r="AX24" s="946">
        <v>1081.65352661</v>
      </c>
      <c r="AY24" s="946">
        <v>987.96615591</v>
      </c>
      <c r="AZ24" s="946">
        <v>947.00909643</v>
      </c>
      <c r="BA24" s="946">
        <v>929.26564189999999</v>
      </c>
      <c r="BB24" s="946">
        <v>764.46713681999995</v>
      </c>
      <c r="BC24" s="946">
        <v>795.11597256999994</v>
      </c>
      <c r="BD24" s="946">
        <v>833.87668926000003</v>
      </c>
      <c r="BE24" s="946">
        <v>838.74434552000002</v>
      </c>
      <c r="BF24" s="946">
        <v>833.17232387000013</v>
      </c>
      <c r="BG24" s="946">
        <v>831.81203626000001</v>
      </c>
      <c r="BH24" s="1004">
        <v>831.68183382999996</v>
      </c>
      <c r="BI24" s="993">
        <v>886.92141060999995</v>
      </c>
      <c r="BJ24" s="993">
        <v>891.92225788000007</v>
      </c>
      <c r="BK24" s="993">
        <v>759.41001402000006</v>
      </c>
      <c r="BL24" s="993">
        <v>712.49691280000002</v>
      </c>
      <c r="BM24" s="993">
        <v>799.64578142000005</v>
      </c>
      <c r="BN24" s="993">
        <v>795.79365254000004</v>
      </c>
      <c r="BO24" s="993">
        <v>869.88743468999996</v>
      </c>
      <c r="BP24" s="993">
        <v>873.17732102000002</v>
      </c>
      <c r="BQ24" s="993">
        <v>872.34744857999999</v>
      </c>
      <c r="BR24" s="993">
        <v>972.66562490999979</v>
      </c>
      <c r="BS24" s="993">
        <v>958.89047446999984</v>
      </c>
      <c r="BT24" s="993">
        <v>1016.3447374899999</v>
      </c>
      <c r="BU24" s="993">
        <v>1045.5105831999999</v>
      </c>
      <c r="BV24" s="993">
        <v>1034.1367258199998</v>
      </c>
      <c r="BW24" s="993">
        <v>1023.2169472100002</v>
      </c>
      <c r="BX24" s="993">
        <v>1011.88916035</v>
      </c>
      <c r="BY24" s="993">
        <v>941.25843755000005</v>
      </c>
      <c r="BZ24" s="993">
        <v>957.40955282000004</v>
      </c>
      <c r="CA24" s="993">
        <v>1004.3101826399998</v>
      </c>
      <c r="CB24" s="993">
        <v>989.03154865000022</v>
      </c>
      <c r="CC24" s="993">
        <v>984.79327080999997</v>
      </c>
      <c r="CD24" s="993">
        <v>883.16528300000004</v>
      </c>
      <c r="CE24" s="993">
        <v>876.8817346400001</v>
      </c>
      <c r="CF24" s="993">
        <v>921.99135094999997</v>
      </c>
      <c r="CG24" s="993">
        <v>988.27171185999998</v>
      </c>
      <c r="CH24" s="993">
        <v>972.86097029999996</v>
      </c>
      <c r="CI24" s="993">
        <v>968.73169614999995</v>
      </c>
      <c r="CJ24" s="993">
        <v>966.34227921000013</v>
      </c>
      <c r="CK24" s="993">
        <v>901.39008082999999</v>
      </c>
      <c r="CL24" s="993">
        <v>801.29913627999986</v>
      </c>
      <c r="CM24" s="993">
        <v>759.75227874000007</v>
      </c>
      <c r="CN24" s="993">
        <v>757.76195453999992</v>
      </c>
      <c r="CO24" s="993">
        <v>742.94219927000006</v>
      </c>
      <c r="CP24" s="993">
        <v>736.1676314099999</v>
      </c>
      <c r="CQ24" s="993">
        <v>716.41074197</v>
      </c>
      <c r="CR24" s="993">
        <v>698.13132737000001</v>
      </c>
      <c r="CS24" s="993">
        <v>697.72128898999995</v>
      </c>
      <c r="CT24" s="993">
        <v>690.50747257</v>
      </c>
      <c r="CU24" s="993">
        <v>724.83807796999997</v>
      </c>
      <c r="CV24" s="993">
        <v>718.24638965999998</v>
      </c>
      <c r="CW24" s="993">
        <v>733.77768622999997</v>
      </c>
      <c r="CX24" s="993">
        <v>713.94324044999996</v>
      </c>
      <c r="CY24" s="993">
        <v>704.84404193</v>
      </c>
      <c r="CZ24" s="993">
        <v>641.93906330000004</v>
      </c>
      <c r="DA24" s="993">
        <v>634.32925600999999</v>
      </c>
      <c r="DB24" s="993">
        <v>636.97180710999999</v>
      </c>
      <c r="DC24" s="993">
        <v>631.90669650999996</v>
      </c>
      <c r="DD24" s="1064">
        <v>620.75487464000003</v>
      </c>
      <c r="DE24" s="1064">
        <v>619.39736112000003</v>
      </c>
      <c r="DF24" s="1064">
        <v>635.28009288999999</v>
      </c>
      <c r="DG24" s="1016">
        <v>628.23985000000005</v>
      </c>
      <c r="DH24" s="1016">
        <v>631.94108712000002</v>
      </c>
      <c r="DI24" s="1016">
        <v>632.78964340000005</v>
      </c>
      <c r="DJ24" s="1016">
        <v>633.34288254000001</v>
      </c>
      <c r="DK24" s="1016">
        <v>626.69352302000004</v>
      </c>
      <c r="DL24" s="1016">
        <v>623.89297739999995</v>
      </c>
      <c r="DM24" s="1016">
        <v>619.88052004999997</v>
      </c>
      <c r="DN24" s="1016">
        <v>646.81540319999999</v>
      </c>
      <c r="DO24" s="1016">
        <v>651.14299274999996</v>
      </c>
      <c r="DP24" s="1016">
        <v>645.30372710999995</v>
      </c>
      <c r="DQ24" s="1016">
        <v>655.32132797999998</v>
      </c>
      <c r="DR24" s="1016">
        <v>650.51723976999995</v>
      </c>
      <c r="DS24" s="1016">
        <v>647.96596971999998</v>
      </c>
      <c r="DT24" s="1016">
        <v>676.89738933000001</v>
      </c>
      <c r="DU24" s="1016">
        <v>688.62293623000005</v>
      </c>
      <c r="DV24" s="1016">
        <v>730.09027718000004</v>
      </c>
      <c r="DW24" s="1016">
        <v>924.78050825000003</v>
      </c>
      <c r="DX24" s="1016">
        <v>912.25598419999994</v>
      </c>
      <c r="DY24" s="1016">
        <v>925.71129169000005</v>
      </c>
      <c r="DZ24" s="1016">
        <v>939.52941853000004</v>
      </c>
      <c r="EA24" s="1016">
        <v>1169.30175581</v>
      </c>
      <c r="EB24" s="1016">
        <v>1160.6609484799999</v>
      </c>
      <c r="EC24" s="1016">
        <v>1235.6017023100001</v>
      </c>
      <c r="ED24" s="1016">
        <v>1211.75942622</v>
      </c>
      <c r="EE24" s="1016">
        <v>1278.3472762599999</v>
      </c>
      <c r="EK24" s="400"/>
    </row>
    <row r="25" spans="1:141" ht="19.8">
      <c r="A25" s="977" t="s">
        <v>2001</v>
      </c>
      <c r="B25" s="949">
        <v>48.559183430000004</v>
      </c>
      <c r="C25" s="949">
        <v>48.312560619999999</v>
      </c>
      <c r="D25" s="949">
        <v>49.94550529</v>
      </c>
      <c r="E25" s="949">
        <v>55.891848320000001</v>
      </c>
      <c r="F25" s="949">
        <v>53.598569709999992</v>
      </c>
      <c r="G25" s="949">
        <v>60.743074640000003</v>
      </c>
      <c r="H25" s="949">
        <v>62.778369180000006</v>
      </c>
      <c r="I25" s="949">
        <v>65.753498609999994</v>
      </c>
      <c r="J25" s="949">
        <v>70.706514799999994</v>
      </c>
      <c r="K25" s="949">
        <v>70.093846929999998</v>
      </c>
      <c r="L25" s="949">
        <v>69.916101770000012</v>
      </c>
      <c r="M25" s="950">
        <v>73.948504109999988</v>
      </c>
      <c r="N25" s="950">
        <v>73.079514039999992</v>
      </c>
      <c r="O25" s="950">
        <v>75.332456559999997</v>
      </c>
      <c r="P25" s="950">
        <v>82.043593509999994</v>
      </c>
      <c r="Q25" s="950">
        <v>84.036859729999989</v>
      </c>
      <c r="R25" s="950">
        <v>88.415703369999989</v>
      </c>
      <c r="S25" s="950">
        <v>92.656317729999998</v>
      </c>
      <c r="T25" s="950">
        <v>91.52160099000001</v>
      </c>
      <c r="U25" s="950">
        <v>91.340145989999996</v>
      </c>
      <c r="V25" s="950">
        <v>96.961494330000008</v>
      </c>
      <c r="W25" s="950">
        <v>98.326090449999995</v>
      </c>
      <c r="X25" s="950">
        <v>102.15149679999999</v>
      </c>
      <c r="Y25" s="950">
        <v>103.33173869000001</v>
      </c>
      <c r="Z25" s="950">
        <v>104.03255568</v>
      </c>
      <c r="AA25" s="950">
        <v>125.67273324999999</v>
      </c>
      <c r="AB25" s="950">
        <v>139.75305665000002</v>
      </c>
      <c r="AC25" s="950">
        <v>146.50489893</v>
      </c>
      <c r="AD25" s="950">
        <v>170.42784855999997</v>
      </c>
      <c r="AE25" s="950">
        <v>169.75379189</v>
      </c>
      <c r="AF25" s="950">
        <v>163.3826961</v>
      </c>
      <c r="AG25" s="950">
        <v>239.07830258999999</v>
      </c>
      <c r="AH25" s="950">
        <v>239.38968738</v>
      </c>
      <c r="AI25" s="950">
        <v>282.67651064</v>
      </c>
      <c r="AJ25" s="950">
        <v>279.01749531999997</v>
      </c>
      <c r="AK25" s="950">
        <v>396.40317285999998</v>
      </c>
      <c r="AL25" s="950">
        <v>405.78257891999999</v>
      </c>
      <c r="AM25" s="950">
        <v>471.14566586000001</v>
      </c>
      <c r="AN25" s="950">
        <v>448.64705576</v>
      </c>
      <c r="AO25" s="950">
        <v>463.32997804000001</v>
      </c>
      <c r="AP25" s="950">
        <v>450.59600754999997</v>
      </c>
      <c r="AQ25" s="950">
        <v>465.05022124999999</v>
      </c>
      <c r="AR25" s="950">
        <v>474.62408783000001</v>
      </c>
      <c r="AS25" s="950">
        <v>487.19033668999998</v>
      </c>
      <c r="AT25" s="950">
        <f>AT9-AT13</f>
        <v>496.23503866999999</v>
      </c>
      <c r="AU25" s="950">
        <v>498.37298906000001</v>
      </c>
      <c r="AV25" s="950">
        <v>522.51481287000001</v>
      </c>
      <c r="AW25" s="950">
        <v>519.42921855000009</v>
      </c>
      <c r="AX25" s="950">
        <v>558.61298886999998</v>
      </c>
      <c r="AY25" s="950">
        <v>504.15006137</v>
      </c>
      <c r="AZ25" s="950">
        <v>488.78271172000001</v>
      </c>
      <c r="BA25" s="950">
        <v>482.46309117999999</v>
      </c>
      <c r="BB25" s="950">
        <v>320.92542698000005</v>
      </c>
      <c r="BC25" s="950">
        <v>266.58350058000002</v>
      </c>
      <c r="BD25" s="950">
        <v>373.02094011999998</v>
      </c>
      <c r="BE25" s="950">
        <v>378.99315779</v>
      </c>
      <c r="BF25" s="950">
        <v>375.49371088999999</v>
      </c>
      <c r="BG25" s="950">
        <v>373.74060918000009</v>
      </c>
      <c r="BH25" s="1005">
        <v>371.09261825999999</v>
      </c>
      <c r="BI25" s="994">
        <v>398.71750831999998</v>
      </c>
      <c r="BJ25" s="994">
        <v>397.69240604000004</v>
      </c>
      <c r="BK25" s="994">
        <v>269.61802308</v>
      </c>
      <c r="BL25" s="994">
        <v>259.50288438999996</v>
      </c>
      <c r="BM25" s="994">
        <v>262.0748413</v>
      </c>
      <c r="BN25" s="994">
        <v>261.25571726999999</v>
      </c>
      <c r="BO25" s="994">
        <v>281.89562257</v>
      </c>
      <c r="BP25" s="994">
        <v>282.53985200000005</v>
      </c>
      <c r="BQ25" s="994">
        <v>280.57448377999998</v>
      </c>
      <c r="BR25" s="994">
        <v>279.40724044000001</v>
      </c>
      <c r="BS25" s="994">
        <v>280.97093912999998</v>
      </c>
      <c r="BT25" s="994">
        <v>356.34428953999998</v>
      </c>
      <c r="BU25" s="994">
        <v>373.15636152000002</v>
      </c>
      <c r="BV25" s="994">
        <v>373.88854580000003</v>
      </c>
      <c r="BW25" s="994">
        <v>374.57041874000004</v>
      </c>
      <c r="BX25" s="994">
        <v>373.96228599</v>
      </c>
      <c r="BY25" s="994">
        <v>318.41483944999999</v>
      </c>
      <c r="BZ25" s="994">
        <v>320.67179063000003</v>
      </c>
      <c r="CA25" s="994">
        <v>320.15347698999994</v>
      </c>
      <c r="CB25" s="994">
        <v>315.39749509999996</v>
      </c>
      <c r="CC25" s="994">
        <v>312.63544082000004</v>
      </c>
      <c r="CD25" s="994">
        <v>190.49660752999998</v>
      </c>
      <c r="CE25" s="994">
        <v>196.4969341</v>
      </c>
      <c r="CF25" s="994">
        <v>184.12807385000002</v>
      </c>
      <c r="CG25" s="994">
        <v>198.90658949000002</v>
      </c>
      <c r="CH25" s="994">
        <v>181.39675994999999</v>
      </c>
      <c r="CI25" s="994">
        <v>189.47863365999999</v>
      </c>
      <c r="CJ25" s="994">
        <v>196.09114256999999</v>
      </c>
      <c r="CK25" s="994">
        <v>192.40674741000001</v>
      </c>
      <c r="CL25" s="994">
        <v>133.39528460999998</v>
      </c>
      <c r="CM25" s="994">
        <v>118.38370209999999</v>
      </c>
      <c r="CN25" s="994">
        <v>116.2355452</v>
      </c>
      <c r="CO25" s="994">
        <v>112.47554587</v>
      </c>
      <c r="CP25" s="994">
        <v>110.65219464</v>
      </c>
      <c r="CQ25" s="994">
        <v>107.15441516000001</v>
      </c>
      <c r="CR25" s="994">
        <v>110.59295159999999</v>
      </c>
      <c r="CS25" s="994">
        <v>100.52455775999999</v>
      </c>
      <c r="CT25" s="994">
        <v>107.16796892000001</v>
      </c>
      <c r="CU25" s="994">
        <v>105.58432103</v>
      </c>
      <c r="CV25" s="994">
        <v>106.55598037999999</v>
      </c>
      <c r="CW25" s="994">
        <v>105.29106428</v>
      </c>
      <c r="CX25" s="994">
        <v>99.12411342</v>
      </c>
      <c r="CY25" s="994">
        <v>113.24268266</v>
      </c>
      <c r="CZ25" s="994">
        <v>111.61665151</v>
      </c>
      <c r="DA25" s="994">
        <v>110.1510469</v>
      </c>
      <c r="DB25" s="994">
        <v>108.84865339</v>
      </c>
      <c r="DC25" s="994">
        <v>107.43687133</v>
      </c>
      <c r="DD25" s="1065">
        <v>96.312629520000002</v>
      </c>
      <c r="DE25" s="1065">
        <v>96.48826708</v>
      </c>
      <c r="DF25" s="1065">
        <v>96.483610389999996</v>
      </c>
      <c r="DG25" s="1017">
        <v>96.498627119999995</v>
      </c>
      <c r="DH25" s="1017">
        <v>96.497663439999997</v>
      </c>
      <c r="DI25" s="1017">
        <v>96.490369619999996</v>
      </c>
      <c r="DJ25" s="1017">
        <v>96.462960629999998</v>
      </c>
      <c r="DK25" s="1017">
        <v>96.45549355</v>
      </c>
      <c r="DL25" s="1017">
        <v>96.441982699999997</v>
      </c>
      <c r="DM25" s="1017">
        <v>96.428601159999999</v>
      </c>
      <c r="DN25" s="1017">
        <v>96.696531300000004</v>
      </c>
      <c r="DO25" s="1017">
        <v>96.695033019999997</v>
      </c>
      <c r="DP25" s="1017">
        <v>91.064371510000001</v>
      </c>
      <c r="DQ25" s="1017">
        <v>51.956793099999999</v>
      </c>
      <c r="DR25" s="1017">
        <v>51.95413302</v>
      </c>
      <c r="DS25" s="1017">
        <v>51.93376267</v>
      </c>
      <c r="DT25" s="1017">
        <v>51.912897690000001</v>
      </c>
      <c r="DU25" s="1017">
        <v>51.891406019999998</v>
      </c>
      <c r="DV25" s="1017">
        <v>51.869929740000003</v>
      </c>
      <c r="DW25" s="1017">
        <v>51.891539350000002</v>
      </c>
      <c r="DX25" s="1017">
        <v>51.855709580000003</v>
      </c>
      <c r="DY25" s="1017">
        <v>51.832955439999999</v>
      </c>
      <c r="DZ25" s="1017">
        <v>25.984632569999999</v>
      </c>
      <c r="EA25" s="1017">
        <v>258.86122268999998</v>
      </c>
      <c r="EB25" s="1017">
        <v>258.83769404999998</v>
      </c>
      <c r="EC25" s="1017">
        <v>233.31342912</v>
      </c>
      <c r="ED25" s="1017">
        <v>227.46683376999999</v>
      </c>
      <c r="EE25" s="1017">
        <v>227.4630392</v>
      </c>
      <c r="EK25" s="400"/>
    </row>
    <row r="26" spans="1:141" ht="19.8">
      <c r="A26" s="978" t="s">
        <v>2002</v>
      </c>
      <c r="B26" s="945">
        <f>+B24-B25</f>
        <v>218.91226451999995</v>
      </c>
      <c r="C26" s="949">
        <f t="shared" ref="C26:V26" si="8">+C24-C25</f>
        <v>233.67375636000003</v>
      </c>
      <c r="D26" s="949">
        <f t="shared" si="8"/>
        <v>233.20105938999998</v>
      </c>
      <c r="E26" s="949">
        <f t="shared" si="8"/>
        <v>233.66162843000001</v>
      </c>
      <c r="F26" s="949">
        <f t="shared" si="8"/>
        <v>230.96893208</v>
      </c>
      <c r="G26" s="949">
        <f t="shared" si="8"/>
        <v>228.25961090000001</v>
      </c>
      <c r="H26" s="949">
        <f t="shared" si="8"/>
        <v>243.04258795000001</v>
      </c>
      <c r="I26" s="949">
        <f t="shared" si="8"/>
        <v>236.63838918999994</v>
      </c>
      <c r="J26" s="949">
        <f t="shared" si="8"/>
        <v>261.97213269000002</v>
      </c>
      <c r="K26" s="949">
        <f t="shared" si="8"/>
        <v>258.51497606999999</v>
      </c>
      <c r="L26" s="949">
        <f t="shared" si="8"/>
        <v>256.91520162</v>
      </c>
      <c r="M26" s="950">
        <f t="shared" si="8"/>
        <v>265.67361397999997</v>
      </c>
      <c r="N26" s="950">
        <f t="shared" si="8"/>
        <v>263.11893705999995</v>
      </c>
      <c r="O26" s="950">
        <f t="shared" si="8"/>
        <v>266.27774801999999</v>
      </c>
      <c r="P26" s="946">
        <f t="shared" si="8"/>
        <v>256.71184285999999</v>
      </c>
      <c r="Q26" s="946">
        <f t="shared" si="8"/>
        <v>253.26172797999999</v>
      </c>
      <c r="R26" s="946">
        <f t="shared" si="8"/>
        <v>250.54497447000003</v>
      </c>
      <c r="S26" s="946">
        <f t="shared" si="8"/>
        <v>246.99594509999997</v>
      </c>
      <c r="T26" s="946">
        <f t="shared" si="8"/>
        <v>243.01373403999997</v>
      </c>
      <c r="U26" s="946">
        <f t="shared" si="8"/>
        <v>242.10631618000002</v>
      </c>
      <c r="V26" s="946">
        <f t="shared" si="8"/>
        <v>300.20944235000007</v>
      </c>
      <c r="W26" s="946">
        <v>297.54000106000007</v>
      </c>
      <c r="X26" s="946">
        <v>295.30153312000004</v>
      </c>
      <c r="Y26" s="950">
        <v>303.69987973000002</v>
      </c>
      <c r="Z26" s="946">
        <v>300.06760216999999</v>
      </c>
      <c r="AA26" s="950">
        <v>334.18837701999996</v>
      </c>
      <c r="AB26" s="950">
        <f>+AB24-AB25</f>
        <v>356.00680195999996</v>
      </c>
      <c r="AC26" s="950">
        <v>358.70281839999996</v>
      </c>
      <c r="AD26" s="950">
        <v>351.96895682999997</v>
      </c>
      <c r="AE26" s="950">
        <v>355.23557893999998</v>
      </c>
      <c r="AF26" s="950">
        <v>363.34608856</v>
      </c>
      <c r="AG26" s="950">
        <v>360.97230678999995</v>
      </c>
      <c r="AH26" s="950">
        <f>+AH24-AH25</f>
        <v>393.48625684000007</v>
      </c>
      <c r="AI26" s="950">
        <v>412.34338010999994</v>
      </c>
      <c r="AJ26" s="950">
        <f>+AJ24-AJ25</f>
        <v>398.49905467000008</v>
      </c>
      <c r="AK26" s="950">
        <f>+AK24-AK25</f>
        <v>524.06021751999992</v>
      </c>
      <c r="AL26" s="950">
        <v>533.87181081000006</v>
      </c>
      <c r="AM26" s="950">
        <f>+AM24-AM25</f>
        <v>514.91225875999999</v>
      </c>
      <c r="AN26" s="950">
        <f>+AN24-AN25</f>
        <v>537.85990177999997</v>
      </c>
      <c r="AO26" s="950">
        <f>+AO24-AO25</f>
        <v>522.8451952800001</v>
      </c>
      <c r="AP26" s="950">
        <f>+AP24-AP25</f>
        <v>523.79805712999996</v>
      </c>
      <c r="AQ26" s="950">
        <v>541.30055296</v>
      </c>
      <c r="AR26" s="950">
        <f>+AR24-AR25</f>
        <v>449.89055711000003</v>
      </c>
      <c r="AS26" s="950">
        <v>461.12803724000003</v>
      </c>
      <c r="AT26" s="950">
        <f>AT10-AT14</f>
        <v>455.27545942000006</v>
      </c>
      <c r="AU26" s="950">
        <v>463.93690361999995</v>
      </c>
      <c r="AV26" s="950">
        <v>482.73731357000008</v>
      </c>
      <c r="AW26" s="950">
        <v>495.99418014000014</v>
      </c>
      <c r="AX26" s="950">
        <v>523.0405377400001</v>
      </c>
      <c r="AY26" s="950">
        <v>483.81609453999999</v>
      </c>
      <c r="AZ26" s="950">
        <v>458.22638470999999</v>
      </c>
      <c r="BA26" s="950">
        <v>446.80255072</v>
      </c>
      <c r="BB26" s="950">
        <v>443.5417098399999</v>
      </c>
      <c r="BC26" s="950">
        <v>528.53247198999998</v>
      </c>
      <c r="BD26" s="950">
        <f>+BD24-BD25</f>
        <v>460.85574914000006</v>
      </c>
      <c r="BE26" s="950">
        <v>459.75118773000003</v>
      </c>
      <c r="BF26" s="950">
        <v>457.67861298000014</v>
      </c>
      <c r="BG26" s="950">
        <v>458.07142707999992</v>
      </c>
      <c r="BH26" s="1005">
        <v>460.58921556999996</v>
      </c>
      <c r="BI26" s="994">
        <v>488.20390228999997</v>
      </c>
      <c r="BJ26" s="994">
        <v>494.22985184000004</v>
      </c>
      <c r="BK26" s="994">
        <v>489.79199094000006</v>
      </c>
      <c r="BL26" s="994">
        <v>452.99402841000006</v>
      </c>
      <c r="BM26" s="994">
        <v>537.57094012000005</v>
      </c>
      <c r="BN26" s="994">
        <v>534.53793527000005</v>
      </c>
      <c r="BO26" s="994">
        <v>587.99181211999996</v>
      </c>
      <c r="BP26" s="994">
        <v>590.63746902000003</v>
      </c>
      <c r="BQ26" s="994">
        <v>591.77296479999995</v>
      </c>
      <c r="BR26" s="994">
        <v>693.25838446999978</v>
      </c>
      <c r="BS26" s="994">
        <v>677.91953533999981</v>
      </c>
      <c r="BT26" s="994">
        <v>660.00044794999997</v>
      </c>
      <c r="BU26" s="994">
        <v>672.35422167999991</v>
      </c>
      <c r="BV26" s="994">
        <v>660.24818001999984</v>
      </c>
      <c r="BW26" s="994">
        <v>648.64652847000013</v>
      </c>
      <c r="BX26" s="994">
        <v>637.92687436000006</v>
      </c>
      <c r="BY26" s="994">
        <v>622.84359810000001</v>
      </c>
      <c r="BZ26" s="994">
        <v>636.73776219000001</v>
      </c>
      <c r="CA26" s="994">
        <v>684.15670564999982</v>
      </c>
      <c r="CB26" s="994">
        <v>673.63405355000032</v>
      </c>
      <c r="CC26" s="994">
        <v>672.15782998999998</v>
      </c>
      <c r="CD26" s="994">
        <v>692.66867547000004</v>
      </c>
      <c r="CE26" s="994">
        <f t="shared" ref="CE26:CP26" si="9">+CE24-CE25</f>
        <v>680.38480054000013</v>
      </c>
      <c r="CF26" s="994">
        <f t="shared" si="9"/>
        <v>737.8632771</v>
      </c>
      <c r="CG26" s="994">
        <f t="shared" si="9"/>
        <v>789.36512236999999</v>
      </c>
      <c r="CH26" s="994">
        <f t="shared" si="9"/>
        <v>791.46421035000003</v>
      </c>
      <c r="CI26" s="994">
        <f t="shared" si="9"/>
        <v>779.25306248999993</v>
      </c>
      <c r="CJ26" s="994">
        <f t="shared" si="9"/>
        <v>770.25113664000014</v>
      </c>
      <c r="CK26" s="994">
        <f t="shared" si="9"/>
        <v>708.98333342000001</v>
      </c>
      <c r="CL26" s="994">
        <f t="shared" si="9"/>
        <v>667.90385166999988</v>
      </c>
      <c r="CM26" s="994">
        <f t="shared" si="9"/>
        <v>641.36857664000013</v>
      </c>
      <c r="CN26" s="994">
        <f t="shared" si="9"/>
        <v>641.52640933999987</v>
      </c>
      <c r="CO26" s="994">
        <f t="shared" si="9"/>
        <v>630.46665340000004</v>
      </c>
      <c r="CP26" s="994">
        <f t="shared" si="9"/>
        <v>625.51543676999995</v>
      </c>
      <c r="CQ26" s="994">
        <f>+CQ24-CQ25</f>
        <v>609.25632681000002</v>
      </c>
      <c r="CR26" s="994">
        <f>+CR24-CR25</f>
        <v>587.53837577000002</v>
      </c>
      <c r="CS26" s="994">
        <v>597.19673122999995</v>
      </c>
      <c r="CT26" s="994">
        <v>583.33950364999998</v>
      </c>
      <c r="CU26" s="994">
        <v>619.25375694000002</v>
      </c>
      <c r="CV26" s="994">
        <v>611.69040928000004</v>
      </c>
      <c r="CW26" s="994">
        <v>628.48662194999997</v>
      </c>
      <c r="CX26" s="994">
        <v>614.81912703</v>
      </c>
      <c r="CY26" s="994">
        <v>591.60135926999999</v>
      </c>
      <c r="CZ26" s="994">
        <v>530.32241179000005</v>
      </c>
      <c r="DA26" s="994">
        <v>524.17820911000001</v>
      </c>
      <c r="DB26" s="994">
        <v>528.12315372</v>
      </c>
      <c r="DC26" s="994">
        <v>524.46982518000004</v>
      </c>
      <c r="DD26" s="1065">
        <v>524.44224512000005</v>
      </c>
      <c r="DE26" s="1065">
        <v>522.90909404000001</v>
      </c>
      <c r="DF26" s="1065">
        <v>538.79648250000002</v>
      </c>
      <c r="DG26" s="1017">
        <v>531.74122288000001</v>
      </c>
      <c r="DH26" s="1017">
        <v>535.44342368000002</v>
      </c>
      <c r="DI26" s="1017">
        <v>536.29927378000002</v>
      </c>
      <c r="DJ26" s="1017">
        <v>536.87992191000001</v>
      </c>
      <c r="DK26" s="1017">
        <v>530.23802947000001</v>
      </c>
      <c r="DL26" s="1017">
        <v>527.45099470000002</v>
      </c>
      <c r="DM26" s="1017">
        <v>523.45191889</v>
      </c>
      <c r="DN26" s="1017">
        <v>550.11887190000004</v>
      </c>
      <c r="DO26" s="1017">
        <v>554.44795972999998</v>
      </c>
      <c r="DP26" s="1017">
        <v>554.23935559999995</v>
      </c>
      <c r="DQ26" s="1017">
        <v>603.36453487999995</v>
      </c>
      <c r="DR26" s="1017">
        <v>598.56310674999997</v>
      </c>
      <c r="DS26" s="1017">
        <v>596.03220705000001</v>
      </c>
      <c r="DT26" s="1017">
        <v>624.98449163999999</v>
      </c>
      <c r="DU26" s="1017">
        <v>636.73153020999996</v>
      </c>
      <c r="DV26" s="1017">
        <v>678.22034743999995</v>
      </c>
      <c r="DW26" s="1017">
        <v>872.88896890000001</v>
      </c>
      <c r="DX26" s="1017">
        <v>860.40027462</v>
      </c>
      <c r="DY26" s="1017">
        <v>873.87833624999996</v>
      </c>
      <c r="DZ26" s="1017">
        <v>913.54478596000001</v>
      </c>
      <c r="EA26" s="1017">
        <v>910.44053312000005</v>
      </c>
      <c r="EB26" s="1017">
        <v>901.82325443000002</v>
      </c>
      <c r="EC26" s="1017">
        <v>1002.28827319</v>
      </c>
      <c r="ED26" s="1017">
        <v>984.29259245000003</v>
      </c>
      <c r="EE26" s="1017">
        <v>1050.88423706</v>
      </c>
      <c r="EK26" s="400"/>
    </row>
    <row r="27" spans="1:141" ht="19.8">
      <c r="A27" s="977"/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1005"/>
      <c r="BI27" s="994"/>
      <c r="BJ27" s="994"/>
      <c r="BK27" s="994"/>
      <c r="BL27" s="994"/>
      <c r="BM27" s="994"/>
      <c r="BN27" s="994"/>
      <c r="BO27" s="994"/>
      <c r="BP27" s="994"/>
      <c r="BQ27" s="994"/>
      <c r="BR27" s="994"/>
      <c r="BS27" s="994"/>
      <c r="BT27" s="994"/>
      <c r="BU27" s="994"/>
      <c r="BV27" s="994"/>
      <c r="BW27" s="994"/>
      <c r="BX27" s="994"/>
      <c r="BY27" s="994"/>
      <c r="BZ27" s="994"/>
      <c r="CA27" s="994"/>
      <c r="CB27" s="994"/>
      <c r="CC27" s="994"/>
      <c r="CD27" s="994"/>
      <c r="CE27" s="994"/>
      <c r="CF27" s="994"/>
      <c r="CG27" s="994"/>
      <c r="CH27" s="994"/>
      <c r="CI27" s="994"/>
      <c r="CJ27" s="994"/>
      <c r="CK27" s="994"/>
      <c r="CL27" s="994"/>
      <c r="CM27" s="994"/>
      <c r="CN27" s="994"/>
      <c r="CO27" s="994"/>
      <c r="CP27" s="994"/>
      <c r="CQ27" s="994"/>
      <c r="CR27" s="994"/>
      <c r="CS27" s="994"/>
      <c r="CT27" s="994"/>
      <c r="CU27" s="994"/>
      <c r="CV27" s="994"/>
      <c r="CW27" s="994"/>
      <c r="CX27" s="994"/>
      <c r="CY27" s="994"/>
      <c r="CZ27" s="994"/>
      <c r="DA27" s="994"/>
      <c r="DB27" s="994"/>
      <c r="DC27" s="994"/>
      <c r="DD27" s="1065"/>
      <c r="DE27" s="1065"/>
      <c r="DF27" s="1065"/>
      <c r="DG27" s="1017"/>
      <c r="DH27" s="1017"/>
      <c r="DI27" s="1017"/>
      <c r="DJ27" s="1017"/>
      <c r="DK27" s="1017"/>
      <c r="DL27" s="1017"/>
      <c r="DM27" s="1017"/>
      <c r="DN27" s="1017"/>
      <c r="DO27" s="1017"/>
      <c r="DP27" s="1017"/>
      <c r="DQ27" s="1017"/>
      <c r="DR27" s="1017"/>
      <c r="DS27" s="1017"/>
      <c r="DT27" s="1017"/>
      <c r="DU27" s="1017"/>
      <c r="DV27" s="1017"/>
      <c r="DW27" s="1017"/>
      <c r="DX27" s="1017"/>
      <c r="DY27" s="1017"/>
      <c r="DZ27" s="1017"/>
      <c r="EA27" s="1017"/>
      <c r="EB27" s="1017"/>
      <c r="EC27" s="1017"/>
      <c r="ED27" s="1017"/>
      <c r="EE27" s="1017"/>
      <c r="EK27" s="400"/>
    </row>
    <row r="28" spans="1:141" ht="19.8">
      <c r="A28" s="1513" t="s">
        <v>189</v>
      </c>
      <c r="B28" s="949">
        <v>54.579735669999998</v>
      </c>
      <c r="C28" s="949">
        <v>69.33917627000001</v>
      </c>
      <c r="D28" s="949">
        <v>69.029160559999994</v>
      </c>
      <c r="E28" s="949">
        <v>74.506363210000004</v>
      </c>
      <c r="F28" s="949">
        <v>71.083963139999994</v>
      </c>
      <c r="G28" s="949">
        <v>75.744314860000003</v>
      </c>
      <c r="H28" s="949">
        <v>76.257813840000011</v>
      </c>
      <c r="I28" s="949">
        <v>69.148299819999991</v>
      </c>
      <c r="J28" s="949">
        <v>96.122311859999996</v>
      </c>
      <c r="K28" s="949">
        <v>91.791905679999999</v>
      </c>
      <c r="L28" s="949">
        <v>90.699055580000007</v>
      </c>
      <c r="M28" s="946">
        <v>91.020919899999996</v>
      </c>
      <c r="N28" s="950">
        <v>89.033079549999997</v>
      </c>
      <c r="O28" s="950">
        <v>92.014217079999995</v>
      </c>
      <c r="P28" s="950">
        <v>91.748293289999992</v>
      </c>
      <c r="Q28" s="950">
        <v>90.787522409999994</v>
      </c>
      <c r="R28" s="950">
        <v>116.5738198</v>
      </c>
      <c r="S28" s="950">
        <v>116.48098275</v>
      </c>
      <c r="T28" s="950">
        <v>112.60505630999999</v>
      </c>
      <c r="U28" s="950">
        <v>111.23805409000001</v>
      </c>
      <c r="V28" s="950">
        <v>129.19321355000002</v>
      </c>
      <c r="W28" s="950">
        <v>128.63914389000001</v>
      </c>
      <c r="X28" s="950">
        <v>129.95573985999999</v>
      </c>
      <c r="Y28" s="946">
        <v>125.38866665</v>
      </c>
      <c r="Z28" s="950">
        <v>120.03161571999999</v>
      </c>
      <c r="AA28" s="950">
        <v>110.47394776</v>
      </c>
      <c r="AB28" s="946">
        <v>126.58986424999999</v>
      </c>
      <c r="AC28" s="946">
        <v>135.18260753999999</v>
      </c>
      <c r="AD28" s="946">
        <v>141.32127122999998</v>
      </c>
      <c r="AE28" s="946">
        <v>139.26238463999999</v>
      </c>
      <c r="AF28" s="946">
        <v>139.63278694000002</v>
      </c>
      <c r="AG28" s="946">
        <v>139.51124135999999</v>
      </c>
      <c r="AH28" s="946">
        <v>155.12902419</v>
      </c>
      <c r="AI28" s="946">
        <v>164.71345902999997</v>
      </c>
      <c r="AJ28" s="946">
        <v>162.23065593000001</v>
      </c>
      <c r="AK28" s="946">
        <v>156.0731145</v>
      </c>
      <c r="AL28" s="946">
        <v>157.28777199999999</v>
      </c>
      <c r="AM28" s="946">
        <v>154.21317875000003</v>
      </c>
      <c r="AN28" s="946">
        <v>155.11263038999999</v>
      </c>
      <c r="AO28" s="946">
        <v>149.88064306000001</v>
      </c>
      <c r="AP28" s="946">
        <v>149.82252937999999</v>
      </c>
      <c r="AQ28" s="946">
        <v>150.1319824</v>
      </c>
      <c r="AR28" s="946">
        <v>123.36238168999999</v>
      </c>
      <c r="AS28" s="946">
        <v>136.37647343</v>
      </c>
      <c r="AT28" s="946">
        <v>138.65784348</v>
      </c>
      <c r="AU28" s="946">
        <v>142.55825396</v>
      </c>
      <c r="AV28" s="946">
        <v>141.26464788999999</v>
      </c>
      <c r="AW28" s="946">
        <v>130.00025671</v>
      </c>
      <c r="AX28" s="946">
        <v>129.83041173999999</v>
      </c>
      <c r="AY28" s="946">
        <v>128.82778895999999</v>
      </c>
      <c r="AZ28" s="946">
        <v>127.65305033999999</v>
      </c>
      <c r="BA28" s="946">
        <v>123.46714177000001</v>
      </c>
      <c r="BB28" s="946">
        <v>114.34349172</v>
      </c>
      <c r="BC28" s="946">
        <v>116.38297179</v>
      </c>
      <c r="BD28" s="946">
        <v>118.04581011000001</v>
      </c>
      <c r="BE28" s="946">
        <v>125.70209693999999</v>
      </c>
      <c r="BF28" s="946">
        <v>122.73073832</v>
      </c>
      <c r="BG28" s="946">
        <v>122.98893609999999</v>
      </c>
      <c r="BH28" s="1004">
        <v>120.74347581000001</v>
      </c>
      <c r="BI28" s="993">
        <v>118.32390330999999</v>
      </c>
      <c r="BJ28" s="993">
        <v>120.11415145999999</v>
      </c>
      <c r="BK28" s="993">
        <v>118.79139753999999</v>
      </c>
      <c r="BL28" s="993">
        <v>109.07768242</v>
      </c>
      <c r="BM28" s="993">
        <v>113.2495911</v>
      </c>
      <c r="BN28" s="993">
        <v>112.72998847999999</v>
      </c>
      <c r="BO28" s="993">
        <v>111.67199954</v>
      </c>
      <c r="BP28" s="993">
        <v>113.10348077</v>
      </c>
      <c r="BQ28" s="993">
        <v>111.68904791</v>
      </c>
      <c r="BR28" s="993">
        <v>122.41167555</v>
      </c>
      <c r="BS28" s="993">
        <v>120.73675756</v>
      </c>
      <c r="BT28" s="993">
        <v>114.34577662999999</v>
      </c>
      <c r="BU28" s="993">
        <v>141.35949453000001</v>
      </c>
      <c r="BV28" s="993">
        <v>144.05318571000001</v>
      </c>
      <c r="BW28" s="993">
        <v>147.49309384999998</v>
      </c>
      <c r="BX28" s="993">
        <v>156.23492493000001</v>
      </c>
      <c r="BY28" s="993">
        <v>159.70283215000003</v>
      </c>
      <c r="BZ28" s="993">
        <v>162.13565007000003</v>
      </c>
      <c r="CA28" s="993">
        <v>163.68834538000002</v>
      </c>
      <c r="CB28" s="993">
        <v>164.17042437000003</v>
      </c>
      <c r="CC28" s="993">
        <v>176.53872941999998</v>
      </c>
      <c r="CD28" s="993">
        <v>184.64923761999998</v>
      </c>
      <c r="CE28" s="993">
        <v>192.57085422</v>
      </c>
      <c r="CF28" s="993">
        <v>210.88280302000001</v>
      </c>
      <c r="CG28" s="993">
        <v>209.92705027</v>
      </c>
      <c r="CH28" s="993">
        <v>203.41224586999999</v>
      </c>
      <c r="CI28" s="993">
        <v>208.80949536</v>
      </c>
      <c r="CJ28" s="993">
        <v>211.42529159</v>
      </c>
      <c r="CK28" s="993">
        <v>210.85660525</v>
      </c>
      <c r="CL28" s="993">
        <v>194.03733638</v>
      </c>
      <c r="CM28" s="993">
        <v>194.86150638999999</v>
      </c>
      <c r="CN28" s="993">
        <v>192.01747746999999</v>
      </c>
      <c r="CO28" s="993">
        <v>196.63909949000001</v>
      </c>
      <c r="CP28" s="993">
        <v>206.7177025</v>
      </c>
      <c r="CQ28" s="993">
        <v>223.84971345</v>
      </c>
      <c r="CR28" s="993">
        <v>227.69814098000001</v>
      </c>
      <c r="CS28" s="993">
        <v>239.82627107000002</v>
      </c>
      <c r="CT28" s="993">
        <v>237.92966143999999</v>
      </c>
      <c r="CU28" s="993">
        <v>236.89999594</v>
      </c>
      <c r="CV28" s="993">
        <v>231.938118</v>
      </c>
      <c r="CW28" s="993">
        <v>222.83034469</v>
      </c>
      <c r="CX28" s="993">
        <v>205.62780871000001</v>
      </c>
      <c r="CY28" s="993">
        <v>184.18055935999999</v>
      </c>
      <c r="CZ28" s="993">
        <v>131.13965572999999</v>
      </c>
      <c r="DA28" s="993">
        <v>130.78976012000001</v>
      </c>
      <c r="DB28" s="993">
        <v>133.99027093000001</v>
      </c>
      <c r="DC28" s="993">
        <v>130.14741025000001</v>
      </c>
      <c r="DD28" s="1064">
        <v>136.43962805999999</v>
      </c>
      <c r="DE28" s="1064">
        <v>138.68979074999999</v>
      </c>
      <c r="DF28" s="1064">
        <v>137.24838402</v>
      </c>
      <c r="DG28" s="1016">
        <v>134.68413079999999</v>
      </c>
      <c r="DH28" s="1016">
        <v>131.02408466</v>
      </c>
      <c r="DI28" s="1016">
        <v>140.74170946000001</v>
      </c>
      <c r="DJ28" s="1016">
        <v>149.61299489000001</v>
      </c>
      <c r="DK28" s="1016">
        <v>144.72475363000001</v>
      </c>
      <c r="DL28" s="1016">
        <v>146.38947114000001</v>
      </c>
      <c r="DM28" s="1016">
        <v>145.12217507</v>
      </c>
      <c r="DN28" s="1016">
        <v>171.43057830000001</v>
      </c>
      <c r="DO28" s="1016">
        <v>178.66565431999999</v>
      </c>
      <c r="DP28" s="1016">
        <v>241.67752013</v>
      </c>
      <c r="DQ28" s="1016">
        <v>273.21182666999999</v>
      </c>
      <c r="DR28" s="1016">
        <v>271.42953984000002</v>
      </c>
      <c r="DS28" s="1016">
        <v>265.52348125999998</v>
      </c>
      <c r="DT28" s="1016">
        <v>258.28489223000003</v>
      </c>
      <c r="DU28" s="1016">
        <v>270.53019850999999</v>
      </c>
      <c r="DV28" s="1016">
        <v>313.81745827999998</v>
      </c>
      <c r="DW28" s="1016">
        <v>340.51378468000001</v>
      </c>
      <c r="DX28" s="1016">
        <v>334.0196262</v>
      </c>
      <c r="DY28" s="1016">
        <v>352.18050068999997</v>
      </c>
      <c r="DZ28" s="1016">
        <v>335.53768357000001</v>
      </c>
      <c r="EA28" s="1016">
        <v>343.25213382999999</v>
      </c>
      <c r="EB28" s="1016">
        <v>335.36562896999999</v>
      </c>
      <c r="EC28" s="1016">
        <v>405.63607449</v>
      </c>
      <c r="ED28" s="1016">
        <v>380.94517313</v>
      </c>
      <c r="EE28" s="1016">
        <v>441.42464043000001</v>
      </c>
      <c r="EK28" s="400"/>
    </row>
    <row r="29" spans="1:141" ht="19.8">
      <c r="A29" s="1514" t="s">
        <v>2001</v>
      </c>
      <c r="B29" s="949">
        <v>4.2081070499999997</v>
      </c>
      <c r="C29" s="949">
        <v>3.3317856400000001</v>
      </c>
      <c r="D29" s="949">
        <v>3.0468360699999999</v>
      </c>
      <c r="E29" s="949">
        <v>8.4850783500000002</v>
      </c>
      <c r="F29" s="949">
        <v>5.6692686999999999</v>
      </c>
      <c r="G29" s="949">
        <v>2.91191019</v>
      </c>
      <c r="H29" s="949">
        <v>3.9797357999999998</v>
      </c>
      <c r="I29" s="949">
        <v>3.8250740299999997</v>
      </c>
      <c r="J29" s="949">
        <v>4.8384773399999998</v>
      </c>
      <c r="K29" s="949">
        <v>4.2258094699999997</v>
      </c>
      <c r="L29" s="949">
        <v>4.0564604900000001</v>
      </c>
      <c r="M29" s="950">
        <v>4.3645521699999996</v>
      </c>
      <c r="N29" s="950">
        <v>3.4751196499999999</v>
      </c>
      <c r="O29" s="950">
        <v>5.5377424699999995</v>
      </c>
      <c r="P29" s="950">
        <v>7.65817149</v>
      </c>
      <c r="Q29" s="950">
        <v>9.6514377100000015</v>
      </c>
      <c r="R29" s="950">
        <v>12.451997039999998</v>
      </c>
      <c r="S29" s="950">
        <v>13.90583097</v>
      </c>
      <c r="T29" s="950">
        <v>12.78115509</v>
      </c>
      <c r="U29" s="950">
        <v>12.57961836</v>
      </c>
      <c r="V29" s="950">
        <v>12.971486430000001</v>
      </c>
      <c r="W29" s="950">
        <v>14.355452439999999</v>
      </c>
      <c r="X29" s="950">
        <v>17.71668773</v>
      </c>
      <c r="Y29" s="950">
        <v>16.54369432</v>
      </c>
      <c r="Z29" s="950">
        <v>17.24451131</v>
      </c>
      <c r="AA29" s="950">
        <v>11.537160929999999</v>
      </c>
      <c r="AB29" s="950">
        <v>25.758821949999998</v>
      </c>
      <c r="AC29" s="950">
        <v>32.488919979999999</v>
      </c>
      <c r="AD29" s="950">
        <v>40.594764740000002</v>
      </c>
      <c r="AE29" s="950">
        <v>39.600233450000005</v>
      </c>
      <c r="AF29" s="950">
        <v>34.142628600000002</v>
      </c>
      <c r="AG29" s="950">
        <v>33.905948619999997</v>
      </c>
      <c r="AH29" s="950">
        <v>36.958805950000006</v>
      </c>
      <c r="AI29" s="950">
        <v>27.339194859999999</v>
      </c>
      <c r="AJ29" s="950">
        <v>27.248353309999999</v>
      </c>
      <c r="AK29" s="950">
        <v>25.360703530000002</v>
      </c>
      <c r="AL29" s="950">
        <v>24.981416109999998</v>
      </c>
      <c r="AM29" s="950">
        <v>23.385746960000002</v>
      </c>
      <c r="AN29" s="950">
        <v>33.070161820000003</v>
      </c>
      <c r="AO29" s="950">
        <v>29.233504249999999</v>
      </c>
      <c r="AP29" s="950">
        <v>27.491419029999999</v>
      </c>
      <c r="AQ29" s="950">
        <v>28.093825450000001</v>
      </c>
      <c r="AR29" s="950">
        <v>27.179712089999999</v>
      </c>
      <c r="AS29" s="950">
        <v>37.389720619999999</v>
      </c>
      <c r="AT29" s="950">
        <v>41.26929715</v>
      </c>
      <c r="AU29" s="950">
        <v>38.667152170000001</v>
      </c>
      <c r="AV29" s="950">
        <v>38.577371110000001</v>
      </c>
      <c r="AW29" s="950">
        <v>27.73662848</v>
      </c>
      <c r="AX29" s="950">
        <v>28.057330820000001</v>
      </c>
      <c r="AY29" s="950">
        <v>27.97651106</v>
      </c>
      <c r="AZ29" s="950">
        <v>27.895338489999997</v>
      </c>
      <c r="BA29" s="950">
        <v>27.81373537</v>
      </c>
      <c r="BB29" s="950">
        <v>19.95235263</v>
      </c>
      <c r="BC29" s="950">
        <v>22.868232589999998</v>
      </c>
      <c r="BD29" s="950">
        <v>24.784832480000002</v>
      </c>
      <c r="BE29" s="950">
        <v>31.699084370000001</v>
      </c>
      <c r="BF29" s="950">
        <v>29.29493166</v>
      </c>
      <c r="BG29" s="950">
        <v>29.637500579999998</v>
      </c>
      <c r="BH29" s="1005">
        <v>28.44717769</v>
      </c>
      <c r="BI29" s="994">
        <v>26.360021920000001</v>
      </c>
      <c r="BJ29" s="994">
        <v>26.27198125</v>
      </c>
      <c r="BK29" s="994">
        <v>28.183458719999997</v>
      </c>
      <c r="BL29" s="994">
        <v>19.102615950000001</v>
      </c>
      <c r="BM29" s="994">
        <v>24.019858460000002</v>
      </c>
      <c r="BN29" s="994">
        <v>112.72998847999999</v>
      </c>
      <c r="BO29" s="994">
        <v>23.254532820000001</v>
      </c>
      <c r="BP29" s="994">
        <v>25.12911823</v>
      </c>
      <c r="BQ29" s="994">
        <v>23.855006399999997</v>
      </c>
      <c r="BR29" s="994">
        <v>23.395638440000003</v>
      </c>
      <c r="BS29" s="994">
        <v>23.194389409999999</v>
      </c>
      <c r="BT29" s="994">
        <v>22.990495469999999</v>
      </c>
      <c r="BU29" s="994">
        <v>24.175783930000001</v>
      </c>
      <c r="BV29" s="994">
        <v>25.942002800000001</v>
      </c>
      <c r="BW29" s="994">
        <v>25.730733749999999</v>
      </c>
      <c r="BX29" s="994">
        <v>25.51694655</v>
      </c>
      <c r="BY29" s="994">
        <v>20.300611190000001</v>
      </c>
      <c r="BZ29" s="994">
        <v>20.081696699999998</v>
      </c>
      <c r="CA29" s="994">
        <v>19.928878609999998</v>
      </c>
      <c r="CB29" s="994">
        <v>17.746982760000002</v>
      </c>
      <c r="CC29" s="994">
        <v>17.590229570000002</v>
      </c>
      <c r="CD29" s="994">
        <v>17.43142164</v>
      </c>
      <c r="CE29" s="994">
        <v>25.270582109999999</v>
      </c>
      <c r="CF29" s="994">
        <v>25.697835300000001</v>
      </c>
      <c r="CG29" s="994">
        <v>27.532905299999999</v>
      </c>
      <c r="CH29" s="994">
        <v>17.36594298</v>
      </c>
      <c r="CI29" s="994">
        <v>23.776717250000001</v>
      </c>
      <c r="CJ29" s="994">
        <v>32.635751219999996</v>
      </c>
      <c r="CK29" s="994">
        <v>32.493023289999996</v>
      </c>
      <c r="CL29" s="994">
        <v>31.22451126</v>
      </c>
      <c r="CM29" s="994">
        <v>32.202192629999999</v>
      </c>
      <c r="CN29" s="994">
        <v>30.054045200000001</v>
      </c>
      <c r="CO29" s="994">
        <v>26.294045870000001</v>
      </c>
      <c r="CP29" s="994">
        <v>26.12271647</v>
      </c>
      <c r="CQ29" s="994">
        <v>25.949245480000002</v>
      </c>
      <c r="CR29" s="994">
        <v>26.070623770000001</v>
      </c>
      <c r="CS29" s="994">
        <v>25.850357760000001</v>
      </c>
      <c r="CT29" s="994">
        <v>25.627868920000001</v>
      </c>
      <c r="CU29" s="994">
        <v>25.403129209999999</v>
      </c>
      <c r="CV29" s="994">
        <v>25.206110819999999</v>
      </c>
      <c r="CW29" s="994">
        <v>24.97577416</v>
      </c>
      <c r="CX29" s="994">
        <v>24.743051699999999</v>
      </c>
      <c r="CY29" s="994">
        <v>24.507962330000002</v>
      </c>
      <c r="CZ29" s="994">
        <v>24.312906269999999</v>
      </c>
      <c r="DA29" s="994">
        <v>24.289490659999998</v>
      </c>
      <c r="DB29" s="994">
        <v>24.457218210000001</v>
      </c>
      <c r="DC29" s="994">
        <v>24.43348722</v>
      </c>
      <c r="DD29" s="1065">
        <v>24.40942952</v>
      </c>
      <c r="DE29" s="1065">
        <v>24.585067080000002</v>
      </c>
      <c r="DF29" s="1065">
        <v>24.580410390000001</v>
      </c>
      <c r="DG29" s="1017">
        <v>24.59542712</v>
      </c>
      <c r="DH29" s="1017">
        <v>24.594463439999998</v>
      </c>
      <c r="DI29" s="1017">
        <v>24.587169620000001</v>
      </c>
      <c r="DJ29" s="1017">
        <v>24.55976063</v>
      </c>
      <c r="DK29" s="1017">
        <v>24.552293550000002</v>
      </c>
      <c r="DL29" s="1017">
        <v>24.538782699999999</v>
      </c>
      <c r="DM29" s="1017">
        <v>24.525401160000001</v>
      </c>
      <c r="DN29" s="1017">
        <v>24.793331299999998</v>
      </c>
      <c r="DO29" s="1017">
        <v>24.791833019999999</v>
      </c>
      <c r="DP29" s="1017">
        <v>24.771171509999999</v>
      </c>
      <c r="DQ29" s="1017">
        <v>24.756793099999999</v>
      </c>
      <c r="DR29" s="1017">
        <v>24.754133020000001</v>
      </c>
      <c r="DS29" s="1017">
        <v>24.733762670000001</v>
      </c>
      <c r="DT29" s="1017">
        <v>24.712897689999998</v>
      </c>
      <c r="DU29" s="1017">
        <v>24.691406019999999</v>
      </c>
      <c r="DV29" s="1017">
        <v>24.669929740000001</v>
      </c>
      <c r="DW29" s="1017">
        <v>24.691539349999999</v>
      </c>
      <c r="DX29" s="1017">
        <v>24.65570958</v>
      </c>
      <c r="DY29" s="1017">
        <v>24.63295544</v>
      </c>
      <c r="DZ29" s="1017">
        <v>0.48463256999999998</v>
      </c>
      <c r="EA29" s="1017">
        <v>0.46122268999999999</v>
      </c>
      <c r="EB29" s="1017">
        <v>0.43769405</v>
      </c>
      <c r="EC29" s="1017">
        <v>0.41342911999999998</v>
      </c>
      <c r="ED29" s="1017">
        <v>0.38933377000000002</v>
      </c>
      <c r="EE29" s="1017">
        <v>0.38553920000000003</v>
      </c>
      <c r="EK29" s="400"/>
    </row>
    <row r="30" spans="1:141" ht="19.8">
      <c r="A30" s="1515" t="s">
        <v>2002</v>
      </c>
      <c r="B30" s="945">
        <f>+B28-B29</f>
        <v>50.371628619999996</v>
      </c>
      <c r="C30" s="945">
        <f t="shared" ref="C30:V30" si="10">+C28-C29</f>
        <v>66.007390630000003</v>
      </c>
      <c r="D30" s="945">
        <f t="shared" si="10"/>
        <v>65.982324489999996</v>
      </c>
      <c r="E30" s="945">
        <f t="shared" si="10"/>
        <v>66.021284860000009</v>
      </c>
      <c r="F30" s="945">
        <f t="shared" si="10"/>
        <v>65.414694439999991</v>
      </c>
      <c r="G30" s="945">
        <f t="shared" si="10"/>
        <v>72.832404670000003</v>
      </c>
      <c r="H30" s="945">
        <f t="shared" si="10"/>
        <v>72.278078040000011</v>
      </c>
      <c r="I30" s="945">
        <f t="shared" si="10"/>
        <v>65.323225789999995</v>
      </c>
      <c r="J30" s="945">
        <f t="shared" si="10"/>
        <v>91.283834519999999</v>
      </c>
      <c r="K30" s="945">
        <f t="shared" si="10"/>
        <v>87.566096209999998</v>
      </c>
      <c r="L30" s="945">
        <f t="shared" si="10"/>
        <v>86.64259509</v>
      </c>
      <c r="M30" s="950">
        <f t="shared" si="10"/>
        <v>86.656367729999999</v>
      </c>
      <c r="N30" s="946">
        <f t="shared" si="10"/>
        <v>85.5579599</v>
      </c>
      <c r="O30" s="946">
        <f t="shared" si="10"/>
        <v>86.476474609999997</v>
      </c>
      <c r="P30" s="946">
        <f t="shared" si="10"/>
        <v>84.090121799999991</v>
      </c>
      <c r="Q30" s="946">
        <f t="shared" si="10"/>
        <v>81.136084699999998</v>
      </c>
      <c r="R30" s="946">
        <f t="shared" si="10"/>
        <v>104.12182276</v>
      </c>
      <c r="S30" s="946">
        <f t="shared" si="10"/>
        <v>102.57515178</v>
      </c>
      <c r="T30" s="946">
        <f t="shared" si="10"/>
        <v>99.823901219999996</v>
      </c>
      <c r="U30" s="946">
        <f t="shared" si="10"/>
        <v>98.658435730000008</v>
      </c>
      <c r="V30" s="946">
        <f t="shared" si="10"/>
        <v>116.22172712000003</v>
      </c>
      <c r="W30" s="946">
        <v>114.28369145000002</v>
      </c>
      <c r="X30" s="946">
        <v>112.23905212999999</v>
      </c>
      <c r="Y30" s="950">
        <v>108.84497233</v>
      </c>
      <c r="Z30" s="946">
        <v>102.78710440999998</v>
      </c>
      <c r="AA30" s="946">
        <v>98.936786830000003</v>
      </c>
      <c r="AB30" s="950">
        <f>+AB28-AB29</f>
        <v>100.83104229999999</v>
      </c>
      <c r="AC30" s="950">
        <v>102.69368756</v>
      </c>
      <c r="AD30" s="950">
        <v>100.72650648999998</v>
      </c>
      <c r="AE30" s="950">
        <v>99.662151189999989</v>
      </c>
      <c r="AF30" s="950">
        <v>105.49015834000002</v>
      </c>
      <c r="AG30" s="950">
        <v>105.60529273999998</v>
      </c>
      <c r="AH30" s="950">
        <f>+AH28-AH29</f>
        <v>118.17021824</v>
      </c>
      <c r="AI30" s="950">
        <v>137.37426416999998</v>
      </c>
      <c r="AJ30" s="950">
        <f>+AJ28-AJ29</f>
        <v>134.98230262000001</v>
      </c>
      <c r="AK30" s="950">
        <f>+AK28-AK29</f>
        <v>130.71241097000001</v>
      </c>
      <c r="AL30" s="950">
        <v>132.30635588999999</v>
      </c>
      <c r="AM30" s="950">
        <f>+AM28-AM29</f>
        <v>130.82743179000002</v>
      </c>
      <c r="AN30" s="950">
        <f>+AN28-AN29</f>
        <v>122.04246856999998</v>
      </c>
      <c r="AO30" s="950">
        <f>+AO28-AO29</f>
        <v>120.64713881000002</v>
      </c>
      <c r="AP30" s="950">
        <f>+AP28-AP29</f>
        <v>122.33111034999999</v>
      </c>
      <c r="AQ30" s="950">
        <v>122.03815695</v>
      </c>
      <c r="AR30" s="950">
        <f>+AR28-AR29</f>
        <v>96.182669599999997</v>
      </c>
      <c r="AS30" s="950">
        <v>98.986752810000013</v>
      </c>
      <c r="AT30" s="950">
        <f>+AT28-AT29</f>
        <v>97.388546329999997</v>
      </c>
      <c r="AU30" s="950">
        <v>103.89110178999999</v>
      </c>
      <c r="AV30" s="950">
        <v>102.68727677999999</v>
      </c>
      <c r="AW30" s="950">
        <v>102.26362822999999</v>
      </c>
      <c r="AX30" s="950">
        <v>101.77308091999998</v>
      </c>
      <c r="AY30" s="950">
        <v>100.85127789999999</v>
      </c>
      <c r="AZ30" s="950">
        <v>99.757711849999993</v>
      </c>
      <c r="BA30" s="950">
        <v>95.653406400000009</v>
      </c>
      <c r="BB30" s="950">
        <v>94.391139089999996</v>
      </c>
      <c r="BC30" s="950">
        <v>93.514739200000008</v>
      </c>
      <c r="BD30" s="950">
        <f>+BD28-BD29</f>
        <v>93.260977629999999</v>
      </c>
      <c r="BE30" s="950">
        <v>94.003012569999981</v>
      </c>
      <c r="BF30" s="950">
        <v>93.435806659999997</v>
      </c>
      <c r="BG30" s="950">
        <v>93.351435519999995</v>
      </c>
      <c r="BH30" s="1005">
        <v>92.296298120000003</v>
      </c>
      <c r="BI30" s="994">
        <v>91.963881389999983</v>
      </c>
      <c r="BJ30" s="994">
        <v>93.842170209999992</v>
      </c>
      <c r="BK30" s="994">
        <v>90.607938819999987</v>
      </c>
      <c r="BL30" s="994">
        <v>89.975066470000002</v>
      </c>
      <c r="BM30" s="994">
        <v>89.229732640000009</v>
      </c>
      <c r="BN30" s="994">
        <v>0</v>
      </c>
      <c r="BO30" s="994">
        <v>88.417466719999993</v>
      </c>
      <c r="BP30" s="994">
        <v>87.974362540000001</v>
      </c>
      <c r="BQ30" s="994">
        <v>87.834041510000006</v>
      </c>
      <c r="BR30" s="994">
        <v>99.016037109999999</v>
      </c>
      <c r="BS30" s="994">
        <v>97.542368150000001</v>
      </c>
      <c r="BT30" s="994">
        <v>91.35528115999999</v>
      </c>
      <c r="BU30" s="994">
        <v>117.18371060000001</v>
      </c>
      <c r="BV30" s="994">
        <v>118.11118291000001</v>
      </c>
      <c r="BW30" s="994">
        <v>121.76236009999998</v>
      </c>
      <c r="BX30" s="994">
        <v>130.71797838000001</v>
      </c>
      <c r="BY30" s="994">
        <v>139.40222096000002</v>
      </c>
      <c r="BZ30" s="994">
        <v>142.05395337000002</v>
      </c>
      <c r="CA30" s="994">
        <v>143.75946677000002</v>
      </c>
      <c r="CB30" s="994">
        <v>146.42344161000003</v>
      </c>
      <c r="CC30" s="994">
        <v>158.94849984999999</v>
      </c>
      <c r="CD30" s="994">
        <v>167.21781597999998</v>
      </c>
      <c r="CE30" s="994">
        <f t="shared" ref="CE30:CP30" si="11">+CE28-CE29</f>
        <v>167.30027211000001</v>
      </c>
      <c r="CF30" s="994">
        <f t="shared" si="11"/>
        <v>185.18496772</v>
      </c>
      <c r="CG30" s="994">
        <f t="shared" si="11"/>
        <v>182.39414496999999</v>
      </c>
      <c r="CH30" s="994">
        <f t="shared" si="11"/>
        <v>186.04630288999999</v>
      </c>
      <c r="CI30" s="994">
        <f t="shared" si="11"/>
        <v>185.03277811000001</v>
      </c>
      <c r="CJ30" s="994">
        <f t="shared" si="11"/>
        <v>178.78954037</v>
      </c>
      <c r="CK30" s="994">
        <f t="shared" si="11"/>
        <v>178.36358196</v>
      </c>
      <c r="CL30" s="994">
        <f t="shared" si="11"/>
        <v>162.81282512000001</v>
      </c>
      <c r="CM30" s="994">
        <f t="shared" si="11"/>
        <v>162.65931375999997</v>
      </c>
      <c r="CN30" s="994">
        <f t="shared" si="11"/>
        <v>161.96343227</v>
      </c>
      <c r="CO30" s="994">
        <f t="shared" si="11"/>
        <v>170.34505362000002</v>
      </c>
      <c r="CP30" s="994">
        <f t="shared" si="11"/>
        <v>180.59498603</v>
      </c>
      <c r="CQ30" s="994">
        <f>+CQ28-CQ29</f>
        <v>197.90046796999999</v>
      </c>
      <c r="CR30" s="994">
        <f>+CR28-CR29</f>
        <v>201.62751721000001</v>
      </c>
      <c r="CS30" s="994">
        <v>213.97591331000001</v>
      </c>
      <c r="CT30" s="994">
        <v>212.30179251999999</v>
      </c>
      <c r="CU30" s="994">
        <v>211.49686672999999</v>
      </c>
      <c r="CV30" s="994">
        <v>206.73200718000001</v>
      </c>
      <c r="CW30" s="994">
        <v>197.85457052999999</v>
      </c>
      <c r="CX30" s="994">
        <v>180.88475700999999</v>
      </c>
      <c r="CY30" s="994">
        <v>159.67259702999999</v>
      </c>
      <c r="CZ30" s="994">
        <v>106.82674946</v>
      </c>
      <c r="DA30" s="994">
        <v>106.50026946</v>
      </c>
      <c r="DB30" s="994">
        <v>109.53305272</v>
      </c>
      <c r="DC30" s="994">
        <v>105.71392303</v>
      </c>
      <c r="DD30" s="1065">
        <v>112.03019854</v>
      </c>
      <c r="DE30" s="1065">
        <v>114.10472367</v>
      </c>
      <c r="DF30" s="1065">
        <v>112.66797363000001</v>
      </c>
      <c r="DG30" s="1017">
        <v>110.08870367999999</v>
      </c>
      <c r="DH30" s="1017">
        <v>106.42962122</v>
      </c>
      <c r="DI30" s="1017">
        <v>116.15453984</v>
      </c>
      <c r="DJ30" s="1017">
        <v>125.05323426</v>
      </c>
      <c r="DK30" s="1017">
        <v>120.17246007999999</v>
      </c>
      <c r="DL30" s="1017">
        <v>121.85068844</v>
      </c>
      <c r="DM30" s="1017">
        <v>120.59677391</v>
      </c>
      <c r="DN30" s="1017">
        <v>146.637247</v>
      </c>
      <c r="DO30" s="1017">
        <v>153.8738213</v>
      </c>
      <c r="DP30" s="1017">
        <v>216.90634861999999</v>
      </c>
      <c r="DQ30" s="1017">
        <v>248.45503357000001</v>
      </c>
      <c r="DR30" s="1017">
        <v>246.67540682000001</v>
      </c>
      <c r="DS30" s="1017">
        <v>240.78971859000001</v>
      </c>
      <c r="DT30" s="1017">
        <v>233.57199453999999</v>
      </c>
      <c r="DU30" s="1017">
        <v>245.83879249</v>
      </c>
      <c r="DV30" s="1017">
        <v>289.14752854</v>
      </c>
      <c r="DW30" s="1017">
        <v>315.82224532999999</v>
      </c>
      <c r="DX30" s="1017">
        <v>309.36391662</v>
      </c>
      <c r="DY30" s="1017">
        <v>327.54754524999998</v>
      </c>
      <c r="DZ30" s="1017">
        <v>335.05305099999998</v>
      </c>
      <c r="EA30" s="1017">
        <v>342.79091113999999</v>
      </c>
      <c r="EB30" s="1017">
        <v>334.92793491999998</v>
      </c>
      <c r="EC30" s="1017">
        <v>405.22264537000001</v>
      </c>
      <c r="ED30" s="1017">
        <v>380.55583935999999</v>
      </c>
      <c r="EE30" s="1017">
        <v>441.03910123000003</v>
      </c>
      <c r="EK30" s="400"/>
    </row>
    <row r="31" spans="1:141" ht="19.8">
      <c r="A31" s="1514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1005"/>
      <c r="BI31" s="994"/>
      <c r="BJ31" s="994"/>
      <c r="BK31" s="994"/>
      <c r="BL31" s="994"/>
      <c r="BM31" s="994"/>
      <c r="BN31" s="994"/>
      <c r="BO31" s="994"/>
      <c r="BP31" s="994"/>
      <c r="BQ31" s="994"/>
      <c r="BR31" s="994"/>
      <c r="BS31" s="994"/>
      <c r="BT31" s="994"/>
      <c r="BU31" s="994"/>
      <c r="BV31" s="994"/>
      <c r="BW31" s="994"/>
      <c r="BX31" s="994"/>
      <c r="BY31" s="994"/>
      <c r="BZ31" s="994"/>
      <c r="CA31" s="994"/>
      <c r="CB31" s="994"/>
      <c r="CC31" s="994"/>
      <c r="CD31" s="994"/>
      <c r="CE31" s="994"/>
      <c r="CF31" s="994"/>
      <c r="CG31" s="994"/>
      <c r="CH31" s="994"/>
      <c r="CI31" s="994"/>
      <c r="CJ31" s="994"/>
      <c r="CK31" s="994"/>
      <c r="CL31" s="994"/>
      <c r="CM31" s="994"/>
      <c r="CN31" s="994"/>
      <c r="CO31" s="994"/>
      <c r="CP31" s="994"/>
      <c r="CQ31" s="994"/>
      <c r="CR31" s="994"/>
      <c r="CS31" s="994"/>
      <c r="CT31" s="994"/>
      <c r="CU31" s="994"/>
      <c r="CV31" s="994"/>
      <c r="CW31" s="994"/>
      <c r="CX31" s="994"/>
      <c r="CY31" s="994"/>
      <c r="CZ31" s="994"/>
      <c r="DA31" s="994"/>
      <c r="DB31" s="994"/>
      <c r="DC31" s="994"/>
      <c r="DD31" s="1065"/>
      <c r="DE31" s="1065"/>
      <c r="DF31" s="1065"/>
      <c r="DG31" s="1017"/>
      <c r="DH31" s="1017"/>
      <c r="DI31" s="1017"/>
      <c r="DJ31" s="1017"/>
      <c r="DK31" s="1017"/>
      <c r="DL31" s="1017"/>
      <c r="DM31" s="1017"/>
      <c r="DN31" s="1017"/>
      <c r="DO31" s="1017"/>
      <c r="DP31" s="1017"/>
      <c r="DQ31" s="1017"/>
      <c r="DR31" s="1017"/>
      <c r="DS31" s="1017"/>
      <c r="DT31" s="1017"/>
      <c r="DU31" s="1017"/>
      <c r="DV31" s="1017"/>
      <c r="DW31" s="1017"/>
      <c r="DX31" s="1017"/>
      <c r="DY31" s="1017"/>
      <c r="DZ31" s="1017"/>
      <c r="EA31" s="1017"/>
      <c r="EB31" s="1017"/>
      <c r="EC31" s="1017"/>
      <c r="ED31" s="1017"/>
      <c r="EE31" s="1017"/>
      <c r="EK31" s="400"/>
    </row>
    <row r="32" spans="1:141" ht="19.8">
      <c r="A32" s="1513" t="s">
        <v>2822</v>
      </c>
      <c r="B32" s="945">
        <v>212.89171227999998</v>
      </c>
      <c r="C32" s="945">
        <v>212.64714071000003</v>
      </c>
      <c r="D32" s="945">
        <v>214.11740411999997</v>
      </c>
      <c r="E32" s="945">
        <v>215.04711354</v>
      </c>
      <c r="F32" s="945">
        <v>213.48353865000001</v>
      </c>
      <c r="G32" s="945">
        <v>213.25837068000001</v>
      </c>
      <c r="H32" s="945">
        <v>229.56314329000003</v>
      </c>
      <c r="I32" s="945">
        <v>233.24358797999997</v>
      </c>
      <c r="J32" s="945">
        <v>236.55633563000001</v>
      </c>
      <c r="K32" s="945">
        <v>236.81691731999999</v>
      </c>
      <c r="L32" s="945">
        <v>236.13224781</v>
      </c>
      <c r="M32" s="946">
        <v>248.60119818999999</v>
      </c>
      <c r="N32" s="946">
        <v>247.16537154999997</v>
      </c>
      <c r="O32" s="946">
        <v>249.59598750000001</v>
      </c>
      <c r="P32" s="946">
        <v>247.00714307999999</v>
      </c>
      <c r="Q32" s="946">
        <v>246.51106529999998</v>
      </c>
      <c r="R32" s="946">
        <v>222.38685803999999</v>
      </c>
      <c r="S32" s="946">
        <v>223.17128008</v>
      </c>
      <c r="T32" s="946">
        <v>221.93027872000002</v>
      </c>
      <c r="U32" s="946">
        <v>222.20840808</v>
      </c>
      <c r="V32" s="946">
        <v>267.97772313000002</v>
      </c>
      <c r="W32" s="946">
        <v>267.22694762000003</v>
      </c>
      <c r="X32" s="946">
        <v>267.49729006000001</v>
      </c>
      <c r="Y32" s="946">
        <v>281.64295177000002</v>
      </c>
      <c r="Z32" s="946">
        <v>284.06854213000003</v>
      </c>
      <c r="AA32" s="946">
        <v>349.38716251</v>
      </c>
      <c r="AB32" s="946">
        <v>369.16999435999998</v>
      </c>
      <c r="AC32" s="946">
        <v>370.02510978999999</v>
      </c>
      <c r="AD32" s="946">
        <v>381.07553415999996</v>
      </c>
      <c r="AE32" s="946">
        <v>385.72698618999999</v>
      </c>
      <c r="AF32" s="946">
        <v>387.09599772000001</v>
      </c>
      <c r="AG32" s="946">
        <v>460.53936801999998</v>
      </c>
      <c r="AH32" s="946">
        <v>477.74692003000001</v>
      </c>
      <c r="AI32" s="946">
        <v>530.30643171999998</v>
      </c>
      <c r="AJ32" s="946">
        <v>515.28589406000003</v>
      </c>
      <c r="AK32" s="946">
        <v>764.39027587999999</v>
      </c>
      <c r="AL32" s="946">
        <v>782.36661773000003</v>
      </c>
      <c r="AM32" s="946">
        <v>831.84474587</v>
      </c>
      <c r="AN32" s="946">
        <v>831.39432714999998</v>
      </c>
      <c r="AO32" s="946">
        <v>836.2945302600001</v>
      </c>
      <c r="AP32" s="946">
        <v>824.57153529999994</v>
      </c>
      <c r="AQ32" s="946">
        <v>856.21879180999997</v>
      </c>
      <c r="AR32" s="946">
        <v>801.15226325000003</v>
      </c>
      <c r="AS32" s="946">
        <v>811.94190049999997</v>
      </c>
      <c r="AT32" s="946">
        <f>AT24-AT28</f>
        <v>812.85265461000006</v>
      </c>
      <c r="AU32" s="946">
        <v>819.75163871999985</v>
      </c>
      <c r="AV32" s="946">
        <v>863.98747855000011</v>
      </c>
      <c r="AW32" s="946">
        <v>885.42314198000008</v>
      </c>
      <c r="AX32" s="946">
        <v>951.82311486999993</v>
      </c>
      <c r="AY32" s="946">
        <v>859.13836694999998</v>
      </c>
      <c r="AZ32" s="946">
        <v>819.35604609000006</v>
      </c>
      <c r="BA32" s="946">
        <v>805.79850012999998</v>
      </c>
      <c r="BB32" s="946">
        <v>650.12364509999998</v>
      </c>
      <c r="BC32" s="946">
        <v>678.73300078</v>
      </c>
      <c r="BD32" s="946">
        <v>715.83087914999999</v>
      </c>
      <c r="BE32" s="946">
        <v>713.04224857999998</v>
      </c>
      <c r="BF32" s="946">
        <v>710.44158555000013</v>
      </c>
      <c r="BG32" s="946">
        <v>708.82310015999997</v>
      </c>
      <c r="BH32" s="1004">
        <v>710.9383580199999</v>
      </c>
      <c r="BI32" s="993">
        <v>768.59750729999996</v>
      </c>
      <c r="BJ32" s="993">
        <v>771.80810642000006</v>
      </c>
      <c r="BK32" s="993">
        <v>640.61861648000013</v>
      </c>
      <c r="BL32" s="993">
        <v>603.41923038000004</v>
      </c>
      <c r="BM32" s="993">
        <v>686.39619032000007</v>
      </c>
      <c r="BN32" s="993">
        <v>683.06366406000006</v>
      </c>
      <c r="BO32" s="993">
        <v>758.21543514999996</v>
      </c>
      <c r="BP32" s="993">
        <v>760.07384024999999</v>
      </c>
      <c r="BQ32" s="993">
        <v>760.65840066999999</v>
      </c>
      <c r="BR32" s="993">
        <v>850.25394935999975</v>
      </c>
      <c r="BS32" s="993">
        <v>838.15371690999984</v>
      </c>
      <c r="BT32" s="993">
        <v>901.9989608599999</v>
      </c>
      <c r="BU32" s="993">
        <v>904.15108866999992</v>
      </c>
      <c r="BV32" s="993">
        <v>890.08354010999983</v>
      </c>
      <c r="BW32" s="993">
        <v>875.72385336000025</v>
      </c>
      <c r="BX32" s="993">
        <v>855.65423541999996</v>
      </c>
      <c r="BY32" s="993">
        <v>781.55560539999999</v>
      </c>
      <c r="BZ32" s="993">
        <v>795.27390275000005</v>
      </c>
      <c r="CA32" s="993">
        <v>840.62183725999978</v>
      </c>
      <c r="CB32" s="993">
        <v>824.86112428000024</v>
      </c>
      <c r="CC32" s="993">
        <v>808.25454138999999</v>
      </c>
      <c r="CD32" s="993">
        <v>698.51604538000004</v>
      </c>
      <c r="CE32" s="993">
        <v>684.3108804200001</v>
      </c>
      <c r="CF32" s="993">
        <v>711.10854792999999</v>
      </c>
      <c r="CG32" s="993">
        <v>778.34466158999999</v>
      </c>
      <c r="CH32" s="993">
        <v>769.44872442999997</v>
      </c>
      <c r="CI32" s="993">
        <v>759.92220078999992</v>
      </c>
      <c r="CJ32" s="993">
        <v>754.9169876200001</v>
      </c>
      <c r="CK32" s="993">
        <v>690.53347557999996</v>
      </c>
      <c r="CL32" s="993">
        <v>607.26179989999991</v>
      </c>
      <c r="CM32" s="993">
        <v>564.89077235000002</v>
      </c>
      <c r="CN32" s="993">
        <v>565.7444770699999</v>
      </c>
      <c r="CO32" s="993">
        <v>546.30309978000003</v>
      </c>
      <c r="CP32" s="993">
        <v>529.44992890999993</v>
      </c>
      <c r="CQ32" s="993">
        <v>492.56102851999998</v>
      </c>
      <c r="CR32" s="993">
        <v>470.43318638999995</v>
      </c>
      <c r="CS32" s="993">
        <v>457.89501791999999</v>
      </c>
      <c r="CT32" s="993">
        <v>452.57781112999999</v>
      </c>
      <c r="CU32" s="993">
        <v>487.93808202999998</v>
      </c>
      <c r="CV32" s="993">
        <v>486.30827166</v>
      </c>
      <c r="CW32" s="993">
        <v>510.94734154000002</v>
      </c>
      <c r="CX32" s="993">
        <v>508.31543174000001</v>
      </c>
      <c r="CY32" s="993">
        <v>520.66348257000004</v>
      </c>
      <c r="CZ32" s="993">
        <v>510.79940757000003</v>
      </c>
      <c r="DA32" s="993">
        <v>503.53949589000001</v>
      </c>
      <c r="DB32" s="993">
        <v>502.98153617999998</v>
      </c>
      <c r="DC32" s="993">
        <v>501.75928626000001</v>
      </c>
      <c r="DD32" s="1064">
        <v>484.31524658000001</v>
      </c>
      <c r="DE32" s="1064">
        <v>480.70757036999998</v>
      </c>
      <c r="DF32" s="1064">
        <v>498.03170886999999</v>
      </c>
      <c r="DG32" s="1016">
        <v>493.5557192</v>
      </c>
      <c r="DH32" s="1016">
        <v>500.91700245999999</v>
      </c>
      <c r="DI32" s="1016">
        <v>492.04793394000001</v>
      </c>
      <c r="DJ32" s="1016">
        <v>483.72988765000002</v>
      </c>
      <c r="DK32" s="1016">
        <v>481.96876938999998</v>
      </c>
      <c r="DL32" s="1016">
        <v>477.50350625999999</v>
      </c>
      <c r="DM32" s="1016">
        <v>474.75834498</v>
      </c>
      <c r="DN32" s="1016">
        <v>475.38482490000001</v>
      </c>
      <c r="DO32" s="1016">
        <v>472.47733842999997</v>
      </c>
      <c r="DP32" s="1016">
        <v>403.62620698000001</v>
      </c>
      <c r="DQ32" s="1016">
        <v>382.10950130999998</v>
      </c>
      <c r="DR32" s="1016">
        <v>379.08769992999999</v>
      </c>
      <c r="DS32" s="1016">
        <v>382.44248845999999</v>
      </c>
      <c r="DT32" s="1016">
        <v>418.61249709999998</v>
      </c>
      <c r="DU32" s="1016">
        <v>418.09273772</v>
      </c>
      <c r="DV32" s="1016">
        <v>416.2728189</v>
      </c>
      <c r="DW32" s="1016">
        <v>584.26672356999995</v>
      </c>
      <c r="DX32" s="1016">
        <v>578.236358</v>
      </c>
      <c r="DY32" s="1016">
        <v>573.53079100000002</v>
      </c>
      <c r="DZ32" s="1016">
        <v>603.99173496000003</v>
      </c>
      <c r="EA32" s="1016">
        <v>826.04962197999998</v>
      </c>
      <c r="EB32" s="1016">
        <v>825.29531951000001</v>
      </c>
      <c r="EC32" s="1016">
        <v>829.96562782000001</v>
      </c>
      <c r="ED32" s="1016">
        <v>830.81425308999997</v>
      </c>
      <c r="EE32" s="1016">
        <v>836.92263582999999</v>
      </c>
      <c r="EK32" s="400"/>
    </row>
    <row r="33" spans="1:141" ht="19.8">
      <c r="A33" s="1514" t="s">
        <v>2001</v>
      </c>
      <c r="B33" s="949">
        <v>44.351076380000002</v>
      </c>
      <c r="C33" s="949">
        <v>44.98077498</v>
      </c>
      <c r="D33" s="949">
        <v>46.898669220000002</v>
      </c>
      <c r="E33" s="949">
        <v>47.406769969999999</v>
      </c>
      <c r="F33" s="949">
        <v>47.929301009999996</v>
      </c>
      <c r="G33" s="949">
        <v>57.831164450000003</v>
      </c>
      <c r="H33" s="949">
        <v>58.798633380000005</v>
      </c>
      <c r="I33" s="949">
        <v>61.928424579999998</v>
      </c>
      <c r="J33" s="949">
        <v>65.868037459999996</v>
      </c>
      <c r="K33" s="949">
        <v>65.868037459999996</v>
      </c>
      <c r="L33" s="949">
        <v>65.859641280000005</v>
      </c>
      <c r="M33" s="950">
        <v>69.583951939999992</v>
      </c>
      <c r="N33" s="950">
        <v>69.604394389999996</v>
      </c>
      <c r="O33" s="950">
        <v>69.794714089999999</v>
      </c>
      <c r="P33" s="950">
        <v>74.385422019999993</v>
      </c>
      <c r="Q33" s="950">
        <v>74.385422019999993</v>
      </c>
      <c r="R33" s="950">
        <v>75.963706329999994</v>
      </c>
      <c r="S33" s="950">
        <v>78.750486760000001</v>
      </c>
      <c r="T33" s="950">
        <v>78.740445900000012</v>
      </c>
      <c r="U33" s="950">
        <v>78.760527629999999</v>
      </c>
      <c r="V33" s="950">
        <v>83.990007900000009</v>
      </c>
      <c r="W33" s="950">
        <v>83.970638010000002</v>
      </c>
      <c r="X33" s="950">
        <v>84.434809069999986</v>
      </c>
      <c r="Y33" s="950">
        <v>86.788044370000009</v>
      </c>
      <c r="Z33" s="950">
        <v>86.788044370000009</v>
      </c>
      <c r="AA33" s="950">
        <v>114.13557231999999</v>
      </c>
      <c r="AB33" s="950">
        <v>113.99423470000001</v>
      </c>
      <c r="AC33" s="950">
        <v>114.01597895</v>
      </c>
      <c r="AD33" s="950">
        <v>129.83308381999998</v>
      </c>
      <c r="AE33" s="950">
        <v>385.72698618999999</v>
      </c>
      <c r="AF33" s="950">
        <v>129.24006750000001</v>
      </c>
      <c r="AG33" s="950">
        <v>205.17235396999999</v>
      </c>
      <c r="AH33" s="950">
        <v>202.43088143</v>
      </c>
      <c r="AI33" s="950">
        <v>255.33731578000001</v>
      </c>
      <c r="AJ33" s="950">
        <v>251.76914201</v>
      </c>
      <c r="AK33" s="950">
        <v>371.04246932999996</v>
      </c>
      <c r="AL33" s="950">
        <v>380.80116280999999</v>
      </c>
      <c r="AM33" s="950">
        <v>447.7599189</v>
      </c>
      <c r="AN33" s="950">
        <v>415.57689393999999</v>
      </c>
      <c r="AO33" s="950">
        <v>434.09647379</v>
      </c>
      <c r="AP33" s="950">
        <v>423.10458851999999</v>
      </c>
      <c r="AQ33" s="950">
        <v>436.9563958</v>
      </c>
      <c r="AR33" s="950">
        <v>447.44437574</v>
      </c>
      <c r="AS33" s="950">
        <v>449.80061606999999</v>
      </c>
      <c r="AT33" s="950">
        <f>AT25-AT29</f>
        <v>454.96574151999999</v>
      </c>
      <c r="AU33" s="950">
        <v>459.70583689</v>
      </c>
      <c r="AV33" s="950">
        <v>483.93744176000001</v>
      </c>
      <c r="AW33" s="950">
        <v>491.69259007000011</v>
      </c>
      <c r="AX33" s="950">
        <v>530.55565805000003</v>
      </c>
      <c r="AY33" s="950">
        <v>476.17355031</v>
      </c>
      <c r="AZ33" s="950">
        <v>460.88737323000004</v>
      </c>
      <c r="BA33" s="950">
        <v>454.64935580999997</v>
      </c>
      <c r="BB33" s="950">
        <v>300.97307435000005</v>
      </c>
      <c r="BC33" s="950">
        <v>243.71526799</v>
      </c>
      <c r="BD33" s="950">
        <v>348.23610764</v>
      </c>
      <c r="BE33" s="950">
        <v>347.29407342000002</v>
      </c>
      <c r="BF33" s="950">
        <v>346.19877923000001</v>
      </c>
      <c r="BG33" s="950">
        <v>344.1031086000001</v>
      </c>
      <c r="BH33" s="1005">
        <v>342.64544057000001</v>
      </c>
      <c r="BI33" s="994">
        <v>372.35748639999997</v>
      </c>
      <c r="BJ33" s="994">
        <v>371.42042479000003</v>
      </c>
      <c r="BK33" s="994">
        <v>241.43456436</v>
      </c>
      <c r="BL33" s="994">
        <v>240.40026843999996</v>
      </c>
      <c r="BM33" s="994">
        <v>238.05498284000001</v>
      </c>
      <c r="BN33" s="994">
        <v>148.52572879000002</v>
      </c>
      <c r="BO33" s="994">
        <v>258.64108974999999</v>
      </c>
      <c r="BP33" s="994">
        <v>257.41073377000004</v>
      </c>
      <c r="BQ33" s="994">
        <v>256.71947738</v>
      </c>
      <c r="BR33" s="994">
        <v>256.01160199999998</v>
      </c>
      <c r="BS33" s="994">
        <v>257.77654971999999</v>
      </c>
      <c r="BT33" s="994">
        <v>333.35379406999999</v>
      </c>
      <c r="BU33" s="994">
        <v>348.98057759</v>
      </c>
      <c r="BV33" s="994">
        <v>347.94654300000002</v>
      </c>
      <c r="BW33" s="994">
        <v>348.83968499000002</v>
      </c>
      <c r="BX33" s="994">
        <v>348.44533944</v>
      </c>
      <c r="BY33" s="994">
        <v>298.11422826</v>
      </c>
      <c r="BZ33" s="994">
        <v>300.59009393000002</v>
      </c>
      <c r="CA33" s="994">
        <v>300.22459837999997</v>
      </c>
      <c r="CB33" s="994">
        <v>297.65051233999998</v>
      </c>
      <c r="CC33" s="994">
        <v>295.04521125000002</v>
      </c>
      <c r="CD33" s="994">
        <v>173.06518588999998</v>
      </c>
      <c r="CE33" s="994">
        <v>171.22635199000001</v>
      </c>
      <c r="CF33" s="994">
        <v>158.43023855000001</v>
      </c>
      <c r="CG33" s="994">
        <v>171.37368419000001</v>
      </c>
      <c r="CH33" s="994">
        <v>164.03081696999999</v>
      </c>
      <c r="CI33" s="994">
        <v>165.70191641</v>
      </c>
      <c r="CJ33" s="994">
        <v>163.45539134999999</v>
      </c>
      <c r="CK33" s="994">
        <v>159.91372412000001</v>
      </c>
      <c r="CL33" s="994">
        <v>102.17077334999999</v>
      </c>
      <c r="CM33" s="994">
        <v>86.181509469999995</v>
      </c>
      <c r="CN33" s="994">
        <v>86.1815</v>
      </c>
      <c r="CO33" s="994">
        <v>86.1815</v>
      </c>
      <c r="CP33" s="994">
        <v>84.529478170000004</v>
      </c>
      <c r="CQ33" s="994">
        <v>81.205169680000012</v>
      </c>
      <c r="CR33" s="994">
        <v>84.522327829999995</v>
      </c>
      <c r="CS33" s="994">
        <v>74.674199999999999</v>
      </c>
      <c r="CT33" s="994">
        <v>81.540099999999995</v>
      </c>
      <c r="CU33" s="994">
        <v>80.181191819999995</v>
      </c>
      <c r="CV33" s="994">
        <v>81.349869560000002</v>
      </c>
      <c r="CW33" s="994">
        <v>80.31529012</v>
      </c>
      <c r="CX33" s="994">
        <v>74.381061720000005</v>
      </c>
      <c r="CY33" s="994">
        <v>88.734720330000002</v>
      </c>
      <c r="CZ33" s="994">
        <v>87.303745239999998</v>
      </c>
      <c r="DA33" s="994">
        <v>85.861556239999999</v>
      </c>
      <c r="DB33" s="994">
        <v>84.391435180000002</v>
      </c>
      <c r="DC33" s="994">
        <v>83.003384109999999</v>
      </c>
      <c r="DD33" s="1065">
        <v>71.903199999999998</v>
      </c>
      <c r="DE33" s="1065">
        <v>71.903199999999998</v>
      </c>
      <c r="DF33" s="1065">
        <v>71.903199999999998</v>
      </c>
      <c r="DG33" s="1017">
        <v>71.903199999999998</v>
      </c>
      <c r="DH33" s="1017">
        <v>71.903199999999998</v>
      </c>
      <c r="DI33" s="1017">
        <v>71.903199999999998</v>
      </c>
      <c r="DJ33" s="1017">
        <v>71.903199999999998</v>
      </c>
      <c r="DK33" s="1017">
        <v>71.903199999999998</v>
      </c>
      <c r="DL33" s="1017">
        <v>71.903199999999998</v>
      </c>
      <c r="DM33" s="1017">
        <v>71.903199999999998</v>
      </c>
      <c r="DN33" s="1017">
        <v>71.903199999999998</v>
      </c>
      <c r="DO33" s="1017">
        <v>71.903199999999998</v>
      </c>
      <c r="DP33" s="1017">
        <v>66.293199999999999</v>
      </c>
      <c r="DQ33" s="1017">
        <v>27.2</v>
      </c>
      <c r="DR33" s="1017">
        <v>27.2</v>
      </c>
      <c r="DS33" s="1017">
        <v>27.2</v>
      </c>
      <c r="DT33" s="1017">
        <v>27.2</v>
      </c>
      <c r="DU33" s="1017">
        <v>27.2</v>
      </c>
      <c r="DV33" s="1017">
        <v>27.2</v>
      </c>
      <c r="DW33" s="1017">
        <v>27.2</v>
      </c>
      <c r="DX33" s="1017">
        <v>27.2</v>
      </c>
      <c r="DY33" s="1017">
        <v>27.2</v>
      </c>
      <c r="DZ33" s="1017">
        <v>25.5</v>
      </c>
      <c r="EA33" s="1017">
        <v>258.39999999999998</v>
      </c>
      <c r="EB33" s="1017">
        <v>258.39999999999998</v>
      </c>
      <c r="EC33" s="1017">
        <v>232.9</v>
      </c>
      <c r="ED33" s="1017">
        <v>227.07749999999999</v>
      </c>
      <c r="EE33" s="1017">
        <v>227.07749999999999</v>
      </c>
      <c r="EK33" s="400"/>
    </row>
    <row r="34" spans="1:141" ht="19.8">
      <c r="A34" s="1516" t="s">
        <v>2002</v>
      </c>
      <c r="B34" s="982">
        <f>+B32-B33</f>
        <v>168.54063589999998</v>
      </c>
      <c r="C34" s="982">
        <f t="shared" ref="C34:V34" si="12">+C32-C33</f>
        <v>167.66636573000002</v>
      </c>
      <c r="D34" s="982">
        <f t="shared" si="12"/>
        <v>167.21873489999996</v>
      </c>
      <c r="E34" s="982">
        <f t="shared" si="12"/>
        <v>167.64034357</v>
      </c>
      <c r="F34" s="982">
        <f t="shared" si="12"/>
        <v>165.55423764000003</v>
      </c>
      <c r="G34" s="982">
        <f t="shared" si="12"/>
        <v>155.42720623000002</v>
      </c>
      <c r="H34" s="982">
        <f t="shared" si="12"/>
        <v>170.76450991000002</v>
      </c>
      <c r="I34" s="982">
        <f t="shared" si="12"/>
        <v>171.31516339999996</v>
      </c>
      <c r="J34" s="982">
        <f t="shared" si="12"/>
        <v>170.68829817</v>
      </c>
      <c r="K34" s="982">
        <f t="shared" si="12"/>
        <v>170.94887985999998</v>
      </c>
      <c r="L34" s="982">
        <f t="shared" si="12"/>
        <v>170.27260652999999</v>
      </c>
      <c r="M34" s="957">
        <f t="shared" si="12"/>
        <v>179.01724625</v>
      </c>
      <c r="N34" s="964">
        <f t="shared" si="12"/>
        <v>177.56097715999999</v>
      </c>
      <c r="O34" s="964">
        <f t="shared" si="12"/>
        <v>179.80127341000002</v>
      </c>
      <c r="P34" s="964">
        <f t="shared" si="12"/>
        <v>172.62172106</v>
      </c>
      <c r="Q34" s="964">
        <f t="shared" si="12"/>
        <v>172.12564327999999</v>
      </c>
      <c r="R34" s="964">
        <f t="shared" si="12"/>
        <v>146.42315171000001</v>
      </c>
      <c r="S34" s="964">
        <f t="shared" si="12"/>
        <v>144.42079332</v>
      </c>
      <c r="T34" s="964">
        <f t="shared" si="12"/>
        <v>143.18983281999999</v>
      </c>
      <c r="U34" s="964">
        <f t="shared" si="12"/>
        <v>143.44788045000001</v>
      </c>
      <c r="V34" s="964">
        <f t="shared" si="12"/>
        <v>183.98771522999999</v>
      </c>
      <c r="W34" s="964">
        <v>183.25630961000002</v>
      </c>
      <c r="X34" s="964">
        <v>183.06248099000004</v>
      </c>
      <c r="Y34" s="957">
        <v>194.8549074</v>
      </c>
      <c r="Z34" s="964">
        <v>197.28049776</v>
      </c>
      <c r="AA34" s="964">
        <v>235.25159019</v>
      </c>
      <c r="AB34" s="957">
        <f>+AB32-AB33</f>
        <v>255.17575965999998</v>
      </c>
      <c r="AC34" s="957">
        <v>256.00913084000001</v>
      </c>
      <c r="AD34" s="957">
        <v>251.24245033999998</v>
      </c>
      <c r="AE34" s="957">
        <v>0</v>
      </c>
      <c r="AF34" s="957">
        <v>257.85593022</v>
      </c>
      <c r="AG34" s="957">
        <v>255.36701404999999</v>
      </c>
      <c r="AH34" s="957">
        <f>+AH32-AH33</f>
        <v>275.31603860000001</v>
      </c>
      <c r="AI34" s="957">
        <v>274.96911593999994</v>
      </c>
      <c r="AJ34" s="957">
        <f>+AJ32-AJ33</f>
        <v>263.51675205000004</v>
      </c>
      <c r="AK34" s="957">
        <f>+AK32-AK33</f>
        <v>393.34780655000003</v>
      </c>
      <c r="AL34" s="957">
        <v>401.56545492000004</v>
      </c>
      <c r="AM34" s="957">
        <f>+AM32-AM33</f>
        <v>384.08482696999999</v>
      </c>
      <c r="AN34" s="957">
        <f>+AN32-AN33</f>
        <v>415.81743320999999</v>
      </c>
      <c r="AO34" s="957">
        <f>+AO32-AO33</f>
        <v>402.1980564700001</v>
      </c>
      <c r="AP34" s="957">
        <f>+AP32-AP33</f>
        <v>401.46694677999994</v>
      </c>
      <c r="AQ34" s="957">
        <v>419.26239600999997</v>
      </c>
      <c r="AR34" s="957">
        <f>+AR32-AR33</f>
        <v>353.70788751000003</v>
      </c>
      <c r="AS34" s="957">
        <v>362.14128442999998</v>
      </c>
      <c r="AT34" s="957">
        <f>AT26-AT30</f>
        <v>357.88691309000006</v>
      </c>
      <c r="AU34" s="957">
        <v>360.04580182999996</v>
      </c>
      <c r="AV34" s="957">
        <v>380.05003679000009</v>
      </c>
      <c r="AW34" s="957">
        <v>393.73055191000014</v>
      </c>
      <c r="AX34" s="957">
        <v>421.26745682000012</v>
      </c>
      <c r="AY34" s="957">
        <v>382.96481663999998</v>
      </c>
      <c r="AZ34" s="957">
        <v>358.46867286000003</v>
      </c>
      <c r="BA34" s="957">
        <v>351.14914432</v>
      </c>
      <c r="BB34" s="957">
        <v>349.15057074999993</v>
      </c>
      <c r="BC34" s="957">
        <v>435.01773278999997</v>
      </c>
      <c r="BD34" s="957">
        <f>+BD32-BD33</f>
        <v>367.59477150999999</v>
      </c>
      <c r="BE34" s="957">
        <v>365.74817515999996</v>
      </c>
      <c r="BF34" s="957">
        <v>364.24280632000011</v>
      </c>
      <c r="BG34" s="957">
        <v>364.71999155999987</v>
      </c>
      <c r="BH34" s="1006">
        <v>368.29291744999989</v>
      </c>
      <c r="BI34" s="996">
        <v>396.24002089999999</v>
      </c>
      <c r="BJ34" s="996">
        <v>400.38768163000003</v>
      </c>
      <c r="BK34" s="996">
        <v>399.18405212000016</v>
      </c>
      <c r="BL34" s="996">
        <v>363.01896194000005</v>
      </c>
      <c r="BM34" s="996">
        <v>448.34120748000009</v>
      </c>
      <c r="BN34" s="996">
        <v>534.53793527000005</v>
      </c>
      <c r="BO34" s="996">
        <v>499.57434539999997</v>
      </c>
      <c r="BP34" s="996">
        <v>502.66310647999995</v>
      </c>
      <c r="BQ34" s="996">
        <v>503.93892328999999</v>
      </c>
      <c r="BR34" s="996">
        <v>594.24234735999971</v>
      </c>
      <c r="BS34" s="996">
        <v>580.37716718999991</v>
      </c>
      <c r="BT34" s="996">
        <v>568.64516678999985</v>
      </c>
      <c r="BU34" s="996">
        <v>555.17051107999987</v>
      </c>
      <c r="BV34" s="996">
        <v>542.13699710999981</v>
      </c>
      <c r="BW34" s="996">
        <v>526.88416837000022</v>
      </c>
      <c r="BX34" s="996">
        <v>507.20889597999997</v>
      </c>
      <c r="BY34" s="996">
        <v>483.44137713999999</v>
      </c>
      <c r="BZ34" s="996">
        <v>494.68380882000002</v>
      </c>
      <c r="CA34" s="996">
        <v>540.3972388799998</v>
      </c>
      <c r="CB34" s="996">
        <v>527.21061194000026</v>
      </c>
      <c r="CC34" s="996">
        <v>513.20933014000002</v>
      </c>
      <c r="CD34" s="996">
        <v>525.45085949000008</v>
      </c>
      <c r="CE34" s="996">
        <f t="shared" ref="CE34:CP34" si="13">+CE32-CE33</f>
        <v>513.08452843000009</v>
      </c>
      <c r="CF34" s="996">
        <f t="shared" si="13"/>
        <v>552.67830937999997</v>
      </c>
      <c r="CG34" s="996">
        <f t="shared" si="13"/>
        <v>606.97097740000004</v>
      </c>
      <c r="CH34" s="996">
        <f t="shared" si="13"/>
        <v>605.41790745999992</v>
      </c>
      <c r="CI34" s="996">
        <f t="shared" si="13"/>
        <v>594.22028437999995</v>
      </c>
      <c r="CJ34" s="996">
        <f t="shared" si="13"/>
        <v>591.46159627000009</v>
      </c>
      <c r="CK34" s="996">
        <f t="shared" si="13"/>
        <v>530.61975145999997</v>
      </c>
      <c r="CL34" s="996">
        <f t="shared" si="13"/>
        <v>505.09102654999992</v>
      </c>
      <c r="CM34" s="996">
        <f t="shared" si="13"/>
        <v>478.70926288000004</v>
      </c>
      <c r="CN34" s="996">
        <f t="shared" si="13"/>
        <v>479.56297706999987</v>
      </c>
      <c r="CO34" s="996">
        <f t="shared" si="13"/>
        <v>460.12159978</v>
      </c>
      <c r="CP34" s="996">
        <f t="shared" si="13"/>
        <v>444.92045073999992</v>
      </c>
      <c r="CQ34" s="996">
        <f>+CQ32-CQ33</f>
        <v>411.35585884</v>
      </c>
      <c r="CR34" s="996">
        <f>+CR32-CR33</f>
        <v>385.91085855999995</v>
      </c>
      <c r="CS34" s="996">
        <v>383.22081792</v>
      </c>
      <c r="CT34" s="996">
        <v>371.03771112999999</v>
      </c>
      <c r="CU34" s="996">
        <v>407.75689020999999</v>
      </c>
      <c r="CV34" s="996">
        <v>404.9584021</v>
      </c>
      <c r="CW34" s="996">
        <v>430.63205141999998</v>
      </c>
      <c r="CX34" s="996">
        <v>433.93437002000002</v>
      </c>
      <c r="CY34" s="996">
        <v>431.92876224000003</v>
      </c>
      <c r="CZ34" s="996">
        <v>423.49566233000002</v>
      </c>
      <c r="DA34" s="996">
        <v>417.67793964999998</v>
      </c>
      <c r="DB34" s="996">
        <v>418.590101</v>
      </c>
      <c r="DC34" s="996">
        <v>418.75590215</v>
      </c>
      <c r="DD34" s="1066">
        <v>412.41204657999998</v>
      </c>
      <c r="DE34" s="1066">
        <v>408.80437037000002</v>
      </c>
      <c r="DF34" s="1066">
        <v>426.12850887000002</v>
      </c>
      <c r="DG34" s="1018">
        <v>421.65251919999997</v>
      </c>
      <c r="DH34" s="1018">
        <v>429.01380246000002</v>
      </c>
      <c r="DI34" s="1018">
        <v>420.14473393999998</v>
      </c>
      <c r="DJ34" s="1018">
        <v>411.82668765</v>
      </c>
      <c r="DK34" s="1018">
        <v>410.06556939000001</v>
      </c>
      <c r="DL34" s="1018">
        <v>405.60030626000002</v>
      </c>
      <c r="DM34" s="1018">
        <v>402.85514497999998</v>
      </c>
      <c r="DN34" s="1018">
        <v>403.48162489999999</v>
      </c>
      <c r="DO34" s="1018">
        <v>400.57413843</v>
      </c>
      <c r="DP34" s="1018">
        <v>337.33300697999999</v>
      </c>
      <c r="DQ34" s="1018">
        <v>354.90950131</v>
      </c>
      <c r="DR34" s="1018">
        <v>351.88769993</v>
      </c>
      <c r="DS34" s="1018">
        <v>355.24248846</v>
      </c>
      <c r="DT34" s="1018">
        <v>391.4124971</v>
      </c>
      <c r="DU34" s="1018">
        <v>390.89273772000001</v>
      </c>
      <c r="DV34" s="1018">
        <v>389.07281890000002</v>
      </c>
      <c r="DW34" s="1018">
        <v>557.06672357000002</v>
      </c>
      <c r="DX34" s="1018">
        <v>551.03635799999995</v>
      </c>
      <c r="DY34" s="1018">
        <v>546.33079099999998</v>
      </c>
      <c r="DZ34" s="1018">
        <v>578.49173496000003</v>
      </c>
      <c r="EA34" s="1018">
        <v>567.64962198000001</v>
      </c>
      <c r="EB34" s="1018">
        <v>566.89531951000004</v>
      </c>
      <c r="EC34" s="1018">
        <v>597.06562782000003</v>
      </c>
      <c r="ED34" s="1018">
        <v>603.73675308999998</v>
      </c>
      <c r="EE34" s="1018">
        <v>609.84513583</v>
      </c>
      <c r="EK34" s="400"/>
    </row>
    <row r="35" spans="1:141" s="890" customFormat="1" ht="39" customHeight="1">
      <c r="A35" s="2378" t="s">
        <v>3373</v>
      </c>
      <c r="B35" s="2378"/>
      <c r="C35" s="2378"/>
      <c r="D35" s="2378"/>
      <c r="E35" s="2378"/>
      <c r="F35" s="2378"/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8"/>
      <c r="AZ35" s="2378"/>
      <c r="BA35" s="2378"/>
      <c r="BB35" s="2378"/>
      <c r="BC35" s="2378"/>
      <c r="BD35" s="2378"/>
      <c r="BE35" s="2378"/>
      <c r="BF35" s="2378"/>
      <c r="BG35" s="2378"/>
      <c r="BH35" s="2378"/>
      <c r="BI35" s="2378"/>
      <c r="BJ35" s="2378"/>
      <c r="BK35" s="2378"/>
      <c r="BL35" s="2378"/>
      <c r="BM35" s="2378"/>
      <c r="BN35" s="2378"/>
      <c r="BO35" s="2378"/>
      <c r="BP35" s="2378"/>
      <c r="BQ35" s="2378"/>
      <c r="BR35" s="2378"/>
      <c r="BS35" s="2378"/>
      <c r="BT35" s="2378"/>
      <c r="BU35" s="2378"/>
      <c r="BV35" s="2378"/>
      <c r="BW35" s="2378"/>
      <c r="BX35" s="2378"/>
      <c r="BY35" s="2378"/>
      <c r="BZ35" s="2378"/>
      <c r="CA35" s="2378"/>
      <c r="CB35" s="2378"/>
      <c r="CC35" s="2378"/>
      <c r="CD35" s="2378"/>
      <c r="CE35" s="2378"/>
      <c r="CF35" s="2378"/>
      <c r="CG35" s="2378"/>
      <c r="CH35" s="2378"/>
      <c r="CI35" s="2378"/>
      <c r="CJ35" s="2378"/>
      <c r="CK35" s="2378"/>
      <c r="CL35" s="2378"/>
      <c r="CM35" s="2378"/>
      <c r="CN35" s="2378"/>
      <c r="CO35" s="2378"/>
      <c r="CP35" s="2378"/>
      <c r="CQ35" s="2378"/>
      <c r="CR35" s="2378"/>
      <c r="CS35" s="2378"/>
      <c r="CT35" s="2378"/>
      <c r="CU35" s="2378"/>
      <c r="CV35" s="2378"/>
      <c r="CW35" s="2378"/>
      <c r="CX35" s="2378"/>
      <c r="CY35" s="2378"/>
      <c r="CZ35" s="2378"/>
      <c r="DA35" s="2378"/>
      <c r="DB35" s="2378"/>
      <c r="DC35" s="2378"/>
      <c r="DD35" s="2378"/>
      <c r="DE35" s="2378"/>
      <c r="DF35" s="2378"/>
      <c r="DG35" s="2378"/>
      <c r="DH35" s="2378"/>
      <c r="DI35" s="2378"/>
      <c r="DJ35" s="2378"/>
      <c r="DK35" s="2378"/>
      <c r="DL35" s="2378"/>
      <c r="DM35" s="2378"/>
      <c r="DN35" s="2378"/>
      <c r="DO35" s="2378"/>
      <c r="DP35" s="2378"/>
      <c r="DQ35" s="2378"/>
      <c r="DR35" s="2378"/>
      <c r="DS35" s="2378"/>
      <c r="DT35" s="2378"/>
      <c r="DU35" s="2378"/>
      <c r="DV35" s="2378"/>
      <c r="DW35" s="2378"/>
      <c r="DX35" s="2378"/>
      <c r="DY35" s="2378"/>
      <c r="DZ35" s="2378"/>
      <c r="EA35" s="2379"/>
      <c r="EB35" s="2379"/>
      <c r="EC35" s="2379"/>
      <c r="ED35" s="2379"/>
      <c r="EE35" s="2378"/>
    </row>
    <row r="36" spans="1:141" ht="18">
      <c r="A36" s="91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K36" s="400"/>
    </row>
    <row r="37" spans="1:141" ht="17.399999999999999">
      <c r="A37" s="92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K37" s="400"/>
    </row>
    <row r="38" spans="1:141" ht="18">
      <c r="A38" s="91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K38" s="400"/>
    </row>
    <row r="39" spans="1:141" ht="17.399999999999999">
      <c r="A39" s="92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K39" s="400"/>
    </row>
    <row r="40" spans="1:141" ht="17.399999999999999">
      <c r="A40" s="92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K40" s="400"/>
    </row>
    <row r="41" spans="1:141" ht="18">
      <c r="A41" s="91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K41" s="400"/>
    </row>
    <row r="42" spans="1:141" ht="17.399999999999999">
      <c r="A42" s="92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K42" s="400"/>
    </row>
    <row r="43" spans="1:141" ht="18">
      <c r="A43" s="91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K43" s="400"/>
    </row>
    <row r="44" spans="1:141" ht="17.399999999999999">
      <c r="A44" s="92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81"/>
      <c r="EK44" s="400"/>
    </row>
    <row r="45" spans="1:141" ht="18">
      <c r="A45" s="91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81"/>
      <c r="EK45" s="400"/>
    </row>
    <row r="46" spans="1:141" ht="17.399999999999999">
      <c r="A46" s="923"/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81"/>
      <c r="EK46" s="400"/>
    </row>
    <row r="47" spans="1:141" ht="17.399999999999999">
      <c r="A47" s="924"/>
      <c r="B47" s="401"/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81"/>
      <c r="EK47" s="400"/>
    </row>
    <row r="48" spans="1:141">
      <c r="A48" s="925"/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EK48" s="400"/>
    </row>
    <row r="49" spans="1:141">
      <c r="A49" s="925"/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EK49" s="400"/>
    </row>
    <row r="50" spans="1:141">
      <c r="A50" s="925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EK50" s="400"/>
    </row>
    <row r="51" spans="1:141">
      <c r="A51" s="925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EK51" s="400"/>
    </row>
    <row r="52" spans="1:141">
      <c r="A52" s="925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EK52" s="400"/>
    </row>
    <row r="53" spans="1:141">
      <c r="A53" s="925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EK53" s="400"/>
    </row>
    <row r="54" spans="1:141">
      <c r="EK54" s="400"/>
    </row>
    <row r="55" spans="1:141">
      <c r="EK55" s="400"/>
    </row>
    <row r="56" spans="1:141">
      <c r="EK56" s="400"/>
    </row>
    <row r="57" spans="1:141">
      <c r="EK57" s="400"/>
    </row>
    <row r="58" spans="1:141">
      <c r="EK58" s="400"/>
    </row>
    <row r="59" spans="1:141">
      <c r="EK59" s="400"/>
    </row>
    <row r="60" spans="1:141">
      <c r="EK60" s="400"/>
    </row>
    <row r="61" spans="1:141">
      <c r="EK61" s="400"/>
    </row>
    <row r="62" spans="1:141">
      <c r="EK62" s="400"/>
    </row>
  </sheetData>
  <mergeCells count="13">
    <mergeCell ref="A35:EE35"/>
    <mergeCell ref="A2:EE2"/>
    <mergeCell ref="A5:EE5"/>
    <mergeCell ref="B6:M6"/>
    <mergeCell ref="N6:Y6"/>
    <mergeCell ref="Z6:AK6"/>
    <mergeCell ref="AV6:AW6"/>
    <mergeCell ref="BV6:CG6"/>
    <mergeCell ref="CT6:DE6"/>
    <mergeCell ref="A3:EE3"/>
    <mergeCell ref="DF6:DQ6"/>
    <mergeCell ref="DR6:EC6"/>
    <mergeCell ref="ED6:EE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78"/>
  <sheetViews>
    <sheetView showGridLines="0" view="pageBreakPreview" zoomScale="115" zoomScaleNormal="100" zoomScaleSheetLayoutView="115" workbookViewId="0">
      <pane ySplit="11" topLeftCell="A266" activePane="bottomLeft" state="frozen"/>
      <selection pane="bottomLeft" sqref="A1:O1"/>
    </sheetView>
  </sheetViews>
  <sheetFormatPr defaultColWidth="9.109375" defaultRowHeight="13.2"/>
  <cols>
    <col min="1" max="1" width="6.6640625" style="2882" customWidth="1"/>
    <col min="2" max="2" width="10.33203125" style="2882" customWidth="1"/>
    <col min="3" max="3" width="13" style="2882" customWidth="1"/>
    <col min="4" max="4" width="10.88671875" style="2882" customWidth="1"/>
    <col min="5" max="5" width="10.33203125" style="2882" customWidth="1"/>
    <col min="6" max="6" width="13" style="2882" customWidth="1"/>
    <col min="7" max="7" width="10.33203125" style="2916" customWidth="1"/>
    <col min="8" max="8" width="13" style="2916" customWidth="1"/>
    <col min="9" max="9" width="11.33203125" style="2882" customWidth="1"/>
    <col min="10" max="10" width="13" style="2882" customWidth="1"/>
    <col min="11" max="11" width="10.33203125" style="2882" customWidth="1"/>
    <col min="12" max="12" width="13" style="2882" customWidth="1"/>
    <col min="13" max="14" width="12.6640625" style="2882" customWidth="1"/>
    <col min="15" max="15" width="13.88671875" style="2882" customWidth="1"/>
    <col min="16" max="16" width="9.109375" style="2882" hidden="1" customWidth="1"/>
    <col min="17" max="16384" width="9.109375" style="2882"/>
  </cols>
  <sheetData>
    <row r="1" spans="1:50" ht="9.75" customHeight="1">
      <c r="A1" s="2881"/>
      <c r="B1" s="2881"/>
      <c r="C1" s="2881"/>
      <c r="D1" s="2881"/>
      <c r="E1" s="2881"/>
      <c r="F1" s="2881"/>
      <c r="G1" s="2881"/>
      <c r="H1" s="2881"/>
      <c r="I1" s="2881"/>
      <c r="J1" s="2881"/>
      <c r="K1" s="2881"/>
      <c r="L1" s="2881"/>
      <c r="M1" s="2881"/>
      <c r="N1" s="2881"/>
      <c r="O1" s="2881"/>
    </row>
    <row r="2" spans="1:50" ht="20.25" customHeight="1">
      <c r="A2" s="2883" t="s">
        <v>2784</v>
      </c>
      <c r="B2" s="2883"/>
      <c r="C2" s="2883"/>
      <c r="D2" s="2883"/>
      <c r="E2" s="2883"/>
      <c r="F2" s="2883"/>
      <c r="G2" s="2883"/>
      <c r="H2" s="2883"/>
      <c r="I2" s="2883"/>
      <c r="J2" s="2883"/>
      <c r="K2" s="2883"/>
      <c r="L2" s="2883"/>
      <c r="M2" s="2883"/>
      <c r="N2" s="2883"/>
      <c r="O2" s="2883"/>
    </row>
    <row r="3" spans="1:50" ht="20.25" customHeight="1">
      <c r="A3" s="2884" t="s">
        <v>2785</v>
      </c>
      <c r="B3" s="2884"/>
      <c r="C3" s="2884"/>
      <c r="D3" s="2884"/>
      <c r="E3" s="2884"/>
      <c r="F3" s="2884"/>
      <c r="G3" s="2884"/>
      <c r="H3" s="2884"/>
      <c r="I3" s="2884"/>
      <c r="J3" s="2884"/>
      <c r="K3" s="2884"/>
      <c r="L3" s="2884"/>
      <c r="M3" s="2884"/>
      <c r="N3" s="2884"/>
      <c r="O3" s="2884"/>
    </row>
    <row r="4" spans="1:50" ht="9.75" customHeight="1">
      <c r="A4" s="1061"/>
      <c r="B4" s="1061"/>
      <c r="C4" s="1061"/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</row>
    <row r="5" spans="1:50" ht="9.75" customHeight="1">
      <c r="A5" s="2133"/>
      <c r="B5" s="2133"/>
      <c r="C5" s="2133"/>
      <c r="D5" s="2133"/>
      <c r="E5" s="2133"/>
      <c r="F5" s="2133"/>
      <c r="G5" s="2133"/>
      <c r="H5" s="2133"/>
      <c r="I5" s="2133"/>
      <c r="J5" s="2133"/>
      <c r="K5" s="2133"/>
      <c r="L5" s="2133"/>
      <c r="M5" s="2133"/>
      <c r="N5" s="2133"/>
      <c r="O5" s="2133"/>
      <c r="AW5" s="2885"/>
      <c r="AX5" s="2885"/>
    </row>
    <row r="6" spans="1:50" s="2885" customFormat="1" ht="27.6" customHeight="1">
      <c r="A6" s="2134" t="s">
        <v>182</v>
      </c>
      <c r="B6" s="2137" t="s">
        <v>0</v>
      </c>
      <c r="C6" s="2119"/>
      <c r="D6" s="2123" t="s">
        <v>1</v>
      </c>
      <c r="E6" s="2138" t="s">
        <v>1661</v>
      </c>
      <c r="F6" s="2119"/>
      <c r="G6" s="2138" t="s">
        <v>2</v>
      </c>
      <c r="H6" s="2119"/>
      <c r="I6" s="2138" t="s">
        <v>3</v>
      </c>
      <c r="J6" s="2119"/>
      <c r="K6" s="2138" t="s">
        <v>2126</v>
      </c>
      <c r="L6" s="2119"/>
      <c r="M6" s="2138" t="s">
        <v>1694</v>
      </c>
      <c r="N6" s="2139"/>
      <c r="O6" s="2119"/>
    </row>
    <row r="7" spans="1:50" s="2885" customFormat="1" ht="14.25" customHeight="1">
      <c r="A7" s="2135"/>
      <c r="B7" s="2112" t="s">
        <v>4</v>
      </c>
      <c r="C7" s="2123" t="s">
        <v>5</v>
      </c>
      <c r="D7" s="2129"/>
      <c r="E7" s="2112" t="s">
        <v>4</v>
      </c>
      <c r="F7" s="2123" t="s">
        <v>5</v>
      </c>
      <c r="G7" s="2112" t="s">
        <v>4</v>
      </c>
      <c r="H7" s="2123" t="s">
        <v>5</v>
      </c>
      <c r="I7" s="2112" t="s">
        <v>4</v>
      </c>
      <c r="J7" s="2123" t="s">
        <v>5</v>
      </c>
      <c r="K7" s="2112" t="s">
        <v>4</v>
      </c>
      <c r="L7" s="2123" t="s">
        <v>5</v>
      </c>
      <c r="M7" s="2123" t="s">
        <v>6</v>
      </c>
      <c r="N7" s="2123" t="s">
        <v>4102</v>
      </c>
      <c r="O7" s="2123" t="s">
        <v>7</v>
      </c>
    </row>
    <row r="8" spans="1:50" s="2885" customFormat="1" ht="14.25" customHeight="1">
      <c r="A8" s="2136"/>
      <c r="B8" s="1060" t="s">
        <v>8</v>
      </c>
      <c r="C8" s="2122"/>
      <c r="D8" s="2122"/>
      <c r="E8" s="1060" t="s">
        <v>8</v>
      </c>
      <c r="F8" s="2122"/>
      <c r="G8" s="1060" t="s">
        <v>8</v>
      </c>
      <c r="H8" s="2122"/>
      <c r="I8" s="1060" t="s">
        <v>8</v>
      </c>
      <c r="J8" s="2122"/>
      <c r="K8" s="1060" t="s">
        <v>1447</v>
      </c>
      <c r="L8" s="2122"/>
      <c r="M8" s="2122"/>
      <c r="N8" s="2131"/>
      <c r="O8" s="2122"/>
    </row>
    <row r="9" spans="1:50" ht="27.6" customHeight="1">
      <c r="A9" s="2124" t="s">
        <v>304</v>
      </c>
      <c r="B9" s="2127" t="s">
        <v>9</v>
      </c>
      <c r="C9" s="2128"/>
      <c r="D9" s="2121" t="s">
        <v>10</v>
      </c>
      <c r="E9" s="2118" t="s">
        <v>2860</v>
      </c>
      <c r="F9" s="2130"/>
      <c r="G9" s="2118" t="s">
        <v>11</v>
      </c>
      <c r="H9" s="2130"/>
      <c r="I9" s="2118" t="s">
        <v>12</v>
      </c>
      <c r="J9" s="2119"/>
      <c r="K9" s="2118" t="s">
        <v>2645</v>
      </c>
      <c r="L9" s="2119"/>
      <c r="M9" s="2118" t="s">
        <v>13</v>
      </c>
      <c r="N9" s="2120"/>
      <c r="O9" s="2119"/>
    </row>
    <row r="10" spans="1:50" ht="13.2" customHeight="1">
      <c r="A10" s="2125"/>
      <c r="B10" s="2113" t="s">
        <v>14</v>
      </c>
      <c r="C10" s="2121" t="s">
        <v>15</v>
      </c>
      <c r="D10" s="2129"/>
      <c r="E10" s="2113" t="s">
        <v>14</v>
      </c>
      <c r="F10" s="2121" t="s">
        <v>15</v>
      </c>
      <c r="G10" s="2113" t="s">
        <v>14</v>
      </c>
      <c r="H10" s="2121" t="s">
        <v>15</v>
      </c>
      <c r="I10" s="2113" t="s">
        <v>14</v>
      </c>
      <c r="J10" s="2121" t="s">
        <v>15</v>
      </c>
      <c r="K10" s="2113" t="s">
        <v>14</v>
      </c>
      <c r="L10" s="2121" t="s">
        <v>15</v>
      </c>
      <c r="M10" s="2121" t="s">
        <v>16</v>
      </c>
      <c r="N10" s="2121" t="s">
        <v>4103</v>
      </c>
      <c r="O10" s="2121" t="s">
        <v>17</v>
      </c>
    </row>
    <row r="11" spans="1:50" ht="15" customHeight="1">
      <c r="A11" s="2126"/>
      <c r="B11" s="1059" t="s">
        <v>8</v>
      </c>
      <c r="C11" s="2122"/>
      <c r="D11" s="2122"/>
      <c r="E11" s="1059" t="s">
        <v>8</v>
      </c>
      <c r="F11" s="2122"/>
      <c r="G11" s="1059" t="s">
        <v>8</v>
      </c>
      <c r="H11" s="2122"/>
      <c r="I11" s="1059" t="s">
        <v>8</v>
      </c>
      <c r="J11" s="2122"/>
      <c r="K11" s="1059" t="s">
        <v>1448</v>
      </c>
      <c r="L11" s="2122"/>
      <c r="M11" s="2122"/>
      <c r="N11" s="2132"/>
      <c r="O11" s="2122"/>
    </row>
    <row r="12" spans="1:50" hidden="1">
      <c r="A12" s="2886"/>
      <c r="B12" s="2887"/>
      <c r="C12" s="2887"/>
      <c r="D12" s="2887"/>
      <c r="E12" s="2887"/>
      <c r="F12" s="2887"/>
      <c r="G12" s="2887"/>
      <c r="H12" s="2887"/>
      <c r="I12" s="2888"/>
      <c r="J12" s="2889"/>
      <c r="L12" s="2889"/>
      <c r="M12" s="2887"/>
      <c r="N12" s="2887"/>
      <c r="O12" s="2890"/>
    </row>
    <row r="13" spans="1:50" ht="15" hidden="1" customHeight="1">
      <c r="A13" s="2891">
        <v>1995</v>
      </c>
      <c r="B13" s="2892">
        <v>2133.8000000000002</v>
      </c>
      <c r="C13" s="2892">
        <v>88.2</v>
      </c>
      <c r="D13" s="2892"/>
      <c r="E13" s="2892"/>
      <c r="F13" s="2892"/>
      <c r="G13" s="2893">
        <v>227.96</v>
      </c>
      <c r="H13" s="2893">
        <v>187.01</v>
      </c>
      <c r="I13" s="2894">
        <v>1313.98</v>
      </c>
      <c r="J13" s="2892"/>
      <c r="K13" s="2895">
        <v>13.4</v>
      </c>
      <c r="L13" s="2892"/>
      <c r="M13" s="2892">
        <v>4.7</v>
      </c>
      <c r="N13" s="2892"/>
      <c r="O13" s="2887">
        <v>411.8</v>
      </c>
    </row>
    <row r="14" spans="1:50" ht="15" hidden="1" customHeight="1">
      <c r="A14" s="2891">
        <v>1996</v>
      </c>
      <c r="B14" s="2893">
        <v>2732.6</v>
      </c>
      <c r="C14" s="2893">
        <v>101.3</v>
      </c>
      <c r="D14" s="2893"/>
      <c r="E14" s="2896"/>
      <c r="F14" s="2893"/>
      <c r="G14" s="2894">
        <v>644.5</v>
      </c>
      <c r="H14" s="2893">
        <v>282.7</v>
      </c>
      <c r="I14" s="2894">
        <v>1708.18</v>
      </c>
      <c r="J14" s="2893">
        <v>130</v>
      </c>
      <c r="K14" s="2894">
        <v>18.72</v>
      </c>
      <c r="L14" s="2893">
        <v>139.5</v>
      </c>
      <c r="M14" s="2893">
        <v>1.7</v>
      </c>
      <c r="N14" s="2893"/>
      <c r="O14" s="2893">
        <v>19.899999999999999</v>
      </c>
    </row>
    <row r="15" spans="1:50" ht="15" hidden="1" customHeight="1">
      <c r="A15" s="2891">
        <v>1997</v>
      </c>
      <c r="B15" s="2893">
        <v>3158.2</v>
      </c>
      <c r="C15" s="2893">
        <v>105.8</v>
      </c>
      <c r="D15" s="2893"/>
      <c r="E15" s="2896"/>
      <c r="F15" s="2893"/>
      <c r="G15" s="2893">
        <v>910.2</v>
      </c>
      <c r="H15" s="2893">
        <v>141.19999999999999</v>
      </c>
      <c r="I15" s="2894">
        <v>2473.2199999999998</v>
      </c>
      <c r="J15" s="2893">
        <v>177.78</v>
      </c>
      <c r="K15" s="2894">
        <v>28.33</v>
      </c>
      <c r="L15" s="2893">
        <v>151.33000000000001</v>
      </c>
      <c r="M15" s="2893">
        <v>-0.2</v>
      </c>
      <c r="N15" s="2893"/>
      <c r="O15" s="2893">
        <v>3.7</v>
      </c>
    </row>
    <row r="16" spans="1:50" ht="15" hidden="1" customHeight="1">
      <c r="A16" s="2891">
        <v>1998</v>
      </c>
      <c r="B16" s="2893">
        <v>3440.6</v>
      </c>
      <c r="C16" s="2893">
        <v>110</v>
      </c>
      <c r="D16" s="2893"/>
      <c r="E16" s="2896"/>
      <c r="F16" s="2893"/>
      <c r="G16" s="2894">
        <v>1102.4000000000001</v>
      </c>
      <c r="H16" s="2893">
        <v>121.1</v>
      </c>
      <c r="I16" s="2894">
        <v>2849.16</v>
      </c>
      <c r="J16" s="2893">
        <v>115.2</v>
      </c>
      <c r="K16" s="2894">
        <v>33.72</v>
      </c>
      <c r="L16" s="2893">
        <v>119</v>
      </c>
      <c r="M16" s="2893">
        <v>-5.9</v>
      </c>
      <c r="N16" s="2893"/>
      <c r="O16" s="2893">
        <v>-0.79999999999999716</v>
      </c>
    </row>
    <row r="17" spans="1:15" ht="15" hidden="1" customHeight="1">
      <c r="A17" s="2891">
        <v>1999</v>
      </c>
      <c r="B17" s="2893">
        <v>3775</v>
      </c>
      <c r="C17" s="2893">
        <v>107.4</v>
      </c>
      <c r="D17" s="2893"/>
      <c r="E17" s="2896"/>
      <c r="F17" s="2893"/>
      <c r="G17" s="2893">
        <v>928.5</v>
      </c>
      <c r="H17" s="2893">
        <v>84.2</v>
      </c>
      <c r="I17" s="2894">
        <v>3227.38</v>
      </c>
      <c r="J17" s="2893">
        <v>113.2</v>
      </c>
      <c r="K17" s="2894">
        <v>36.85</v>
      </c>
      <c r="L17" s="2893">
        <v>109.28</v>
      </c>
      <c r="M17" s="2893">
        <v>0.4</v>
      </c>
      <c r="N17" s="2893"/>
      <c r="O17" s="2893">
        <v>-8.5</v>
      </c>
    </row>
    <row r="18" spans="1:15" ht="15" hidden="1" customHeight="1">
      <c r="A18" s="2891">
        <v>2000</v>
      </c>
      <c r="B18" s="2893">
        <v>4718.2</v>
      </c>
      <c r="C18" s="2893">
        <v>111.1</v>
      </c>
      <c r="D18" s="2893"/>
      <c r="E18" s="2894">
        <v>3055.8</v>
      </c>
      <c r="F18" s="2893">
        <v>109.9</v>
      </c>
      <c r="G18" s="2894">
        <v>967.8</v>
      </c>
      <c r="H18" s="2893">
        <v>104.2</v>
      </c>
      <c r="I18" s="2894">
        <v>3511.36</v>
      </c>
      <c r="J18" s="2893">
        <v>108.8</v>
      </c>
      <c r="K18" s="2894">
        <v>44.32</v>
      </c>
      <c r="L18" s="2893">
        <v>120.2</v>
      </c>
      <c r="M18" s="2893">
        <v>0.6</v>
      </c>
      <c r="N18" s="2893"/>
      <c r="O18" s="2893">
        <v>1.8</v>
      </c>
    </row>
    <row r="19" spans="1:15" ht="15" hidden="1" customHeight="1">
      <c r="A19" s="2891">
        <v>2001</v>
      </c>
      <c r="B19" s="2893">
        <v>5315.6</v>
      </c>
      <c r="C19" s="2893">
        <v>109.9</v>
      </c>
      <c r="D19" s="2893"/>
      <c r="E19" s="2894">
        <v>3195.9</v>
      </c>
      <c r="F19" s="2893">
        <v>108.7</v>
      </c>
      <c r="G19" s="2894">
        <v>1170.8203000000001</v>
      </c>
      <c r="H19" s="2893">
        <v>116.7</v>
      </c>
      <c r="I19" s="2894">
        <v>3876.36</v>
      </c>
      <c r="J19" s="2893">
        <v>110.4</v>
      </c>
      <c r="K19" s="2894">
        <v>52</v>
      </c>
      <c r="L19" s="2893">
        <v>126.7</v>
      </c>
      <c r="M19" s="2893">
        <v>0.9</v>
      </c>
      <c r="N19" s="2893"/>
      <c r="O19" s="2893">
        <v>1.5</v>
      </c>
    </row>
    <row r="20" spans="1:15" ht="15" hidden="1" customHeight="1">
      <c r="A20" s="2891">
        <v>2002</v>
      </c>
      <c r="B20" s="2897">
        <v>6062.5</v>
      </c>
      <c r="C20" s="2893">
        <v>110.6</v>
      </c>
      <c r="D20" s="2893"/>
      <c r="E20" s="2894">
        <v>3693.9</v>
      </c>
      <c r="F20" s="2893">
        <v>113.8</v>
      </c>
      <c r="G20" s="2894">
        <v>2106.9767000000002</v>
      </c>
      <c r="H20" s="2893">
        <v>182.2</v>
      </c>
      <c r="I20" s="2894">
        <v>4233.9799999999996</v>
      </c>
      <c r="J20" s="2893">
        <v>111.4</v>
      </c>
      <c r="K20" s="2894">
        <v>62.6</v>
      </c>
      <c r="L20" s="2893">
        <v>121.2</v>
      </c>
      <c r="M20" s="2893">
        <v>0.6</v>
      </c>
      <c r="N20" s="2893"/>
      <c r="O20" s="2893">
        <v>2.8</v>
      </c>
    </row>
    <row r="21" spans="1:15" ht="15" hidden="1" customHeight="1">
      <c r="A21" s="2891">
        <v>2003</v>
      </c>
      <c r="B21" s="2897">
        <v>7146.5</v>
      </c>
      <c r="C21" s="2893">
        <v>111.2</v>
      </c>
      <c r="D21" s="2893"/>
      <c r="E21" s="2894">
        <v>4447.6000000000004</v>
      </c>
      <c r="F21" s="2893">
        <v>114.9</v>
      </c>
      <c r="G21" s="2898">
        <v>3786.3667</v>
      </c>
      <c r="H21" s="2893">
        <v>173</v>
      </c>
      <c r="I21" s="2894">
        <v>4841.58</v>
      </c>
      <c r="J21" s="2893">
        <v>111.4</v>
      </c>
      <c r="K21" s="2894">
        <v>76.599999999999994</v>
      </c>
      <c r="L21" s="2893">
        <v>121.4</v>
      </c>
      <c r="M21" s="2893">
        <v>1.5</v>
      </c>
      <c r="N21" s="2893"/>
      <c r="O21" s="2893">
        <v>2.2000000000000002</v>
      </c>
    </row>
    <row r="22" spans="1:15" ht="15" hidden="1" customHeight="1">
      <c r="A22" s="2891">
        <v>2004</v>
      </c>
      <c r="B22" s="2897">
        <v>8530.2000000000007</v>
      </c>
      <c r="C22" s="2893">
        <v>110.2</v>
      </c>
      <c r="D22" s="2893"/>
      <c r="E22" s="2894">
        <v>5242.5</v>
      </c>
      <c r="F22" s="2893">
        <v>113.6</v>
      </c>
      <c r="G22" s="2898">
        <v>4922.7559000000001</v>
      </c>
      <c r="H22" s="2893">
        <v>135.9</v>
      </c>
      <c r="I22" s="2894">
        <v>6009.48</v>
      </c>
      <c r="J22" s="2893">
        <v>120.7</v>
      </c>
      <c r="K22" s="2894">
        <v>96.7</v>
      </c>
      <c r="L22" s="2893">
        <v>126.2</v>
      </c>
      <c r="M22" s="2893">
        <v>1.8</v>
      </c>
      <c r="N22" s="2893"/>
      <c r="O22" s="2893">
        <v>6.7</v>
      </c>
    </row>
    <row r="23" spans="1:15" ht="14.25" hidden="1" customHeight="1">
      <c r="A23" s="2891">
        <v>2005</v>
      </c>
      <c r="B23" s="2893">
        <v>12522.5</v>
      </c>
      <c r="C23" s="2893">
        <v>126.4</v>
      </c>
      <c r="D23" s="2893">
        <v>116.1</v>
      </c>
      <c r="E23" s="2893">
        <v>6055</v>
      </c>
      <c r="F23" s="2893">
        <v>108.3</v>
      </c>
      <c r="G23" s="2893">
        <v>5769.8762999999999</v>
      </c>
      <c r="H23" s="2893">
        <v>112.7</v>
      </c>
      <c r="I23" s="2893">
        <v>7792.3</v>
      </c>
      <c r="J23" s="2893">
        <v>125.7</v>
      </c>
      <c r="K23" s="2893">
        <v>117.9</v>
      </c>
      <c r="L23" s="2893">
        <v>121.9</v>
      </c>
      <c r="M23" s="2893">
        <v>2.2000000000000002</v>
      </c>
      <c r="N23" s="2893">
        <v>5.4</v>
      </c>
      <c r="O23" s="2893">
        <v>9.6</v>
      </c>
    </row>
    <row r="24" spans="1:15" ht="14.25" hidden="1" customHeight="1">
      <c r="A24" s="2899" t="s">
        <v>18</v>
      </c>
      <c r="B24" s="2893">
        <v>656.06</v>
      </c>
      <c r="C24" s="2893">
        <v>107</v>
      </c>
      <c r="D24" s="2893"/>
      <c r="E24" s="2893">
        <v>396.78</v>
      </c>
      <c r="F24" s="2893">
        <v>107.4</v>
      </c>
      <c r="G24" s="2893">
        <v>364.18</v>
      </c>
      <c r="H24" s="2893">
        <v>102.1</v>
      </c>
      <c r="I24" s="2893">
        <v>491.9</v>
      </c>
      <c r="J24" s="2893">
        <v>117.8</v>
      </c>
      <c r="K24" s="2893">
        <v>106.42</v>
      </c>
      <c r="L24" s="2893">
        <v>121.6</v>
      </c>
      <c r="M24" s="2893">
        <v>1.4</v>
      </c>
      <c r="N24" s="2893">
        <v>9.7936583933029908</v>
      </c>
      <c r="O24" s="2893">
        <v>9.7936583933029908</v>
      </c>
    </row>
    <row r="25" spans="1:15" ht="14.25" hidden="1" customHeight="1">
      <c r="A25" s="2899" t="s">
        <v>19</v>
      </c>
      <c r="B25" s="2893">
        <v>1406.36</v>
      </c>
      <c r="C25" s="2893">
        <v>108.5</v>
      </c>
      <c r="D25" s="2893"/>
      <c r="E25" s="2893">
        <v>879.64</v>
      </c>
      <c r="F25" s="2893">
        <v>108.4</v>
      </c>
      <c r="G25" s="2893">
        <v>667.6</v>
      </c>
      <c r="H25" s="2893">
        <v>105.2</v>
      </c>
      <c r="I25" s="2893">
        <v>1009.24</v>
      </c>
      <c r="J25" s="2893">
        <v>122.7</v>
      </c>
      <c r="K25" s="2893">
        <v>106.6</v>
      </c>
      <c r="L25" s="2893">
        <v>121.7</v>
      </c>
      <c r="M25" s="2893">
        <v>1.2</v>
      </c>
      <c r="N25" s="2893">
        <v>10.967549748110855</v>
      </c>
      <c r="O25" s="2893">
        <v>10.3809836860856</v>
      </c>
    </row>
    <row r="26" spans="1:15" ht="14.25" hidden="1" customHeight="1">
      <c r="A26" s="2899" t="s">
        <v>20</v>
      </c>
      <c r="B26" s="2893">
        <v>2131.48</v>
      </c>
      <c r="C26" s="2893">
        <v>110.8</v>
      </c>
      <c r="D26" s="2893"/>
      <c r="E26" s="2893">
        <v>1260.9000000000001</v>
      </c>
      <c r="F26" s="2893">
        <v>107.3</v>
      </c>
      <c r="G26" s="2893">
        <v>1082.58</v>
      </c>
      <c r="H26" s="2893">
        <v>98.2</v>
      </c>
      <c r="I26" s="2893">
        <v>1620.9</v>
      </c>
      <c r="J26" s="2893">
        <v>124.1</v>
      </c>
      <c r="K26" s="2893">
        <v>106.78</v>
      </c>
      <c r="L26" s="2893">
        <v>122.8</v>
      </c>
      <c r="M26" s="2893">
        <v>2.2000000000000002</v>
      </c>
      <c r="N26" s="2893">
        <v>12.310628126638505</v>
      </c>
      <c r="O26" s="2893">
        <v>11.028656085002936</v>
      </c>
    </row>
    <row r="27" spans="1:15" ht="14.25" hidden="1" customHeight="1">
      <c r="A27" s="2899" t="s">
        <v>21</v>
      </c>
      <c r="B27" s="2893">
        <v>3088.96</v>
      </c>
      <c r="C27" s="2893">
        <v>114.2</v>
      </c>
      <c r="D27" s="2893"/>
      <c r="E27" s="2893">
        <v>1835.9</v>
      </c>
      <c r="F27" s="2893">
        <v>107</v>
      </c>
      <c r="G27" s="2893">
        <v>1582.84</v>
      </c>
      <c r="H27" s="2893">
        <v>109.9</v>
      </c>
      <c r="I27" s="2893">
        <v>2227.3000000000002</v>
      </c>
      <c r="J27" s="2893">
        <v>125.2</v>
      </c>
      <c r="K27" s="2893">
        <v>109.76</v>
      </c>
      <c r="L27" s="2893">
        <v>124.5</v>
      </c>
      <c r="M27" s="2893">
        <v>0.6</v>
      </c>
      <c r="N27" s="2893">
        <v>12.252607226831429</v>
      </c>
      <c r="O27" s="2893">
        <v>11.337730511194422</v>
      </c>
    </row>
    <row r="28" spans="1:15" ht="14.25" hidden="1" customHeight="1">
      <c r="A28" s="2899" t="s">
        <v>22</v>
      </c>
      <c r="B28" s="2893">
        <v>3967.82</v>
      </c>
      <c r="C28" s="2893">
        <v>116</v>
      </c>
      <c r="D28" s="2893"/>
      <c r="E28" s="2893">
        <v>2391.86</v>
      </c>
      <c r="F28" s="2893">
        <v>107.8</v>
      </c>
      <c r="G28" s="2893">
        <v>2123.3000000000002</v>
      </c>
      <c r="H28" s="2893">
        <v>114.5</v>
      </c>
      <c r="I28" s="2893">
        <v>2820.9</v>
      </c>
      <c r="J28" s="2893">
        <v>125.4</v>
      </c>
      <c r="K28" s="2893">
        <v>111.14</v>
      </c>
      <c r="L28" s="2893">
        <v>125.5</v>
      </c>
      <c r="M28" s="2893">
        <v>-0.7</v>
      </c>
      <c r="N28" s="2893">
        <v>11.305353825057907</v>
      </c>
      <c r="O28" s="2893">
        <v>11.331195464641013</v>
      </c>
    </row>
    <row r="29" spans="1:15" ht="14.25" hidden="1" customHeight="1">
      <c r="A29" s="2899" t="s">
        <v>23</v>
      </c>
      <c r="B29" s="2893">
        <v>4901.0200000000004</v>
      </c>
      <c r="C29" s="2893">
        <v>116.5</v>
      </c>
      <c r="D29" s="2893"/>
      <c r="E29" s="2893">
        <v>2962.08</v>
      </c>
      <c r="F29" s="2893">
        <v>107.7</v>
      </c>
      <c r="G29" s="2893">
        <v>2555.2199999999998</v>
      </c>
      <c r="H29" s="2893">
        <v>110.3</v>
      </c>
      <c r="I29" s="2893">
        <v>3446.22</v>
      </c>
      <c r="J29" s="2893">
        <v>125.9</v>
      </c>
      <c r="K29" s="2893">
        <v>112.24</v>
      </c>
      <c r="L29" s="2893">
        <v>125.9</v>
      </c>
      <c r="M29" s="2893">
        <v>-1.8</v>
      </c>
      <c r="N29" s="2893">
        <v>10.997022827265752</v>
      </c>
      <c r="O29" s="2893">
        <v>11.275787708469124</v>
      </c>
    </row>
    <row r="30" spans="1:15" ht="14.25" hidden="1" customHeight="1">
      <c r="A30" s="2899" t="s">
        <v>24</v>
      </c>
      <c r="B30" s="2893">
        <v>5870.46</v>
      </c>
      <c r="C30" s="2893">
        <v>118.9</v>
      </c>
      <c r="D30" s="2893"/>
      <c r="E30" s="2893">
        <v>3546.82</v>
      </c>
      <c r="F30" s="2893">
        <v>107.8</v>
      </c>
      <c r="G30" s="2893">
        <v>2966.06</v>
      </c>
      <c r="H30" s="2893">
        <v>109.7</v>
      </c>
      <c r="I30" s="2893">
        <v>4077.36</v>
      </c>
      <c r="J30" s="2893">
        <v>126</v>
      </c>
      <c r="K30" s="2893">
        <v>113.44</v>
      </c>
      <c r="L30" s="2893">
        <v>122.3</v>
      </c>
      <c r="M30" s="2893">
        <v>-1.6</v>
      </c>
      <c r="N30" s="2893">
        <v>10.514883043019722</v>
      </c>
      <c r="O30" s="2893">
        <v>11.168657216900925</v>
      </c>
    </row>
    <row r="31" spans="1:15" ht="14.25" hidden="1" customHeight="1">
      <c r="A31" s="2899" t="s">
        <v>25</v>
      </c>
      <c r="B31" s="2893">
        <v>7142.8</v>
      </c>
      <c r="C31" s="2893">
        <v>120.2</v>
      </c>
      <c r="D31" s="2893"/>
      <c r="E31" s="2893">
        <v>4258.8599999999997</v>
      </c>
      <c r="F31" s="2893">
        <v>107.9</v>
      </c>
      <c r="G31" s="2893">
        <v>3413.4</v>
      </c>
      <c r="H31" s="2893">
        <v>111.4</v>
      </c>
      <c r="I31" s="2893">
        <v>4698.6400000000003</v>
      </c>
      <c r="J31" s="2893">
        <v>126.3</v>
      </c>
      <c r="K31" s="2893">
        <v>114.48</v>
      </c>
      <c r="L31" s="2893">
        <v>122.5</v>
      </c>
      <c r="M31" s="2893">
        <v>-0.6</v>
      </c>
      <c r="N31" s="2893">
        <v>10.114411925730678</v>
      </c>
      <c r="O31" s="2893">
        <v>11.038817280966981</v>
      </c>
    </row>
    <row r="32" spans="1:15" ht="14.25" hidden="1" customHeight="1">
      <c r="A32" s="2899" t="s">
        <v>26</v>
      </c>
      <c r="B32" s="2893">
        <v>8180.58</v>
      </c>
      <c r="C32" s="2893">
        <v>121.8</v>
      </c>
      <c r="D32" s="2893"/>
      <c r="E32" s="2893">
        <v>4784.16</v>
      </c>
      <c r="F32" s="2893">
        <v>107.7</v>
      </c>
      <c r="G32" s="2893">
        <v>3808.22</v>
      </c>
      <c r="H32" s="2893">
        <v>110.7</v>
      </c>
      <c r="I32" s="2893">
        <v>5374</v>
      </c>
      <c r="J32" s="2893">
        <v>126.7</v>
      </c>
      <c r="K32" s="2893">
        <v>115.5</v>
      </c>
      <c r="L32" s="2893">
        <v>122.2</v>
      </c>
      <c r="M32" s="2893">
        <v>0.8</v>
      </c>
      <c r="N32" s="2893">
        <v>10.241006461507268</v>
      </c>
      <c r="O32" s="2893">
        <v>10.950801398777088</v>
      </c>
    </row>
    <row r="33" spans="1:15" ht="14.25" hidden="1" customHeight="1">
      <c r="A33" s="2899" t="s">
        <v>27</v>
      </c>
      <c r="B33" s="2893">
        <v>9278.84</v>
      </c>
      <c r="C33" s="2893">
        <v>123.4</v>
      </c>
      <c r="D33" s="2893"/>
      <c r="E33" s="2893">
        <v>5368.2</v>
      </c>
      <c r="F33" s="2893">
        <v>107.8</v>
      </c>
      <c r="G33" s="2893">
        <v>4307</v>
      </c>
      <c r="H33" s="2893">
        <v>110.4</v>
      </c>
      <c r="I33" s="2893">
        <v>6117.78</v>
      </c>
      <c r="J33" s="2893">
        <v>126.8</v>
      </c>
      <c r="K33" s="2893">
        <v>116.36</v>
      </c>
      <c r="L33" s="2893">
        <v>121.7</v>
      </c>
      <c r="M33" s="2893">
        <v>0.5</v>
      </c>
      <c r="N33" s="2893">
        <v>6.1429576927333471</v>
      </c>
      <c r="O33" s="2893">
        <v>10.454329524005686</v>
      </c>
    </row>
    <row r="34" spans="1:15" ht="14.25" hidden="1" customHeight="1">
      <c r="A34" s="2899" t="s">
        <v>28</v>
      </c>
      <c r="B34" s="2893">
        <v>10465.94</v>
      </c>
      <c r="C34" s="2893">
        <v>125.2</v>
      </c>
      <c r="D34" s="2893"/>
      <c r="E34" s="2893">
        <v>6061.04</v>
      </c>
      <c r="F34" s="2893">
        <v>108.1</v>
      </c>
      <c r="G34" s="2893">
        <v>4716.66</v>
      </c>
      <c r="H34" s="2893">
        <v>111.9</v>
      </c>
      <c r="I34" s="2893">
        <v>6884.9</v>
      </c>
      <c r="J34" s="2893">
        <v>126.9</v>
      </c>
      <c r="K34" s="2893">
        <v>117.12</v>
      </c>
      <c r="L34" s="2893">
        <v>122.2</v>
      </c>
      <c r="M34" s="2893">
        <v>1.1000000000000001</v>
      </c>
      <c r="N34" s="2893">
        <v>4.9376642905702965</v>
      </c>
      <c r="O34" s="2893">
        <v>9.9274216548090237</v>
      </c>
    </row>
    <row r="35" spans="1:15" ht="14.25" hidden="1" customHeight="1">
      <c r="A35" s="2899" t="s">
        <v>29</v>
      </c>
      <c r="B35" s="2893">
        <v>12522.5</v>
      </c>
      <c r="C35" s="2893">
        <v>126.4</v>
      </c>
      <c r="D35" s="2893"/>
      <c r="E35" s="2893">
        <v>6055</v>
      </c>
      <c r="F35" s="2893">
        <v>108.3</v>
      </c>
      <c r="G35" s="2893">
        <v>5424.3</v>
      </c>
      <c r="H35" s="2893">
        <v>112.7</v>
      </c>
      <c r="I35" s="2893">
        <v>7792.3</v>
      </c>
      <c r="J35" s="2893">
        <v>125.7</v>
      </c>
      <c r="K35" s="2893">
        <v>117.9</v>
      </c>
      <c r="L35" s="2893">
        <v>121.9</v>
      </c>
      <c r="M35" s="2893">
        <v>2.2000000000000002</v>
      </c>
      <c r="N35" s="2893">
        <v>5.4</v>
      </c>
      <c r="O35" s="2893">
        <v>9.6</v>
      </c>
    </row>
    <row r="36" spans="1:15" ht="14.25" hidden="1" customHeight="1">
      <c r="A36" s="2899"/>
      <c r="B36" s="2893"/>
      <c r="C36" s="2893"/>
      <c r="D36" s="2893"/>
      <c r="E36" s="2893"/>
      <c r="F36" s="2893"/>
      <c r="G36" s="2893"/>
      <c r="H36" s="2893"/>
      <c r="I36" s="2893"/>
      <c r="J36" s="2893"/>
      <c r="K36" s="2893"/>
      <c r="L36" s="2893"/>
      <c r="M36" s="2893"/>
      <c r="N36" s="2893"/>
      <c r="O36" s="2893"/>
    </row>
    <row r="37" spans="1:15" ht="14.25" hidden="1" customHeight="1">
      <c r="A37" s="2891">
        <v>2006</v>
      </c>
      <c r="B37" s="2893">
        <v>18746.2</v>
      </c>
      <c r="C37" s="2893">
        <v>134.5</v>
      </c>
      <c r="D37" s="2893">
        <v>107.1</v>
      </c>
      <c r="E37" s="2893">
        <v>7079.1</v>
      </c>
      <c r="F37" s="2893">
        <v>111.9</v>
      </c>
      <c r="G37" s="2893">
        <v>6234.4836999999998</v>
      </c>
      <c r="H37" s="2893">
        <v>114.8</v>
      </c>
      <c r="I37" s="2893">
        <v>9949.7999999999993</v>
      </c>
      <c r="J37" s="2893">
        <v>123.4</v>
      </c>
      <c r="K37" s="2893">
        <v>141.30000000000001</v>
      </c>
      <c r="L37" s="2893">
        <v>119.8</v>
      </c>
      <c r="M37" s="2893">
        <v>2.1</v>
      </c>
      <c r="N37" s="2893">
        <v>11.4</v>
      </c>
      <c r="O37" s="2893">
        <v>8.3000000000000007</v>
      </c>
    </row>
    <row r="38" spans="1:15" ht="14.25" hidden="1" customHeight="1">
      <c r="A38" s="2899" t="s">
        <v>18</v>
      </c>
      <c r="B38" s="2893">
        <v>1012.8</v>
      </c>
      <c r="C38" s="2893">
        <v>134.6</v>
      </c>
      <c r="D38" s="2893"/>
      <c r="E38" s="2893">
        <v>513</v>
      </c>
      <c r="F38" s="2893">
        <v>106.4</v>
      </c>
      <c r="G38" s="2893">
        <v>356.5</v>
      </c>
      <c r="H38" s="2893">
        <v>101.2</v>
      </c>
      <c r="I38" s="2893">
        <v>602.5</v>
      </c>
      <c r="J38" s="2893">
        <v>117.9</v>
      </c>
      <c r="K38" s="2893">
        <v>127.2</v>
      </c>
      <c r="L38" s="2893">
        <v>119.5</v>
      </c>
      <c r="M38" s="2893">
        <v>1.3</v>
      </c>
      <c r="N38" s="2893">
        <v>5.3</v>
      </c>
      <c r="O38" s="2893">
        <v>5.3</v>
      </c>
    </row>
    <row r="39" spans="1:15" ht="14.25" hidden="1" customHeight="1">
      <c r="A39" s="2899" t="s">
        <v>19</v>
      </c>
      <c r="B39" s="2893">
        <v>2228.9</v>
      </c>
      <c r="C39" s="2893">
        <v>148.1</v>
      </c>
      <c r="D39" s="2893"/>
      <c r="E39" s="2893">
        <v>1066.8</v>
      </c>
      <c r="F39" s="2893">
        <v>107.6</v>
      </c>
      <c r="G39" s="2893">
        <v>687.7</v>
      </c>
      <c r="H39" s="2893">
        <v>105.2</v>
      </c>
      <c r="I39" s="2893">
        <v>1572.1</v>
      </c>
      <c r="J39" s="2893">
        <v>118.4</v>
      </c>
      <c r="K39" s="2893">
        <v>128.69999999999999</v>
      </c>
      <c r="L39" s="2893">
        <v>120.7</v>
      </c>
      <c r="M39" s="2893">
        <v>1.9</v>
      </c>
      <c r="N39" s="2893">
        <v>6.1</v>
      </c>
      <c r="O39" s="2893">
        <v>5.7</v>
      </c>
    </row>
    <row r="40" spans="1:15" ht="14.25" hidden="1" customHeight="1">
      <c r="A40" s="2899" t="s">
        <v>20</v>
      </c>
      <c r="B40" s="2893">
        <v>3223</v>
      </c>
      <c r="C40" s="2893">
        <v>139.5</v>
      </c>
      <c r="D40" s="2893"/>
      <c r="E40" s="2893">
        <v>1310.5</v>
      </c>
      <c r="F40" s="2893">
        <v>108.9</v>
      </c>
      <c r="G40" s="2893">
        <v>1106.7</v>
      </c>
      <c r="H40" s="2893">
        <v>106.9</v>
      </c>
      <c r="I40" s="2893">
        <v>2460.6</v>
      </c>
      <c r="J40" s="2893">
        <v>118.6</v>
      </c>
      <c r="K40" s="2893">
        <v>129.69999999999999</v>
      </c>
      <c r="L40" s="2893">
        <v>120.3</v>
      </c>
      <c r="M40" s="2893">
        <v>1.3</v>
      </c>
      <c r="N40" s="2893">
        <v>5</v>
      </c>
      <c r="O40" s="2893">
        <v>5.5</v>
      </c>
    </row>
    <row r="41" spans="1:15" ht="14.25" hidden="1" customHeight="1">
      <c r="A41" s="2899" t="s">
        <v>21</v>
      </c>
      <c r="B41" s="2893">
        <v>4477.8999999999996</v>
      </c>
      <c r="C41" s="2893">
        <v>139.5</v>
      </c>
      <c r="D41" s="2893"/>
      <c r="E41" s="2893">
        <v>2185</v>
      </c>
      <c r="F41" s="2893">
        <v>108</v>
      </c>
      <c r="G41" s="2893">
        <v>1668.2</v>
      </c>
      <c r="H41" s="2893">
        <v>111.3</v>
      </c>
      <c r="I41" s="2893">
        <v>3249.1</v>
      </c>
      <c r="J41" s="2893">
        <v>118.9</v>
      </c>
      <c r="K41" s="2893">
        <v>132</v>
      </c>
      <c r="L41" s="2893">
        <v>120.2</v>
      </c>
      <c r="M41" s="2893">
        <v>0.7</v>
      </c>
      <c r="N41" s="2893">
        <v>5.2</v>
      </c>
      <c r="O41" s="2893">
        <v>5.4</v>
      </c>
    </row>
    <row r="42" spans="1:15" ht="14.25" hidden="1" customHeight="1">
      <c r="A42" s="2899" t="s">
        <v>22</v>
      </c>
      <c r="B42" s="2893">
        <v>5853.9</v>
      </c>
      <c r="C42" s="2893">
        <v>138</v>
      </c>
      <c r="D42" s="2893"/>
      <c r="E42" s="2893">
        <v>2926.7</v>
      </c>
      <c r="F42" s="2893">
        <v>108</v>
      </c>
      <c r="G42" s="2893">
        <v>2184.1</v>
      </c>
      <c r="H42" s="2893">
        <v>108.8</v>
      </c>
      <c r="I42" s="2893">
        <v>4043.7</v>
      </c>
      <c r="J42" s="2893">
        <v>119.6</v>
      </c>
      <c r="K42" s="2893">
        <v>133.69999999999999</v>
      </c>
      <c r="L42" s="2893">
        <v>120.3</v>
      </c>
      <c r="M42" s="2893">
        <v>0.3</v>
      </c>
      <c r="N42" s="2893">
        <v>6.3</v>
      </c>
      <c r="O42" s="2893">
        <v>5.6</v>
      </c>
    </row>
    <row r="43" spans="1:15" ht="14.25" hidden="1" customHeight="1">
      <c r="A43" s="2899" t="s">
        <v>23</v>
      </c>
      <c r="B43" s="2893">
        <v>7146.4</v>
      </c>
      <c r="C43" s="2893">
        <v>136.30000000000001</v>
      </c>
      <c r="D43" s="2893"/>
      <c r="E43" s="2893">
        <v>3584.8</v>
      </c>
      <c r="F43" s="2893">
        <v>108.8</v>
      </c>
      <c r="G43" s="2893">
        <v>2626.7</v>
      </c>
      <c r="H43" s="2893">
        <v>107.9</v>
      </c>
      <c r="I43" s="2893">
        <v>4843.2</v>
      </c>
      <c r="J43" s="2893">
        <v>119.6</v>
      </c>
      <c r="K43" s="2893">
        <v>135.1</v>
      </c>
      <c r="L43" s="2893">
        <v>120.4</v>
      </c>
      <c r="M43" s="2893">
        <v>-0.1</v>
      </c>
      <c r="N43" s="2893">
        <v>8.1</v>
      </c>
      <c r="O43" s="2893">
        <v>6</v>
      </c>
    </row>
    <row r="44" spans="1:15" s="2900" customFormat="1" ht="13.8" hidden="1">
      <c r="A44" s="2899" t="s">
        <v>24</v>
      </c>
      <c r="B44" s="2893">
        <v>8803.5</v>
      </c>
      <c r="C44" s="2893">
        <v>135.1</v>
      </c>
      <c r="D44" s="2893"/>
      <c r="E44" s="2893">
        <v>4435.5</v>
      </c>
      <c r="F44" s="2893">
        <v>108.5</v>
      </c>
      <c r="G44" s="2893">
        <v>3164.3</v>
      </c>
      <c r="H44" s="2893">
        <v>112.9</v>
      </c>
      <c r="I44" s="2893">
        <v>5704.1</v>
      </c>
      <c r="J44" s="2893">
        <v>120.1</v>
      </c>
      <c r="K44" s="2893">
        <v>136.1</v>
      </c>
      <c r="L44" s="2893">
        <v>120</v>
      </c>
      <c r="M44" s="2893">
        <v>-0.3</v>
      </c>
      <c r="N44" s="2893">
        <v>9.6</v>
      </c>
      <c r="O44" s="2893">
        <v>6.5</v>
      </c>
    </row>
    <row r="45" spans="1:15" s="2900" customFormat="1" ht="13.8" hidden="1">
      <c r="A45" s="2899" t="s">
        <v>25</v>
      </c>
      <c r="B45" s="2893">
        <v>10296.700000000001</v>
      </c>
      <c r="C45" s="2893">
        <v>134.4</v>
      </c>
      <c r="D45" s="2893"/>
      <c r="E45" s="2893">
        <v>4993.5</v>
      </c>
      <c r="F45" s="2893">
        <v>108</v>
      </c>
      <c r="G45" s="2893">
        <v>3623.9</v>
      </c>
      <c r="H45" s="2893">
        <v>111.7</v>
      </c>
      <c r="I45" s="2893">
        <v>6536.9</v>
      </c>
      <c r="J45" s="2893">
        <v>120.6</v>
      </c>
      <c r="K45" s="2893">
        <v>137.4</v>
      </c>
      <c r="L45" s="2893">
        <v>120</v>
      </c>
      <c r="M45" s="2893">
        <v>0</v>
      </c>
      <c r="N45" s="2893">
        <v>10.199999999999999</v>
      </c>
      <c r="O45" s="2893">
        <v>6.9</v>
      </c>
    </row>
    <row r="46" spans="1:15" s="2900" customFormat="1" ht="13.8" hidden="1">
      <c r="A46" s="2899" t="s">
        <v>26</v>
      </c>
      <c r="B46" s="2893">
        <v>12730.2</v>
      </c>
      <c r="C46" s="2893">
        <v>134</v>
      </c>
      <c r="D46" s="2893"/>
      <c r="E46" s="2893">
        <v>5880.4</v>
      </c>
      <c r="F46" s="2893">
        <v>107.6</v>
      </c>
      <c r="G46" s="2893">
        <v>4251.5</v>
      </c>
      <c r="H46" s="2893">
        <v>116.4</v>
      </c>
      <c r="I46" s="2893">
        <v>7416.2</v>
      </c>
      <c r="J46" s="2893">
        <v>121.2</v>
      </c>
      <c r="K46" s="2893">
        <v>138.5</v>
      </c>
      <c r="L46" s="2893">
        <v>119.9</v>
      </c>
      <c r="M46" s="2893">
        <v>0.9</v>
      </c>
      <c r="N46" s="2893">
        <v>10.3</v>
      </c>
      <c r="O46" s="2893">
        <v>7.3</v>
      </c>
    </row>
    <row r="47" spans="1:15" s="2900" customFormat="1" ht="13.8" hidden="1">
      <c r="A47" s="2899" t="s">
        <v>27</v>
      </c>
      <c r="B47" s="2893">
        <v>14761.8</v>
      </c>
      <c r="C47" s="2893">
        <v>134.30000000000001</v>
      </c>
      <c r="D47" s="2893"/>
      <c r="E47" s="2893">
        <v>7037.2</v>
      </c>
      <c r="F47" s="2893">
        <v>111</v>
      </c>
      <c r="G47" s="2893">
        <v>4750.1000000000004</v>
      </c>
      <c r="H47" s="2893">
        <v>115</v>
      </c>
      <c r="I47" s="2893">
        <v>8339.2000000000007</v>
      </c>
      <c r="J47" s="2893">
        <v>121.9</v>
      </c>
      <c r="K47" s="2893">
        <v>139.5</v>
      </c>
      <c r="L47" s="2893">
        <v>119.8</v>
      </c>
      <c r="M47" s="2893">
        <v>1.3</v>
      </c>
      <c r="N47" s="2893">
        <v>11.2</v>
      </c>
      <c r="O47" s="2893">
        <v>7.7</v>
      </c>
    </row>
    <row r="48" spans="1:15" s="2900" customFormat="1" ht="13.8" hidden="1">
      <c r="A48" s="2899" t="s">
        <v>28</v>
      </c>
      <c r="B48" s="2893">
        <v>16329.4</v>
      </c>
      <c r="C48" s="2893">
        <v>134.4</v>
      </c>
      <c r="D48" s="2893"/>
      <c r="E48" s="2893">
        <v>7605.8</v>
      </c>
      <c r="F48" s="2893">
        <v>111.2</v>
      </c>
      <c r="G48" s="2893">
        <v>5219.5</v>
      </c>
      <c r="H48" s="2893">
        <v>115.2</v>
      </c>
      <c r="I48" s="2893">
        <v>9223.2000000000007</v>
      </c>
      <c r="J48" s="2893">
        <v>122.5</v>
      </c>
      <c r="K48" s="2893">
        <v>140.4</v>
      </c>
      <c r="L48" s="2893">
        <v>119.9</v>
      </c>
      <c r="M48" s="2893">
        <v>1.3</v>
      </c>
      <c r="N48" s="2893">
        <v>11.5</v>
      </c>
      <c r="O48" s="2893">
        <v>8</v>
      </c>
    </row>
    <row r="49" spans="1:188" s="2900" customFormat="1" ht="15.75" hidden="1" customHeight="1">
      <c r="A49" s="2899" t="s">
        <v>29</v>
      </c>
      <c r="B49" s="2893">
        <v>18746.2</v>
      </c>
      <c r="C49" s="2893">
        <v>134.5</v>
      </c>
      <c r="D49" s="2893"/>
      <c r="E49" s="2893">
        <v>7079.1</v>
      </c>
      <c r="F49" s="2893">
        <v>111.8</v>
      </c>
      <c r="G49" s="2893">
        <v>5963.6</v>
      </c>
      <c r="H49" s="2893">
        <v>114.8</v>
      </c>
      <c r="I49" s="2893">
        <v>9949.7999999999993</v>
      </c>
      <c r="J49" s="2893">
        <v>123.4</v>
      </c>
      <c r="K49" s="2893">
        <v>141.30000000000001</v>
      </c>
      <c r="L49" s="2893">
        <v>119.8</v>
      </c>
      <c r="M49" s="2893">
        <v>2.1</v>
      </c>
      <c r="N49" s="2893">
        <v>11.4</v>
      </c>
      <c r="O49" s="2893">
        <v>8.3000000000000007</v>
      </c>
    </row>
    <row r="50" spans="1:188" s="2900" customFormat="1" ht="13.8" hidden="1">
      <c r="A50" s="2891">
        <v>2007</v>
      </c>
      <c r="B50" s="2893">
        <v>28360.5</v>
      </c>
      <c r="C50" s="2893">
        <v>125</v>
      </c>
      <c r="D50" s="2893">
        <v>114.4</v>
      </c>
      <c r="E50" s="2893">
        <v>9533.9</v>
      </c>
      <c r="F50" s="2893">
        <v>111.4</v>
      </c>
      <c r="G50" s="2893">
        <v>7471.1899000000003</v>
      </c>
      <c r="H50" s="2893">
        <v>117.8</v>
      </c>
      <c r="I50" s="2893">
        <v>14305.6</v>
      </c>
      <c r="J50" s="2893">
        <v>140.30000000000001</v>
      </c>
      <c r="K50" s="2893">
        <v>214</v>
      </c>
      <c r="L50" s="2893">
        <v>142</v>
      </c>
      <c r="M50" s="2893">
        <v>2.5</v>
      </c>
      <c r="N50" s="2893">
        <v>19.636026926081001</v>
      </c>
      <c r="O50" s="2893">
        <v>16.7</v>
      </c>
    </row>
    <row r="51" spans="1:188" s="2900" customFormat="1" ht="15" hidden="1" customHeight="1">
      <c r="A51" s="2899" t="s">
        <v>18</v>
      </c>
      <c r="B51" s="2893" t="s">
        <v>30</v>
      </c>
      <c r="C51" s="2893">
        <v>146.69999999999999</v>
      </c>
      <c r="D51" s="2893">
        <v>100.1</v>
      </c>
      <c r="E51" s="2893">
        <v>613.6</v>
      </c>
      <c r="F51" s="2893">
        <v>106.2</v>
      </c>
      <c r="G51" s="2893">
        <v>357.2</v>
      </c>
      <c r="H51" s="2893">
        <v>103.5</v>
      </c>
      <c r="I51" s="2893">
        <v>838.7</v>
      </c>
      <c r="J51" s="2893">
        <v>129.9</v>
      </c>
      <c r="K51" s="2893">
        <v>160.6</v>
      </c>
      <c r="L51" s="2893">
        <v>126.3</v>
      </c>
      <c r="M51" s="2893">
        <v>6.4</v>
      </c>
      <c r="N51" s="2893">
        <v>17</v>
      </c>
      <c r="O51" s="2893">
        <v>17</v>
      </c>
    </row>
    <row r="52" spans="1:188" s="2900" customFormat="1" ht="15" hidden="1" customHeight="1">
      <c r="A52" s="2899" t="s">
        <v>19</v>
      </c>
      <c r="B52" s="2893" t="s">
        <v>31</v>
      </c>
      <c r="C52" s="2893">
        <v>141.69999999999999</v>
      </c>
      <c r="D52" s="2893">
        <v>101.4</v>
      </c>
      <c r="E52" s="2893">
        <v>1255.7</v>
      </c>
      <c r="F52" s="2893">
        <v>106.6</v>
      </c>
      <c r="G52" s="2893">
        <v>725.1</v>
      </c>
      <c r="H52" s="2893">
        <v>113.9</v>
      </c>
      <c r="I52" s="2893">
        <v>1825.7</v>
      </c>
      <c r="J52" s="2893">
        <v>133</v>
      </c>
      <c r="K52" s="2893">
        <v>161.4</v>
      </c>
      <c r="L52" s="2893">
        <v>125.4</v>
      </c>
      <c r="M52" s="2893">
        <v>1.5</v>
      </c>
      <c r="N52" s="2893">
        <v>16.5</v>
      </c>
      <c r="O52" s="2893">
        <v>16.7</v>
      </c>
    </row>
    <row r="53" spans="1:188" s="2900" customFormat="1" ht="15" hidden="1" customHeight="1">
      <c r="A53" s="2899" t="s">
        <v>20</v>
      </c>
      <c r="B53" s="2893" t="s">
        <v>32</v>
      </c>
      <c r="C53" s="2893">
        <v>139.69999999999999</v>
      </c>
      <c r="D53" s="2893">
        <v>102.1</v>
      </c>
      <c r="E53" s="2893">
        <v>2005.8</v>
      </c>
      <c r="F53" s="2893">
        <v>106.6</v>
      </c>
      <c r="G53" s="2893">
        <v>1180</v>
      </c>
      <c r="H53" s="2893">
        <v>112.3</v>
      </c>
      <c r="I53" s="2893">
        <v>2924.4</v>
      </c>
      <c r="J53" s="2893">
        <v>135.19999999999999</v>
      </c>
      <c r="K53" s="2893">
        <v>163.69999999999999</v>
      </c>
      <c r="L53" s="2893">
        <v>126.2</v>
      </c>
      <c r="M53" s="2893">
        <v>1.2</v>
      </c>
      <c r="N53" s="2893">
        <v>16.399999999999999</v>
      </c>
      <c r="O53" s="2893">
        <v>16.600000000000001</v>
      </c>
    </row>
    <row r="54" spans="1:188" s="2901" customFormat="1" ht="15" hidden="1" customHeight="1">
      <c r="A54" s="2899" t="s">
        <v>21</v>
      </c>
      <c r="B54" s="2893" t="s">
        <v>33</v>
      </c>
      <c r="C54" s="2893">
        <v>137.1</v>
      </c>
      <c r="D54" s="2893">
        <v>101.9</v>
      </c>
      <c r="E54" s="2893">
        <v>2746.5</v>
      </c>
      <c r="F54" s="2893">
        <v>107.4</v>
      </c>
      <c r="G54" s="2893">
        <v>1692.8</v>
      </c>
      <c r="H54" s="2893">
        <v>109.6</v>
      </c>
      <c r="I54" s="2893">
        <v>4008.9</v>
      </c>
      <c r="J54" s="2893">
        <v>136.69999999999999</v>
      </c>
      <c r="K54" s="2893">
        <v>166.1</v>
      </c>
      <c r="L54" s="2893">
        <v>125.8</v>
      </c>
      <c r="M54" s="2893">
        <v>0.4</v>
      </c>
      <c r="N54" s="2893">
        <v>16</v>
      </c>
      <c r="O54" s="2893">
        <v>16.5</v>
      </c>
      <c r="P54" s="2900"/>
      <c r="Q54" s="2900"/>
      <c r="R54" s="2900"/>
      <c r="S54" s="2900"/>
      <c r="T54" s="2900"/>
      <c r="U54" s="2900"/>
      <c r="V54" s="2900"/>
      <c r="W54" s="2900"/>
      <c r="X54" s="2900"/>
      <c r="Y54" s="2900"/>
      <c r="Z54" s="2900"/>
      <c r="AA54" s="2900"/>
      <c r="AB54" s="2900"/>
      <c r="AC54" s="2900"/>
      <c r="AD54" s="2900"/>
      <c r="AE54" s="2900"/>
      <c r="AF54" s="2900"/>
      <c r="AG54" s="2900"/>
      <c r="AH54" s="2900"/>
      <c r="AI54" s="2900"/>
      <c r="AJ54" s="2900"/>
      <c r="AK54" s="2900"/>
      <c r="AL54" s="2900"/>
      <c r="AM54" s="2900"/>
      <c r="AN54" s="2900"/>
      <c r="AO54" s="2900"/>
      <c r="AP54" s="2900"/>
      <c r="AQ54" s="2900"/>
      <c r="AR54" s="2900"/>
      <c r="AS54" s="2900"/>
      <c r="AT54" s="2900"/>
      <c r="AU54" s="2900"/>
      <c r="AV54" s="2900"/>
      <c r="AW54" s="2900"/>
      <c r="AX54" s="2900"/>
      <c r="AY54" s="2900"/>
      <c r="AZ54" s="2900"/>
      <c r="BA54" s="2900"/>
      <c r="BB54" s="2900"/>
      <c r="BC54" s="2900"/>
      <c r="BD54" s="2900"/>
      <c r="BE54" s="2900"/>
      <c r="BF54" s="2900"/>
      <c r="BG54" s="2900"/>
      <c r="BH54" s="2900"/>
      <c r="BI54" s="2900"/>
      <c r="BJ54" s="2900"/>
      <c r="BK54" s="2900"/>
      <c r="BL54" s="2900"/>
      <c r="BM54" s="2900"/>
      <c r="BN54" s="2900"/>
      <c r="BO54" s="2900"/>
      <c r="BP54" s="2900"/>
      <c r="BQ54" s="2900"/>
      <c r="BR54" s="2900"/>
      <c r="BS54" s="2900"/>
      <c r="BT54" s="2900"/>
      <c r="BU54" s="2900"/>
      <c r="BV54" s="2900"/>
      <c r="BW54" s="2900"/>
      <c r="BX54" s="2900"/>
      <c r="BY54" s="2900"/>
      <c r="BZ54" s="2900"/>
      <c r="CA54" s="2900"/>
      <c r="CB54" s="2900"/>
      <c r="CC54" s="2900"/>
      <c r="CD54" s="2900"/>
      <c r="CE54" s="2900"/>
      <c r="CF54" s="2900"/>
      <c r="CG54" s="2900"/>
      <c r="CH54" s="2900"/>
      <c r="CI54" s="2900"/>
      <c r="CJ54" s="2900"/>
      <c r="CK54" s="2900"/>
      <c r="CL54" s="2900"/>
      <c r="CM54" s="2900"/>
      <c r="CN54" s="2900"/>
      <c r="CO54" s="2900"/>
      <c r="CP54" s="2900"/>
      <c r="CQ54" s="2900"/>
      <c r="CR54" s="2900"/>
      <c r="CS54" s="2900"/>
      <c r="CT54" s="2900"/>
      <c r="CU54" s="2900"/>
      <c r="CV54" s="2900"/>
      <c r="CW54" s="2900"/>
      <c r="CX54" s="2900"/>
      <c r="CY54" s="2900"/>
      <c r="CZ54" s="2900"/>
      <c r="DA54" s="2900"/>
      <c r="DB54" s="2900"/>
      <c r="DC54" s="2900"/>
      <c r="DD54" s="2900"/>
      <c r="DE54" s="2900"/>
      <c r="DF54" s="2900"/>
      <c r="DG54" s="2900"/>
      <c r="DH54" s="2900"/>
      <c r="DI54" s="2900"/>
      <c r="DJ54" s="2900"/>
      <c r="DK54" s="2900"/>
      <c r="DL54" s="2900"/>
      <c r="DM54" s="2900"/>
      <c r="DN54" s="2900"/>
      <c r="DO54" s="2900"/>
      <c r="DP54" s="2900"/>
      <c r="DQ54" s="2900"/>
      <c r="DR54" s="2900"/>
      <c r="DS54" s="2900"/>
      <c r="DT54" s="2900"/>
      <c r="DU54" s="2900"/>
      <c r="DV54" s="2900"/>
      <c r="DW54" s="2900"/>
      <c r="DX54" s="2900"/>
      <c r="DY54" s="2900"/>
      <c r="DZ54" s="2900"/>
      <c r="EA54" s="2900"/>
      <c r="EB54" s="2900"/>
      <c r="EC54" s="2900"/>
      <c r="ED54" s="2900"/>
      <c r="EE54" s="2900"/>
      <c r="EF54" s="2900"/>
      <c r="EG54" s="2900"/>
      <c r="EH54" s="2900"/>
      <c r="EI54" s="2900"/>
      <c r="EJ54" s="2900"/>
      <c r="EK54" s="2900"/>
      <c r="EL54" s="2900"/>
      <c r="EM54" s="2900"/>
      <c r="EN54" s="2900"/>
      <c r="EO54" s="2900"/>
      <c r="EP54" s="2900"/>
      <c r="EQ54" s="2900"/>
      <c r="ER54" s="2900"/>
      <c r="ES54" s="2900"/>
      <c r="ET54" s="2900"/>
      <c r="EU54" s="2900"/>
      <c r="EV54" s="2900"/>
      <c r="EW54" s="2900"/>
      <c r="EX54" s="2900"/>
      <c r="EY54" s="2900"/>
      <c r="EZ54" s="2900"/>
      <c r="FA54" s="2900"/>
      <c r="FB54" s="2900"/>
      <c r="FC54" s="2900"/>
      <c r="FD54" s="2900"/>
      <c r="FE54" s="2900"/>
      <c r="FF54" s="2900"/>
      <c r="FG54" s="2900"/>
      <c r="FH54" s="2900"/>
      <c r="FI54" s="2900"/>
      <c r="FJ54" s="2900"/>
      <c r="FK54" s="2900"/>
      <c r="FL54" s="2900"/>
      <c r="FM54" s="2900"/>
      <c r="FN54" s="2900"/>
      <c r="FO54" s="2900"/>
      <c r="FP54" s="2900"/>
      <c r="FQ54" s="2900"/>
      <c r="FR54" s="2900"/>
      <c r="FS54" s="2900"/>
      <c r="FT54" s="2900"/>
      <c r="FU54" s="2900"/>
      <c r="FV54" s="2900"/>
      <c r="FW54" s="2900"/>
      <c r="FX54" s="2900"/>
      <c r="FY54" s="2900"/>
      <c r="FZ54" s="2900"/>
      <c r="GA54" s="2900"/>
      <c r="GB54" s="2900"/>
      <c r="GC54" s="2900"/>
      <c r="GD54" s="2900"/>
      <c r="GE54" s="2900"/>
      <c r="GF54" s="2900"/>
    </row>
    <row r="55" spans="1:188" s="2901" customFormat="1" ht="15" hidden="1" customHeight="1">
      <c r="A55" s="2899" t="s">
        <v>22</v>
      </c>
      <c r="B55" s="2893" t="s">
        <v>34</v>
      </c>
      <c r="C55" s="2893">
        <v>136.19999999999999</v>
      </c>
      <c r="D55" s="2893">
        <v>100.6</v>
      </c>
      <c r="E55" s="2893">
        <v>3572.1</v>
      </c>
      <c r="F55" s="2893">
        <v>108</v>
      </c>
      <c r="G55" s="2893">
        <v>2272.1</v>
      </c>
      <c r="H55" s="2893">
        <v>109.9</v>
      </c>
      <c r="I55" s="2893">
        <v>5017</v>
      </c>
      <c r="J55" s="2893">
        <v>136.9</v>
      </c>
      <c r="K55" s="2893">
        <v>168.6</v>
      </c>
      <c r="L55" s="2893">
        <v>126.1</v>
      </c>
      <c r="M55" s="2893">
        <v>-0.3</v>
      </c>
      <c r="N55" s="2893">
        <v>15.3</v>
      </c>
      <c r="O55" s="2893">
        <v>16.2</v>
      </c>
      <c r="P55" s="2900"/>
      <c r="Q55" s="2900"/>
      <c r="R55" s="2900"/>
      <c r="S55" s="2900"/>
      <c r="T55" s="2900"/>
      <c r="U55" s="2900"/>
      <c r="V55" s="2900"/>
      <c r="W55" s="2900"/>
      <c r="X55" s="2900"/>
      <c r="Y55" s="2900"/>
      <c r="Z55" s="2900"/>
      <c r="AA55" s="2900"/>
      <c r="AB55" s="2900"/>
      <c r="AC55" s="2900"/>
      <c r="AD55" s="2900"/>
      <c r="AE55" s="2900"/>
      <c r="AF55" s="2900"/>
      <c r="AG55" s="2900"/>
      <c r="AH55" s="2900"/>
      <c r="AI55" s="2900"/>
      <c r="AJ55" s="2900"/>
      <c r="AK55" s="2900"/>
      <c r="AL55" s="2900"/>
      <c r="AM55" s="2900"/>
      <c r="AN55" s="2900"/>
      <c r="AO55" s="2900"/>
      <c r="AP55" s="2900"/>
      <c r="AQ55" s="2900"/>
      <c r="AR55" s="2900"/>
      <c r="AS55" s="2900"/>
      <c r="AT55" s="2900"/>
      <c r="AU55" s="2900"/>
      <c r="AV55" s="2900"/>
      <c r="AW55" s="2900"/>
      <c r="AX55" s="2900"/>
      <c r="AY55" s="2900"/>
      <c r="AZ55" s="2900"/>
      <c r="BA55" s="2900"/>
      <c r="BB55" s="2900"/>
      <c r="BC55" s="2900"/>
      <c r="BD55" s="2900"/>
      <c r="BE55" s="2900"/>
      <c r="BF55" s="2900"/>
      <c r="BG55" s="2900"/>
      <c r="BH55" s="2900"/>
      <c r="BI55" s="2900"/>
      <c r="BJ55" s="2900"/>
      <c r="BK55" s="2900"/>
      <c r="BL55" s="2900"/>
      <c r="BM55" s="2900"/>
      <c r="BN55" s="2900"/>
      <c r="BO55" s="2900"/>
      <c r="BP55" s="2900"/>
      <c r="BQ55" s="2900"/>
      <c r="BR55" s="2900"/>
      <c r="BS55" s="2900"/>
      <c r="BT55" s="2900"/>
      <c r="BU55" s="2900"/>
      <c r="BV55" s="2900"/>
      <c r="BW55" s="2900"/>
      <c r="BX55" s="2900"/>
      <c r="BY55" s="2900"/>
      <c r="BZ55" s="2900"/>
      <c r="CA55" s="2900"/>
      <c r="CB55" s="2900"/>
      <c r="CC55" s="2900"/>
      <c r="CD55" s="2900"/>
      <c r="CE55" s="2900"/>
      <c r="CF55" s="2900"/>
      <c r="CG55" s="2900"/>
      <c r="CH55" s="2900"/>
      <c r="CI55" s="2900"/>
      <c r="CJ55" s="2900"/>
      <c r="CK55" s="2900"/>
      <c r="CL55" s="2900"/>
      <c r="CM55" s="2900"/>
      <c r="CN55" s="2900"/>
      <c r="CO55" s="2900"/>
      <c r="CP55" s="2900"/>
      <c r="CQ55" s="2900"/>
      <c r="CR55" s="2900"/>
      <c r="CS55" s="2900"/>
      <c r="CT55" s="2900"/>
      <c r="CU55" s="2900"/>
      <c r="CV55" s="2900"/>
      <c r="CW55" s="2900"/>
      <c r="CX55" s="2900"/>
      <c r="CY55" s="2900"/>
      <c r="CZ55" s="2900"/>
      <c r="DA55" s="2900"/>
      <c r="DB55" s="2900"/>
      <c r="DC55" s="2900"/>
      <c r="DD55" s="2900"/>
      <c r="DE55" s="2900"/>
      <c r="DF55" s="2900"/>
      <c r="DG55" s="2900"/>
      <c r="DH55" s="2900"/>
      <c r="DI55" s="2900"/>
      <c r="DJ55" s="2900"/>
      <c r="DK55" s="2900"/>
      <c r="DL55" s="2900"/>
      <c r="DM55" s="2900"/>
      <c r="DN55" s="2900"/>
      <c r="DO55" s="2900"/>
      <c r="DP55" s="2900"/>
      <c r="DQ55" s="2900"/>
      <c r="DR55" s="2900"/>
      <c r="DS55" s="2900"/>
      <c r="DT55" s="2900"/>
      <c r="DU55" s="2900"/>
      <c r="DV55" s="2900"/>
      <c r="DW55" s="2900"/>
      <c r="DX55" s="2900"/>
      <c r="DY55" s="2900"/>
      <c r="DZ55" s="2900"/>
      <c r="EA55" s="2900"/>
      <c r="EB55" s="2900"/>
      <c r="EC55" s="2900"/>
      <c r="ED55" s="2900"/>
      <c r="EE55" s="2900"/>
      <c r="EF55" s="2900"/>
      <c r="EG55" s="2900"/>
      <c r="EH55" s="2900"/>
      <c r="EI55" s="2900"/>
      <c r="EJ55" s="2900"/>
      <c r="EK55" s="2900"/>
      <c r="EL55" s="2900"/>
      <c r="EM55" s="2900"/>
      <c r="EN55" s="2900"/>
      <c r="EO55" s="2900"/>
      <c r="EP55" s="2900"/>
      <c r="EQ55" s="2900"/>
      <c r="ER55" s="2900"/>
      <c r="ES55" s="2900"/>
      <c r="ET55" s="2900"/>
      <c r="EU55" s="2900"/>
      <c r="EV55" s="2900"/>
      <c r="EW55" s="2900"/>
      <c r="EX55" s="2900"/>
      <c r="EY55" s="2900"/>
      <c r="EZ55" s="2900"/>
      <c r="FA55" s="2900"/>
      <c r="FB55" s="2900"/>
      <c r="FC55" s="2900"/>
      <c r="FD55" s="2900"/>
      <c r="FE55" s="2900"/>
      <c r="FF55" s="2900"/>
      <c r="FG55" s="2900"/>
      <c r="FH55" s="2900"/>
      <c r="FI55" s="2900"/>
      <c r="FJ55" s="2900"/>
      <c r="FK55" s="2900"/>
      <c r="FL55" s="2900"/>
      <c r="FM55" s="2900"/>
      <c r="FN55" s="2900"/>
      <c r="FO55" s="2900"/>
      <c r="FP55" s="2900"/>
      <c r="FQ55" s="2900"/>
      <c r="FR55" s="2900"/>
      <c r="FS55" s="2900"/>
      <c r="FT55" s="2900"/>
      <c r="FU55" s="2900"/>
      <c r="FV55" s="2900"/>
      <c r="FW55" s="2900"/>
      <c r="FX55" s="2900"/>
      <c r="FY55" s="2900"/>
      <c r="FZ55" s="2900"/>
      <c r="GA55" s="2900"/>
      <c r="GB55" s="2900"/>
      <c r="GC55" s="2900"/>
      <c r="GD55" s="2900"/>
      <c r="GE55" s="2900"/>
      <c r="GF55" s="2900"/>
    </row>
    <row r="56" spans="1:188" s="2900" customFormat="1" ht="15" hidden="1" customHeight="1">
      <c r="A56" s="2899" t="s">
        <v>23</v>
      </c>
      <c r="B56" s="2893" t="s">
        <v>35</v>
      </c>
      <c r="C56" s="2893">
        <v>135.1</v>
      </c>
      <c r="D56" s="2893">
        <v>100.5</v>
      </c>
      <c r="E56" s="2893">
        <v>3688</v>
      </c>
      <c r="F56" s="2893">
        <v>107.8</v>
      </c>
      <c r="G56" s="2893">
        <v>2727.3</v>
      </c>
      <c r="H56" s="2893">
        <v>110.6</v>
      </c>
      <c r="I56" s="2893">
        <v>6001.3</v>
      </c>
      <c r="J56" s="2893">
        <v>138.4</v>
      </c>
      <c r="K56" s="2893">
        <v>170.7</v>
      </c>
      <c r="L56" s="2893">
        <v>126.4</v>
      </c>
      <c r="M56" s="2893">
        <v>-0.5</v>
      </c>
      <c r="N56" s="2893">
        <v>14.8</v>
      </c>
      <c r="O56" s="2893">
        <v>16</v>
      </c>
    </row>
    <row r="57" spans="1:188" s="2900" customFormat="1" ht="15" hidden="1" customHeight="1">
      <c r="A57" s="2899" t="s">
        <v>24</v>
      </c>
      <c r="B57" s="2893" t="s">
        <v>36</v>
      </c>
      <c r="C57" s="2893">
        <v>134.5</v>
      </c>
      <c r="D57" s="2893">
        <v>101.1</v>
      </c>
      <c r="E57" s="2893">
        <v>4458.3</v>
      </c>
      <c r="F57" s="2893">
        <v>108.2</v>
      </c>
      <c r="G57" s="2893">
        <v>3318.7</v>
      </c>
      <c r="H57" s="2893">
        <v>111.3</v>
      </c>
      <c r="I57" s="2893">
        <v>7026.1</v>
      </c>
      <c r="J57" s="2893">
        <v>139.1</v>
      </c>
      <c r="K57" s="2893">
        <v>173</v>
      </c>
      <c r="L57" s="2893">
        <v>127.1</v>
      </c>
      <c r="M57" s="2893">
        <v>0.1</v>
      </c>
      <c r="N57" s="2893">
        <v>15.3</v>
      </c>
      <c r="O57" s="2893">
        <v>15.9</v>
      </c>
    </row>
    <row r="58" spans="1:188" s="2900" customFormat="1" ht="15" hidden="1" customHeight="1">
      <c r="A58" s="2899" t="s">
        <v>25</v>
      </c>
      <c r="B58" s="2893" t="s">
        <v>37</v>
      </c>
      <c r="C58" s="2893">
        <v>132.5</v>
      </c>
      <c r="D58" s="2893">
        <v>101.2</v>
      </c>
      <c r="E58" s="2893">
        <v>5176.2</v>
      </c>
      <c r="F58" s="2893">
        <v>108.4</v>
      </c>
      <c r="G58" s="2893">
        <v>3827.7</v>
      </c>
      <c r="H58" s="2893">
        <v>111.6</v>
      </c>
      <c r="I58" s="2893">
        <v>8089.2</v>
      </c>
      <c r="J58" s="2893">
        <v>139.69999999999999</v>
      </c>
      <c r="K58" s="2893">
        <v>175.5</v>
      </c>
      <c r="L58" s="2893">
        <v>127.7</v>
      </c>
      <c r="M58" s="2893">
        <v>0.8</v>
      </c>
      <c r="N58" s="2893">
        <v>16.2</v>
      </c>
      <c r="O58" s="2893">
        <v>15.9</v>
      </c>
    </row>
    <row r="59" spans="1:188" s="2900" customFormat="1" ht="15" hidden="1" customHeight="1">
      <c r="A59" s="2899" t="s">
        <v>26</v>
      </c>
      <c r="B59" s="2893" t="s">
        <v>38</v>
      </c>
      <c r="C59" s="2893">
        <v>127.1</v>
      </c>
      <c r="D59" s="2893">
        <v>100.8</v>
      </c>
      <c r="E59" s="2893">
        <v>6301.5</v>
      </c>
      <c r="F59" s="2893">
        <v>108.9</v>
      </c>
      <c r="G59" s="2893">
        <v>4518.6000000000004</v>
      </c>
      <c r="H59" s="2893">
        <v>115.1</v>
      </c>
      <c r="I59" s="2893">
        <v>9115.2999999999993</v>
      </c>
      <c r="J59" s="2893">
        <v>139.80000000000001</v>
      </c>
      <c r="K59" s="2893">
        <v>177.6</v>
      </c>
      <c r="L59" s="2893">
        <v>128.19999999999999</v>
      </c>
      <c r="M59" s="2893">
        <v>1.1000000000000001</v>
      </c>
      <c r="N59" s="2893">
        <v>16.399999999999999</v>
      </c>
      <c r="O59" s="2893">
        <v>16</v>
      </c>
    </row>
    <row r="60" spans="1:188" s="2900" customFormat="1" ht="15" hidden="1" customHeight="1">
      <c r="A60" s="2899" t="s">
        <v>27</v>
      </c>
      <c r="B60" s="2893">
        <v>18739.599999999999</v>
      </c>
      <c r="C60" s="2893">
        <v>126.8</v>
      </c>
      <c r="D60" s="2893">
        <v>103.1</v>
      </c>
      <c r="E60" s="2893">
        <v>6762.8</v>
      </c>
      <c r="F60" s="2893">
        <v>109.6</v>
      </c>
      <c r="G60" s="2893">
        <v>5138.5</v>
      </c>
      <c r="H60" s="2893">
        <v>116.6</v>
      </c>
      <c r="I60" s="2893">
        <v>10603.2</v>
      </c>
      <c r="J60" s="2893">
        <v>139.9</v>
      </c>
      <c r="K60" s="2893">
        <v>186.8</v>
      </c>
      <c r="L60" s="2893">
        <v>133.9</v>
      </c>
      <c r="M60" s="2893">
        <v>1.9</v>
      </c>
      <c r="N60" s="2893">
        <v>17.100000000000001</v>
      </c>
      <c r="O60" s="2893">
        <v>16.085514044829001</v>
      </c>
    </row>
    <row r="61" spans="1:188" s="2900" customFormat="1" ht="15" hidden="1" customHeight="1">
      <c r="A61" s="2899" t="s">
        <v>28</v>
      </c>
      <c r="B61" s="2893" t="s">
        <v>39</v>
      </c>
      <c r="C61" s="2893">
        <v>125.4</v>
      </c>
      <c r="D61" s="2893">
        <v>104.3</v>
      </c>
      <c r="E61" s="2893">
        <v>7458.6</v>
      </c>
      <c r="F61" s="2893">
        <v>109.9</v>
      </c>
      <c r="G61" s="2893">
        <v>5746.2</v>
      </c>
      <c r="H61" s="2893">
        <v>116.8</v>
      </c>
      <c r="I61" s="2893">
        <v>12360.5</v>
      </c>
      <c r="J61" s="2893">
        <v>139.69999999999999</v>
      </c>
      <c r="K61" s="2893">
        <v>199</v>
      </c>
      <c r="L61" s="2893">
        <v>141.69999999999999</v>
      </c>
      <c r="M61" s="2893">
        <v>3.2</v>
      </c>
      <c r="N61" s="2893">
        <v>19.2</v>
      </c>
      <c r="O61" s="2893">
        <v>16.399999999999999</v>
      </c>
    </row>
    <row r="62" spans="1:188" s="2900" customFormat="1" ht="16.5" hidden="1" customHeight="1">
      <c r="A62" s="2899" t="s">
        <v>29</v>
      </c>
      <c r="B62" s="2893">
        <v>28360.5</v>
      </c>
      <c r="C62" s="2893">
        <v>125</v>
      </c>
      <c r="D62" s="2893">
        <v>114.4</v>
      </c>
      <c r="E62" s="2893">
        <v>9533.9</v>
      </c>
      <c r="F62" s="2893">
        <v>111.3</v>
      </c>
      <c r="G62" s="2893">
        <v>6774.8</v>
      </c>
      <c r="H62" s="2893">
        <v>117.8</v>
      </c>
      <c r="I62" s="2893">
        <v>14305.6</v>
      </c>
      <c r="J62" s="2893">
        <v>140.30000000000001</v>
      </c>
      <c r="K62" s="2893">
        <v>214</v>
      </c>
      <c r="L62" s="2893">
        <v>142</v>
      </c>
      <c r="M62" s="2893">
        <v>2.5</v>
      </c>
      <c r="N62" s="2893">
        <v>19.636026926081001</v>
      </c>
      <c r="O62" s="2893">
        <v>16.7</v>
      </c>
    </row>
    <row r="63" spans="1:188" s="2900" customFormat="1" ht="13.8" hidden="1">
      <c r="A63" s="2891">
        <v>2008</v>
      </c>
      <c r="B63" s="2893">
        <v>40137.199999999997</v>
      </c>
      <c r="C63" s="2893">
        <v>110.8</v>
      </c>
      <c r="D63" s="2893">
        <v>127.8</v>
      </c>
      <c r="E63" s="2893">
        <v>15197.2</v>
      </c>
      <c r="F63" s="2893">
        <v>115.9</v>
      </c>
      <c r="G63" s="2893">
        <v>9944.1538</v>
      </c>
      <c r="H63" s="2893">
        <v>134.30000000000001</v>
      </c>
      <c r="I63" s="2893">
        <v>20058.2</v>
      </c>
      <c r="J63" s="2893">
        <v>137.80000000000001</v>
      </c>
      <c r="K63" s="2893">
        <v>268</v>
      </c>
      <c r="L63" s="2893">
        <v>124.2</v>
      </c>
      <c r="M63" s="2893">
        <v>-0.4</v>
      </c>
      <c r="N63" s="2893">
        <v>15.4</v>
      </c>
      <c r="O63" s="2893">
        <v>20.8</v>
      </c>
    </row>
    <row r="64" spans="1:188" s="2900" customFormat="1" ht="13.8" hidden="1">
      <c r="A64" s="2899" t="s">
        <v>18</v>
      </c>
      <c r="B64" s="2893" t="s">
        <v>40</v>
      </c>
      <c r="C64" s="2893">
        <v>111.3</v>
      </c>
      <c r="D64" s="2893">
        <v>115.7</v>
      </c>
      <c r="E64" s="2893">
        <v>732.4</v>
      </c>
      <c r="F64" s="2893">
        <v>109.6</v>
      </c>
      <c r="G64" s="2893">
        <v>367.2</v>
      </c>
      <c r="H64" s="2893">
        <v>105.1</v>
      </c>
      <c r="I64" s="2893">
        <v>1218.7</v>
      </c>
      <c r="J64" s="2893">
        <v>132.9</v>
      </c>
      <c r="K64" s="2893">
        <v>230</v>
      </c>
      <c r="L64" s="2893">
        <v>131.4</v>
      </c>
      <c r="M64" s="2893">
        <v>2.5</v>
      </c>
      <c r="N64" s="2893">
        <v>15.262619008512999</v>
      </c>
      <c r="O64" s="2893">
        <v>15.3</v>
      </c>
    </row>
    <row r="65" spans="1:15" s="2900" customFormat="1" ht="13.8" hidden="1">
      <c r="A65" s="2899" t="s">
        <v>19</v>
      </c>
      <c r="B65" s="2893" t="s">
        <v>41</v>
      </c>
      <c r="C65" s="2893">
        <v>113.4</v>
      </c>
      <c r="D65" s="2893">
        <v>118.5</v>
      </c>
      <c r="E65" s="2893">
        <v>1518.3</v>
      </c>
      <c r="F65" s="2893">
        <v>110.1</v>
      </c>
      <c r="G65" s="2893">
        <v>859.9</v>
      </c>
      <c r="H65" s="2893">
        <v>120.5</v>
      </c>
      <c r="I65" s="2893">
        <v>2625.5</v>
      </c>
      <c r="J65" s="2893">
        <v>133</v>
      </c>
      <c r="K65" s="2893">
        <v>231</v>
      </c>
      <c r="L65" s="2893">
        <v>127.6</v>
      </c>
      <c r="M65" s="2893">
        <v>2.2000000000000002</v>
      </c>
      <c r="N65" s="2893">
        <v>16.033538244990002</v>
      </c>
      <c r="O65" s="2893">
        <v>15.7</v>
      </c>
    </row>
    <row r="66" spans="1:15" s="2900" customFormat="1" ht="13.8" hidden="1">
      <c r="A66" s="2899" t="s">
        <v>20</v>
      </c>
      <c r="B66" s="2893">
        <v>8209.7999999999993</v>
      </c>
      <c r="C66" s="2893">
        <v>113.8</v>
      </c>
      <c r="D66" s="2893">
        <v>137.1</v>
      </c>
      <c r="E66" s="2893">
        <v>2390.8000000000002</v>
      </c>
      <c r="F66" s="2893">
        <v>111.3</v>
      </c>
      <c r="G66" s="2893">
        <v>1409.2</v>
      </c>
      <c r="H66" s="2893">
        <v>121.4</v>
      </c>
      <c r="I66" s="2893">
        <v>4143.8</v>
      </c>
      <c r="J66" s="2893">
        <v>133.1</v>
      </c>
      <c r="K66" s="2893">
        <v>229.8</v>
      </c>
      <c r="L66" s="2893">
        <v>126.5</v>
      </c>
      <c r="M66" s="2893">
        <v>3.1</v>
      </c>
      <c r="N66" s="2893">
        <v>18.3</v>
      </c>
      <c r="O66" s="2893">
        <v>16.5</v>
      </c>
    </row>
    <row r="67" spans="1:15" s="2900" customFormat="1" ht="13.8" hidden="1">
      <c r="A67" s="2899" t="s">
        <v>21</v>
      </c>
      <c r="B67" s="2893">
        <v>11172.4</v>
      </c>
      <c r="C67" s="2893">
        <v>115</v>
      </c>
      <c r="D67" s="2893">
        <v>135.1</v>
      </c>
      <c r="E67" s="2893">
        <v>3184</v>
      </c>
      <c r="F67" s="2893">
        <v>111.53</v>
      </c>
      <c r="G67" s="2893">
        <v>2031.7</v>
      </c>
      <c r="H67" s="2893">
        <v>121.6</v>
      </c>
      <c r="I67" s="2893">
        <v>5762</v>
      </c>
      <c r="J67" s="2893">
        <v>134</v>
      </c>
      <c r="K67" s="2893">
        <v>237.5</v>
      </c>
      <c r="L67" s="2893">
        <v>123.2</v>
      </c>
      <c r="M67" s="2893">
        <v>3.1</v>
      </c>
      <c r="N67" s="2893">
        <v>21.440726859247999</v>
      </c>
      <c r="O67" s="2893">
        <v>17.8</v>
      </c>
    </row>
    <row r="68" spans="1:15" s="2900" customFormat="1" ht="13.8" hidden="1">
      <c r="A68" s="2899" t="s">
        <v>22</v>
      </c>
      <c r="B68" s="2893">
        <v>14308.6</v>
      </c>
      <c r="C68" s="2893">
        <v>114.6</v>
      </c>
      <c r="D68" s="2893">
        <v>133.9</v>
      </c>
      <c r="E68" s="2893">
        <v>4047</v>
      </c>
      <c r="F68" s="2893">
        <v>111.9</v>
      </c>
      <c r="G68" s="2893">
        <v>2695.9</v>
      </c>
      <c r="H68" s="2893">
        <v>121.7</v>
      </c>
      <c r="I68" s="2893">
        <v>7380.8</v>
      </c>
      <c r="J68" s="2893">
        <v>134.1</v>
      </c>
      <c r="K68" s="2893">
        <v>242.7</v>
      </c>
      <c r="L68" s="2893">
        <v>124.3</v>
      </c>
      <c r="M68" s="2893">
        <v>2.2999999999999998</v>
      </c>
      <c r="N68" s="2893">
        <v>24.6</v>
      </c>
      <c r="O68" s="2893">
        <v>19.2</v>
      </c>
    </row>
    <row r="69" spans="1:15" s="2900" customFormat="1" ht="13.8" hidden="1">
      <c r="A69" s="2899" t="s">
        <v>23</v>
      </c>
      <c r="B69" s="2893">
        <v>18505.7</v>
      </c>
      <c r="C69" s="2893">
        <v>116.5</v>
      </c>
      <c r="D69" s="2893">
        <v>131.9</v>
      </c>
      <c r="E69" s="2893">
        <v>5694.6</v>
      </c>
      <c r="F69" s="2893">
        <v>115.6</v>
      </c>
      <c r="G69" s="2893">
        <v>3643.4</v>
      </c>
      <c r="H69" s="2893">
        <v>131.9</v>
      </c>
      <c r="I69" s="2893">
        <v>9041.2000000000007</v>
      </c>
      <c r="J69" s="2893">
        <v>134.19999999999999</v>
      </c>
      <c r="K69" s="2893">
        <v>250.4</v>
      </c>
      <c r="L69" s="2893">
        <v>123.8</v>
      </c>
      <c r="M69" s="2893">
        <v>0.127</v>
      </c>
      <c r="N69" s="2893">
        <v>25.4</v>
      </c>
      <c r="O69" s="2893">
        <v>20.2</v>
      </c>
    </row>
    <row r="70" spans="1:15" s="2900" customFormat="1" ht="13.8" hidden="1">
      <c r="A70" s="2899" t="s">
        <v>24</v>
      </c>
      <c r="B70" s="2893" t="s">
        <v>42</v>
      </c>
      <c r="C70" s="2893">
        <v>116.7</v>
      </c>
      <c r="D70" s="2893">
        <v>130.6</v>
      </c>
      <c r="E70" s="2893">
        <v>7308.6</v>
      </c>
      <c r="F70" s="2893">
        <v>115</v>
      </c>
      <c r="G70" s="2893">
        <v>4532.1000000000004</v>
      </c>
      <c r="H70" s="2893">
        <v>134.19999999999999</v>
      </c>
      <c r="I70" s="2893">
        <v>10860.6</v>
      </c>
      <c r="J70" s="2893">
        <v>134.6</v>
      </c>
      <c r="K70" s="2893">
        <v>253</v>
      </c>
      <c r="L70" s="2893">
        <v>123.8</v>
      </c>
      <c r="M70" s="2893">
        <v>-0.3</v>
      </c>
      <c r="N70" s="2893">
        <v>24.9</v>
      </c>
      <c r="O70" s="2893">
        <v>20.9</v>
      </c>
    </row>
    <row r="71" spans="1:15" s="2900" customFormat="1" ht="13.8" hidden="1">
      <c r="A71" s="2899" t="s">
        <v>25</v>
      </c>
      <c r="B71" s="2893">
        <v>25891.9</v>
      </c>
      <c r="C71" s="2893">
        <v>113.2</v>
      </c>
      <c r="D71" s="2893">
        <v>127.8</v>
      </c>
      <c r="E71" s="2893">
        <v>8627.1</v>
      </c>
      <c r="F71" s="2893">
        <v>114.8</v>
      </c>
      <c r="G71" s="2893">
        <v>5396.6</v>
      </c>
      <c r="H71" s="2893">
        <v>136.6</v>
      </c>
      <c r="I71" s="2893">
        <v>12709.5</v>
      </c>
      <c r="J71" s="2893">
        <v>135.4</v>
      </c>
      <c r="K71" s="2893">
        <v>255.3</v>
      </c>
      <c r="L71" s="2893">
        <v>123.4</v>
      </c>
      <c r="M71" s="2893">
        <v>0</v>
      </c>
      <c r="N71" s="2893">
        <v>23.9</v>
      </c>
      <c r="O71" s="2893">
        <v>21.3</v>
      </c>
    </row>
    <row r="72" spans="1:15" s="2900" customFormat="1" ht="13.8" hidden="1">
      <c r="A72" s="2899" t="s">
        <v>26</v>
      </c>
      <c r="B72" s="2893">
        <v>30370.400000000001</v>
      </c>
      <c r="C72" s="2893">
        <v>115</v>
      </c>
      <c r="D72" s="2893">
        <v>132.69999999999999</v>
      </c>
      <c r="E72" s="2893">
        <v>9853.2000000000007</v>
      </c>
      <c r="F72" s="2893">
        <v>115.4</v>
      </c>
      <c r="G72" s="2893">
        <v>6283</v>
      </c>
      <c r="H72" s="2893">
        <v>138</v>
      </c>
      <c r="I72" s="2893">
        <v>14557.9</v>
      </c>
      <c r="J72" s="2893">
        <v>135.6</v>
      </c>
      <c r="K72" s="2893">
        <v>256.89999999999998</v>
      </c>
      <c r="L72" s="2893">
        <v>123.1</v>
      </c>
      <c r="M72" s="2893">
        <v>0.9</v>
      </c>
      <c r="N72" s="2893">
        <v>23.7</v>
      </c>
      <c r="O72" s="2893">
        <v>21.5</v>
      </c>
    </row>
    <row r="73" spans="1:15" s="2900" customFormat="1" ht="13.8" hidden="1">
      <c r="A73" s="2899" t="s">
        <v>27</v>
      </c>
      <c r="B73" s="2893">
        <v>32542.400000000001</v>
      </c>
      <c r="C73" s="2893">
        <v>112.7</v>
      </c>
      <c r="D73" s="2893">
        <v>126.7</v>
      </c>
      <c r="E73" s="2893">
        <v>11098.8</v>
      </c>
      <c r="F73" s="2893">
        <v>115.4</v>
      </c>
      <c r="G73" s="2893">
        <v>7171.3</v>
      </c>
      <c r="H73" s="2893">
        <v>138.4</v>
      </c>
      <c r="I73" s="2893">
        <v>16504.2</v>
      </c>
      <c r="J73" s="2893">
        <v>135.69999999999999</v>
      </c>
      <c r="K73" s="2893">
        <v>260.2</v>
      </c>
      <c r="L73" s="2893">
        <v>123.9</v>
      </c>
      <c r="M73" s="2893">
        <v>0.8</v>
      </c>
      <c r="N73" s="2893">
        <v>22.5</v>
      </c>
      <c r="O73" s="2893">
        <v>21.6</v>
      </c>
    </row>
    <row r="74" spans="1:15" s="2900" customFormat="1" ht="13.8" hidden="1">
      <c r="A74" s="2899" t="s">
        <v>28</v>
      </c>
      <c r="B74" s="2893">
        <v>34660.6</v>
      </c>
      <c r="C74" s="2893">
        <v>111.5</v>
      </c>
      <c r="D74" s="2893">
        <v>121.8</v>
      </c>
      <c r="E74" s="2893">
        <v>12206.2</v>
      </c>
      <c r="F74" s="2893">
        <v>116.3</v>
      </c>
      <c r="G74" s="2893">
        <v>7957.5</v>
      </c>
      <c r="H74" s="2893">
        <v>138.80000000000001</v>
      </c>
      <c r="I74" s="2893">
        <v>18176.8</v>
      </c>
      <c r="J74" s="2893">
        <v>135.80000000000001</v>
      </c>
      <c r="K74" s="2893">
        <v>265.10000000000002</v>
      </c>
      <c r="L74" s="2893">
        <v>124.3</v>
      </c>
      <c r="M74" s="2893">
        <v>0.1</v>
      </c>
      <c r="N74" s="2893">
        <v>18.899999999999999</v>
      </c>
      <c r="O74" s="2893">
        <v>21.4</v>
      </c>
    </row>
    <row r="75" spans="1:15" s="2900" customFormat="1" ht="13.8" hidden="1">
      <c r="A75" s="2899" t="s">
        <v>29</v>
      </c>
      <c r="B75" s="2893">
        <v>40137.199999999997</v>
      </c>
      <c r="C75" s="2893">
        <v>110.8</v>
      </c>
      <c r="D75" s="2893">
        <v>127.8</v>
      </c>
      <c r="E75" s="2893">
        <v>15197.2</v>
      </c>
      <c r="F75" s="2893">
        <v>115.7</v>
      </c>
      <c r="G75" s="2893">
        <v>9073.6</v>
      </c>
      <c r="H75" s="2893">
        <v>134.30000000000001</v>
      </c>
      <c r="I75" s="2893">
        <v>20058.2</v>
      </c>
      <c r="J75" s="2893">
        <v>137.80000000000001</v>
      </c>
      <c r="K75" s="2893">
        <v>268</v>
      </c>
      <c r="L75" s="2893">
        <v>124.2</v>
      </c>
      <c r="M75" s="2893">
        <v>-0.4</v>
      </c>
      <c r="N75" s="2893">
        <v>15.4</v>
      </c>
      <c r="O75" s="2893">
        <v>20.8</v>
      </c>
    </row>
    <row r="76" spans="1:15" s="2900" customFormat="1" ht="13.8" hidden="1">
      <c r="A76" s="2899" t="s">
        <v>43</v>
      </c>
      <c r="B76" s="2893">
        <v>35601.5</v>
      </c>
      <c r="C76" s="2893">
        <v>109.3</v>
      </c>
      <c r="D76" s="2893">
        <v>78.8</v>
      </c>
      <c r="E76" s="2893">
        <v>15683.2</v>
      </c>
      <c r="F76" s="2893">
        <v>103.7</v>
      </c>
      <c r="G76" s="2893">
        <v>7724.9448000000002</v>
      </c>
      <c r="H76" s="2893">
        <v>81.3</v>
      </c>
      <c r="I76" s="2893">
        <v>22396.1</v>
      </c>
      <c r="J76" s="2893">
        <v>108</v>
      </c>
      <c r="K76" s="2893">
        <v>298</v>
      </c>
      <c r="L76" s="2893">
        <v>108.6</v>
      </c>
      <c r="M76" s="2893">
        <v>0.8</v>
      </c>
      <c r="N76" s="2893">
        <v>0.7268374609775492</v>
      </c>
      <c r="O76" s="2893">
        <v>1.532503107893</v>
      </c>
    </row>
    <row r="77" spans="1:15" s="2900" customFormat="1" ht="13.8" hidden="1">
      <c r="A77" s="2899" t="s">
        <v>18</v>
      </c>
      <c r="B77" s="2893">
        <v>1860</v>
      </c>
      <c r="C77" s="2893">
        <v>97.4</v>
      </c>
      <c r="D77" s="2893">
        <v>83.5</v>
      </c>
      <c r="E77" s="2896">
        <v>891.5</v>
      </c>
      <c r="F77" s="2893">
        <v>102.8</v>
      </c>
      <c r="G77" s="2893">
        <v>277.39999999999998</v>
      </c>
      <c r="H77" s="2893">
        <v>75.400000000000006</v>
      </c>
      <c r="I77" s="2893">
        <v>1434.7</v>
      </c>
      <c r="J77" s="2893">
        <v>121.9</v>
      </c>
      <c r="K77" s="2893">
        <v>291</v>
      </c>
      <c r="L77" s="2893">
        <v>126.5</v>
      </c>
      <c r="M77" s="2893">
        <v>-0.6</v>
      </c>
      <c r="N77" s="2893">
        <v>11.9</v>
      </c>
      <c r="O77" s="2893">
        <v>11.9</v>
      </c>
    </row>
    <row r="78" spans="1:15" s="2900" customFormat="1" ht="13.8" hidden="1">
      <c r="A78" s="2899" t="s">
        <v>19</v>
      </c>
      <c r="B78" s="2893">
        <v>3859.3</v>
      </c>
      <c r="C78" s="2893">
        <v>103.4</v>
      </c>
      <c r="D78" s="2893">
        <v>66.900000000000006</v>
      </c>
      <c r="E78" s="2896">
        <v>2079.6999999999998</v>
      </c>
      <c r="F78" s="2893">
        <v>113.9</v>
      </c>
      <c r="G78" s="2893">
        <v>1104.5</v>
      </c>
      <c r="H78" s="2893">
        <v>127.2</v>
      </c>
      <c r="I78" s="2893">
        <v>3069</v>
      </c>
      <c r="J78" s="2893">
        <v>120.8</v>
      </c>
      <c r="K78" s="2893">
        <v>292</v>
      </c>
      <c r="L78" s="2893">
        <v>126.4</v>
      </c>
      <c r="M78" s="2893">
        <v>-0.76537810000000661</v>
      </c>
      <c r="N78" s="2893">
        <v>8.6999999999999993</v>
      </c>
      <c r="O78" s="2893">
        <v>10.3</v>
      </c>
    </row>
    <row r="79" spans="1:15" s="2900" customFormat="1" ht="13.8" hidden="1">
      <c r="A79" s="2899" t="s">
        <v>20</v>
      </c>
      <c r="B79" s="2893">
        <v>6741.8</v>
      </c>
      <c r="C79" s="2893">
        <v>104.1</v>
      </c>
      <c r="D79" s="2893">
        <v>71.5</v>
      </c>
      <c r="E79" s="2896">
        <v>3549.3</v>
      </c>
      <c r="F79" s="2893">
        <v>113.7</v>
      </c>
      <c r="G79" s="2893">
        <v>1638.9</v>
      </c>
      <c r="H79" s="2893">
        <v>115.2</v>
      </c>
      <c r="I79" s="2893">
        <v>4964</v>
      </c>
      <c r="J79" s="2893">
        <v>121</v>
      </c>
      <c r="K79" s="2893">
        <v>292</v>
      </c>
      <c r="L79" s="2893">
        <v>126.5</v>
      </c>
      <c r="M79" s="2893">
        <v>-0.70000000000000284</v>
      </c>
      <c r="N79" s="2893">
        <v>4.6372758575097635</v>
      </c>
      <c r="O79" s="2893">
        <v>8.3918483480587867</v>
      </c>
    </row>
    <row r="80" spans="1:15" s="2900" customFormat="1" ht="13.8" hidden="1">
      <c r="A80" s="2899" t="s">
        <v>21</v>
      </c>
      <c r="B80" s="2893" t="s">
        <v>44</v>
      </c>
      <c r="C80" s="2893">
        <v>104.3</v>
      </c>
      <c r="D80" s="2893">
        <v>64.7</v>
      </c>
      <c r="E80" s="2896">
        <v>4564.7</v>
      </c>
      <c r="F80" s="2893">
        <v>108.4</v>
      </c>
      <c r="G80" s="2893">
        <v>2159.1</v>
      </c>
      <c r="H80" s="2893">
        <v>105.2</v>
      </c>
      <c r="I80" s="2893">
        <v>6738</v>
      </c>
      <c r="J80" s="2893">
        <v>120.3</v>
      </c>
      <c r="K80" s="2893">
        <v>295.7</v>
      </c>
      <c r="L80" s="2893">
        <v>124.5</v>
      </c>
      <c r="M80" s="2893">
        <v>-0.2</v>
      </c>
      <c r="N80" s="2893">
        <v>1.3</v>
      </c>
      <c r="O80" s="2893">
        <v>6.6</v>
      </c>
    </row>
    <row r="81" spans="1:15" s="2900" customFormat="1" ht="13.8" hidden="1">
      <c r="A81" s="2899" t="s">
        <v>22</v>
      </c>
      <c r="B81" s="2893" t="s">
        <v>45</v>
      </c>
      <c r="C81" s="2893">
        <v>104.4</v>
      </c>
      <c r="D81" s="2893">
        <v>63.9</v>
      </c>
      <c r="E81" s="2896">
        <v>5392.2</v>
      </c>
      <c r="F81" s="2893">
        <v>106.6</v>
      </c>
      <c r="G81" s="2893">
        <v>2698.6</v>
      </c>
      <c r="H81" s="2893">
        <v>100.4</v>
      </c>
      <c r="I81" s="2893">
        <v>8584.2000000000007</v>
      </c>
      <c r="J81" s="2893">
        <v>118.5</v>
      </c>
      <c r="K81" s="2893">
        <v>296.5</v>
      </c>
      <c r="L81" s="2893">
        <v>122.2</v>
      </c>
      <c r="M81" s="2893">
        <v>-0.2</v>
      </c>
      <c r="N81" s="2893">
        <v>-1.2</v>
      </c>
      <c r="O81" s="2893">
        <v>4.9000000000000004</v>
      </c>
    </row>
    <row r="82" spans="1:15" s="2900" customFormat="1" ht="13.8" hidden="1">
      <c r="A82" s="2899" t="s">
        <v>23</v>
      </c>
      <c r="B82" s="2893">
        <v>14287.7</v>
      </c>
      <c r="C82" s="2893">
        <v>103.6</v>
      </c>
      <c r="D82" s="2893">
        <v>64.599999999999994</v>
      </c>
      <c r="E82" s="2896">
        <v>6713.7</v>
      </c>
      <c r="F82" s="2893">
        <v>104.1</v>
      </c>
      <c r="G82" s="2893">
        <v>3374.9</v>
      </c>
      <c r="H82" s="2893">
        <v>92.9</v>
      </c>
      <c r="I82" s="2893">
        <v>10584.2</v>
      </c>
      <c r="J82" s="2893">
        <v>116.2</v>
      </c>
      <c r="K82" s="2893">
        <v>298</v>
      </c>
      <c r="L82" s="2893">
        <v>119</v>
      </c>
      <c r="M82" s="2893">
        <v>-0.6</v>
      </c>
      <c r="N82" s="2893">
        <v>-1.8799988929116864</v>
      </c>
      <c r="O82" s="2893">
        <v>3.7</v>
      </c>
    </row>
    <row r="83" spans="1:15" s="2900" customFormat="1" ht="13.8" hidden="1">
      <c r="A83" s="2899" t="s">
        <v>24</v>
      </c>
      <c r="B83" s="2893" t="s">
        <v>46</v>
      </c>
      <c r="C83" s="2893">
        <v>102.7</v>
      </c>
      <c r="D83" s="2893">
        <v>65.5</v>
      </c>
      <c r="E83" s="2896">
        <v>8315.7000000000007</v>
      </c>
      <c r="F83" s="2893">
        <v>103.6</v>
      </c>
      <c r="G83" s="2893">
        <v>4082.5</v>
      </c>
      <c r="H83" s="2893">
        <v>90.3</v>
      </c>
      <c r="I83" s="2893">
        <v>12530.5</v>
      </c>
      <c r="J83" s="2893">
        <v>113.6</v>
      </c>
      <c r="K83" s="2893">
        <v>298</v>
      </c>
      <c r="L83" s="2893">
        <v>117.8</v>
      </c>
      <c r="M83" s="2893">
        <v>0.8</v>
      </c>
      <c r="N83" s="2893">
        <v>-0.82115292742555823</v>
      </c>
      <c r="O83" s="2893">
        <v>3.1</v>
      </c>
    </row>
    <row r="84" spans="1:15" s="2900" customFormat="1" ht="13.8" hidden="1">
      <c r="A84" s="2899" t="s">
        <v>25</v>
      </c>
      <c r="B84" s="2893" t="s">
        <v>47</v>
      </c>
      <c r="C84" s="2893">
        <v>105</v>
      </c>
      <c r="D84" s="2893">
        <v>68.2</v>
      </c>
      <c r="E84" s="2896">
        <v>9502.1</v>
      </c>
      <c r="F84" s="2893">
        <v>101.5</v>
      </c>
      <c r="G84" s="2893">
        <v>4562.5</v>
      </c>
      <c r="H84" s="2893">
        <v>84.7</v>
      </c>
      <c r="I84" s="2893">
        <v>14583.5</v>
      </c>
      <c r="J84" s="2893">
        <v>112.6</v>
      </c>
      <c r="K84" s="2893">
        <v>298</v>
      </c>
      <c r="L84" s="2893">
        <v>116.7</v>
      </c>
      <c r="M84" s="2893">
        <v>0.1</v>
      </c>
      <c r="N84" s="2893">
        <v>-0.69344184864097258</v>
      </c>
      <c r="O84" s="2893">
        <v>2.6</v>
      </c>
    </row>
    <row r="85" spans="1:15" s="2900" customFormat="1" ht="13.8" hidden="1">
      <c r="A85" s="2899" t="s">
        <v>26</v>
      </c>
      <c r="B85" s="2893">
        <v>23427.1</v>
      </c>
      <c r="C85" s="2893">
        <v>106.1</v>
      </c>
      <c r="D85" s="2893">
        <v>68.7</v>
      </c>
      <c r="E85" s="2896">
        <v>10676.6</v>
      </c>
      <c r="F85" s="2893">
        <v>100.8</v>
      </c>
      <c r="G85" s="2893">
        <v>5199.3999999999996</v>
      </c>
      <c r="H85" s="2893">
        <v>82.9</v>
      </c>
      <c r="I85" s="2893">
        <v>16082.6</v>
      </c>
      <c r="J85" s="2893">
        <v>109.8</v>
      </c>
      <c r="K85" s="2893">
        <v>296.60000000000002</v>
      </c>
      <c r="L85" s="2893">
        <v>115.5</v>
      </c>
      <c r="M85" s="2893">
        <v>0.4</v>
      </c>
      <c r="N85" s="2893">
        <v>-1.536024194061568</v>
      </c>
      <c r="O85" s="2893">
        <v>2.1</v>
      </c>
    </row>
    <row r="86" spans="1:15" s="2900" customFormat="1" ht="13.8" hidden="1">
      <c r="A86" s="2899" t="s">
        <v>27</v>
      </c>
      <c r="B86" s="2893">
        <v>26647.5</v>
      </c>
      <c r="C86" s="2893">
        <v>108.3</v>
      </c>
      <c r="D86" s="2893">
        <v>71.5</v>
      </c>
      <c r="E86" s="2896">
        <v>12029.3</v>
      </c>
      <c r="F86" s="2893">
        <v>101.1</v>
      </c>
      <c r="G86" s="2893">
        <v>5922.7</v>
      </c>
      <c r="H86" s="2893">
        <v>82.8</v>
      </c>
      <c r="I86" s="2893">
        <v>18073.900000000001</v>
      </c>
      <c r="J86" s="2893">
        <v>107.8</v>
      </c>
      <c r="K86" s="2893">
        <v>296.3</v>
      </c>
      <c r="L86" s="2893">
        <v>113.9</v>
      </c>
      <c r="M86" s="2893">
        <v>0.35242309999999999</v>
      </c>
      <c r="N86" s="2893">
        <v>-1.7</v>
      </c>
      <c r="O86" s="2893">
        <v>1.7</v>
      </c>
    </row>
    <row r="87" spans="1:15" s="2900" customFormat="1" ht="13.8" hidden="1">
      <c r="A87" s="2899" t="s">
        <v>28</v>
      </c>
      <c r="B87" s="2893">
        <v>29654.2</v>
      </c>
      <c r="C87" s="2893">
        <v>109</v>
      </c>
      <c r="D87" s="2893">
        <v>74.5</v>
      </c>
      <c r="E87" s="2896">
        <v>13227.9</v>
      </c>
      <c r="F87" s="2893">
        <v>101</v>
      </c>
      <c r="G87" s="2893">
        <v>6444.4</v>
      </c>
      <c r="H87" s="2893">
        <v>81.2</v>
      </c>
      <c r="I87" s="2893">
        <v>19816.2</v>
      </c>
      <c r="J87" s="2893">
        <v>107.6</v>
      </c>
      <c r="K87" s="2893">
        <v>296</v>
      </c>
      <c r="L87" s="2893">
        <v>111.7</v>
      </c>
      <c r="M87" s="2893">
        <v>1.2983884999999999</v>
      </c>
      <c r="N87" s="2893">
        <v>-0.53634470074491958</v>
      </c>
      <c r="O87" s="2893">
        <v>1.532503107893</v>
      </c>
    </row>
    <row r="88" spans="1:15" s="2900" customFormat="1" ht="13.8" hidden="1">
      <c r="A88" s="2899" t="s">
        <v>29</v>
      </c>
      <c r="B88" s="2893">
        <v>35601.5</v>
      </c>
      <c r="C88" s="2893">
        <v>109.3</v>
      </c>
      <c r="D88" s="2893">
        <v>78.8</v>
      </c>
      <c r="E88" s="2896">
        <v>15683.2</v>
      </c>
      <c r="F88" s="2893">
        <v>103.2</v>
      </c>
      <c r="G88" s="2893">
        <v>7358.7</v>
      </c>
      <c r="H88" s="2893">
        <v>81.3</v>
      </c>
      <c r="I88" s="2893">
        <v>22396.1</v>
      </c>
      <c r="J88" s="2893">
        <v>108</v>
      </c>
      <c r="K88" s="2893">
        <v>298</v>
      </c>
      <c r="L88" s="2893">
        <v>108.6</v>
      </c>
      <c r="M88" s="2893">
        <v>0.8</v>
      </c>
      <c r="N88" s="2893">
        <v>0.7268374609775492</v>
      </c>
      <c r="O88" s="2893">
        <v>1.532503107893</v>
      </c>
    </row>
    <row r="89" spans="1:15" s="2904" customFormat="1" ht="13.8" hidden="1">
      <c r="A89" s="2899" t="s">
        <v>48</v>
      </c>
      <c r="B89" s="2902">
        <v>42465</v>
      </c>
      <c r="C89" s="2902">
        <v>105</v>
      </c>
      <c r="D89" s="2902">
        <v>111.3</v>
      </c>
      <c r="E89" s="2903">
        <v>18442.7</v>
      </c>
      <c r="F89" s="2902">
        <v>107.7</v>
      </c>
      <c r="G89" s="2902">
        <v>9905.6658000000007</v>
      </c>
      <c r="H89" s="2902">
        <v>121.2</v>
      </c>
      <c r="I89" s="2902">
        <v>25605.599999999999</v>
      </c>
      <c r="J89" s="2902">
        <v>113.3</v>
      </c>
      <c r="K89" s="2902">
        <v>331.5</v>
      </c>
      <c r="L89" s="2902">
        <v>111.24161073825502</v>
      </c>
      <c r="M89" s="2902">
        <v>1.4</v>
      </c>
      <c r="N89" s="2902">
        <v>7.9320063168250003</v>
      </c>
      <c r="O89" s="2902">
        <v>5.7</v>
      </c>
    </row>
    <row r="90" spans="1:15" s="2900" customFormat="1" ht="13.8" hidden="1">
      <c r="A90" s="2899" t="s">
        <v>18</v>
      </c>
      <c r="B90" s="2893">
        <v>3212</v>
      </c>
      <c r="C90" s="2893">
        <v>109.2</v>
      </c>
      <c r="D90" s="2893">
        <v>140.4</v>
      </c>
      <c r="E90" s="2896">
        <v>1147.5</v>
      </c>
      <c r="F90" s="2893">
        <v>104.7</v>
      </c>
      <c r="G90" s="2893">
        <v>401.3</v>
      </c>
      <c r="H90" s="2893">
        <v>105.6</v>
      </c>
      <c r="I90" s="2893">
        <v>1526.9</v>
      </c>
      <c r="J90" s="2893">
        <v>106.4</v>
      </c>
      <c r="K90" s="2893">
        <v>296.89999999999998</v>
      </c>
      <c r="L90" s="2893">
        <v>102</v>
      </c>
      <c r="M90" s="2893">
        <v>0.5</v>
      </c>
      <c r="N90" s="2893">
        <v>1.8</v>
      </c>
      <c r="O90" s="2893">
        <v>1.8</v>
      </c>
    </row>
    <row r="91" spans="1:15" s="2900" customFormat="1" ht="13.8" hidden="1">
      <c r="A91" s="2899" t="s">
        <v>19</v>
      </c>
      <c r="B91" s="2893">
        <v>6128</v>
      </c>
      <c r="C91" s="2893">
        <v>105.6</v>
      </c>
      <c r="D91" s="2893">
        <v>137.9</v>
      </c>
      <c r="E91" s="2896">
        <v>2236.4</v>
      </c>
      <c r="F91" s="2893">
        <v>104.2</v>
      </c>
      <c r="G91" s="2893">
        <v>1076.7</v>
      </c>
      <c r="H91" s="2893">
        <v>102.4</v>
      </c>
      <c r="I91" s="2893">
        <v>3201</v>
      </c>
      <c r="J91" s="2893">
        <v>104.3</v>
      </c>
      <c r="K91" s="2893">
        <v>298.2</v>
      </c>
      <c r="L91" s="2893">
        <v>102.1</v>
      </c>
      <c r="M91" s="2893">
        <v>1.1000000000000001</v>
      </c>
      <c r="N91" s="2893">
        <v>3.7412374951220002</v>
      </c>
      <c r="O91" s="2893">
        <v>2.8</v>
      </c>
    </row>
    <row r="92" spans="1:15" s="2900" customFormat="1" ht="13.8" hidden="1">
      <c r="A92" s="2899" t="s">
        <v>20</v>
      </c>
      <c r="B92" s="2893">
        <v>9551.6</v>
      </c>
      <c r="C92" s="2893">
        <v>105.4</v>
      </c>
      <c r="D92" s="2893">
        <v>134.30000000000001</v>
      </c>
      <c r="E92" s="2896">
        <v>3613.2</v>
      </c>
      <c r="F92" s="2893">
        <v>104.3</v>
      </c>
      <c r="G92" s="2893">
        <v>1636.8</v>
      </c>
      <c r="H92" s="2893">
        <v>104.9</v>
      </c>
      <c r="I92" s="2893">
        <v>5183.8</v>
      </c>
      <c r="J92" s="2893">
        <v>106.5</v>
      </c>
      <c r="K92" s="2893">
        <v>304</v>
      </c>
      <c r="L92" s="2893">
        <v>104.1</v>
      </c>
      <c r="M92" s="2893">
        <v>1.3</v>
      </c>
      <c r="N92" s="2893">
        <v>5.8</v>
      </c>
      <c r="O92" s="2893">
        <v>3.8</v>
      </c>
    </row>
    <row r="93" spans="1:15" s="2900" customFormat="1" ht="13.8" hidden="1">
      <c r="A93" s="2899" t="s">
        <v>21</v>
      </c>
      <c r="B93" s="2893">
        <v>12984.9</v>
      </c>
      <c r="C93" s="2893">
        <v>105</v>
      </c>
      <c r="D93" s="2893">
        <v>130.69999999999999</v>
      </c>
      <c r="E93" s="2896">
        <v>4931.7</v>
      </c>
      <c r="F93" s="2893">
        <v>105</v>
      </c>
      <c r="G93" s="2893">
        <v>2291.3000000000002</v>
      </c>
      <c r="H93" s="2893">
        <v>105.5</v>
      </c>
      <c r="I93" s="2893">
        <v>7320</v>
      </c>
      <c r="J93" s="2893">
        <v>108.6</v>
      </c>
      <c r="K93" s="2893">
        <v>309.8</v>
      </c>
      <c r="L93" s="2893">
        <v>104.8</v>
      </c>
      <c r="M93" s="2893">
        <v>0</v>
      </c>
      <c r="N93" s="2893">
        <v>6</v>
      </c>
      <c r="O93" s="2893">
        <v>4.4000000000000004</v>
      </c>
    </row>
    <row r="94" spans="1:15" s="2900" customFormat="1" ht="13.8" hidden="1">
      <c r="A94" s="2899" t="s">
        <v>22</v>
      </c>
      <c r="B94" s="2893">
        <v>16533.900000000001</v>
      </c>
      <c r="C94" s="2893">
        <v>104.3</v>
      </c>
      <c r="D94" s="2893">
        <v>129.69999999999999</v>
      </c>
      <c r="E94" s="2896">
        <v>6392.4</v>
      </c>
      <c r="F94" s="2893">
        <v>104.9</v>
      </c>
      <c r="G94" s="2893">
        <v>3021.3</v>
      </c>
      <c r="H94" s="2893">
        <v>111.3</v>
      </c>
      <c r="I94" s="2893">
        <v>9403.1</v>
      </c>
      <c r="J94" s="2893">
        <v>109.5</v>
      </c>
      <c r="K94" s="2893">
        <v>313.89999999999998</v>
      </c>
      <c r="L94" s="2893">
        <v>105.9</v>
      </c>
      <c r="M94" s="2893">
        <v>-0.2</v>
      </c>
      <c r="N94" s="2893">
        <v>6.1</v>
      </c>
      <c r="O94" s="2893">
        <v>4.7</v>
      </c>
    </row>
    <row r="95" spans="1:15" s="2900" customFormat="1" ht="13.8" hidden="1">
      <c r="A95" s="2899" t="s">
        <v>23</v>
      </c>
      <c r="B95" s="2893">
        <v>19680</v>
      </c>
      <c r="C95" s="2893">
        <v>103.7</v>
      </c>
      <c r="D95" s="2893">
        <v>125.2</v>
      </c>
      <c r="E95" s="2896">
        <v>7865</v>
      </c>
      <c r="F95" s="2893">
        <v>104.7</v>
      </c>
      <c r="G95" s="2893">
        <v>3766.9</v>
      </c>
      <c r="H95" s="2893">
        <v>110.9</v>
      </c>
      <c r="I95" s="2893">
        <v>11483.7</v>
      </c>
      <c r="J95" s="2893">
        <v>109.7</v>
      </c>
      <c r="K95" s="2893">
        <v>315.2</v>
      </c>
      <c r="L95" s="2893">
        <v>105</v>
      </c>
      <c r="M95" s="2893">
        <v>-0.61972480000000019</v>
      </c>
      <c r="N95" s="2893">
        <v>6.062452538594</v>
      </c>
      <c r="O95" s="2893">
        <v>4.9000000000000004</v>
      </c>
    </row>
    <row r="96" spans="1:15" s="2900" customFormat="1" ht="13.8" hidden="1">
      <c r="A96" s="2899" t="s">
        <v>24</v>
      </c>
      <c r="B96" s="2893">
        <v>23154.7</v>
      </c>
      <c r="C96" s="2893">
        <v>103.5</v>
      </c>
      <c r="D96" s="2893">
        <v>120.3</v>
      </c>
      <c r="E96" s="2896">
        <v>9674.1</v>
      </c>
      <c r="F96" s="2893">
        <v>104.2</v>
      </c>
      <c r="G96" s="2893">
        <v>4567.3999999999996</v>
      </c>
      <c r="H96" s="2893">
        <v>111.2</v>
      </c>
      <c r="I96" s="2893">
        <v>13604</v>
      </c>
      <c r="J96" s="2893">
        <v>109.3</v>
      </c>
      <c r="K96" s="2893">
        <v>316.3</v>
      </c>
      <c r="L96" s="2893">
        <v>105.3</v>
      </c>
      <c r="M96" s="2893">
        <v>-0.2</v>
      </c>
      <c r="N96" s="2893">
        <v>5</v>
      </c>
      <c r="O96" s="2893">
        <v>4.9000000000000004</v>
      </c>
    </row>
    <row r="97" spans="1:15" s="2900" customFormat="1" ht="13.8" hidden="1">
      <c r="A97" s="2899" t="s">
        <v>25</v>
      </c>
      <c r="B97" s="2893">
        <v>26189.599999999999</v>
      </c>
      <c r="C97" s="2893">
        <v>103.8</v>
      </c>
      <c r="D97" s="2893">
        <v>116.8</v>
      </c>
      <c r="E97" s="2896">
        <v>10964.9</v>
      </c>
      <c r="F97" s="2893">
        <v>104.5</v>
      </c>
      <c r="G97" s="2893">
        <v>5218.1000000000004</v>
      </c>
      <c r="H97" s="2893">
        <v>111.3</v>
      </c>
      <c r="I97" s="2893">
        <v>15832.8</v>
      </c>
      <c r="J97" s="2893">
        <v>111</v>
      </c>
      <c r="K97" s="2893">
        <v>317.39999999999998</v>
      </c>
      <c r="L97" s="2893">
        <v>105.7</v>
      </c>
      <c r="M97" s="2893">
        <v>0.69996259999999999</v>
      </c>
      <c r="N97" s="2893">
        <v>5.7</v>
      </c>
      <c r="O97" s="2893">
        <v>5.0336515161650004</v>
      </c>
    </row>
    <row r="98" spans="1:15" ht="15" hidden="1" customHeight="1">
      <c r="A98" s="2899" t="s">
        <v>26</v>
      </c>
      <c r="B98" s="2893">
        <v>29308</v>
      </c>
      <c r="C98" s="2893">
        <v>104.1</v>
      </c>
      <c r="D98" s="2893">
        <v>115.6</v>
      </c>
      <c r="E98" s="2896">
        <v>12394.8</v>
      </c>
      <c r="F98" s="2893">
        <v>105.2</v>
      </c>
      <c r="G98" s="2893">
        <v>6157.8</v>
      </c>
      <c r="H98" s="2893">
        <v>115.2</v>
      </c>
      <c r="I98" s="2893">
        <v>17979.2</v>
      </c>
      <c r="J98" s="2893">
        <v>111.3</v>
      </c>
      <c r="K98" s="2893">
        <v>319.10000000000002</v>
      </c>
      <c r="L98" s="2893">
        <v>106.6</v>
      </c>
      <c r="M98" s="2893">
        <v>0.9</v>
      </c>
      <c r="N98" s="2893">
        <v>6.3</v>
      </c>
      <c r="O98" s="2893">
        <v>5.2</v>
      </c>
    </row>
    <row r="99" spans="1:15" ht="15" hidden="1" customHeight="1">
      <c r="A99" s="2899" t="s">
        <v>27</v>
      </c>
      <c r="B99" s="2893">
        <v>32499.5</v>
      </c>
      <c r="C99" s="2893">
        <v>104.1</v>
      </c>
      <c r="D99" s="2893">
        <v>113.9</v>
      </c>
      <c r="E99" s="2896">
        <v>13732.4</v>
      </c>
      <c r="F99" s="2893">
        <v>105.4</v>
      </c>
      <c r="G99" s="2893">
        <v>7057.8</v>
      </c>
      <c r="H99" s="2893">
        <v>114.8</v>
      </c>
      <c r="I99" s="2893">
        <v>20290.2</v>
      </c>
      <c r="J99" s="2893">
        <v>111.7</v>
      </c>
      <c r="K99" s="2893">
        <v>320</v>
      </c>
      <c r="L99" s="2893">
        <v>107.2</v>
      </c>
      <c r="M99" s="2893">
        <v>0.9</v>
      </c>
      <c r="N99" s="2893">
        <v>6.9</v>
      </c>
      <c r="O99" s="2893">
        <v>5.3</v>
      </c>
    </row>
    <row r="100" spans="1:15" ht="15" hidden="1" customHeight="1">
      <c r="A100" s="2899" t="s">
        <v>28</v>
      </c>
      <c r="B100" s="2893">
        <v>36575.4</v>
      </c>
      <c r="C100" s="2893">
        <v>104.5</v>
      </c>
      <c r="D100" s="2893">
        <v>113.8</v>
      </c>
      <c r="E100" s="2896">
        <v>15506.9</v>
      </c>
      <c r="F100" s="2893">
        <v>105.9</v>
      </c>
      <c r="G100" s="2893">
        <v>7704.5</v>
      </c>
      <c r="H100" s="2893">
        <v>115.2</v>
      </c>
      <c r="I100" s="2893">
        <v>22678.400000000001</v>
      </c>
      <c r="J100" s="2893">
        <v>112</v>
      </c>
      <c r="K100" s="2893">
        <v>321.2</v>
      </c>
      <c r="L100" s="2893">
        <v>107.7</v>
      </c>
      <c r="M100" s="2893">
        <v>1.7737821000000054</v>
      </c>
      <c r="N100" s="2893">
        <v>7.3664508086809999</v>
      </c>
      <c r="O100" s="2893">
        <v>5.527390410604994</v>
      </c>
    </row>
    <row r="101" spans="1:15" ht="15" hidden="1" customHeight="1">
      <c r="A101" s="2899" t="s">
        <v>29</v>
      </c>
      <c r="B101" s="2893">
        <v>42465</v>
      </c>
      <c r="C101" s="2893">
        <v>105</v>
      </c>
      <c r="D101" s="2893">
        <v>111.3</v>
      </c>
      <c r="E101" s="2893">
        <v>18442.7</v>
      </c>
      <c r="F101" s="2893">
        <v>107.9</v>
      </c>
      <c r="G101" s="2893">
        <v>9715.2000000000007</v>
      </c>
      <c r="H101" s="2893">
        <v>121.2</v>
      </c>
      <c r="I101" s="2893">
        <v>25605.599999999999</v>
      </c>
      <c r="J101" s="2893">
        <v>113.3</v>
      </c>
      <c r="K101" s="2893">
        <v>325</v>
      </c>
      <c r="L101" s="2893">
        <v>109.1</v>
      </c>
      <c r="M101" s="2893">
        <v>1.4</v>
      </c>
      <c r="N101" s="2893">
        <v>7.9320063168250003</v>
      </c>
      <c r="O101" s="2893">
        <v>5.7</v>
      </c>
    </row>
    <row r="102" spans="1:15" s="2885" customFormat="1" ht="15" hidden="1" customHeight="1">
      <c r="A102" s="2905" t="s">
        <v>1045</v>
      </c>
      <c r="B102" s="2906">
        <v>52082</v>
      </c>
      <c r="C102" s="2906">
        <v>100.1</v>
      </c>
      <c r="D102" s="2906">
        <v>117.8</v>
      </c>
      <c r="E102" s="2906">
        <v>21974.3</v>
      </c>
      <c r="F102" s="2906">
        <v>109.4</v>
      </c>
      <c r="G102" s="2906">
        <v>12799.1</v>
      </c>
      <c r="H102" s="2906">
        <v>127.3</v>
      </c>
      <c r="I102" s="2906">
        <v>30524.6</v>
      </c>
      <c r="J102" s="2906">
        <v>119.6</v>
      </c>
      <c r="K102" s="2906">
        <v>364.2</v>
      </c>
      <c r="L102" s="2906">
        <v>109.86425339366515</v>
      </c>
      <c r="M102" s="2906">
        <v>0.9</v>
      </c>
      <c r="N102" s="2906">
        <f>+N114</f>
        <v>5.5911934944952435</v>
      </c>
      <c r="O102" s="2906">
        <v>7.9</v>
      </c>
    </row>
    <row r="103" spans="1:15" ht="15" hidden="1" customHeight="1">
      <c r="A103" s="2905" t="s">
        <v>18</v>
      </c>
      <c r="B103" s="2907">
        <v>3442.5</v>
      </c>
      <c r="C103" s="2907">
        <v>100.8</v>
      </c>
      <c r="D103" s="2907">
        <v>109.1</v>
      </c>
      <c r="E103" s="2907">
        <v>1412.8</v>
      </c>
      <c r="F103" s="2907">
        <v>106.6</v>
      </c>
      <c r="G103" s="2907">
        <v>432</v>
      </c>
      <c r="H103" s="2907">
        <v>101.7</v>
      </c>
      <c r="I103" s="2907">
        <v>1910.7</v>
      </c>
      <c r="J103" s="2907">
        <v>114.3</v>
      </c>
      <c r="K103" s="2907">
        <v>325.10000000000002</v>
      </c>
      <c r="L103" s="2907">
        <v>109.5</v>
      </c>
      <c r="M103" s="2907">
        <v>0.8</v>
      </c>
      <c r="N103" s="2907">
        <v>8.3177324881610009</v>
      </c>
      <c r="O103" s="2907">
        <v>8.3000000000000007</v>
      </c>
    </row>
    <row r="104" spans="1:15" ht="15" hidden="1" customHeight="1">
      <c r="A104" s="2905" t="s">
        <v>19</v>
      </c>
      <c r="B104" s="2907">
        <v>6711.5</v>
      </c>
      <c r="C104" s="2907">
        <v>101.4</v>
      </c>
      <c r="D104" s="2907">
        <v>110.2</v>
      </c>
      <c r="E104" s="2907">
        <v>2747.2</v>
      </c>
      <c r="F104" s="2907">
        <v>103.8</v>
      </c>
      <c r="G104" s="2907">
        <v>1120.3</v>
      </c>
      <c r="H104" s="2907">
        <v>98.3</v>
      </c>
      <c r="I104" s="2907">
        <v>4158.3999999999996</v>
      </c>
      <c r="J104" s="2907">
        <v>114.5</v>
      </c>
      <c r="K104" s="2907">
        <v>332.3</v>
      </c>
      <c r="L104" s="2907">
        <v>111.4</v>
      </c>
      <c r="M104" s="2907">
        <v>2.2000000000000002</v>
      </c>
      <c r="N104" s="2907">
        <v>9.5436479892725856</v>
      </c>
      <c r="O104" s="2907">
        <v>8.9</v>
      </c>
    </row>
    <row r="105" spans="1:15" ht="15" hidden="1" customHeight="1">
      <c r="A105" s="2905" t="s">
        <v>20</v>
      </c>
      <c r="B105" s="2907">
        <v>10421.1</v>
      </c>
      <c r="C105" s="2907">
        <v>101.6</v>
      </c>
      <c r="D105" s="2907">
        <v>111</v>
      </c>
      <c r="E105" s="2907">
        <v>4448.3</v>
      </c>
      <c r="F105" s="2907">
        <v>105.6</v>
      </c>
      <c r="G105" s="2907">
        <v>1775.8</v>
      </c>
      <c r="H105" s="2907">
        <v>102.5</v>
      </c>
      <c r="I105" s="2907">
        <v>6496.5</v>
      </c>
      <c r="J105" s="2907">
        <v>116.8</v>
      </c>
      <c r="K105" s="2907">
        <v>339.6</v>
      </c>
      <c r="L105" s="2907">
        <v>111.7</v>
      </c>
      <c r="M105" s="2907">
        <v>1.1000000000000001</v>
      </c>
      <c r="N105" s="2907">
        <v>9.3032358668667001</v>
      </c>
      <c r="O105" s="2907">
        <v>9.0548721147670008</v>
      </c>
    </row>
    <row r="106" spans="1:15" ht="15" hidden="1" customHeight="1">
      <c r="A106" s="2905" t="s">
        <v>21</v>
      </c>
      <c r="B106" s="2907">
        <v>13714.9</v>
      </c>
      <c r="C106" s="2907">
        <v>100.8</v>
      </c>
      <c r="D106" s="2907">
        <v>109.6</v>
      </c>
      <c r="E106" s="2907">
        <v>5792.5</v>
      </c>
      <c r="F106" s="2907">
        <v>106.2</v>
      </c>
      <c r="G106" s="2907">
        <v>2589.1999999999998</v>
      </c>
      <c r="H106" s="2907">
        <v>112</v>
      </c>
      <c r="I106" s="2907">
        <v>8858.9</v>
      </c>
      <c r="J106" s="2907">
        <v>116</v>
      </c>
      <c r="K106" s="2907">
        <v>348.6</v>
      </c>
      <c r="L106" s="2907">
        <v>112.5</v>
      </c>
      <c r="M106" s="2907">
        <v>-0.29999999999999716</v>
      </c>
      <c r="N106" s="2907">
        <v>8.9344735259792003</v>
      </c>
      <c r="O106" s="2907">
        <v>9</v>
      </c>
    </row>
    <row r="107" spans="1:15" ht="15" hidden="1" customHeight="1">
      <c r="A107" s="2905" t="s">
        <v>22</v>
      </c>
      <c r="B107" s="2907">
        <v>17596.599999999999</v>
      </c>
      <c r="C107" s="2907">
        <v>100.8</v>
      </c>
      <c r="D107" s="2907">
        <v>109.3</v>
      </c>
      <c r="E107" s="2907">
        <v>7549.6</v>
      </c>
      <c r="F107" s="2907">
        <v>106.6</v>
      </c>
      <c r="G107" s="2907">
        <v>3415.7</v>
      </c>
      <c r="H107" s="2907">
        <v>112.1</v>
      </c>
      <c r="I107" s="2907">
        <v>11192.5</v>
      </c>
      <c r="J107" s="2907">
        <v>116.5</v>
      </c>
      <c r="K107" s="2907">
        <v>349.6</v>
      </c>
      <c r="L107" s="2907">
        <v>111.4</v>
      </c>
      <c r="M107" s="2907">
        <v>-0.4</v>
      </c>
      <c r="N107" s="2907">
        <v>8.6229879926790858</v>
      </c>
      <c r="O107" s="2907">
        <v>8.9</v>
      </c>
    </row>
    <row r="108" spans="1:15" ht="15" hidden="1" customHeight="1">
      <c r="A108" s="2905" t="s">
        <v>23</v>
      </c>
      <c r="B108" s="2907">
        <v>22516.5</v>
      </c>
      <c r="C108" s="2907">
        <v>100.9</v>
      </c>
      <c r="D108" s="2907">
        <v>112.5</v>
      </c>
      <c r="E108" s="2907">
        <v>9795.1</v>
      </c>
      <c r="F108" s="2907">
        <v>107.2</v>
      </c>
      <c r="G108" s="2907">
        <v>4476.6000000000004</v>
      </c>
      <c r="H108" s="2907">
        <v>117.8</v>
      </c>
      <c r="I108" s="2907">
        <v>13489.2</v>
      </c>
      <c r="J108" s="2907">
        <v>117</v>
      </c>
      <c r="K108" s="2907">
        <v>351.3</v>
      </c>
      <c r="L108" s="2907">
        <v>110.7</v>
      </c>
      <c r="M108" s="2907">
        <v>-0.90281650000000013</v>
      </c>
      <c r="N108" s="2907">
        <v>8.3135677755580986</v>
      </c>
      <c r="O108" s="2907">
        <v>8.8392742730860761</v>
      </c>
    </row>
    <row r="109" spans="1:15" ht="15" hidden="1" customHeight="1">
      <c r="A109" s="2905" t="s">
        <v>24</v>
      </c>
      <c r="B109" s="2907">
        <v>26502.3</v>
      </c>
      <c r="C109" s="2907">
        <v>101.1</v>
      </c>
      <c r="D109" s="2907">
        <v>111.3</v>
      </c>
      <c r="E109" s="2907">
        <v>11859.9</v>
      </c>
      <c r="F109" s="2907">
        <v>108.5</v>
      </c>
      <c r="G109" s="2907">
        <v>5491.5</v>
      </c>
      <c r="H109" s="2907">
        <v>119.1</v>
      </c>
      <c r="I109" s="2907">
        <v>16337.5</v>
      </c>
      <c r="J109" s="2907">
        <v>117.3</v>
      </c>
      <c r="K109" s="2907">
        <v>352.7</v>
      </c>
      <c r="L109" s="2907">
        <v>110.3</v>
      </c>
      <c r="M109" s="2907">
        <v>-0.8</v>
      </c>
      <c r="N109" s="2907">
        <v>7.6559338364420455</v>
      </c>
      <c r="O109" s="2907">
        <v>8.6999999999999993</v>
      </c>
    </row>
    <row r="110" spans="1:15" ht="15" hidden="1" customHeight="1">
      <c r="A110" s="2905" t="s">
        <v>25</v>
      </c>
      <c r="B110" s="2907">
        <v>30868.799999999999</v>
      </c>
      <c r="C110" s="2907">
        <v>101.1</v>
      </c>
      <c r="D110" s="2907">
        <v>111.8</v>
      </c>
      <c r="E110" s="2907">
        <v>13806.7</v>
      </c>
      <c r="F110" s="2907">
        <v>108.5</v>
      </c>
      <c r="G110" s="2907">
        <v>6398.4</v>
      </c>
      <c r="H110" s="2907">
        <v>121.4</v>
      </c>
      <c r="I110" s="2907">
        <v>19030.2</v>
      </c>
      <c r="J110" s="2907">
        <v>118.5</v>
      </c>
      <c r="K110" s="2907">
        <v>353.7</v>
      </c>
      <c r="L110" s="2907">
        <v>109.8</v>
      </c>
      <c r="M110" s="2907">
        <v>0.6</v>
      </c>
      <c r="N110" s="2907">
        <v>7.5979181711304022</v>
      </c>
      <c r="O110" s="2907">
        <v>8.5</v>
      </c>
    </row>
    <row r="111" spans="1:15" ht="15" hidden="1" customHeight="1">
      <c r="A111" s="2905" t="s">
        <v>26</v>
      </c>
      <c r="B111" s="2907">
        <v>34583.1</v>
      </c>
      <c r="C111" s="2907">
        <v>100.5</v>
      </c>
      <c r="D111" s="2907">
        <v>111.4</v>
      </c>
      <c r="E111" s="2907">
        <v>15544.7</v>
      </c>
      <c r="F111" s="2907">
        <v>108.2</v>
      </c>
      <c r="G111" s="2907">
        <v>7576.7</v>
      </c>
      <c r="H111" s="2907">
        <v>121.9</v>
      </c>
      <c r="I111" s="2907">
        <v>21776.3</v>
      </c>
      <c r="J111" s="2907">
        <v>119.2</v>
      </c>
      <c r="K111" s="2907">
        <v>354.5</v>
      </c>
      <c r="L111" s="2907">
        <v>109.5</v>
      </c>
      <c r="M111" s="2907">
        <v>1.1000000000000001</v>
      </c>
      <c r="N111" s="2907">
        <v>7.7428770292172544</v>
      </c>
      <c r="O111" s="2907">
        <v>8.4</v>
      </c>
    </row>
    <row r="112" spans="1:15" ht="15" hidden="1" customHeight="1">
      <c r="A112" s="2905" t="s">
        <v>27</v>
      </c>
      <c r="B112" s="2907">
        <v>40690</v>
      </c>
      <c r="C112" s="2907">
        <v>100.3</v>
      </c>
      <c r="D112" s="2907">
        <v>117.7</v>
      </c>
      <c r="E112" s="2907">
        <v>17463.099999999999</v>
      </c>
      <c r="F112" s="2907">
        <v>108.5</v>
      </c>
      <c r="G112" s="2907">
        <v>8649.2999999999993</v>
      </c>
      <c r="H112" s="2907">
        <v>121.7</v>
      </c>
      <c r="I112" s="2907">
        <v>24538.6</v>
      </c>
      <c r="J112" s="2907">
        <v>119</v>
      </c>
      <c r="K112" s="2907" t="s">
        <v>1293</v>
      </c>
      <c r="L112" s="2907">
        <v>109</v>
      </c>
      <c r="M112" s="2907">
        <v>0</v>
      </c>
      <c r="N112" s="2907">
        <v>6.7944925724378749</v>
      </c>
      <c r="O112" s="2907">
        <v>8.3000000000000007</v>
      </c>
    </row>
    <row r="113" spans="1:15" ht="15" hidden="1" customHeight="1">
      <c r="A113" s="2905" t="s">
        <v>28</v>
      </c>
      <c r="B113" s="2907">
        <v>45476.6</v>
      </c>
      <c r="C113" s="2907">
        <v>100.2</v>
      </c>
      <c r="D113" s="2907">
        <v>118.8</v>
      </c>
      <c r="E113" s="2907">
        <v>19512.7</v>
      </c>
      <c r="F113" s="2907">
        <v>109.5</v>
      </c>
      <c r="G113" s="2907">
        <v>10017.200000000001</v>
      </c>
      <c r="H113" s="2907">
        <v>128.30000000000001</v>
      </c>
      <c r="I113" s="2907">
        <v>27277.9</v>
      </c>
      <c r="J113" s="2907">
        <v>119.2</v>
      </c>
      <c r="K113" s="2907">
        <v>355.7</v>
      </c>
      <c r="L113" s="2907">
        <v>108.7</v>
      </c>
      <c r="M113" s="2907">
        <v>1.1000000000000001</v>
      </c>
      <c r="N113" s="2907">
        <v>6.0369840595394066</v>
      </c>
      <c r="O113" s="2907">
        <v>8</v>
      </c>
    </row>
    <row r="114" spans="1:15" ht="15" hidden="1" customHeight="1">
      <c r="A114" s="2905" t="s">
        <v>29</v>
      </c>
      <c r="B114" s="2907">
        <v>52082</v>
      </c>
      <c r="C114" s="2907">
        <v>100.1</v>
      </c>
      <c r="D114" s="2907">
        <v>117.8</v>
      </c>
      <c r="E114" s="2907">
        <v>21974.3</v>
      </c>
      <c r="F114" s="2907">
        <v>109.4</v>
      </c>
      <c r="G114" s="2907">
        <v>12776.4</v>
      </c>
      <c r="H114" s="2907">
        <v>127.3</v>
      </c>
      <c r="I114" s="2907">
        <v>30524.6</v>
      </c>
      <c r="J114" s="2907">
        <v>119.6</v>
      </c>
      <c r="K114" s="2907">
        <v>356.6</v>
      </c>
      <c r="L114" s="2907">
        <v>108.3</v>
      </c>
      <c r="M114" s="2907">
        <v>0.9</v>
      </c>
      <c r="N114" s="2907">
        <v>5.5911934944952435</v>
      </c>
      <c r="O114" s="2907">
        <v>7.9</v>
      </c>
    </row>
    <row r="115" spans="1:15" s="2885" customFormat="1" ht="15" hidden="1" customHeight="1">
      <c r="A115" s="2905" t="s">
        <v>1327</v>
      </c>
      <c r="B115" s="2906">
        <v>54743.7</v>
      </c>
      <c r="C115" s="2906">
        <v>102.2</v>
      </c>
      <c r="D115" s="2906">
        <v>101.5</v>
      </c>
      <c r="E115" s="2906">
        <v>26165.4</v>
      </c>
      <c r="F115" s="2906">
        <v>109.7</v>
      </c>
      <c r="G115" s="2906">
        <v>15407.3</v>
      </c>
      <c r="H115" s="2906">
        <v>118</v>
      </c>
      <c r="I115" s="2906">
        <v>34769.5</v>
      </c>
      <c r="J115" s="2906">
        <v>113.8</v>
      </c>
      <c r="K115" s="2906">
        <v>396</v>
      </c>
      <c r="L115" s="2906">
        <v>108.73146622734762</v>
      </c>
      <c r="M115" s="2906">
        <v>0.7</v>
      </c>
      <c r="N115" s="2906">
        <f>+N127</f>
        <v>-0.26192629669733947</v>
      </c>
      <c r="O115" s="2906">
        <v>1.1000000000000001</v>
      </c>
    </row>
    <row r="116" spans="1:15" ht="15" hidden="1" customHeight="1">
      <c r="A116" s="2905" t="s">
        <v>18</v>
      </c>
      <c r="B116" s="2907">
        <v>4091.2</v>
      </c>
      <c r="C116" s="2907">
        <v>101.2</v>
      </c>
      <c r="D116" s="2907">
        <v>105.2</v>
      </c>
      <c r="E116" s="2907">
        <v>1598.7</v>
      </c>
      <c r="F116" s="2907">
        <v>105.9</v>
      </c>
      <c r="G116" s="2907">
        <v>459.4</v>
      </c>
      <c r="H116" s="2907">
        <v>104.8</v>
      </c>
      <c r="I116" s="2907">
        <v>2062.4</v>
      </c>
      <c r="J116" s="2907">
        <v>114.8</v>
      </c>
      <c r="K116" s="2907">
        <v>363.1</v>
      </c>
      <c r="L116" s="2907">
        <v>109.5</v>
      </c>
      <c r="M116" s="2907">
        <v>0.1</v>
      </c>
      <c r="N116" s="2907">
        <v>4.803886361388308</v>
      </c>
      <c r="O116" s="2907">
        <v>4.8</v>
      </c>
    </row>
    <row r="117" spans="1:15" ht="15" hidden="1" customHeight="1">
      <c r="A117" s="2905" t="s">
        <v>19</v>
      </c>
      <c r="B117" s="2907">
        <v>8001.9</v>
      </c>
      <c r="C117" s="2907">
        <v>100.5</v>
      </c>
      <c r="D117" s="2907">
        <v>106.2</v>
      </c>
      <c r="E117" s="2907">
        <v>3012.3</v>
      </c>
      <c r="F117" s="2907">
        <v>107.1</v>
      </c>
      <c r="G117" s="2907">
        <v>1196.4000000000001</v>
      </c>
      <c r="H117" s="2907">
        <v>105.2</v>
      </c>
      <c r="I117" s="2907">
        <v>4543.7</v>
      </c>
      <c r="J117" s="2907">
        <v>113.6</v>
      </c>
      <c r="K117" s="2907">
        <v>368.4</v>
      </c>
      <c r="L117" s="2907">
        <v>108.5</v>
      </c>
      <c r="M117" s="2907">
        <v>0.1</v>
      </c>
      <c r="N117" s="2907">
        <v>2.6577246318197751</v>
      </c>
      <c r="O117" s="2907">
        <v>3.7</v>
      </c>
    </row>
    <row r="118" spans="1:15" ht="15" hidden="1" customHeight="1">
      <c r="A118" s="2905" t="s">
        <v>20</v>
      </c>
      <c r="B118" s="2907">
        <v>12289.1</v>
      </c>
      <c r="C118" s="2907">
        <v>100.5</v>
      </c>
      <c r="D118" s="2907">
        <v>109.3</v>
      </c>
      <c r="E118" s="2907">
        <v>4427.8</v>
      </c>
      <c r="F118" s="2907">
        <v>107.7</v>
      </c>
      <c r="G118" s="2907">
        <v>2099.4</v>
      </c>
      <c r="H118" s="2907">
        <v>116.5</v>
      </c>
      <c r="I118" s="2907">
        <v>7231.6</v>
      </c>
      <c r="J118" s="2907">
        <v>113.9</v>
      </c>
      <c r="K118" s="2907">
        <v>380.6</v>
      </c>
      <c r="L118" s="2907">
        <v>108.5</v>
      </c>
      <c r="M118" s="2907">
        <v>0.3</v>
      </c>
      <c r="N118" s="2907">
        <v>1.8471878022345578</v>
      </c>
      <c r="O118" s="2907">
        <v>3.1</v>
      </c>
    </row>
    <row r="119" spans="1:15" ht="15" hidden="1" customHeight="1">
      <c r="A119" s="2905" t="s">
        <v>21</v>
      </c>
      <c r="B119" s="2907">
        <v>16625</v>
      </c>
      <c r="C119" s="2907">
        <v>100.3</v>
      </c>
      <c r="D119" s="2907">
        <v>106.7</v>
      </c>
      <c r="E119" s="2907">
        <v>6365.9</v>
      </c>
      <c r="F119" s="2907">
        <v>109.5</v>
      </c>
      <c r="G119" s="2907">
        <v>3724.9</v>
      </c>
      <c r="H119" s="2907">
        <v>124</v>
      </c>
      <c r="I119" s="2907">
        <v>9761.1</v>
      </c>
      <c r="J119" s="2907">
        <v>114.1</v>
      </c>
      <c r="K119" s="2907">
        <v>378.9</v>
      </c>
      <c r="L119" s="2907">
        <v>108.7</v>
      </c>
      <c r="M119" s="2907">
        <v>-0.4</v>
      </c>
      <c r="N119" s="2907">
        <v>1.7452354030001942</v>
      </c>
      <c r="O119" s="2907">
        <v>2.7</v>
      </c>
    </row>
    <row r="120" spans="1:15" ht="15" hidden="1" customHeight="1">
      <c r="A120" s="2905" t="s">
        <v>22</v>
      </c>
      <c r="B120" s="2907">
        <v>20852</v>
      </c>
      <c r="C120" s="2907">
        <v>100.7</v>
      </c>
      <c r="D120" s="2907">
        <v>103.9</v>
      </c>
      <c r="E120" s="2907">
        <v>8371.7999999999993</v>
      </c>
      <c r="F120" s="2907">
        <v>110.6</v>
      </c>
      <c r="G120" s="2907">
        <v>4473.3999999999996</v>
      </c>
      <c r="H120" s="2907">
        <v>128.30000000000001</v>
      </c>
      <c r="I120" s="2907">
        <v>12358.7</v>
      </c>
      <c r="J120" s="2907">
        <v>114.6</v>
      </c>
      <c r="K120" s="2907">
        <v>379.1</v>
      </c>
      <c r="L120" s="2907">
        <v>108.4</v>
      </c>
      <c r="M120" s="2907">
        <v>-0.90533530000000439</v>
      </c>
      <c r="N120" s="2907">
        <v>1.2682515865845687</v>
      </c>
      <c r="O120" s="2907">
        <v>2.4644571570054694</v>
      </c>
    </row>
    <row r="121" spans="1:15" ht="15" hidden="1" customHeight="1">
      <c r="A121" s="2905" t="s">
        <v>23</v>
      </c>
      <c r="B121" s="2907">
        <v>25861.3</v>
      </c>
      <c r="C121" s="2907">
        <v>101.5</v>
      </c>
      <c r="D121" s="2907">
        <v>102</v>
      </c>
      <c r="E121" s="2907">
        <v>11287.7</v>
      </c>
      <c r="F121" s="2907">
        <v>111.3</v>
      </c>
      <c r="G121" s="2907">
        <v>5924.9</v>
      </c>
      <c r="H121" s="2907">
        <v>129.6</v>
      </c>
      <c r="I121" s="2907">
        <v>15099.8</v>
      </c>
      <c r="J121" s="2907">
        <v>114.2</v>
      </c>
      <c r="K121" s="2907">
        <v>386.2</v>
      </c>
      <c r="L121" s="2907">
        <v>108.8</v>
      </c>
      <c r="M121" s="2907">
        <v>-1.2999999999999972</v>
      </c>
      <c r="N121" s="2907">
        <v>0.82784214404509271</v>
      </c>
      <c r="O121" s="2907">
        <v>2.2000000000000002</v>
      </c>
    </row>
    <row r="122" spans="1:15" ht="15" hidden="1" customHeight="1">
      <c r="A122" s="2905" t="s">
        <v>24</v>
      </c>
      <c r="B122" s="2907">
        <v>30783.1</v>
      </c>
      <c r="C122" s="2907">
        <v>101.6</v>
      </c>
      <c r="D122" s="2907">
        <v>101.5</v>
      </c>
      <c r="E122" s="2907">
        <v>13901.3</v>
      </c>
      <c r="F122" s="2907">
        <v>110.5</v>
      </c>
      <c r="G122" s="2907">
        <v>7126</v>
      </c>
      <c r="H122" s="2907">
        <v>127.2</v>
      </c>
      <c r="I122" s="2907">
        <v>18231.8</v>
      </c>
      <c r="J122" s="2907">
        <v>113.9</v>
      </c>
      <c r="K122" s="2907">
        <v>384.5</v>
      </c>
      <c r="L122" s="2907">
        <v>108.3</v>
      </c>
      <c r="M122" s="2907">
        <v>-0.69461029999999369</v>
      </c>
      <c r="N122" s="2907">
        <v>0.90555105278566828</v>
      </c>
      <c r="O122" s="2907">
        <v>2.0079541402654542</v>
      </c>
    </row>
    <row r="123" spans="1:15" ht="15" hidden="1" customHeight="1">
      <c r="A123" s="2905" t="s">
        <v>25</v>
      </c>
      <c r="B123" s="2907">
        <v>35136.400000000001</v>
      </c>
      <c r="C123" s="2907">
        <v>101.3</v>
      </c>
      <c r="D123" s="2907">
        <v>101.1</v>
      </c>
      <c r="E123" s="2907">
        <v>15998.3</v>
      </c>
      <c r="F123" s="2907">
        <v>110.6</v>
      </c>
      <c r="G123" s="2907">
        <v>8383.9</v>
      </c>
      <c r="H123" s="2907">
        <v>128.4</v>
      </c>
      <c r="I123" s="2907">
        <v>21365</v>
      </c>
      <c r="J123" s="2907">
        <v>113.4</v>
      </c>
      <c r="K123" s="2907">
        <v>386</v>
      </c>
      <c r="L123" s="2907">
        <v>108.4</v>
      </c>
      <c r="M123" s="2907">
        <v>-0.46625629999999774</v>
      </c>
      <c r="N123" s="2907">
        <v>-0.20927167823850823</v>
      </c>
      <c r="O123" s="2907">
        <v>1.7</v>
      </c>
    </row>
    <row r="124" spans="1:15" ht="15" hidden="1" customHeight="1">
      <c r="A124" s="2905" t="s">
        <v>26</v>
      </c>
      <c r="B124" s="2907">
        <v>39760.6</v>
      </c>
      <c r="C124" s="2907">
        <v>101.1</v>
      </c>
      <c r="D124" s="2907">
        <v>101</v>
      </c>
      <c r="E124" s="2907">
        <v>18318.3</v>
      </c>
      <c r="F124" s="2907">
        <v>110.2</v>
      </c>
      <c r="G124" s="2907">
        <v>9850.6</v>
      </c>
      <c r="H124" s="2907">
        <v>127.4</v>
      </c>
      <c r="I124" s="2907">
        <v>24228.400000000001</v>
      </c>
      <c r="J124" s="2907">
        <v>113.6</v>
      </c>
      <c r="K124" s="2907">
        <v>390</v>
      </c>
      <c r="L124" s="2907">
        <v>109.1</v>
      </c>
      <c r="M124" s="2907">
        <v>0.60754810000000248</v>
      </c>
      <c r="N124" s="2907">
        <v>-0.67684782398694665</v>
      </c>
      <c r="O124" s="2907">
        <v>1.5</v>
      </c>
    </row>
    <row r="125" spans="1:15" ht="15" hidden="1" customHeight="1">
      <c r="A125" s="2905" t="s">
        <v>27</v>
      </c>
      <c r="B125" s="2907">
        <v>44218</v>
      </c>
      <c r="C125" s="2907">
        <v>101</v>
      </c>
      <c r="D125" s="2907">
        <v>101.3</v>
      </c>
      <c r="E125" s="2907">
        <v>20527</v>
      </c>
      <c r="F125" s="2907">
        <v>110.3</v>
      </c>
      <c r="G125" s="2907">
        <v>11135.8</v>
      </c>
      <c r="H125" s="2907">
        <v>126.8</v>
      </c>
      <c r="I125" s="2907">
        <v>27128.5</v>
      </c>
      <c r="J125" s="2907">
        <v>113.7</v>
      </c>
      <c r="K125" s="2907">
        <v>388.2</v>
      </c>
      <c r="L125" s="2907">
        <v>108.6</v>
      </c>
      <c r="M125" s="2907">
        <v>0.7</v>
      </c>
      <c r="N125" s="2907">
        <v>2.2047056546114163E-2</v>
      </c>
      <c r="O125" s="2907">
        <v>1.3</v>
      </c>
    </row>
    <row r="126" spans="1:15" ht="15" hidden="1" customHeight="1">
      <c r="A126" s="2905" t="s">
        <v>28</v>
      </c>
      <c r="B126" s="2907">
        <v>48189.4</v>
      </c>
      <c r="C126" s="2907">
        <v>101.2</v>
      </c>
      <c r="D126" s="2907">
        <v>100.8</v>
      </c>
      <c r="E126" s="2907">
        <v>22544.9</v>
      </c>
      <c r="F126" s="2907">
        <v>109.7</v>
      </c>
      <c r="G126" s="2907">
        <v>12615.1</v>
      </c>
      <c r="H126" s="2907">
        <v>124</v>
      </c>
      <c r="I126" s="2907">
        <v>29906</v>
      </c>
      <c r="J126" s="2907">
        <v>113.7</v>
      </c>
      <c r="K126" s="2907">
        <v>390.2</v>
      </c>
      <c r="L126" s="2907">
        <v>109</v>
      </c>
      <c r="M126" s="2907">
        <v>1</v>
      </c>
      <c r="N126" s="2907">
        <v>1.6846107608046168E-3</v>
      </c>
      <c r="O126" s="2907">
        <v>1.2</v>
      </c>
    </row>
    <row r="127" spans="1:15" ht="15" hidden="1" customHeight="1">
      <c r="A127" s="2905" t="s">
        <v>29</v>
      </c>
      <c r="B127" s="2907">
        <v>54743.7</v>
      </c>
      <c r="C127" s="2907">
        <v>102.2</v>
      </c>
      <c r="D127" s="2907">
        <v>101.5</v>
      </c>
      <c r="E127" s="2907">
        <v>26165.4</v>
      </c>
      <c r="F127" s="2907">
        <v>109.6</v>
      </c>
      <c r="G127" s="2907">
        <v>15407.3</v>
      </c>
      <c r="H127" s="2907">
        <v>118</v>
      </c>
      <c r="I127" s="2907">
        <v>34769.5</v>
      </c>
      <c r="J127" s="2907">
        <v>113.8</v>
      </c>
      <c r="K127" s="2907">
        <v>396</v>
      </c>
      <c r="L127" s="2907">
        <v>108.7</v>
      </c>
      <c r="M127" s="2907">
        <v>0.7</v>
      </c>
      <c r="N127" s="2907">
        <v>-0.26192629669733947</v>
      </c>
      <c r="O127" s="2907">
        <v>1.1000000000000001</v>
      </c>
    </row>
    <row r="128" spans="1:15" s="2885" customFormat="1" ht="15" hidden="1" customHeight="1">
      <c r="A128" s="2905" t="s">
        <v>1449</v>
      </c>
      <c r="B128" s="2906">
        <v>58182</v>
      </c>
      <c r="C128" s="2906">
        <v>105.8</v>
      </c>
      <c r="D128" s="2906">
        <v>99.6</v>
      </c>
      <c r="E128" s="2906">
        <v>29982.799999999999</v>
      </c>
      <c r="F128" s="2906">
        <v>109.9</v>
      </c>
      <c r="G128" s="2906">
        <v>17850.8</v>
      </c>
      <c r="H128" s="2906">
        <v>115.1</v>
      </c>
      <c r="I128" s="2906">
        <v>37562</v>
      </c>
      <c r="J128" s="2906">
        <v>108</v>
      </c>
      <c r="K128" s="2906">
        <v>420.5</v>
      </c>
      <c r="L128" s="2906">
        <v>106.18686868686868</v>
      </c>
      <c r="M128" s="2906">
        <v>1.9</v>
      </c>
      <c r="N128" s="2906">
        <f>+N140</f>
        <v>3.5388587166589929</v>
      </c>
      <c r="O128" s="2906">
        <v>2.4</v>
      </c>
    </row>
    <row r="129" spans="1:15" ht="15" hidden="1" customHeight="1">
      <c r="A129" s="2905" t="s">
        <v>18</v>
      </c>
      <c r="B129" s="2907">
        <v>4474.3</v>
      </c>
      <c r="C129" s="2907">
        <v>102.8</v>
      </c>
      <c r="D129" s="2907">
        <v>98</v>
      </c>
      <c r="E129" s="2907">
        <v>1913.2</v>
      </c>
      <c r="F129" s="2907">
        <v>108.7</v>
      </c>
      <c r="G129" s="2907">
        <v>617.70000000000005</v>
      </c>
      <c r="H129" s="2907">
        <v>132.4</v>
      </c>
      <c r="I129" s="2907">
        <v>2273.8000000000002</v>
      </c>
      <c r="J129" s="2907">
        <v>105.3</v>
      </c>
      <c r="K129" s="2907">
        <v>398.4</v>
      </c>
      <c r="L129" s="2907">
        <v>107.70478507704786</v>
      </c>
      <c r="M129" s="2907">
        <v>1.2</v>
      </c>
      <c r="N129" s="2907">
        <v>0.80643013353214599</v>
      </c>
      <c r="O129" s="2907">
        <v>0.8</v>
      </c>
    </row>
    <row r="130" spans="1:15" ht="15" hidden="1" customHeight="1">
      <c r="A130" s="2905" t="s">
        <v>19</v>
      </c>
      <c r="B130" s="2907">
        <v>8344.6</v>
      </c>
      <c r="C130" s="2907">
        <v>103.2</v>
      </c>
      <c r="D130" s="2907">
        <v>97.7</v>
      </c>
      <c r="E130" s="2907">
        <v>3619.1</v>
      </c>
      <c r="F130" s="2907">
        <v>110.5</v>
      </c>
      <c r="G130" s="2907">
        <v>1680.1</v>
      </c>
      <c r="H130" s="2907">
        <v>138.30000000000001</v>
      </c>
      <c r="I130" s="2907">
        <v>4785.5</v>
      </c>
      <c r="J130" s="2907">
        <v>105.8</v>
      </c>
      <c r="K130" s="2907">
        <v>397.4</v>
      </c>
      <c r="L130" s="2907">
        <v>107.40540540540539</v>
      </c>
      <c r="M130" s="2907">
        <v>0.5</v>
      </c>
      <c r="N130" s="2907">
        <v>1.1658308089038627</v>
      </c>
      <c r="O130" s="2907">
        <v>1</v>
      </c>
    </row>
    <row r="131" spans="1:15" ht="15" hidden="1" customHeight="1">
      <c r="A131" s="2905" t="s">
        <v>20</v>
      </c>
      <c r="B131" s="2907">
        <v>12946.6</v>
      </c>
      <c r="C131" s="2907">
        <v>103.1</v>
      </c>
      <c r="D131" s="2907">
        <v>97.3</v>
      </c>
      <c r="E131" s="2907">
        <v>5981.2</v>
      </c>
      <c r="F131" s="2907">
        <v>111.4</v>
      </c>
      <c r="G131" s="2907">
        <v>2902.2</v>
      </c>
      <c r="H131" s="2907">
        <v>136.1</v>
      </c>
      <c r="I131" s="2907">
        <v>7736.7</v>
      </c>
      <c r="J131" s="2907">
        <v>105.9</v>
      </c>
      <c r="K131" s="2907">
        <v>405.1</v>
      </c>
      <c r="L131" s="2907">
        <v>106.43720441408303</v>
      </c>
      <c r="M131" s="2907">
        <v>0.6</v>
      </c>
      <c r="N131" s="2907">
        <v>1.4765382382217069</v>
      </c>
      <c r="O131" s="2907">
        <v>1.2</v>
      </c>
    </row>
    <row r="132" spans="1:15" ht="15" hidden="1" customHeight="1">
      <c r="A132" s="2905" t="s">
        <v>21</v>
      </c>
      <c r="B132" s="2907">
        <v>17230.5</v>
      </c>
      <c r="C132" s="2907">
        <v>103.5</v>
      </c>
      <c r="D132" s="2907">
        <v>97.9</v>
      </c>
      <c r="E132" s="2907">
        <v>8079</v>
      </c>
      <c r="F132" s="2907">
        <v>110.8</v>
      </c>
      <c r="G132" s="2907">
        <v>4252.7</v>
      </c>
      <c r="H132" s="2907">
        <v>128.4</v>
      </c>
      <c r="I132" s="2907">
        <v>10259.700000000001</v>
      </c>
      <c r="J132" s="2907">
        <v>106.3</v>
      </c>
      <c r="K132" s="2907">
        <v>407.2</v>
      </c>
      <c r="L132" s="2907">
        <v>106.9327731092437</v>
      </c>
      <c r="M132" s="2907">
        <v>0.4</v>
      </c>
      <c r="N132" s="2907">
        <v>2.3409022271319913</v>
      </c>
      <c r="O132" s="2907">
        <v>1.4</v>
      </c>
    </row>
    <row r="133" spans="1:15" ht="15" hidden="1" customHeight="1">
      <c r="A133" s="2905" t="s">
        <v>22</v>
      </c>
      <c r="B133" s="2907">
        <v>22119.3</v>
      </c>
      <c r="C133" s="2907">
        <v>104.5</v>
      </c>
      <c r="D133" s="2907">
        <v>98.3</v>
      </c>
      <c r="E133" s="2907">
        <v>10639.3</v>
      </c>
      <c r="F133" s="2907">
        <v>110.9</v>
      </c>
      <c r="G133" s="2907">
        <v>5762.6</v>
      </c>
      <c r="H133" s="2907">
        <v>127.4</v>
      </c>
      <c r="I133" s="2907">
        <v>12992.5</v>
      </c>
      <c r="J133" s="2907">
        <v>106.8</v>
      </c>
      <c r="K133" s="2907">
        <v>409.3</v>
      </c>
      <c r="L133" s="2907">
        <v>106.81106471816284</v>
      </c>
      <c r="M133" s="2907">
        <v>-0.40000000000000568</v>
      </c>
      <c r="N133" s="2907">
        <v>2.9051410964517288</v>
      </c>
      <c r="O133" s="2907">
        <v>1.7</v>
      </c>
    </row>
    <row r="134" spans="1:15" ht="15" hidden="1" customHeight="1">
      <c r="A134" s="2905" t="s">
        <v>23</v>
      </c>
      <c r="B134" s="2907">
        <v>27202</v>
      </c>
      <c r="C134" s="2907">
        <v>105</v>
      </c>
      <c r="D134" s="2907">
        <v>98.4</v>
      </c>
      <c r="E134" s="2907">
        <v>13465.3</v>
      </c>
      <c r="F134" s="2907">
        <v>110.9</v>
      </c>
      <c r="G134" s="2907">
        <v>7361.8</v>
      </c>
      <c r="H134" s="2907">
        <v>122.9</v>
      </c>
      <c r="I134" s="2907">
        <v>15830.7</v>
      </c>
      <c r="J134" s="2907">
        <v>107.1</v>
      </c>
      <c r="K134" s="2907">
        <v>411.3</v>
      </c>
      <c r="L134" s="2907">
        <v>106.49922320041429</v>
      </c>
      <c r="M134" s="2907">
        <v>-1.1490586000000036</v>
      </c>
      <c r="N134" s="2907">
        <v>3.0978028243614801</v>
      </c>
      <c r="O134" s="2907">
        <v>1.9593807065210029</v>
      </c>
    </row>
    <row r="135" spans="1:15" ht="15" hidden="1" customHeight="1">
      <c r="A135" s="2905" t="s">
        <v>24</v>
      </c>
      <c r="B135" s="2907">
        <v>32296.7</v>
      </c>
      <c r="C135" s="2907">
        <v>105</v>
      </c>
      <c r="D135" s="2907">
        <v>98.6</v>
      </c>
      <c r="E135" s="2907">
        <v>16251.4</v>
      </c>
      <c r="F135" s="2907">
        <v>110.4</v>
      </c>
      <c r="G135" s="2907">
        <v>8798.7999999999993</v>
      </c>
      <c r="H135" s="2907">
        <v>123.3</v>
      </c>
      <c r="I135" s="2907">
        <v>18914.400000000001</v>
      </c>
      <c r="J135" s="2907">
        <v>107.2</v>
      </c>
      <c r="K135" s="2907">
        <v>413.1</v>
      </c>
      <c r="L135" s="2907">
        <v>106.52398143372872</v>
      </c>
      <c r="M135" s="2907">
        <v>-0.70000000000000284</v>
      </c>
      <c r="N135" s="2907">
        <v>3.0644703002497664</v>
      </c>
      <c r="O135" s="2907">
        <v>2.1</v>
      </c>
    </row>
    <row r="136" spans="1:15" ht="15" hidden="1" customHeight="1">
      <c r="A136" s="2905" t="s">
        <v>25</v>
      </c>
      <c r="B136" s="2907">
        <v>37419.800000000003</v>
      </c>
      <c r="C136" s="2907">
        <v>105.2</v>
      </c>
      <c r="D136" s="2907">
        <v>99.2</v>
      </c>
      <c r="E136" s="2907">
        <v>18934.599999999999</v>
      </c>
      <c r="F136" s="2907">
        <v>110.3</v>
      </c>
      <c r="G136" s="2907">
        <v>10378.799999999999</v>
      </c>
      <c r="H136" s="2907">
        <v>122.7</v>
      </c>
      <c r="I136" s="2907">
        <v>22033.3</v>
      </c>
      <c r="J136" s="2907">
        <v>107.4</v>
      </c>
      <c r="K136" s="2907">
        <v>414.1</v>
      </c>
      <c r="L136" s="2907">
        <v>106.3977389516958</v>
      </c>
      <c r="M136" s="2907">
        <v>-0.29999999999999716</v>
      </c>
      <c r="N136" s="2907">
        <v>3.2085244282629759</v>
      </c>
      <c r="O136" s="2907">
        <v>2.2000000000000002</v>
      </c>
    </row>
    <row r="137" spans="1:15" ht="15" hidden="1" customHeight="1">
      <c r="A137" s="2905" t="s">
        <v>26</v>
      </c>
      <c r="B137" s="2907">
        <v>42748</v>
      </c>
      <c r="C137" s="2907">
        <v>105.4</v>
      </c>
      <c r="D137" s="2907">
        <v>99.6</v>
      </c>
      <c r="E137" s="2907">
        <v>21946.3</v>
      </c>
      <c r="F137" s="2907">
        <v>110.3</v>
      </c>
      <c r="G137" s="2907">
        <v>11826.5</v>
      </c>
      <c r="H137" s="2907">
        <v>119</v>
      </c>
      <c r="I137" s="2907">
        <v>25393.599999999999</v>
      </c>
      <c r="J137" s="2907">
        <v>107.6</v>
      </c>
      <c r="K137" s="2907">
        <v>415.3</v>
      </c>
      <c r="L137" s="2907">
        <v>106.48717948717949</v>
      </c>
      <c r="M137" s="2907">
        <v>0.1</v>
      </c>
      <c r="N137" s="2907">
        <v>2.6598139789145421</v>
      </c>
      <c r="O137" s="2907">
        <v>2.2999999999999998</v>
      </c>
    </row>
    <row r="138" spans="1:15" ht="15" hidden="1" customHeight="1">
      <c r="A138" s="2905" t="s">
        <v>27</v>
      </c>
      <c r="B138" s="2907">
        <v>47564.6</v>
      </c>
      <c r="C138" s="2907">
        <v>105.7</v>
      </c>
      <c r="D138" s="2907">
        <v>99.2</v>
      </c>
      <c r="E138" s="2907">
        <v>24584.9</v>
      </c>
      <c r="F138" s="2907">
        <v>109.8</v>
      </c>
      <c r="G138" s="2907" t="s">
        <v>1570</v>
      </c>
      <c r="H138" s="2907">
        <v>116.6</v>
      </c>
      <c r="I138" s="2908">
        <v>29064.2</v>
      </c>
      <c r="J138" s="2907">
        <v>107.7</v>
      </c>
      <c r="K138" s="2907">
        <v>416.6</v>
      </c>
      <c r="L138" s="2907">
        <v>106.30262822148508</v>
      </c>
      <c r="M138" s="2907">
        <v>0.7</v>
      </c>
      <c r="N138" s="2907">
        <v>2.5931964859767049</v>
      </c>
      <c r="O138" s="2907">
        <v>2.2999999999999998</v>
      </c>
    </row>
    <row r="139" spans="1:15" ht="14.25" hidden="1" customHeight="1">
      <c r="A139" s="2905" t="s">
        <v>28</v>
      </c>
      <c r="B139" s="2907">
        <v>52072.3</v>
      </c>
      <c r="C139" s="2907">
        <v>105.7</v>
      </c>
      <c r="D139" s="2907">
        <v>99.2</v>
      </c>
      <c r="E139" s="2907">
        <v>26857.9</v>
      </c>
      <c r="F139" s="2907">
        <v>109.5</v>
      </c>
      <c r="G139" s="2907">
        <v>14592.3</v>
      </c>
      <c r="H139" s="2907">
        <v>114.8</v>
      </c>
      <c r="I139" s="2907">
        <v>32257.9</v>
      </c>
      <c r="J139" s="2907">
        <v>107.9</v>
      </c>
      <c r="K139" s="2907">
        <v>417.3</v>
      </c>
      <c r="L139" s="2907">
        <v>106.15619435258203</v>
      </c>
      <c r="M139" s="2907">
        <v>0.6945062000000064</v>
      </c>
      <c r="N139" s="2907">
        <v>2.2511817416319531</v>
      </c>
      <c r="O139" s="2907">
        <v>2.2999999999999998</v>
      </c>
    </row>
    <row r="140" spans="1:15" ht="15" hidden="1" customHeight="1">
      <c r="A140" s="2905" t="s">
        <v>29</v>
      </c>
      <c r="B140" s="2907">
        <v>58182</v>
      </c>
      <c r="C140" s="2907">
        <v>105.8</v>
      </c>
      <c r="D140" s="2907">
        <v>99.6</v>
      </c>
      <c r="E140" s="2907">
        <v>29982.799999999999</v>
      </c>
      <c r="F140" s="2907">
        <v>109.9</v>
      </c>
      <c r="G140" s="2907">
        <v>17850.8</v>
      </c>
      <c r="H140" s="2907">
        <v>115.1</v>
      </c>
      <c r="I140" s="2907">
        <v>37562</v>
      </c>
      <c r="J140" s="2907">
        <v>108</v>
      </c>
      <c r="K140" s="2907">
        <v>420.5</v>
      </c>
      <c r="L140" s="2907">
        <v>106.18686868686868</v>
      </c>
      <c r="M140" s="2907">
        <v>1.9</v>
      </c>
      <c r="N140" s="2907">
        <v>3.5388587166589929</v>
      </c>
      <c r="O140" s="2907">
        <v>2.4</v>
      </c>
    </row>
    <row r="141" spans="1:15" s="2885" customFormat="1" ht="15" hidden="1" customHeight="1">
      <c r="A141" s="2905" t="s">
        <v>1660</v>
      </c>
      <c r="B141" s="2906">
        <v>59014.1</v>
      </c>
      <c r="C141" s="2906">
        <v>102.8</v>
      </c>
      <c r="D141" s="2906">
        <v>98.7</v>
      </c>
      <c r="E141" s="2906">
        <v>33038.199999999997</v>
      </c>
      <c r="F141" s="2906">
        <v>107</v>
      </c>
      <c r="G141" s="2906">
        <v>17618.599999999999</v>
      </c>
      <c r="H141" s="2906">
        <v>98.3</v>
      </c>
      <c r="I141" s="2906">
        <v>39472.199999999997</v>
      </c>
      <c r="J141" s="2906">
        <v>104.8</v>
      </c>
      <c r="K141" s="2906">
        <v>444.3</v>
      </c>
      <c r="L141" s="2906">
        <v>105.65992865636147</v>
      </c>
      <c r="M141" s="2906">
        <v>0.5</v>
      </c>
      <c r="N141" s="2906">
        <f>+N153</f>
        <v>-9.6906275256344543E-2</v>
      </c>
      <c r="O141" s="2906">
        <v>1.4</v>
      </c>
    </row>
    <row r="142" spans="1:15" ht="15" hidden="1" customHeight="1">
      <c r="A142" s="2905" t="s">
        <v>18</v>
      </c>
      <c r="B142" s="2907">
        <v>4359</v>
      </c>
      <c r="C142" s="2907">
        <v>100.8</v>
      </c>
      <c r="D142" s="2907">
        <v>99.3</v>
      </c>
      <c r="E142" s="2907">
        <v>2122</v>
      </c>
      <c r="F142" s="2907">
        <v>107.7</v>
      </c>
      <c r="G142" s="2907">
        <v>660.9</v>
      </c>
      <c r="H142" s="2907">
        <v>106.3</v>
      </c>
      <c r="I142" s="2907">
        <v>2618.1999999999998</v>
      </c>
      <c r="J142" s="2907">
        <v>103.8</v>
      </c>
      <c r="K142" s="2907">
        <v>426.2</v>
      </c>
      <c r="L142" s="2907">
        <v>106.97791164658635</v>
      </c>
      <c r="M142" s="2907">
        <v>-0.20000000000000284</v>
      </c>
      <c r="N142" s="2907">
        <v>2.1751625921459379</v>
      </c>
      <c r="O142" s="2907">
        <v>2.2000000000000002</v>
      </c>
    </row>
    <row r="143" spans="1:15" ht="11.25" hidden="1" customHeight="1">
      <c r="A143" s="2905" t="s">
        <v>19</v>
      </c>
      <c r="B143" s="2907">
        <v>8462.4</v>
      </c>
      <c r="C143" s="2907">
        <v>101.6</v>
      </c>
      <c r="D143" s="2907">
        <v>100</v>
      </c>
      <c r="E143" s="2907">
        <v>4096</v>
      </c>
      <c r="F143" s="2907">
        <v>108.8</v>
      </c>
      <c r="G143" s="2907">
        <v>1824.6</v>
      </c>
      <c r="H143" s="2907">
        <v>107.9</v>
      </c>
      <c r="I143" s="2907">
        <v>5636</v>
      </c>
      <c r="J143" s="2907">
        <v>104.1</v>
      </c>
      <c r="K143" s="2907">
        <v>426.3</v>
      </c>
      <c r="L143" s="2907">
        <v>107.2722697533971</v>
      </c>
      <c r="M143" s="2907">
        <v>0.4</v>
      </c>
      <c r="N143" s="2907">
        <v>2.0436265479097671</v>
      </c>
      <c r="O143" s="2907">
        <v>2.1</v>
      </c>
    </row>
    <row r="144" spans="1:15" ht="15" hidden="1" customHeight="1">
      <c r="A144" s="2905" t="s">
        <v>20</v>
      </c>
      <c r="B144" s="2907">
        <v>13150.7</v>
      </c>
      <c r="C144" s="2907">
        <v>102.5</v>
      </c>
      <c r="D144" s="2907">
        <v>99.1</v>
      </c>
      <c r="E144" s="2907">
        <v>6561.9</v>
      </c>
      <c r="F144" s="2907">
        <v>108.8</v>
      </c>
      <c r="G144" s="2907">
        <v>3125.9</v>
      </c>
      <c r="H144" s="2907">
        <v>107</v>
      </c>
      <c r="I144" s="2907">
        <v>9081.7999999999993</v>
      </c>
      <c r="J144" s="2907">
        <v>104.5</v>
      </c>
      <c r="K144" s="2907">
        <v>434.2</v>
      </c>
      <c r="L144" s="2907">
        <v>107.18341150333251</v>
      </c>
      <c r="M144" s="2907">
        <v>0.3</v>
      </c>
      <c r="N144" s="2907">
        <v>1.7120516810749999</v>
      </c>
      <c r="O144" s="2907">
        <v>2</v>
      </c>
    </row>
    <row r="145" spans="1:15" ht="15" hidden="1" customHeight="1">
      <c r="A145" s="2905" t="s">
        <v>21</v>
      </c>
      <c r="B145" s="2907">
        <v>18206.3</v>
      </c>
      <c r="C145" s="2907">
        <v>103.2</v>
      </c>
      <c r="D145" s="2907">
        <v>100.7</v>
      </c>
      <c r="E145" s="2907">
        <v>9165.6</v>
      </c>
      <c r="F145" s="2907">
        <v>108.9</v>
      </c>
      <c r="G145" s="2907">
        <v>4627.8999999999996</v>
      </c>
      <c r="H145" s="2907">
        <v>108.6</v>
      </c>
      <c r="I145" s="2907">
        <v>12096.8</v>
      </c>
      <c r="J145" s="2907">
        <v>104.6</v>
      </c>
      <c r="K145" s="2907">
        <v>436.6</v>
      </c>
      <c r="L145" s="2907">
        <v>107.22003929273085</v>
      </c>
      <c r="M145" s="2907">
        <v>0.2</v>
      </c>
      <c r="N145" s="2907">
        <v>1.4769071858735856</v>
      </c>
      <c r="O145" s="2907">
        <v>1.9</v>
      </c>
    </row>
    <row r="146" spans="1:15" ht="15" hidden="1" customHeight="1">
      <c r="A146" s="2905" t="s">
        <v>22</v>
      </c>
      <c r="B146" s="2907">
        <v>23444.799999999999</v>
      </c>
      <c r="C146" s="2907">
        <v>102.8</v>
      </c>
      <c r="D146" s="2907">
        <v>101.9</v>
      </c>
      <c r="E146" s="2907">
        <v>11876.9</v>
      </c>
      <c r="F146" s="2907">
        <v>108.3</v>
      </c>
      <c r="G146" s="2907">
        <v>6121.2</v>
      </c>
      <c r="H146" s="2907">
        <v>106</v>
      </c>
      <c r="I146" s="2907">
        <v>15042.4</v>
      </c>
      <c r="J146" s="2907">
        <v>104.4</v>
      </c>
      <c r="K146" s="2907">
        <v>438.1</v>
      </c>
      <c r="L146" s="2907">
        <v>107.03640361592963</v>
      </c>
      <c r="M146" s="2907">
        <v>-0.79999999999999716</v>
      </c>
      <c r="N146" s="2907">
        <v>1.0256307776752749</v>
      </c>
      <c r="O146" s="2907">
        <v>1.7</v>
      </c>
    </row>
    <row r="147" spans="1:15" ht="15" hidden="1" customHeight="1">
      <c r="A147" s="2905" t="s">
        <v>23</v>
      </c>
      <c r="B147" s="2907">
        <v>28743</v>
      </c>
      <c r="C147" s="2907">
        <v>102.1</v>
      </c>
      <c r="D147" s="1058">
        <v>102.3</v>
      </c>
      <c r="E147" s="2907">
        <v>14800.3</v>
      </c>
      <c r="F147" s="2907">
        <v>107</v>
      </c>
      <c r="G147" s="2907">
        <v>7625.9</v>
      </c>
      <c r="H147" s="2907">
        <v>103.4</v>
      </c>
      <c r="I147" s="2907">
        <v>17780.599999999999</v>
      </c>
      <c r="J147" s="2907">
        <v>104.7</v>
      </c>
      <c r="K147" s="2907">
        <v>439.7</v>
      </c>
      <c r="L147" s="2907">
        <v>106.90493557014345</v>
      </c>
      <c r="M147" s="2907">
        <v>-1.2</v>
      </c>
      <c r="N147" s="2907">
        <v>0.95265897830752522</v>
      </c>
      <c r="O147" s="2907">
        <v>1.6</v>
      </c>
    </row>
    <row r="148" spans="1:15" ht="15" hidden="1" customHeight="1">
      <c r="A148" s="2905" t="s">
        <v>24</v>
      </c>
      <c r="B148" s="2907">
        <v>33994.800000000003</v>
      </c>
      <c r="C148" s="2907">
        <v>102.4</v>
      </c>
      <c r="D148" s="1058">
        <v>101.8</v>
      </c>
      <c r="E148" s="2907">
        <v>17692.5</v>
      </c>
      <c r="F148" s="2907">
        <v>106.7</v>
      </c>
      <c r="G148" s="2907">
        <v>9075.5</v>
      </c>
      <c r="H148" s="2907">
        <v>103</v>
      </c>
      <c r="I148" s="2907">
        <v>21019.3</v>
      </c>
      <c r="J148" s="2907">
        <v>104.7</v>
      </c>
      <c r="K148" s="2907">
        <v>440.7</v>
      </c>
      <c r="L148" s="2907">
        <v>106.68119099491649</v>
      </c>
      <c r="M148" s="2907">
        <v>-0.79484159999999804</v>
      </c>
      <c r="N148" s="2907">
        <v>0.88338163027370342</v>
      </c>
      <c r="O148" s="2907" t="s">
        <v>1003</v>
      </c>
    </row>
    <row r="149" spans="1:15" ht="15" hidden="1" customHeight="1">
      <c r="A149" s="2905" t="s">
        <v>25</v>
      </c>
      <c r="B149" s="2907">
        <v>39171.599999999999</v>
      </c>
      <c r="C149" s="2907">
        <v>102.4</v>
      </c>
      <c r="D149" s="1058">
        <v>101.3</v>
      </c>
      <c r="E149" s="2907">
        <v>20577.900000000001</v>
      </c>
      <c r="F149" s="2907">
        <v>106.2</v>
      </c>
      <c r="G149" s="2907">
        <v>10445.299999999999</v>
      </c>
      <c r="H149" s="2907">
        <v>100.5</v>
      </c>
      <c r="I149" s="2907">
        <v>24044.799999999999</v>
      </c>
      <c r="J149" s="2907">
        <v>105.1</v>
      </c>
      <c r="K149" s="2907">
        <v>440.8</v>
      </c>
      <c r="L149" s="2907">
        <v>106.44771794252597</v>
      </c>
      <c r="M149" s="2907">
        <v>0</v>
      </c>
      <c r="N149" s="2907">
        <v>1.2056141591850746</v>
      </c>
      <c r="O149" s="2907">
        <v>1.4</v>
      </c>
    </row>
    <row r="150" spans="1:15" ht="15" hidden="1" customHeight="1">
      <c r="A150" s="2905" t="s">
        <v>26</v>
      </c>
      <c r="B150" s="2907">
        <v>44145.4</v>
      </c>
      <c r="C150" s="2907">
        <v>102.5</v>
      </c>
      <c r="D150" s="1058">
        <v>100.7</v>
      </c>
      <c r="E150" s="2907">
        <v>23426.5</v>
      </c>
      <c r="F150" s="2907">
        <v>105.9</v>
      </c>
      <c r="G150" s="2907">
        <v>11868.5</v>
      </c>
      <c r="H150" s="2907">
        <v>100.2</v>
      </c>
      <c r="I150" s="2907">
        <v>27168.6</v>
      </c>
      <c r="J150" s="2907">
        <v>105.4</v>
      </c>
      <c r="K150" s="2907">
        <v>441.5</v>
      </c>
      <c r="L150" s="2907">
        <v>106.30869251143751</v>
      </c>
      <c r="M150" s="2907">
        <v>1.1000000000000001</v>
      </c>
      <c r="N150" s="2907">
        <v>2.2896428408786846</v>
      </c>
      <c r="O150" s="2907">
        <v>1.5</v>
      </c>
    </row>
    <row r="151" spans="1:15" ht="15" hidden="1" customHeight="1">
      <c r="A151" s="2905" t="s">
        <v>27</v>
      </c>
      <c r="B151" s="2907">
        <v>49225.2</v>
      </c>
      <c r="C151" s="2907">
        <v>102.8</v>
      </c>
      <c r="D151" s="1058">
        <v>100.2</v>
      </c>
      <c r="E151" s="2907">
        <v>26487.8</v>
      </c>
      <c r="F151" s="2907">
        <v>106.4</v>
      </c>
      <c r="G151" s="2907">
        <v>13219.8</v>
      </c>
      <c r="H151" s="2907">
        <v>100.6</v>
      </c>
      <c r="I151" s="2907">
        <v>30377.200000000001</v>
      </c>
      <c r="J151" s="2907">
        <v>105.4</v>
      </c>
      <c r="K151" s="2907">
        <v>441.8</v>
      </c>
      <c r="L151" s="2907">
        <v>106.04896783485358</v>
      </c>
      <c r="M151" s="2907">
        <v>0.3</v>
      </c>
      <c r="N151" s="2907">
        <v>1.9019852360609377</v>
      </c>
      <c r="O151" s="2907">
        <v>1.6</v>
      </c>
    </row>
    <row r="152" spans="1:15" ht="15" hidden="1" customHeight="1">
      <c r="A152" s="2905" t="s">
        <v>28</v>
      </c>
      <c r="B152" s="2907">
        <v>53743.6</v>
      </c>
      <c r="C152" s="2907">
        <v>102.2</v>
      </c>
      <c r="D152" s="2907">
        <v>99.6</v>
      </c>
      <c r="E152" s="2907">
        <v>29445.1</v>
      </c>
      <c r="F152" s="2907">
        <v>106.4</v>
      </c>
      <c r="G152" s="2907">
        <v>14693.1</v>
      </c>
      <c r="H152" s="2907">
        <v>100.3</v>
      </c>
      <c r="I152" s="2907">
        <v>33627.9</v>
      </c>
      <c r="J152" s="2907">
        <v>104.7</v>
      </c>
      <c r="K152" s="2907">
        <v>442</v>
      </c>
      <c r="L152" s="2907">
        <v>105.91900311526479</v>
      </c>
      <c r="M152" s="2907">
        <v>0.1</v>
      </c>
      <c r="N152" s="2907">
        <v>1.2943249160121297</v>
      </c>
      <c r="O152" s="2907">
        <v>1.5</v>
      </c>
    </row>
    <row r="153" spans="1:15" ht="15" hidden="1" customHeight="1">
      <c r="A153" s="2905" t="s">
        <v>29</v>
      </c>
      <c r="B153" s="2907">
        <v>59014.1</v>
      </c>
      <c r="C153" s="2907">
        <v>102.8</v>
      </c>
      <c r="D153" s="2907">
        <v>98.7</v>
      </c>
      <c r="E153" s="2907">
        <v>33038.199999999997</v>
      </c>
      <c r="F153" s="2907">
        <v>106.9</v>
      </c>
      <c r="G153" s="2907">
        <v>17618.599999999999</v>
      </c>
      <c r="H153" s="2907">
        <v>98.3</v>
      </c>
      <c r="I153" s="2907">
        <v>39472.199999999997</v>
      </c>
      <c r="J153" s="2907">
        <v>104.8</v>
      </c>
      <c r="K153" s="2907">
        <v>444.3</v>
      </c>
      <c r="L153" s="2907">
        <v>105.65992865636147</v>
      </c>
      <c r="M153" s="2907">
        <v>0.5</v>
      </c>
      <c r="N153" s="2907">
        <v>-9.6906275256344543E-2</v>
      </c>
      <c r="O153" s="2907">
        <v>1.4</v>
      </c>
    </row>
    <row r="154" spans="1:15" s="2885" customFormat="1" ht="15" customHeight="1">
      <c r="A154" s="2905" t="s">
        <v>1855</v>
      </c>
      <c r="B154" s="2906">
        <v>54380</v>
      </c>
      <c r="C154" s="2906">
        <v>101.1</v>
      </c>
      <c r="D154" s="2906">
        <v>91.1</v>
      </c>
      <c r="E154" s="2906">
        <v>34500.9</v>
      </c>
      <c r="F154" s="2906">
        <v>101.1</v>
      </c>
      <c r="G154" s="2906">
        <v>15957</v>
      </c>
      <c r="H154" s="2906">
        <v>88.9</v>
      </c>
      <c r="I154" s="2906">
        <v>41744.800000000003</v>
      </c>
      <c r="J154" s="2906">
        <v>105.7</v>
      </c>
      <c r="K154" s="2906">
        <v>464.4</v>
      </c>
      <c r="L154" s="2906">
        <v>104.52397029034435</v>
      </c>
      <c r="M154" s="2906">
        <v>4.3532866000000041</v>
      </c>
      <c r="N154" s="2906">
        <f>+N166</f>
        <v>7.5682791363655895</v>
      </c>
      <c r="O154" s="2906">
        <v>4.0094383999999934</v>
      </c>
    </row>
    <row r="155" spans="1:15" ht="15" hidden="1" customHeight="1">
      <c r="A155" s="2905" t="s">
        <v>18</v>
      </c>
      <c r="B155" s="2907">
        <v>3631.7</v>
      </c>
      <c r="C155" s="2907">
        <v>104.4</v>
      </c>
      <c r="D155" s="2907">
        <v>78.599999999999994</v>
      </c>
      <c r="E155" s="2907">
        <v>2258.3000000000002</v>
      </c>
      <c r="F155" s="2907">
        <v>105.5</v>
      </c>
      <c r="G155" s="2907">
        <v>682.7</v>
      </c>
      <c r="H155" s="2907">
        <v>102.9</v>
      </c>
      <c r="I155" s="2907">
        <v>2680.9</v>
      </c>
      <c r="J155" s="2907">
        <v>105.5</v>
      </c>
      <c r="K155" s="2907">
        <v>444.4</v>
      </c>
      <c r="L155" s="2907">
        <v>104.27029563585171</v>
      </c>
      <c r="M155" s="2907">
        <v>0.2</v>
      </c>
      <c r="N155" s="2907">
        <v>0.2</v>
      </c>
      <c r="O155" s="2907">
        <v>0.2</v>
      </c>
    </row>
    <row r="156" spans="1:15" ht="15" hidden="1" customHeight="1">
      <c r="A156" s="2905" t="s">
        <v>19</v>
      </c>
      <c r="B156" s="2907">
        <v>7113.6</v>
      </c>
      <c r="C156" s="2907">
        <v>104.2</v>
      </c>
      <c r="D156" s="2907">
        <v>80.5</v>
      </c>
      <c r="E156" s="2907">
        <v>4238.2</v>
      </c>
      <c r="F156" s="2907">
        <v>105.1</v>
      </c>
      <c r="G156" s="2907">
        <v>1697.5</v>
      </c>
      <c r="H156" s="2907">
        <v>100</v>
      </c>
      <c r="I156" s="2907">
        <v>5859.4</v>
      </c>
      <c r="J156" s="2907">
        <v>105</v>
      </c>
      <c r="K156" s="2907">
        <v>444.5</v>
      </c>
      <c r="L156" s="2907">
        <v>104.26929392446634</v>
      </c>
      <c r="M156" s="2907">
        <v>4</v>
      </c>
      <c r="N156" s="2907">
        <v>3.8880293419652645</v>
      </c>
      <c r="O156" s="2907">
        <v>2</v>
      </c>
    </row>
    <row r="157" spans="1:15" ht="15" hidden="1" customHeight="1">
      <c r="A157" s="2905" t="s">
        <v>20</v>
      </c>
      <c r="B157" s="2907">
        <v>11525</v>
      </c>
      <c r="C157" s="2907">
        <v>105.3</v>
      </c>
      <c r="D157" s="2907">
        <v>82.1</v>
      </c>
      <c r="E157" s="2907">
        <v>7091</v>
      </c>
      <c r="F157" s="2907">
        <v>106.9</v>
      </c>
      <c r="G157" s="2907">
        <v>3232.8</v>
      </c>
      <c r="H157" s="2907">
        <v>103</v>
      </c>
      <c r="I157" s="2907">
        <v>9455.9</v>
      </c>
      <c r="J157" s="2907">
        <v>105.3</v>
      </c>
      <c r="K157" s="2907">
        <v>449.5</v>
      </c>
      <c r="L157" s="2907">
        <v>103.52372178719484</v>
      </c>
      <c r="M157" s="2907">
        <v>0.9</v>
      </c>
      <c r="N157" s="2907">
        <v>4.5259123755934496</v>
      </c>
      <c r="O157" s="2907">
        <v>2.8</v>
      </c>
    </row>
    <row r="158" spans="1:15" ht="15" hidden="1" customHeight="1">
      <c r="A158" s="2905" t="s">
        <v>21</v>
      </c>
      <c r="B158" s="2907">
        <v>16639</v>
      </c>
      <c r="C158" s="2907">
        <v>105.5</v>
      </c>
      <c r="D158" s="2907">
        <v>84.7</v>
      </c>
      <c r="E158" s="2907">
        <v>9792.2000000000007</v>
      </c>
      <c r="F158" s="2907">
        <v>106.7</v>
      </c>
      <c r="G158" s="2907">
        <v>4868.6000000000004</v>
      </c>
      <c r="H158" s="2907">
        <v>103.5</v>
      </c>
      <c r="I158" s="2907">
        <v>12649.3</v>
      </c>
      <c r="J158" s="2907">
        <v>105.7</v>
      </c>
      <c r="K158" s="2907">
        <v>452.3</v>
      </c>
      <c r="L158" s="2907">
        <v>103.59596885020615</v>
      </c>
      <c r="M158" s="2907">
        <v>-0.2</v>
      </c>
      <c r="N158" s="2907">
        <v>4.1060461382235474</v>
      </c>
      <c r="O158" s="2907">
        <v>3.1</v>
      </c>
    </row>
    <row r="159" spans="1:15" ht="15" hidden="1" customHeight="1">
      <c r="A159" s="2905" t="s">
        <v>22</v>
      </c>
      <c r="B159" s="2907">
        <v>21344.3</v>
      </c>
      <c r="C159" s="2907">
        <v>105.3</v>
      </c>
      <c r="D159" s="2907">
        <v>86.5</v>
      </c>
      <c r="E159" s="2907">
        <v>12801</v>
      </c>
      <c r="F159" s="2907">
        <v>107.6</v>
      </c>
      <c r="G159" s="2907">
        <v>6416.3</v>
      </c>
      <c r="H159" s="2907">
        <v>103.7</v>
      </c>
      <c r="I159" s="2907">
        <v>16163.1</v>
      </c>
      <c r="J159" s="2907">
        <v>105.8</v>
      </c>
      <c r="K159" s="2907">
        <v>454.8</v>
      </c>
      <c r="L159" s="2907">
        <v>103.81191508787948</v>
      </c>
      <c r="M159" s="2907">
        <v>-0.6</v>
      </c>
      <c r="N159" s="2907">
        <v>4.3181520178182211</v>
      </c>
      <c r="O159" s="2907">
        <v>3.4</v>
      </c>
    </row>
    <row r="160" spans="1:15" ht="15" hidden="1" customHeight="1">
      <c r="A160" s="2905" t="s">
        <v>23</v>
      </c>
      <c r="B160" s="2907">
        <v>26265.1</v>
      </c>
      <c r="C160" s="2907">
        <v>105.7</v>
      </c>
      <c r="D160" s="2907">
        <v>87.5</v>
      </c>
      <c r="E160" s="2907">
        <v>16009.9</v>
      </c>
      <c r="F160" s="2907">
        <v>109.2</v>
      </c>
      <c r="G160" s="2907">
        <v>7925.6</v>
      </c>
      <c r="H160" s="2907">
        <v>103.7</v>
      </c>
      <c r="I160" s="2907">
        <v>19826.3</v>
      </c>
      <c r="J160" s="2907">
        <v>106.2</v>
      </c>
      <c r="K160" s="2907">
        <v>456.3</v>
      </c>
      <c r="L160" s="2907">
        <v>103.77530134182398</v>
      </c>
      <c r="M160" s="2907">
        <v>-1.1000000000000001</v>
      </c>
      <c r="N160" s="2907">
        <v>4.4027198147509097</v>
      </c>
      <c r="O160" s="2907">
        <v>3.5</v>
      </c>
    </row>
    <row r="161" spans="1:15" ht="15" hidden="1" customHeight="1">
      <c r="A161" s="2905" t="s">
        <v>24</v>
      </c>
      <c r="B161" s="2907">
        <v>32057.5</v>
      </c>
      <c r="C161" s="2907">
        <v>105.6</v>
      </c>
      <c r="D161" s="2907">
        <v>88.8</v>
      </c>
      <c r="E161" s="2907">
        <v>19926.900000000001</v>
      </c>
      <c r="F161" s="2907">
        <v>109</v>
      </c>
      <c r="G161" s="2907">
        <v>9368.5</v>
      </c>
      <c r="H161" s="2907">
        <v>103.5</v>
      </c>
      <c r="I161" s="2907">
        <v>23606.1</v>
      </c>
      <c r="J161" s="2907">
        <v>106.4</v>
      </c>
      <c r="K161" s="2907">
        <v>458.1</v>
      </c>
      <c r="L161" s="2907">
        <v>103.94826412525529</v>
      </c>
      <c r="M161" s="2907">
        <v>-0.7</v>
      </c>
      <c r="N161" s="2907">
        <v>4.4734774993333559</v>
      </c>
      <c r="O161" s="2907">
        <v>3.7</v>
      </c>
    </row>
    <row r="162" spans="1:15" ht="15" hidden="1" customHeight="1">
      <c r="A162" s="2905" t="s">
        <v>25</v>
      </c>
      <c r="B162" s="2907">
        <v>36027.599999999999</v>
      </c>
      <c r="C162" s="2907">
        <v>104.2</v>
      </c>
      <c r="D162" s="2907">
        <v>88.4</v>
      </c>
      <c r="E162" s="2907">
        <v>22589.200000000001</v>
      </c>
      <c r="F162" s="2907">
        <v>107.4</v>
      </c>
      <c r="G162" s="2907">
        <v>10550.1</v>
      </c>
      <c r="H162" s="2907">
        <v>101.7</v>
      </c>
      <c r="I162" s="2907">
        <v>26674.7</v>
      </c>
      <c r="J162" s="2907">
        <v>105.9</v>
      </c>
      <c r="K162" s="2907">
        <v>459.4</v>
      </c>
      <c r="L162" s="2907">
        <v>104.2196007259528</v>
      </c>
      <c r="M162" s="2907">
        <v>-0.1</v>
      </c>
      <c r="N162" s="2907">
        <v>4.3647808636489032</v>
      </c>
      <c r="O162" s="2907">
        <v>3.8</v>
      </c>
    </row>
    <row r="163" spans="1:15" ht="15" hidden="1" customHeight="1">
      <c r="A163" s="2905" t="s">
        <v>26</v>
      </c>
      <c r="B163" s="2907">
        <v>40678.400000000001</v>
      </c>
      <c r="C163" s="2907">
        <v>103.7</v>
      </c>
      <c r="D163" s="2907">
        <v>88.2</v>
      </c>
      <c r="E163" s="2907">
        <v>25872.1</v>
      </c>
      <c r="F163" s="2907">
        <v>106.4</v>
      </c>
      <c r="G163" s="2907">
        <v>11831.2</v>
      </c>
      <c r="H163" s="2907">
        <v>100.5</v>
      </c>
      <c r="I163" s="2907">
        <v>30122.799999999999</v>
      </c>
      <c r="J163" s="2907">
        <v>105.8</v>
      </c>
      <c r="K163" s="2907">
        <v>459.7</v>
      </c>
      <c r="L163" s="2907">
        <v>104.12231030577577</v>
      </c>
      <c r="M163" s="2907">
        <v>0.3</v>
      </c>
      <c r="N163" s="2907">
        <v>3.4919142783413264</v>
      </c>
      <c r="O163" s="2907">
        <v>3.7</v>
      </c>
    </row>
    <row r="164" spans="1:15" ht="15" hidden="1" customHeight="1">
      <c r="A164" s="2905" t="s">
        <v>27</v>
      </c>
      <c r="B164" s="2907">
        <v>45934.8</v>
      </c>
      <c r="C164" s="2907">
        <v>103.3</v>
      </c>
      <c r="D164" s="2907">
        <v>89.4</v>
      </c>
      <c r="E164" s="2907">
        <v>29315.3</v>
      </c>
      <c r="F164" s="2907">
        <v>105.2</v>
      </c>
      <c r="G164" s="2907">
        <v>13078.1</v>
      </c>
      <c r="H164" s="2907">
        <v>98.1</v>
      </c>
      <c r="I164" s="2907">
        <v>33518.699999999997</v>
      </c>
      <c r="J164" s="2907">
        <v>105.7</v>
      </c>
      <c r="K164" s="2907">
        <v>460.5</v>
      </c>
      <c r="L164" s="2907">
        <v>104.23268447261205</v>
      </c>
      <c r="M164" s="2907">
        <v>0.1</v>
      </c>
      <c r="N164" s="2907">
        <v>3.3246235714315304</v>
      </c>
      <c r="O164" s="2907">
        <v>3.7</v>
      </c>
    </row>
    <row r="165" spans="1:15" ht="15" hidden="1" customHeight="1">
      <c r="A165" s="2905" t="s">
        <v>28</v>
      </c>
      <c r="B165" s="2907">
        <v>50057.5</v>
      </c>
      <c r="C165" s="2907">
        <v>103.1</v>
      </c>
      <c r="D165" s="2907">
        <v>89.9</v>
      </c>
      <c r="E165" s="2907">
        <v>31885.7</v>
      </c>
      <c r="F165" s="2907">
        <v>104</v>
      </c>
      <c r="G165" s="2907">
        <v>14438.8</v>
      </c>
      <c r="H165" s="2907">
        <v>97.6</v>
      </c>
      <c r="I165" s="2907">
        <v>36770.199999999997</v>
      </c>
      <c r="J165" s="2907">
        <v>105.7</v>
      </c>
      <c r="K165" s="2907">
        <v>460.5</v>
      </c>
      <c r="L165" s="2907">
        <v>104.18552036199095</v>
      </c>
      <c r="M165" s="2907">
        <v>0.38944680000000176</v>
      </c>
      <c r="N165" s="2907">
        <v>3.6295582463055354</v>
      </c>
      <c r="O165" s="2907">
        <v>3.681657400000006</v>
      </c>
    </row>
    <row r="166" spans="1:15" ht="15" hidden="1" customHeight="1">
      <c r="A166" s="2905" t="s">
        <v>29</v>
      </c>
      <c r="B166" s="2907">
        <v>54380</v>
      </c>
      <c r="C166" s="2907">
        <v>101.1</v>
      </c>
      <c r="D166" s="2907">
        <v>91.1</v>
      </c>
      <c r="E166" s="2907">
        <v>34500.9</v>
      </c>
      <c r="F166" s="2907">
        <v>101.1</v>
      </c>
      <c r="G166" s="2907">
        <v>15957</v>
      </c>
      <c r="H166" s="2907">
        <v>88.9</v>
      </c>
      <c r="I166" s="2907">
        <v>41744.800000000003</v>
      </c>
      <c r="J166" s="2907">
        <v>105.7</v>
      </c>
      <c r="K166" s="2907">
        <v>464.4</v>
      </c>
      <c r="L166" s="2907">
        <v>104.52397029034435</v>
      </c>
      <c r="M166" s="2907">
        <v>4.3532866000000041</v>
      </c>
      <c r="N166" s="2907">
        <v>7.5682791363655895</v>
      </c>
      <c r="O166" s="2907">
        <v>4.0094383999999934</v>
      </c>
    </row>
    <row r="167" spans="1:15" ht="15" customHeight="1">
      <c r="A167" s="2905" t="s">
        <v>1879</v>
      </c>
      <c r="B167" s="2906">
        <v>60425.2</v>
      </c>
      <c r="C167" s="2906">
        <v>96.9</v>
      </c>
      <c r="D167" s="2906">
        <v>114.7</v>
      </c>
      <c r="E167" s="2906">
        <v>35951.199999999997</v>
      </c>
      <c r="F167" s="2906">
        <v>95.6</v>
      </c>
      <c r="G167" s="2906">
        <v>15772.825800000001</v>
      </c>
      <c r="H167" s="2906">
        <v>78.3</v>
      </c>
      <c r="I167" s="2906">
        <v>45395.1</v>
      </c>
      <c r="J167" s="2906">
        <v>108.7</v>
      </c>
      <c r="K167" s="2906">
        <v>498.6</v>
      </c>
      <c r="L167" s="2906">
        <v>107.36434108527133</v>
      </c>
      <c r="M167" s="2906">
        <v>3</v>
      </c>
      <c r="N167" s="2906">
        <f>+N179</f>
        <v>15.663170556703562</v>
      </c>
      <c r="O167" s="2906">
        <v>12.4</v>
      </c>
    </row>
    <row r="168" spans="1:15" ht="15" hidden="1" customHeight="1">
      <c r="A168" s="2905" t="s">
        <v>18</v>
      </c>
      <c r="B168" s="2907">
        <v>4011.2</v>
      </c>
      <c r="C168" s="2907">
        <v>96.7</v>
      </c>
      <c r="D168" s="2907">
        <v>115.8</v>
      </c>
      <c r="E168" s="2907">
        <v>2445.4</v>
      </c>
      <c r="F168" s="2907">
        <v>96.3</v>
      </c>
      <c r="G168" s="2907">
        <v>880.7</v>
      </c>
      <c r="H168" s="2907">
        <v>100</v>
      </c>
      <c r="I168" s="2907">
        <v>3080.6</v>
      </c>
      <c r="J168" s="2907">
        <v>112.1</v>
      </c>
      <c r="K168" s="2907">
        <v>478</v>
      </c>
      <c r="L168" s="2907">
        <v>107.56075607560756</v>
      </c>
      <c r="M168" s="2907">
        <v>5.8</v>
      </c>
      <c r="N168" s="2907">
        <v>13.60210270932258</v>
      </c>
      <c r="O168" s="2907">
        <v>13.6</v>
      </c>
    </row>
    <row r="169" spans="1:15" ht="15" hidden="1" customHeight="1">
      <c r="A169" s="2905" t="s">
        <v>19</v>
      </c>
      <c r="B169" s="2907">
        <v>7888.7</v>
      </c>
      <c r="C169" s="2907">
        <v>96.8</v>
      </c>
      <c r="D169" s="2907">
        <v>117.5</v>
      </c>
      <c r="E169" s="2907">
        <v>4538.8999999999996</v>
      </c>
      <c r="F169" s="2907">
        <v>94.5</v>
      </c>
      <c r="G169" s="2907">
        <v>1834.9</v>
      </c>
      <c r="H169" s="2907">
        <v>68.900000000000006</v>
      </c>
      <c r="I169" s="2907">
        <v>6459.3</v>
      </c>
      <c r="J169" s="2907">
        <v>110.2</v>
      </c>
      <c r="K169" s="2907">
        <v>470.2</v>
      </c>
      <c r="L169" s="2907">
        <v>105.78177727784026</v>
      </c>
      <c r="M169" s="2907">
        <v>0.4</v>
      </c>
      <c r="N169" s="2907">
        <v>9.7263033036773834</v>
      </c>
      <c r="O169" s="2907">
        <v>11.7</v>
      </c>
    </row>
    <row r="170" spans="1:15" ht="15" hidden="1" customHeight="1">
      <c r="A170" s="2905" t="s">
        <v>20</v>
      </c>
      <c r="B170" s="2907">
        <v>12588.7</v>
      </c>
      <c r="C170" s="2907">
        <v>96.5</v>
      </c>
      <c r="D170" s="2907">
        <v>113.1</v>
      </c>
      <c r="E170" s="2907">
        <v>7387.3</v>
      </c>
      <c r="F170" s="2907">
        <v>94.3</v>
      </c>
      <c r="G170" s="2907">
        <v>2876.8</v>
      </c>
      <c r="H170" s="2907">
        <v>65.8</v>
      </c>
      <c r="I170" s="2907">
        <v>10303.5</v>
      </c>
      <c r="J170" s="2907">
        <v>109</v>
      </c>
      <c r="K170" s="2907">
        <v>484.4</v>
      </c>
      <c r="L170" s="2907">
        <v>107.76418242491657</v>
      </c>
      <c r="M170" s="2907">
        <v>0.4</v>
      </c>
      <c r="N170" s="2907">
        <v>9.1702140941422954</v>
      </c>
      <c r="O170" s="2907">
        <v>10.8</v>
      </c>
    </row>
    <row r="171" spans="1:15" ht="15" hidden="1" customHeight="1">
      <c r="A171" s="2905" t="s">
        <v>21</v>
      </c>
      <c r="B171" s="2907">
        <v>16867.900000000001</v>
      </c>
      <c r="C171" s="2907">
        <v>95.5</v>
      </c>
      <c r="D171" s="2907">
        <v>110.9</v>
      </c>
      <c r="E171" s="2907">
        <v>9859.5</v>
      </c>
      <c r="F171" s="2907">
        <v>93.2</v>
      </c>
      <c r="G171" s="2907">
        <v>4291.3</v>
      </c>
      <c r="H171" s="2907">
        <v>68.900000000000006</v>
      </c>
      <c r="I171" s="2907">
        <v>13789.5</v>
      </c>
      <c r="J171" s="2907">
        <v>109</v>
      </c>
      <c r="K171" s="2907">
        <v>486.3</v>
      </c>
      <c r="L171" s="2907">
        <v>107.51713464514702</v>
      </c>
      <c r="M171" s="2907">
        <v>0.2</v>
      </c>
      <c r="N171" s="2907">
        <v>9.609686877446606</v>
      </c>
      <c r="O171" s="2907">
        <v>10.5</v>
      </c>
    </row>
    <row r="172" spans="1:15" ht="15" hidden="1" customHeight="1">
      <c r="A172" s="2905" t="s">
        <v>22</v>
      </c>
      <c r="B172" s="2907">
        <v>21512.799999999999</v>
      </c>
      <c r="C172" s="2907">
        <v>95.8</v>
      </c>
      <c r="D172" s="2907">
        <v>110.3</v>
      </c>
      <c r="E172" s="2907">
        <v>12502.6</v>
      </c>
      <c r="F172" s="2907">
        <v>93</v>
      </c>
      <c r="G172" s="2907">
        <v>5388.8</v>
      </c>
      <c r="H172" s="2907">
        <v>66.900000000000006</v>
      </c>
      <c r="I172" s="2907">
        <v>17511.599999999999</v>
      </c>
      <c r="J172" s="2907">
        <v>108.3</v>
      </c>
      <c r="K172" s="2907">
        <v>488.4</v>
      </c>
      <c r="L172" s="2907">
        <v>107.38786279683377</v>
      </c>
      <c r="M172" s="2907">
        <v>-0.1</v>
      </c>
      <c r="N172" s="2907">
        <v>10.137774218977498</v>
      </c>
      <c r="O172" s="2907">
        <v>10.4</v>
      </c>
    </row>
    <row r="173" spans="1:15" ht="15" hidden="1" customHeight="1">
      <c r="A173" s="2905" t="s">
        <v>23</v>
      </c>
      <c r="B173" s="2907">
        <v>27002.3</v>
      </c>
      <c r="C173" s="2907">
        <v>96.6</v>
      </c>
      <c r="D173" s="2907">
        <v>109.3</v>
      </c>
      <c r="E173" s="2907">
        <v>16004.2</v>
      </c>
      <c r="F173" s="2907">
        <v>94</v>
      </c>
      <c r="G173" s="2907">
        <v>6769.6</v>
      </c>
      <c r="H173" s="2907">
        <v>69.599999999999994</v>
      </c>
      <c r="I173" s="2907">
        <v>21493.9</v>
      </c>
      <c r="J173" s="2907">
        <v>108.4</v>
      </c>
      <c r="K173" s="2907">
        <v>488.1</v>
      </c>
      <c r="L173" s="2907">
        <v>106.9690992767916</v>
      </c>
      <c r="M173" s="2907">
        <v>-0.5</v>
      </c>
      <c r="N173" s="2907">
        <v>10.889517453387484</v>
      </c>
      <c r="O173" s="2907">
        <v>10.5</v>
      </c>
    </row>
    <row r="174" spans="1:15" ht="15" hidden="1" customHeight="1">
      <c r="A174" s="2905" t="s">
        <v>24</v>
      </c>
      <c r="B174" s="2907">
        <v>32122.6</v>
      </c>
      <c r="C174" s="2907">
        <v>97</v>
      </c>
      <c r="D174" s="2907">
        <v>110.3</v>
      </c>
      <c r="E174" s="2907">
        <v>18957.7</v>
      </c>
      <c r="F174" s="2907">
        <v>94.7</v>
      </c>
      <c r="G174" s="2907">
        <v>7959.7</v>
      </c>
      <c r="H174" s="2907">
        <v>70.3</v>
      </c>
      <c r="I174" s="2907">
        <v>25682.7</v>
      </c>
      <c r="J174" s="2907">
        <v>108.5</v>
      </c>
      <c r="K174" s="2907">
        <v>489.3</v>
      </c>
      <c r="L174" s="2907">
        <v>106.81074001309759</v>
      </c>
      <c r="M174" s="2907">
        <v>-0.3</v>
      </c>
      <c r="N174" s="2907">
        <v>11.377210236314667</v>
      </c>
      <c r="O174" s="2907">
        <v>10.6</v>
      </c>
    </row>
    <row r="175" spans="1:15" ht="15" hidden="1" customHeight="1">
      <c r="A175" s="2905" t="s">
        <v>25</v>
      </c>
      <c r="B175" s="2907">
        <v>38027.800000000003</v>
      </c>
      <c r="C175" s="2907">
        <v>96.9</v>
      </c>
      <c r="D175" s="2907">
        <v>111.8</v>
      </c>
      <c r="E175" s="2907">
        <v>22795.9</v>
      </c>
      <c r="F175" s="2907">
        <v>94.3</v>
      </c>
      <c r="G175" s="2907">
        <v>8999.1</v>
      </c>
      <c r="H175" s="2907">
        <v>69.3</v>
      </c>
      <c r="I175" s="2907">
        <v>28972.400000000001</v>
      </c>
      <c r="J175" s="2907">
        <v>108.6</v>
      </c>
      <c r="K175" s="2907">
        <v>488.7</v>
      </c>
      <c r="L175" s="2907">
        <v>106.37788419677841</v>
      </c>
      <c r="M175" s="2907">
        <v>0.5</v>
      </c>
      <c r="N175" s="2907">
        <v>12.084881359380901</v>
      </c>
      <c r="O175" s="2907">
        <v>10.8</v>
      </c>
    </row>
    <row r="176" spans="1:15" ht="15" hidden="1" customHeight="1">
      <c r="A176" s="2905" t="s">
        <v>26</v>
      </c>
      <c r="B176" s="2907">
        <v>43436.3</v>
      </c>
      <c r="C176" s="2907">
        <v>96.1</v>
      </c>
      <c r="D176" s="2907">
        <v>112.9</v>
      </c>
      <c r="E176" s="2907">
        <v>25988.6</v>
      </c>
      <c r="F176" s="2907">
        <v>94</v>
      </c>
      <c r="G176" s="2907">
        <v>10268.700000000001</v>
      </c>
      <c r="H176" s="2907">
        <v>69.599999999999994</v>
      </c>
      <c r="I176" s="2907">
        <v>32762.5</v>
      </c>
      <c r="J176" s="2907">
        <v>108.7</v>
      </c>
      <c r="K176" s="2907">
        <v>490.5</v>
      </c>
      <c r="L176" s="2907">
        <v>106.70002175331739</v>
      </c>
      <c r="M176" s="2907">
        <v>2.2999999999999998</v>
      </c>
      <c r="N176" s="2907">
        <v>14.287619839830484</v>
      </c>
      <c r="O176" s="2907">
        <v>11.2</v>
      </c>
    </row>
    <row r="177" spans="1:15" ht="15" hidden="1" customHeight="1">
      <c r="A177" s="2905" t="s">
        <v>27</v>
      </c>
      <c r="B177" s="2907">
        <v>49223.4</v>
      </c>
      <c r="C177" s="2907">
        <v>96.3</v>
      </c>
      <c r="D177" s="2907">
        <v>113.8</v>
      </c>
      <c r="E177" s="2907">
        <v>29471.3</v>
      </c>
      <c r="F177" s="2907">
        <v>94.5</v>
      </c>
      <c r="G177" s="2907">
        <v>11889.2</v>
      </c>
      <c r="H177" s="2907">
        <v>73.7</v>
      </c>
      <c r="I177" s="2907">
        <v>36635.800000000003</v>
      </c>
      <c r="J177" s="2907">
        <v>108.7</v>
      </c>
      <c r="K177" s="2907">
        <v>493.8</v>
      </c>
      <c r="L177" s="2907">
        <v>107.23127035830619</v>
      </c>
      <c r="M177" s="2907">
        <v>1.3</v>
      </c>
      <c r="N177" s="2907">
        <v>15.663054964385154</v>
      </c>
      <c r="O177" s="2907">
        <v>11.6</v>
      </c>
    </row>
    <row r="178" spans="1:15" ht="15" hidden="1" customHeight="1">
      <c r="A178" s="2905" t="s">
        <v>28</v>
      </c>
      <c r="B178" s="2907">
        <v>54433.1</v>
      </c>
      <c r="C178" s="2907">
        <v>96.1</v>
      </c>
      <c r="D178" s="2907">
        <v>114.7</v>
      </c>
      <c r="E178" s="2907">
        <v>32675.9</v>
      </c>
      <c r="F178" s="2907">
        <v>94.4</v>
      </c>
      <c r="G178" s="2907">
        <v>13009.1</v>
      </c>
      <c r="H178" s="2907">
        <v>72</v>
      </c>
      <c r="I178" s="2907">
        <v>40028.5</v>
      </c>
      <c r="J178" s="2907">
        <v>108.9</v>
      </c>
      <c r="K178" s="2907">
        <v>494.3</v>
      </c>
      <c r="L178" s="2907">
        <v>107.3398479913138</v>
      </c>
      <c r="M178" s="2907">
        <v>1.7</v>
      </c>
      <c r="N178" s="2907">
        <v>17.134583784143913</v>
      </c>
      <c r="O178" s="2907">
        <v>12.1</v>
      </c>
    </row>
    <row r="179" spans="1:15" ht="15" hidden="1" customHeight="1">
      <c r="A179" s="2905" t="s">
        <v>29</v>
      </c>
      <c r="B179" s="2907">
        <v>60425.2</v>
      </c>
      <c r="C179" s="2907">
        <v>96.9</v>
      </c>
      <c r="D179" s="2907">
        <v>114.7</v>
      </c>
      <c r="E179" s="2907">
        <v>35951.199999999997</v>
      </c>
      <c r="F179" s="2907">
        <v>95.6</v>
      </c>
      <c r="G179" s="2907">
        <v>15772.825800000001</v>
      </c>
      <c r="H179" s="2907">
        <v>78.3</v>
      </c>
      <c r="I179" s="2907">
        <v>45395.1</v>
      </c>
      <c r="J179" s="2907">
        <v>108.7</v>
      </c>
      <c r="K179" s="2907">
        <v>498.6</v>
      </c>
      <c r="L179" s="2907">
        <v>107.36434108527133</v>
      </c>
      <c r="M179" s="2907">
        <v>3</v>
      </c>
      <c r="N179" s="2907">
        <v>15.663170556703562</v>
      </c>
      <c r="O179" s="2907">
        <v>12.4</v>
      </c>
    </row>
    <row r="180" spans="1:15" ht="15" customHeight="1">
      <c r="A180" s="2905" t="s">
        <v>1942</v>
      </c>
      <c r="B180" s="2906">
        <v>70337.8</v>
      </c>
      <c r="C180" s="2906">
        <v>100.2</v>
      </c>
      <c r="D180" s="2906">
        <v>116</v>
      </c>
      <c r="E180" s="2906">
        <v>40012.300000000003</v>
      </c>
      <c r="F180" s="2906">
        <v>102.8</v>
      </c>
      <c r="G180" s="2906">
        <v>17430.339499999998</v>
      </c>
      <c r="H180" s="2906">
        <v>102.8</v>
      </c>
      <c r="I180" s="2906">
        <v>49187.9</v>
      </c>
      <c r="J180" s="2906">
        <v>108.3</v>
      </c>
      <c r="K180" s="2906">
        <v>528.20000000000005</v>
      </c>
      <c r="L180" s="2906">
        <v>105.93662254312075</v>
      </c>
      <c r="M180" s="2906">
        <v>0.45967969999999525</v>
      </c>
      <c r="N180" s="2906">
        <f>+N192</f>
        <v>7.9270442346791583</v>
      </c>
      <c r="O180" s="2906">
        <v>12.9</v>
      </c>
    </row>
    <row r="181" spans="1:15" ht="15" hidden="1" customHeight="1">
      <c r="A181" s="2905" t="s">
        <v>18</v>
      </c>
      <c r="B181" s="2907">
        <v>5233.1000000000004</v>
      </c>
      <c r="C181" s="2907">
        <v>100.8</v>
      </c>
      <c r="D181" s="2907">
        <v>128.1</v>
      </c>
      <c r="E181" s="2907">
        <v>2673.2</v>
      </c>
      <c r="F181" s="2907">
        <v>101.5</v>
      </c>
      <c r="G181" s="2907">
        <v>954.2</v>
      </c>
      <c r="H181" s="2907">
        <v>97.9</v>
      </c>
      <c r="I181" s="2907">
        <v>3476.1</v>
      </c>
      <c r="J181" s="2907">
        <v>104.6</v>
      </c>
      <c r="K181" s="2907">
        <v>504.8</v>
      </c>
      <c r="L181" s="2907">
        <v>105.60669456066947</v>
      </c>
      <c r="M181" s="2907">
        <v>2.2999999999999998</v>
      </c>
      <c r="N181" s="2907">
        <v>11.860488592820701</v>
      </c>
      <c r="O181" s="2907">
        <v>11.9</v>
      </c>
    </row>
    <row r="182" spans="1:15" ht="15" hidden="1" customHeight="1">
      <c r="A182" s="2905" t="s">
        <v>19</v>
      </c>
      <c r="B182" s="2907">
        <v>10042.6</v>
      </c>
      <c r="C182" s="2907">
        <v>100.4</v>
      </c>
      <c r="D182" s="2907">
        <v>127.9</v>
      </c>
      <c r="E182" s="2907">
        <v>5172.2</v>
      </c>
      <c r="F182" s="2907">
        <v>102.3</v>
      </c>
      <c r="G182" s="2907">
        <v>2093.6999999999998</v>
      </c>
      <c r="H182" s="2907">
        <v>105.7</v>
      </c>
      <c r="I182" s="2907">
        <v>6980.3</v>
      </c>
      <c r="J182" s="2907">
        <v>104.7</v>
      </c>
      <c r="K182" s="2907">
        <v>499.9</v>
      </c>
      <c r="L182" s="2907">
        <v>106.31646108039132</v>
      </c>
      <c r="M182" s="2907">
        <v>1.6</v>
      </c>
      <c r="N182" s="2907">
        <v>13.172427610827782</v>
      </c>
      <c r="O182" s="2907">
        <v>12.5</v>
      </c>
    </row>
    <row r="183" spans="1:15" ht="15" hidden="1" customHeight="1">
      <c r="A183" s="2905" t="s">
        <v>20</v>
      </c>
      <c r="B183" s="2907">
        <v>15229.7</v>
      </c>
      <c r="C183" s="2907">
        <v>99.1</v>
      </c>
      <c r="D183" s="2907">
        <v>129.19999999999999</v>
      </c>
      <c r="E183" s="2907">
        <v>7782.1</v>
      </c>
      <c r="F183" s="2907">
        <v>102.4</v>
      </c>
      <c r="G183" s="2907">
        <v>3182.3</v>
      </c>
      <c r="H183" s="2907">
        <v>103</v>
      </c>
      <c r="I183" s="2907">
        <v>11362.1</v>
      </c>
      <c r="J183" s="2907">
        <v>106.7</v>
      </c>
      <c r="K183" s="2907">
        <v>514.29999999999995</v>
      </c>
      <c r="L183" s="2907">
        <v>106.17258464079273</v>
      </c>
      <c r="M183" s="2907">
        <v>1.6</v>
      </c>
      <c r="N183" s="2907">
        <v>14.505859935056222</v>
      </c>
      <c r="O183" s="2907">
        <v>13.2</v>
      </c>
    </row>
    <row r="184" spans="1:15" ht="15" hidden="1" customHeight="1">
      <c r="A184" s="2905" t="s">
        <v>21</v>
      </c>
      <c r="B184" s="2907">
        <v>20381.3</v>
      </c>
      <c r="C184" s="2907">
        <v>98.8</v>
      </c>
      <c r="D184" s="2907">
        <v>123.6</v>
      </c>
      <c r="E184" s="2907">
        <v>10614.3</v>
      </c>
      <c r="F184" s="2907">
        <v>101.9</v>
      </c>
      <c r="G184" s="2907">
        <v>4533.3999999999996</v>
      </c>
      <c r="H184" s="2907">
        <v>96.5</v>
      </c>
      <c r="I184" s="2907">
        <v>14655.6</v>
      </c>
      <c r="J184" s="2907">
        <v>106.8</v>
      </c>
      <c r="K184" s="2907">
        <v>520.5</v>
      </c>
      <c r="L184" s="2907">
        <v>107.03269586674892</v>
      </c>
      <c r="M184" s="2907">
        <v>0.2</v>
      </c>
      <c r="N184" s="2907">
        <v>14.56180522257317</v>
      </c>
      <c r="O184" s="2907">
        <v>13.5</v>
      </c>
    </row>
    <row r="185" spans="1:15" ht="15" hidden="1" customHeight="1">
      <c r="A185" s="2905" t="s">
        <v>22</v>
      </c>
      <c r="B185" s="2907">
        <v>25338.7</v>
      </c>
      <c r="C185" s="2907">
        <v>99.1</v>
      </c>
      <c r="D185" s="2907">
        <v>121.4</v>
      </c>
      <c r="E185" s="2907">
        <v>13534.3</v>
      </c>
      <c r="F185" s="2907">
        <v>102.3</v>
      </c>
      <c r="G185" s="2907">
        <v>5671.7</v>
      </c>
      <c r="H185" s="2907">
        <v>96.8</v>
      </c>
      <c r="I185" s="2907">
        <v>18613.900000000001</v>
      </c>
      <c r="J185" s="2907">
        <v>107.3</v>
      </c>
      <c r="K185" s="2907">
        <v>520.1</v>
      </c>
      <c r="L185" s="2907">
        <v>106.4905814905815</v>
      </c>
      <c r="M185" s="2907">
        <v>0.2</v>
      </c>
      <c r="N185" s="2907">
        <v>14.89688510897777</v>
      </c>
      <c r="O185" s="2907">
        <v>13.8</v>
      </c>
    </row>
    <row r="186" spans="1:15" ht="15" hidden="1" customHeight="1">
      <c r="A186" s="2905" t="s">
        <v>23</v>
      </c>
      <c r="B186" s="2907">
        <v>31310.6</v>
      </c>
      <c r="C186" s="2907">
        <v>98.7</v>
      </c>
      <c r="D186" s="2907">
        <v>119.1</v>
      </c>
      <c r="E186" s="2907">
        <v>17275.7</v>
      </c>
      <c r="F186" s="2907">
        <v>101.7</v>
      </c>
      <c r="G186" s="2907">
        <v>7138.6</v>
      </c>
      <c r="H186" s="2907">
        <v>97.1</v>
      </c>
      <c r="I186" s="2907">
        <v>23526.7</v>
      </c>
      <c r="J186" s="2907">
        <v>107.3</v>
      </c>
      <c r="K186" s="2907">
        <v>522</v>
      </c>
      <c r="L186" s="2907">
        <v>106.94529809465274</v>
      </c>
      <c r="M186" s="2907">
        <v>-1.0350633999999985</v>
      </c>
      <c r="N186" s="2907">
        <v>14.239548719996492</v>
      </c>
      <c r="O186" s="2907">
        <v>13.876268899999999</v>
      </c>
    </row>
    <row r="187" spans="1:15" ht="15" hidden="1" customHeight="1">
      <c r="A187" s="2905" t="s">
        <v>24</v>
      </c>
      <c r="B187" s="2907">
        <v>37645.4</v>
      </c>
      <c r="C187" s="2907">
        <v>99</v>
      </c>
      <c r="D187" s="2907">
        <v>117.8</v>
      </c>
      <c r="E187" s="2907">
        <v>21158.6</v>
      </c>
      <c r="F187" s="2907">
        <v>102.2</v>
      </c>
      <c r="G187" s="2907">
        <v>8728.7999999999993</v>
      </c>
      <c r="H187" s="2907">
        <v>99.7</v>
      </c>
      <c r="I187" s="2907">
        <v>27716.9</v>
      </c>
      <c r="J187" s="2907">
        <v>107.5</v>
      </c>
      <c r="K187" s="2907">
        <v>523.1</v>
      </c>
      <c r="L187" s="2907">
        <v>106.90782750868588</v>
      </c>
      <c r="M187" s="2907">
        <v>0.1</v>
      </c>
      <c r="N187" s="2907">
        <v>14.700161704856086</v>
      </c>
      <c r="O187" s="2907">
        <v>14</v>
      </c>
    </row>
    <row r="188" spans="1:15" ht="15" hidden="1" customHeight="1">
      <c r="A188" s="2905" t="s">
        <v>25</v>
      </c>
      <c r="B188" s="2907">
        <v>43713.2</v>
      </c>
      <c r="C188" s="2907">
        <v>98.9</v>
      </c>
      <c r="D188" s="2907">
        <v>117.5</v>
      </c>
      <c r="E188" s="2907">
        <v>24941.7</v>
      </c>
      <c r="F188" s="2907">
        <v>102.4</v>
      </c>
      <c r="G188" s="2907">
        <v>9868.5</v>
      </c>
      <c r="H188" s="2907">
        <v>100.1</v>
      </c>
      <c r="I188" s="2907">
        <v>31770.799999999999</v>
      </c>
      <c r="J188" s="2907">
        <v>107.6</v>
      </c>
      <c r="K188" s="2907">
        <v>524.70000000000005</v>
      </c>
      <c r="L188" s="2907">
        <v>107.36648250460405</v>
      </c>
      <c r="M188" s="2907">
        <v>0.2</v>
      </c>
      <c r="N188" s="2907">
        <v>14.332008388406337</v>
      </c>
      <c r="O188" s="2907">
        <v>14</v>
      </c>
    </row>
    <row r="189" spans="1:15" ht="15" hidden="1" customHeight="1">
      <c r="A189" s="2905" t="s">
        <v>26</v>
      </c>
      <c r="B189" s="2907">
        <v>50067.3</v>
      </c>
      <c r="C189" s="2907">
        <v>99.4</v>
      </c>
      <c r="D189" s="2907">
        <v>118</v>
      </c>
      <c r="E189" s="2907">
        <v>28408.7</v>
      </c>
      <c r="F189" s="2907">
        <v>102.5</v>
      </c>
      <c r="G189" s="2907">
        <v>11090.8</v>
      </c>
      <c r="H189" s="2907">
        <v>99</v>
      </c>
      <c r="I189" s="2907">
        <v>36247</v>
      </c>
      <c r="J189" s="2907">
        <v>108</v>
      </c>
      <c r="K189" s="2907">
        <v>525.6</v>
      </c>
      <c r="L189" s="2907">
        <v>107.1559633027523</v>
      </c>
      <c r="M189" s="2907">
        <v>0.7294181999999978</v>
      </c>
      <c r="N189" s="2907">
        <v>12.61001732620781</v>
      </c>
      <c r="O189" s="2907">
        <v>13.9</v>
      </c>
    </row>
    <row r="190" spans="1:15" ht="15" hidden="1" customHeight="1">
      <c r="A190" s="2905" t="s">
        <v>27</v>
      </c>
      <c r="B190" s="2907">
        <v>56481.5</v>
      </c>
      <c r="C190" s="2907">
        <v>99.3</v>
      </c>
      <c r="D190" s="2907">
        <v>117.2</v>
      </c>
      <c r="E190" s="2907">
        <v>32159.599999999999</v>
      </c>
      <c r="F190" s="2907">
        <v>102.1</v>
      </c>
      <c r="G190" s="2907">
        <v>12536.5</v>
      </c>
      <c r="H190" s="2907">
        <v>97</v>
      </c>
      <c r="I190" s="2907">
        <v>40190.699999999997</v>
      </c>
      <c r="J190" s="2907">
        <v>108.2</v>
      </c>
      <c r="K190" s="2907">
        <v>525.4</v>
      </c>
      <c r="L190" s="2907">
        <v>106.39935196435803</v>
      </c>
      <c r="M190" s="2907">
        <v>1.1000000000000001</v>
      </c>
      <c r="N190" s="2907">
        <v>12.343312198847144</v>
      </c>
      <c r="O190" s="2907">
        <v>13.7</v>
      </c>
    </row>
    <row r="191" spans="1:15" ht="15" hidden="1" customHeight="1">
      <c r="A191" s="2905" t="s">
        <v>28</v>
      </c>
      <c r="B191" s="2907">
        <v>63071.3</v>
      </c>
      <c r="C191" s="2907">
        <v>99.8</v>
      </c>
      <c r="D191" s="2907">
        <v>116.7</v>
      </c>
      <c r="E191" s="2907">
        <v>35696.800000000003</v>
      </c>
      <c r="F191" s="2907">
        <v>102.4</v>
      </c>
      <c r="G191" s="2907">
        <v>13688.4</v>
      </c>
      <c r="H191" s="2907">
        <v>97.2</v>
      </c>
      <c r="I191" s="2907">
        <v>43389.9</v>
      </c>
      <c r="J191" s="2907">
        <v>108.2</v>
      </c>
      <c r="K191" s="2907">
        <v>525</v>
      </c>
      <c r="L191" s="2907">
        <v>106.21080315597816</v>
      </c>
      <c r="M191" s="2907">
        <v>0.2</v>
      </c>
      <c r="N191" s="2907">
        <v>10.701773913389928</v>
      </c>
      <c r="O191" s="2907">
        <v>13.4</v>
      </c>
    </row>
    <row r="192" spans="1:15" ht="15" hidden="1" customHeight="1">
      <c r="A192" s="2905" t="s">
        <v>29</v>
      </c>
      <c r="B192" s="2907">
        <v>70337.8</v>
      </c>
      <c r="C192" s="2907">
        <v>100.2</v>
      </c>
      <c r="D192" s="2907">
        <v>116</v>
      </c>
      <c r="E192" s="2907">
        <v>40012.300000000003</v>
      </c>
      <c r="F192" s="2907">
        <v>102.7</v>
      </c>
      <c r="G192" s="2907">
        <v>17430.339499999998</v>
      </c>
      <c r="H192" s="2907">
        <v>102.8</v>
      </c>
      <c r="I192" s="2907">
        <v>49187.9</v>
      </c>
      <c r="J192" s="2907">
        <v>108.3</v>
      </c>
      <c r="K192" s="2907">
        <v>528.20000000000005</v>
      </c>
      <c r="L192" s="2907">
        <v>105.93662254312075</v>
      </c>
      <c r="M192" s="2907">
        <v>0.45967969999999525</v>
      </c>
      <c r="N192" s="2907">
        <v>7.9270442346791583</v>
      </c>
      <c r="O192" s="2907">
        <v>12.9</v>
      </c>
    </row>
    <row r="193" spans="1:15" ht="15" customHeight="1">
      <c r="A193" s="2905" t="s">
        <v>2078</v>
      </c>
      <c r="B193" s="2906">
        <v>80092</v>
      </c>
      <c r="C193" s="2906">
        <v>101.5</v>
      </c>
      <c r="D193" s="2906">
        <v>111.5</v>
      </c>
      <c r="E193" s="2906">
        <v>41588.6</v>
      </c>
      <c r="F193" s="2906">
        <v>102</v>
      </c>
      <c r="G193" s="2906">
        <v>17244.8629</v>
      </c>
      <c r="H193" s="2906">
        <v>95.7</v>
      </c>
      <c r="I193" s="2906">
        <v>53103.7</v>
      </c>
      <c r="J193" s="2906">
        <v>109.2</v>
      </c>
      <c r="K193" s="2906">
        <v>544.1</v>
      </c>
      <c r="L193" s="2906">
        <v>103</v>
      </c>
      <c r="M193" s="2906">
        <v>0.8</v>
      </c>
      <c r="N193" s="2906">
        <f>+N205</f>
        <v>1.5307219797211928</v>
      </c>
      <c r="O193" s="2906">
        <v>2.2999999999999998</v>
      </c>
    </row>
    <row r="194" spans="1:15" ht="15" hidden="1" customHeight="1">
      <c r="A194" s="2905" t="s">
        <v>18</v>
      </c>
      <c r="B194" s="2907">
        <v>5816.9</v>
      </c>
      <c r="C194" s="2907">
        <v>102</v>
      </c>
      <c r="D194" s="2907">
        <v>110.7</v>
      </c>
      <c r="E194" s="2907">
        <v>2948.2</v>
      </c>
      <c r="F194" s="2907">
        <v>103.9</v>
      </c>
      <c r="G194" s="2907">
        <v>960.3</v>
      </c>
      <c r="H194" s="2907">
        <v>94.5</v>
      </c>
      <c r="I194" s="2907">
        <v>3882.3</v>
      </c>
      <c r="J194" s="2907">
        <v>111.7</v>
      </c>
      <c r="K194" s="2907">
        <v>519.79999999999995</v>
      </c>
      <c r="L194" s="2907">
        <v>102.9714738510301</v>
      </c>
      <c r="M194" s="2907">
        <v>0</v>
      </c>
      <c r="N194" s="2907">
        <v>5.4943366120822503</v>
      </c>
      <c r="O194" s="2907">
        <v>5.5</v>
      </c>
    </row>
    <row r="195" spans="1:15" ht="15" hidden="1" customHeight="1">
      <c r="A195" s="2905" t="s">
        <v>19</v>
      </c>
      <c r="B195" s="2907">
        <v>11311.3</v>
      </c>
      <c r="C195" s="2907">
        <v>101.3</v>
      </c>
      <c r="D195" s="2907">
        <v>111</v>
      </c>
      <c r="E195" s="2907">
        <v>5696.2</v>
      </c>
      <c r="F195" s="2907">
        <v>102.3</v>
      </c>
      <c r="G195" s="2907">
        <v>1824.7</v>
      </c>
      <c r="H195" s="2907">
        <v>81.8</v>
      </c>
      <c r="I195" s="2907">
        <v>7700.3</v>
      </c>
      <c r="J195" s="2907">
        <v>110.2</v>
      </c>
      <c r="K195" s="2907">
        <v>510.8</v>
      </c>
      <c r="L195" s="2907">
        <v>102.18043608721746</v>
      </c>
      <c r="M195" s="2907">
        <v>0.2</v>
      </c>
      <c r="N195" s="2907">
        <v>3.9702872524136694</v>
      </c>
      <c r="O195" s="2907">
        <v>4.7</v>
      </c>
    </row>
    <row r="196" spans="1:15" ht="15" hidden="1" customHeight="1">
      <c r="A196" s="2905" t="s">
        <v>20</v>
      </c>
      <c r="B196" s="2907">
        <v>17654</v>
      </c>
      <c r="C196" s="2907">
        <v>102.3</v>
      </c>
      <c r="D196" s="2907">
        <v>109.9</v>
      </c>
      <c r="E196" s="2907">
        <v>8549</v>
      </c>
      <c r="F196" s="2907">
        <v>102.9</v>
      </c>
      <c r="G196" s="2907">
        <v>2869.2</v>
      </c>
      <c r="H196" s="2907">
        <v>84.7</v>
      </c>
      <c r="I196" s="2907">
        <v>12533.3</v>
      </c>
      <c r="J196" s="2907">
        <v>109.8</v>
      </c>
      <c r="K196" s="2907">
        <v>532.4</v>
      </c>
      <c r="L196" s="2907">
        <v>103.51934668481431</v>
      </c>
      <c r="M196" s="2907">
        <v>0.2</v>
      </c>
      <c r="N196" s="2907">
        <v>2.5496058957475327</v>
      </c>
      <c r="O196" s="2907">
        <v>4</v>
      </c>
    </row>
    <row r="197" spans="1:15" ht="15" hidden="1" customHeight="1">
      <c r="A197" s="2905" t="s">
        <v>21</v>
      </c>
      <c r="B197" s="2907">
        <v>23083.5</v>
      </c>
      <c r="C197" s="2907">
        <v>101.2</v>
      </c>
      <c r="D197" s="2907">
        <v>111.3</v>
      </c>
      <c r="E197" s="2907">
        <v>11299.2</v>
      </c>
      <c r="F197" s="2907">
        <v>102.1</v>
      </c>
      <c r="G197" s="2907">
        <v>4160.1000000000004</v>
      </c>
      <c r="H197" s="2907">
        <v>88.9</v>
      </c>
      <c r="I197" s="2907">
        <v>16272.8</v>
      </c>
      <c r="J197" s="2907">
        <v>109.2</v>
      </c>
      <c r="K197" s="2907">
        <v>538.79999999999995</v>
      </c>
      <c r="L197" s="2907">
        <v>103.51585014409221</v>
      </c>
      <c r="M197" s="2907">
        <v>-0.20408580000000101</v>
      </c>
      <c r="N197" s="2907">
        <v>2.0966545719999488</v>
      </c>
      <c r="O197" s="2907">
        <v>3.5094799999999964</v>
      </c>
    </row>
    <row r="198" spans="1:15" ht="15" hidden="1" customHeight="1">
      <c r="A198" s="2905" t="s">
        <v>22</v>
      </c>
      <c r="B198" s="2907">
        <v>29762.9</v>
      </c>
      <c r="C198" s="2907">
        <v>101.1</v>
      </c>
      <c r="D198" s="2907">
        <v>113.6</v>
      </c>
      <c r="E198" s="2907">
        <v>14271.2</v>
      </c>
      <c r="F198" s="2907">
        <v>101.9</v>
      </c>
      <c r="G198" s="2907">
        <v>5240.8</v>
      </c>
      <c r="H198" s="2907">
        <v>89.5</v>
      </c>
      <c r="I198" s="2907">
        <v>20753.7</v>
      </c>
      <c r="J198" s="2907">
        <v>109.3</v>
      </c>
      <c r="K198" s="2907">
        <v>541</v>
      </c>
      <c r="L198" s="2907">
        <v>104.0184579888483</v>
      </c>
      <c r="M198" s="2907">
        <v>0</v>
      </c>
      <c r="N198" s="2907">
        <v>1.8889306371097803</v>
      </c>
      <c r="O198" s="2907">
        <v>3.2</v>
      </c>
    </row>
    <row r="199" spans="1:15" ht="15" hidden="1" customHeight="1">
      <c r="A199" s="2905" t="s">
        <v>23</v>
      </c>
      <c r="B199" s="2907">
        <v>36897.5</v>
      </c>
      <c r="C199" s="2907">
        <v>101.3</v>
      </c>
      <c r="D199" s="2907">
        <v>114.8</v>
      </c>
      <c r="E199" s="2907">
        <v>18270.3</v>
      </c>
      <c r="F199" s="2907">
        <v>102.1</v>
      </c>
      <c r="G199" s="2907">
        <v>6331.7</v>
      </c>
      <c r="H199" s="2907">
        <v>85.9</v>
      </c>
      <c r="I199" s="2907">
        <v>25705.200000000001</v>
      </c>
      <c r="J199" s="2907">
        <v>109.3</v>
      </c>
      <c r="K199" s="2907">
        <v>541.1</v>
      </c>
      <c r="L199" s="2907">
        <v>103.7</v>
      </c>
      <c r="M199" s="2907">
        <v>-0.7</v>
      </c>
      <c r="N199" s="2907">
        <v>2.2769364734035662</v>
      </c>
      <c r="O199" s="2907">
        <v>3</v>
      </c>
    </row>
    <row r="200" spans="1:15" ht="15" hidden="1" customHeight="1">
      <c r="A200" s="2905" t="s">
        <v>24</v>
      </c>
      <c r="B200" s="2907">
        <v>43667.9</v>
      </c>
      <c r="C200" s="2907">
        <v>100.2</v>
      </c>
      <c r="D200" s="2907">
        <v>115.2</v>
      </c>
      <c r="E200" s="2907">
        <v>21492.6</v>
      </c>
      <c r="F200" s="2907">
        <v>101</v>
      </c>
      <c r="G200" s="2907">
        <v>7457.3</v>
      </c>
      <c r="H200" s="2907">
        <v>82.1</v>
      </c>
      <c r="I200" s="2907">
        <v>30331</v>
      </c>
      <c r="J200" s="2907">
        <v>109.4</v>
      </c>
      <c r="K200" s="2907">
        <v>542.29999999999995</v>
      </c>
      <c r="L200" s="2907">
        <v>103.7</v>
      </c>
      <c r="M200" s="2907">
        <v>-0.6</v>
      </c>
      <c r="N200" s="2907">
        <v>1.5597100856908952</v>
      </c>
      <c r="O200" s="2907">
        <v>2.819826599999999</v>
      </c>
    </row>
    <row r="201" spans="1:15" ht="15" hidden="1" customHeight="1">
      <c r="A201" s="2905" t="s">
        <v>25</v>
      </c>
      <c r="B201" s="2907">
        <v>50345.8</v>
      </c>
      <c r="C201" s="2907">
        <v>100.7</v>
      </c>
      <c r="D201" s="2907">
        <v>115</v>
      </c>
      <c r="E201" s="2907">
        <v>25325.200000000001</v>
      </c>
      <c r="F201" s="2907">
        <v>100.9</v>
      </c>
      <c r="G201" s="2907">
        <v>8953.6</v>
      </c>
      <c r="H201" s="2907">
        <v>87.2</v>
      </c>
      <c r="I201" s="2907">
        <v>34786.300000000003</v>
      </c>
      <c r="J201" s="2907">
        <v>109.5</v>
      </c>
      <c r="K201" s="2907">
        <v>541.20000000000005</v>
      </c>
      <c r="L201" s="2907">
        <v>103.1</v>
      </c>
      <c r="M201" s="2907">
        <v>0.863519299999993</v>
      </c>
      <c r="N201" s="2907">
        <v>2.2330331218079209</v>
      </c>
      <c r="O201" s="2907">
        <v>2.7462036000000012</v>
      </c>
    </row>
    <row r="202" spans="1:15" ht="15" hidden="1" customHeight="1">
      <c r="A202" s="2905" t="s">
        <v>26</v>
      </c>
      <c r="B202" s="2907">
        <v>57766.2</v>
      </c>
      <c r="C202" s="2907">
        <v>100.8</v>
      </c>
      <c r="D202" s="2907">
        <v>114.9</v>
      </c>
      <c r="E202" s="2907">
        <v>29147.8</v>
      </c>
      <c r="F202" s="2907">
        <v>101.1</v>
      </c>
      <c r="G202" s="2907">
        <v>10148.700000000001</v>
      </c>
      <c r="H202" s="2907">
        <v>88.5</v>
      </c>
      <c r="I202" s="2907">
        <v>39690.300000000003</v>
      </c>
      <c r="J202" s="2907">
        <v>109.5</v>
      </c>
      <c r="K202" s="2907">
        <v>540.5</v>
      </c>
      <c r="L202" s="2907">
        <v>102.8</v>
      </c>
      <c r="M202" s="2907">
        <v>0.24849059999999668</v>
      </c>
      <c r="N202" s="2907">
        <v>1.7449265871074715</v>
      </c>
      <c r="O202" s="2907">
        <v>2.6338587000000047</v>
      </c>
    </row>
    <row r="203" spans="1:15" ht="15" hidden="1" customHeight="1">
      <c r="A203" s="2905" t="s">
        <v>27</v>
      </c>
      <c r="B203" s="2907">
        <v>65106.8</v>
      </c>
      <c r="C203" s="2907">
        <v>100.8</v>
      </c>
      <c r="D203" s="2907">
        <v>114.5</v>
      </c>
      <c r="E203" s="2907">
        <v>33014.9</v>
      </c>
      <c r="F203" s="2907">
        <v>101.1</v>
      </c>
      <c r="G203" s="2907">
        <v>11482.7</v>
      </c>
      <c r="H203" s="2907">
        <v>88.7</v>
      </c>
      <c r="I203" s="2907">
        <v>43871.5</v>
      </c>
      <c r="J203" s="2907">
        <v>109.2</v>
      </c>
      <c r="K203" s="2907">
        <v>540</v>
      </c>
      <c r="L203" s="2907">
        <v>102.8</v>
      </c>
      <c r="M203" s="2907">
        <v>0.16350239999999872</v>
      </c>
      <c r="N203" s="2907">
        <v>0.79947047735544174</v>
      </c>
      <c r="O203" s="2907">
        <v>2.4469679999999983</v>
      </c>
    </row>
    <row r="204" spans="1:15" ht="15" hidden="1" customHeight="1">
      <c r="A204" s="2905" t="s">
        <v>28</v>
      </c>
      <c r="B204" s="2907">
        <v>72432.100000000006</v>
      </c>
      <c r="C204" s="2907">
        <v>101</v>
      </c>
      <c r="D204" s="2907">
        <v>114</v>
      </c>
      <c r="E204" s="2907">
        <v>36925.300000000003</v>
      </c>
      <c r="F204" s="2907">
        <v>101.4</v>
      </c>
      <c r="G204" s="2907">
        <v>12899.4</v>
      </c>
      <c r="H204" s="2907">
        <v>91.2</v>
      </c>
      <c r="I204" s="2907">
        <v>47368.800000000003</v>
      </c>
      <c r="J204" s="2907">
        <v>109.2</v>
      </c>
      <c r="K204" s="2907">
        <v>540.1</v>
      </c>
      <c r="L204" s="2907">
        <v>102.9</v>
      </c>
      <c r="M204" s="2907">
        <v>0.6</v>
      </c>
      <c r="N204" s="2907">
        <v>1.2023098669190944</v>
      </c>
      <c r="O204" s="2907">
        <v>2.2999999999999998</v>
      </c>
    </row>
    <row r="205" spans="1:15" ht="15" hidden="1" customHeight="1">
      <c r="A205" s="2905" t="s">
        <v>29</v>
      </c>
      <c r="B205" s="2907">
        <v>80092</v>
      </c>
      <c r="C205" s="2907">
        <v>101.5</v>
      </c>
      <c r="D205" s="2907">
        <v>111.5</v>
      </c>
      <c r="E205" s="2907">
        <v>41588.6</v>
      </c>
      <c r="F205" s="2907">
        <v>102</v>
      </c>
      <c r="G205" s="2907">
        <v>17244.8629</v>
      </c>
      <c r="H205" s="2907">
        <v>95.7</v>
      </c>
      <c r="I205" s="2907">
        <v>53103.7</v>
      </c>
      <c r="J205" s="2907">
        <v>109.2</v>
      </c>
      <c r="K205" s="2907">
        <v>544.1</v>
      </c>
      <c r="L205" s="2907">
        <v>103</v>
      </c>
      <c r="M205" s="2907">
        <v>0.8</v>
      </c>
      <c r="N205" s="2907">
        <v>1.5307219797211928</v>
      </c>
      <c r="O205" s="2907">
        <v>2.2999999999999998</v>
      </c>
    </row>
    <row r="206" spans="1:15" ht="15" customHeight="1">
      <c r="A206" s="2905" t="s">
        <v>2171</v>
      </c>
      <c r="B206" s="2906">
        <v>81896.2</v>
      </c>
      <c r="C206" s="2906">
        <v>102.5</v>
      </c>
      <c r="D206" s="2906">
        <v>99.8</v>
      </c>
      <c r="E206" s="2906">
        <v>44481.8</v>
      </c>
      <c r="F206" s="2906">
        <v>104</v>
      </c>
      <c r="G206" s="2906">
        <v>18539.476500000001</v>
      </c>
      <c r="H206" s="2906" t="s">
        <v>2909</v>
      </c>
      <c r="I206" s="2906">
        <v>56769</v>
      </c>
      <c r="J206" s="2906">
        <v>107.4</v>
      </c>
      <c r="K206" s="2906">
        <v>634.79999999999995</v>
      </c>
      <c r="L206" s="2906">
        <v>116.6</v>
      </c>
      <c r="M206" s="2906">
        <v>0.53637389999999996</v>
      </c>
      <c r="N206" s="2906">
        <f>+N218</f>
        <v>2.3623765746619227</v>
      </c>
      <c r="O206" s="2906">
        <v>2.6083398</v>
      </c>
    </row>
    <row r="207" spans="1:15" ht="15" hidden="1" customHeight="1">
      <c r="A207" s="2905" t="s">
        <v>18</v>
      </c>
      <c r="B207" s="2907">
        <v>5929.5</v>
      </c>
      <c r="C207" s="2907">
        <v>102.9</v>
      </c>
      <c r="D207" s="2907">
        <v>99</v>
      </c>
      <c r="E207" s="2907">
        <v>3103.4</v>
      </c>
      <c r="F207" s="2907">
        <v>102.7</v>
      </c>
      <c r="G207" s="2907">
        <v>868.7</v>
      </c>
      <c r="H207" s="2907">
        <v>87.5</v>
      </c>
      <c r="I207" s="2907">
        <v>3800</v>
      </c>
      <c r="J207" s="2907">
        <v>106.1</v>
      </c>
      <c r="K207" s="2907">
        <v>557.20000000000005</v>
      </c>
      <c r="L207" s="2907">
        <v>107.2</v>
      </c>
      <c r="M207" s="2907">
        <v>0.2</v>
      </c>
      <c r="N207" s="2907">
        <v>1.70947518783737</v>
      </c>
      <c r="O207" s="2907">
        <v>1.7</v>
      </c>
    </row>
    <row r="208" spans="1:15" ht="15" hidden="1" customHeight="1">
      <c r="A208" s="2905" t="s">
        <v>19</v>
      </c>
      <c r="B208" s="2907">
        <v>11484.5</v>
      </c>
      <c r="C208" s="2907">
        <v>103</v>
      </c>
      <c r="D208" s="2907">
        <v>98.6</v>
      </c>
      <c r="E208" s="2907">
        <v>5807.9</v>
      </c>
      <c r="F208" s="2907">
        <v>101.4</v>
      </c>
      <c r="G208" s="2907">
        <v>1711.2</v>
      </c>
      <c r="H208" s="2907">
        <v>90.7</v>
      </c>
      <c r="I208" s="2907">
        <v>7619.7</v>
      </c>
      <c r="J208" s="2907">
        <v>105.1</v>
      </c>
      <c r="K208" s="2907">
        <v>554.9</v>
      </c>
      <c r="L208" s="2907">
        <v>108.6</v>
      </c>
      <c r="M208" s="2907">
        <v>0.56387780000000021</v>
      </c>
      <c r="N208" s="2907">
        <v>2.1250773530578186</v>
      </c>
      <c r="O208" s="2907">
        <v>1.9174368999999984</v>
      </c>
    </row>
    <row r="209" spans="1:15" ht="15" hidden="1" customHeight="1">
      <c r="A209" s="2905" t="s">
        <v>20</v>
      </c>
      <c r="B209" s="2907">
        <v>18111.7</v>
      </c>
      <c r="C209" s="2907">
        <v>103</v>
      </c>
      <c r="D209" s="2907">
        <v>99.6</v>
      </c>
      <c r="E209" s="2907">
        <v>9140</v>
      </c>
      <c r="F209" s="2907">
        <v>101.7</v>
      </c>
      <c r="G209" s="2907">
        <v>2699.7</v>
      </c>
      <c r="H209" s="2907">
        <v>91</v>
      </c>
      <c r="I209" s="2907">
        <v>12590.6</v>
      </c>
      <c r="J209" s="2907">
        <v>105.5</v>
      </c>
      <c r="K209" s="2907">
        <v>577.6</v>
      </c>
      <c r="L209" s="2907">
        <v>108.5</v>
      </c>
      <c r="M209" s="2907">
        <v>0.60680410000000506</v>
      </c>
      <c r="N209" s="2907">
        <v>2.5327947754075808</v>
      </c>
      <c r="O209" s="2907">
        <v>2.1229443999999944</v>
      </c>
    </row>
    <row r="210" spans="1:15" ht="15" hidden="1" customHeight="1">
      <c r="A210" s="2905" t="s">
        <v>21</v>
      </c>
      <c r="B210" s="2907">
        <v>23813.4</v>
      </c>
      <c r="C210" s="2907">
        <v>102.1</v>
      </c>
      <c r="D210" s="2907">
        <v>101.1</v>
      </c>
      <c r="E210" s="2907">
        <v>11855.8</v>
      </c>
      <c r="F210" s="2907">
        <v>102.1</v>
      </c>
      <c r="G210" s="2907">
        <v>3916</v>
      </c>
      <c r="H210" s="2907">
        <v>91.9</v>
      </c>
      <c r="I210" s="2907">
        <v>17072</v>
      </c>
      <c r="J210" s="2907">
        <v>105.5</v>
      </c>
      <c r="K210" s="2907">
        <v>581.20000000000005</v>
      </c>
      <c r="L210" s="2907">
        <v>107.9</v>
      </c>
      <c r="M210" s="2907">
        <v>0.38392530000000136</v>
      </c>
      <c r="N210" s="2907">
        <v>3.1369319480089928</v>
      </c>
      <c r="O210" s="2907">
        <v>2.3764124000000066</v>
      </c>
    </row>
    <row r="211" spans="1:15" ht="15" hidden="1" customHeight="1">
      <c r="A211" s="2905" t="s">
        <v>22</v>
      </c>
      <c r="B211" s="2907">
        <v>30608.7</v>
      </c>
      <c r="C211" s="2907">
        <v>102.2</v>
      </c>
      <c r="D211" s="2907">
        <v>100.7</v>
      </c>
      <c r="E211" s="2907">
        <v>15252.1</v>
      </c>
      <c r="F211" s="2907">
        <v>102.4</v>
      </c>
      <c r="G211" s="2907">
        <v>5038.7</v>
      </c>
      <c r="H211" s="2907">
        <v>93.9</v>
      </c>
      <c r="I211" s="2907">
        <v>22164.1</v>
      </c>
      <c r="J211" s="2907">
        <v>106.8</v>
      </c>
      <c r="K211" s="2907">
        <v>583.70000000000005</v>
      </c>
      <c r="L211" s="2907">
        <v>107.9</v>
      </c>
      <c r="M211" s="2907">
        <v>-0.43077370000000315</v>
      </c>
      <c r="N211" s="2907">
        <v>2.7263124863917483</v>
      </c>
      <c r="O211" s="2907">
        <v>2.4463676999999961</v>
      </c>
    </row>
    <row r="212" spans="1:15" ht="15" hidden="1" customHeight="1">
      <c r="A212" s="2905" t="s">
        <v>23</v>
      </c>
      <c r="B212" s="2907">
        <v>37825.199999999997</v>
      </c>
      <c r="C212" s="2907">
        <v>102.4</v>
      </c>
      <c r="D212" s="2907">
        <v>100.1</v>
      </c>
      <c r="E212" s="2907">
        <v>19454.099999999999</v>
      </c>
      <c r="F212" s="2907">
        <v>103.3</v>
      </c>
      <c r="G212" s="2907">
        <v>6131.6</v>
      </c>
      <c r="H212" s="2907">
        <v>94.6</v>
      </c>
      <c r="I212" s="2907">
        <v>27355.8</v>
      </c>
      <c r="J212" s="2907">
        <v>106.6</v>
      </c>
      <c r="K212" s="2907">
        <v>585.20000000000005</v>
      </c>
      <c r="L212" s="2907">
        <v>108.2</v>
      </c>
      <c r="M212" s="2907">
        <v>-0.5</v>
      </c>
      <c r="N212" s="2907">
        <v>2.9239489797076317</v>
      </c>
      <c r="O212" s="2907">
        <v>2.5</v>
      </c>
    </row>
    <row r="213" spans="1:15" ht="15" hidden="1" customHeight="1">
      <c r="A213" s="2905" t="s">
        <v>24</v>
      </c>
      <c r="B213" s="2907">
        <v>44473.1</v>
      </c>
      <c r="C213" s="2907">
        <v>102.5</v>
      </c>
      <c r="D213" s="2907">
        <v>99.4</v>
      </c>
      <c r="E213" s="2907">
        <v>23079.8</v>
      </c>
      <c r="F213" s="2907">
        <v>103</v>
      </c>
      <c r="G213" s="2907">
        <v>7395.5</v>
      </c>
      <c r="H213" s="2907">
        <v>97.3</v>
      </c>
      <c r="I213" s="2907">
        <v>32218.799999999999</v>
      </c>
      <c r="J213" s="2907">
        <v>106.6</v>
      </c>
      <c r="K213" s="2907">
        <v>587.70000000000005</v>
      </c>
      <c r="L213" s="2907">
        <v>108.4</v>
      </c>
      <c r="M213" s="2907">
        <v>5.4304000000001906E-2</v>
      </c>
      <c r="N213" s="2907">
        <v>3.5920883790815594</v>
      </c>
      <c r="O213" s="2907">
        <v>2.7</v>
      </c>
    </row>
    <row r="214" spans="1:15" ht="15" hidden="1" customHeight="1">
      <c r="A214" s="2905" t="s">
        <v>25</v>
      </c>
      <c r="B214" s="2907">
        <v>50875.7</v>
      </c>
      <c r="C214" s="2907">
        <v>102.4</v>
      </c>
      <c r="D214" s="2907">
        <v>98.7</v>
      </c>
      <c r="E214" s="2907">
        <v>26588.5</v>
      </c>
      <c r="F214" s="2907">
        <v>103.1</v>
      </c>
      <c r="G214" s="2907">
        <v>8627.2000000000007</v>
      </c>
      <c r="H214" s="2907">
        <v>94.6</v>
      </c>
      <c r="I214" s="2907">
        <v>36861.599999999999</v>
      </c>
      <c r="J214" s="2907">
        <v>106.4</v>
      </c>
      <c r="K214" s="2907">
        <v>589.29999999999995</v>
      </c>
      <c r="L214" s="2907">
        <v>108.9</v>
      </c>
      <c r="M214" s="2907">
        <v>-0.31973089999999615</v>
      </c>
      <c r="N214" s="2907">
        <v>2.3768287872722738</v>
      </c>
      <c r="O214" s="2907">
        <v>2.6389558999999991</v>
      </c>
    </row>
    <row r="215" spans="1:15" ht="15" hidden="1" customHeight="1">
      <c r="A215" s="2905" t="s">
        <v>26</v>
      </c>
      <c r="B215" s="2907">
        <v>58464.2</v>
      </c>
      <c r="C215" s="2907">
        <v>102.5</v>
      </c>
      <c r="D215" s="2907">
        <v>98.8</v>
      </c>
      <c r="E215" s="2907">
        <v>31141.9</v>
      </c>
      <c r="F215" s="2907">
        <v>103.5</v>
      </c>
      <c r="G215" s="2907">
        <v>10146.200000000001</v>
      </c>
      <c r="H215" s="2907">
        <v>98.1</v>
      </c>
      <c r="I215" s="2907">
        <v>42202.7</v>
      </c>
      <c r="J215" s="2907">
        <v>106.7</v>
      </c>
      <c r="K215" s="2907">
        <v>603.5</v>
      </c>
      <c r="L215" s="2907">
        <v>111.7</v>
      </c>
      <c r="M215" s="2907">
        <v>0.34683900000000001</v>
      </c>
      <c r="N215" s="2907">
        <v>2.4772651853471217</v>
      </c>
      <c r="O215" s="2907">
        <v>2.6209711000000002</v>
      </c>
    </row>
    <row r="216" spans="1:15" ht="15" hidden="1" customHeight="1">
      <c r="A216" s="2905" t="s">
        <v>27</v>
      </c>
      <c r="B216" s="2907">
        <v>65415.1</v>
      </c>
      <c r="C216" s="2907">
        <v>102.1</v>
      </c>
      <c r="D216" s="2907">
        <v>98.4</v>
      </c>
      <c r="E216" s="2907">
        <v>35177</v>
      </c>
      <c r="F216" s="2907">
        <v>103.6</v>
      </c>
      <c r="G216" s="2907">
        <v>11407.4</v>
      </c>
      <c r="H216" s="2907">
        <v>97.4</v>
      </c>
      <c r="I216" s="2907">
        <v>46705.8</v>
      </c>
      <c r="J216" s="2907">
        <v>106.9</v>
      </c>
      <c r="K216" s="2907">
        <v>614.20000000000005</v>
      </c>
      <c r="L216" s="2907">
        <v>113.7</v>
      </c>
      <c r="M216" s="2907">
        <v>0.41676990000000003</v>
      </c>
      <c r="N216" s="2907">
        <v>2.7363831288938769</v>
      </c>
      <c r="O216" s="2907">
        <v>2.6325403999999999</v>
      </c>
    </row>
    <row r="217" spans="1:15" ht="15" hidden="1" customHeight="1">
      <c r="A217" s="2905" t="s">
        <v>28</v>
      </c>
      <c r="B217" s="2907">
        <v>72852.2</v>
      </c>
      <c r="C217" s="2907">
        <v>102.1</v>
      </c>
      <c r="D217" s="2907">
        <v>99.1</v>
      </c>
      <c r="E217" s="2907">
        <v>39470.400000000001</v>
      </c>
      <c r="F217" s="2907">
        <v>103.5</v>
      </c>
      <c r="G217" s="2907">
        <v>12786.9</v>
      </c>
      <c r="H217" s="2907">
        <v>97.2</v>
      </c>
      <c r="I217" s="2907">
        <v>50845.1</v>
      </c>
      <c r="J217" s="2907">
        <v>107.4</v>
      </c>
      <c r="K217" s="2907">
        <v>623.1</v>
      </c>
      <c r="L217" s="2907">
        <v>115.4</v>
      </c>
      <c r="M217" s="2907">
        <v>0.46384160000000002</v>
      </c>
      <c r="N217" s="2907">
        <v>2.6162126579531275</v>
      </c>
      <c r="O217" s="2907">
        <v>2.6310449</v>
      </c>
    </row>
    <row r="218" spans="1:15" ht="15" hidden="1" customHeight="1">
      <c r="A218" s="2905" t="s">
        <v>29</v>
      </c>
      <c r="B218" s="2907">
        <v>81896.2</v>
      </c>
      <c r="C218" s="2907">
        <v>102.5</v>
      </c>
      <c r="D218" s="2907">
        <v>99.8</v>
      </c>
      <c r="E218" s="2907">
        <v>44481.8</v>
      </c>
      <c r="F218" s="2907">
        <v>104</v>
      </c>
      <c r="G218" s="2907">
        <v>18539.476500000001</v>
      </c>
      <c r="H218" s="2907" t="s">
        <v>2909</v>
      </c>
      <c r="I218" s="2907">
        <v>56769</v>
      </c>
      <c r="J218" s="2907">
        <v>107.4</v>
      </c>
      <c r="K218" s="2907">
        <v>634.79999999999995</v>
      </c>
      <c r="L218" s="2907">
        <v>116.6</v>
      </c>
      <c r="M218" s="2907">
        <v>0.53637389999999996</v>
      </c>
      <c r="N218" s="2907">
        <v>2.3623765746619227</v>
      </c>
      <c r="O218" s="2907">
        <v>2.6083398</v>
      </c>
    </row>
    <row r="219" spans="1:15" ht="15" customHeight="1">
      <c r="A219" s="2905" t="s">
        <v>2407</v>
      </c>
      <c r="B219" s="2906">
        <v>72578.100000000006</v>
      </c>
      <c r="C219" s="2906">
        <v>95.8</v>
      </c>
      <c r="D219" s="2906">
        <v>92.4</v>
      </c>
      <c r="E219" s="2906">
        <v>45312.2</v>
      </c>
      <c r="F219" s="2906">
        <v>97.1</v>
      </c>
      <c r="G219" s="2906">
        <v>17226.110700000001</v>
      </c>
      <c r="H219" s="2906">
        <v>92.7</v>
      </c>
      <c r="I219" s="2906">
        <v>55754.1</v>
      </c>
      <c r="J219" s="2906">
        <v>98.2</v>
      </c>
      <c r="K219" s="2906">
        <v>707.3</v>
      </c>
      <c r="L219" s="2906">
        <v>111.4</v>
      </c>
      <c r="M219" s="2906">
        <v>0.79115939999999996</v>
      </c>
      <c r="N219" s="2906">
        <f>+N231</f>
        <v>2.6114420662024571</v>
      </c>
      <c r="O219" s="2906">
        <v>2.7598847000000002</v>
      </c>
    </row>
    <row r="220" spans="1:15" ht="15" customHeight="1">
      <c r="A220" s="2909" t="s">
        <v>18</v>
      </c>
      <c r="B220" s="2907">
        <v>6646.9</v>
      </c>
      <c r="C220" s="2907">
        <v>102.4</v>
      </c>
      <c r="D220" s="2907">
        <v>102.3</v>
      </c>
      <c r="E220" s="2907">
        <v>3381.9</v>
      </c>
      <c r="F220" s="2907">
        <v>104.8</v>
      </c>
      <c r="G220" s="2907">
        <v>996.7</v>
      </c>
      <c r="H220" s="2907">
        <v>112.6</v>
      </c>
      <c r="I220" s="2907">
        <v>4057.5</v>
      </c>
      <c r="J220" s="2907">
        <v>106.8</v>
      </c>
      <c r="K220" s="2907">
        <v>712.1</v>
      </c>
      <c r="L220" s="2907">
        <v>127.8</v>
      </c>
      <c r="M220" s="2907">
        <v>0.6</v>
      </c>
      <c r="N220" s="2907">
        <v>2.7459699081494193</v>
      </c>
      <c r="O220" s="2907">
        <v>2.7</v>
      </c>
    </row>
    <row r="221" spans="1:15" ht="15" customHeight="1">
      <c r="A221" s="2909" t="s">
        <v>19</v>
      </c>
      <c r="B221" s="2907">
        <v>12504</v>
      </c>
      <c r="C221" s="2907">
        <v>102.8</v>
      </c>
      <c r="D221" s="2907">
        <v>102.3</v>
      </c>
      <c r="E221" s="2907">
        <v>6600.1</v>
      </c>
      <c r="F221" s="2907">
        <v>106.7</v>
      </c>
      <c r="G221" s="2907">
        <v>1965.2</v>
      </c>
      <c r="H221" s="2907">
        <v>112.7</v>
      </c>
      <c r="I221" s="2907">
        <v>8301.5</v>
      </c>
      <c r="J221" s="2907">
        <v>108.9</v>
      </c>
      <c r="K221" s="2907">
        <v>712.3</v>
      </c>
      <c r="L221" s="2907">
        <v>128.4</v>
      </c>
      <c r="M221" s="2907">
        <v>0.70653160000000526</v>
      </c>
      <c r="N221" s="2907">
        <v>2.8917190912828943</v>
      </c>
      <c r="O221" s="2907">
        <v>2.8187254999999993</v>
      </c>
    </row>
    <row r="222" spans="1:15" ht="15" customHeight="1">
      <c r="A222" s="2909" t="s">
        <v>20</v>
      </c>
      <c r="B222" s="2907">
        <v>17928.099999999999</v>
      </c>
      <c r="C222" s="2907">
        <v>101.1</v>
      </c>
      <c r="D222" s="2907">
        <v>98.1</v>
      </c>
      <c r="E222" s="2907">
        <v>10077.9</v>
      </c>
      <c r="F222" s="2907">
        <v>103.5</v>
      </c>
      <c r="G222" s="2907">
        <v>2929.4</v>
      </c>
      <c r="H222" s="2907">
        <v>106.5</v>
      </c>
      <c r="I222" s="2907">
        <v>13442.5</v>
      </c>
      <c r="J222" s="2907">
        <v>106.8</v>
      </c>
      <c r="K222" s="2907">
        <v>744.5</v>
      </c>
      <c r="L222" s="2907">
        <v>128.9</v>
      </c>
      <c r="M222" s="2907">
        <v>0.97766120000000001</v>
      </c>
      <c r="N222" s="2907">
        <v>3.270998851708228</v>
      </c>
      <c r="O222" s="2907">
        <v>2.9702656999999988</v>
      </c>
    </row>
    <row r="223" spans="1:15" ht="15" customHeight="1">
      <c r="A223" s="2909" t="s">
        <v>21</v>
      </c>
      <c r="B223" s="2907">
        <v>22674</v>
      </c>
      <c r="C223" s="2907">
        <v>100.2</v>
      </c>
      <c r="D223" s="2907">
        <v>92.2</v>
      </c>
      <c r="E223" s="2907">
        <v>12610.4</v>
      </c>
      <c r="F223" s="2907">
        <v>99.2</v>
      </c>
      <c r="G223" s="2907">
        <v>3903.5</v>
      </c>
      <c r="H223" s="2907">
        <v>99.5</v>
      </c>
      <c r="I223" s="2907">
        <v>17145.7</v>
      </c>
      <c r="J223" s="2907">
        <v>101.3</v>
      </c>
      <c r="K223" s="2907">
        <v>736.2</v>
      </c>
      <c r="L223" s="2907">
        <v>126.7</v>
      </c>
      <c r="M223" s="2907">
        <v>8.5501300000004221E-2</v>
      </c>
      <c r="N223" s="2907">
        <v>2.963992082753748</v>
      </c>
      <c r="O223" s="2907">
        <v>2.9686040999999932</v>
      </c>
    </row>
    <row r="224" spans="1:15" ht="15" customHeight="1">
      <c r="A224" s="2909" t="s">
        <v>22</v>
      </c>
      <c r="B224" s="2907">
        <v>27640.6</v>
      </c>
      <c r="C224" s="2907">
        <v>98.3</v>
      </c>
      <c r="D224" s="2907">
        <v>91.2</v>
      </c>
      <c r="E224" s="2907">
        <v>15796.5</v>
      </c>
      <c r="F224" s="2907">
        <v>97.9</v>
      </c>
      <c r="G224" s="2907">
        <v>4907.6000000000004</v>
      </c>
      <c r="H224" s="2907">
        <v>97.2</v>
      </c>
      <c r="I224" s="2907">
        <v>22382.1</v>
      </c>
      <c r="J224" s="2907">
        <v>101.3</v>
      </c>
      <c r="K224" s="2907">
        <v>728.9</v>
      </c>
      <c r="L224" s="2907">
        <v>124.9</v>
      </c>
      <c r="M224" s="2907">
        <v>-0.51617000000000246</v>
      </c>
      <c r="N224" s="2907">
        <v>2.8756842362048332</v>
      </c>
      <c r="O224" s="2907">
        <v>2.9499110000000002</v>
      </c>
    </row>
    <row r="225" spans="1:17" ht="15" customHeight="1">
      <c r="A225" s="2909" t="s">
        <v>23</v>
      </c>
      <c r="B225" s="2907">
        <v>34378.699999999997</v>
      </c>
      <c r="C225" s="2907">
        <v>97.3</v>
      </c>
      <c r="D225" s="2907">
        <v>90.4</v>
      </c>
      <c r="E225" s="2907">
        <v>20155</v>
      </c>
      <c r="F225" s="2907">
        <v>97.6</v>
      </c>
      <c r="G225" s="2907">
        <v>5956.2</v>
      </c>
      <c r="H225" s="2907">
        <v>97.3</v>
      </c>
      <c r="I225" s="2907">
        <v>27377.8</v>
      </c>
      <c r="J225" s="2907">
        <v>100.6</v>
      </c>
      <c r="K225" s="2907">
        <v>720</v>
      </c>
      <c r="L225" s="2907">
        <v>123</v>
      </c>
      <c r="M225" s="2907">
        <v>-0.32989030000000241</v>
      </c>
      <c r="N225" s="2907">
        <v>3.0174684472909803</v>
      </c>
      <c r="O225" s="2907">
        <v>2.9610950000000003</v>
      </c>
    </row>
    <row r="226" spans="1:17" ht="15" customHeight="1">
      <c r="A226" s="2909" t="s">
        <v>24</v>
      </c>
      <c r="B226" s="2907">
        <v>40325.199999999997</v>
      </c>
      <c r="C226" s="2907">
        <v>97.2</v>
      </c>
      <c r="D226" s="2907">
        <v>91.2</v>
      </c>
      <c r="E226" s="2907">
        <v>24082.9</v>
      </c>
      <c r="F226" s="2907">
        <v>98.5</v>
      </c>
      <c r="G226" s="2907">
        <v>7588.3</v>
      </c>
      <c r="H226" s="2907">
        <v>102.6</v>
      </c>
      <c r="I226" s="2907">
        <v>32144.799999999999</v>
      </c>
      <c r="J226" s="2907">
        <v>100.2</v>
      </c>
      <c r="K226" s="2907">
        <v>715.4</v>
      </c>
      <c r="L226" s="2907">
        <v>121.7</v>
      </c>
      <c r="M226" s="2907">
        <v>-0.27575589999999295</v>
      </c>
      <c r="N226" s="2907">
        <v>2.6776336378462702</v>
      </c>
      <c r="O226" s="2907">
        <v>2.9206022000000047</v>
      </c>
    </row>
    <row r="227" spans="1:17" ht="15" customHeight="1">
      <c r="A227" s="2909" t="s">
        <v>25</v>
      </c>
      <c r="B227" s="2907">
        <v>46113.2</v>
      </c>
      <c r="C227" s="2907">
        <v>97</v>
      </c>
      <c r="D227" s="2907">
        <v>91.4</v>
      </c>
      <c r="E227" s="2907">
        <v>27634.400000000001</v>
      </c>
      <c r="F227" s="2907">
        <v>98.4</v>
      </c>
      <c r="G227" s="2907">
        <v>8682.4</v>
      </c>
      <c r="H227" s="2907">
        <v>100.7</v>
      </c>
      <c r="I227" s="2907">
        <v>36809.4</v>
      </c>
      <c r="J227" s="2907">
        <v>100.1</v>
      </c>
      <c r="K227" s="2907">
        <v>710.2</v>
      </c>
      <c r="L227" s="2907">
        <v>120.5</v>
      </c>
      <c r="M227" s="2907">
        <v>-0.1802016999999978</v>
      </c>
      <c r="N227" s="2907">
        <v>2.8213584512795791</v>
      </c>
      <c r="O227" s="2907">
        <v>2.9082039000000037</v>
      </c>
    </row>
    <row r="228" spans="1:17" ht="15" customHeight="1">
      <c r="A228" s="2905" t="s">
        <v>26</v>
      </c>
      <c r="B228" s="2907">
        <v>52344.3</v>
      </c>
      <c r="C228" s="2907">
        <v>96.1</v>
      </c>
      <c r="D228" s="2907">
        <v>91.7</v>
      </c>
      <c r="E228" s="2907">
        <v>31778</v>
      </c>
      <c r="F228" s="2907">
        <v>97.7</v>
      </c>
      <c r="G228" s="2907">
        <v>10430.200000000001</v>
      </c>
      <c r="H228" s="2907">
        <v>96.2</v>
      </c>
      <c r="I228" s="2907">
        <v>41609</v>
      </c>
      <c r="J228" s="2907">
        <v>99.1</v>
      </c>
      <c r="K228" s="2907">
        <v>706.6</v>
      </c>
      <c r="L228" s="2907">
        <v>117.1</v>
      </c>
      <c r="M228" s="2907">
        <v>0.10774539999999888</v>
      </c>
      <c r="N228" s="2907">
        <v>2.5763688831577127</v>
      </c>
      <c r="O228" s="2907">
        <v>2.8713098000000059</v>
      </c>
    </row>
    <row r="229" spans="1:17" ht="15" customHeight="1">
      <c r="A229" s="2905" t="s">
        <v>27</v>
      </c>
      <c r="B229" s="2907">
        <v>58454.400000000001</v>
      </c>
      <c r="C229" s="2907">
        <v>96.2</v>
      </c>
      <c r="D229" s="2907">
        <v>92.3</v>
      </c>
      <c r="E229" s="2907">
        <v>36031</v>
      </c>
      <c r="F229" s="2907">
        <v>97.7</v>
      </c>
      <c r="G229" s="2907">
        <v>11540.2</v>
      </c>
      <c r="H229" s="2907">
        <v>97.9</v>
      </c>
      <c r="I229" s="2907">
        <v>46056.800000000003</v>
      </c>
      <c r="J229" s="2907">
        <v>98.6</v>
      </c>
      <c r="K229" s="2907">
        <v>704.5</v>
      </c>
      <c r="L229" s="2907">
        <v>114.7</v>
      </c>
      <c r="M229" s="2907">
        <v>0.16727899999999352</v>
      </c>
      <c r="N229" s="2907">
        <v>2.3215123425930386</v>
      </c>
      <c r="O229" s="2907">
        <v>2.8161080999999939</v>
      </c>
    </row>
    <row r="230" spans="1:17" ht="15" customHeight="1">
      <c r="A230" s="2905" t="s">
        <v>28</v>
      </c>
      <c r="B230" s="2907">
        <v>64441.3</v>
      </c>
      <c r="C230" s="2907">
        <v>95.7</v>
      </c>
      <c r="D230" s="2907">
        <v>92.5</v>
      </c>
      <c r="E230" s="2907">
        <v>39926.9</v>
      </c>
      <c r="F230" s="2907">
        <v>97.2</v>
      </c>
      <c r="G230" s="2907">
        <v>12716.6</v>
      </c>
      <c r="H230" s="2907">
        <v>96</v>
      </c>
      <c r="I230" s="2907">
        <v>50173.1</v>
      </c>
      <c r="J230" s="2907">
        <v>98.7</v>
      </c>
      <c r="K230" s="2907">
        <v>703.5</v>
      </c>
      <c r="L230" s="2907">
        <v>112.9</v>
      </c>
      <c r="M230" s="2907">
        <v>0.49382989999999399</v>
      </c>
      <c r="N230" s="2907">
        <v>2.3520551544118575</v>
      </c>
      <c r="O230" s="2907">
        <v>2.7735813999999999</v>
      </c>
    </row>
    <row r="231" spans="1:17" ht="15" customHeight="1">
      <c r="A231" s="2905" t="s">
        <v>29</v>
      </c>
      <c r="B231" s="2907">
        <v>72578.100000000006</v>
      </c>
      <c r="C231" s="2907">
        <v>95.8</v>
      </c>
      <c r="D231" s="2907">
        <v>92.5</v>
      </c>
      <c r="E231" s="2907">
        <v>45312.2</v>
      </c>
      <c r="F231" s="2907">
        <v>97.1</v>
      </c>
      <c r="G231" s="2907">
        <v>17226.110700000001</v>
      </c>
      <c r="H231" s="2907">
        <v>92.7</v>
      </c>
      <c r="I231" s="2907">
        <v>55754.1</v>
      </c>
      <c r="J231" s="2907">
        <v>98.2</v>
      </c>
      <c r="K231" s="2907">
        <v>707.3</v>
      </c>
      <c r="L231" s="2907">
        <v>111.4</v>
      </c>
      <c r="M231" s="2907">
        <v>0.79115939999999996</v>
      </c>
      <c r="N231" s="2907">
        <v>2.6114420662024571</v>
      </c>
      <c r="O231" s="2907">
        <v>2.7598847000000002</v>
      </c>
    </row>
    <row r="232" spans="1:17" ht="15" customHeight="1">
      <c r="A232" s="2905" t="s">
        <v>2583</v>
      </c>
      <c r="B232" s="2906">
        <v>93203.199999999997</v>
      </c>
      <c r="C232" s="2906">
        <v>105.6</v>
      </c>
      <c r="D232" s="2906">
        <v>121.3</v>
      </c>
      <c r="E232" s="2906">
        <v>51122.2</v>
      </c>
      <c r="F232" s="2906">
        <v>107.1</v>
      </c>
      <c r="G232" s="2906">
        <v>16815.458999999999</v>
      </c>
      <c r="H232" s="2906">
        <v>95.5</v>
      </c>
      <c r="I232" s="2906">
        <v>57181.5</v>
      </c>
      <c r="J232" s="2906">
        <v>102.6</v>
      </c>
      <c r="K232" s="2906">
        <v>732.1</v>
      </c>
      <c r="L232" s="2906">
        <v>103.4</v>
      </c>
      <c r="M232" s="2906">
        <v>1.5861479999999943</v>
      </c>
      <c r="N232" s="2906">
        <f>+N244</f>
        <v>11.97139806863818</v>
      </c>
      <c r="O232" s="2906">
        <v>6.650326899999996</v>
      </c>
    </row>
    <row r="233" spans="1:17" ht="15" customHeight="1">
      <c r="A233" s="2905" t="s">
        <v>18</v>
      </c>
      <c r="B233" s="2907">
        <v>6256.8</v>
      </c>
      <c r="C233" s="2907">
        <v>97.5</v>
      </c>
      <c r="D233" s="2907">
        <v>96.5</v>
      </c>
      <c r="E233" s="2907">
        <v>3444.7</v>
      </c>
      <c r="F233" s="2907">
        <v>100.1</v>
      </c>
      <c r="G233" s="2907">
        <v>724</v>
      </c>
      <c r="H233" s="2907">
        <v>72.5</v>
      </c>
      <c r="I233" s="2907">
        <v>4011.2</v>
      </c>
      <c r="J233" s="2907">
        <v>98.7</v>
      </c>
      <c r="K233" s="2907">
        <v>690.9</v>
      </c>
      <c r="L233" s="2907">
        <v>97</v>
      </c>
      <c r="M233" s="2907">
        <v>1.1999966000000057</v>
      </c>
      <c r="N233" s="2907">
        <v>3.2582790891587479</v>
      </c>
      <c r="O233" s="2907">
        <v>3.2582790999999958</v>
      </c>
      <c r="Q233" s="1669"/>
    </row>
    <row r="234" spans="1:17" ht="15" customHeight="1">
      <c r="A234" s="2905" t="s">
        <v>19</v>
      </c>
      <c r="B234" s="2907">
        <v>12419.7</v>
      </c>
      <c r="C234" s="2907">
        <v>96.8</v>
      </c>
      <c r="D234" s="2907">
        <v>99.3</v>
      </c>
      <c r="E234" s="2907">
        <v>6611.4</v>
      </c>
      <c r="F234" s="2907">
        <v>99.6</v>
      </c>
      <c r="G234" s="2907">
        <v>1338.4</v>
      </c>
      <c r="H234" s="2907">
        <v>68</v>
      </c>
      <c r="I234" s="2907">
        <v>7979.9</v>
      </c>
      <c r="J234" s="2907">
        <v>95.8</v>
      </c>
      <c r="K234" s="2907">
        <v>692.3</v>
      </c>
      <c r="L234" s="2907">
        <v>97.2</v>
      </c>
      <c r="M234" s="2907">
        <v>1.6311450000000036</v>
      </c>
      <c r="N234" s="2907">
        <v>4.2063207602391515</v>
      </c>
      <c r="O234" s="2907">
        <v>3.7339685999999972</v>
      </c>
    </row>
    <row r="235" spans="1:17" ht="15" customHeight="1">
      <c r="A235" s="2905" t="s">
        <v>20</v>
      </c>
      <c r="B235" s="2907">
        <v>19181.900000000001</v>
      </c>
      <c r="C235" s="2907">
        <v>98.7</v>
      </c>
      <c r="D235" s="2907">
        <v>106.9</v>
      </c>
      <c r="E235" s="2907">
        <v>10413.299999999999</v>
      </c>
      <c r="F235" s="2907">
        <v>102.1</v>
      </c>
      <c r="G235" s="2907">
        <v>2365.1999999999998</v>
      </c>
      <c r="H235" s="2907">
        <v>80.599999999999994</v>
      </c>
      <c r="I235" s="2907">
        <v>13455.9</v>
      </c>
      <c r="J235" s="2907">
        <v>98.9</v>
      </c>
      <c r="K235" s="2907">
        <v>713.2</v>
      </c>
      <c r="L235" s="2907">
        <v>95.8</v>
      </c>
      <c r="M235" s="2907">
        <v>0.85630559999999889</v>
      </c>
      <c r="N235" s="2907">
        <v>4.0810849364998347</v>
      </c>
      <c r="O235" s="2907">
        <v>3.8506978000000061</v>
      </c>
    </row>
    <row r="236" spans="1:17" ht="15" customHeight="1">
      <c r="A236" s="2905" t="s">
        <v>21</v>
      </c>
      <c r="B236" s="2907">
        <v>25119.8</v>
      </c>
      <c r="C236" s="2907">
        <v>99.8</v>
      </c>
      <c r="D236" s="2907">
        <v>110.8</v>
      </c>
      <c r="E236" s="2907">
        <v>13638.4</v>
      </c>
      <c r="F236" s="2907">
        <v>104.1</v>
      </c>
      <c r="G236" s="2907">
        <v>3752.8</v>
      </c>
      <c r="H236" s="2907">
        <v>91.3</v>
      </c>
      <c r="I236" s="2907">
        <v>17037.900000000001</v>
      </c>
      <c r="J236" s="2907">
        <v>98.9</v>
      </c>
      <c r="K236" s="2907">
        <v>722.3</v>
      </c>
      <c r="L236" s="2907">
        <v>98.1</v>
      </c>
      <c r="M236" s="2907">
        <v>0.31258090000000038</v>
      </c>
      <c r="N236" s="2907">
        <v>4.3172299408007291</v>
      </c>
      <c r="O236" s="2907">
        <v>3.968178199999997</v>
      </c>
    </row>
    <row r="237" spans="1:17" ht="15" customHeight="1">
      <c r="A237" s="2905" t="s">
        <v>22</v>
      </c>
      <c r="B237" s="2907">
        <v>32126.2</v>
      </c>
      <c r="C237" s="2907">
        <v>100.8</v>
      </c>
      <c r="D237" s="2907">
        <v>113.1</v>
      </c>
      <c r="E237" s="2907">
        <v>17321.8</v>
      </c>
      <c r="F237" s="2907">
        <v>104.5</v>
      </c>
      <c r="G237" s="2907">
        <v>4907</v>
      </c>
      <c r="H237" s="2907">
        <v>94.7</v>
      </c>
      <c r="I237" s="2907">
        <v>22090</v>
      </c>
      <c r="J237" s="2907">
        <v>99.2</v>
      </c>
      <c r="K237" s="2907">
        <v>724</v>
      </c>
      <c r="L237" s="2907">
        <v>99.3</v>
      </c>
      <c r="M237" s="2907">
        <v>4.6719800000005307E-2</v>
      </c>
      <c r="N237" s="2907">
        <v>4.9074676175963674</v>
      </c>
      <c r="O237" s="2907">
        <v>4.1563464999999979</v>
      </c>
    </row>
    <row r="238" spans="1:17" ht="15" customHeight="1">
      <c r="A238" s="2905" t="s">
        <v>23</v>
      </c>
      <c r="B238" s="2907">
        <v>40763.699999999997</v>
      </c>
      <c r="C238" s="2907">
        <v>102.1</v>
      </c>
      <c r="D238" s="2907">
        <v>113.7</v>
      </c>
      <c r="E238" s="2907">
        <v>22467.5</v>
      </c>
      <c r="F238" s="2907">
        <v>105.1</v>
      </c>
      <c r="G238" s="2907">
        <v>5919.4</v>
      </c>
      <c r="H238" s="2907">
        <v>92.4</v>
      </c>
      <c r="I238" s="2907">
        <v>27580.7</v>
      </c>
      <c r="J238" s="2907">
        <v>100.4</v>
      </c>
      <c r="K238" s="2907">
        <v>724.4</v>
      </c>
      <c r="L238" s="2907">
        <v>100.6</v>
      </c>
      <c r="M238" s="2907">
        <v>-0.49214870000000133</v>
      </c>
      <c r="N238" s="2907">
        <v>4.7366830373955793</v>
      </c>
      <c r="O238" s="2907">
        <v>4.2529360999999994</v>
      </c>
    </row>
    <row r="239" spans="1:17" ht="15" customHeight="1">
      <c r="A239" s="2905" t="s">
        <v>24</v>
      </c>
      <c r="B239" s="2907">
        <v>48103.7</v>
      </c>
      <c r="C239" s="2907">
        <v>102.7</v>
      </c>
      <c r="D239" s="2907">
        <v>114.1</v>
      </c>
      <c r="E239" s="2907">
        <v>26511.9</v>
      </c>
      <c r="F239" s="2907">
        <v>105.3</v>
      </c>
      <c r="G239" s="2907">
        <v>7059.3</v>
      </c>
      <c r="H239" s="2907">
        <v>87.9</v>
      </c>
      <c r="I239" s="2907">
        <v>32321</v>
      </c>
      <c r="J239" s="2907">
        <v>100.6</v>
      </c>
      <c r="K239" s="2907">
        <v>728.5</v>
      </c>
      <c r="L239" s="2907">
        <v>101.8</v>
      </c>
      <c r="M239" s="2907">
        <v>0.91673509999999681</v>
      </c>
      <c r="N239" s="2907">
        <v>5.9891122036342495</v>
      </c>
      <c r="O239" s="2907">
        <v>4.5000825000000049</v>
      </c>
    </row>
    <row r="240" spans="1:17" ht="15" customHeight="1">
      <c r="A240" s="2905" t="s">
        <v>25</v>
      </c>
      <c r="B240" s="2907">
        <v>55576.7</v>
      </c>
      <c r="C240" s="2907">
        <v>103.6</v>
      </c>
      <c r="D240" s="2907">
        <v>114.6</v>
      </c>
      <c r="E240" s="2907">
        <v>30574.3</v>
      </c>
      <c r="F240" s="2907">
        <v>105.7</v>
      </c>
      <c r="G240" s="2907">
        <v>8259.4</v>
      </c>
      <c r="H240" s="2907">
        <v>89.9</v>
      </c>
      <c r="I240" s="2907">
        <v>37170.400000000001</v>
      </c>
      <c r="J240" s="2907">
        <v>101.2</v>
      </c>
      <c r="K240" s="2907">
        <v>725.6</v>
      </c>
      <c r="L240" s="2907">
        <v>102.2</v>
      </c>
      <c r="M240" s="2907">
        <v>0.4657703999999967</v>
      </c>
      <c r="N240" s="2907">
        <v>6.6750082939223603</v>
      </c>
      <c r="O240" s="2907">
        <v>4.770677500000005</v>
      </c>
    </row>
    <row r="241" spans="1:15" ht="15" customHeight="1">
      <c r="A241" s="2905" t="s">
        <v>26</v>
      </c>
      <c r="B241" s="2907">
        <v>63889</v>
      </c>
      <c r="C241" s="2907">
        <v>104.8</v>
      </c>
      <c r="D241" s="2907">
        <v>114.7</v>
      </c>
      <c r="E241" s="2907">
        <v>35352</v>
      </c>
      <c r="F241" s="2907">
        <v>106.2</v>
      </c>
      <c r="G241" s="2907">
        <v>9560.2000000000007</v>
      </c>
      <c r="H241" s="2907">
        <v>91.3</v>
      </c>
      <c r="I241" s="2907">
        <v>42251.7</v>
      </c>
      <c r="J241" s="2907">
        <v>102</v>
      </c>
      <c r="K241" s="2907">
        <v>723.2</v>
      </c>
      <c r="L241" s="2907">
        <v>102.3</v>
      </c>
      <c r="M241" s="2907">
        <v>1.8156395999999972</v>
      </c>
      <c r="N241" s="2907">
        <v>8.4949436767658</v>
      </c>
      <c r="O241" s="2907">
        <v>5.1831593999999939</v>
      </c>
    </row>
    <row r="242" spans="1:15" ht="15" customHeight="1">
      <c r="A242" s="2905" t="s">
        <v>27</v>
      </c>
      <c r="B242" s="2907">
        <v>72407.8</v>
      </c>
      <c r="C242" s="2907">
        <v>104.9</v>
      </c>
      <c r="D242" s="2907">
        <v>116.7</v>
      </c>
      <c r="E242" s="2907">
        <v>39913.300000000003</v>
      </c>
      <c r="F242" s="2907">
        <v>105.9</v>
      </c>
      <c r="G242" s="2907">
        <v>10568.5</v>
      </c>
      <c r="H242" s="2907">
        <v>88.5</v>
      </c>
      <c r="I242" s="2907">
        <v>47259.8</v>
      </c>
      <c r="J242" s="2907">
        <v>102.4</v>
      </c>
      <c r="K242" s="2907">
        <v>722.9</v>
      </c>
      <c r="L242" s="2907">
        <v>102.6</v>
      </c>
      <c r="M242" s="2907">
        <v>1.574101799999994</v>
      </c>
      <c r="N242" s="2907">
        <v>10.018726312901791</v>
      </c>
      <c r="O242" s="2907">
        <v>5.6660478000000012</v>
      </c>
    </row>
    <row r="243" spans="1:15" ht="15" customHeight="1">
      <c r="A243" s="2905" t="s">
        <v>28</v>
      </c>
      <c r="B243" s="2907">
        <v>81100.7</v>
      </c>
      <c r="C243" s="2907">
        <v>105.3</v>
      </c>
      <c r="D243" s="2907">
        <v>118.9</v>
      </c>
      <c r="E243" s="2907">
        <v>44419.7</v>
      </c>
      <c r="F243" s="2907">
        <v>106.4</v>
      </c>
      <c r="G243" s="2907">
        <v>11708.1</v>
      </c>
      <c r="H243" s="2907">
        <v>88.8</v>
      </c>
      <c r="I243" s="2907">
        <v>51619.3</v>
      </c>
      <c r="J243" s="2907">
        <v>102.5</v>
      </c>
      <c r="K243" s="2907">
        <v>724.1</v>
      </c>
      <c r="L243" s="2907">
        <v>102.9</v>
      </c>
      <c r="M243" s="2907">
        <v>1.4770500999999996</v>
      </c>
      <c r="N243" s="2907">
        <v>11.095137015894778</v>
      </c>
      <c r="O243" s="2907">
        <v>6.1611934000000019</v>
      </c>
    </row>
    <row r="244" spans="1:15" ht="15" customHeight="1">
      <c r="A244" s="2905" t="s">
        <v>29</v>
      </c>
      <c r="B244" s="2907">
        <v>93203.199999999997</v>
      </c>
      <c r="C244" s="2907">
        <v>105.6</v>
      </c>
      <c r="D244" s="2907">
        <v>121.6</v>
      </c>
      <c r="E244" s="2907">
        <v>51122.2</v>
      </c>
      <c r="F244" s="2907">
        <v>107.1</v>
      </c>
      <c r="G244" s="2907">
        <v>16815.458999999999</v>
      </c>
      <c r="H244" s="2907">
        <v>95.5</v>
      </c>
      <c r="I244" s="2907">
        <v>57181.5</v>
      </c>
      <c r="J244" s="2907">
        <v>102.6</v>
      </c>
      <c r="K244" s="2907">
        <v>732.1</v>
      </c>
      <c r="L244" s="2907">
        <v>103.4</v>
      </c>
      <c r="M244" s="2907">
        <v>1.5861479999999943</v>
      </c>
      <c r="N244" s="2907">
        <v>11.97139806863818</v>
      </c>
      <c r="O244" s="2907">
        <v>6.650326899999996</v>
      </c>
    </row>
    <row r="245" spans="1:15" ht="15" customHeight="1">
      <c r="A245" s="2905" t="s">
        <v>2892</v>
      </c>
      <c r="B245" s="2906">
        <v>133825.79999999999</v>
      </c>
      <c r="C245" s="2906">
        <v>104.6</v>
      </c>
      <c r="D245" s="2906">
        <v>137.30000000000001</v>
      </c>
      <c r="E245" s="2906">
        <v>61619.5</v>
      </c>
      <c r="F245" s="2906">
        <v>109</v>
      </c>
      <c r="G245" s="2906">
        <v>18272.3</v>
      </c>
      <c r="H245" s="2906">
        <v>105.5</v>
      </c>
      <c r="I245" s="2906">
        <v>69163</v>
      </c>
      <c r="J245" s="2906">
        <v>120.5</v>
      </c>
      <c r="K245" s="2906">
        <v>839.4</v>
      </c>
      <c r="L245" s="2906">
        <v>114.7</v>
      </c>
      <c r="M245" s="2906">
        <v>0.9582556000000011</v>
      </c>
      <c r="N245" s="2906">
        <f>+N257</f>
        <v>14.382451264983615</v>
      </c>
      <c r="O245" s="2906">
        <v>13.852259099999998</v>
      </c>
    </row>
    <row r="246" spans="1:15" ht="15" customHeight="1">
      <c r="A246" s="2905" t="s">
        <v>18</v>
      </c>
      <c r="B246" s="2907">
        <v>9283.5</v>
      </c>
      <c r="C246" s="2907">
        <v>105.8</v>
      </c>
      <c r="D246" s="2907">
        <v>139.5</v>
      </c>
      <c r="E246" s="2907">
        <v>4085.8</v>
      </c>
      <c r="F246" s="2907">
        <v>108.7</v>
      </c>
      <c r="G246" s="2907">
        <v>658.1</v>
      </c>
      <c r="H246" s="2907">
        <v>88.9</v>
      </c>
      <c r="I246" s="2907">
        <v>4675.8999999999996</v>
      </c>
      <c r="J246" s="2907">
        <v>115.5</v>
      </c>
      <c r="K246" s="2907">
        <v>765.9</v>
      </c>
      <c r="L246" s="2907">
        <v>110.9</v>
      </c>
      <c r="M246" s="2907">
        <v>1.6459641</v>
      </c>
      <c r="N246" s="2907">
        <v>12.464832911976657</v>
      </c>
      <c r="O246" s="2907">
        <v>12.464832899999999</v>
      </c>
    </row>
    <row r="247" spans="1:15" ht="15" customHeight="1">
      <c r="A247" s="2905" t="s">
        <v>19</v>
      </c>
      <c r="B247" s="2907">
        <v>18742.8</v>
      </c>
      <c r="C247" s="2907">
        <v>106.7</v>
      </c>
      <c r="D247" s="2907">
        <v>144.69999999999999</v>
      </c>
      <c r="E247" s="2907">
        <v>8093.6</v>
      </c>
      <c r="F247" s="2907">
        <v>110.1</v>
      </c>
      <c r="G247" s="2907">
        <v>1339.7</v>
      </c>
      <c r="H247" s="2907">
        <v>97.9</v>
      </c>
      <c r="I247" s="2907">
        <v>9273.2000000000007</v>
      </c>
      <c r="J247" s="2907">
        <v>115.2</v>
      </c>
      <c r="K247" s="2907">
        <v>768.3</v>
      </c>
      <c r="L247" s="2907">
        <v>111</v>
      </c>
      <c r="M247" s="2907">
        <v>1.0978858000000002</v>
      </c>
      <c r="N247" s="2907">
        <v>11.874729289442683</v>
      </c>
      <c r="O247" s="2907">
        <v>12.167394200000004</v>
      </c>
    </row>
    <row r="248" spans="1:15" ht="15" customHeight="1">
      <c r="A248" s="2905" t="s">
        <v>20</v>
      </c>
      <c r="B248" s="2907">
        <v>29676.7</v>
      </c>
      <c r="C248" s="2907">
        <v>106.8</v>
      </c>
      <c r="D248" s="2907">
        <v>146.69999999999999</v>
      </c>
      <c r="E248" s="2907">
        <v>13080.5</v>
      </c>
      <c r="F248" s="2907">
        <v>110.3</v>
      </c>
      <c r="G248" s="2907">
        <v>2440.6999999999998</v>
      </c>
      <c r="H248" s="2907">
        <v>90.5</v>
      </c>
      <c r="I248" s="2907">
        <v>16043.8</v>
      </c>
      <c r="J248" s="2907">
        <v>118.9</v>
      </c>
      <c r="K248" s="2907">
        <v>809</v>
      </c>
      <c r="L248" s="2907">
        <v>113.4</v>
      </c>
      <c r="M248" s="2907">
        <v>1.1043106999999992</v>
      </c>
      <c r="N248" s="2907">
        <v>12.149828632610578</v>
      </c>
      <c r="O248" s="2907">
        <v>12.161474100000007</v>
      </c>
    </row>
    <row r="249" spans="1:15" ht="15" customHeight="1">
      <c r="A249" s="2905" t="s">
        <v>21</v>
      </c>
      <c r="B249" s="2907">
        <v>39859</v>
      </c>
      <c r="C249" s="2907">
        <v>107.2</v>
      </c>
      <c r="D249" s="2907">
        <v>146.9</v>
      </c>
      <c r="E249" s="2907">
        <v>16870.8</v>
      </c>
      <c r="F249" s="2907">
        <v>111.3</v>
      </c>
      <c r="G249" s="2907">
        <v>3678</v>
      </c>
      <c r="H249" s="2907">
        <v>94.7</v>
      </c>
      <c r="I249" s="2907">
        <v>20480.900000000001</v>
      </c>
      <c r="J249" s="2907">
        <v>119.5</v>
      </c>
      <c r="K249" s="2907">
        <v>824.7</v>
      </c>
      <c r="L249" s="2907">
        <v>114.2</v>
      </c>
      <c r="M249" s="2907">
        <v>1.0396510000000063</v>
      </c>
      <c r="N249" s="2907">
        <v>12.962695636802053</v>
      </c>
      <c r="O249" s="2907">
        <v>12.363912200000001</v>
      </c>
    </row>
    <row r="250" spans="1:15" ht="15" customHeight="1">
      <c r="A250" s="2905" t="s">
        <v>22</v>
      </c>
      <c r="B250" s="2907">
        <v>51073.9</v>
      </c>
      <c r="C250" s="2907">
        <v>107.2</v>
      </c>
      <c r="D250" s="2907">
        <v>147.80000000000001</v>
      </c>
      <c r="E250" s="2907">
        <v>21730.400000000001</v>
      </c>
      <c r="F250" s="2907">
        <v>111</v>
      </c>
      <c r="G250" s="2907">
        <v>4915.5</v>
      </c>
      <c r="H250" s="2907">
        <v>96.8</v>
      </c>
      <c r="I250" s="2907">
        <v>26422.400000000001</v>
      </c>
      <c r="J250" s="2907">
        <v>119.5</v>
      </c>
      <c r="K250" s="2907">
        <v>825.3</v>
      </c>
      <c r="L250" s="2907">
        <v>114</v>
      </c>
      <c r="M250" s="2907">
        <v>0.73696019999999862</v>
      </c>
      <c r="N250" s="2907">
        <v>13.742045688230945</v>
      </c>
      <c r="O250" s="2907">
        <v>12.641985300000002</v>
      </c>
    </row>
    <row r="251" spans="1:15" ht="15" customHeight="1">
      <c r="A251" s="2905" t="s">
        <v>23</v>
      </c>
      <c r="B251" s="2907">
        <v>63389.599999999999</v>
      </c>
      <c r="C251" s="2907">
        <v>106.2</v>
      </c>
      <c r="D251" s="2907">
        <v>146.4</v>
      </c>
      <c r="E251" s="2907">
        <v>27965.8</v>
      </c>
      <c r="F251" s="2907">
        <v>109.4</v>
      </c>
      <c r="G251" s="2907">
        <v>6299.6</v>
      </c>
      <c r="H251" s="2907">
        <v>100.7</v>
      </c>
      <c r="I251" s="2907">
        <v>33017.4</v>
      </c>
      <c r="J251" s="2907">
        <v>119.9</v>
      </c>
      <c r="K251" s="2907">
        <v>827.1</v>
      </c>
      <c r="L251" s="2907">
        <v>114.2</v>
      </c>
      <c r="M251" s="2907">
        <v>-0.10657299999999736</v>
      </c>
      <c r="N251" s="2907">
        <v>14.182776427692417</v>
      </c>
      <c r="O251" s="2907">
        <v>12.899620100000007</v>
      </c>
    </row>
    <row r="252" spans="1:15" ht="15" customHeight="1">
      <c r="A252" s="2905" t="s">
        <v>24</v>
      </c>
      <c r="B252" s="2907">
        <v>74910.100000000006</v>
      </c>
      <c r="C252" s="2907">
        <v>106.2</v>
      </c>
      <c r="D252" s="2907">
        <v>145.19999999999999</v>
      </c>
      <c r="E252" s="2907">
        <v>32909.300000000003</v>
      </c>
      <c r="F252" s="2907">
        <v>109.9</v>
      </c>
      <c r="G252" s="2907">
        <v>7301.7000000000007</v>
      </c>
      <c r="H252" s="2907">
        <v>100.1</v>
      </c>
      <c r="I252" s="2907">
        <v>38806.6</v>
      </c>
      <c r="J252" s="2907">
        <v>120</v>
      </c>
      <c r="K252" s="2907">
        <v>831.3</v>
      </c>
      <c r="L252" s="2907">
        <v>114.1</v>
      </c>
      <c r="M252" s="2907">
        <v>0.47719069999999419</v>
      </c>
      <c r="N252" s="2907">
        <v>13.685451579583585</v>
      </c>
      <c r="O252" s="2907">
        <v>13.013077999999993</v>
      </c>
    </row>
    <row r="253" spans="1:15" ht="15" customHeight="1">
      <c r="A253" s="2905" t="s">
        <v>25</v>
      </c>
      <c r="B253" s="2907">
        <v>85691.4</v>
      </c>
      <c r="C253" s="2907">
        <v>105.8</v>
      </c>
      <c r="D253" s="2907">
        <v>144.30000000000001</v>
      </c>
      <c r="E253" s="2907">
        <v>37985.1</v>
      </c>
      <c r="F253" s="2907">
        <v>110.2</v>
      </c>
      <c r="G253" s="2907">
        <v>9117</v>
      </c>
      <c r="H253" s="2907">
        <v>106.9</v>
      </c>
      <c r="I253" s="2907">
        <v>44491.199999999997</v>
      </c>
      <c r="J253" s="2907">
        <v>120</v>
      </c>
      <c r="K253" s="2907">
        <v>829</v>
      </c>
      <c r="L253" s="2907">
        <v>114.3</v>
      </c>
      <c r="M253" s="2907">
        <v>0.89103889999999808</v>
      </c>
      <c r="N253" s="2907">
        <v>14.166678581303501</v>
      </c>
      <c r="O253" s="2907">
        <v>13.159212800000006</v>
      </c>
    </row>
    <row r="254" spans="1:15" ht="15" customHeight="1">
      <c r="A254" s="2905" t="s">
        <v>26</v>
      </c>
      <c r="B254" s="2907">
        <v>98193.8</v>
      </c>
      <c r="C254" s="2907">
        <v>105.6</v>
      </c>
      <c r="D254" s="2907">
        <v>145.4</v>
      </c>
      <c r="E254" s="2907">
        <v>43951.5</v>
      </c>
      <c r="F254" s="2907">
        <v>110</v>
      </c>
      <c r="G254" s="2907">
        <v>10154.400000000001</v>
      </c>
      <c r="H254" s="2907">
        <v>104.6</v>
      </c>
      <c r="I254" s="2907">
        <v>50990.6</v>
      </c>
      <c r="J254" s="2907">
        <v>120.2</v>
      </c>
      <c r="K254" s="2907">
        <v>827.4</v>
      </c>
      <c r="L254" s="2907">
        <v>114.4</v>
      </c>
      <c r="M254" s="2907">
        <v>3.1123975999999942</v>
      </c>
      <c r="N254" s="2907">
        <v>15.620743539942069</v>
      </c>
      <c r="O254" s="2907">
        <v>13.440424100000001</v>
      </c>
    </row>
    <row r="255" spans="1:15" ht="15" customHeight="1">
      <c r="A255" s="2905" t="s">
        <v>27</v>
      </c>
      <c r="B255" s="2907">
        <v>111474.6</v>
      </c>
      <c r="C255" s="2907">
        <v>105.2</v>
      </c>
      <c r="D255" s="2907">
        <v>145.69999999999999</v>
      </c>
      <c r="E255" s="2907">
        <v>49104.9</v>
      </c>
      <c r="F255" s="2907">
        <v>109.6</v>
      </c>
      <c r="G255" s="2907">
        <v>11774.5</v>
      </c>
      <c r="H255" s="2907">
        <v>108.2</v>
      </c>
      <c r="I255" s="2907">
        <v>56860.800000000003</v>
      </c>
      <c r="J255" s="2907">
        <v>120.4</v>
      </c>
      <c r="K255" s="2907">
        <v>827.9</v>
      </c>
      <c r="L255" s="2907">
        <v>114.5</v>
      </c>
      <c r="M255" s="2907">
        <v>1.5513487000000055</v>
      </c>
      <c r="N255" s="2907">
        <v>15.594843922882021</v>
      </c>
      <c r="O255" s="2907">
        <v>13.664430699999997</v>
      </c>
    </row>
    <row r="256" spans="1:15" ht="15" customHeight="1">
      <c r="A256" s="2905" t="s">
        <v>28</v>
      </c>
      <c r="B256" s="2907">
        <v>121984.7</v>
      </c>
      <c r="C256" s="2907">
        <v>104.8</v>
      </c>
      <c r="D256" s="2907">
        <v>142.9</v>
      </c>
      <c r="E256" s="2907">
        <v>54052.2</v>
      </c>
      <c r="F256" s="2907">
        <v>109.099999999999</v>
      </c>
      <c r="G256" s="2907">
        <v>13053.600000000002</v>
      </c>
      <c r="H256" s="2907">
        <v>108.2</v>
      </c>
      <c r="I256" s="2907">
        <v>62238.7</v>
      </c>
      <c r="J256" s="2907">
        <v>120.5</v>
      </c>
      <c r="K256" s="2907">
        <v>829.9</v>
      </c>
      <c r="L256" s="2907">
        <v>114.6</v>
      </c>
      <c r="M256" s="2907">
        <v>1.0372286000000059</v>
      </c>
      <c r="N256" s="2907">
        <v>15.093833126881108</v>
      </c>
      <c r="O256" s="2907">
        <v>13.8</v>
      </c>
    </row>
    <row r="257" spans="1:15" ht="15" customHeight="1">
      <c r="A257" s="2905" t="s">
        <v>29</v>
      </c>
      <c r="B257" s="2907">
        <v>133825.79999999999</v>
      </c>
      <c r="C257" s="2907">
        <v>104.6</v>
      </c>
      <c r="D257" s="2907">
        <v>137.30000000000001</v>
      </c>
      <c r="E257" s="2907">
        <v>61619.5</v>
      </c>
      <c r="F257" s="2907">
        <v>109</v>
      </c>
      <c r="G257" s="2907">
        <v>18272.3</v>
      </c>
      <c r="H257" s="2907">
        <v>105.5</v>
      </c>
      <c r="I257" s="2907">
        <v>69163</v>
      </c>
      <c r="J257" s="2907">
        <v>120.5</v>
      </c>
      <c r="K257" s="2907">
        <v>839.4</v>
      </c>
      <c r="L257" s="2907">
        <v>114.7</v>
      </c>
      <c r="M257" s="2907">
        <v>0.9582556000000011</v>
      </c>
      <c r="N257" s="2907">
        <v>14.382451264983615</v>
      </c>
      <c r="O257" s="2907">
        <v>13.852259099999998</v>
      </c>
    </row>
    <row r="258" spans="1:15" ht="15" customHeight="1">
      <c r="A258" s="2905" t="s">
        <v>3605</v>
      </c>
      <c r="B258" s="2906">
        <v>123005.5</v>
      </c>
      <c r="C258" s="2906">
        <v>101.1</v>
      </c>
      <c r="D258" s="2906">
        <v>90.8</v>
      </c>
      <c r="E258" s="2906">
        <v>68341.3</v>
      </c>
      <c r="F258" s="2906">
        <v>103.7</v>
      </c>
      <c r="G258" s="2906">
        <v>20296.599999999999</v>
      </c>
      <c r="H258" s="2906">
        <v>109.8</v>
      </c>
      <c r="I258" s="2906">
        <v>78050.2</v>
      </c>
      <c r="J258" s="2906">
        <v>112.8</v>
      </c>
      <c r="K258" s="2906">
        <v>933.8</v>
      </c>
      <c r="L258" s="2906">
        <v>111.2</v>
      </c>
      <c r="M258" s="2906">
        <v>0.50078760000000955</v>
      </c>
      <c r="N258" s="2906">
        <f>+N270</f>
        <v>2.1499577082974497</v>
      </c>
      <c r="O258" s="2906">
        <v>8.7854305000000039</v>
      </c>
    </row>
    <row r="259" spans="1:15" ht="15" customHeight="1">
      <c r="A259" s="2905" t="s">
        <v>18</v>
      </c>
      <c r="B259" s="2907">
        <v>9727.7000000000007</v>
      </c>
      <c r="C259" s="2907">
        <v>98.5</v>
      </c>
      <c r="D259" s="2907">
        <v>105.9</v>
      </c>
      <c r="E259" s="2907">
        <v>4272.2</v>
      </c>
      <c r="F259" s="2907">
        <v>101.7</v>
      </c>
      <c r="G259" s="2907">
        <v>1091.7</v>
      </c>
      <c r="H259" s="2907">
        <v>161.19999999999999</v>
      </c>
      <c r="I259" s="2907">
        <v>5378.4</v>
      </c>
      <c r="J259" s="2907">
        <v>115</v>
      </c>
      <c r="K259" s="2907">
        <v>856.2</v>
      </c>
      <c r="L259" s="2907">
        <v>111.8</v>
      </c>
      <c r="M259" s="2907">
        <v>0.98019559999999994</v>
      </c>
      <c r="N259" s="2907">
        <v>13.633260348459956</v>
      </c>
      <c r="O259" s="2907">
        <v>13.633260399999999</v>
      </c>
    </row>
    <row r="260" spans="1:15" ht="15" customHeight="1">
      <c r="A260" s="2905" t="s">
        <v>19</v>
      </c>
      <c r="B260" s="2907">
        <v>19724.7</v>
      </c>
      <c r="C260" s="2907">
        <v>100.4</v>
      </c>
      <c r="D260" s="2907">
        <v>105.3</v>
      </c>
      <c r="E260" s="2907">
        <v>9052.2000000000007</v>
      </c>
      <c r="F260" s="2907">
        <v>104.599999999999</v>
      </c>
      <c r="G260" s="2907">
        <v>2206.9</v>
      </c>
      <c r="H260" s="2907">
        <v>160.1</v>
      </c>
      <c r="I260" s="2907">
        <v>10688.5</v>
      </c>
      <c r="J260" s="2907">
        <v>115.2</v>
      </c>
      <c r="K260" s="2907">
        <v>854.5</v>
      </c>
      <c r="L260" s="2907">
        <v>111.2</v>
      </c>
      <c r="M260" s="2907">
        <v>1.4831996000000061</v>
      </c>
      <c r="N260" s="2907">
        <v>14.066350150534277</v>
      </c>
      <c r="O260" s="2907">
        <v>13.8509875</v>
      </c>
    </row>
    <row r="261" spans="1:15" ht="15" customHeight="1">
      <c r="A261" s="2905" t="s">
        <v>20</v>
      </c>
      <c r="B261" s="2907">
        <v>30310.6</v>
      </c>
      <c r="C261" s="2907">
        <v>100.4</v>
      </c>
      <c r="D261" s="2907">
        <v>101.7</v>
      </c>
      <c r="E261" s="2907">
        <v>14498.6</v>
      </c>
      <c r="F261" s="2907">
        <v>104.8</v>
      </c>
      <c r="G261" s="2907">
        <v>3523.1000000000004</v>
      </c>
      <c r="H261" s="2907">
        <v>140.30000000000001</v>
      </c>
      <c r="I261" s="2907">
        <v>18479.900000000001</v>
      </c>
      <c r="J261" s="2907">
        <v>115.2</v>
      </c>
      <c r="K261" s="2907">
        <v>901.3</v>
      </c>
      <c r="L261" s="2907">
        <v>111.4</v>
      </c>
      <c r="M261" s="2907">
        <v>0.69390169999999785</v>
      </c>
      <c r="N261" s="2907">
        <v>13.603324821793962</v>
      </c>
      <c r="O261" s="2907">
        <v>13.767526699999999</v>
      </c>
    </row>
    <row r="262" spans="1:15" ht="15" customHeight="1">
      <c r="A262" s="2905" t="s">
        <v>21</v>
      </c>
      <c r="B262" s="2907">
        <v>39986.5</v>
      </c>
      <c r="C262" s="2907">
        <v>100.1</v>
      </c>
      <c r="D262" s="2907">
        <v>100.299999999999</v>
      </c>
      <c r="E262" s="2907">
        <v>19170.5</v>
      </c>
      <c r="F262" s="2907">
        <v>103.099999999999</v>
      </c>
      <c r="G262" s="2907">
        <v>4580</v>
      </c>
      <c r="H262" s="2907">
        <v>121.1</v>
      </c>
      <c r="I262" s="2907">
        <v>23549.5</v>
      </c>
      <c r="J262" s="2907">
        <v>115</v>
      </c>
      <c r="K262" s="2907">
        <v>913.9</v>
      </c>
      <c r="L262" s="2907">
        <v>110.8</v>
      </c>
      <c r="M262" s="2907">
        <v>0.30707580000000689</v>
      </c>
      <c r="N262" s="2907">
        <v>12.779658295055938</v>
      </c>
      <c r="O262" s="2907">
        <v>13.5166</v>
      </c>
    </row>
    <row r="263" spans="1:15" ht="15" customHeight="1">
      <c r="A263" s="2905" t="s">
        <v>22</v>
      </c>
      <c r="B263" s="2907">
        <v>49580.800000000003</v>
      </c>
      <c r="C263" s="2907">
        <v>100.7</v>
      </c>
      <c r="D263" s="2907">
        <v>96.4</v>
      </c>
      <c r="E263" s="2907">
        <v>24747.1</v>
      </c>
      <c r="F263" s="2907">
        <v>104</v>
      </c>
      <c r="G263" s="2907">
        <v>5858.2</v>
      </c>
      <c r="H263" s="2907">
        <v>115.9</v>
      </c>
      <c r="I263" s="2907">
        <v>30302.9</v>
      </c>
      <c r="J263" s="2907">
        <v>114.7</v>
      </c>
      <c r="K263" s="2907">
        <v>916.8</v>
      </c>
      <c r="L263" s="2907">
        <v>111.1</v>
      </c>
      <c r="M263" s="2907">
        <v>-0.38304540000000031</v>
      </c>
      <c r="N263" s="2907">
        <v>11.525760533938595</v>
      </c>
      <c r="O263" s="2907">
        <v>13.110975100000005</v>
      </c>
    </row>
    <row r="264" spans="1:15" ht="15" customHeight="1">
      <c r="A264" s="2905" t="s">
        <v>23</v>
      </c>
      <c r="B264" s="2907">
        <v>60302.1</v>
      </c>
      <c r="C264" s="2907">
        <v>100.5</v>
      </c>
      <c r="D264" s="2907">
        <v>94.7</v>
      </c>
      <c r="E264" s="2907">
        <v>31265.4</v>
      </c>
      <c r="F264" s="2907">
        <v>103.1</v>
      </c>
      <c r="G264" s="2907">
        <v>7148.3</v>
      </c>
      <c r="H264" s="2907">
        <v>110.4</v>
      </c>
      <c r="I264" s="2907">
        <v>37871.1</v>
      </c>
      <c r="J264" s="2907">
        <v>114.7</v>
      </c>
      <c r="K264" s="2907">
        <v>921.9</v>
      </c>
      <c r="L264" s="2907">
        <v>111.5</v>
      </c>
      <c r="M264" s="2907">
        <v>-0.90000890000000311</v>
      </c>
      <c r="N264" s="2907">
        <v>10.639931057065908</v>
      </c>
      <c r="O264" s="2907">
        <v>12.693097199999997</v>
      </c>
    </row>
    <row r="265" spans="1:15" ht="15" customHeight="1">
      <c r="A265" s="2905" t="s">
        <v>24</v>
      </c>
      <c r="B265" s="2907">
        <v>70372.2</v>
      </c>
      <c r="C265" s="2907">
        <v>100.7</v>
      </c>
      <c r="D265" s="2907">
        <v>93.3</v>
      </c>
      <c r="E265" s="2907">
        <v>37224.9</v>
      </c>
      <c r="F265" s="2907">
        <v>103.4</v>
      </c>
      <c r="G265" s="2907">
        <v>9114.9</v>
      </c>
      <c r="H265" s="2907">
        <v>120.8</v>
      </c>
      <c r="I265" s="2907">
        <v>44558.6</v>
      </c>
      <c r="J265" s="2907">
        <v>114.8</v>
      </c>
      <c r="K265" s="2907">
        <v>925.3</v>
      </c>
      <c r="L265" s="2907">
        <v>111.3</v>
      </c>
      <c r="M265" s="2907">
        <v>-0.65338739999999973</v>
      </c>
      <c r="N265" s="2907">
        <v>9.3950009175270139</v>
      </c>
      <c r="O265" s="2907">
        <v>12.2</v>
      </c>
    </row>
    <row r="266" spans="1:15" ht="15" customHeight="1">
      <c r="A266" s="2905" t="s">
        <v>25</v>
      </c>
      <c r="B266" s="2907">
        <v>80096.399999999994</v>
      </c>
      <c r="C266" s="2907">
        <v>100.8</v>
      </c>
      <c r="D266" s="2907">
        <v>92.7</v>
      </c>
      <c r="E266" s="2907">
        <v>42591.1</v>
      </c>
      <c r="F266" s="2907">
        <v>102.6</v>
      </c>
      <c r="G266" s="2907">
        <v>10864.8</v>
      </c>
      <c r="H266" s="2907">
        <v>115.4</v>
      </c>
      <c r="I266" s="2907">
        <v>50861.1</v>
      </c>
      <c r="J266" s="2907">
        <v>114.3</v>
      </c>
      <c r="K266" s="2907">
        <v>923</v>
      </c>
      <c r="L266" s="2907">
        <v>111.3</v>
      </c>
      <c r="M266" s="2907">
        <v>-0.4034168999999963</v>
      </c>
      <c r="N266" s="2907">
        <v>7.9914372812257284</v>
      </c>
      <c r="O266" s="2907">
        <v>11.7</v>
      </c>
    </row>
    <row r="267" spans="1:15" ht="15" customHeight="1">
      <c r="A267" s="2905" t="s">
        <v>26</v>
      </c>
      <c r="B267" s="2907">
        <v>90812.5</v>
      </c>
      <c r="C267" s="2907">
        <v>100.8</v>
      </c>
      <c r="D267" s="2907">
        <v>91.7</v>
      </c>
      <c r="E267" s="2907">
        <v>48915.3</v>
      </c>
      <c r="F267" s="2907">
        <v>103</v>
      </c>
      <c r="G267" s="2907">
        <v>12728.9</v>
      </c>
      <c r="H267" s="2907">
        <v>121.3</v>
      </c>
      <c r="I267" s="2907">
        <v>58018.3</v>
      </c>
      <c r="J267" s="2907">
        <v>113.8</v>
      </c>
      <c r="K267" s="2907">
        <v>919.8</v>
      </c>
      <c r="L267" s="2907">
        <v>111.2</v>
      </c>
      <c r="M267" s="2907">
        <v>0.3</v>
      </c>
      <c r="N267" s="2907">
        <v>5.0558398552808654</v>
      </c>
      <c r="O267" s="2907">
        <v>10.903757000000001</v>
      </c>
    </row>
    <row r="268" spans="1:15" ht="15" customHeight="1">
      <c r="A268" s="2905" t="s">
        <v>27</v>
      </c>
      <c r="B268" s="2907">
        <v>100883.1</v>
      </c>
      <c r="C268" s="2907">
        <v>100.5</v>
      </c>
      <c r="D268" s="2907">
        <v>90.1</v>
      </c>
      <c r="E268" s="2907">
        <v>54711.9</v>
      </c>
      <c r="F268" s="2907">
        <v>103.1</v>
      </c>
      <c r="G268" s="2907">
        <v>14258</v>
      </c>
      <c r="H268" s="2907">
        <v>117.1</v>
      </c>
      <c r="I268" s="2907">
        <v>64341.599999999999</v>
      </c>
      <c r="J268" s="2907">
        <v>113.2</v>
      </c>
      <c r="K268" s="2907">
        <v>921.1</v>
      </c>
      <c r="L268" s="2907">
        <v>111.3</v>
      </c>
      <c r="M268" s="2907">
        <v>0.40862479999999834</v>
      </c>
      <c r="N268" s="2907">
        <v>3.873681069858435</v>
      </c>
      <c r="O268" s="2907">
        <v>10.160388100000006</v>
      </c>
    </row>
    <row r="269" spans="1:15" ht="15" customHeight="1">
      <c r="A269" s="2905" t="s">
        <v>28</v>
      </c>
      <c r="B269" s="2907">
        <v>110212.8</v>
      </c>
      <c r="C269" s="2907">
        <v>100.8</v>
      </c>
      <c r="D269" s="2907">
        <v>89.6</v>
      </c>
      <c r="E269" s="2907">
        <v>59870</v>
      </c>
      <c r="F269" s="2907">
        <v>103.2</v>
      </c>
      <c r="G269" s="2907">
        <v>15725.9</v>
      </c>
      <c r="H269" s="2907">
        <v>116.5</v>
      </c>
      <c r="I269" s="2907">
        <v>70223.5</v>
      </c>
      <c r="J269" s="2907">
        <v>112.8</v>
      </c>
      <c r="K269" s="2907">
        <v>923.1</v>
      </c>
      <c r="L269" s="2907">
        <v>111.2</v>
      </c>
      <c r="M269" s="2907">
        <v>-0.18714760000000297</v>
      </c>
      <c r="N269" s="2907">
        <v>2.6149325405235118</v>
      </c>
      <c r="O269" s="2907">
        <v>9.4320597999999904</v>
      </c>
    </row>
    <row r="270" spans="1:15" ht="15" customHeight="1">
      <c r="A270" s="2905" t="s">
        <v>29</v>
      </c>
      <c r="B270" s="2907">
        <v>123005.5</v>
      </c>
      <c r="C270" s="2907">
        <v>101.1</v>
      </c>
      <c r="D270" s="2907">
        <v>90.8</v>
      </c>
      <c r="E270" s="2907">
        <v>68341.3</v>
      </c>
      <c r="F270" s="2907">
        <v>103.7</v>
      </c>
      <c r="G270" s="2907">
        <v>20296.599999999999</v>
      </c>
      <c r="H270" s="2907">
        <v>109.8</v>
      </c>
      <c r="I270" s="2907">
        <v>78050.2</v>
      </c>
      <c r="J270" s="2907">
        <v>112.8</v>
      </c>
      <c r="K270" s="2907">
        <v>933.8</v>
      </c>
      <c r="L270" s="2907">
        <v>111.2</v>
      </c>
      <c r="M270" s="2907">
        <v>0.50078760000000955</v>
      </c>
      <c r="N270" s="2907">
        <v>2.1499577082974497</v>
      </c>
      <c r="O270" s="2907">
        <v>8.7854305000000039</v>
      </c>
    </row>
    <row r="271" spans="1:15" ht="15" customHeight="1">
      <c r="A271" s="2905" t="s">
        <v>4086</v>
      </c>
      <c r="B271" s="2907"/>
      <c r="C271" s="2907"/>
      <c r="D271" s="2907"/>
      <c r="E271" s="2907"/>
      <c r="F271" s="2907"/>
      <c r="G271" s="2907"/>
      <c r="H271" s="2907"/>
      <c r="I271" s="2907"/>
      <c r="J271" s="2907"/>
      <c r="K271" s="2907"/>
      <c r="L271" s="2907"/>
      <c r="M271" s="2907"/>
      <c r="N271" s="2907"/>
      <c r="O271" s="2907"/>
    </row>
    <row r="272" spans="1:15" ht="15" customHeight="1">
      <c r="A272" s="2905" t="s">
        <v>18</v>
      </c>
      <c r="B272" s="2907">
        <v>9131</v>
      </c>
      <c r="C272" s="2907">
        <v>105</v>
      </c>
      <c r="D272" s="2907">
        <v>89.4</v>
      </c>
      <c r="E272" s="2907">
        <v>4837.3999999999996</v>
      </c>
      <c r="F272" s="2907">
        <v>112.2</v>
      </c>
      <c r="G272" s="2907">
        <v>1553</v>
      </c>
      <c r="H272" s="2907">
        <v>137.4</v>
      </c>
      <c r="I272" s="2907">
        <v>5618.8</v>
      </c>
      <c r="J272" s="2907">
        <v>104.5</v>
      </c>
      <c r="K272" s="2907">
        <v>942.4</v>
      </c>
      <c r="L272" s="2907">
        <v>110.1</v>
      </c>
      <c r="M272" s="2907">
        <v>0.52366509999998812</v>
      </c>
      <c r="N272" s="2907">
        <v>1.6881387249764117</v>
      </c>
      <c r="O272" s="2907">
        <v>1.6881386999999961</v>
      </c>
    </row>
    <row r="273" spans="1:15" ht="15" customHeight="1">
      <c r="A273" s="2910" t="s">
        <v>19</v>
      </c>
      <c r="B273" s="2911">
        <v>18576.900000000001</v>
      </c>
      <c r="C273" s="2911">
        <v>105</v>
      </c>
      <c r="D273" s="1429">
        <v>89.7</v>
      </c>
      <c r="E273" s="2911">
        <v>10083.299999999999</v>
      </c>
      <c r="F273" s="2911">
        <v>110.1</v>
      </c>
      <c r="G273" s="2911">
        <v>2638.1</v>
      </c>
      <c r="H273" s="2911">
        <v>115.5</v>
      </c>
      <c r="I273" s="2911">
        <v>11190.3</v>
      </c>
      <c r="J273" s="2911">
        <v>104.7</v>
      </c>
      <c r="K273" s="2911" t="s">
        <v>93</v>
      </c>
      <c r="L273" s="2911" t="s">
        <v>93</v>
      </c>
      <c r="M273" s="2911">
        <v>0.63771800000000667</v>
      </c>
      <c r="N273" s="2911">
        <v>0.8409497265107575</v>
      </c>
      <c r="O273" s="2911">
        <v>1.2614259000000061</v>
      </c>
    </row>
    <row r="274" spans="1:15" s="2913" customFormat="1" ht="11.25" customHeight="1">
      <c r="A274" s="2912" t="s">
        <v>2876</v>
      </c>
      <c r="B274" s="2912"/>
      <c r="C274" s="2912"/>
      <c r="D274" s="2912"/>
      <c r="E274" s="2912"/>
      <c r="F274" s="2912"/>
      <c r="G274" s="2912"/>
      <c r="H274" s="2912"/>
      <c r="I274" s="2912"/>
      <c r="J274" s="2912"/>
      <c r="K274" s="2912"/>
      <c r="L274" s="2912"/>
      <c r="M274" s="2912"/>
      <c r="N274" s="2912"/>
      <c r="O274" s="2912"/>
    </row>
    <row r="275" spans="1:15" s="2913" customFormat="1" ht="11.25" customHeight="1">
      <c r="A275" s="2117" t="s">
        <v>2875</v>
      </c>
      <c r="B275" s="2117"/>
      <c r="C275" s="2117"/>
      <c r="D275" s="2117"/>
      <c r="E275" s="2117"/>
      <c r="F275" s="2117"/>
      <c r="G275" s="2117"/>
      <c r="H275" s="2117"/>
      <c r="I275" s="2117"/>
      <c r="J275" s="2117"/>
      <c r="K275" s="2117"/>
      <c r="L275" s="2117"/>
      <c r="M275" s="2117"/>
      <c r="N275" s="2117"/>
      <c r="O275" s="2117"/>
    </row>
    <row r="276" spans="1:15">
      <c r="A276" s="2914"/>
      <c r="B276" s="2914"/>
      <c r="C276" s="2914"/>
      <c r="D276" s="2914"/>
      <c r="E276" s="2914"/>
      <c r="F276" s="2914"/>
      <c r="G276" s="2914"/>
      <c r="H276" s="2914"/>
      <c r="I276" s="2914"/>
      <c r="J276" s="2914"/>
      <c r="K276" s="2914"/>
      <c r="L276" s="2914"/>
      <c r="M276" s="2914"/>
      <c r="N276" s="2914"/>
      <c r="O276" s="2914"/>
    </row>
    <row r="277" spans="1:15">
      <c r="D277" s="2915"/>
    </row>
    <row r="278" spans="1:15" ht="15.75" customHeight="1">
      <c r="E278" s="570"/>
      <c r="F278" s="570"/>
    </row>
  </sheetData>
  <mergeCells count="38">
    <mergeCell ref="A274:O274"/>
    <mergeCell ref="A275:O275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73"/>
  <sheetViews>
    <sheetView showGridLines="0" view="pageBreakPreview" zoomScaleSheetLayoutView="100" workbookViewId="0">
      <pane ySplit="9" topLeftCell="A183" activePane="bottomLeft" state="frozen"/>
      <selection activeCell="G291" sqref="G291"/>
      <selection pane="bottomLeft" activeCell="E200" sqref="E200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90" customFormat="1" ht="21" customHeight="1">
      <c r="A2" s="2423" t="s">
        <v>2802</v>
      </c>
      <c r="B2" s="2423"/>
      <c r="C2" s="2423"/>
      <c r="D2" s="2423"/>
      <c r="E2" s="2423"/>
      <c r="F2" s="2423"/>
      <c r="G2" s="2423"/>
      <c r="H2" s="2423"/>
      <c r="I2" s="2423"/>
    </row>
    <row r="3" spans="1:82" s="790" customFormat="1" ht="29.25" customHeight="1">
      <c r="A3" s="2424" t="s">
        <v>2803</v>
      </c>
      <c r="B3" s="2424"/>
      <c r="C3" s="2424"/>
      <c r="D3" s="2424"/>
      <c r="E3" s="2424"/>
      <c r="F3" s="2424"/>
      <c r="G3" s="2424"/>
      <c r="H3" s="2424"/>
      <c r="I3" s="2424"/>
    </row>
    <row r="4" spans="1:82" ht="14.25" customHeight="1">
      <c r="A4" s="624"/>
      <c r="B4" s="624"/>
      <c r="C4" s="624"/>
      <c r="D4" s="624"/>
      <c r="E4" s="624"/>
      <c r="F4" s="624"/>
      <c r="G4" s="624"/>
      <c r="H4" s="624"/>
      <c r="I4" s="624"/>
    </row>
    <row r="5" spans="1:82" ht="14.25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20.25" customHeight="1">
      <c r="A6" s="2421" t="s">
        <v>2836</v>
      </c>
      <c r="B6" s="2422"/>
      <c r="C6" s="2422"/>
      <c r="D6" s="2422"/>
      <c r="E6" s="2422"/>
      <c r="F6" s="2422" t="s">
        <v>2088</v>
      </c>
      <c r="G6" s="2422"/>
      <c r="H6" s="2422"/>
      <c r="I6" s="2422"/>
    </row>
    <row r="7" spans="1:82" s="82" customFormat="1" ht="72.75" customHeight="1">
      <c r="A7" s="1431" t="s">
        <v>182</v>
      </c>
      <c r="B7" s="1431" t="s">
        <v>2708</v>
      </c>
      <c r="C7" s="1431" t="s">
        <v>1018</v>
      </c>
      <c r="D7" s="1431" t="s">
        <v>2709</v>
      </c>
      <c r="E7" s="1431" t="s">
        <v>2710</v>
      </c>
      <c r="F7" s="1431" t="s">
        <v>2711</v>
      </c>
      <c r="G7" s="1431" t="s">
        <v>1019</v>
      </c>
      <c r="H7" s="1431" t="s">
        <v>1020</v>
      </c>
      <c r="I7" s="1431" t="s">
        <v>1021</v>
      </c>
      <c r="CC7" s="345" t="s">
        <v>2089</v>
      </c>
      <c r="CD7" s="361" t="s">
        <v>2090</v>
      </c>
    </row>
    <row r="8" spans="1:82" s="119" customFormat="1" ht="20.25" customHeight="1">
      <c r="A8" s="2425" t="s">
        <v>2837</v>
      </c>
      <c r="B8" s="2426"/>
      <c r="C8" s="2426"/>
      <c r="D8" s="2426"/>
      <c r="E8" s="2426"/>
      <c r="F8" s="2426" t="s">
        <v>1189</v>
      </c>
      <c r="G8" s="2426"/>
      <c r="H8" s="2426"/>
      <c r="I8" s="2426"/>
      <c r="BY8" s="119">
        <f>BY10+BY22+BY32+BY40</f>
        <v>0</v>
      </c>
      <c r="CC8" s="119">
        <f>CC10+CC22+CC32+CC40</f>
        <v>622</v>
      </c>
      <c r="CD8" s="362">
        <f>BY8+BZ8+CA8+CC8</f>
        <v>622</v>
      </c>
    </row>
    <row r="9" spans="1:82" s="119" customFormat="1" ht="56.25" customHeight="1">
      <c r="A9" s="653" t="s">
        <v>304</v>
      </c>
      <c r="B9" s="653" t="s">
        <v>2714</v>
      </c>
      <c r="C9" s="653" t="s">
        <v>2715</v>
      </c>
      <c r="D9" s="653" t="s">
        <v>2713</v>
      </c>
      <c r="E9" s="653" t="s">
        <v>2716</v>
      </c>
      <c r="F9" s="653" t="s">
        <v>2712</v>
      </c>
      <c r="G9" s="653" t="s">
        <v>1190</v>
      </c>
      <c r="H9" s="653" t="s">
        <v>1191</v>
      </c>
      <c r="I9" s="653" t="s">
        <v>1192</v>
      </c>
      <c r="CD9" s="36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1879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1942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2078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2171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2407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2583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31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31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31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31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31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31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31" t="s">
        <v>2892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31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31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31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31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31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31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31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31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31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31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31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31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31" t="s">
        <v>3605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31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31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31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31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31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31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31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31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31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31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31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31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31" t="s">
        <v>4086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31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31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s="888" customFormat="1" ht="31.5" customHeight="1">
      <c r="A201" s="2419" t="s">
        <v>2760</v>
      </c>
      <c r="B201" s="2419"/>
      <c r="C201" s="2419"/>
      <c r="D201" s="2419"/>
      <c r="E201" s="2419"/>
      <c r="F201" s="2419"/>
      <c r="G201" s="2419"/>
      <c r="H201" s="2419"/>
      <c r="I201" s="2420"/>
      <c r="L201" s="83"/>
      <c r="M201" s="83"/>
      <c r="N201" s="83"/>
      <c r="O201" s="83"/>
      <c r="P201" s="83"/>
      <c r="Q201" s="83"/>
      <c r="R201" s="83"/>
      <c r="S201" s="83"/>
      <c r="T201" s="83"/>
    </row>
    <row r="273" spans="7:8">
      <c r="G273" s="244"/>
      <c r="H273" s="244"/>
    </row>
  </sheetData>
  <mergeCells count="7">
    <mergeCell ref="A201:I201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6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291" sqref="G291"/>
      <selection pane="bottomLeft" activeCell="L59" sqref="L59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27" t="s">
        <v>2804</v>
      </c>
      <c r="B2" s="2427"/>
      <c r="C2" s="2427"/>
      <c r="D2" s="2427"/>
      <c r="E2" s="2427"/>
      <c r="F2" s="2427"/>
      <c r="G2" s="2427"/>
      <c r="H2" s="2427"/>
      <c r="I2" s="2427"/>
      <c r="J2" s="2427"/>
      <c r="K2" s="2427"/>
      <c r="L2" s="2427"/>
      <c r="M2" s="2427"/>
      <c r="N2" s="2427"/>
      <c r="O2" s="2427"/>
      <c r="P2" s="2427"/>
    </row>
    <row r="3" spans="1:23" ht="30.75" customHeight="1">
      <c r="A3" s="795"/>
      <c r="B3" s="2433" t="s">
        <v>2805</v>
      </c>
      <c r="C3" s="2433"/>
      <c r="D3" s="2433"/>
      <c r="E3" s="2433"/>
      <c r="F3" s="2433"/>
      <c r="G3" s="2433"/>
      <c r="H3" s="2433"/>
      <c r="I3" s="2433"/>
      <c r="J3" s="2433"/>
      <c r="K3" s="2433"/>
      <c r="L3" s="2433"/>
      <c r="M3" s="2433"/>
      <c r="N3" s="2433"/>
      <c r="O3" s="2433"/>
      <c r="P3" s="2433"/>
    </row>
    <row r="4" spans="1:23" s="793" customFormat="1" ht="21.75" customHeight="1">
      <c r="A4" s="791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</row>
    <row r="5" spans="1:23" s="793" customFormat="1" ht="21.75" customHeight="1" thickBot="1">
      <c r="A5" s="794"/>
      <c r="B5" s="2434">
        <v>45351</v>
      </c>
      <c r="C5" s="2434"/>
      <c r="D5" s="2434"/>
      <c r="E5" s="2434"/>
      <c r="F5" s="2434"/>
      <c r="G5" s="2434"/>
      <c r="H5" s="2434"/>
      <c r="I5" s="2434"/>
      <c r="J5" s="2434"/>
      <c r="K5" s="2434"/>
      <c r="L5" s="2434"/>
      <c r="M5" s="2435" t="s">
        <v>1193</v>
      </c>
      <c r="N5" s="2435"/>
      <c r="O5" s="2435"/>
      <c r="P5" s="2435"/>
    </row>
    <row r="6" spans="1:23" s="46" customFormat="1" ht="20.25" customHeight="1">
      <c r="A6" s="104"/>
      <c r="B6" s="2428" t="s">
        <v>1194</v>
      </c>
      <c r="C6" s="2429" t="s">
        <v>155</v>
      </c>
      <c r="D6" s="2429" t="s">
        <v>1172</v>
      </c>
      <c r="E6" s="2431" t="s">
        <v>183</v>
      </c>
      <c r="F6" s="2432"/>
      <c r="G6" s="2432"/>
      <c r="H6" s="2432"/>
      <c r="I6" s="2431" t="s">
        <v>193</v>
      </c>
      <c r="J6" s="2432"/>
      <c r="K6" s="2432"/>
      <c r="L6" s="2432"/>
      <c r="M6" s="2431" t="s">
        <v>194</v>
      </c>
      <c r="N6" s="2432"/>
      <c r="O6" s="2432"/>
      <c r="P6" s="2432"/>
    </row>
    <row r="7" spans="1:23" s="46" customFormat="1" ht="33" customHeight="1">
      <c r="A7" s="105"/>
      <c r="B7" s="2428"/>
      <c r="C7" s="2430"/>
      <c r="D7" s="2430"/>
      <c r="E7" s="2431" t="s">
        <v>195</v>
      </c>
      <c r="F7" s="2432"/>
      <c r="G7" s="2429" t="s">
        <v>1195</v>
      </c>
      <c r="H7" s="2432"/>
      <c r="I7" s="2431" t="s">
        <v>195</v>
      </c>
      <c r="J7" s="2432"/>
      <c r="K7" s="2429" t="s">
        <v>1195</v>
      </c>
      <c r="L7" s="2432"/>
      <c r="M7" s="2431" t="s">
        <v>195</v>
      </c>
      <c r="N7" s="2432"/>
      <c r="O7" s="2429" t="s">
        <v>1195</v>
      </c>
      <c r="P7" s="2432"/>
    </row>
    <row r="8" spans="1:23" s="46" customFormat="1" ht="39" customHeight="1" thickBot="1">
      <c r="A8" s="105"/>
      <c r="B8" s="2428"/>
      <c r="C8" s="2430"/>
      <c r="D8" s="2430"/>
      <c r="E8" s="660" t="s">
        <v>196</v>
      </c>
      <c r="F8" s="659" t="s">
        <v>2191</v>
      </c>
      <c r="G8" s="660" t="s">
        <v>196</v>
      </c>
      <c r="H8" s="661" t="s">
        <v>1172</v>
      </c>
      <c r="I8" s="660" t="s">
        <v>196</v>
      </c>
      <c r="J8" s="661" t="s">
        <v>1172</v>
      </c>
      <c r="K8" s="660" t="s">
        <v>196</v>
      </c>
      <c r="L8" s="661" t="s">
        <v>1172</v>
      </c>
      <c r="M8" s="660" t="s">
        <v>196</v>
      </c>
      <c r="N8" s="661" t="s">
        <v>1172</v>
      </c>
      <c r="O8" s="660" t="s">
        <v>196</v>
      </c>
      <c r="P8" s="661" t="s">
        <v>1172</v>
      </c>
    </row>
    <row r="9" spans="1:23" s="46" customFormat="1" ht="17.399999999999999" customHeight="1">
      <c r="A9" s="123"/>
      <c r="B9" s="2432" t="s">
        <v>1228</v>
      </c>
      <c r="C9" s="2439" t="s">
        <v>105</v>
      </c>
      <c r="D9" s="2439" t="s">
        <v>1196</v>
      </c>
      <c r="E9" s="2432" t="s">
        <v>106</v>
      </c>
      <c r="F9" s="2438"/>
      <c r="G9" s="2438"/>
      <c r="H9" s="2438"/>
      <c r="I9" s="2432" t="s">
        <v>1183</v>
      </c>
      <c r="J9" s="2438"/>
      <c r="K9" s="2438"/>
      <c r="L9" s="2438"/>
      <c r="M9" s="2432" t="s">
        <v>1182</v>
      </c>
      <c r="N9" s="2438"/>
      <c r="O9" s="2438"/>
      <c r="P9" s="2438"/>
    </row>
    <row r="10" spans="1:23" s="46" customFormat="1" ht="33" customHeight="1">
      <c r="A10" s="124"/>
      <c r="B10" s="2432"/>
      <c r="C10" s="2440"/>
      <c r="D10" s="2440"/>
      <c r="E10" s="2432" t="s">
        <v>1197</v>
      </c>
      <c r="F10" s="2438"/>
      <c r="G10" s="2432" t="s">
        <v>213</v>
      </c>
      <c r="H10" s="2438"/>
      <c r="I10" s="2432" t="s">
        <v>1197</v>
      </c>
      <c r="J10" s="2438"/>
      <c r="K10" s="2432" t="s">
        <v>213</v>
      </c>
      <c r="L10" s="2438"/>
      <c r="M10" s="2432" t="s">
        <v>1197</v>
      </c>
      <c r="N10" s="2438"/>
      <c r="O10" s="2432" t="s">
        <v>213</v>
      </c>
      <c r="P10" s="2438"/>
    </row>
    <row r="11" spans="1:23" s="46" customFormat="1" ht="39" customHeight="1" thickBot="1">
      <c r="A11" s="125"/>
      <c r="B11" s="2432"/>
      <c r="C11" s="2440"/>
      <c r="D11" s="2440"/>
      <c r="E11" s="662" t="s">
        <v>1198</v>
      </c>
      <c r="F11" s="663" t="s">
        <v>1196</v>
      </c>
      <c r="G11" s="662" t="s">
        <v>1198</v>
      </c>
      <c r="H11" s="663" t="s">
        <v>1196</v>
      </c>
      <c r="I11" s="662" t="s">
        <v>1198</v>
      </c>
      <c r="J11" s="663" t="s">
        <v>1196</v>
      </c>
      <c r="K11" s="662" t="s">
        <v>1198</v>
      </c>
      <c r="L11" s="663" t="s">
        <v>1196</v>
      </c>
      <c r="M11" s="662" t="s">
        <v>1198</v>
      </c>
      <c r="N11" s="663" t="s">
        <v>1196</v>
      </c>
      <c r="O11" s="662" t="s">
        <v>1198</v>
      </c>
      <c r="P11" s="663" t="s">
        <v>1196</v>
      </c>
    </row>
    <row r="12" spans="1:23" s="107" customFormat="1" ht="15.6">
      <c r="A12" s="106"/>
      <c r="B12" s="933"/>
      <c r="C12" s="934"/>
      <c r="D12" s="934"/>
      <c r="E12" s="935"/>
      <c r="F12" s="934"/>
      <c r="G12" s="935"/>
      <c r="H12" s="934"/>
      <c r="I12" s="935"/>
      <c r="J12" s="934"/>
      <c r="K12" s="935"/>
      <c r="L12" s="934"/>
      <c r="M12" s="935"/>
      <c r="N12" s="934"/>
      <c r="O12" s="935"/>
      <c r="P12" s="934"/>
    </row>
    <row r="13" spans="1:23" s="46" customFormat="1" ht="15.6">
      <c r="A13" s="105"/>
      <c r="B13" s="822" t="s">
        <v>197</v>
      </c>
      <c r="C13" s="829">
        <v>23832962.548840001</v>
      </c>
      <c r="D13" s="1084">
        <v>0.126011813147164</v>
      </c>
      <c r="E13" s="936">
        <v>19170287.228610002</v>
      </c>
      <c r="F13" s="937">
        <v>0.14379562795488299</v>
      </c>
      <c r="G13" s="936">
        <v>4662675.3202299997</v>
      </c>
      <c r="H13" s="937">
        <v>5.2896001822557298E-2</v>
      </c>
      <c r="I13" s="936">
        <v>2987560.6490099998</v>
      </c>
      <c r="J13" s="937">
        <v>0.135841275165512</v>
      </c>
      <c r="K13" s="936">
        <v>750178.08374000003</v>
      </c>
      <c r="L13" s="937">
        <v>5.2588695313216902E-2</v>
      </c>
      <c r="M13" s="938">
        <v>16182726.579600001</v>
      </c>
      <c r="N13" s="831">
        <v>0.14465063286737201</v>
      </c>
      <c r="O13" s="938">
        <v>3912497.23649</v>
      </c>
      <c r="P13" s="831">
        <v>5.2946039576848E-2</v>
      </c>
      <c r="Q13" s="46">
        <v>760416.17984</v>
      </c>
      <c r="W13" s="1421"/>
    </row>
    <row r="14" spans="1:23" s="109" customFormat="1" ht="15.6">
      <c r="A14" s="108"/>
      <c r="B14" s="764" t="s">
        <v>144</v>
      </c>
      <c r="C14" s="816"/>
      <c r="D14" s="817"/>
      <c r="E14" s="818"/>
      <c r="F14" s="817"/>
      <c r="G14" s="818"/>
      <c r="H14" s="819"/>
      <c r="I14" s="818"/>
      <c r="J14" s="819"/>
      <c r="K14" s="818"/>
      <c r="L14" s="819"/>
      <c r="M14" s="820"/>
      <c r="N14" s="824"/>
      <c r="O14" s="820"/>
      <c r="P14" s="824"/>
    </row>
    <row r="15" spans="1:23" s="46" customFormat="1" ht="15.6">
      <c r="A15" s="105">
        <v>8</v>
      </c>
      <c r="B15" s="822" t="s">
        <v>2721</v>
      </c>
      <c r="C15" s="823">
        <v>18340859.749609999</v>
      </c>
      <c r="D15" s="904">
        <v>0.11135083930232201</v>
      </c>
      <c r="E15" s="818">
        <v>13833116.99195</v>
      </c>
      <c r="F15" s="824">
        <v>0.13049292761137399</v>
      </c>
      <c r="G15" s="818">
        <v>4507742.7576599997</v>
      </c>
      <c r="H15" s="824">
        <v>5.2609689980599797E-2</v>
      </c>
      <c r="I15" s="818">
        <v>2744100.9805299998</v>
      </c>
      <c r="J15" s="824">
        <v>0.129658594851361</v>
      </c>
      <c r="K15" s="818">
        <v>711209.66639000003</v>
      </c>
      <c r="L15" s="824">
        <v>5.2004209084590497E-2</v>
      </c>
      <c r="M15" s="818">
        <v>11089016.01142</v>
      </c>
      <c r="N15" s="824">
        <v>0.130603375936898</v>
      </c>
      <c r="O15" s="818">
        <v>3796533.0912700002</v>
      </c>
      <c r="P15" s="824">
        <v>5.2705155186101402E-2</v>
      </c>
      <c r="Q15" s="46">
        <v>652330.81756999996</v>
      </c>
    </row>
    <row r="16" spans="1:23" ht="15.6">
      <c r="A16" s="105"/>
      <c r="B16" s="906"/>
      <c r="C16" s="823"/>
      <c r="D16" s="824"/>
      <c r="E16" s="818"/>
      <c r="F16" s="824"/>
      <c r="G16" s="818"/>
      <c r="H16" s="824"/>
      <c r="I16" s="818"/>
      <c r="J16" s="824"/>
      <c r="K16" s="818"/>
      <c r="L16" s="824"/>
      <c r="M16" s="818"/>
      <c r="N16" s="824"/>
      <c r="O16" s="818"/>
      <c r="P16" s="824"/>
    </row>
    <row r="17" spans="1:32" ht="15.6">
      <c r="A17" s="105"/>
      <c r="B17" s="822" t="s">
        <v>201</v>
      </c>
      <c r="C17" s="823">
        <v>384354.5</v>
      </c>
      <c r="D17" s="904">
        <v>0.13621931734635601</v>
      </c>
      <c r="E17" s="818">
        <v>383931.11</v>
      </c>
      <c r="F17" s="824">
        <v>0.136309682533932</v>
      </c>
      <c r="G17" s="818">
        <v>423.39</v>
      </c>
      <c r="H17" s="824">
        <v>5.4275939441177201E-2</v>
      </c>
      <c r="I17" s="818">
        <v>9607.6200000000008</v>
      </c>
      <c r="J17" s="824">
        <v>0.12193816075157</v>
      </c>
      <c r="K17" s="1068">
        <v>47.21</v>
      </c>
      <c r="L17" s="824">
        <v>3.54128362635035E-2</v>
      </c>
      <c r="M17" s="818">
        <v>374323.49</v>
      </c>
      <c r="N17" s="824">
        <v>0.13667855096937701</v>
      </c>
      <c r="O17" s="818">
        <v>376.18</v>
      </c>
      <c r="P17" s="824">
        <v>5.6643229305119905E-2</v>
      </c>
      <c r="Q17" s="102">
        <v>5682.61</v>
      </c>
    </row>
    <row r="18" spans="1:32" ht="15" customHeight="1">
      <c r="A18" s="105"/>
      <c r="B18" s="906"/>
      <c r="C18" s="823"/>
      <c r="D18" s="824"/>
      <c r="E18" s="818"/>
      <c r="F18" s="824"/>
      <c r="G18" s="818"/>
      <c r="H18" s="824"/>
      <c r="I18" s="818"/>
      <c r="J18" s="824"/>
      <c r="K18" s="818"/>
      <c r="L18" s="824"/>
      <c r="M18" s="818"/>
      <c r="N18" s="824"/>
      <c r="O18" s="818"/>
      <c r="P18" s="824"/>
      <c r="W18" s="524"/>
    </row>
    <row r="19" spans="1:32" ht="15.6">
      <c r="A19" s="105"/>
      <c r="B19" s="822" t="s">
        <v>2722</v>
      </c>
      <c r="C19" s="823">
        <v>865312.96626999998</v>
      </c>
      <c r="D19" s="904">
        <v>0.16010381479347</v>
      </c>
      <c r="E19" s="818">
        <v>830386.06550000003</v>
      </c>
      <c r="F19" s="824">
        <v>0.164265267538837</v>
      </c>
      <c r="G19" s="818">
        <v>34926.90077</v>
      </c>
      <c r="H19" s="824">
        <v>6.1165394956398798E-2</v>
      </c>
      <c r="I19" s="818">
        <v>49037.159619999999</v>
      </c>
      <c r="J19" s="824">
        <v>0.16170036240773603</v>
      </c>
      <c r="K19" s="818">
        <v>10090.971390000001</v>
      </c>
      <c r="L19" s="824">
        <v>5.79342991576949E-2</v>
      </c>
      <c r="M19" s="818">
        <v>781348.90587999998</v>
      </c>
      <c r="N19" s="824">
        <v>0.16442624000757403</v>
      </c>
      <c r="O19" s="818">
        <v>24835.929380000001</v>
      </c>
      <c r="P19" s="824">
        <v>6.2478206519203799E-2</v>
      </c>
      <c r="Q19" s="102">
        <v>30512.639999999999</v>
      </c>
    </row>
    <row r="20" spans="1:32" ht="15.6">
      <c r="A20" s="105"/>
      <c r="B20" s="906"/>
      <c r="C20" s="823"/>
      <c r="D20" s="824"/>
      <c r="E20" s="818"/>
      <c r="F20" s="824"/>
      <c r="G20" s="818"/>
      <c r="H20" s="824"/>
      <c r="I20" s="818"/>
      <c r="J20" s="824"/>
      <c r="K20" s="818"/>
      <c r="L20" s="824"/>
      <c r="M20" s="818"/>
      <c r="N20" s="824"/>
      <c r="O20" s="818"/>
      <c r="P20" s="824"/>
    </row>
    <row r="21" spans="1:32" ht="15.6">
      <c r="A21" s="105"/>
      <c r="B21" s="822" t="s">
        <v>198</v>
      </c>
      <c r="C21" s="823">
        <v>162118.10999999999</v>
      </c>
      <c r="D21" s="904">
        <v>0.19646853329341202</v>
      </c>
      <c r="E21" s="818">
        <v>161659</v>
      </c>
      <c r="F21" s="824">
        <v>0.196813207659332</v>
      </c>
      <c r="G21" s="818">
        <v>459.11</v>
      </c>
      <c r="H21" s="824">
        <v>7.5103907560279695E-2</v>
      </c>
      <c r="I21" s="818">
        <v>6989.41</v>
      </c>
      <c r="J21" s="824">
        <v>0.19621778089996098</v>
      </c>
      <c r="K21" s="1068">
        <v>0.98</v>
      </c>
      <c r="L21" s="824">
        <v>6.3096938775510203E-2</v>
      </c>
      <c r="M21" s="818">
        <v>154669.59</v>
      </c>
      <c r="N21" s="824">
        <v>0.19684011457585199</v>
      </c>
      <c r="O21" s="818">
        <v>458.13</v>
      </c>
      <c r="P21" s="824">
        <v>7.5129592037194701E-2</v>
      </c>
      <c r="Q21" s="102">
        <v>1981.75</v>
      </c>
    </row>
    <row r="22" spans="1:32" ht="15.6">
      <c r="A22" s="105"/>
      <c r="B22" s="906"/>
      <c r="C22" s="823"/>
      <c r="D22" s="824"/>
      <c r="E22" s="818"/>
      <c r="F22" s="824"/>
      <c r="G22" s="818"/>
      <c r="H22" s="824"/>
      <c r="I22" s="818"/>
      <c r="J22" s="824"/>
      <c r="K22" s="818"/>
      <c r="L22" s="824"/>
      <c r="M22" s="818"/>
      <c r="N22" s="824"/>
      <c r="O22" s="818"/>
      <c r="P22" s="824"/>
    </row>
    <row r="23" spans="1:32" ht="15.6">
      <c r="A23" s="105"/>
      <c r="B23" s="822" t="s">
        <v>2723</v>
      </c>
      <c r="C23" s="823">
        <v>704143.07296000002</v>
      </c>
      <c r="D23" s="904">
        <v>0.16854731047961599</v>
      </c>
      <c r="E23" s="818">
        <v>686642.04116000002</v>
      </c>
      <c r="F23" s="824">
        <v>0.17168021373314202</v>
      </c>
      <c r="G23" s="818">
        <v>17501.031800000001</v>
      </c>
      <c r="H23" s="824">
        <v>4.5629809994974097E-2</v>
      </c>
      <c r="I23" s="818">
        <v>30403.368859999999</v>
      </c>
      <c r="J23" s="824">
        <v>0.18320920355403</v>
      </c>
      <c r="K23" s="818">
        <v>2021.5659599999999</v>
      </c>
      <c r="L23" s="824">
        <v>6.00389596241519E-2</v>
      </c>
      <c r="M23" s="818">
        <v>656238.67229999998</v>
      </c>
      <c r="N23" s="824">
        <v>0.17114607860075398</v>
      </c>
      <c r="O23" s="818">
        <v>15479.465840000001</v>
      </c>
      <c r="P23" s="824">
        <v>4.3748023717335202E-2</v>
      </c>
      <c r="Q23" s="102">
        <v>19954.55227</v>
      </c>
    </row>
    <row r="24" spans="1:32" ht="15.6">
      <c r="A24" s="105"/>
      <c r="B24" s="906"/>
      <c r="C24" s="823"/>
      <c r="D24" s="824"/>
      <c r="E24" s="818"/>
      <c r="F24" s="824"/>
      <c r="G24" s="818"/>
      <c r="H24" s="824"/>
      <c r="I24" s="818"/>
      <c r="J24" s="824"/>
      <c r="K24" s="818"/>
      <c r="L24" s="824"/>
      <c r="M24" s="818"/>
      <c r="N24" s="824"/>
      <c r="O24" s="818"/>
      <c r="P24" s="824"/>
    </row>
    <row r="25" spans="1:32" ht="15.6">
      <c r="A25" s="105"/>
      <c r="B25" s="822" t="s">
        <v>2724</v>
      </c>
      <c r="C25" s="823">
        <v>409672.14</v>
      </c>
      <c r="D25" s="904">
        <v>0.19273694988387502</v>
      </c>
      <c r="E25" s="818">
        <v>408513.21</v>
      </c>
      <c r="F25" s="824">
        <v>0.19306773672753402</v>
      </c>
      <c r="G25" s="818">
        <v>1158.93</v>
      </c>
      <c r="H25" s="824">
        <v>7.6137331849205708E-2</v>
      </c>
      <c r="I25" s="818">
        <v>28602.18</v>
      </c>
      <c r="J25" s="824">
        <v>0.17701974734093701</v>
      </c>
      <c r="K25" s="818">
        <v>9.9700000000000006</v>
      </c>
      <c r="L25" s="824">
        <v>5.4332998996990997E-2</v>
      </c>
      <c r="M25" s="818">
        <v>379911.03</v>
      </c>
      <c r="N25" s="824">
        <v>0.194275934028554</v>
      </c>
      <c r="O25" s="818">
        <v>1148.96</v>
      </c>
      <c r="P25" s="824">
        <v>7.6326537042194692E-2</v>
      </c>
      <c r="Q25" s="102">
        <v>8697.43</v>
      </c>
    </row>
    <row r="26" spans="1:32" ht="15.6">
      <c r="A26" s="105"/>
      <c r="B26" s="906"/>
      <c r="C26" s="823"/>
      <c r="D26" s="824"/>
      <c r="E26" s="818"/>
      <c r="F26" s="824"/>
      <c r="G26" s="818"/>
      <c r="H26" s="824"/>
      <c r="I26" s="818"/>
      <c r="J26" s="824"/>
      <c r="K26" s="818"/>
      <c r="L26" s="824"/>
      <c r="M26" s="818"/>
      <c r="N26" s="824"/>
      <c r="O26" s="818"/>
      <c r="P26" s="824"/>
    </row>
    <row r="27" spans="1:32" ht="15.6">
      <c r="A27" s="105"/>
      <c r="B27" s="822" t="s">
        <v>2725</v>
      </c>
      <c r="C27" s="823">
        <v>444699.21</v>
      </c>
      <c r="D27" s="904">
        <v>0.18468170151010599</v>
      </c>
      <c r="E27" s="818">
        <v>435721.41</v>
      </c>
      <c r="F27" s="824">
        <v>0.18726504629185001</v>
      </c>
      <c r="G27" s="818">
        <v>8977.7999999999993</v>
      </c>
      <c r="H27" s="824">
        <v>5.9303699013121297E-2</v>
      </c>
      <c r="I27" s="818">
        <v>20646.259999999998</v>
      </c>
      <c r="J27" s="824">
        <v>0.19446555720018999</v>
      </c>
      <c r="K27" s="818">
        <v>1666.08</v>
      </c>
      <c r="L27" s="824">
        <v>7.5082036876980701E-2</v>
      </c>
      <c r="M27" s="818">
        <v>415075.15</v>
      </c>
      <c r="N27" s="824">
        <v>0.18690688555795301</v>
      </c>
      <c r="O27" s="818">
        <v>7311.72</v>
      </c>
      <c r="P27" s="824">
        <v>5.5708379013419601E-2</v>
      </c>
      <c r="Q27" s="102">
        <v>5769.49</v>
      </c>
    </row>
    <row r="28" spans="1:32" ht="15.6">
      <c r="A28" s="105"/>
      <c r="B28" s="906"/>
      <c r="C28" s="823"/>
      <c r="D28" s="824"/>
      <c r="E28" s="818"/>
      <c r="F28" s="824"/>
      <c r="G28" s="818"/>
      <c r="H28" s="824"/>
      <c r="I28" s="818"/>
      <c r="J28" s="824"/>
      <c r="K28" s="818"/>
      <c r="L28" s="824"/>
      <c r="M28" s="818"/>
      <c r="N28" s="824"/>
      <c r="O28" s="818"/>
      <c r="P28" s="824"/>
      <c r="S28" s="465"/>
      <c r="T28" s="466"/>
      <c r="U28" s="465"/>
      <c r="V28" s="467"/>
      <c r="W28" s="465"/>
      <c r="X28" s="466"/>
      <c r="Y28" s="465"/>
      <c r="Z28" s="466"/>
      <c r="AA28" s="465"/>
      <c r="AB28" s="466"/>
      <c r="AC28" s="465"/>
      <c r="AD28" s="466"/>
      <c r="AE28" s="465"/>
      <c r="AF28" s="466"/>
    </row>
    <row r="29" spans="1:32" ht="15.6">
      <c r="A29" s="105"/>
      <c r="B29" s="822" t="s">
        <v>199</v>
      </c>
      <c r="C29" s="823">
        <v>412544.73</v>
      </c>
      <c r="D29" s="904">
        <v>0.171141365424787</v>
      </c>
      <c r="E29" s="818">
        <v>391653.13</v>
      </c>
      <c r="F29" s="824">
        <v>0.17682663635038501</v>
      </c>
      <c r="G29" s="818">
        <v>20891.599999999999</v>
      </c>
      <c r="H29" s="824">
        <v>6.4560052700606899E-2</v>
      </c>
      <c r="I29" s="818">
        <v>13507.63</v>
      </c>
      <c r="J29" s="824">
        <v>0.19290711731073501</v>
      </c>
      <c r="K29" s="818">
        <v>4654.83</v>
      </c>
      <c r="L29" s="824">
        <v>5.5666150643525099E-2</v>
      </c>
      <c r="M29" s="818">
        <v>378145.5</v>
      </c>
      <c r="N29" s="824">
        <v>0.17625222997232498</v>
      </c>
      <c r="O29" s="818">
        <v>16236.77</v>
      </c>
      <c r="P29" s="824">
        <v>6.7109796406551292E-2</v>
      </c>
      <c r="Q29" s="102">
        <v>4539.21</v>
      </c>
      <c r="S29" s="468"/>
      <c r="T29" s="468"/>
      <c r="U29" s="469"/>
      <c r="V29" s="470"/>
      <c r="W29" s="469"/>
      <c r="X29" s="471"/>
      <c r="Y29" s="469"/>
      <c r="Z29" s="471"/>
      <c r="AA29" s="469"/>
      <c r="AB29" s="471"/>
      <c r="AC29" s="469"/>
      <c r="AD29" s="471"/>
      <c r="AE29" s="469"/>
      <c r="AF29" s="471"/>
    </row>
    <row r="30" spans="1:32" ht="15.6">
      <c r="A30" s="105"/>
      <c r="B30" s="906"/>
      <c r="C30" s="823"/>
      <c r="D30" s="824"/>
      <c r="E30" s="818"/>
      <c r="F30" s="824"/>
      <c r="G30" s="818"/>
      <c r="H30" s="824"/>
      <c r="I30" s="818"/>
      <c r="J30" s="824"/>
      <c r="K30" s="818"/>
      <c r="L30" s="824"/>
      <c r="M30" s="818"/>
      <c r="N30" s="824"/>
      <c r="O30" s="818"/>
      <c r="P30" s="824"/>
      <c r="S30" s="472"/>
      <c r="T30" s="472"/>
      <c r="U30" s="472"/>
      <c r="V30" s="472"/>
      <c r="W30" s="472"/>
      <c r="X30" s="472"/>
      <c r="Y30" s="472"/>
      <c r="Z30" s="472"/>
      <c r="AA30" s="472"/>
      <c r="AB30" s="473"/>
      <c r="AC30" s="472"/>
      <c r="AD30" s="472"/>
      <c r="AE30" s="472"/>
      <c r="AF30" s="472"/>
    </row>
    <row r="31" spans="1:32" ht="15.6">
      <c r="A31" s="105"/>
      <c r="B31" s="822" t="s">
        <v>2726</v>
      </c>
      <c r="C31" s="823">
        <v>552851.16</v>
      </c>
      <c r="D31" s="904">
        <v>0.190515266052801</v>
      </c>
      <c r="E31" s="818">
        <v>550849.78</v>
      </c>
      <c r="F31" s="824">
        <v>0.190939547493329</v>
      </c>
      <c r="G31" s="818">
        <v>2001.38</v>
      </c>
      <c r="H31" s="824">
        <v>7.3738173160519199E-2</v>
      </c>
      <c r="I31" s="818">
        <v>26736.3</v>
      </c>
      <c r="J31" s="824">
        <v>0.183360153162554</v>
      </c>
      <c r="K31" s="818">
        <v>301.35000000000002</v>
      </c>
      <c r="L31" s="824">
        <v>6.8208644433383106E-2</v>
      </c>
      <c r="M31" s="818">
        <v>524113.48</v>
      </c>
      <c r="N31" s="824">
        <v>0.19132619078410301</v>
      </c>
      <c r="O31" s="818">
        <v>1700.03</v>
      </c>
      <c r="P31" s="824">
        <v>7.4718346146832704E-2</v>
      </c>
      <c r="Q31" s="102">
        <v>8165.27</v>
      </c>
      <c r="S31" s="474"/>
      <c r="T31" s="475"/>
      <c r="U31" s="475"/>
      <c r="V31" s="475"/>
      <c r="W31" s="476"/>
      <c r="X31" s="475"/>
      <c r="Y31" s="476"/>
      <c r="Z31" s="475"/>
      <c r="AA31" s="476"/>
      <c r="AB31" s="475"/>
      <c r="AC31" s="476"/>
      <c r="AD31" s="475"/>
      <c r="AE31" s="476"/>
      <c r="AF31" s="475"/>
    </row>
    <row r="32" spans="1:32" ht="15.6">
      <c r="A32" s="105"/>
      <c r="B32" s="906"/>
      <c r="C32" s="823"/>
      <c r="D32" s="824"/>
      <c r="E32" s="818"/>
      <c r="F32" s="824"/>
      <c r="G32" s="818"/>
      <c r="H32" s="824"/>
      <c r="I32" s="818"/>
      <c r="J32" s="824"/>
      <c r="K32" s="818"/>
      <c r="L32" s="824"/>
      <c r="M32" s="818"/>
      <c r="N32" s="824"/>
      <c r="O32" s="818"/>
      <c r="P32" s="824"/>
      <c r="S32" s="280"/>
      <c r="T32" s="280"/>
      <c r="U32" s="280"/>
      <c r="V32" s="47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22" t="s">
        <v>2727</v>
      </c>
      <c r="C33" s="823">
        <v>479574.29</v>
      </c>
      <c r="D33" s="824">
        <v>0.186042598862003</v>
      </c>
      <c r="E33" s="818">
        <v>475807.44</v>
      </c>
      <c r="F33" s="824">
        <v>0.187020713528565</v>
      </c>
      <c r="G33" s="818">
        <v>3766.85</v>
      </c>
      <c r="H33" s="824">
        <v>6.2492620624659899E-2</v>
      </c>
      <c r="I33" s="818">
        <v>18315.61</v>
      </c>
      <c r="J33" s="824">
        <v>0.18373448342697798</v>
      </c>
      <c r="K33" s="818">
        <v>2600.83</v>
      </c>
      <c r="L33" s="824">
        <v>5.8271511017636703E-2</v>
      </c>
      <c r="M33" s="818">
        <v>457491.83</v>
      </c>
      <c r="N33" s="824">
        <v>0.18715227720897201</v>
      </c>
      <c r="O33" s="818">
        <v>1166.02</v>
      </c>
      <c r="P33" s="824">
        <v>7.1907886657175707E-2</v>
      </c>
      <c r="Q33" s="102">
        <v>7766.79</v>
      </c>
      <c r="S33" s="280"/>
      <c r="T33" s="280"/>
      <c r="U33" s="280"/>
      <c r="V33" s="47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906"/>
      <c r="C34" s="823"/>
      <c r="D34" s="824"/>
      <c r="E34" s="818"/>
      <c r="F34" s="824"/>
      <c r="G34" s="818"/>
      <c r="H34" s="824"/>
      <c r="I34" s="818"/>
      <c r="J34" s="824"/>
      <c r="K34" s="818"/>
      <c r="L34" s="824"/>
      <c r="M34" s="818"/>
      <c r="N34" s="824"/>
      <c r="O34" s="818"/>
      <c r="P34" s="824"/>
      <c r="S34" s="280"/>
      <c r="T34" s="280"/>
      <c r="U34" s="280"/>
      <c r="V34" s="47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22" t="s">
        <v>2728</v>
      </c>
      <c r="C35" s="823">
        <v>253845.61</v>
      </c>
      <c r="D35" s="824">
        <v>0.18898133417000998</v>
      </c>
      <c r="E35" s="818">
        <v>252091.33</v>
      </c>
      <c r="F35" s="824">
        <v>0.18981832660012501</v>
      </c>
      <c r="G35" s="818">
        <v>1754.28</v>
      </c>
      <c r="H35" s="824">
        <v>6.8704904576236403E-2</v>
      </c>
      <c r="I35" s="818">
        <v>12434.78</v>
      </c>
      <c r="J35" s="824">
        <v>0.169375135225553</v>
      </c>
      <c r="K35" s="1068">
        <v>223.86</v>
      </c>
      <c r="L35" s="824">
        <v>5.9233449477351902E-2</v>
      </c>
      <c r="M35" s="818">
        <v>239656.55</v>
      </c>
      <c r="N35" s="824">
        <v>0.19087903863674899</v>
      </c>
      <c r="O35" s="818">
        <v>1530.42</v>
      </c>
      <c r="P35" s="824">
        <v>7.0090328145215E-2</v>
      </c>
      <c r="Q35" s="102">
        <v>4117.43</v>
      </c>
      <c r="S35" s="280"/>
      <c r="T35" s="280"/>
      <c r="U35" s="280"/>
      <c r="V35" s="47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906"/>
      <c r="C36" s="823"/>
      <c r="D36" s="824"/>
      <c r="E36" s="818"/>
      <c r="F36" s="824"/>
      <c r="G36" s="818"/>
      <c r="H36" s="824"/>
      <c r="I36" s="818"/>
      <c r="J36" s="824"/>
      <c r="K36" s="818"/>
      <c r="L36" s="824"/>
      <c r="M36" s="818"/>
      <c r="N36" s="824"/>
      <c r="O36" s="818"/>
      <c r="P36" s="824"/>
      <c r="S36" s="280"/>
      <c r="T36" s="280"/>
      <c r="U36" s="280"/>
      <c r="V36" s="47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22" t="s">
        <v>200</v>
      </c>
      <c r="C37" s="823">
        <v>443520.31</v>
      </c>
      <c r="D37" s="824">
        <v>0.16731037645378599</v>
      </c>
      <c r="E37" s="818">
        <v>392530.88</v>
      </c>
      <c r="F37" s="824">
        <v>0.18055773663463101</v>
      </c>
      <c r="G37" s="818">
        <v>50989.43</v>
      </c>
      <c r="H37" s="824">
        <v>6.5328496102035297E-2</v>
      </c>
      <c r="I37" s="818">
        <v>16372.42</v>
      </c>
      <c r="J37" s="824">
        <v>0.17568973621492698</v>
      </c>
      <c r="K37" s="818">
        <v>17297.12</v>
      </c>
      <c r="L37" s="824">
        <v>6.5133622764945803E-2</v>
      </c>
      <c r="M37" s="818">
        <v>376158.46</v>
      </c>
      <c r="N37" s="824">
        <v>0.180769617945054</v>
      </c>
      <c r="O37" s="818">
        <v>33692.31</v>
      </c>
      <c r="P37" s="824">
        <v>6.5428541112200395E-2</v>
      </c>
      <c r="Q37" s="102">
        <v>4316.92</v>
      </c>
      <c r="S37" s="474">
        <f>SUM(C31,C21)</f>
        <v>714969.27</v>
      </c>
      <c r="T37" s="477"/>
      <c r="U37" s="477"/>
      <c r="V37" s="475"/>
      <c r="W37" s="478"/>
      <c r="X37" s="477"/>
      <c r="Y37" s="478"/>
      <c r="Z37" s="477"/>
      <c r="AA37" s="478"/>
      <c r="AB37" s="477"/>
      <c r="AC37" s="478"/>
      <c r="AD37" s="477"/>
      <c r="AE37" s="478"/>
      <c r="AF37" s="477"/>
    </row>
    <row r="38" spans="1:32" ht="15.6">
      <c r="A38" s="105"/>
      <c r="B38" s="822"/>
      <c r="C38" s="823"/>
      <c r="D38" s="835"/>
      <c r="E38" s="818"/>
      <c r="F38" s="835"/>
      <c r="G38" s="818"/>
      <c r="H38" s="835"/>
      <c r="I38" s="818"/>
      <c r="J38" s="835"/>
      <c r="K38" s="818"/>
      <c r="L38" s="835"/>
      <c r="M38" s="818"/>
      <c r="N38" s="835"/>
      <c r="O38" s="818"/>
      <c r="P38" s="835"/>
      <c r="S38" s="474"/>
      <c r="T38" s="477"/>
      <c r="U38" s="477"/>
      <c r="V38" s="475"/>
      <c r="W38" s="478"/>
      <c r="X38" s="477"/>
      <c r="Y38" s="478"/>
      <c r="Z38" s="477"/>
      <c r="AA38" s="478"/>
      <c r="AB38" s="477"/>
      <c r="AC38" s="478"/>
      <c r="AD38" s="477"/>
      <c r="AE38" s="478"/>
      <c r="AF38" s="477"/>
    </row>
    <row r="39" spans="1:32" ht="15.6">
      <c r="A39" s="105"/>
      <c r="B39" s="822" t="s">
        <v>2729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 t="s">
        <v>93</v>
      </c>
      <c r="O39" s="823" t="s">
        <v>93</v>
      </c>
      <c r="P39" s="823" t="s">
        <v>93</v>
      </c>
      <c r="Q39" s="102">
        <v>0</v>
      </c>
      <c r="S39" s="280"/>
      <c r="T39" s="280"/>
      <c r="U39" s="280"/>
      <c r="V39" s="47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906"/>
      <c r="C40" s="823"/>
      <c r="D40" s="824"/>
      <c r="E40" s="818"/>
      <c r="F40" s="824"/>
      <c r="G40" s="818"/>
      <c r="H40" s="824"/>
      <c r="I40" s="818"/>
      <c r="J40" s="824"/>
      <c r="K40" s="818"/>
      <c r="L40" s="824"/>
      <c r="M40" s="818"/>
      <c r="N40" s="824"/>
      <c r="O40" s="818"/>
      <c r="P40" s="824"/>
      <c r="S40" s="280"/>
      <c r="T40" s="280"/>
      <c r="U40" s="280"/>
      <c r="V40" s="47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26" t="s">
        <v>2730</v>
      </c>
      <c r="C41" s="905">
        <v>379466.7</v>
      </c>
      <c r="D41" s="836">
        <v>0.18742107653978601</v>
      </c>
      <c r="E41" s="828">
        <v>367384.84</v>
      </c>
      <c r="F41" s="836">
        <v>0.19170752983438302</v>
      </c>
      <c r="G41" s="828">
        <v>12081.86</v>
      </c>
      <c r="H41" s="836">
        <v>5.7078732082642893E-2</v>
      </c>
      <c r="I41" s="828">
        <v>10806.93</v>
      </c>
      <c r="J41" s="836">
        <v>0.193724375100051</v>
      </c>
      <c r="K41" s="828">
        <v>53.65</v>
      </c>
      <c r="L41" s="836">
        <v>6.8475302889096007E-2</v>
      </c>
      <c r="M41" s="828">
        <v>356577.91</v>
      </c>
      <c r="N41" s="836">
        <v>0.191646404607621</v>
      </c>
      <c r="O41" s="828">
        <v>12028.21</v>
      </c>
      <c r="P41" s="836">
        <v>5.70278994131296E-2</v>
      </c>
      <c r="Q41" s="102">
        <v>6581.27</v>
      </c>
      <c r="S41" s="474"/>
      <c r="T41" s="477"/>
      <c r="U41" s="477"/>
      <c r="V41" s="475"/>
      <c r="W41" s="474"/>
      <c r="X41" s="477"/>
      <c r="Y41" s="474"/>
      <c r="Z41" s="477"/>
      <c r="AA41" s="474"/>
      <c r="AB41" s="477"/>
      <c r="AC41" s="474"/>
      <c r="AD41" s="477"/>
      <c r="AE41" s="474"/>
      <c r="AF41" s="477"/>
    </row>
    <row r="42" spans="1:32" s="892" customFormat="1" ht="45.75" customHeight="1">
      <c r="A42" s="891"/>
      <c r="B42" s="2436" t="s">
        <v>2761</v>
      </c>
      <c r="C42" s="2437"/>
      <c r="D42" s="2437"/>
      <c r="E42" s="2437"/>
      <c r="F42" s="2437"/>
      <c r="G42" s="2437"/>
      <c r="H42" s="2437"/>
      <c r="I42" s="2437"/>
      <c r="J42" s="2437"/>
      <c r="K42" s="2437"/>
      <c r="L42" s="2437"/>
      <c r="M42" s="2437"/>
      <c r="N42" s="2437"/>
      <c r="O42" s="2437"/>
      <c r="P42" s="2437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93"/>
      <c r="AF42" s="893"/>
    </row>
    <row r="43" spans="1:32">
      <c r="S43" s="474"/>
      <c r="T43" s="477"/>
      <c r="U43" s="477"/>
      <c r="V43" s="477"/>
      <c r="W43" s="474"/>
      <c r="X43" s="477"/>
      <c r="Y43" s="474"/>
      <c r="Z43" s="477"/>
      <c r="AA43" s="474"/>
      <c r="AB43" s="477"/>
      <c r="AC43" s="474"/>
      <c r="AD43" s="477"/>
      <c r="AE43" s="474"/>
      <c r="AF43" s="47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4"/>
      <c r="T45" s="477"/>
      <c r="U45" s="477"/>
      <c r="V45" s="477"/>
      <c r="W45" s="474"/>
      <c r="X45" s="477"/>
      <c r="Y45" s="474"/>
      <c r="Z45" s="477"/>
      <c r="AA45" s="474"/>
      <c r="AB45" s="477"/>
      <c r="AC45" s="474"/>
      <c r="AD45" s="477"/>
      <c r="AE45" s="474"/>
      <c r="AF45" s="47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0"/>
  <sheetViews>
    <sheetView showGridLines="0" view="pageBreakPreview" zoomScale="85" zoomScaleSheetLayoutView="85" workbookViewId="0">
      <pane ySplit="17" topLeftCell="A251" activePane="bottomLeft" state="frozen"/>
      <selection activeCell="G291" sqref="G291"/>
      <selection pane="bottomLeft" activeCell="Q292" sqref="Q292"/>
    </sheetView>
  </sheetViews>
  <sheetFormatPr defaultColWidth="8.88671875" defaultRowHeight="12.9" customHeight="1"/>
  <cols>
    <col min="1" max="1" width="10.44140625" style="1950" customWidth="1"/>
    <col min="2" max="2" width="13.33203125" style="1947" customWidth="1"/>
    <col min="3" max="3" width="11.109375" style="1947" customWidth="1"/>
    <col min="4" max="4" width="14.88671875" style="1947" customWidth="1"/>
    <col min="5" max="5" width="14" style="1947" customWidth="1"/>
    <col min="6" max="6" width="14.88671875" style="1947" customWidth="1"/>
    <col min="7" max="7" width="14" style="1947" customWidth="1"/>
    <col min="8" max="8" width="11.109375" style="1947" customWidth="1"/>
    <col min="9" max="9" width="14.88671875" style="1947" customWidth="1"/>
    <col min="10" max="10" width="14" style="1947" customWidth="1"/>
    <col min="11" max="11" width="14.88671875" style="1947" customWidth="1"/>
    <col min="12" max="12" width="14" style="1947" customWidth="1"/>
    <col min="13" max="13" width="11.109375" style="1947" customWidth="1"/>
    <col min="14" max="14" width="14.88671875" style="1947" customWidth="1"/>
    <col min="15" max="15" width="14" style="1947" customWidth="1"/>
    <col min="16" max="16" width="14.88671875" style="1947" customWidth="1"/>
    <col min="17" max="17" width="14" style="1947" customWidth="1"/>
    <col min="18" max="21" width="20" style="1947" hidden="1" customWidth="1"/>
    <col min="22" max="24" width="20" style="1947" customWidth="1"/>
    <col min="25" max="79" width="8.88671875" style="1947"/>
    <col min="80" max="80" width="0" style="1947" hidden="1" customWidth="1"/>
    <col min="81" max="16384" width="8.88671875" style="1947"/>
  </cols>
  <sheetData>
    <row r="2" spans="1:81" ht="22.5" customHeight="1">
      <c r="A2" s="2445" t="s">
        <v>2806</v>
      </c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2445"/>
      <c r="O2" s="2445"/>
      <c r="P2" s="2445"/>
      <c r="Q2" s="2445"/>
    </row>
    <row r="3" spans="1:81" ht="27" customHeight="1">
      <c r="A3" s="2446" t="s">
        <v>2807</v>
      </c>
      <c r="B3" s="2446"/>
      <c r="C3" s="2446"/>
      <c r="D3" s="2446"/>
      <c r="E3" s="2446"/>
      <c r="F3" s="2446"/>
      <c r="G3" s="2446"/>
      <c r="H3" s="2446"/>
      <c r="I3" s="2446"/>
      <c r="J3" s="2446"/>
      <c r="K3" s="2446"/>
      <c r="L3" s="2446"/>
      <c r="M3" s="2446"/>
      <c r="N3" s="2446"/>
      <c r="O3" s="2446"/>
      <c r="P3" s="2446"/>
      <c r="Q3" s="2446"/>
    </row>
    <row r="4" spans="1:81" s="1949" customFormat="1" ht="15" customHeight="1">
      <c r="A4" s="1948"/>
      <c r="B4" s="1948"/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</row>
    <row r="5" spans="1:81" s="1949" customFormat="1" ht="15" customHeight="1">
      <c r="A5" s="2447" t="s">
        <v>8</v>
      </c>
      <c r="B5" s="2447"/>
      <c r="C5" s="2447"/>
      <c r="D5" s="2447"/>
      <c r="E5" s="2447"/>
      <c r="F5" s="2447"/>
      <c r="G5" s="2447"/>
      <c r="H5" s="2447"/>
      <c r="I5" s="2447"/>
      <c r="J5" s="2447"/>
      <c r="K5" s="2447"/>
      <c r="L5" s="2447"/>
      <c r="M5" s="2447"/>
      <c r="N5" s="2447"/>
      <c r="O5" s="2447"/>
      <c r="P5" s="2447"/>
      <c r="Q5" s="2447"/>
    </row>
    <row r="6" spans="1:81" s="1950" customFormat="1" ht="15.6">
      <c r="A6" s="2444" t="s">
        <v>182</v>
      </c>
      <c r="B6" s="2444" t="s">
        <v>204</v>
      </c>
      <c r="C6" s="2444" t="s">
        <v>205</v>
      </c>
      <c r="D6" s="2444"/>
      <c r="E6" s="2444"/>
      <c r="F6" s="2444"/>
      <c r="G6" s="2444"/>
      <c r="H6" s="2444" t="s">
        <v>1275</v>
      </c>
      <c r="I6" s="2444"/>
      <c r="J6" s="2444"/>
      <c r="K6" s="2444"/>
      <c r="L6" s="2444"/>
      <c r="M6" s="2444" t="s">
        <v>206</v>
      </c>
      <c r="N6" s="2444"/>
      <c r="O6" s="2444"/>
      <c r="P6" s="2444"/>
      <c r="Q6" s="2444"/>
    </row>
    <row r="7" spans="1:81" s="1950" customFormat="1" ht="15.6">
      <c r="A7" s="2444"/>
      <c r="B7" s="2444"/>
      <c r="C7" s="2444" t="s">
        <v>145</v>
      </c>
      <c r="D7" s="2444" t="s">
        <v>189</v>
      </c>
      <c r="E7" s="2444"/>
      <c r="F7" s="2444" t="s">
        <v>207</v>
      </c>
      <c r="G7" s="2444"/>
      <c r="H7" s="2444" t="s">
        <v>145</v>
      </c>
      <c r="I7" s="2444" t="s">
        <v>189</v>
      </c>
      <c r="J7" s="2444"/>
      <c r="K7" s="2444" t="s">
        <v>207</v>
      </c>
      <c r="L7" s="2444"/>
      <c r="M7" s="2444" t="s">
        <v>145</v>
      </c>
      <c r="N7" s="2444" t="s">
        <v>189</v>
      </c>
      <c r="O7" s="2444"/>
      <c r="P7" s="2444" t="s">
        <v>207</v>
      </c>
      <c r="Q7" s="2444"/>
      <c r="CC7" s="1951"/>
    </row>
    <row r="8" spans="1:81" s="1950" customFormat="1" ht="15.6">
      <c r="A8" s="2444"/>
      <c r="B8" s="2444"/>
      <c r="C8" s="2444"/>
      <c r="D8" s="2444" t="s">
        <v>208</v>
      </c>
      <c r="E8" s="2444" t="s">
        <v>209</v>
      </c>
      <c r="F8" s="2444" t="s">
        <v>208</v>
      </c>
      <c r="G8" s="2444" t="s">
        <v>209</v>
      </c>
      <c r="H8" s="2444"/>
      <c r="I8" s="2444" t="s">
        <v>208</v>
      </c>
      <c r="J8" s="2444" t="s">
        <v>209</v>
      </c>
      <c r="K8" s="2444" t="s">
        <v>208</v>
      </c>
      <c r="L8" s="2444" t="s">
        <v>209</v>
      </c>
      <c r="M8" s="2444"/>
      <c r="N8" s="2444" t="s">
        <v>208</v>
      </c>
      <c r="O8" s="2444" t="s">
        <v>209</v>
      </c>
      <c r="P8" s="2444" t="s">
        <v>208</v>
      </c>
      <c r="Q8" s="2444" t="s">
        <v>209</v>
      </c>
    </row>
    <row r="9" spans="1:81" s="1950" customFormat="1" ht="15.6">
      <c r="A9" s="2444"/>
      <c r="B9" s="2444"/>
      <c r="C9" s="2444"/>
      <c r="D9" s="2444"/>
      <c r="E9" s="2444"/>
      <c r="F9" s="2444"/>
      <c r="G9" s="2444"/>
      <c r="H9" s="2444"/>
      <c r="I9" s="2444"/>
      <c r="J9" s="2444"/>
      <c r="K9" s="2444"/>
      <c r="L9" s="2444"/>
      <c r="M9" s="2444"/>
      <c r="N9" s="2444"/>
      <c r="O9" s="2444"/>
      <c r="P9" s="2444"/>
      <c r="Q9" s="2444"/>
    </row>
    <row r="10" spans="1:81" ht="15.6">
      <c r="A10" s="2443"/>
      <c r="B10" s="2443"/>
      <c r="C10" s="2443"/>
      <c r="D10" s="2443"/>
      <c r="E10" s="2443"/>
      <c r="F10" s="2443"/>
      <c r="G10" s="2443"/>
      <c r="H10" s="2443"/>
      <c r="I10" s="2443"/>
      <c r="J10" s="2443"/>
      <c r="K10" s="2443"/>
      <c r="L10" s="2443"/>
      <c r="M10" s="2443"/>
      <c r="N10" s="2443"/>
      <c r="O10" s="2443"/>
      <c r="P10" s="2443"/>
      <c r="Q10" s="2443"/>
    </row>
    <row r="11" spans="1:81" ht="15.6">
      <c r="A11" s="2443" t="s">
        <v>304</v>
      </c>
      <c r="B11" s="2443" t="s">
        <v>210</v>
      </c>
      <c r="C11" s="2443" t="s">
        <v>177</v>
      </c>
      <c r="D11" s="2443"/>
      <c r="E11" s="2443"/>
      <c r="F11" s="2443"/>
      <c r="G11" s="2443"/>
      <c r="H11" s="2443" t="s">
        <v>1212</v>
      </c>
      <c r="I11" s="2443"/>
      <c r="J11" s="2443"/>
      <c r="K11" s="2443"/>
      <c r="L11" s="2443"/>
      <c r="M11" s="2443" t="s">
        <v>1199</v>
      </c>
      <c r="N11" s="2443"/>
      <c r="O11" s="2443"/>
      <c r="P11" s="2443"/>
      <c r="Q11" s="2443"/>
    </row>
    <row r="12" spans="1:81" ht="15.6">
      <c r="A12" s="2443"/>
      <c r="B12" s="2443"/>
      <c r="C12" s="2443" t="s">
        <v>211</v>
      </c>
      <c r="D12" s="2443" t="s">
        <v>212</v>
      </c>
      <c r="E12" s="2443"/>
      <c r="F12" s="2443" t="s">
        <v>213</v>
      </c>
      <c r="G12" s="2443"/>
      <c r="H12" s="2443" t="s">
        <v>211</v>
      </c>
      <c r="I12" s="2443" t="s">
        <v>212</v>
      </c>
      <c r="J12" s="2443"/>
      <c r="K12" s="2443" t="s">
        <v>213</v>
      </c>
      <c r="L12" s="2443"/>
      <c r="M12" s="2443" t="s">
        <v>211</v>
      </c>
      <c r="N12" s="2443" t="s">
        <v>212</v>
      </c>
      <c r="O12" s="2443"/>
      <c r="P12" s="2443" t="s">
        <v>213</v>
      </c>
      <c r="Q12" s="2443"/>
    </row>
    <row r="13" spans="1:81" ht="31.2">
      <c r="A13" s="2443"/>
      <c r="B13" s="2443"/>
      <c r="C13" s="2443"/>
      <c r="D13" s="1944" t="s">
        <v>214</v>
      </c>
      <c r="E13" s="1944" t="s">
        <v>215</v>
      </c>
      <c r="F13" s="1944" t="s">
        <v>214</v>
      </c>
      <c r="G13" s="1945" t="s">
        <v>215</v>
      </c>
      <c r="H13" s="2443"/>
      <c r="I13" s="1944" t="s">
        <v>214</v>
      </c>
      <c r="J13" s="1945" t="s">
        <v>215</v>
      </c>
      <c r="K13" s="1944" t="s">
        <v>214</v>
      </c>
      <c r="L13" s="1945" t="s">
        <v>215</v>
      </c>
      <c r="M13" s="2443"/>
      <c r="N13" s="1944" t="s">
        <v>214</v>
      </c>
      <c r="O13" s="1945" t="s">
        <v>215</v>
      </c>
      <c r="P13" s="1944" t="s">
        <v>214</v>
      </c>
      <c r="Q13" s="1945" t="s">
        <v>215</v>
      </c>
      <c r="R13" s="1952" t="s">
        <v>1865</v>
      </c>
      <c r="S13" s="1952" t="s">
        <v>1866</v>
      </c>
      <c r="T13" s="1952" t="s">
        <v>2576</v>
      </c>
      <c r="U13" s="1952" t="s">
        <v>2577</v>
      </c>
    </row>
    <row r="14" spans="1:81" ht="15.6" hidden="1">
      <c r="A14" s="1953">
        <v>2001</v>
      </c>
      <c r="B14" s="1954">
        <f>+C14+M14</f>
        <v>412.97515686106203</v>
      </c>
      <c r="C14" s="1955">
        <f>+D14+E14+F14+G14</f>
        <v>117.02368425330999</v>
      </c>
      <c r="D14" s="1955">
        <v>1.8598273348560002</v>
      </c>
      <c r="E14" s="1955">
        <v>10.181434441135998</v>
      </c>
      <c r="F14" s="1955">
        <v>33.687188488229999</v>
      </c>
      <c r="G14" s="1955">
        <v>71.295233989088004</v>
      </c>
      <c r="H14" s="1955">
        <f>+I14+J14+K14+L14</f>
        <v>295.95147260775201</v>
      </c>
      <c r="I14" s="1955">
        <v>47.58869427729401</v>
      </c>
      <c r="J14" s="1955">
        <v>3.4380445627579999</v>
      </c>
      <c r="K14" s="1955">
        <v>162.03836786259998</v>
      </c>
      <c r="L14" s="1955">
        <v>82.886365905099993</v>
      </c>
      <c r="M14" s="1955">
        <f>+N14+O14+P14+Q14</f>
        <v>295.95147260775201</v>
      </c>
      <c r="N14" s="1955">
        <v>47.58869427729401</v>
      </c>
      <c r="O14" s="1955">
        <v>3.4380445627579999</v>
      </c>
      <c r="P14" s="1955">
        <v>162.03836786259998</v>
      </c>
      <c r="Q14" s="1956">
        <v>82.886365905099993</v>
      </c>
      <c r="R14" s="1955">
        <v>49.44852161215001</v>
      </c>
      <c r="S14" s="1955">
        <v>13.619479003893998</v>
      </c>
      <c r="T14" s="1955">
        <v>195.72555635082998</v>
      </c>
      <c r="U14" s="1955">
        <v>154.181599894188</v>
      </c>
      <c r="V14" s="1955"/>
    </row>
    <row r="15" spans="1:81" ht="15.6" hidden="1">
      <c r="A15" s="1953">
        <v>2002</v>
      </c>
      <c r="B15" s="1954">
        <f t="shared" ref="B15:B77" si="0">+C15+M15</f>
        <v>483.15978184729602</v>
      </c>
      <c r="C15" s="1955">
        <f>+D15+E15+F15+G15</f>
        <v>153.45411193965603</v>
      </c>
      <c r="D15" s="1955">
        <v>3.5223037435799998</v>
      </c>
      <c r="E15" s="1955">
        <v>9.9774402997900005</v>
      </c>
      <c r="F15" s="1955">
        <v>27.348646649591995</v>
      </c>
      <c r="G15" s="1955">
        <v>112.60572124669403</v>
      </c>
      <c r="H15" s="1955">
        <f>+I15+J15+K15+L15</f>
        <v>329.70566990764002</v>
      </c>
      <c r="I15" s="1955">
        <v>59.712269845920005</v>
      </c>
      <c r="J15" s="1955">
        <v>2.9712383731839971</v>
      </c>
      <c r="K15" s="1955">
        <v>103.62160357761799</v>
      </c>
      <c r="L15" s="1955">
        <v>163.40055811091804</v>
      </c>
      <c r="M15" s="1955">
        <f t="shared" ref="M15:M77" si="1">+N15+O15+P15+Q15</f>
        <v>329.70566990764002</v>
      </c>
      <c r="N15" s="1955">
        <v>59.712269845920005</v>
      </c>
      <c r="O15" s="1955">
        <v>2.9712383731839971</v>
      </c>
      <c r="P15" s="1955">
        <v>103.62160357761799</v>
      </c>
      <c r="Q15" s="1956">
        <v>163.40055811091804</v>
      </c>
      <c r="R15" s="1955">
        <v>63.234573589500002</v>
      </c>
      <c r="S15" s="1955">
        <v>12.948678672973998</v>
      </c>
      <c r="T15" s="1955">
        <v>130.97025022720999</v>
      </c>
      <c r="U15" s="1955">
        <v>276.00627935761207</v>
      </c>
      <c r="V15" s="1955"/>
    </row>
    <row r="16" spans="1:81" ht="15.6" hidden="1">
      <c r="A16" s="1953">
        <v>2003</v>
      </c>
      <c r="B16" s="1954">
        <f t="shared" si="0"/>
        <v>644.37994144988397</v>
      </c>
      <c r="C16" s="1955">
        <f>+D16+E16+F16+G16</f>
        <v>251.93511738187601</v>
      </c>
      <c r="D16" s="1955">
        <v>7.7400585161379984</v>
      </c>
      <c r="E16" s="1955">
        <v>11.246076919432003</v>
      </c>
      <c r="F16" s="1955">
        <v>40.262415726721997</v>
      </c>
      <c r="G16" s="1955">
        <v>192.68656621958402</v>
      </c>
      <c r="H16" s="1955">
        <f>+I16+J16+K16+L16</f>
        <v>392.44482406800802</v>
      </c>
      <c r="I16" s="1955">
        <v>89.564187967094</v>
      </c>
      <c r="J16" s="1955">
        <v>11.627330259122001</v>
      </c>
      <c r="K16" s="1955">
        <v>152.75450807743402</v>
      </c>
      <c r="L16" s="1955">
        <v>138.49879776435799</v>
      </c>
      <c r="M16" s="1955">
        <f t="shared" si="1"/>
        <v>392.44482406800802</v>
      </c>
      <c r="N16" s="1955">
        <v>89.564187967094</v>
      </c>
      <c r="O16" s="1955">
        <v>11.627330259122001</v>
      </c>
      <c r="P16" s="1955">
        <v>152.75450807743402</v>
      </c>
      <c r="Q16" s="1956">
        <v>138.49879776435799</v>
      </c>
      <c r="R16" s="1955">
        <v>97.304246483231992</v>
      </c>
      <c r="S16" s="1955">
        <v>22.873407178554004</v>
      </c>
      <c r="T16" s="1955">
        <v>193.01692380415602</v>
      </c>
      <c r="U16" s="1955">
        <v>331.18536398394201</v>
      </c>
      <c r="V16" s="1955"/>
    </row>
    <row r="17" spans="1:22" ht="15.6" hidden="1">
      <c r="A17" s="1953">
        <v>2004</v>
      </c>
      <c r="B17" s="1954">
        <f>+C17+M17</f>
        <v>1118.0426953927879</v>
      </c>
      <c r="C17" s="1955">
        <f>+D17+E17+F17+G17</f>
        <v>403.12769143106192</v>
      </c>
      <c r="D17" s="1955">
        <v>15.955597224904</v>
      </c>
      <c r="E17" s="1955">
        <v>14.174613427751998</v>
      </c>
      <c r="F17" s="1955">
        <v>61.031647387751995</v>
      </c>
      <c r="G17" s="1955">
        <v>311.96583339065393</v>
      </c>
      <c r="H17" s="1955">
        <f>+I17+J17+K17+L17</f>
        <v>714.91500396172592</v>
      </c>
      <c r="I17" s="1955">
        <v>177.52197048484396</v>
      </c>
      <c r="J17" s="1955">
        <v>14.259139113799998</v>
      </c>
      <c r="K17" s="1955">
        <v>248.37984228524402</v>
      </c>
      <c r="L17" s="1955">
        <v>274.75405207783803</v>
      </c>
      <c r="M17" s="1955">
        <f t="shared" si="1"/>
        <v>714.91500396172592</v>
      </c>
      <c r="N17" s="1955">
        <v>177.52197048484396</v>
      </c>
      <c r="O17" s="1955">
        <v>14.259139113799998</v>
      </c>
      <c r="P17" s="1955">
        <v>248.37984228524402</v>
      </c>
      <c r="Q17" s="1956">
        <v>274.75405207783803</v>
      </c>
      <c r="R17" s="1955">
        <v>193.47756770974797</v>
      </c>
      <c r="S17" s="1955">
        <v>28.433752541551996</v>
      </c>
      <c r="T17" s="1955">
        <v>309.41148967299603</v>
      </c>
      <c r="U17" s="1955">
        <v>586.71988546849195</v>
      </c>
      <c r="V17" s="1955"/>
    </row>
    <row r="18" spans="1:22" ht="15.6">
      <c r="A18" s="1957">
        <v>2005</v>
      </c>
      <c r="B18" s="1958">
        <f>+C18+M18</f>
        <v>1368.7164538735801</v>
      </c>
      <c r="C18" s="1958">
        <f>+D18+E18+F18+G18</f>
        <v>494.53391455511206</v>
      </c>
      <c r="D18" s="1958">
        <v>27.779654134526002</v>
      </c>
      <c r="E18" s="1958">
        <v>28.058224396446001</v>
      </c>
      <c r="F18" s="1958">
        <v>82.03544031062799</v>
      </c>
      <c r="G18" s="1958">
        <v>356.66059571351207</v>
      </c>
      <c r="H18" s="1958" t="s">
        <v>93</v>
      </c>
      <c r="I18" s="1958" t="s">
        <v>93</v>
      </c>
      <c r="J18" s="1958" t="s">
        <v>93</v>
      </c>
      <c r="K18" s="1958" t="s">
        <v>93</v>
      </c>
      <c r="L18" s="1958" t="s">
        <v>93</v>
      </c>
      <c r="M18" s="1958">
        <f t="shared" si="1"/>
        <v>874.182539318468</v>
      </c>
      <c r="N18" s="1958">
        <v>204.18628984915802</v>
      </c>
      <c r="O18" s="1958">
        <v>20.166362801447995</v>
      </c>
      <c r="P18" s="1958">
        <v>282.36037415142005</v>
      </c>
      <c r="Q18" s="1958">
        <v>367.46951251644191</v>
      </c>
      <c r="R18" s="1955"/>
      <c r="S18" s="1955"/>
      <c r="T18" s="1955"/>
      <c r="U18" s="1955"/>
      <c r="V18" s="1955"/>
    </row>
    <row r="19" spans="1:22" ht="15.6" hidden="1">
      <c r="A19" s="1959" t="s">
        <v>18</v>
      </c>
      <c r="B19" s="1960">
        <f t="shared" si="0"/>
        <v>1063.4966561646759</v>
      </c>
      <c r="C19" s="1958">
        <f t="shared" ref="C19:C30" si="2">+D19+E19+F19+G19</f>
        <v>406.70491415222199</v>
      </c>
      <c r="D19" s="1960">
        <v>15.134369305978002</v>
      </c>
      <c r="E19" s="1960">
        <v>14.231994775455995</v>
      </c>
      <c r="F19" s="1960">
        <v>60.961454474529994</v>
      </c>
      <c r="G19" s="1960">
        <v>316.37709559625802</v>
      </c>
      <c r="H19" s="1960" t="s">
        <v>93</v>
      </c>
      <c r="I19" s="1960" t="s">
        <v>93</v>
      </c>
      <c r="J19" s="1960" t="s">
        <v>93</v>
      </c>
      <c r="K19" s="1960" t="s">
        <v>93</v>
      </c>
      <c r="L19" s="1960" t="s">
        <v>93</v>
      </c>
      <c r="M19" s="1960">
        <f t="shared" si="1"/>
        <v>656.79174201245382</v>
      </c>
      <c r="N19" s="1960">
        <v>162.47776356627199</v>
      </c>
      <c r="O19" s="1960">
        <v>12.143996220200002</v>
      </c>
      <c r="P19" s="1960">
        <v>236.82087154101976</v>
      </c>
      <c r="Q19" s="1960">
        <v>245.34911068496211</v>
      </c>
      <c r="R19" s="1955">
        <v>177.61213287224999</v>
      </c>
      <c r="S19" s="1955">
        <v>26.375990995655997</v>
      </c>
      <c r="T19" s="1955">
        <v>297.78232601554976</v>
      </c>
      <c r="U19" s="1955">
        <v>561.72620628122013</v>
      </c>
      <c r="V19" s="1955"/>
    </row>
    <row r="20" spans="1:22" ht="15.6" hidden="1">
      <c r="A20" s="1959" t="s">
        <v>19</v>
      </c>
      <c r="B20" s="1960">
        <f t="shared" si="0"/>
        <v>1048.9799363667141</v>
      </c>
      <c r="C20" s="1958">
        <f t="shared" si="2"/>
        <v>413.8254021203</v>
      </c>
      <c r="D20" s="1960">
        <v>17.428663236807999</v>
      </c>
      <c r="E20" s="1960">
        <v>14.947397832992001</v>
      </c>
      <c r="F20" s="1960">
        <v>63.271366458445996</v>
      </c>
      <c r="G20" s="1960">
        <v>318.177974592054</v>
      </c>
      <c r="H20" s="1960" t="s">
        <v>93</v>
      </c>
      <c r="I20" s="1960" t="s">
        <v>93</v>
      </c>
      <c r="J20" s="1960" t="s">
        <v>93</v>
      </c>
      <c r="K20" s="1960" t="s">
        <v>93</v>
      </c>
      <c r="L20" s="1960" t="s">
        <v>93</v>
      </c>
      <c r="M20" s="1960">
        <f t="shared" si="1"/>
        <v>635.15453424641407</v>
      </c>
      <c r="N20" s="1960">
        <v>166.35517436954601</v>
      </c>
      <c r="O20" s="1960">
        <v>13.769888064199998</v>
      </c>
      <c r="P20" s="1960">
        <v>213.39937358376812</v>
      </c>
      <c r="Q20" s="1960">
        <v>241.63009822889995</v>
      </c>
      <c r="R20" s="1955">
        <v>183.78383760635401</v>
      </c>
      <c r="S20" s="1955">
        <v>28.717285897191999</v>
      </c>
      <c r="T20" s="1955">
        <v>276.67074004221411</v>
      </c>
      <c r="U20" s="1955">
        <v>559.80807282095395</v>
      </c>
      <c r="V20" s="1955"/>
    </row>
    <row r="21" spans="1:22" ht="15.6" hidden="1">
      <c r="A21" s="1959" t="s">
        <v>20</v>
      </c>
      <c r="B21" s="1960">
        <f t="shared" si="0"/>
        <v>1053.8228669286777</v>
      </c>
      <c r="C21" s="1958">
        <f t="shared" si="2"/>
        <v>419.606675986852</v>
      </c>
      <c r="D21" s="1960">
        <v>17.625101484098</v>
      </c>
      <c r="E21" s="1960">
        <v>15.050721005593999</v>
      </c>
      <c r="F21" s="1960">
        <v>66.320857953230004</v>
      </c>
      <c r="G21" s="1960">
        <v>320.60999554392998</v>
      </c>
      <c r="H21" s="1960" t="s">
        <v>93</v>
      </c>
      <c r="I21" s="1960" t="s">
        <v>93</v>
      </c>
      <c r="J21" s="1960" t="s">
        <v>93</v>
      </c>
      <c r="K21" s="1960" t="s">
        <v>93</v>
      </c>
      <c r="L21" s="1960" t="s">
        <v>93</v>
      </c>
      <c r="M21" s="1960">
        <f t="shared" si="1"/>
        <v>634.21619094182574</v>
      </c>
      <c r="N21" s="1960">
        <v>162.32582845139001</v>
      </c>
      <c r="O21" s="1960">
        <v>15.985743624199998</v>
      </c>
      <c r="P21" s="1960">
        <v>220.54135063364782</v>
      </c>
      <c r="Q21" s="1960">
        <v>235.36326823258793</v>
      </c>
      <c r="R21" s="1955">
        <v>179.95092993548801</v>
      </c>
      <c r="S21" s="1955">
        <v>31.036464629793997</v>
      </c>
      <c r="T21" s="1955">
        <v>286.86220858687784</v>
      </c>
      <c r="U21" s="1955">
        <v>555.97326377651791</v>
      </c>
      <c r="V21" s="1955"/>
    </row>
    <row r="22" spans="1:22" ht="15.6" hidden="1">
      <c r="A22" s="1959" t="s">
        <v>21</v>
      </c>
      <c r="B22" s="1960">
        <f t="shared" si="0"/>
        <v>1166.0089263965961</v>
      </c>
      <c r="C22" s="1958">
        <f t="shared" si="2"/>
        <v>421.04511378452605</v>
      </c>
      <c r="D22" s="1960">
        <v>20.04431320962</v>
      </c>
      <c r="E22" s="1960">
        <v>16.538387940482007</v>
      </c>
      <c r="F22" s="1960">
        <v>63.881193396003994</v>
      </c>
      <c r="G22" s="1960">
        <v>320.58121923842003</v>
      </c>
      <c r="H22" s="1960" t="s">
        <v>93</v>
      </c>
      <c r="I22" s="1960" t="s">
        <v>93</v>
      </c>
      <c r="J22" s="1960" t="s">
        <v>93</v>
      </c>
      <c r="K22" s="1960" t="s">
        <v>93</v>
      </c>
      <c r="L22" s="1960" t="s">
        <v>93</v>
      </c>
      <c r="M22" s="1960">
        <f t="shared" si="1"/>
        <v>744.96381261207011</v>
      </c>
      <c r="N22" s="1960">
        <v>175.219455213694</v>
      </c>
      <c r="O22" s="1960">
        <v>15.276027790005998</v>
      </c>
      <c r="P22" s="1960">
        <v>249.40081676096003</v>
      </c>
      <c r="Q22" s="1960">
        <v>305.06751284741</v>
      </c>
      <c r="R22" s="1955">
        <v>195.26376842331399</v>
      </c>
      <c r="S22" s="1955">
        <v>31.814415730488005</v>
      </c>
      <c r="T22" s="1955">
        <v>313.28201015696402</v>
      </c>
      <c r="U22" s="1955">
        <v>625.64873208583003</v>
      </c>
      <c r="V22" s="1955"/>
    </row>
    <row r="23" spans="1:22" ht="15.6" hidden="1">
      <c r="A23" s="1959" t="s">
        <v>22</v>
      </c>
      <c r="B23" s="1960">
        <f t="shared" si="0"/>
        <v>1213.5454937892737</v>
      </c>
      <c r="C23" s="1958">
        <f t="shared" si="2"/>
        <v>424.95067404526998</v>
      </c>
      <c r="D23" s="1960">
        <v>20.565216925968002</v>
      </c>
      <c r="E23" s="1960">
        <v>18.779278470721998</v>
      </c>
      <c r="F23" s="1960">
        <v>64.697821114283997</v>
      </c>
      <c r="G23" s="1960">
        <v>320.90835753429599</v>
      </c>
      <c r="H23" s="1960" t="s">
        <v>93</v>
      </c>
      <c r="I23" s="1960" t="s">
        <v>93</v>
      </c>
      <c r="J23" s="1960" t="s">
        <v>93</v>
      </c>
      <c r="K23" s="1960" t="s">
        <v>93</v>
      </c>
      <c r="L23" s="1960" t="s">
        <v>93</v>
      </c>
      <c r="M23" s="1960">
        <f t="shared" si="1"/>
        <v>788.59481974400364</v>
      </c>
      <c r="N23" s="1960">
        <v>190.50330881501003</v>
      </c>
      <c r="O23" s="1960">
        <v>19.786619168888002</v>
      </c>
      <c r="P23" s="1960">
        <v>233.93035006144964</v>
      </c>
      <c r="Q23" s="1960">
        <v>344.374541698656</v>
      </c>
      <c r="R23" s="1955">
        <v>211.06852574097803</v>
      </c>
      <c r="S23" s="1955">
        <v>38.56589763961</v>
      </c>
      <c r="T23" s="1955">
        <v>298.62817117573366</v>
      </c>
      <c r="U23" s="1955">
        <v>665.28289923295199</v>
      </c>
      <c r="V23" s="1955"/>
    </row>
    <row r="24" spans="1:22" ht="15.6" hidden="1">
      <c r="A24" s="1959" t="s">
        <v>23</v>
      </c>
      <c r="B24" s="1960">
        <f t="shared" si="0"/>
        <v>1216.5151143711018</v>
      </c>
      <c r="C24" s="1958">
        <f t="shared" si="2"/>
        <v>430.50692186807993</v>
      </c>
      <c r="D24" s="1960">
        <v>22.207957369458001</v>
      </c>
      <c r="E24" s="1960">
        <v>21.746284227846004</v>
      </c>
      <c r="F24" s="1960">
        <v>64.352211029433988</v>
      </c>
      <c r="G24" s="1960">
        <v>322.20046924134192</v>
      </c>
      <c r="H24" s="1960" t="s">
        <v>93</v>
      </c>
      <c r="I24" s="1960" t="s">
        <v>93</v>
      </c>
      <c r="J24" s="1960" t="s">
        <v>93</v>
      </c>
      <c r="K24" s="1960" t="s">
        <v>93</v>
      </c>
      <c r="L24" s="1960" t="s">
        <v>93</v>
      </c>
      <c r="M24" s="1960">
        <f t="shared" si="1"/>
        <v>786.00819250302186</v>
      </c>
      <c r="N24" s="1960">
        <v>191.26340058774801</v>
      </c>
      <c r="O24" s="1960">
        <v>22.274413052866009</v>
      </c>
      <c r="P24" s="1960">
        <v>235.64143676671404</v>
      </c>
      <c r="Q24" s="1960">
        <v>336.82894209569383</v>
      </c>
      <c r="R24" s="1955">
        <v>213.47135795720601</v>
      </c>
      <c r="S24" s="1955">
        <v>44.020697280712014</v>
      </c>
      <c r="T24" s="1955">
        <v>299.99364779614803</v>
      </c>
      <c r="U24" s="1955">
        <v>659.02941133703575</v>
      </c>
      <c r="V24" s="1955"/>
    </row>
    <row r="25" spans="1:22" ht="15.6" hidden="1">
      <c r="A25" s="1959" t="s">
        <v>24</v>
      </c>
      <c r="B25" s="1960">
        <f t="shared" si="0"/>
        <v>1277.149025846104</v>
      </c>
      <c r="C25" s="1958">
        <f t="shared" si="2"/>
        <v>443.14842064208597</v>
      </c>
      <c r="D25" s="1960">
        <v>24.336152530184002</v>
      </c>
      <c r="E25" s="1960">
        <v>24.554515622192</v>
      </c>
      <c r="F25" s="1960">
        <v>66.727173969110012</v>
      </c>
      <c r="G25" s="1960">
        <v>327.53057852059993</v>
      </c>
      <c r="H25" s="1960" t="s">
        <v>93</v>
      </c>
      <c r="I25" s="1960" t="s">
        <v>93</v>
      </c>
      <c r="J25" s="1960" t="s">
        <v>93</v>
      </c>
      <c r="K25" s="1960" t="s">
        <v>93</v>
      </c>
      <c r="L25" s="1960" t="s">
        <v>93</v>
      </c>
      <c r="M25" s="1960">
        <f t="shared" si="1"/>
        <v>834.00060520401803</v>
      </c>
      <c r="N25" s="1960">
        <v>202.46010063713601</v>
      </c>
      <c r="O25" s="1960">
        <v>20.777331911536002</v>
      </c>
      <c r="P25" s="1960">
        <v>269.97682625038021</v>
      </c>
      <c r="Q25" s="1960">
        <v>340.78634640496585</v>
      </c>
      <c r="R25" s="1955">
        <v>226.79625316732</v>
      </c>
      <c r="S25" s="1955">
        <v>45.331847533728002</v>
      </c>
      <c r="T25" s="1955">
        <v>336.70400021949024</v>
      </c>
      <c r="U25" s="1955">
        <v>668.31692492556579</v>
      </c>
      <c r="V25" s="1955"/>
    </row>
    <row r="26" spans="1:22" ht="15.6" hidden="1">
      <c r="A26" s="1959" t="s">
        <v>25</v>
      </c>
      <c r="B26" s="1960">
        <f t="shared" si="0"/>
        <v>1331.2752555563379</v>
      </c>
      <c r="C26" s="1958">
        <f t="shared" si="2"/>
        <v>451.77814405733199</v>
      </c>
      <c r="D26" s="1960">
        <v>24.548203651014003</v>
      </c>
      <c r="E26" s="1960">
        <v>29.247900165707989</v>
      </c>
      <c r="F26" s="1960">
        <v>69.866932499485998</v>
      </c>
      <c r="G26" s="1960">
        <v>328.11510774112401</v>
      </c>
      <c r="H26" s="1960" t="s">
        <v>93</v>
      </c>
      <c r="I26" s="1960" t="s">
        <v>93</v>
      </c>
      <c r="J26" s="1960" t="s">
        <v>93</v>
      </c>
      <c r="K26" s="1960" t="s">
        <v>93</v>
      </c>
      <c r="L26" s="1960" t="s">
        <v>93</v>
      </c>
      <c r="M26" s="1960">
        <f t="shared" si="1"/>
        <v>879.497111499006</v>
      </c>
      <c r="N26" s="1960">
        <v>212.25672293658801</v>
      </c>
      <c r="O26" s="1960">
        <v>20.732208032832006</v>
      </c>
      <c r="P26" s="1960">
        <v>292.47224681886382</v>
      </c>
      <c r="Q26" s="1960">
        <v>354.03593371072213</v>
      </c>
      <c r="R26" s="1955">
        <v>236.80492658760201</v>
      </c>
      <c r="S26" s="1955">
        <v>49.980108198539995</v>
      </c>
      <c r="T26" s="1955">
        <v>362.33917931834981</v>
      </c>
      <c r="U26" s="1955">
        <v>682.15104145184614</v>
      </c>
      <c r="V26" s="1955"/>
    </row>
    <row r="27" spans="1:22" ht="15.6" hidden="1">
      <c r="A27" s="1959" t="s">
        <v>26</v>
      </c>
      <c r="B27" s="1960">
        <f t="shared" si="0"/>
        <v>1353.6088446153863</v>
      </c>
      <c r="C27" s="1958">
        <f t="shared" si="2"/>
        <v>455.47478384693807</v>
      </c>
      <c r="D27" s="1960">
        <v>27.071172311326002</v>
      </c>
      <c r="E27" s="1960">
        <v>25.847880078012007</v>
      </c>
      <c r="F27" s="1960">
        <v>67.990966898934019</v>
      </c>
      <c r="G27" s="1960">
        <v>334.56476455866601</v>
      </c>
      <c r="H27" s="1960" t="s">
        <v>93</v>
      </c>
      <c r="I27" s="1960" t="s">
        <v>93</v>
      </c>
      <c r="J27" s="1960" t="s">
        <v>93</v>
      </c>
      <c r="K27" s="1960" t="s">
        <v>93</v>
      </c>
      <c r="L27" s="1960" t="s">
        <v>93</v>
      </c>
      <c r="M27" s="1960">
        <f t="shared" si="1"/>
        <v>898.13406076844808</v>
      </c>
      <c r="N27" s="1960">
        <v>200.96541767549201</v>
      </c>
      <c r="O27" s="1960">
        <v>23.022939716143998</v>
      </c>
      <c r="P27" s="1960">
        <v>286.30329898965016</v>
      </c>
      <c r="Q27" s="1960">
        <v>387.84240438716193</v>
      </c>
      <c r="R27" s="1955">
        <v>228.036589986818</v>
      </c>
      <c r="S27" s="1955">
        <v>48.870819794156006</v>
      </c>
      <c r="T27" s="1955">
        <v>354.29426588858416</v>
      </c>
      <c r="U27" s="1955">
        <v>722.40716894582795</v>
      </c>
      <c r="V27" s="1955"/>
    </row>
    <row r="28" spans="1:22" ht="15.6" hidden="1">
      <c r="A28" s="1959" t="s">
        <v>27</v>
      </c>
      <c r="B28" s="1960">
        <f t="shared" si="0"/>
        <v>1401.4029878443698</v>
      </c>
      <c r="C28" s="1958">
        <f t="shared" si="2"/>
        <v>457.2681134259019</v>
      </c>
      <c r="D28" s="1960">
        <v>24.061470321591994</v>
      </c>
      <c r="E28" s="1960">
        <v>25.771477555174002</v>
      </c>
      <c r="F28" s="1960">
        <v>65.541515063952005</v>
      </c>
      <c r="G28" s="1960">
        <v>341.89365048518391</v>
      </c>
      <c r="H28" s="1960" t="s">
        <v>93</v>
      </c>
      <c r="I28" s="1960" t="s">
        <v>93</v>
      </c>
      <c r="J28" s="1960" t="s">
        <v>93</v>
      </c>
      <c r="K28" s="1960" t="s">
        <v>93</v>
      </c>
      <c r="L28" s="1960" t="s">
        <v>93</v>
      </c>
      <c r="M28" s="1960">
        <f t="shared" si="1"/>
        <v>944.1348744184678</v>
      </c>
      <c r="N28" s="1960">
        <v>214.75196549321603</v>
      </c>
      <c r="O28" s="1960">
        <v>22.226903330406003</v>
      </c>
      <c r="P28" s="1960">
        <v>320.39781858118977</v>
      </c>
      <c r="Q28" s="1960">
        <v>386.75818701365597</v>
      </c>
      <c r="R28" s="1955">
        <v>238.81343581480803</v>
      </c>
      <c r="S28" s="1955">
        <v>47.998380885580005</v>
      </c>
      <c r="T28" s="1955">
        <v>385.9393336451418</v>
      </c>
      <c r="U28" s="1955">
        <v>728.65183749883988</v>
      </c>
      <c r="V28" s="1955"/>
    </row>
    <row r="29" spans="1:22" ht="15.6" hidden="1">
      <c r="A29" s="1959" t="s">
        <v>28</v>
      </c>
      <c r="B29" s="1960">
        <f t="shared" si="0"/>
        <v>1355.2231973839059</v>
      </c>
      <c r="C29" s="1958">
        <f t="shared" si="2"/>
        <v>467.03543963430604</v>
      </c>
      <c r="D29" s="1960">
        <v>23.99610273851</v>
      </c>
      <c r="E29" s="1960">
        <v>27.445762746842007</v>
      </c>
      <c r="F29" s="1960">
        <v>68.788068303291993</v>
      </c>
      <c r="G29" s="1960">
        <v>346.80550584566203</v>
      </c>
      <c r="H29" s="1960" t="s">
        <v>93</v>
      </c>
      <c r="I29" s="1960" t="s">
        <v>93</v>
      </c>
      <c r="J29" s="1960" t="s">
        <v>93</v>
      </c>
      <c r="K29" s="1960" t="s">
        <v>93</v>
      </c>
      <c r="L29" s="1960" t="s">
        <v>93</v>
      </c>
      <c r="M29" s="1960">
        <f t="shared" si="1"/>
        <v>888.18775774959988</v>
      </c>
      <c r="N29" s="1960">
        <v>203.55117892803801</v>
      </c>
      <c r="O29" s="1960">
        <v>22.794835537339999</v>
      </c>
      <c r="P29" s="1960">
        <v>272.14376593328575</v>
      </c>
      <c r="Q29" s="1960">
        <v>389.69797735093613</v>
      </c>
      <c r="R29" s="1955">
        <v>227.547281666548</v>
      </c>
      <c r="S29" s="1955">
        <v>50.240598284182006</v>
      </c>
      <c r="T29" s="1955">
        <v>340.93183423657774</v>
      </c>
      <c r="U29" s="1955">
        <v>736.50348319659815</v>
      </c>
      <c r="V29" s="1955"/>
    </row>
    <row r="30" spans="1:22" ht="15.6" hidden="1">
      <c r="A30" s="1959" t="s">
        <v>29</v>
      </c>
      <c r="B30" s="1960">
        <f t="shared" si="0"/>
        <v>1368.7164538735801</v>
      </c>
      <c r="C30" s="1958">
        <f t="shared" si="2"/>
        <v>494.53391455511206</v>
      </c>
      <c r="D30" s="1960">
        <v>27.779654134525998</v>
      </c>
      <c r="E30" s="1960">
        <v>28.058224396446001</v>
      </c>
      <c r="F30" s="1960">
        <v>82.03544031062799</v>
      </c>
      <c r="G30" s="1960">
        <v>356.66059571351207</v>
      </c>
      <c r="H30" s="1960" t="s">
        <v>93</v>
      </c>
      <c r="I30" s="1960" t="s">
        <v>93</v>
      </c>
      <c r="J30" s="1960" t="s">
        <v>93</v>
      </c>
      <c r="K30" s="1960" t="s">
        <v>93</v>
      </c>
      <c r="L30" s="1960" t="s">
        <v>93</v>
      </c>
      <c r="M30" s="1960">
        <f t="shared" si="1"/>
        <v>874.182539318468</v>
      </c>
      <c r="N30" s="1960">
        <v>204.18628984915802</v>
      </c>
      <c r="O30" s="1960">
        <v>20.166362801447995</v>
      </c>
      <c r="P30" s="1960">
        <v>282.36037415142005</v>
      </c>
      <c r="Q30" s="1960">
        <v>367.46951251644191</v>
      </c>
      <c r="R30" s="1955">
        <v>231.96594398368401</v>
      </c>
      <c r="S30" s="1955">
        <v>48.224587197893996</v>
      </c>
      <c r="T30" s="1955">
        <v>364.39581446204807</v>
      </c>
      <c r="U30" s="1955">
        <v>724.13010822995398</v>
      </c>
      <c r="V30" s="1955"/>
    </row>
    <row r="31" spans="1:22" ht="15.6">
      <c r="A31" s="1961">
        <v>2006</v>
      </c>
      <c r="B31" s="1960">
        <f t="shared" si="0"/>
        <v>2162.2232499800002</v>
      </c>
      <c r="C31" s="1960">
        <f>+D31+E31+F31+G31</f>
        <v>819.50448542000004</v>
      </c>
      <c r="D31" s="1960">
        <v>79.914839269999987</v>
      </c>
      <c r="E31" s="1960">
        <v>170.41436218999999</v>
      </c>
      <c r="F31" s="1960">
        <v>98.034702920000001</v>
      </c>
      <c r="G31" s="1960">
        <v>471.14058104000003</v>
      </c>
      <c r="H31" s="1960" t="s">
        <v>93</v>
      </c>
      <c r="I31" s="1960" t="s">
        <v>93</v>
      </c>
      <c r="J31" s="1960" t="s">
        <v>93</v>
      </c>
      <c r="K31" s="1960" t="s">
        <v>93</v>
      </c>
      <c r="L31" s="1960" t="s">
        <v>93</v>
      </c>
      <c r="M31" s="1960">
        <f t="shared" si="1"/>
        <v>1342.7187645600002</v>
      </c>
      <c r="N31" s="1960">
        <v>469.75696870000002</v>
      </c>
      <c r="O31" s="1960">
        <v>100.94178429000002</v>
      </c>
      <c r="P31" s="1960">
        <v>481.44463723999991</v>
      </c>
      <c r="Q31" s="1960">
        <v>290.57537433000005</v>
      </c>
      <c r="R31" s="1962"/>
      <c r="S31" s="1962"/>
      <c r="T31" s="1962"/>
      <c r="U31" s="1962"/>
      <c r="V31" s="1955"/>
    </row>
    <row r="32" spans="1:22" ht="15.6" hidden="1">
      <c r="A32" s="1959" t="s">
        <v>18</v>
      </c>
      <c r="B32" s="1960">
        <f t="shared" si="0"/>
        <v>1383.2134349799999</v>
      </c>
      <c r="C32" s="1960">
        <f t="shared" ref="C32:C43" si="3">+D32+E32+F32+G32</f>
        <v>494.08814395000002</v>
      </c>
      <c r="D32" s="1960">
        <v>30.034782400000001</v>
      </c>
      <c r="E32" s="1960">
        <v>28.005372920000006</v>
      </c>
      <c r="F32" s="1960">
        <v>73.219514610000004</v>
      </c>
      <c r="G32" s="1960">
        <v>362.82847401999999</v>
      </c>
      <c r="H32" s="1960" t="s">
        <v>93</v>
      </c>
      <c r="I32" s="1960" t="s">
        <v>93</v>
      </c>
      <c r="J32" s="1960" t="s">
        <v>93</v>
      </c>
      <c r="K32" s="1960" t="s">
        <v>93</v>
      </c>
      <c r="L32" s="1960" t="s">
        <v>93</v>
      </c>
      <c r="M32" s="1960">
        <f t="shared" si="1"/>
        <v>889.12529102999997</v>
      </c>
      <c r="N32" s="1960">
        <v>189.83757908000001</v>
      </c>
      <c r="O32" s="1960">
        <v>20.746695360000004</v>
      </c>
      <c r="P32" s="1960">
        <v>296.41532041000005</v>
      </c>
      <c r="Q32" s="1960">
        <v>382.12569617999992</v>
      </c>
      <c r="R32" s="1962">
        <v>219.87236148000002</v>
      </c>
      <c r="S32" s="1962">
        <v>48.75206828000001</v>
      </c>
      <c r="T32" s="1962">
        <v>369.63483502000008</v>
      </c>
      <c r="U32" s="1962">
        <v>744.95417019999991</v>
      </c>
      <c r="V32" s="1955"/>
    </row>
    <row r="33" spans="1:22" ht="15.6" hidden="1">
      <c r="A33" s="1959" t="s">
        <v>19</v>
      </c>
      <c r="B33" s="1960">
        <f t="shared" si="0"/>
        <v>1451.4978858499999</v>
      </c>
      <c r="C33" s="1960">
        <f t="shared" si="3"/>
        <v>522.05475250999996</v>
      </c>
      <c r="D33" s="1960">
        <v>27.423490940000001</v>
      </c>
      <c r="E33" s="1960">
        <v>31.861988579999995</v>
      </c>
      <c r="F33" s="1960">
        <v>82.184133250000002</v>
      </c>
      <c r="G33" s="1960">
        <v>380.58513973999993</v>
      </c>
      <c r="H33" s="1960" t="s">
        <v>93</v>
      </c>
      <c r="I33" s="1960" t="s">
        <v>93</v>
      </c>
      <c r="J33" s="1960" t="s">
        <v>93</v>
      </c>
      <c r="K33" s="1960" t="s">
        <v>93</v>
      </c>
      <c r="L33" s="1960" t="s">
        <v>93</v>
      </c>
      <c r="M33" s="1960">
        <f t="shared" si="1"/>
        <v>929.44313334000003</v>
      </c>
      <c r="N33" s="1960">
        <v>232.91152826999993</v>
      </c>
      <c r="O33" s="1960">
        <v>24.236552970000005</v>
      </c>
      <c r="P33" s="1960">
        <v>307.06405704000014</v>
      </c>
      <c r="Q33" s="1960">
        <v>365.23099505999994</v>
      </c>
      <c r="R33" s="1962">
        <v>260.33501920999993</v>
      </c>
      <c r="S33" s="1962">
        <v>56.09854155</v>
      </c>
      <c r="T33" s="1962">
        <v>389.24819029000014</v>
      </c>
      <c r="U33" s="1962">
        <v>745.81613479999987</v>
      </c>
      <c r="V33" s="1955"/>
    </row>
    <row r="34" spans="1:22" ht="15.6" hidden="1">
      <c r="A34" s="1959" t="s">
        <v>20</v>
      </c>
      <c r="B34" s="1960">
        <f t="shared" si="0"/>
        <v>1481.0066670299998</v>
      </c>
      <c r="C34" s="1960">
        <f t="shared" si="3"/>
        <v>545.01132469999993</v>
      </c>
      <c r="D34" s="1960">
        <v>34.537959389999997</v>
      </c>
      <c r="E34" s="1960">
        <v>34.717815000000009</v>
      </c>
      <c r="F34" s="1960">
        <v>76.481817759999998</v>
      </c>
      <c r="G34" s="1960">
        <v>399.27373254999998</v>
      </c>
      <c r="H34" s="1960" t="s">
        <v>93</v>
      </c>
      <c r="I34" s="1960" t="s">
        <v>93</v>
      </c>
      <c r="J34" s="1960" t="s">
        <v>93</v>
      </c>
      <c r="K34" s="1960" t="s">
        <v>93</v>
      </c>
      <c r="L34" s="1960" t="s">
        <v>93</v>
      </c>
      <c r="M34" s="1960">
        <f t="shared" si="1"/>
        <v>935.99534232999986</v>
      </c>
      <c r="N34" s="1960">
        <v>247.92220506999993</v>
      </c>
      <c r="O34" s="1960">
        <v>24.863403380000001</v>
      </c>
      <c r="P34" s="1960">
        <v>331.18936583999994</v>
      </c>
      <c r="Q34" s="1960">
        <v>332.02036803999999</v>
      </c>
      <c r="R34" s="1962">
        <v>282.46016445999993</v>
      </c>
      <c r="S34" s="1962">
        <v>59.58121838000001</v>
      </c>
      <c r="T34" s="1962">
        <v>407.67118359999995</v>
      </c>
      <c r="U34" s="1962">
        <v>731.29410058999997</v>
      </c>
      <c r="V34" s="1955"/>
    </row>
    <row r="35" spans="1:22" ht="15.6" hidden="1">
      <c r="A35" s="1959" t="s">
        <v>21</v>
      </c>
      <c r="B35" s="1960">
        <f t="shared" si="0"/>
        <v>1557.6401889599999</v>
      </c>
      <c r="C35" s="1960">
        <f t="shared" si="3"/>
        <v>568.30047396999998</v>
      </c>
      <c r="D35" s="1960">
        <v>39.192394550000003</v>
      </c>
      <c r="E35" s="1960">
        <v>39.285058579999991</v>
      </c>
      <c r="F35" s="1960">
        <v>79.15878404</v>
      </c>
      <c r="G35" s="1960">
        <v>410.66423679999997</v>
      </c>
      <c r="H35" s="1960" t="s">
        <v>93</v>
      </c>
      <c r="I35" s="1960" t="s">
        <v>93</v>
      </c>
      <c r="J35" s="1960" t="s">
        <v>93</v>
      </c>
      <c r="K35" s="1960" t="s">
        <v>93</v>
      </c>
      <c r="L35" s="1960" t="s">
        <v>93</v>
      </c>
      <c r="M35" s="1960">
        <f t="shared" si="1"/>
        <v>989.33971498999995</v>
      </c>
      <c r="N35" s="1960">
        <v>263.89040720000003</v>
      </c>
      <c r="O35" s="1960">
        <v>22.71832903</v>
      </c>
      <c r="P35" s="1960">
        <v>358.63728684000012</v>
      </c>
      <c r="Q35" s="1960">
        <v>344.09369191999991</v>
      </c>
      <c r="R35" s="1962">
        <v>303.08280175000004</v>
      </c>
      <c r="S35" s="1962">
        <v>62.00338760999999</v>
      </c>
      <c r="T35" s="1962">
        <v>437.79607088000012</v>
      </c>
      <c r="U35" s="1962">
        <v>754.75792871999988</v>
      </c>
      <c r="V35" s="1955"/>
    </row>
    <row r="36" spans="1:22" ht="15.6" hidden="1">
      <c r="A36" s="1959" t="s">
        <v>22</v>
      </c>
      <c r="B36" s="1960">
        <f t="shared" si="0"/>
        <v>1591.5808183700001</v>
      </c>
      <c r="C36" s="1960">
        <f t="shared" si="3"/>
        <v>581.40550108000002</v>
      </c>
      <c r="D36" s="1960">
        <v>42.23809593</v>
      </c>
      <c r="E36" s="1960">
        <v>43.569025530000005</v>
      </c>
      <c r="F36" s="1960">
        <v>81.913007550000003</v>
      </c>
      <c r="G36" s="1960">
        <v>413.68537207000003</v>
      </c>
      <c r="H36" s="1960" t="s">
        <v>93</v>
      </c>
      <c r="I36" s="1960" t="s">
        <v>93</v>
      </c>
      <c r="J36" s="1960" t="s">
        <v>93</v>
      </c>
      <c r="K36" s="1960" t="s">
        <v>93</v>
      </c>
      <c r="L36" s="1960" t="s">
        <v>93</v>
      </c>
      <c r="M36" s="1960">
        <f t="shared" si="1"/>
        <v>1010.1753172900001</v>
      </c>
      <c r="N36" s="1960">
        <v>261.16384357999999</v>
      </c>
      <c r="O36" s="1960">
        <v>24.112841309999993</v>
      </c>
      <c r="P36" s="1960">
        <v>383.09862685000007</v>
      </c>
      <c r="Q36" s="1960">
        <v>341.80000554999998</v>
      </c>
      <c r="R36" s="1962">
        <v>303.40193950999998</v>
      </c>
      <c r="S36" s="1962">
        <v>67.681866839999998</v>
      </c>
      <c r="T36" s="1962">
        <v>465.01163440000005</v>
      </c>
      <c r="U36" s="1962">
        <v>755.48537762000001</v>
      </c>
      <c r="V36" s="1955"/>
    </row>
    <row r="37" spans="1:22" ht="15.6" hidden="1">
      <c r="A37" s="1959" t="s">
        <v>23</v>
      </c>
      <c r="B37" s="1960">
        <f t="shared" si="0"/>
        <v>1695.9090985100001</v>
      </c>
      <c r="C37" s="1960">
        <f t="shared" si="3"/>
        <v>614.61681299000008</v>
      </c>
      <c r="D37" s="1960">
        <v>49.621956119999993</v>
      </c>
      <c r="E37" s="1960">
        <v>62.687790590000013</v>
      </c>
      <c r="F37" s="1960">
        <v>79.578920199999999</v>
      </c>
      <c r="G37" s="1960">
        <v>422.72814608000004</v>
      </c>
      <c r="H37" s="1960" t="s">
        <v>93</v>
      </c>
      <c r="I37" s="1960" t="s">
        <v>93</v>
      </c>
      <c r="J37" s="1960" t="s">
        <v>93</v>
      </c>
      <c r="K37" s="1960" t="s">
        <v>93</v>
      </c>
      <c r="L37" s="1960" t="s">
        <v>93</v>
      </c>
      <c r="M37" s="1960">
        <f t="shared" si="1"/>
        <v>1081.2922855200002</v>
      </c>
      <c r="N37" s="1960">
        <v>275.74995167999992</v>
      </c>
      <c r="O37" s="1960">
        <v>32.195848599999998</v>
      </c>
      <c r="P37" s="1960">
        <v>440.89080339000031</v>
      </c>
      <c r="Q37" s="1960">
        <v>332.45568184999996</v>
      </c>
      <c r="R37" s="1962">
        <v>325.37190779999992</v>
      </c>
      <c r="S37" s="1962">
        <v>94.883639190000011</v>
      </c>
      <c r="T37" s="1962">
        <v>520.46972359000029</v>
      </c>
      <c r="U37" s="1962">
        <v>755.18382793000001</v>
      </c>
      <c r="V37" s="1955"/>
    </row>
    <row r="38" spans="1:22" ht="15.6" hidden="1">
      <c r="A38" s="1959" t="s">
        <v>24</v>
      </c>
      <c r="B38" s="1960">
        <f t="shared" si="0"/>
        <v>1763.8645690999997</v>
      </c>
      <c r="C38" s="1960">
        <f t="shared" si="3"/>
        <v>643.42004407000002</v>
      </c>
      <c r="D38" s="1960">
        <v>52.189621299999992</v>
      </c>
      <c r="E38" s="1960">
        <v>78.579402869999996</v>
      </c>
      <c r="F38" s="1960">
        <v>80.232330779999984</v>
      </c>
      <c r="G38" s="1960">
        <v>432.41868912000001</v>
      </c>
      <c r="H38" s="1960" t="s">
        <v>93</v>
      </c>
      <c r="I38" s="1960" t="s">
        <v>93</v>
      </c>
      <c r="J38" s="1960" t="s">
        <v>93</v>
      </c>
      <c r="K38" s="1960" t="s">
        <v>93</v>
      </c>
      <c r="L38" s="1960" t="s">
        <v>93</v>
      </c>
      <c r="M38" s="1960">
        <f t="shared" si="1"/>
        <v>1120.4445250299996</v>
      </c>
      <c r="N38" s="1960">
        <v>290.18034140000009</v>
      </c>
      <c r="O38" s="1960">
        <v>36.360110970000008</v>
      </c>
      <c r="P38" s="1960">
        <v>464.80418268999972</v>
      </c>
      <c r="Q38" s="1960">
        <v>329.09988996999988</v>
      </c>
      <c r="R38" s="1962">
        <v>342.36996270000009</v>
      </c>
      <c r="S38" s="1962">
        <v>114.93951384</v>
      </c>
      <c r="T38" s="1962">
        <v>545.0365134699997</v>
      </c>
      <c r="U38" s="1962">
        <v>761.51857908999989</v>
      </c>
      <c r="V38" s="1955"/>
    </row>
    <row r="39" spans="1:22" ht="15.6" hidden="1">
      <c r="A39" s="1959" t="s">
        <v>25</v>
      </c>
      <c r="B39" s="1960">
        <f t="shared" si="0"/>
        <v>1831.5589231699998</v>
      </c>
      <c r="C39" s="1960">
        <f t="shared" si="3"/>
        <v>668.38229610000008</v>
      </c>
      <c r="D39" s="1960">
        <v>55.96733794</v>
      </c>
      <c r="E39" s="1960">
        <v>92.886073139999993</v>
      </c>
      <c r="F39" s="1960">
        <v>82.317566110000001</v>
      </c>
      <c r="G39" s="1960">
        <v>437.21131891000005</v>
      </c>
      <c r="H39" s="1960" t="s">
        <v>93</v>
      </c>
      <c r="I39" s="1960" t="s">
        <v>93</v>
      </c>
      <c r="J39" s="1960" t="s">
        <v>93</v>
      </c>
      <c r="K39" s="1960" t="s">
        <v>93</v>
      </c>
      <c r="L39" s="1960" t="s">
        <v>93</v>
      </c>
      <c r="M39" s="1960">
        <f t="shared" si="1"/>
        <v>1163.1766270699998</v>
      </c>
      <c r="N39" s="1960">
        <v>341.24181605999996</v>
      </c>
      <c r="O39" s="1960">
        <v>41.966108949999992</v>
      </c>
      <c r="P39" s="1960">
        <v>431.8204850599999</v>
      </c>
      <c r="Q39" s="1960">
        <v>348.14821699999993</v>
      </c>
      <c r="R39" s="1962">
        <v>397.20915399999996</v>
      </c>
      <c r="S39" s="1962">
        <v>134.85218208999999</v>
      </c>
      <c r="T39" s="1962">
        <v>514.13805116999993</v>
      </c>
      <c r="U39" s="1962">
        <v>785.35953590999998</v>
      </c>
      <c r="V39" s="1955"/>
    </row>
    <row r="40" spans="1:22" ht="15.6" hidden="1">
      <c r="A40" s="1959" t="s">
        <v>26</v>
      </c>
      <c r="B40" s="1960">
        <f t="shared" si="0"/>
        <v>1861.9868716400001</v>
      </c>
      <c r="C40" s="1960">
        <f t="shared" si="3"/>
        <v>693.30904727000006</v>
      </c>
      <c r="D40" s="1960">
        <v>60.653480889999997</v>
      </c>
      <c r="E40" s="1960">
        <v>109.42575111999997</v>
      </c>
      <c r="F40" s="1960">
        <v>82.923726000000002</v>
      </c>
      <c r="G40" s="1960">
        <v>440.30608926000002</v>
      </c>
      <c r="H40" s="1960" t="s">
        <v>93</v>
      </c>
      <c r="I40" s="1960" t="s">
        <v>93</v>
      </c>
      <c r="J40" s="1960" t="s">
        <v>93</v>
      </c>
      <c r="K40" s="1960" t="s">
        <v>93</v>
      </c>
      <c r="L40" s="1960" t="s">
        <v>93</v>
      </c>
      <c r="M40" s="1960">
        <f t="shared" si="1"/>
        <v>1168.6778243700001</v>
      </c>
      <c r="N40" s="1960">
        <v>317.02227455000002</v>
      </c>
      <c r="O40" s="1960">
        <v>54.545017500000029</v>
      </c>
      <c r="P40" s="1960">
        <v>488.0273342800001</v>
      </c>
      <c r="Q40" s="1960">
        <v>309.08319803999996</v>
      </c>
      <c r="R40" s="1962">
        <v>377.67575544000005</v>
      </c>
      <c r="S40" s="1962">
        <v>163.97076862</v>
      </c>
      <c r="T40" s="1962">
        <v>570.95106028000009</v>
      </c>
      <c r="U40" s="1962">
        <v>749.38928729999998</v>
      </c>
      <c r="V40" s="1955"/>
    </row>
    <row r="41" spans="1:22" ht="15.6" hidden="1">
      <c r="A41" s="1959" t="s">
        <v>27</v>
      </c>
      <c r="B41" s="1960">
        <f t="shared" si="0"/>
        <v>1923.72598348</v>
      </c>
      <c r="C41" s="1960">
        <f t="shared" si="3"/>
        <v>704.88062265000008</v>
      </c>
      <c r="D41" s="1960">
        <v>55.988498190000001</v>
      </c>
      <c r="E41" s="1960">
        <v>120.69270441</v>
      </c>
      <c r="F41" s="1960">
        <v>85.052518870000014</v>
      </c>
      <c r="G41" s="1960">
        <v>443.14690118000004</v>
      </c>
      <c r="H41" s="1960" t="s">
        <v>93</v>
      </c>
      <c r="I41" s="1960" t="s">
        <v>93</v>
      </c>
      <c r="J41" s="1960" t="s">
        <v>93</v>
      </c>
      <c r="K41" s="1960" t="s">
        <v>93</v>
      </c>
      <c r="L41" s="1960" t="s">
        <v>93</v>
      </c>
      <c r="M41" s="1960">
        <f t="shared" si="1"/>
        <v>1218.8453608299999</v>
      </c>
      <c r="N41" s="1960">
        <v>382.97617588999992</v>
      </c>
      <c r="O41" s="1960">
        <v>78.186924290000007</v>
      </c>
      <c r="P41" s="1960">
        <v>458.4888861</v>
      </c>
      <c r="Q41" s="1960">
        <v>299.19337454999999</v>
      </c>
      <c r="R41" s="1962">
        <v>438.96467407999995</v>
      </c>
      <c r="S41" s="1962">
        <v>198.87962870000001</v>
      </c>
      <c r="T41" s="1962">
        <v>543.54140497000003</v>
      </c>
      <c r="U41" s="1962">
        <v>742.34027573000003</v>
      </c>
      <c r="V41" s="1955"/>
    </row>
    <row r="42" spans="1:22" ht="15.6" hidden="1">
      <c r="A42" s="1959" t="s">
        <v>28</v>
      </c>
      <c r="B42" s="1960">
        <f t="shared" si="0"/>
        <v>1976.72432028</v>
      </c>
      <c r="C42" s="1960">
        <f t="shared" si="3"/>
        <v>726.2294748700001</v>
      </c>
      <c r="D42" s="1960">
        <v>61.438948159999995</v>
      </c>
      <c r="E42" s="1960">
        <v>126.73382838000001</v>
      </c>
      <c r="F42" s="1960">
        <v>85.941731959999998</v>
      </c>
      <c r="G42" s="1960">
        <v>452.11496637000005</v>
      </c>
      <c r="H42" s="1960" t="s">
        <v>93</v>
      </c>
      <c r="I42" s="1960" t="s">
        <v>93</v>
      </c>
      <c r="J42" s="1960" t="s">
        <v>93</v>
      </c>
      <c r="K42" s="1960" t="s">
        <v>93</v>
      </c>
      <c r="L42" s="1960" t="s">
        <v>93</v>
      </c>
      <c r="M42" s="1960">
        <f t="shared" si="1"/>
        <v>1250.4948454099999</v>
      </c>
      <c r="N42" s="1960">
        <v>443.82139665999995</v>
      </c>
      <c r="O42" s="1960">
        <v>78.460469070000045</v>
      </c>
      <c r="P42" s="1960">
        <v>420.20089158000008</v>
      </c>
      <c r="Q42" s="1960">
        <v>308.01208809999991</v>
      </c>
      <c r="R42" s="1962">
        <v>505.26034481999994</v>
      </c>
      <c r="S42" s="1962">
        <v>205.19429745000005</v>
      </c>
      <c r="T42" s="1962">
        <v>506.14262354000005</v>
      </c>
      <c r="U42" s="1962">
        <v>760.12705446999996</v>
      </c>
      <c r="V42" s="1955"/>
    </row>
    <row r="43" spans="1:22" ht="15.6" hidden="1">
      <c r="A43" s="1959" t="s">
        <v>29</v>
      </c>
      <c r="B43" s="1960">
        <f t="shared" si="0"/>
        <v>2162.2232499800002</v>
      </c>
      <c r="C43" s="1960">
        <f t="shared" si="3"/>
        <v>819.50448542000004</v>
      </c>
      <c r="D43" s="1960">
        <v>79.914839269999987</v>
      </c>
      <c r="E43" s="1960">
        <v>170.41436218999999</v>
      </c>
      <c r="F43" s="1960">
        <v>98.034702920000001</v>
      </c>
      <c r="G43" s="1960">
        <v>471.14058104000003</v>
      </c>
      <c r="H43" s="1960" t="s">
        <v>93</v>
      </c>
      <c r="I43" s="1960" t="s">
        <v>93</v>
      </c>
      <c r="J43" s="1960" t="s">
        <v>93</v>
      </c>
      <c r="K43" s="1960" t="s">
        <v>93</v>
      </c>
      <c r="L43" s="1960" t="s">
        <v>93</v>
      </c>
      <c r="M43" s="1960">
        <f t="shared" si="1"/>
        <v>1342.7187645600002</v>
      </c>
      <c r="N43" s="1960">
        <v>469.75696870000002</v>
      </c>
      <c r="O43" s="1960">
        <v>100.94178429000002</v>
      </c>
      <c r="P43" s="1960">
        <v>481.44463723999991</v>
      </c>
      <c r="Q43" s="1960">
        <v>290.57537433000005</v>
      </c>
      <c r="R43" s="1962">
        <v>549.67180797000003</v>
      </c>
      <c r="S43" s="1962">
        <v>271.35614648000001</v>
      </c>
      <c r="T43" s="1962">
        <v>579.47934015999988</v>
      </c>
      <c r="U43" s="1962">
        <v>761.61595537000005</v>
      </c>
      <c r="V43" s="1955"/>
    </row>
    <row r="44" spans="1:22" ht="15.6">
      <c r="A44" s="1961">
        <v>2007</v>
      </c>
      <c r="B44" s="1963">
        <f>+C44+M44+H44</f>
        <v>4127.1830896900001</v>
      </c>
      <c r="C44" s="1960">
        <f>+C56</f>
        <v>1468.4471432400001</v>
      </c>
      <c r="D44" s="1960">
        <f>+D56</f>
        <v>209.13821691999999</v>
      </c>
      <c r="E44" s="1960">
        <f>+E56</f>
        <v>467.2896341899999</v>
      </c>
      <c r="F44" s="1960">
        <f>+F56</f>
        <v>127.28427373</v>
      </c>
      <c r="G44" s="1960">
        <f>+G56</f>
        <v>664.73501840000006</v>
      </c>
      <c r="H44" s="1963">
        <f>SUM(I44:L44)</f>
        <v>493.20578638999996</v>
      </c>
      <c r="I44" s="1964">
        <v>5.1250114299999989</v>
      </c>
      <c r="J44" s="1964">
        <v>201.79778044</v>
      </c>
      <c r="K44" s="1964">
        <v>91.65565986</v>
      </c>
      <c r="L44" s="1964">
        <v>194.62733466</v>
      </c>
      <c r="M44" s="1963">
        <f>SUM(N44:Q44)</f>
        <v>2165.5301600600001</v>
      </c>
      <c r="N44" s="1963">
        <f>R44-D44-I44</f>
        <v>748.53817508000009</v>
      </c>
      <c r="O44" s="1963">
        <f>S44-E44-J44</f>
        <v>270.28733296000007</v>
      </c>
      <c r="P44" s="1963">
        <f>T44-F44-K44</f>
        <v>535.28325309000002</v>
      </c>
      <c r="Q44" s="1963">
        <f>U44-G44-L44</f>
        <v>611.4213989299999</v>
      </c>
      <c r="R44" s="1954">
        <v>962.80140343000005</v>
      </c>
      <c r="S44" s="1954">
        <v>939.37474758999997</v>
      </c>
      <c r="T44" s="1954">
        <v>754.22318668000003</v>
      </c>
      <c r="U44" s="1954">
        <v>1470.7837519899999</v>
      </c>
      <c r="V44" s="1955"/>
    </row>
    <row r="45" spans="1:22" ht="15.6" hidden="1">
      <c r="A45" s="1959" t="s">
        <v>18</v>
      </c>
      <c r="B45" s="1960">
        <f t="shared" si="0"/>
        <v>2096.6167330799999</v>
      </c>
      <c r="C45" s="1960">
        <f>+D45+E45+F45+G45</f>
        <v>805.36801174000004</v>
      </c>
      <c r="D45" s="1960">
        <v>79.265255980000006</v>
      </c>
      <c r="E45" s="1960">
        <v>142.08609589</v>
      </c>
      <c r="F45" s="1960">
        <v>89.637089879999991</v>
      </c>
      <c r="G45" s="1960">
        <v>494.37956999000005</v>
      </c>
      <c r="H45" s="1964" t="s">
        <v>93</v>
      </c>
      <c r="I45" s="1964"/>
      <c r="J45" s="1964"/>
      <c r="K45" s="1964"/>
      <c r="L45" s="1964"/>
      <c r="M45" s="1964">
        <f t="shared" si="1"/>
        <v>1291.24872134</v>
      </c>
      <c r="N45" s="1964">
        <v>421.63286606999998</v>
      </c>
      <c r="O45" s="1964">
        <v>97.540257410000009</v>
      </c>
      <c r="P45" s="1964">
        <v>479.13758514</v>
      </c>
      <c r="Q45" s="1964">
        <v>292.93801272000007</v>
      </c>
      <c r="R45" s="1954">
        <v>500.89812204999998</v>
      </c>
      <c r="S45" s="1954">
        <v>239.62635330000001</v>
      </c>
      <c r="T45" s="1954">
        <v>568.77467502000013</v>
      </c>
      <c r="U45" s="1954">
        <v>787.31758271000012</v>
      </c>
      <c r="V45" s="1955"/>
    </row>
    <row r="46" spans="1:22" ht="15.6" hidden="1">
      <c r="A46" s="1959" t="s">
        <v>19</v>
      </c>
      <c r="B46" s="1960">
        <f t="shared" si="0"/>
        <v>2147.5673924400003</v>
      </c>
      <c r="C46" s="1960">
        <f t="shared" ref="C46:C82" si="4">+D46+E46+F46+G46</f>
        <v>844.66060427000002</v>
      </c>
      <c r="D46" s="1960">
        <v>81.232247769999987</v>
      </c>
      <c r="E46" s="1960">
        <v>174.07611989</v>
      </c>
      <c r="F46" s="1960">
        <v>88.731144920000006</v>
      </c>
      <c r="G46" s="1960">
        <v>500.62109169000007</v>
      </c>
      <c r="H46" s="1964" t="s">
        <v>93</v>
      </c>
      <c r="I46" s="1964"/>
      <c r="J46" s="1964"/>
      <c r="K46" s="1964"/>
      <c r="L46" s="1964"/>
      <c r="M46" s="1964">
        <f t="shared" si="1"/>
        <v>1302.9067881700003</v>
      </c>
      <c r="N46" s="1964">
        <v>474.49219463000009</v>
      </c>
      <c r="O46" s="1964">
        <v>97.437064580000055</v>
      </c>
      <c r="P46" s="1964">
        <v>466.12374894000016</v>
      </c>
      <c r="Q46" s="1964">
        <v>264.85378002000004</v>
      </c>
      <c r="R46" s="1954">
        <v>555.72444240000004</v>
      </c>
      <c r="S46" s="1954">
        <v>271.51318447000006</v>
      </c>
      <c r="T46" s="1954">
        <v>554.85489386000017</v>
      </c>
      <c r="U46" s="1954">
        <v>765.47487171000012</v>
      </c>
      <c r="V46" s="1955"/>
    </row>
    <row r="47" spans="1:22" ht="15.6" hidden="1">
      <c r="A47" s="1959" t="s">
        <v>20</v>
      </c>
      <c r="B47" s="1960">
        <f t="shared" si="0"/>
        <v>2238.0863028400004</v>
      </c>
      <c r="C47" s="1960">
        <f t="shared" si="4"/>
        <v>908.4442479999999</v>
      </c>
      <c r="D47" s="1960">
        <v>92.074598960000003</v>
      </c>
      <c r="E47" s="1960">
        <v>197.51977068999997</v>
      </c>
      <c r="F47" s="1960">
        <v>107.11599709000001</v>
      </c>
      <c r="G47" s="1960">
        <v>511.73388125999992</v>
      </c>
      <c r="H47" s="1964" t="s">
        <v>93</v>
      </c>
      <c r="I47" s="1964"/>
      <c r="J47" s="1964"/>
      <c r="K47" s="1964"/>
      <c r="L47" s="1964"/>
      <c r="M47" s="1964">
        <f t="shared" si="1"/>
        <v>1329.6420548400004</v>
      </c>
      <c r="N47" s="1964">
        <v>531.39664353000012</v>
      </c>
      <c r="O47" s="1964">
        <v>118.51179624999997</v>
      </c>
      <c r="P47" s="1964">
        <v>431.48362467000032</v>
      </c>
      <c r="Q47" s="1964">
        <v>248.24999039000005</v>
      </c>
      <c r="R47" s="1954">
        <v>623.47124249000012</v>
      </c>
      <c r="S47" s="1954">
        <v>316.03156693999995</v>
      </c>
      <c r="T47" s="1954">
        <v>538.59962176000033</v>
      </c>
      <c r="U47" s="1954">
        <v>759.98387164999997</v>
      </c>
      <c r="V47" s="1955"/>
    </row>
    <row r="48" spans="1:22" ht="15.6" hidden="1">
      <c r="A48" s="1959" t="s">
        <v>21</v>
      </c>
      <c r="B48" s="1960">
        <f t="shared" si="0"/>
        <v>2248.8268927600006</v>
      </c>
      <c r="C48" s="1960">
        <f t="shared" si="4"/>
        <v>961.29358310000009</v>
      </c>
      <c r="D48" s="1960">
        <v>98.326788490000013</v>
      </c>
      <c r="E48" s="1960">
        <v>224.49819621</v>
      </c>
      <c r="F48" s="1960">
        <v>118.15709432</v>
      </c>
      <c r="G48" s="1960">
        <v>520.31150408000008</v>
      </c>
      <c r="H48" s="1964" t="s">
        <v>93</v>
      </c>
      <c r="I48" s="1964"/>
      <c r="J48" s="1964"/>
      <c r="K48" s="1964"/>
      <c r="L48" s="1964"/>
      <c r="M48" s="1964">
        <f t="shared" si="1"/>
        <v>1287.5333096600007</v>
      </c>
      <c r="N48" s="1964">
        <v>533.2081371999999</v>
      </c>
      <c r="O48" s="1964">
        <v>140.40430051999999</v>
      </c>
      <c r="P48" s="1964">
        <v>384.50746509000072</v>
      </c>
      <c r="Q48" s="1964">
        <v>229.41340685</v>
      </c>
      <c r="R48" s="1954">
        <v>631.53492568999991</v>
      </c>
      <c r="S48" s="1954">
        <v>364.90249673</v>
      </c>
      <c r="T48" s="1954">
        <v>502.66455941000072</v>
      </c>
      <c r="U48" s="1954">
        <v>749.72491093000008</v>
      </c>
      <c r="V48" s="1955"/>
    </row>
    <row r="49" spans="1:82" ht="15.6" hidden="1">
      <c r="A49" s="1959" t="s">
        <v>22</v>
      </c>
      <c r="B49" s="1960">
        <f t="shared" si="0"/>
        <v>2371.46952508</v>
      </c>
      <c r="C49" s="1960">
        <f t="shared" si="4"/>
        <v>985.03364480999983</v>
      </c>
      <c r="D49" s="1960">
        <v>99.711228800000001</v>
      </c>
      <c r="E49" s="1960">
        <v>238.89629153999999</v>
      </c>
      <c r="F49" s="1960">
        <v>115.70579663999999</v>
      </c>
      <c r="G49" s="1960">
        <v>530.72032782999986</v>
      </c>
      <c r="H49" s="1964" t="s">
        <v>93</v>
      </c>
      <c r="I49" s="1964"/>
      <c r="J49" s="1964"/>
      <c r="K49" s="1964"/>
      <c r="L49" s="1964"/>
      <c r="M49" s="1964">
        <f t="shared" si="1"/>
        <v>1386.4358802700001</v>
      </c>
      <c r="N49" s="1964">
        <v>537.52403600000014</v>
      </c>
      <c r="O49" s="1964">
        <v>173.39501977999998</v>
      </c>
      <c r="P49" s="1964">
        <v>334.51007777000018</v>
      </c>
      <c r="Q49" s="1964">
        <v>341.00674671999991</v>
      </c>
      <c r="R49" s="1954">
        <v>637.2352648000001</v>
      </c>
      <c r="S49" s="1954">
        <v>412.29131131999998</v>
      </c>
      <c r="T49" s="1954">
        <v>450.2158744100002</v>
      </c>
      <c r="U49" s="1954">
        <v>871.72707454999977</v>
      </c>
      <c r="V49" s="1955"/>
    </row>
    <row r="50" spans="1:82" ht="15.6" hidden="1">
      <c r="A50" s="1959" t="s">
        <v>23</v>
      </c>
      <c r="B50" s="1960">
        <f t="shared" si="0"/>
        <v>2436.3426978500001</v>
      </c>
      <c r="C50" s="1960">
        <f t="shared" si="4"/>
        <v>1020.8584574499999</v>
      </c>
      <c r="D50" s="1960">
        <v>110.44227332</v>
      </c>
      <c r="E50" s="1960">
        <v>267.40287179999996</v>
      </c>
      <c r="F50" s="1960">
        <v>98.197515299999992</v>
      </c>
      <c r="G50" s="1960">
        <v>544.81579703</v>
      </c>
      <c r="H50" s="1964" t="s">
        <v>93</v>
      </c>
      <c r="I50" s="1964"/>
      <c r="J50" s="1964"/>
      <c r="K50" s="1964"/>
      <c r="L50" s="1964"/>
      <c r="M50" s="1964">
        <f t="shared" si="1"/>
        <v>1415.4842404000001</v>
      </c>
      <c r="N50" s="1964">
        <v>536.06686271000012</v>
      </c>
      <c r="O50" s="1964">
        <v>166.69929221000001</v>
      </c>
      <c r="P50" s="1964">
        <v>361.94301267999981</v>
      </c>
      <c r="Q50" s="1964">
        <v>350.77507280000009</v>
      </c>
      <c r="R50" s="1954">
        <v>646.50913603000015</v>
      </c>
      <c r="S50" s="1954">
        <v>434.10216400999997</v>
      </c>
      <c r="T50" s="1954">
        <v>460.14052797999977</v>
      </c>
      <c r="U50" s="1954">
        <v>895.59086983000009</v>
      </c>
      <c r="V50" s="1955"/>
    </row>
    <row r="51" spans="1:82" ht="15.6" hidden="1">
      <c r="A51" s="1959" t="s">
        <v>24</v>
      </c>
      <c r="B51" s="1960">
        <f>+C51+M51</f>
        <v>2510.4601260499994</v>
      </c>
      <c r="C51" s="1960">
        <f t="shared" si="4"/>
        <v>1088.11108863</v>
      </c>
      <c r="D51" s="1960">
        <v>117.71330317</v>
      </c>
      <c r="E51" s="1960">
        <v>307.10855963</v>
      </c>
      <c r="F51" s="1960">
        <v>101.63486448</v>
      </c>
      <c r="G51" s="1960">
        <v>561.65436135000004</v>
      </c>
      <c r="H51" s="1964" t="s">
        <v>93</v>
      </c>
      <c r="I51" s="1964"/>
      <c r="J51" s="1964"/>
      <c r="K51" s="1964"/>
      <c r="L51" s="1964"/>
      <c r="M51" s="1964">
        <f t="shared" si="1"/>
        <v>1422.3490374199996</v>
      </c>
      <c r="N51" s="1964">
        <v>481.49265175000005</v>
      </c>
      <c r="O51" s="1964">
        <v>222.54737585999993</v>
      </c>
      <c r="P51" s="1964">
        <v>334.44187647000001</v>
      </c>
      <c r="Q51" s="1964">
        <v>383.8671333399999</v>
      </c>
      <c r="R51" s="1954">
        <v>599.20595492000007</v>
      </c>
      <c r="S51" s="1954">
        <v>529.65593548999993</v>
      </c>
      <c r="T51" s="1954">
        <v>436.07674095000004</v>
      </c>
      <c r="U51" s="1954">
        <v>945.52149468999994</v>
      </c>
      <c r="V51" s="1955"/>
    </row>
    <row r="52" spans="1:82" ht="15.6" hidden="1">
      <c r="A52" s="1959" t="s">
        <v>25</v>
      </c>
      <c r="B52" s="1960">
        <f t="shared" si="0"/>
        <v>2743.0334336599999</v>
      </c>
      <c r="C52" s="1960">
        <f t="shared" si="4"/>
        <v>1199.99973559</v>
      </c>
      <c r="D52" s="1960">
        <v>134.63084693000002</v>
      </c>
      <c r="E52" s="1960">
        <v>341.12469172999994</v>
      </c>
      <c r="F52" s="1960">
        <v>135.79012827</v>
      </c>
      <c r="G52" s="1960">
        <v>588.45406866000008</v>
      </c>
      <c r="H52" s="1964" t="s">
        <v>93</v>
      </c>
      <c r="I52" s="1964"/>
      <c r="J52" s="1964"/>
      <c r="K52" s="1964"/>
      <c r="L52" s="1964"/>
      <c r="M52" s="1964">
        <f t="shared" si="1"/>
        <v>1543.0336980699999</v>
      </c>
      <c r="N52" s="1964">
        <v>581.32473275999996</v>
      </c>
      <c r="O52" s="1964">
        <v>236.68227714000005</v>
      </c>
      <c r="P52" s="1964">
        <v>272.64181347999988</v>
      </c>
      <c r="Q52" s="1964">
        <v>452.38487469000006</v>
      </c>
      <c r="R52" s="1954">
        <v>715.95557969000004</v>
      </c>
      <c r="S52" s="1954">
        <v>577.80696886999999</v>
      </c>
      <c r="T52" s="1954">
        <v>408.43194174999985</v>
      </c>
      <c r="U52" s="1954">
        <v>1040.8389433500001</v>
      </c>
    </row>
    <row r="53" spans="1:82" ht="15.6" hidden="1">
      <c r="A53" s="1959" t="s">
        <v>26</v>
      </c>
      <c r="B53" s="1960">
        <f t="shared" si="0"/>
        <v>2973.8333739999994</v>
      </c>
      <c r="C53" s="1960">
        <f t="shared" si="4"/>
        <v>1259.26416006</v>
      </c>
      <c r="D53" s="1960">
        <v>154.40904753000001</v>
      </c>
      <c r="E53" s="1960">
        <v>349.31623956000004</v>
      </c>
      <c r="F53" s="1960">
        <v>128.30077258</v>
      </c>
      <c r="G53" s="1960">
        <v>627.23810039</v>
      </c>
      <c r="H53" s="1964" t="s">
        <v>93</v>
      </c>
      <c r="I53" s="1964"/>
      <c r="J53" s="1964"/>
      <c r="K53" s="1964"/>
      <c r="L53" s="1964"/>
      <c r="M53" s="1964">
        <f t="shared" si="1"/>
        <v>1714.5692139399994</v>
      </c>
      <c r="N53" s="1964">
        <v>582.81709633999981</v>
      </c>
      <c r="O53" s="1964">
        <v>253.46022450000004</v>
      </c>
      <c r="P53" s="1964">
        <v>394.06173224999958</v>
      </c>
      <c r="Q53" s="1964">
        <v>484.23016084999995</v>
      </c>
      <c r="R53" s="1954">
        <v>737.22614386999987</v>
      </c>
      <c r="S53" s="1954">
        <v>602.77646406000008</v>
      </c>
      <c r="T53" s="1954">
        <v>522.36250482999958</v>
      </c>
      <c r="U53" s="1954">
        <v>1111.4682612399999</v>
      </c>
    </row>
    <row r="54" spans="1:82" ht="15.6" hidden="1">
      <c r="A54" s="1959" t="s">
        <v>27</v>
      </c>
      <c r="B54" s="1960">
        <f t="shared" si="0"/>
        <v>3100.1979160199999</v>
      </c>
      <c r="C54" s="1960">
        <f t="shared" si="4"/>
        <v>1336.3149997099999</v>
      </c>
      <c r="D54" s="1960">
        <v>139.70010163000001</v>
      </c>
      <c r="E54" s="1960">
        <v>380.48368108999995</v>
      </c>
      <c r="F54" s="1960">
        <v>132.27277806999999</v>
      </c>
      <c r="G54" s="1960">
        <v>683.85843892000003</v>
      </c>
      <c r="H54" s="1964" t="s">
        <v>93</v>
      </c>
      <c r="I54" s="1964"/>
      <c r="J54" s="1964"/>
      <c r="K54" s="1964"/>
      <c r="L54" s="1964"/>
      <c r="M54" s="1964">
        <f t="shared" si="1"/>
        <v>1763.8829163099997</v>
      </c>
      <c r="N54" s="1964">
        <v>570.75191573999996</v>
      </c>
      <c r="O54" s="1964">
        <v>270.42506171999997</v>
      </c>
      <c r="P54" s="1964">
        <v>432.23770675999981</v>
      </c>
      <c r="Q54" s="1964">
        <v>490.4682320899999</v>
      </c>
      <c r="R54" s="1954">
        <v>710.45201737000002</v>
      </c>
      <c r="S54" s="1954">
        <v>650.90874280999992</v>
      </c>
      <c r="T54" s="1954">
        <v>564.51048482999977</v>
      </c>
      <c r="U54" s="1954">
        <v>1174.3266710099999</v>
      </c>
    </row>
    <row r="55" spans="1:82" ht="15.6" hidden="1">
      <c r="A55" s="1959" t="s">
        <v>28</v>
      </c>
      <c r="B55" s="1960">
        <f t="shared" si="0"/>
        <v>3149.9321332299996</v>
      </c>
      <c r="C55" s="1960">
        <f t="shared" si="4"/>
        <v>1368.0907700600001</v>
      </c>
      <c r="D55" s="1960">
        <v>171.72864746000002</v>
      </c>
      <c r="E55" s="1960">
        <v>407.21740892999992</v>
      </c>
      <c r="F55" s="1960">
        <v>123.01321744000001</v>
      </c>
      <c r="G55" s="1960">
        <v>666.13149623000004</v>
      </c>
      <c r="H55" s="1964" t="s">
        <v>93</v>
      </c>
      <c r="I55" s="1964"/>
      <c r="J55" s="1964"/>
      <c r="K55" s="1964"/>
      <c r="L55" s="1964"/>
      <c r="M55" s="1964">
        <f t="shared" si="1"/>
        <v>1781.8413631699998</v>
      </c>
      <c r="N55" s="1964">
        <v>695.83804521000013</v>
      </c>
      <c r="O55" s="1964">
        <v>213.12393137999993</v>
      </c>
      <c r="P55" s="1964">
        <v>371.66565658999986</v>
      </c>
      <c r="Q55" s="1964">
        <v>501.21372998999982</v>
      </c>
      <c r="R55" s="1954">
        <v>867.56669267000018</v>
      </c>
      <c r="S55" s="1954">
        <v>620.34134030999985</v>
      </c>
      <c r="T55" s="1954">
        <v>494.67887402999986</v>
      </c>
      <c r="U55" s="1954">
        <v>1167.3452262199999</v>
      </c>
    </row>
    <row r="56" spans="1:82" ht="15.6" hidden="1">
      <c r="A56" s="1959" t="s">
        <v>29</v>
      </c>
      <c r="B56" s="1960">
        <f t="shared" si="0"/>
        <v>3411.0184679300005</v>
      </c>
      <c r="C56" s="1960">
        <f t="shared" si="4"/>
        <v>1468.4471432400001</v>
      </c>
      <c r="D56" s="1960">
        <v>209.13821691999999</v>
      </c>
      <c r="E56" s="1960">
        <v>467.2896341899999</v>
      </c>
      <c r="F56" s="1960">
        <v>127.28427373</v>
      </c>
      <c r="G56" s="1960">
        <v>664.73501840000006</v>
      </c>
      <c r="H56" s="1964" t="s">
        <v>93</v>
      </c>
      <c r="I56" s="1964"/>
      <c r="J56" s="1964"/>
      <c r="K56" s="1964"/>
      <c r="L56" s="1964"/>
      <c r="M56" s="1964">
        <f t="shared" si="1"/>
        <v>1942.5713246900004</v>
      </c>
      <c r="N56" s="1964">
        <v>715.86218732000009</v>
      </c>
      <c r="O56" s="1964">
        <v>270.28733296000007</v>
      </c>
      <c r="P56" s="1964">
        <v>345.00040548000038</v>
      </c>
      <c r="Q56" s="1964">
        <v>611.42139893000001</v>
      </c>
      <c r="R56" s="1954">
        <v>925.00040424000008</v>
      </c>
      <c r="S56" s="1954">
        <v>737.57696714999997</v>
      </c>
      <c r="T56" s="1954">
        <v>472.28467921000038</v>
      </c>
      <c r="U56" s="1954">
        <v>1276.1564173300001</v>
      </c>
    </row>
    <row r="57" spans="1:82" ht="15.6">
      <c r="A57" s="1961">
        <v>2008</v>
      </c>
      <c r="B57" s="1963">
        <f>+C57+M57+H57</f>
        <v>6460.18830738</v>
      </c>
      <c r="C57" s="1960">
        <f>+C69</f>
        <v>1905.2516731700002</v>
      </c>
      <c r="D57" s="1960">
        <f>+D69</f>
        <v>326.99539657000003</v>
      </c>
      <c r="E57" s="1960">
        <f>+E69</f>
        <v>709.70871122000005</v>
      </c>
      <c r="F57" s="1960">
        <f>+F69</f>
        <v>140.93540200000001</v>
      </c>
      <c r="G57" s="1960">
        <f>+G69</f>
        <v>727.61216337999997</v>
      </c>
      <c r="H57" s="1963">
        <f>SUM(I57:L57)</f>
        <v>1699.4718697600001</v>
      </c>
      <c r="I57" s="1964">
        <v>4.1426726499999997</v>
      </c>
      <c r="J57" s="1964">
        <v>350.56741977000001</v>
      </c>
      <c r="K57" s="1964">
        <v>201.12700483999998</v>
      </c>
      <c r="L57" s="1964">
        <v>1143.6347725000001</v>
      </c>
      <c r="M57" s="1963">
        <f>SUM(N57:Q57)</f>
        <v>2855.4647644499992</v>
      </c>
      <c r="N57" s="1963">
        <f>R57-D57-I57</f>
        <v>722.96277071999998</v>
      </c>
      <c r="O57" s="1963">
        <f>S57-E57-J57</f>
        <v>179.78293486999985</v>
      </c>
      <c r="P57" s="1963">
        <f>T57-F57-K57</f>
        <v>683.22154687999978</v>
      </c>
      <c r="Q57" s="1963">
        <f>U57-G57-L57</f>
        <v>1269.4975119799997</v>
      </c>
      <c r="R57" s="1954">
        <v>1054.10083994</v>
      </c>
      <c r="S57" s="1954">
        <v>1240.0590658599999</v>
      </c>
      <c r="T57" s="1954">
        <v>1025.2839537199998</v>
      </c>
      <c r="U57" s="1954">
        <v>3140.7444478599996</v>
      </c>
    </row>
    <row r="58" spans="1:82" ht="15.6" hidden="1">
      <c r="A58" s="1959" t="s">
        <v>18</v>
      </c>
      <c r="B58" s="1960">
        <f t="shared" si="0"/>
        <v>3376.2820621499995</v>
      </c>
      <c r="C58" s="1960">
        <f t="shared" si="4"/>
        <v>1499.6908089400001</v>
      </c>
      <c r="D58" s="1960">
        <v>174.34848554000001</v>
      </c>
      <c r="E58" s="1960">
        <v>519.16389662000006</v>
      </c>
      <c r="F58" s="1960">
        <v>126.64823800000001</v>
      </c>
      <c r="G58" s="1960">
        <v>679.53018878000012</v>
      </c>
      <c r="H58" s="1964" t="s">
        <v>93</v>
      </c>
      <c r="I58" s="1964"/>
      <c r="J58" s="1964"/>
      <c r="K58" s="1964"/>
      <c r="L58" s="1964"/>
      <c r="M58" s="1964">
        <f t="shared" si="1"/>
        <v>1876.5912532099996</v>
      </c>
      <c r="N58" s="1964">
        <v>594.17581685999994</v>
      </c>
      <c r="O58" s="1964">
        <v>278.10477797999999</v>
      </c>
      <c r="P58" s="1964">
        <v>380.32318082999996</v>
      </c>
      <c r="Q58" s="1964">
        <v>623.98747753999987</v>
      </c>
      <c r="R58" s="1954">
        <v>768.52430240000001</v>
      </c>
      <c r="S58" s="1954">
        <v>797.26867460000005</v>
      </c>
      <c r="T58" s="1954">
        <v>506.97141882999995</v>
      </c>
      <c r="U58" s="1954">
        <v>1303.51766632</v>
      </c>
      <c r="CD58" s="1950"/>
    </row>
    <row r="59" spans="1:82" ht="15.6" hidden="1">
      <c r="A59" s="1959" t="s">
        <v>19</v>
      </c>
      <c r="B59" s="1960">
        <f t="shared" si="0"/>
        <v>3865.327689669999</v>
      </c>
      <c r="C59" s="1960">
        <f t="shared" si="4"/>
        <v>1563.3277661</v>
      </c>
      <c r="D59" s="1960">
        <v>179.15420477999999</v>
      </c>
      <c r="E59" s="1960">
        <v>549.76535858</v>
      </c>
      <c r="F59" s="1960">
        <v>129.42095922000001</v>
      </c>
      <c r="G59" s="1960">
        <v>704.98724351999999</v>
      </c>
      <c r="H59" s="1964" t="s">
        <v>93</v>
      </c>
      <c r="I59" s="1964"/>
      <c r="J59" s="1964"/>
      <c r="K59" s="1964"/>
      <c r="L59" s="1964"/>
      <c r="M59" s="1964">
        <f t="shared" si="1"/>
        <v>2301.9999235699993</v>
      </c>
      <c r="N59" s="1964">
        <v>646.30118378999998</v>
      </c>
      <c r="O59" s="1964">
        <v>293.86241941000003</v>
      </c>
      <c r="P59" s="1964">
        <v>310.70557300999917</v>
      </c>
      <c r="Q59" s="1964">
        <v>1051.13074736</v>
      </c>
      <c r="R59" s="1954">
        <v>825.45538856999997</v>
      </c>
      <c r="S59" s="1954">
        <v>843.62777799000003</v>
      </c>
      <c r="T59" s="1954">
        <v>440.12653222999916</v>
      </c>
      <c r="U59" s="1954">
        <v>1756.11799088</v>
      </c>
      <c r="CD59" s="1950"/>
    </row>
    <row r="60" spans="1:82" ht="15.6" hidden="1">
      <c r="A60" s="1959" t="s">
        <v>20</v>
      </c>
      <c r="B60" s="1960">
        <f t="shared" si="0"/>
        <v>3801.2519231299993</v>
      </c>
      <c r="C60" s="1960">
        <f t="shared" si="4"/>
        <v>1587.1405410799998</v>
      </c>
      <c r="D60" s="1960">
        <v>197.15584645999996</v>
      </c>
      <c r="E60" s="1960">
        <v>531.97070213999996</v>
      </c>
      <c r="F60" s="1960">
        <v>119.80429941</v>
      </c>
      <c r="G60" s="1960">
        <v>738.20969306999996</v>
      </c>
      <c r="H60" s="1964" t="s">
        <v>93</v>
      </c>
      <c r="I60" s="1964"/>
      <c r="J60" s="1964"/>
      <c r="K60" s="1964"/>
      <c r="L60" s="1964"/>
      <c r="M60" s="1964">
        <f t="shared" si="1"/>
        <v>2214.1113820499995</v>
      </c>
      <c r="N60" s="1964">
        <v>632.17129743999999</v>
      </c>
      <c r="O60" s="1964">
        <v>296.99325682999995</v>
      </c>
      <c r="P60" s="1964">
        <v>260.7148621599996</v>
      </c>
      <c r="Q60" s="1964">
        <v>1024.2319656199998</v>
      </c>
      <c r="R60" s="1954">
        <v>829.32714390000001</v>
      </c>
      <c r="S60" s="1954">
        <v>828.96395896999991</v>
      </c>
      <c r="T60" s="1954">
        <v>380.5191615699996</v>
      </c>
      <c r="U60" s="1954">
        <v>1762.4416586899997</v>
      </c>
      <c r="CD60" s="1950"/>
    </row>
    <row r="61" spans="1:82" ht="15.6" hidden="1">
      <c r="A61" s="1959" t="s">
        <v>21</v>
      </c>
      <c r="B61" s="1960">
        <f t="shared" si="0"/>
        <v>3859.7257464200002</v>
      </c>
      <c r="C61" s="1960">
        <f t="shared" si="4"/>
        <v>1593.7078401700001</v>
      </c>
      <c r="D61" s="1960">
        <v>204.10669522000001</v>
      </c>
      <c r="E61" s="1960">
        <v>549.61617012000011</v>
      </c>
      <c r="F61" s="1960">
        <v>122.16298177</v>
      </c>
      <c r="G61" s="1960">
        <v>717.82199306000007</v>
      </c>
      <c r="H61" s="1964" t="s">
        <v>93</v>
      </c>
      <c r="I61" s="1964"/>
      <c r="J61" s="1964"/>
      <c r="K61" s="1964"/>
      <c r="L61" s="1964"/>
      <c r="M61" s="1964">
        <f t="shared" si="1"/>
        <v>2266.0179062500001</v>
      </c>
      <c r="N61" s="1964">
        <v>619.67800352999996</v>
      </c>
      <c r="O61" s="1964">
        <v>273.7401659599999</v>
      </c>
      <c r="P61" s="1964">
        <v>370.40694040000017</v>
      </c>
      <c r="Q61" s="1964">
        <v>1002.1927963599999</v>
      </c>
      <c r="R61" s="1954">
        <v>823.78469875000008</v>
      </c>
      <c r="S61" s="1954">
        <v>823.35633608000001</v>
      </c>
      <c r="T61" s="1954">
        <v>492.56992217000015</v>
      </c>
      <c r="U61" s="1954">
        <v>1720.0147894199999</v>
      </c>
      <c r="CD61" s="1950"/>
    </row>
    <row r="62" spans="1:82" ht="15.6" hidden="1">
      <c r="A62" s="1959" t="s">
        <v>22</v>
      </c>
      <c r="B62" s="1960">
        <f t="shared" si="0"/>
        <v>4120.4938849399996</v>
      </c>
      <c r="C62" s="1960">
        <f t="shared" si="4"/>
        <v>1603.2907805499997</v>
      </c>
      <c r="D62" s="1960">
        <v>211.04319397</v>
      </c>
      <c r="E62" s="1960">
        <v>571.38064296999983</v>
      </c>
      <c r="F62" s="1960">
        <v>127.81953204999999</v>
      </c>
      <c r="G62" s="1960">
        <v>693.04741155999989</v>
      </c>
      <c r="H62" s="1964" t="s">
        <v>93</v>
      </c>
      <c r="I62" s="1964"/>
      <c r="J62" s="1964"/>
      <c r="K62" s="1964"/>
      <c r="L62" s="1964"/>
      <c r="M62" s="1964">
        <f t="shared" si="1"/>
        <v>2517.2031043899997</v>
      </c>
      <c r="N62" s="1964">
        <v>522.31349606000003</v>
      </c>
      <c r="O62" s="1964">
        <v>276.78370558999984</v>
      </c>
      <c r="P62" s="1964">
        <v>486.65749242999993</v>
      </c>
      <c r="Q62" s="1964">
        <v>1231.4484103099999</v>
      </c>
      <c r="R62" s="1954">
        <v>733.3566900300001</v>
      </c>
      <c r="S62" s="1954">
        <v>848.16434855999967</v>
      </c>
      <c r="T62" s="1954">
        <v>614.47702447999995</v>
      </c>
      <c r="U62" s="1954">
        <v>1924.4958218699996</v>
      </c>
    </row>
    <row r="63" spans="1:82" ht="15.6" hidden="1">
      <c r="A63" s="1959" t="s">
        <v>23</v>
      </c>
      <c r="B63" s="1960">
        <f t="shared" si="0"/>
        <v>4372.531935779999</v>
      </c>
      <c r="C63" s="1960">
        <f t="shared" si="4"/>
        <v>1661.62931546</v>
      </c>
      <c r="D63" s="1960">
        <v>229.74472256000001</v>
      </c>
      <c r="E63" s="1960">
        <v>612.58455818999994</v>
      </c>
      <c r="F63" s="1960">
        <v>120.87471343999999</v>
      </c>
      <c r="G63" s="1960">
        <v>698.42532127000004</v>
      </c>
      <c r="H63" s="1964" t="s">
        <v>93</v>
      </c>
      <c r="I63" s="1964"/>
      <c r="J63" s="1964"/>
      <c r="K63" s="1964"/>
      <c r="L63" s="1964"/>
      <c r="M63" s="1964">
        <f t="shared" si="1"/>
        <v>2710.9026203199992</v>
      </c>
      <c r="N63" s="1964">
        <v>685.63237231999994</v>
      </c>
      <c r="O63" s="1964">
        <v>176.4479014499999</v>
      </c>
      <c r="P63" s="1964">
        <v>656.26001358999929</v>
      </c>
      <c r="Q63" s="1964">
        <v>1192.5623329599998</v>
      </c>
      <c r="R63" s="1954">
        <v>915.37709487999996</v>
      </c>
      <c r="S63" s="1954">
        <v>789.03245963999984</v>
      </c>
      <c r="T63" s="1954">
        <v>777.13472702999934</v>
      </c>
      <c r="U63" s="1954">
        <v>1890.9876542299999</v>
      </c>
    </row>
    <row r="64" spans="1:82" ht="15.6" hidden="1">
      <c r="A64" s="1959" t="s">
        <v>24</v>
      </c>
      <c r="B64" s="1960">
        <f t="shared" si="0"/>
        <v>4259.7083277299998</v>
      </c>
      <c r="C64" s="1960">
        <f t="shared" si="4"/>
        <v>1766.4824962</v>
      </c>
      <c r="D64" s="1960">
        <v>243.07164164</v>
      </c>
      <c r="E64" s="1960">
        <v>683.84070356999996</v>
      </c>
      <c r="F64" s="1960">
        <v>124.84401631999999</v>
      </c>
      <c r="G64" s="1960">
        <v>714.72613466999996</v>
      </c>
      <c r="H64" s="1964" t="s">
        <v>93</v>
      </c>
      <c r="I64" s="1964"/>
      <c r="J64" s="1964"/>
      <c r="K64" s="1964"/>
      <c r="L64" s="1964"/>
      <c r="M64" s="1964">
        <f t="shared" si="1"/>
        <v>2493.2258315300001</v>
      </c>
      <c r="N64" s="1964">
        <v>574.50776094000003</v>
      </c>
      <c r="O64" s="1964">
        <v>161.8454869599999</v>
      </c>
      <c r="P64" s="1964">
        <v>514.87413835000007</v>
      </c>
      <c r="Q64" s="1964">
        <v>1241.9984452799999</v>
      </c>
      <c r="R64" s="1954">
        <v>817.57940257999996</v>
      </c>
      <c r="S64" s="1954">
        <v>845.68619052999986</v>
      </c>
      <c r="T64" s="1954">
        <v>639.7181546700001</v>
      </c>
      <c r="U64" s="1954">
        <v>1956.7245799499999</v>
      </c>
    </row>
    <row r="65" spans="1:21" ht="15.6" hidden="1">
      <c r="A65" s="1959" t="s">
        <v>25</v>
      </c>
      <c r="B65" s="1960">
        <f t="shared" si="0"/>
        <v>4523.3699284900003</v>
      </c>
      <c r="C65" s="1960">
        <f t="shared" si="4"/>
        <v>1826.99057111</v>
      </c>
      <c r="D65" s="1960">
        <v>273.64096348999999</v>
      </c>
      <c r="E65" s="1960">
        <v>712.05074019999995</v>
      </c>
      <c r="F65" s="1960">
        <v>128.16155234999999</v>
      </c>
      <c r="G65" s="1960">
        <v>713.13731507</v>
      </c>
      <c r="H65" s="1964" t="s">
        <v>93</v>
      </c>
      <c r="I65" s="1964"/>
      <c r="J65" s="1964"/>
      <c r="K65" s="1964"/>
      <c r="L65" s="1964"/>
      <c r="M65" s="1964">
        <f t="shared" si="1"/>
        <v>2696.3793573800003</v>
      </c>
      <c r="N65" s="1964">
        <v>654.12619423000001</v>
      </c>
      <c r="O65" s="1964">
        <v>173.31750541000008</v>
      </c>
      <c r="P65" s="1964">
        <v>679.87474543000053</v>
      </c>
      <c r="Q65" s="1964">
        <v>1189.0609123099998</v>
      </c>
      <c r="R65" s="1954">
        <v>927.76715772</v>
      </c>
      <c r="S65" s="1954">
        <v>885.36824561000003</v>
      </c>
      <c r="T65" s="1954">
        <v>808.0362977800005</v>
      </c>
      <c r="U65" s="1954">
        <v>1902.1982273799999</v>
      </c>
    </row>
    <row r="66" spans="1:21" ht="15.6" hidden="1">
      <c r="A66" s="1959" t="s">
        <v>26</v>
      </c>
      <c r="B66" s="1960">
        <f t="shared" si="0"/>
        <v>4479.4917286</v>
      </c>
      <c r="C66" s="1960">
        <f t="shared" si="4"/>
        <v>1889.5822796699999</v>
      </c>
      <c r="D66" s="1960">
        <v>322.3066369</v>
      </c>
      <c r="E66" s="1960">
        <v>701.69263409999996</v>
      </c>
      <c r="F66" s="1960">
        <v>128.40118737</v>
      </c>
      <c r="G66" s="1960">
        <v>737.18182130000002</v>
      </c>
      <c r="H66" s="1964" t="s">
        <v>93</v>
      </c>
      <c r="I66" s="1964"/>
      <c r="J66" s="1964"/>
      <c r="K66" s="1964"/>
      <c r="L66" s="1964"/>
      <c r="M66" s="1964">
        <f t="shared" si="1"/>
        <v>2589.9094489299996</v>
      </c>
      <c r="N66" s="1964">
        <v>697.89023750999991</v>
      </c>
      <c r="O66" s="1964">
        <v>152.04260739000006</v>
      </c>
      <c r="P66" s="1964">
        <v>599.52141429999995</v>
      </c>
      <c r="Q66" s="1964">
        <v>1140.4551897299998</v>
      </c>
      <c r="R66" s="1954">
        <v>1020.19687441</v>
      </c>
      <c r="S66" s="1954">
        <v>853.73524149000002</v>
      </c>
      <c r="T66" s="1954">
        <v>727.92260166999995</v>
      </c>
      <c r="U66" s="1954">
        <v>1877.6370110299999</v>
      </c>
    </row>
    <row r="67" spans="1:21" ht="15.6" hidden="1">
      <c r="A67" s="1959" t="s">
        <v>27</v>
      </c>
      <c r="B67" s="1960">
        <f t="shared" si="0"/>
        <v>4508.2237846200005</v>
      </c>
      <c r="C67" s="1960">
        <f t="shared" si="4"/>
        <v>1794.8542117900001</v>
      </c>
      <c r="D67" s="1960">
        <v>263.01361274999999</v>
      </c>
      <c r="E67" s="1960">
        <v>688.28573529000005</v>
      </c>
      <c r="F67" s="1960">
        <v>132.49977978999999</v>
      </c>
      <c r="G67" s="1960">
        <v>711.05508396000005</v>
      </c>
      <c r="H67" s="1964" t="s">
        <v>93</v>
      </c>
      <c r="I67" s="1964"/>
      <c r="J67" s="1964"/>
      <c r="K67" s="1964"/>
      <c r="L67" s="1964"/>
      <c r="M67" s="1964">
        <f t="shared" si="1"/>
        <v>2713.3695728299999</v>
      </c>
      <c r="N67" s="1964">
        <v>666.55060508999998</v>
      </c>
      <c r="O67" s="1964">
        <v>187.97638668999991</v>
      </c>
      <c r="P67" s="1964">
        <v>738.61918956999989</v>
      </c>
      <c r="Q67" s="1964">
        <v>1120.2233914799999</v>
      </c>
      <c r="R67" s="1954">
        <v>929.56421783999997</v>
      </c>
      <c r="S67" s="1954">
        <v>876.26212197999996</v>
      </c>
      <c r="T67" s="1954">
        <v>871.11896935999994</v>
      </c>
      <c r="U67" s="1954">
        <v>1831.27847544</v>
      </c>
    </row>
    <row r="68" spans="1:21" ht="15.6" hidden="1">
      <c r="A68" s="1959" t="s">
        <v>28</v>
      </c>
      <c r="B68" s="1960">
        <f t="shared" si="0"/>
        <v>4544.0344337400002</v>
      </c>
      <c r="C68" s="1960">
        <f t="shared" si="4"/>
        <v>1808.9275479399998</v>
      </c>
      <c r="D68" s="1960">
        <v>286.15559645000002</v>
      </c>
      <c r="E68" s="1960">
        <v>681.97937262999994</v>
      </c>
      <c r="F68" s="1960">
        <v>123.81197198</v>
      </c>
      <c r="G68" s="1960">
        <v>716.98060687999998</v>
      </c>
      <c r="H68" s="1964" t="s">
        <v>93</v>
      </c>
      <c r="I68" s="1964"/>
      <c r="J68" s="1964"/>
      <c r="K68" s="1964"/>
      <c r="L68" s="1964"/>
      <c r="M68" s="1964">
        <f t="shared" si="1"/>
        <v>2735.1068858000003</v>
      </c>
      <c r="N68" s="1964">
        <v>682.61107474000005</v>
      </c>
      <c r="O68" s="1964">
        <v>198.41219663000004</v>
      </c>
      <c r="P68" s="1964">
        <v>611.82042020000017</v>
      </c>
      <c r="Q68" s="1964">
        <v>1242.26319423</v>
      </c>
      <c r="R68" s="1954">
        <v>968.76667119000001</v>
      </c>
      <c r="S68" s="1954">
        <v>880.39156925999998</v>
      </c>
      <c r="T68" s="1954">
        <v>735.63239218000012</v>
      </c>
      <c r="U68" s="1954">
        <v>1959.24380111</v>
      </c>
    </row>
    <row r="69" spans="1:21" ht="15.6" hidden="1">
      <c r="A69" s="1959" t="s">
        <v>29</v>
      </c>
      <c r="B69" s="1960">
        <f t="shared" si="0"/>
        <v>4760.7164376199999</v>
      </c>
      <c r="C69" s="1960">
        <f t="shared" si="4"/>
        <v>1905.2516731700002</v>
      </c>
      <c r="D69" s="1960">
        <v>326.99539657000003</v>
      </c>
      <c r="E69" s="1960">
        <v>709.70871122000005</v>
      </c>
      <c r="F69" s="1960">
        <v>140.93540200000001</v>
      </c>
      <c r="G69" s="1960">
        <v>727.61216337999997</v>
      </c>
      <c r="H69" s="1964" t="s">
        <v>93</v>
      </c>
      <c r="I69" s="1964"/>
      <c r="J69" s="1964"/>
      <c r="K69" s="1964"/>
      <c r="L69" s="1964"/>
      <c r="M69" s="1964">
        <f t="shared" si="1"/>
        <v>2855.4647644500001</v>
      </c>
      <c r="N69" s="1964">
        <v>722.96277071999987</v>
      </c>
      <c r="O69" s="1964">
        <v>179.78293486999996</v>
      </c>
      <c r="P69" s="1964">
        <v>683.22154688000001</v>
      </c>
      <c r="Q69" s="1964">
        <v>1269.4975119800001</v>
      </c>
      <c r="R69" s="1954">
        <v>1049.9581672899999</v>
      </c>
      <c r="S69" s="1954">
        <v>889.49164609000002</v>
      </c>
      <c r="T69" s="1954">
        <v>824.15694888000007</v>
      </c>
      <c r="U69" s="1954">
        <v>1997.10967536</v>
      </c>
    </row>
    <row r="70" spans="1:21" ht="15.6">
      <c r="A70" s="1961">
        <v>2009</v>
      </c>
      <c r="B70" s="1963">
        <f>+C70+M70+H70</f>
        <v>6379.1216378400004</v>
      </c>
      <c r="C70" s="1960">
        <f>+C82</f>
        <v>2334.8716709</v>
      </c>
      <c r="D70" s="1960">
        <f>+D82</f>
        <v>353.49315752000001</v>
      </c>
      <c r="E70" s="1960">
        <f>+E82</f>
        <v>612.09870946000001</v>
      </c>
      <c r="F70" s="1960">
        <f>+F82</f>
        <v>166.53805993</v>
      </c>
      <c r="G70" s="1960">
        <f>+G82</f>
        <v>1202.74174399</v>
      </c>
      <c r="H70" s="1963">
        <f>SUM(I70:L70)</f>
        <v>1724.95393489</v>
      </c>
      <c r="I70" s="1964">
        <v>5.5579741299999998</v>
      </c>
      <c r="J70" s="1964">
        <v>431.96965411999997</v>
      </c>
      <c r="K70" s="1964">
        <v>237.88132708000001</v>
      </c>
      <c r="L70" s="1964">
        <v>1049.54497956</v>
      </c>
      <c r="M70" s="1963">
        <f>SUM(N70:Q70)</f>
        <v>2319.2960320500006</v>
      </c>
      <c r="N70" s="1963">
        <f>R70-D70-I70</f>
        <v>773.93681600000014</v>
      </c>
      <c r="O70" s="1963">
        <f>S70-E70-J70</f>
        <v>176.26878554999973</v>
      </c>
      <c r="P70" s="1963">
        <f>T70-F70-K70</f>
        <v>653.36384426999984</v>
      </c>
      <c r="Q70" s="1963">
        <f>U70-G70-L70</f>
        <v>715.72658623000075</v>
      </c>
      <c r="R70" s="1954">
        <v>1132.9879476500003</v>
      </c>
      <c r="S70" s="1954">
        <v>1220.3371491299997</v>
      </c>
      <c r="T70" s="1954">
        <v>1057.7832312799999</v>
      </c>
      <c r="U70" s="1954">
        <v>2968.0133097800008</v>
      </c>
    </row>
    <row r="71" spans="1:21" ht="15.6" hidden="1">
      <c r="A71" s="1959" t="s">
        <v>18</v>
      </c>
      <c r="B71" s="1965">
        <f t="shared" si="0"/>
        <v>5287.85904114</v>
      </c>
      <c r="C71" s="1965">
        <f t="shared" si="4"/>
        <v>1835.2138852099999</v>
      </c>
      <c r="D71" s="1965">
        <v>260.66271921000003</v>
      </c>
      <c r="E71" s="1965">
        <v>673.76722636</v>
      </c>
      <c r="F71" s="1965">
        <v>153.08630427999998</v>
      </c>
      <c r="G71" s="1965">
        <v>747.69763536000005</v>
      </c>
      <c r="H71" s="1960" t="s">
        <v>93</v>
      </c>
      <c r="I71" s="1966" t="s">
        <v>93</v>
      </c>
      <c r="J71" s="1966" t="s">
        <v>93</v>
      </c>
      <c r="K71" s="1966" t="s">
        <v>93</v>
      </c>
      <c r="L71" s="1966" t="s">
        <v>93</v>
      </c>
      <c r="M71" s="1965">
        <f t="shared" si="1"/>
        <v>3452.6451559299999</v>
      </c>
      <c r="N71" s="1965">
        <v>607.48310562999995</v>
      </c>
      <c r="O71" s="1965">
        <v>151.91014238000002</v>
      </c>
      <c r="P71" s="1965">
        <v>1532.2455222899998</v>
      </c>
      <c r="Q71" s="1965">
        <v>1161.0063856299998</v>
      </c>
      <c r="R71" s="1962">
        <v>868.14582484000005</v>
      </c>
      <c r="S71" s="1962">
        <v>825.67736874000002</v>
      </c>
      <c r="T71" s="1962">
        <v>1685.3318265699997</v>
      </c>
      <c r="U71" s="1962">
        <v>1908.7040209899999</v>
      </c>
    </row>
    <row r="72" spans="1:21" ht="15.6" hidden="1">
      <c r="A72" s="1959" t="s">
        <v>19</v>
      </c>
      <c r="B72" s="1965">
        <f t="shared" si="0"/>
        <v>4160.1361393999996</v>
      </c>
      <c r="C72" s="1965">
        <f t="shared" si="4"/>
        <v>1814.75808772</v>
      </c>
      <c r="D72" s="1965">
        <v>263.50218205000004</v>
      </c>
      <c r="E72" s="1965">
        <v>553.96578531</v>
      </c>
      <c r="F72" s="1965">
        <v>125.34397736</v>
      </c>
      <c r="G72" s="1965">
        <v>871.94614299999989</v>
      </c>
      <c r="H72" s="1960" t="s">
        <v>93</v>
      </c>
      <c r="I72" s="1966" t="s">
        <v>93</v>
      </c>
      <c r="J72" s="1966" t="s">
        <v>93</v>
      </c>
      <c r="K72" s="1966" t="s">
        <v>93</v>
      </c>
      <c r="L72" s="1966" t="s">
        <v>93</v>
      </c>
      <c r="M72" s="1965">
        <f t="shared" si="1"/>
        <v>2345.3780516799998</v>
      </c>
      <c r="N72" s="1965">
        <v>607.42076658999986</v>
      </c>
      <c r="O72" s="1965">
        <v>136.79686875000004</v>
      </c>
      <c r="P72" s="1965">
        <v>764.92901255999959</v>
      </c>
      <c r="Q72" s="1965">
        <v>836.23140378000016</v>
      </c>
      <c r="R72" s="1962">
        <v>870.92294863999996</v>
      </c>
      <c r="S72" s="1962">
        <v>690.76265406000005</v>
      </c>
      <c r="T72" s="1962">
        <v>890.27298991999965</v>
      </c>
      <c r="U72" s="1962">
        <v>1708.1775467800001</v>
      </c>
    </row>
    <row r="73" spans="1:21" ht="15.6" hidden="1">
      <c r="A73" s="1959" t="s">
        <v>20</v>
      </c>
      <c r="B73" s="1965">
        <f t="shared" si="0"/>
        <v>3554.1640134599998</v>
      </c>
      <c r="C73" s="1965">
        <f t="shared" si="4"/>
        <v>1773.7050923500001</v>
      </c>
      <c r="D73" s="1965">
        <v>198.15483333999998</v>
      </c>
      <c r="E73" s="1965">
        <v>464.45951454999999</v>
      </c>
      <c r="F73" s="1965">
        <v>135.43934553</v>
      </c>
      <c r="G73" s="1965">
        <v>975.65139893000003</v>
      </c>
      <c r="H73" s="1960" t="s">
        <v>93</v>
      </c>
      <c r="I73" s="1966" t="s">
        <v>93</v>
      </c>
      <c r="J73" s="1966" t="s">
        <v>93</v>
      </c>
      <c r="K73" s="1966" t="s">
        <v>93</v>
      </c>
      <c r="L73" s="1966" t="s">
        <v>93</v>
      </c>
      <c r="M73" s="1965">
        <f t="shared" si="1"/>
        <v>1780.4589211099997</v>
      </c>
      <c r="N73" s="1965">
        <v>588.93523889000005</v>
      </c>
      <c r="O73" s="1965">
        <v>115.71341075999999</v>
      </c>
      <c r="P73" s="1965">
        <v>814.44983361999982</v>
      </c>
      <c r="Q73" s="1965">
        <v>261.36043783999992</v>
      </c>
      <c r="R73" s="1962">
        <v>787.09007223000003</v>
      </c>
      <c r="S73" s="1962">
        <v>580.17292530999998</v>
      </c>
      <c r="T73" s="1962">
        <v>949.88917914999979</v>
      </c>
      <c r="U73" s="1962">
        <v>1237.0118367699999</v>
      </c>
    </row>
    <row r="74" spans="1:21" ht="15.6" hidden="1">
      <c r="A74" s="1959" t="s">
        <v>21</v>
      </c>
      <c r="B74" s="1965">
        <f t="shared" si="0"/>
        <v>3624.8817440100001</v>
      </c>
      <c r="C74" s="1965">
        <f t="shared" si="4"/>
        <v>1867.0944280299998</v>
      </c>
      <c r="D74" s="1965">
        <v>251.76277174999998</v>
      </c>
      <c r="E74" s="1965">
        <v>440.42325626999991</v>
      </c>
      <c r="F74" s="1965">
        <v>160.01396431000001</v>
      </c>
      <c r="G74" s="1965">
        <v>1014.8944356999999</v>
      </c>
      <c r="H74" s="1960" t="s">
        <v>93</v>
      </c>
      <c r="I74" s="1966" t="s">
        <v>93</v>
      </c>
      <c r="J74" s="1966" t="s">
        <v>93</v>
      </c>
      <c r="K74" s="1966" t="s">
        <v>93</v>
      </c>
      <c r="L74" s="1966" t="s">
        <v>93</v>
      </c>
      <c r="M74" s="1965">
        <f t="shared" si="1"/>
        <v>1757.7873159800001</v>
      </c>
      <c r="N74" s="1965">
        <v>567.39114182000003</v>
      </c>
      <c r="O74" s="1965">
        <v>115.6016890300001</v>
      </c>
      <c r="P74" s="1965">
        <v>722.41098853000005</v>
      </c>
      <c r="Q74" s="1965">
        <v>352.38349660000006</v>
      </c>
      <c r="R74" s="1962">
        <v>819.15391356999999</v>
      </c>
      <c r="S74" s="1962">
        <v>556.02494530000001</v>
      </c>
      <c r="T74" s="1962">
        <v>882.42495284000006</v>
      </c>
      <c r="U74" s="1962">
        <v>1367.2779323</v>
      </c>
    </row>
    <row r="75" spans="1:21" ht="15.6" hidden="1">
      <c r="A75" s="1959" t="s">
        <v>22</v>
      </c>
      <c r="B75" s="1965">
        <f t="shared" si="0"/>
        <v>3704.75413028</v>
      </c>
      <c r="C75" s="1965">
        <f t="shared" si="4"/>
        <v>1914.31575131</v>
      </c>
      <c r="D75" s="1965">
        <v>256.76562258999996</v>
      </c>
      <c r="E75" s="1965">
        <v>446.16791910000001</v>
      </c>
      <c r="F75" s="1965">
        <v>155.88409179999999</v>
      </c>
      <c r="G75" s="1965">
        <v>1055.4981178200001</v>
      </c>
      <c r="H75" s="1960" t="s">
        <v>93</v>
      </c>
      <c r="I75" s="1966" t="s">
        <v>93</v>
      </c>
      <c r="J75" s="1966" t="s">
        <v>93</v>
      </c>
      <c r="K75" s="1966" t="s">
        <v>93</v>
      </c>
      <c r="L75" s="1966" t="s">
        <v>93</v>
      </c>
      <c r="M75" s="1965">
        <f t="shared" si="1"/>
        <v>1790.43837897</v>
      </c>
      <c r="N75" s="1965">
        <v>517.47749139999996</v>
      </c>
      <c r="O75" s="1965">
        <v>136.13416029000001</v>
      </c>
      <c r="P75" s="1965">
        <v>748.27226166000003</v>
      </c>
      <c r="Q75" s="1965">
        <v>388.55446561999997</v>
      </c>
      <c r="R75" s="1962">
        <v>774.24311398999998</v>
      </c>
      <c r="S75" s="1962">
        <v>582.30207939000002</v>
      </c>
      <c r="T75" s="1962">
        <v>904.15635345999999</v>
      </c>
      <c r="U75" s="1962">
        <v>1444.05258344</v>
      </c>
    </row>
    <row r="76" spans="1:21" ht="15.6" hidden="1">
      <c r="A76" s="1959" t="s">
        <v>23</v>
      </c>
      <c r="B76" s="1965">
        <f t="shared" si="0"/>
        <v>3696.3320366399998</v>
      </c>
      <c r="C76" s="1965">
        <f t="shared" si="4"/>
        <v>1935.6239967999998</v>
      </c>
      <c r="D76" s="1965">
        <v>253.2754444</v>
      </c>
      <c r="E76" s="1965">
        <v>444.39394855</v>
      </c>
      <c r="F76" s="1965">
        <v>159.14527211000001</v>
      </c>
      <c r="G76" s="1965">
        <v>1078.8093317399998</v>
      </c>
      <c r="H76" s="1960" t="s">
        <v>93</v>
      </c>
      <c r="I76" s="1966" t="s">
        <v>93</v>
      </c>
      <c r="J76" s="1966" t="s">
        <v>93</v>
      </c>
      <c r="K76" s="1966" t="s">
        <v>93</v>
      </c>
      <c r="L76" s="1966" t="s">
        <v>93</v>
      </c>
      <c r="M76" s="1965">
        <f t="shared" si="1"/>
        <v>1760.7080398400001</v>
      </c>
      <c r="N76" s="1965">
        <v>482.05306417999998</v>
      </c>
      <c r="O76" s="1965">
        <v>141.33906474000003</v>
      </c>
      <c r="P76" s="1965">
        <v>750.89950860999988</v>
      </c>
      <c r="Q76" s="1965">
        <v>386.41640231000019</v>
      </c>
      <c r="R76" s="1962">
        <v>735.32850857999995</v>
      </c>
      <c r="S76" s="1962">
        <v>585.73301329000003</v>
      </c>
      <c r="T76" s="1962">
        <v>910.04478071999984</v>
      </c>
      <c r="U76" s="1962">
        <v>1465.22573405</v>
      </c>
    </row>
    <row r="77" spans="1:21" s="1970" customFormat="1" ht="15.6" hidden="1">
      <c r="A77" s="1967" t="s">
        <v>24</v>
      </c>
      <c r="B77" s="1965">
        <f t="shared" si="0"/>
        <v>4390.41418858</v>
      </c>
      <c r="C77" s="1965">
        <f t="shared" si="4"/>
        <v>2000.7720869</v>
      </c>
      <c r="D77" s="1968">
        <v>246.54656169</v>
      </c>
      <c r="E77" s="1968">
        <v>461.58651695000003</v>
      </c>
      <c r="F77" s="1968">
        <v>166.18944107999999</v>
      </c>
      <c r="G77" s="1968">
        <v>1126.44956718</v>
      </c>
      <c r="H77" s="1960" t="s">
        <v>93</v>
      </c>
      <c r="I77" s="1966" t="s">
        <v>93</v>
      </c>
      <c r="J77" s="1966" t="s">
        <v>93</v>
      </c>
      <c r="K77" s="1966" t="s">
        <v>93</v>
      </c>
      <c r="L77" s="1966" t="s">
        <v>93</v>
      </c>
      <c r="M77" s="1965">
        <f t="shared" si="1"/>
        <v>2389.6421016799995</v>
      </c>
      <c r="N77" s="1968">
        <v>489.19037741</v>
      </c>
      <c r="O77" s="1968">
        <v>153.49149064999995</v>
      </c>
      <c r="P77" s="1968">
        <v>1037.6444106899996</v>
      </c>
      <c r="Q77" s="1968">
        <v>709.31582292999997</v>
      </c>
      <c r="R77" s="1969">
        <v>735.73693909999997</v>
      </c>
      <c r="S77" s="1969">
        <v>615.07800759999998</v>
      </c>
      <c r="T77" s="1969">
        <v>1203.8338517699997</v>
      </c>
      <c r="U77" s="1969">
        <v>1835.76539011</v>
      </c>
    </row>
    <row r="78" spans="1:21" s="1970" customFormat="1" ht="15.6" hidden="1">
      <c r="A78" s="1967" t="s">
        <v>25</v>
      </c>
      <c r="B78" s="1965">
        <f>+C78+M78</f>
        <v>4314.5950495200013</v>
      </c>
      <c r="C78" s="1965">
        <f t="shared" si="4"/>
        <v>2025.5944869099999</v>
      </c>
      <c r="D78" s="1968">
        <v>251.73873101999999</v>
      </c>
      <c r="E78" s="1968">
        <v>481.83203199000019</v>
      </c>
      <c r="F78" s="1968">
        <v>153.71708376999999</v>
      </c>
      <c r="G78" s="1968">
        <v>1138.3066401299998</v>
      </c>
      <c r="H78" s="1960" t="s">
        <v>93</v>
      </c>
      <c r="I78" s="1966" t="s">
        <v>93</v>
      </c>
      <c r="J78" s="1966" t="s">
        <v>93</v>
      </c>
      <c r="K78" s="1966" t="s">
        <v>93</v>
      </c>
      <c r="L78" s="1966" t="s">
        <v>93</v>
      </c>
      <c r="M78" s="1965">
        <f>+N78+O78+P78+Q78</f>
        <v>2289.000562610001</v>
      </c>
      <c r="N78" s="1968">
        <v>676.35093387000006</v>
      </c>
      <c r="O78" s="1968">
        <v>159.61170599999986</v>
      </c>
      <c r="P78" s="1968">
        <v>749.71300204000067</v>
      </c>
      <c r="Q78" s="1968">
        <v>703.32492070000012</v>
      </c>
      <c r="R78" s="1969">
        <v>928.08966488999999</v>
      </c>
      <c r="S78" s="1969">
        <v>641.44373799000005</v>
      </c>
      <c r="T78" s="1969">
        <v>903.43008581000072</v>
      </c>
      <c r="U78" s="1969">
        <v>1841.6315608299999</v>
      </c>
    </row>
    <row r="79" spans="1:21" ht="15.6" hidden="1">
      <c r="A79" s="1967" t="s">
        <v>26</v>
      </c>
      <c r="B79" s="1965">
        <f>+C79+M79</f>
        <v>4219.9536135199996</v>
      </c>
      <c r="C79" s="1965">
        <f t="shared" si="4"/>
        <v>2120.73701781</v>
      </c>
      <c r="D79" s="1968">
        <v>290.29131890999997</v>
      </c>
      <c r="E79" s="1968">
        <v>515.76885160000006</v>
      </c>
      <c r="F79" s="1968">
        <v>145.21879362999999</v>
      </c>
      <c r="G79" s="1968">
        <v>1169.45805367</v>
      </c>
      <c r="H79" s="1960" t="s">
        <v>93</v>
      </c>
      <c r="I79" s="1966" t="s">
        <v>93</v>
      </c>
      <c r="J79" s="1966" t="s">
        <v>93</v>
      </c>
      <c r="K79" s="1966" t="s">
        <v>93</v>
      </c>
      <c r="L79" s="1966" t="s">
        <v>93</v>
      </c>
      <c r="M79" s="1965">
        <f>+N79+O79+P79+Q79</f>
        <v>2099.2165957100001</v>
      </c>
      <c r="N79" s="1968">
        <v>578.01305247000005</v>
      </c>
      <c r="O79" s="1968">
        <v>124.21292704999996</v>
      </c>
      <c r="P79" s="1968">
        <v>703.90076180000005</v>
      </c>
      <c r="Q79" s="1968">
        <v>693.08985439000003</v>
      </c>
      <c r="R79" s="1962">
        <v>868.30437138000002</v>
      </c>
      <c r="S79" s="1962">
        <v>639.98177865000002</v>
      </c>
      <c r="T79" s="1962">
        <v>849.11955542999999</v>
      </c>
      <c r="U79" s="1962">
        <v>1862.5479080600001</v>
      </c>
    </row>
    <row r="80" spans="1:21" ht="15.6" hidden="1">
      <c r="A80" s="1967" t="s">
        <v>27</v>
      </c>
      <c r="B80" s="1965">
        <f>+C80+M80</f>
        <v>4261.5050359699999</v>
      </c>
      <c r="C80" s="1965">
        <f t="shared" si="4"/>
        <v>2125.6351555700003</v>
      </c>
      <c r="D80" s="1968">
        <v>283.97197999000002</v>
      </c>
      <c r="E80" s="1968">
        <v>540.97640233000004</v>
      </c>
      <c r="F80" s="1968">
        <v>146.95304945999999</v>
      </c>
      <c r="G80" s="1968">
        <v>1153.7337237900001</v>
      </c>
      <c r="H80" s="1960" t="s">
        <v>93</v>
      </c>
      <c r="I80" s="1966" t="s">
        <v>93</v>
      </c>
      <c r="J80" s="1966" t="s">
        <v>93</v>
      </c>
      <c r="K80" s="1966" t="s">
        <v>93</v>
      </c>
      <c r="L80" s="1966" t="s">
        <v>93</v>
      </c>
      <c r="M80" s="1965">
        <f>+N80+O80+P80+Q80</f>
        <v>2135.8698803999996</v>
      </c>
      <c r="N80" s="1968">
        <v>636.78602885999999</v>
      </c>
      <c r="O80" s="1968">
        <v>128.79382161000001</v>
      </c>
      <c r="P80" s="1968">
        <v>654.26540917</v>
      </c>
      <c r="Q80" s="1968">
        <v>716.02462075999983</v>
      </c>
      <c r="R80" s="1969">
        <v>920.75800885000001</v>
      </c>
      <c r="S80" s="1962">
        <v>669.77022394000005</v>
      </c>
      <c r="T80" s="1962">
        <v>801.21845862999999</v>
      </c>
      <c r="U80" s="1962">
        <v>1869.7583445499999</v>
      </c>
    </row>
    <row r="81" spans="1:22" ht="15.6" hidden="1">
      <c r="A81" s="1959" t="s">
        <v>28</v>
      </c>
      <c r="B81" s="1965">
        <f>+C81+M81</f>
        <v>4308.2396613099991</v>
      </c>
      <c r="C81" s="1965">
        <f t="shared" si="4"/>
        <v>2251.7332600999998</v>
      </c>
      <c r="D81" s="1965">
        <v>354.78191455000001</v>
      </c>
      <c r="E81" s="1965">
        <v>558.94045063999999</v>
      </c>
      <c r="F81" s="1965">
        <v>159.32449315</v>
      </c>
      <c r="G81" s="1965">
        <v>1178.6864017600001</v>
      </c>
      <c r="H81" s="1960" t="s">
        <v>93</v>
      </c>
      <c r="I81" s="1966" t="s">
        <v>93</v>
      </c>
      <c r="J81" s="1966" t="s">
        <v>93</v>
      </c>
      <c r="K81" s="1966" t="s">
        <v>93</v>
      </c>
      <c r="L81" s="1966" t="s">
        <v>93</v>
      </c>
      <c r="M81" s="1965">
        <f>+N81+O81+P81+Q81</f>
        <v>2056.5064012099997</v>
      </c>
      <c r="N81" s="1965">
        <v>584.69737602999999</v>
      </c>
      <c r="O81" s="1965">
        <v>129.71124468000005</v>
      </c>
      <c r="P81" s="1965">
        <v>628.0453345799998</v>
      </c>
      <c r="Q81" s="1965">
        <v>714.05244591999985</v>
      </c>
      <c r="R81" s="1962">
        <v>939.47929058</v>
      </c>
      <c r="S81" s="1962">
        <v>688.65169532000004</v>
      </c>
      <c r="T81" s="1962">
        <v>787.36982772999977</v>
      </c>
      <c r="U81" s="1962">
        <v>1892.7388476799999</v>
      </c>
    </row>
    <row r="82" spans="1:22" ht="15.6" hidden="1">
      <c r="A82" s="1959" t="s">
        <v>29</v>
      </c>
      <c r="B82" s="1965">
        <f>+C82+M82</f>
        <v>4654.1677029499997</v>
      </c>
      <c r="C82" s="1965">
        <f t="shared" si="4"/>
        <v>2334.8716709</v>
      </c>
      <c r="D82" s="1965">
        <v>353.49315752000001</v>
      </c>
      <c r="E82" s="1965">
        <v>612.09870946000001</v>
      </c>
      <c r="F82" s="1965">
        <v>166.53805993</v>
      </c>
      <c r="G82" s="1965">
        <v>1202.74174399</v>
      </c>
      <c r="H82" s="1960" t="s">
        <v>93</v>
      </c>
      <c r="I82" s="1966" t="s">
        <v>93</v>
      </c>
      <c r="J82" s="1966" t="s">
        <v>93</v>
      </c>
      <c r="K82" s="1966" t="s">
        <v>93</v>
      </c>
      <c r="L82" s="1966" t="s">
        <v>93</v>
      </c>
      <c r="M82" s="1965">
        <f>+N82+O82+P82+Q82</f>
        <v>2319.2960320499997</v>
      </c>
      <c r="N82" s="1965">
        <v>773.93681599999991</v>
      </c>
      <c r="O82" s="1965">
        <v>176.26878554999996</v>
      </c>
      <c r="P82" s="1965">
        <v>653.36384426999996</v>
      </c>
      <c r="Q82" s="1965">
        <v>715.72658623000007</v>
      </c>
      <c r="R82" s="1962">
        <v>1127.42997352</v>
      </c>
      <c r="S82" s="1962">
        <v>788.36749500999997</v>
      </c>
      <c r="T82" s="1962">
        <v>819.90190419999999</v>
      </c>
      <c r="U82" s="1962">
        <v>1918.4683302200001</v>
      </c>
    </row>
    <row r="83" spans="1:22" ht="15.6">
      <c r="A83" s="1971">
        <v>2010</v>
      </c>
      <c r="B83" s="1963">
        <v>7625.7781233199994</v>
      </c>
      <c r="C83" s="1963">
        <v>3029.7520766299999</v>
      </c>
      <c r="D83" s="1963">
        <v>385.00787456</v>
      </c>
      <c r="E83" s="1963">
        <v>1024.9326918100001</v>
      </c>
      <c r="F83" s="1963">
        <v>189.06966498000006</v>
      </c>
      <c r="G83" s="1963">
        <v>1430.74184528</v>
      </c>
      <c r="H83" s="1964">
        <v>2177.01318765</v>
      </c>
      <c r="I83" s="1964">
        <v>7.5060353900000001</v>
      </c>
      <c r="J83" s="1964">
        <v>544.40552508999997</v>
      </c>
      <c r="K83" s="1964">
        <v>553.62977704000002</v>
      </c>
      <c r="L83" s="1964">
        <v>1071.4718501300001</v>
      </c>
      <c r="M83" s="1963">
        <v>2419.0128590399995</v>
      </c>
      <c r="N83" s="1963">
        <v>1093.8131540799998</v>
      </c>
      <c r="O83" s="1963">
        <v>149.66582327999993</v>
      </c>
      <c r="P83" s="1963">
        <v>695.86862213000029</v>
      </c>
      <c r="Q83" s="1963">
        <v>479.66525954999952</v>
      </c>
      <c r="R83" s="1972">
        <v>1486.32706403</v>
      </c>
      <c r="S83" s="1972">
        <v>1719.0040401799999</v>
      </c>
      <c r="T83" s="1972">
        <v>1438.5680641500003</v>
      </c>
      <c r="U83" s="1972">
        <v>2981.8789549599996</v>
      </c>
      <c r="V83" s="1973"/>
    </row>
    <row r="84" spans="1:22" ht="15.6" hidden="1">
      <c r="A84" s="1967" t="s">
        <v>18</v>
      </c>
      <c r="B84" s="1963">
        <f t="shared" ref="B84:B108" si="5">+C84+M84+H84</f>
        <v>6178.0459799599994</v>
      </c>
      <c r="C84" s="1963">
        <f t="shared" ref="C84:C90" si="6">SUM(D84:G84)</f>
        <v>2385.7566735800001</v>
      </c>
      <c r="D84" s="1963">
        <v>328.11430781999991</v>
      </c>
      <c r="E84" s="1963">
        <v>656.78027725000004</v>
      </c>
      <c r="F84" s="1963">
        <v>167.43425257000001</v>
      </c>
      <c r="G84" s="1963">
        <v>1233.42783594</v>
      </c>
      <c r="H84" s="1963">
        <f t="shared" ref="H84:H95" si="7">SUM(I84:L84)</f>
        <v>1715.61529258</v>
      </c>
      <c r="I84" s="1964">
        <v>6.6874883200000008</v>
      </c>
      <c r="J84" s="1964">
        <v>427.76088243999999</v>
      </c>
      <c r="K84" s="1964">
        <v>227.73859233000002</v>
      </c>
      <c r="L84" s="1964">
        <v>1053.4283294899999</v>
      </c>
      <c r="M84" s="1963">
        <f t="shared" ref="M84:M94" si="8">SUM(N84:Q84)</f>
        <v>2076.6740137999996</v>
      </c>
      <c r="N84" s="1963">
        <f t="shared" ref="N84:Q95" si="9">R84-D84-I84</f>
        <v>617.47380782000005</v>
      </c>
      <c r="O84" s="1963">
        <f t="shared" si="9"/>
        <v>180.31932118999981</v>
      </c>
      <c r="P84" s="1963">
        <f t="shared" si="9"/>
        <v>587.64798637999979</v>
      </c>
      <c r="Q84" s="1963">
        <f t="shared" si="9"/>
        <v>691.23289841000019</v>
      </c>
      <c r="R84" s="1972">
        <v>952.27560396000001</v>
      </c>
      <c r="S84" s="1972">
        <v>1264.8604808799998</v>
      </c>
      <c r="T84" s="1972">
        <v>982.82083127999988</v>
      </c>
      <c r="U84" s="1972">
        <v>2978.0890638400001</v>
      </c>
      <c r="V84" s="1973"/>
    </row>
    <row r="85" spans="1:22" ht="15.6" hidden="1">
      <c r="A85" s="1967" t="s">
        <v>19</v>
      </c>
      <c r="B85" s="1963">
        <f t="shared" si="5"/>
        <v>6135.8669652500002</v>
      </c>
      <c r="C85" s="1963">
        <f t="shared" si="6"/>
        <v>2422.8286894000003</v>
      </c>
      <c r="D85" s="1963">
        <v>346.59478274999998</v>
      </c>
      <c r="E85" s="1963">
        <v>683.13482431</v>
      </c>
      <c r="F85" s="1963">
        <v>163.82575912999999</v>
      </c>
      <c r="G85" s="1963">
        <v>1229.2733232099999</v>
      </c>
      <c r="H85" s="1963">
        <f t="shared" si="7"/>
        <v>1705.4412332200002</v>
      </c>
      <c r="I85" s="1964">
        <v>5.9270480899999995</v>
      </c>
      <c r="J85" s="1964">
        <v>302.19447164000002</v>
      </c>
      <c r="K85" s="1964">
        <v>219.32650411999998</v>
      </c>
      <c r="L85" s="1964">
        <v>1177.9932093700002</v>
      </c>
      <c r="M85" s="1963">
        <f t="shared" si="8"/>
        <v>2007.5970426300005</v>
      </c>
      <c r="N85" s="1963">
        <f t="shared" si="9"/>
        <v>610.33387682000034</v>
      </c>
      <c r="O85" s="1963">
        <f t="shared" si="9"/>
        <v>179.48568485000004</v>
      </c>
      <c r="P85" s="1963">
        <f t="shared" si="9"/>
        <v>528.39193077000004</v>
      </c>
      <c r="Q85" s="1963">
        <f t="shared" si="9"/>
        <v>689.38555019</v>
      </c>
      <c r="R85" s="1972">
        <v>962.85570766000035</v>
      </c>
      <c r="S85" s="1972">
        <v>1164.8149808000001</v>
      </c>
      <c r="T85" s="1972">
        <v>911.54419401999996</v>
      </c>
      <c r="U85" s="1972">
        <v>3096.6520827700001</v>
      </c>
      <c r="V85" s="1973"/>
    </row>
    <row r="86" spans="1:22" ht="15.6" hidden="1">
      <c r="A86" s="1967" t="s">
        <v>20</v>
      </c>
      <c r="B86" s="1963">
        <f t="shared" si="5"/>
        <v>6737.6419238500011</v>
      </c>
      <c r="C86" s="1963">
        <f t="shared" si="6"/>
        <v>2394.9631017000002</v>
      </c>
      <c r="D86" s="1963">
        <v>276.60139115999999</v>
      </c>
      <c r="E86" s="1963">
        <v>704.02125402000001</v>
      </c>
      <c r="F86" s="1963">
        <v>176.71919093</v>
      </c>
      <c r="G86" s="1963">
        <v>1237.6212655899999</v>
      </c>
      <c r="H86" s="1963">
        <f t="shared" si="7"/>
        <v>2054.2764347900002</v>
      </c>
      <c r="I86" s="1964">
        <v>6.0805428799999994</v>
      </c>
      <c r="J86" s="1964">
        <v>413.35249870000001</v>
      </c>
      <c r="K86" s="1964">
        <v>405.27180437000004</v>
      </c>
      <c r="L86" s="1964">
        <v>1229.57158884</v>
      </c>
      <c r="M86" s="1963">
        <f t="shared" si="8"/>
        <v>2288.4023873600004</v>
      </c>
      <c r="N86" s="1963">
        <f t="shared" si="9"/>
        <v>689.12506273999986</v>
      </c>
      <c r="O86" s="1963">
        <f t="shared" si="9"/>
        <v>175.59693623999993</v>
      </c>
      <c r="P86" s="1963">
        <f t="shared" si="9"/>
        <v>740.15220757000009</v>
      </c>
      <c r="Q86" s="1963">
        <f t="shared" si="9"/>
        <v>683.52818081000032</v>
      </c>
      <c r="R86" s="1972">
        <v>971.80699677999985</v>
      </c>
      <c r="S86" s="1972">
        <v>1292.97068896</v>
      </c>
      <c r="T86" s="1972">
        <v>1322.1432028700001</v>
      </c>
      <c r="U86" s="1972">
        <v>3150.7210352400002</v>
      </c>
      <c r="V86" s="1973"/>
    </row>
    <row r="87" spans="1:22" ht="15.6" hidden="1">
      <c r="A87" s="1967" t="s">
        <v>21</v>
      </c>
      <c r="B87" s="1963">
        <f t="shared" si="5"/>
        <v>6780.8207531300013</v>
      </c>
      <c r="C87" s="1963">
        <f t="shared" si="6"/>
        <v>2474.7451724800003</v>
      </c>
      <c r="D87" s="1963">
        <v>342.60319303</v>
      </c>
      <c r="E87" s="1963">
        <v>727.74332701000003</v>
      </c>
      <c r="F87" s="1963">
        <v>151.60814135999999</v>
      </c>
      <c r="G87" s="1963">
        <v>1252.79051108</v>
      </c>
      <c r="H87" s="1963">
        <f t="shared" si="7"/>
        <v>2168.0553526100002</v>
      </c>
      <c r="I87" s="1964">
        <v>6.3191584499999998</v>
      </c>
      <c r="J87" s="1964">
        <v>412.40442260999998</v>
      </c>
      <c r="K87" s="1964">
        <v>482.78363762999999</v>
      </c>
      <c r="L87" s="1964">
        <v>1266.5481339200001</v>
      </c>
      <c r="M87" s="1963">
        <f t="shared" si="8"/>
        <v>2138.0202280400008</v>
      </c>
      <c r="N87" s="1963">
        <f t="shared" si="9"/>
        <v>621.86185074000014</v>
      </c>
      <c r="O87" s="1963">
        <f t="shared" si="9"/>
        <v>188.59286051999993</v>
      </c>
      <c r="P87" s="1963">
        <f t="shared" si="9"/>
        <v>663.4187934900001</v>
      </c>
      <c r="Q87" s="1963">
        <f t="shared" si="9"/>
        <v>664.14672329000064</v>
      </c>
      <c r="R87" s="1972">
        <v>970.78420222000011</v>
      </c>
      <c r="S87" s="1972">
        <v>1328.7406101399999</v>
      </c>
      <c r="T87" s="1972">
        <v>1297.81057248</v>
      </c>
      <c r="U87" s="1972">
        <v>3183.4853682900007</v>
      </c>
      <c r="V87" s="1973"/>
    </row>
    <row r="88" spans="1:22" ht="15.6" hidden="1">
      <c r="A88" s="1967" t="s">
        <v>22</v>
      </c>
      <c r="B88" s="1963">
        <f t="shared" si="5"/>
        <v>6536.6532337099998</v>
      </c>
      <c r="C88" s="1963">
        <f t="shared" si="6"/>
        <v>2481.70096117</v>
      </c>
      <c r="D88" s="1963">
        <v>325.97959022999999</v>
      </c>
      <c r="E88" s="1963">
        <v>735.72430811000004</v>
      </c>
      <c r="F88" s="1963">
        <v>162.15748017000001</v>
      </c>
      <c r="G88" s="1963">
        <v>1257.8395826599999</v>
      </c>
      <c r="H88" s="1963">
        <f t="shared" si="7"/>
        <v>1856.71107024</v>
      </c>
      <c r="I88" s="1964">
        <v>5.0330859099999996</v>
      </c>
      <c r="J88" s="1964">
        <v>402.31615160000007</v>
      </c>
      <c r="K88" s="1964">
        <v>330.66352489999997</v>
      </c>
      <c r="L88" s="1964">
        <v>1118.69830783</v>
      </c>
      <c r="M88" s="1963">
        <f t="shared" si="8"/>
        <v>2198.2412022999997</v>
      </c>
      <c r="N88" s="1963">
        <f t="shared" si="9"/>
        <v>626.88026320000017</v>
      </c>
      <c r="O88" s="1963">
        <f t="shared" si="9"/>
        <v>203.74194092999977</v>
      </c>
      <c r="P88" s="1963">
        <f t="shared" si="9"/>
        <v>593.91676241999994</v>
      </c>
      <c r="Q88" s="1963">
        <f t="shared" si="9"/>
        <v>773.70223575</v>
      </c>
      <c r="R88" s="1972">
        <v>957.89293934000011</v>
      </c>
      <c r="S88" s="1972">
        <v>1341.7824006399999</v>
      </c>
      <c r="T88" s="1972">
        <v>1086.7377674899999</v>
      </c>
      <c r="U88" s="1972">
        <v>3150.2401262399999</v>
      </c>
      <c r="V88" s="1973"/>
    </row>
    <row r="89" spans="1:22" ht="15.6" hidden="1">
      <c r="A89" s="1967" t="s">
        <v>23</v>
      </c>
      <c r="B89" s="1963">
        <f t="shared" si="5"/>
        <v>6596.8905588799989</v>
      </c>
      <c r="C89" s="1963">
        <f>SUM(D89:G89)</f>
        <v>2562.83582191</v>
      </c>
      <c r="D89" s="1963">
        <v>356.81037192999997</v>
      </c>
      <c r="E89" s="1963">
        <v>755.66986754999994</v>
      </c>
      <c r="F89" s="1963">
        <v>166.22718707000001</v>
      </c>
      <c r="G89" s="1963">
        <v>1284.12839536</v>
      </c>
      <c r="H89" s="1963">
        <f t="shared" si="7"/>
        <v>1885.4680929000001</v>
      </c>
      <c r="I89" s="1964">
        <v>4.2087380599999999</v>
      </c>
      <c r="J89" s="1964">
        <v>439.09227399999997</v>
      </c>
      <c r="K89" s="1964">
        <v>190.05822742000001</v>
      </c>
      <c r="L89" s="1964">
        <v>1252.1088534200001</v>
      </c>
      <c r="M89" s="1963">
        <f t="shared" si="8"/>
        <v>2148.5866440699992</v>
      </c>
      <c r="N89" s="1963">
        <f t="shared" si="9"/>
        <v>705.86456326999962</v>
      </c>
      <c r="O89" s="1963">
        <f t="shared" si="9"/>
        <v>141.65988634999997</v>
      </c>
      <c r="P89" s="1963">
        <f t="shared" si="9"/>
        <v>570.30249254</v>
      </c>
      <c r="Q89" s="1963">
        <f t="shared" si="9"/>
        <v>730.75970190999965</v>
      </c>
      <c r="R89" s="1972">
        <v>1066.8836732599996</v>
      </c>
      <c r="S89" s="1972">
        <v>1336.4220278999999</v>
      </c>
      <c r="T89" s="1972">
        <v>926.58790703</v>
      </c>
      <c r="U89" s="1972">
        <v>3266.9969506899997</v>
      </c>
      <c r="V89" s="1973"/>
    </row>
    <row r="90" spans="1:22" ht="15.6" hidden="1">
      <c r="A90" s="1967" t="s">
        <v>24</v>
      </c>
      <c r="B90" s="1963">
        <f t="shared" si="5"/>
        <v>6286.8784351699996</v>
      </c>
      <c r="C90" s="1963">
        <f t="shared" si="6"/>
        <v>2716.2629999999999</v>
      </c>
      <c r="D90" s="1963">
        <v>390.98599999999999</v>
      </c>
      <c r="E90" s="1963">
        <v>821.10500000000002</v>
      </c>
      <c r="F90" s="1963">
        <v>180.19300000000001</v>
      </c>
      <c r="G90" s="1963">
        <v>1323.979</v>
      </c>
      <c r="H90" s="1963">
        <f t="shared" si="7"/>
        <v>1885.4680929000001</v>
      </c>
      <c r="I90" s="1963">
        <v>4.2087380599999999</v>
      </c>
      <c r="J90" s="1963">
        <v>439.09227399999997</v>
      </c>
      <c r="K90" s="1963">
        <v>190.05822742000001</v>
      </c>
      <c r="L90" s="1963">
        <v>1252.1088534200001</v>
      </c>
      <c r="M90" s="1963">
        <f t="shared" si="8"/>
        <v>1685.1473422699999</v>
      </c>
      <c r="N90" s="1963">
        <f t="shared" si="9"/>
        <v>599.88985171000002</v>
      </c>
      <c r="O90" s="1963">
        <f t="shared" si="9"/>
        <v>146.47462951</v>
      </c>
      <c r="P90" s="1963">
        <f t="shared" si="9"/>
        <v>520.81950570999993</v>
      </c>
      <c r="Q90" s="1963">
        <f t="shared" si="9"/>
        <v>417.96335533999991</v>
      </c>
      <c r="R90" s="1972">
        <v>995.08458976999998</v>
      </c>
      <c r="S90" s="1972">
        <v>1406.67190351</v>
      </c>
      <c r="T90" s="1972">
        <v>891.07073312999989</v>
      </c>
      <c r="U90" s="1972">
        <v>2994.05120876</v>
      </c>
      <c r="V90" s="1973"/>
    </row>
    <row r="91" spans="1:22" ht="15.6" hidden="1">
      <c r="A91" s="1967" t="s">
        <v>25</v>
      </c>
      <c r="B91" s="1963">
        <f t="shared" si="5"/>
        <v>6591.2542577699996</v>
      </c>
      <c r="C91" s="1963">
        <f>SUM(D91:G91)</f>
        <v>2720.8074087499999</v>
      </c>
      <c r="D91" s="1963">
        <v>327.24065817000002</v>
      </c>
      <c r="E91" s="1963">
        <v>859.72430570000006</v>
      </c>
      <c r="F91" s="1963">
        <v>173.09549503</v>
      </c>
      <c r="G91" s="1963">
        <v>1360.74694985</v>
      </c>
      <c r="H91" s="1963">
        <f t="shared" si="7"/>
        <v>2001.8202688499998</v>
      </c>
      <c r="I91" s="1963">
        <v>12.740292389999999</v>
      </c>
      <c r="J91" s="1963">
        <v>459.95209440999997</v>
      </c>
      <c r="K91" s="1963">
        <v>217.74254565000001</v>
      </c>
      <c r="L91" s="1963">
        <v>1311.3853363999999</v>
      </c>
      <c r="M91" s="1963">
        <f t="shared" si="8"/>
        <v>1868.6265801699999</v>
      </c>
      <c r="N91" s="1963">
        <f t="shared" si="9"/>
        <v>675.99448442000005</v>
      </c>
      <c r="O91" s="1963">
        <f t="shared" si="9"/>
        <v>166.45681371000001</v>
      </c>
      <c r="P91" s="1963">
        <f t="shared" si="9"/>
        <v>581.62447372999986</v>
      </c>
      <c r="Q91" s="1963">
        <f t="shared" si="9"/>
        <v>444.55080831000009</v>
      </c>
      <c r="R91" s="1972">
        <v>1015.97543498</v>
      </c>
      <c r="S91" s="1972">
        <v>1486.13321382</v>
      </c>
      <c r="T91" s="1972">
        <v>972.46251440999981</v>
      </c>
      <c r="U91" s="1972">
        <v>3116.68309456</v>
      </c>
      <c r="V91" s="1973"/>
    </row>
    <row r="92" spans="1:22" ht="15.6" hidden="1">
      <c r="A92" s="1967" t="s">
        <v>26</v>
      </c>
      <c r="B92" s="1963">
        <f t="shared" si="5"/>
        <v>6741.7278075100003</v>
      </c>
      <c r="C92" s="1963">
        <f>SUM(D92:G92)</f>
        <v>2798.3141282899996</v>
      </c>
      <c r="D92" s="1963">
        <v>349.64738546999996</v>
      </c>
      <c r="E92" s="1963">
        <v>895.94109732999982</v>
      </c>
      <c r="F92" s="1963">
        <v>174.98318333999998</v>
      </c>
      <c r="G92" s="1963">
        <v>1377.7424621499999</v>
      </c>
      <c r="H92" s="1963">
        <f t="shared" si="7"/>
        <v>2026.5714229900002</v>
      </c>
      <c r="I92" s="1963">
        <v>9.0558467199999999</v>
      </c>
      <c r="J92" s="1963">
        <v>447.73951749999998</v>
      </c>
      <c r="K92" s="1963">
        <v>368.77888604999998</v>
      </c>
      <c r="L92" s="1963">
        <v>1200.9971727200002</v>
      </c>
      <c r="M92" s="1963">
        <f t="shared" si="8"/>
        <v>1916.84225623</v>
      </c>
      <c r="N92" s="1963">
        <f t="shared" si="9"/>
        <v>719.92781540999988</v>
      </c>
      <c r="O92" s="1963">
        <f t="shared" si="9"/>
        <v>162.80852928000007</v>
      </c>
      <c r="P92" s="1963">
        <f t="shared" si="9"/>
        <v>535.79070217999981</v>
      </c>
      <c r="Q92" s="1963">
        <f t="shared" si="9"/>
        <v>498.31520936000038</v>
      </c>
      <c r="R92" s="1972">
        <v>1078.6310475999999</v>
      </c>
      <c r="S92" s="1972">
        <v>1506.4891441099999</v>
      </c>
      <c r="T92" s="1972">
        <v>1079.5527715699998</v>
      </c>
      <c r="U92" s="1972">
        <v>3077.0548442300005</v>
      </c>
      <c r="V92" s="1973"/>
    </row>
    <row r="93" spans="1:22" ht="15.6" hidden="1">
      <c r="A93" s="1967" t="s">
        <v>27</v>
      </c>
      <c r="B93" s="1963">
        <f t="shared" si="5"/>
        <v>6968.6439867000008</v>
      </c>
      <c r="C93" s="1963">
        <f>SUM(D93:G93)</f>
        <v>2887.52964651</v>
      </c>
      <c r="D93" s="1963">
        <v>385.43445643000001</v>
      </c>
      <c r="E93" s="1963">
        <v>923.09826384999997</v>
      </c>
      <c r="F93" s="1963">
        <v>190.90857446000001</v>
      </c>
      <c r="G93" s="1963">
        <v>1388.0883517700001</v>
      </c>
      <c r="H93" s="1963">
        <f t="shared" si="7"/>
        <v>2094.2414163100002</v>
      </c>
      <c r="I93" s="1963">
        <v>7.690623379999999</v>
      </c>
      <c r="J93" s="1963">
        <v>442.55670349000002</v>
      </c>
      <c r="K93" s="1963">
        <v>555.39764098000001</v>
      </c>
      <c r="L93" s="1963">
        <v>1088.5964484599999</v>
      </c>
      <c r="M93" s="1963">
        <f t="shared" si="8"/>
        <v>1986.8729238800001</v>
      </c>
      <c r="N93" s="1963">
        <f t="shared" si="9"/>
        <v>740.65242556000021</v>
      </c>
      <c r="O93" s="1963">
        <f t="shared" si="9"/>
        <v>180.64700788999994</v>
      </c>
      <c r="P93" s="1963">
        <f t="shared" si="9"/>
        <v>591.64998951999996</v>
      </c>
      <c r="Q93" s="1963">
        <f t="shared" si="9"/>
        <v>473.92350091000003</v>
      </c>
      <c r="R93" s="1972">
        <v>1133.7775053700002</v>
      </c>
      <c r="S93" s="1972">
        <v>1546.3019752299999</v>
      </c>
      <c r="T93" s="1972">
        <v>1337.9562049599999</v>
      </c>
      <c r="U93" s="1972">
        <v>2950.6083011400001</v>
      </c>
      <c r="V93" s="1973"/>
    </row>
    <row r="94" spans="1:22" ht="15.6" hidden="1">
      <c r="A94" s="1967" t="s">
        <v>28</v>
      </c>
      <c r="B94" s="1963">
        <f t="shared" si="5"/>
        <v>6915.8610377499999</v>
      </c>
      <c r="C94" s="1963">
        <f>SUM(D94:G94)</f>
        <v>2868.4287497800001</v>
      </c>
      <c r="D94" s="1963">
        <v>327.80126077999995</v>
      </c>
      <c r="E94" s="1963">
        <v>969.63645252000015</v>
      </c>
      <c r="F94" s="1963">
        <v>176.94310339</v>
      </c>
      <c r="G94" s="1963">
        <v>1394.04793309</v>
      </c>
      <c r="H94" s="1963">
        <f t="shared" si="7"/>
        <v>2164.85723667</v>
      </c>
      <c r="I94" s="1963">
        <v>4.9293718899999996</v>
      </c>
      <c r="J94" s="1963">
        <v>550.69320362999997</v>
      </c>
      <c r="K94" s="1963">
        <v>513.84641866000004</v>
      </c>
      <c r="L94" s="1963">
        <v>1095.3882424900003</v>
      </c>
      <c r="M94" s="1963">
        <f t="shared" si="8"/>
        <v>1882.5750512999996</v>
      </c>
      <c r="N94" s="1963">
        <f t="shared" si="9"/>
        <v>710.81052267000007</v>
      </c>
      <c r="O94" s="1963">
        <f t="shared" si="9"/>
        <v>209.73452986000007</v>
      </c>
      <c r="P94" s="1963">
        <f t="shared" si="9"/>
        <v>489.67444464999983</v>
      </c>
      <c r="Q94" s="1963">
        <f t="shared" si="9"/>
        <v>472.35555411999962</v>
      </c>
      <c r="R94" s="1972">
        <v>1043.5411553399999</v>
      </c>
      <c r="S94" s="1972">
        <v>1730.0641860100002</v>
      </c>
      <c r="T94" s="1972">
        <v>1180.4639666999999</v>
      </c>
      <c r="U94" s="1972">
        <v>2961.7917296999999</v>
      </c>
      <c r="V94" s="1973"/>
    </row>
    <row r="95" spans="1:22" ht="15.6" hidden="1">
      <c r="A95" s="1967" t="s">
        <v>29</v>
      </c>
      <c r="B95" s="1963">
        <f t="shared" si="5"/>
        <v>7625.7781233199994</v>
      </c>
      <c r="C95" s="1963">
        <f>SUM(D95:G95)</f>
        <v>3029.7520766299999</v>
      </c>
      <c r="D95" s="1963">
        <v>385.00787456</v>
      </c>
      <c r="E95" s="1963">
        <v>1024.9326918100001</v>
      </c>
      <c r="F95" s="1963">
        <v>189.06966498000006</v>
      </c>
      <c r="G95" s="1963">
        <v>1430.74184528</v>
      </c>
      <c r="H95" s="1963">
        <f t="shared" si="7"/>
        <v>2177.01318765</v>
      </c>
      <c r="I95" s="1963">
        <v>7.5060353900000001</v>
      </c>
      <c r="J95" s="1963">
        <v>544.40552508999997</v>
      </c>
      <c r="K95" s="1963">
        <v>553.62977704000002</v>
      </c>
      <c r="L95" s="1963">
        <v>1071.4718501300001</v>
      </c>
      <c r="M95" s="1963">
        <f>SUM(N95:Q95)</f>
        <v>2419.0128590399995</v>
      </c>
      <c r="N95" s="1963">
        <f t="shared" si="9"/>
        <v>1093.8131540799998</v>
      </c>
      <c r="O95" s="1963">
        <f t="shared" si="9"/>
        <v>149.66582327999993</v>
      </c>
      <c r="P95" s="1963">
        <f t="shared" si="9"/>
        <v>695.86862213000029</v>
      </c>
      <c r="Q95" s="1963">
        <f t="shared" si="9"/>
        <v>479.66525954999952</v>
      </c>
      <c r="R95" s="1972">
        <v>1486.32706403</v>
      </c>
      <c r="S95" s="1972">
        <v>1719.0040401799999</v>
      </c>
      <c r="T95" s="1972">
        <v>1438.5680641500003</v>
      </c>
      <c r="U95" s="1972">
        <v>2981.8789549599996</v>
      </c>
      <c r="V95" s="1973"/>
    </row>
    <row r="96" spans="1:22" ht="15.6">
      <c r="A96" s="1971">
        <v>2011</v>
      </c>
      <c r="B96" s="1963">
        <v>9447.0007198299991</v>
      </c>
      <c r="C96" s="1963">
        <v>4119.8374570199994</v>
      </c>
      <c r="D96" s="1963">
        <v>613.14276837999989</v>
      </c>
      <c r="E96" s="1963">
        <v>1668.53152163</v>
      </c>
      <c r="F96" s="1963">
        <v>230.64662609999999</v>
      </c>
      <c r="G96" s="1963">
        <v>1607.51654091</v>
      </c>
      <c r="H96" s="1963">
        <v>2519.5341130699999</v>
      </c>
      <c r="I96" s="1963">
        <v>7.2603093799999998</v>
      </c>
      <c r="J96" s="1963">
        <v>670.64870108000002</v>
      </c>
      <c r="K96" s="1963">
        <v>405.32414816000005</v>
      </c>
      <c r="L96" s="1963">
        <v>1436.3009544499998</v>
      </c>
      <c r="M96" s="1963">
        <v>2807.6291497399998</v>
      </c>
      <c r="N96" s="1963">
        <v>1136.1893022399993</v>
      </c>
      <c r="O96" s="1963">
        <v>184.90770575999989</v>
      </c>
      <c r="P96" s="1963">
        <v>1035.94685912</v>
      </c>
      <c r="Q96" s="1963">
        <v>450.5852826200005</v>
      </c>
      <c r="R96" s="1972">
        <v>1756.5923799999994</v>
      </c>
      <c r="S96" s="1972">
        <v>2524.08792847</v>
      </c>
      <c r="T96" s="1972">
        <v>1671.9176333800001</v>
      </c>
      <c r="U96" s="1972">
        <v>3494.4027779800003</v>
      </c>
      <c r="V96" s="1973"/>
    </row>
    <row r="97" spans="1:22" ht="15.6" hidden="1">
      <c r="A97" s="1967" t="s">
        <v>18</v>
      </c>
      <c r="B97" s="1963">
        <f t="shared" si="5"/>
        <v>7321.2590175500009</v>
      </c>
      <c r="C97" s="1963">
        <f t="shared" ref="C97:C108" si="10">SUM(D97:G97)</f>
        <v>3072.1312173899996</v>
      </c>
      <c r="D97" s="1963">
        <v>352.36563034999995</v>
      </c>
      <c r="E97" s="1963">
        <v>1036.3154988199999</v>
      </c>
      <c r="F97" s="1963">
        <v>222.68455740999997</v>
      </c>
      <c r="G97" s="1963">
        <v>1460.76553081</v>
      </c>
      <c r="H97" s="1963">
        <f t="shared" ref="H97:H103" si="11">SUM(I97:L97)</f>
        <v>2139.44761204</v>
      </c>
      <c r="I97" s="1963">
        <v>4.8922694099999999</v>
      </c>
      <c r="J97" s="1963">
        <v>547.77911398000003</v>
      </c>
      <c r="K97" s="1963">
        <v>535.19079316</v>
      </c>
      <c r="L97" s="1963">
        <v>1051.5854354899998</v>
      </c>
      <c r="M97" s="1963">
        <f t="shared" ref="M97:M108" si="12">SUM(N97:Q97)</f>
        <v>2109.6801881200008</v>
      </c>
      <c r="N97" s="1963">
        <f t="shared" ref="N97:Q107" si="13">R97-D97-I97</f>
        <v>773.85809781000023</v>
      </c>
      <c r="O97" s="1963">
        <f t="shared" si="13"/>
        <v>151.77672839000013</v>
      </c>
      <c r="P97" s="1963">
        <f t="shared" si="13"/>
        <v>691.7838775700003</v>
      </c>
      <c r="Q97" s="1963">
        <f t="shared" si="13"/>
        <v>492.26148435000027</v>
      </c>
      <c r="R97" s="1972">
        <v>1131.1159975700002</v>
      </c>
      <c r="S97" s="1972">
        <v>1735.8713411900001</v>
      </c>
      <c r="T97" s="1972">
        <v>1449.6592281400003</v>
      </c>
      <c r="U97" s="1972">
        <v>3004.61245065</v>
      </c>
      <c r="V97" s="1973"/>
    </row>
    <row r="98" spans="1:22" ht="15.6" hidden="1">
      <c r="A98" s="1967" t="s">
        <v>19</v>
      </c>
      <c r="B98" s="1963">
        <f t="shared" si="5"/>
        <v>7315.0040979000014</v>
      </c>
      <c r="C98" s="1963">
        <f t="shared" si="10"/>
        <v>3142.9067649100002</v>
      </c>
      <c r="D98" s="1963">
        <v>426.50273661</v>
      </c>
      <c r="E98" s="1963">
        <v>1061.34858994</v>
      </c>
      <c r="F98" s="1963">
        <v>187.53697761999999</v>
      </c>
      <c r="G98" s="1963">
        <v>1467.5184607400001</v>
      </c>
      <c r="H98" s="1963">
        <f t="shared" si="11"/>
        <v>2105.2409353800003</v>
      </c>
      <c r="I98" s="1963">
        <v>5.2992413599999999</v>
      </c>
      <c r="J98" s="1963">
        <v>494.08893868000001</v>
      </c>
      <c r="K98" s="1963">
        <v>534.1775725</v>
      </c>
      <c r="L98" s="1963">
        <v>1071.6751828400002</v>
      </c>
      <c r="M98" s="1963">
        <f t="shared" si="12"/>
        <v>2066.8563976100004</v>
      </c>
      <c r="N98" s="1963">
        <f t="shared" si="13"/>
        <v>785.66140093000013</v>
      </c>
      <c r="O98" s="1963">
        <f t="shared" si="13"/>
        <v>155.73470723999998</v>
      </c>
      <c r="P98" s="1963">
        <f t="shared" si="13"/>
        <v>640.09946060000016</v>
      </c>
      <c r="Q98" s="1963">
        <f t="shared" si="13"/>
        <v>485.36082884000007</v>
      </c>
      <c r="R98" s="1972">
        <v>1217.4633789000002</v>
      </c>
      <c r="S98" s="1972">
        <v>1711.17223586</v>
      </c>
      <c r="T98" s="1972">
        <v>1361.8140107200002</v>
      </c>
      <c r="U98" s="1972">
        <v>3024.5544724200004</v>
      </c>
      <c r="V98" s="1973"/>
    </row>
    <row r="99" spans="1:22" ht="15.6" hidden="1">
      <c r="A99" s="1967" t="s">
        <v>20</v>
      </c>
      <c r="B99" s="1963">
        <f t="shared" si="5"/>
        <v>7751.0752097799996</v>
      </c>
      <c r="C99" s="1963">
        <f t="shared" si="10"/>
        <v>3289.1362097499996</v>
      </c>
      <c r="D99" s="1963">
        <v>411.43732685999998</v>
      </c>
      <c r="E99" s="1963">
        <v>1103.23738585</v>
      </c>
      <c r="F99" s="1963">
        <v>197.20771066000003</v>
      </c>
      <c r="G99" s="1963">
        <v>1577.2537863799998</v>
      </c>
      <c r="H99" s="1963">
        <f t="shared" si="11"/>
        <v>2218.7625696299997</v>
      </c>
      <c r="I99" s="1963">
        <v>6.6762722099999996</v>
      </c>
      <c r="J99" s="1963">
        <v>529.22265585000002</v>
      </c>
      <c r="K99" s="1963">
        <v>243.23473928000001</v>
      </c>
      <c r="L99" s="1963">
        <v>1439.6289022899998</v>
      </c>
      <c r="M99" s="1963">
        <f t="shared" si="12"/>
        <v>2243.1764304000008</v>
      </c>
      <c r="N99" s="1963">
        <f t="shared" si="13"/>
        <v>870.04760907000036</v>
      </c>
      <c r="O99" s="1963">
        <f t="shared" si="13"/>
        <v>156.92085584999984</v>
      </c>
      <c r="P99" s="1963">
        <f t="shared" si="13"/>
        <v>776.28783971999997</v>
      </c>
      <c r="Q99" s="1963">
        <f t="shared" si="13"/>
        <v>439.92012576000047</v>
      </c>
      <c r="R99" s="1972">
        <v>1288.1612081400003</v>
      </c>
      <c r="S99" s="1972">
        <v>1789.3808975499999</v>
      </c>
      <c r="T99" s="1972">
        <v>1216.7302896599999</v>
      </c>
      <c r="U99" s="1972">
        <v>3456.8028144300001</v>
      </c>
      <c r="V99" s="1973"/>
    </row>
    <row r="100" spans="1:22" ht="15.6" hidden="1">
      <c r="A100" s="1967" t="s">
        <v>21</v>
      </c>
      <c r="B100" s="1963">
        <f t="shared" si="5"/>
        <v>7788.8309037399995</v>
      </c>
      <c r="C100" s="1963">
        <f t="shared" si="10"/>
        <v>3358.6820325299996</v>
      </c>
      <c r="D100" s="1963">
        <v>430.59949551</v>
      </c>
      <c r="E100" s="1963">
        <v>1125.37272267</v>
      </c>
      <c r="F100" s="1963">
        <v>200.53341541999995</v>
      </c>
      <c r="G100" s="1963">
        <v>1602.1763989299998</v>
      </c>
      <c r="H100" s="1963">
        <f t="shared" si="11"/>
        <v>2203.4533359800002</v>
      </c>
      <c r="I100" s="1963">
        <v>5.1024627900000006</v>
      </c>
      <c r="J100" s="1963">
        <v>544.13569310000003</v>
      </c>
      <c r="K100" s="1963">
        <v>228.90099741</v>
      </c>
      <c r="L100" s="1963">
        <v>1425.3141826800002</v>
      </c>
      <c r="M100" s="1963">
        <f t="shared" si="12"/>
        <v>2226.6955352300001</v>
      </c>
      <c r="N100" s="1963">
        <f t="shared" si="13"/>
        <v>858.18235188000006</v>
      </c>
      <c r="O100" s="1963">
        <f t="shared" si="13"/>
        <v>161.71404733000008</v>
      </c>
      <c r="P100" s="1963">
        <f t="shared" si="13"/>
        <v>707.4658075100001</v>
      </c>
      <c r="Q100" s="1963">
        <f t="shared" si="13"/>
        <v>499.33332850999977</v>
      </c>
      <c r="R100" s="1972">
        <v>1293.8843101800001</v>
      </c>
      <c r="S100" s="1972">
        <v>1831.2224631000001</v>
      </c>
      <c r="T100" s="1972">
        <v>1136.90022034</v>
      </c>
      <c r="U100" s="1972">
        <v>3526.8239101199997</v>
      </c>
      <c r="V100" s="1973"/>
    </row>
    <row r="101" spans="1:22" ht="15.6" hidden="1">
      <c r="A101" s="1967" t="s">
        <v>22</v>
      </c>
      <c r="B101" s="1963">
        <f t="shared" si="5"/>
        <v>7959.1259541700001</v>
      </c>
      <c r="C101" s="1963">
        <f t="shared" si="10"/>
        <v>3321.4622767800001</v>
      </c>
      <c r="D101" s="1963">
        <v>428.80747981000002</v>
      </c>
      <c r="E101" s="1963">
        <v>1148.91003284</v>
      </c>
      <c r="F101" s="1963">
        <v>211.73589314000003</v>
      </c>
      <c r="G101" s="1963">
        <v>1532.0088709900001</v>
      </c>
      <c r="H101" s="1963">
        <f t="shared" si="11"/>
        <v>2229.8080406999998</v>
      </c>
      <c r="I101" s="1963">
        <v>4.6767314100000004</v>
      </c>
      <c r="J101" s="1963">
        <v>561.42345045000002</v>
      </c>
      <c r="K101" s="1963">
        <v>223.78235784999998</v>
      </c>
      <c r="L101" s="1963">
        <v>1439.92550099</v>
      </c>
      <c r="M101" s="1963">
        <f t="shared" si="12"/>
        <v>2407.8556366900007</v>
      </c>
      <c r="N101" s="1963">
        <f t="shared" si="13"/>
        <v>871.70514153000011</v>
      </c>
      <c r="O101" s="1963">
        <f t="shared" si="13"/>
        <v>174.54583997999998</v>
      </c>
      <c r="P101" s="1963">
        <f t="shared" si="13"/>
        <v>844.18031890000043</v>
      </c>
      <c r="Q101" s="1963">
        <f t="shared" si="13"/>
        <v>517.42433628000003</v>
      </c>
      <c r="R101" s="1972">
        <v>1305.1893527500001</v>
      </c>
      <c r="S101" s="1972">
        <v>1884.87932327</v>
      </c>
      <c r="T101" s="1972">
        <v>1279.6985698900003</v>
      </c>
      <c r="U101" s="1972">
        <v>3489.3587082600002</v>
      </c>
      <c r="V101" s="1973"/>
    </row>
    <row r="102" spans="1:22" ht="15.6" hidden="1">
      <c r="A102" s="1967" t="s">
        <v>23</v>
      </c>
      <c r="B102" s="1963">
        <f t="shared" si="5"/>
        <v>8126.7557803200007</v>
      </c>
      <c r="C102" s="1963">
        <f t="shared" si="10"/>
        <v>3451.4294540000001</v>
      </c>
      <c r="D102" s="1963">
        <v>485.03161867000006</v>
      </c>
      <c r="E102" s="1963">
        <v>1189.1685057099999</v>
      </c>
      <c r="F102" s="1963">
        <v>213.18281067999999</v>
      </c>
      <c r="G102" s="1963">
        <v>1564.0465189400002</v>
      </c>
      <c r="H102" s="1963">
        <f t="shared" si="11"/>
        <v>2196.77824839</v>
      </c>
      <c r="I102" s="1963">
        <v>5.5791976199999995</v>
      </c>
      <c r="J102" s="1963">
        <v>583.28886374000001</v>
      </c>
      <c r="K102" s="1963">
        <v>221.46575591999999</v>
      </c>
      <c r="L102" s="1963">
        <v>1386.4444311100001</v>
      </c>
      <c r="M102" s="1963">
        <f t="shared" si="12"/>
        <v>2478.5480779300001</v>
      </c>
      <c r="N102" s="1963">
        <f t="shared" si="13"/>
        <v>851.65265112999987</v>
      </c>
      <c r="O102" s="1963">
        <f t="shared" si="13"/>
        <v>177.01564920000021</v>
      </c>
      <c r="P102" s="1963">
        <f t="shared" si="13"/>
        <v>939.29551820999995</v>
      </c>
      <c r="Q102" s="1963">
        <f t="shared" si="13"/>
        <v>510.58425939000017</v>
      </c>
      <c r="R102" s="1972">
        <v>1342.2634674199999</v>
      </c>
      <c r="S102" s="1972">
        <v>1949.4730186500001</v>
      </c>
      <c r="T102" s="1972">
        <v>1373.94408481</v>
      </c>
      <c r="U102" s="1972">
        <v>3461.0752094400004</v>
      </c>
      <c r="V102" s="1973"/>
    </row>
    <row r="103" spans="1:22" ht="15.6" hidden="1">
      <c r="A103" s="1967" t="s">
        <v>24</v>
      </c>
      <c r="B103" s="1963">
        <f t="shared" si="5"/>
        <v>8345.8196153299996</v>
      </c>
      <c r="C103" s="1963">
        <f t="shared" si="10"/>
        <v>3543.6408617500001</v>
      </c>
      <c r="D103" s="1963">
        <v>517.85449964000009</v>
      </c>
      <c r="E103" s="1963">
        <v>1227.5491714500001</v>
      </c>
      <c r="F103" s="1963">
        <v>221.05351150000001</v>
      </c>
      <c r="G103" s="1963">
        <v>1577.1836791599999</v>
      </c>
      <c r="H103" s="1963">
        <f t="shared" si="11"/>
        <v>2207.08086237</v>
      </c>
      <c r="I103" s="1963">
        <v>4.8727140599999998</v>
      </c>
      <c r="J103" s="1963">
        <v>575.32561619000001</v>
      </c>
      <c r="K103" s="1963">
        <v>426.12787192999997</v>
      </c>
      <c r="L103" s="1963">
        <v>1200.7546601899999</v>
      </c>
      <c r="M103" s="1963">
        <f t="shared" si="12"/>
        <v>2595.0978912100004</v>
      </c>
      <c r="N103" s="1963">
        <f t="shared" si="13"/>
        <v>1053.3541074699999</v>
      </c>
      <c r="O103" s="1963">
        <f t="shared" si="13"/>
        <v>188.17775201000006</v>
      </c>
      <c r="P103" s="1963">
        <f t="shared" si="13"/>
        <v>859.44397401000003</v>
      </c>
      <c r="Q103" s="1963">
        <f t="shared" si="13"/>
        <v>494.12205772000016</v>
      </c>
      <c r="R103" s="1972">
        <v>1576.0813211699999</v>
      </c>
      <c r="S103" s="1972">
        <v>1991.0525396500002</v>
      </c>
      <c r="T103" s="1972">
        <v>1506.62535744</v>
      </c>
      <c r="U103" s="1972">
        <v>3272.0603970699999</v>
      </c>
      <c r="V103" s="1973"/>
    </row>
    <row r="104" spans="1:22" ht="15.6" hidden="1">
      <c r="A104" s="1967" t="s">
        <v>25</v>
      </c>
      <c r="B104" s="1963">
        <f t="shared" si="5"/>
        <v>8449.7129442299993</v>
      </c>
      <c r="C104" s="1963">
        <f t="shared" si="10"/>
        <v>3660.7234386299997</v>
      </c>
      <c r="D104" s="1963">
        <v>561.26581953999994</v>
      </c>
      <c r="E104" s="1963">
        <v>1276.43985894</v>
      </c>
      <c r="F104" s="1963">
        <v>213.63250916999999</v>
      </c>
      <c r="G104" s="1963">
        <v>1609.3852509799999</v>
      </c>
      <c r="H104" s="1963">
        <f>SUM(I104:L104)</f>
        <v>2473.23821047</v>
      </c>
      <c r="I104" s="1963">
        <v>8.4671099499999993</v>
      </c>
      <c r="J104" s="1963">
        <v>550.00012833000005</v>
      </c>
      <c r="K104" s="1963">
        <v>452.00877516999998</v>
      </c>
      <c r="L104" s="1963">
        <v>1462.7621970199998</v>
      </c>
      <c r="M104" s="1963">
        <f t="shared" si="12"/>
        <v>2315.7512951300005</v>
      </c>
      <c r="N104" s="1963">
        <f t="shared" si="13"/>
        <v>900.47017844000004</v>
      </c>
      <c r="O104" s="1963">
        <f t="shared" si="13"/>
        <v>191.62881151000033</v>
      </c>
      <c r="P104" s="1963">
        <f t="shared" si="13"/>
        <v>735.7017602200001</v>
      </c>
      <c r="Q104" s="1963">
        <f t="shared" si="13"/>
        <v>487.95054496000012</v>
      </c>
      <c r="R104" s="1972">
        <v>1470.20310793</v>
      </c>
      <c r="S104" s="1972">
        <v>2018.0687987800004</v>
      </c>
      <c r="T104" s="1972">
        <v>1401.3430445600002</v>
      </c>
      <c r="U104" s="1972">
        <v>3560.0979929599998</v>
      </c>
      <c r="V104" s="1973"/>
    </row>
    <row r="105" spans="1:22" ht="15.6" hidden="1">
      <c r="A105" s="1967" t="s">
        <v>26</v>
      </c>
      <c r="B105" s="1963">
        <f t="shared" si="5"/>
        <v>8740.581751329999</v>
      </c>
      <c r="C105" s="1963">
        <f t="shared" si="10"/>
        <v>3622.4216608500001</v>
      </c>
      <c r="D105" s="1963">
        <v>454.73067648</v>
      </c>
      <c r="E105" s="1963">
        <v>1343.9700985799998</v>
      </c>
      <c r="F105" s="1963">
        <v>208.59919260000001</v>
      </c>
      <c r="G105" s="1963">
        <v>1615.1216931900003</v>
      </c>
      <c r="H105" s="1963">
        <f>SUM(I105:L105)</f>
        <v>2530.3590625699999</v>
      </c>
      <c r="I105" s="1963">
        <v>11.534986929999999</v>
      </c>
      <c r="J105" s="1963">
        <v>649.86226107000016</v>
      </c>
      <c r="K105" s="1963">
        <v>404.93355285000001</v>
      </c>
      <c r="L105" s="1963">
        <v>1464.0282617199998</v>
      </c>
      <c r="M105" s="1963">
        <f t="shared" si="12"/>
        <v>2587.8010279099999</v>
      </c>
      <c r="N105" s="1963">
        <f t="shared" si="13"/>
        <v>974.19055739999988</v>
      </c>
      <c r="O105" s="1963">
        <f t="shared" si="13"/>
        <v>182.60762141000032</v>
      </c>
      <c r="P105" s="1963">
        <f t="shared" si="13"/>
        <v>969.38662055000032</v>
      </c>
      <c r="Q105" s="1963">
        <f t="shared" si="13"/>
        <v>461.61622854999973</v>
      </c>
      <c r="R105" s="1972">
        <v>1440.4562208099999</v>
      </c>
      <c r="S105" s="1972">
        <v>2176.4399810600003</v>
      </c>
      <c r="T105" s="1972">
        <v>1582.9193660000003</v>
      </c>
      <c r="U105" s="1972">
        <v>3540.7661834599999</v>
      </c>
      <c r="V105" s="1973"/>
    </row>
    <row r="106" spans="1:22" ht="15.6" hidden="1">
      <c r="A106" s="1967" t="s">
        <v>27</v>
      </c>
      <c r="B106" s="1963">
        <f t="shared" si="5"/>
        <v>8707.8253123100003</v>
      </c>
      <c r="C106" s="1963">
        <f t="shared" si="10"/>
        <v>3674.9500908000005</v>
      </c>
      <c r="D106" s="1963">
        <v>432.68067533999999</v>
      </c>
      <c r="E106" s="1963">
        <v>1390.5666977300002</v>
      </c>
      <c r="F106" s="1963">
        <v>210.3746745</v>
      </c>
      <c r="G106" s="1963">
        <v>1641.32804323</v>
      </c>
      <c r="H106" s="1963">
        <f>SUM(I106:L106)</f>
        <v>2563.4283718600004</v>
      </c>
      <c r="I106" s="1963">
        <v>13.441559009999999</v>
      </c>
      <c r="J106" s="1963">
        <v>687.74345773000005</v>
      </c>
      <c r="K106" s="1963">
        <v>408.57466672999999</v>
      </c>
      <c r="L106" s="1963">
        <v>1453.6686883900004</v>
      </c>
      <c r="M106" s="1963">
        <f t="shared" si="12"/>
        <v>2469.4468496499994</v>
      </c>
      <c r="N106" s="1963">
        <f t="shared" si="13"/>
        <v>967.70012228999997</v>
      </c>
      <c r="O106" s="1963">
        <f t="shared" si="13"/>
        <v>184.08009030999983</v>
      </c>
      <c r="P106" s="1963">
        <f t="shared" si="13"/>
        <v>886.29815371999985</v>
      </c>
      <c r="Q106" s="1963">
        <f t="shared" si="13"/>
        <v>431.36848332999989</v>
      </c>
      <c r="R106" s="1954">
        <v>1413.82235664</v>
      </c>
      <c r="S106" s="1954">
        <v>2262.3902457700001</v>
      </c>
      <c r="T106" s="1954">
        <v>1505.2474949499999</v>
      </c>
      <c r="U106" s="1954">
        <v>3526.3652149500003</v>
      </c>
      <c r="V106" s="1973"/>
    </row>
    <row r="107" spans="1:22" ht="15.6" hidden="1">
      <c r="A107" s="1967" t="s">
        <v>28</v>
      </c>
      <c r="B107" s="1963">
        <f t="shared" si="5"/>
        <v>8892.7983016500002</v>
      </c>
      <c r="C107" s="1963">
        <f t="shared" si="10"/>
        <v>3830.0952434999999</v>
      </c>
      <c r="D107" s="1963">
        <v>493.74183979000003</v>
      </c>
      <c r="E107" s="1963">
        <v>1476.4286049699999</v>
      </c>
      <c r="F107" s="1963">
        <v>255.54023355000001</v>
      </c>
      <c r="G107" s="1963">
        <v>1604.3845651900001</v>
      </c>
      <c r="H107" s="1963">
        <f>SUM(I107:L107)</f>
        <v>2459.7094855899995</v>
      </c>
      <c r="I107" s="1963">
        <v>13.850641889999999</v>
      </c>
      <c r="J107" s="1963">
        <v>671.24590702000012</v>
      </c>
      <c r="K107" s="1963">
        <v>375.92633617000001</v>
      </c>
      <c r="L107" s="1963">
        <v>1398.6866005099996</v>
      </c>
      <c r="M107" s="1963">
        <f t="shared" si="12"/>
        <v>2602.9935725599998</v>
      </c>
      <c r="N107" s="1963">
        <f t="shared" si="13"/>
        <v>1078.0299140000002</v>
      </c>
      <c r="O107" s="1963">
        <f t="shared" si="13"/>
        <v>155.27642353000022</v>
      </c>
      <c r="P107" s="1963">
        <f t="shared" si="13"/>
        <v>934.84206550999966</v>
      </c>
      <c r="Q107" s="1963">
        <f t="shared" si="13"/>
        <v>434.84516952000013</v>
      </c>
      <c r="R107" s="1954">
        <v>1585.6223956800002</v>
      </c>
      <c r="S107" s="1954">
        <v>2302.9509355200003</v>
      </c>
      <c r="T107" s="1954">
        <v>1566.3086352299997</v>
      </c>
      <c r="U107" s="1954">
        <v>3437.9163352199998</v>
      </c>
      <c r="V107" s="1973"/>
    </row>
    <row r="108" spans="1:22" ht="15.6" hidden="1">
      <c r="A108" s="1967" t="s">
        <v>29</v>
      </c>
      <c r="B108" s="1963">
        <f t="shared" si="5"/>
        <v>9447.0007198299991</v>
      </c>
      <c r="C108" s="1963">
        <f t="shared" si="10"/>
        <v>4119.8374570199994</v>
      </c>
      <c r="D108" s="1963">
        <v>613.14276837999989</v>
      </c>
      <c r="E108" s="1963">
        <v>1668.53152163</v>
      </c>
      <c r="F108" s="1963">
        <v>230.64662609999999</v>
      </c>
      <c r="G108" s="1963">
        <v>1607.51654091</v>
      </c>
      <c r="H108" s="1963">
        <f>SUM(I108:L108)</f>
        <v>2519.5341130699999</v>
      </c>
      <c r="I108" s="1963">
        <v>7.2603093799999998</v>
      </c>
      <c r="J108" s="1963">
        <v>670.64870108000002</v>
      </c>
      <c r="K108" s="1963">
        <v>405.32414816000005</v>
      </c>
      <c r="L108" s="1963">
        <v>1436.3009544499998</v>
      </c>
      <c r="M108" s="1963">
        <f t="shared" si="12"/>
        <v>2807.6291497399998</v>
      </c>
      <c r="N108" s="1963">
        <f>R108-D108-I108</f>
        <v>1136.1893022399993</v>
      </c>
      <c r="O108" s="1963">
        <f>S108-E108-J108</f>
        <v>184.90770575999989</v>
      </c>
      <c r="P108" s="1963">
        <f>T108-F108-K108</f>
        <v>1035.94685912</v>
      </c>
      <c r="Q108" s="1963">
        <f>U108-G108-L108</f>
        <v>450.5852826200005</v>
      </c>
      <c r="R108" s="1954">
        <v>1756.5923799999994</v>
      </c>
      <c r="S108" s="1954">
        <v>2524.08792847</v>
      </c>
      <c r="T108" s="1954">
        <v>1671.9176333800001</v>
      </c>
      <c r="U108" s="1954">
        <v>3494.4027779800003</v>
      </c>
      <c r="V108" s="1973"/>
    </row>
    <row r="109" spans="1:22" ht="15.6">
      <c r="A109" s="1971">
        <v>2012</v>
      </c>
      <c r="B109" s="1963">
        <v>10699.241985770001</v>
      </c>
      <c r="C109" s="1963">
        <v>5113.4078103299998</v>
      </c>
      <c r="D109" s="1963">
        <v>777.14939947000005</v>
      </c>
      <c r="E109" s="1963">
        <v>2186.70776303</v>
      </c>
      <c r="F109" s="1963">
        <v>265.68550679999998</v>
      </c>
      <c r="G109" s="1963">
        <v>1883.8651410300004</v>
      </c>
      <c r="H109" s="1963">
        <v>2782.9527644100003</v>
      </c>
      <c r="I109" s="1963">
        <v>5.4634511200000002</v>
      </c>
      <c r="J109" s="1963">
        <v>706.33409993999999</v>
      </c>
      <c r="K109" s="1963">
        <v>449.44292741000004</v>
      </c>
      <c r="L109" s="1963">
        <v>1621.7122859400004</v>
      </c>
      <c r="M109" s="1963">
        <v>2802.88141103</v>
      </c>
      <c r="N109" s="1963">
        <v>1198.4983402600003</v>
      </c>
      <c r="O109" s="1963">
        <v>188.39494251000019</v>
      </c>
      <c r="P109" s="1963">
        <v>929.97896890999982</v>
      </c>
      <c r="Q109" s="1963">
        <v>486.00915934999989</v>
      </c>
      <c r="R109" s="1972">
        <v>1981.1111908500002</v>
      </c>
      <c r="S109" s="1972">
        <v>3081.4368054800002</v>
      </c>
      <c r="T109" s="1972">
        <v>1645.1074031199998</v>
      </c>
      <c r="U109" s="1972">
        <v>3991.5865863200006</v>
      </c>
      <c r="V109" s="1973"/>
    </row>
    <row r="110" spans="1:22" ht="15.6" hidden="1">
      <c r="A110" s="1967" t="s">
        <v>18</v>
      </c>
      <c r="B110" s="1968">
        <f t="shared" ref="B110:B121" si="14">+C110+M110+H110</f>
        <v>9281.2090842100006</v>
      </c>
      <c r="C110" s="1968">
        <f t="shared" ref="C110:C121" si="15">SUM(D110:G110)</f>
        <v>4179.4653587800003</v>
      </c>
      <c r="D110" s="1968">
        <v>613.40160514000013</v>
      </c>
      <c r="E110" s="1968">
        <v>1701.5840972999997</v>
      </c>
      <c r="F110" s="1968">
        <v>227.32729905000002</v>
      </c>
      <c r="G110" s="1968">
        <v>1637.1523572900001</v>
      </c>
      <c r="H110" s="1968">
        <f t="shared" ref="H110:H121" si="16">SUM(I110:L110)</f>
        <v>2529.6728764100003</v>
      </c>
      <c r="I110" s="1968">
        <v>7.6527032100000003</v>
      </c>
      <c r="J110" s="1968">
        <v>682.04283025000007</v>
      </c>
      <c r="K110" s="1968">
        <v>401.17750655999998</v>
      </c>
      <c r="L110" s="1968">
        <v>1438.7998363900001</v>
      </c>
      <c r="M110" s="1968">
        <f t="shared" ref="M110:M121" si="17">SUM(N110:Q110)</f>
        <v>2572.0708490200004</v>
      </c>
      <c r="N110" s="1968">
        <f t="shared" ref="N110:Q120" si="18">R110-D110-I110</f>
        <v>1008.8140412600003</v>
      </c>
      <c r="O110" s="1968">
        <f t="shared" si="18"/>
        <v>168.30407765999973</v>
      </c>
      <c r="P110" s="1968">
        <f t="shared" si="18"/>
        <v>939.61514207999994</v>
      </c>
      <c r="Q110" s="1968">
        <f t="shared" si="18"/>
        <v>455.33758802000011</v>
      </c>
      <c r="R110" s="1969">
        <v>1629.8683496100005</v>
      </c>
      <c r="S110" s="1969">
        <v>2551.9310052099995</v>
      </c>
      <c r="T110" s="1969">
        <v>1568.1199476899999</v>
      </c>
      <c r="U110" s="1969">
        <v>3531.2897817000003</v>
      </c>
    </row>
    <row r="111" spans="1:22" ht="15.6" hidden="1">
      <c r="A111" s="1967" t="s">
        <v>19</v>
      </c>
      <c r="B111" s="1968">
        <f t="shared" si="14"/>
        <v>9507.0192621999995</v>
      </c>
      <c r="C111" s="1968">
        <f t="shared" si="15"/>
        <v>4330.6031756900002</v>
      </c>
      <c r="D111" s="1968">
        <v>640.70385937000003</v>
      </c>
      <c r="E111" s="1968">
        <v>1780.6559725000002</v>
      </c>
      <c r="F111" s="1968">
        <v>241.04396923000002</v>
      </c>
      <c r="G111" s="1968">
        <v>1668.1993745899999</v>
      </c>
      <c r="H111" s="1968">
        <f t="shared" si="16"/>
        <v>2529.1533993100002</v>
      </c>
      <c r="I111" s="1968">
        <v>10.377717780000001</v>
      </c>
      <c r="J111" s="1968">
        <v>656.89795426000001</v>
      </c>
      <c r="K111" s="1968">
        <v>425.15386432999998</v>
      </c>
      <c r="L111" s="1968">
        <v>1436.7238629400001</v>
      </c>
      <c r="M111" s="1968">
        <f t="shared" si="17"/>
        <v>2647.2626871999992</v>
      </c>
      <c r="N111" s="1968">
        <f t="shared" si="18"/>
        <v>919.01146454000002</v>
      </c>
      <c r="O111" s="1968">
        <f t="shared" si="18"/>
        <v>202.93871855999987</v>
      </c>
      <c r="P111" s="1968">
        <f t="shared" si="18"/>
        <v>1030.0657886899999</v>
      </c>
      <c r="Q111" s="1968">
        <f t="shared" si="18"/>
        <v>495.2467154099993</v>
      </c>
      <c r="R111" s="1969">
        <v>1570.0930416900001</v>
      </c>
      <c r="S111" s="1969">
        <v>2640.4926453200001</v>
      </c>
      <c r="T111" s="1969">
        <v>1696.2636222499998</v>
      </c>
      <c r="U111" s="1969">
        <v>3600.1699529399993</v>
      </c>
    </row>
    <row r="112" spans="1:22" ht="15.6" hidden="1">
      <c r="A112" s="1967" t="s">
        <v>20</v>
      </c>
      <c r="B112" s="1968">
        <f t="shared" si="14"/>
        <v>9796.4743111399985</v>
      </c>
      <c r="C112" s="1968">
        <f t="shared" si="15"/>
        <v>4298.9149969499995</v>
      </c>
      <c r="D112" s="1968">
        <v>649.11181754999984</v>
      </c>
      <c r="E112" s="1968">
        <v>1746.6282395999999</v>
      </c>
      <c r="F112" s="1968">
        <v>241.53345581999997</v>
      </c>
      <c r="G112" s="1968">
        <v>1661.6414839800002</v>
      </c>
      <c r="H112" s="1968">
        <f t="shared" si="16"/>
        <v>2539.63416263</v>
      </c>
      <c r="I112" s="1968">
        <v>10.30967897</v>
      </c>
      <c r="J112" s="1968">
        <v>631.46475049000003</v>
      </c>
      <c r="K112" s="1968">
        <v>418.16210343</v>
      </c>
      <c r="L112" s="1968">
        <v>1479.6976297400001</v>
      </c>
      <c r="M112" s="1968">
        <f t="shared" si="17"/>
        <v>2957.9251515599999</v>
      </c>
      <c r="N112" s="1968">
        <f t="shared" si="18"/>
        <v>1227.6899946699998</v>
      </c>
      <c r="O112" s="1968">
        <f t="shared" si="18"/>
        <v>196.9698734599998</v>
      </c>
      <c r="P112" s="1968">
        <f t="shared" si="18"/>
        <v>1074.7975338300002</v>
      </c>
      <c r="Q112" s="1968">
        <f t="shared" si="18"/>
        <v>458.46774960000016</v>
      </c>
      <c r="R112" s="1969">
        <v>1887.1114911899997</v>
      </c>
      <c r="S112" s="1969">
        <v>2575.0628635499997</v>
      </c>
      <c r="T112" s="1969">
        <v>1734.4930930800001</v>
      </c>
      <c r="U112" s="1969">
        <v>3599.8068633200005</v>
      </c>
    </row>
    <row r="113" spans="1:21" ht="15.6" hidden="1">
      <c r="A113" s="1967" t="s">
        <v>21</v>
      </c>
      <c r="B113" s="1968">
        <f t="shared" si="14"/>
        <v>9870.0217999999986</v>
      </c>
      <c r="C113" s="1968">
        <f t="shared" si="15"/>
        <v>4338.8307999999997</v>
      </c>
      <c r="D113" s="1968">
        <v>672.02250000000004</v>
      </c>
      <c r="E113" s="1968">
        <v>1728.4594</v>
      </c>
      <c r="F113" s="1968">
        <v>254.8818</v>
      </c>
      <c r="G113" s="1968">
        <v>1683.4671000000001</v>
      </c>
      <c r="H113" s="1968">
        <f t="shared" si="16"/>
        <v>2479.8858</v>
      </c>
      <c r="I113" s="1968">
        <v>5.0224000000000002</v>
      </c>
      <c r="J113" s="1968">
        <v>608.96709999999996</v>
      </c>
      <c r="K113" s="1968">
        <v>407.29539999999997</v>
      </c>
      <c r="L113" s="1968">
        <v>1458.6008999999999</v>
      </c>
      <c r="M113" s="1968">
        <f t="shared" si="17"/>
        <v>3051.3051999999998</v>
      </c>
      <c r="N113" s="1968">
        <f t="shared" si="18"/>
        <v>1111.5926999999999</v>
      </c>
      <c r="O113" s="1968">
        <f t="shared" si="18"/>
        <v>207.89170000000024</v>
      </c>
      <c r="P113" s="1968">
        <f t="shared" si="18"/>
        <v>1256.3870999999999</v>
      </c>
      <c r="Q113" s="1968">
        <f t="shared" si="18"/>
        <v>475.43369999999982</v>
      </c>
      <c r="R113" s="1969">
        <v>1788.6376</v>
      </c>
      <c r="S113" s="1969">
        <v>2545.3182000000002</v>
      </c>
      <c r="T113" s="1969">
        <v>1918.5643</v>
      </c>
      <c r="U113" s="1969">
        <v>3617.5016999999998</v>
      </c>
    </row>
    <row r="114" spans="1:21" ht="15.6" hidden="1">
      <c r="A114" s="1967" t="s">
        <v>22</v>
      </c>
      <c r="B114" s="1968">
        <f t="shared" si="14"/>
        <v>9884.5236785399993</v>
      </c>
      <c r="C114" s="1968">
        <f t="shared" si="15"/>
        <v>4341.7222206499991</v>
      </c>
      <c r="D114" s="1968">
        <v>679.25029234999988</v>
      </c>
      <c r="E114" s="1968">
        <v>1771.4029413199999</v>
      </c>
      <c r="F114" s="1968">
        <v>230.23662935999999</v>
      </c>
      <c r="G114" s="1968">
        <v>1660.8323576199998</v>
      </c>
      <c r="H114" s="1968">
        <f t="shared" si="16"/>
        <v>2450.7414263999999</v>
      </c>
      <c r="I114" s="1968">
        <v>5.2371409699999996</v>
      </c>
      <c r="J114" s="1968">
        <v>629.57038065999996</v>
      </c>
      <c r="K114" s="1968">
        <v>390.89236090000003</v>
      </c>
      <c r="L114" s="1968">
        <v>1425.0415438699999</v>
      </c>
      <c r="M114" s="1968">
        <f t="shared" si="17"/>
        <v>3092.0600314899998</v>
      </c>
      <c r="N114" s="1968">
        <f t="shared" si="18"/>
        <v>1138.7164626800002</v>
      </c>
      <c r="O114" s="1968">
        <f t="shared" si="18"/>
        <v>187.37508336999986</v>
      </c>
      <c r="P114" s="1968">
        <f t="shared" si="18"/>
        <v>1280.2792602499999</v>
      </c>
      <c r="Q114" s="1968">
        <f t="shared" si="18"/>
        <v>485.68922518999989</v>
      </c>
      <c r="R114" s="1969">
        <v>1823.203896</v>
      </c>
      <c r="S114" s="1969">
        <v>2588.3484053499997</v>
      </c>
      <c r="T114" s="1969">
        <v>1901.40825051</v>
      </c>
      <c r="U114" s="1969">
        <v>3571.5631266799996</v>
      </c>
    </row>
    <row r="115" spans="1:21" ht="15.6" hidden="1">
      <c r="A115" s="1967" t="s">
        <v>23</v>
      </c>
      <c r="B115" s="1968">
        <f t="shared" si="14"/>
        <v>9704.262016839999</v>
      </c>
      <c r="C115" s="1968">
        <f t="shared" si="15"/>
        <v>4372.6359070899998</v>
      </c>
      <c r="D115" s="1968">
        <v>669.46719513999994</v>
      </c>
      <c r="E115" s="1968">
        <v>1811.3279832200001</v>
      </c>
      <c r="F115" s="1968">
        <v>231.98105070999998</v>
      </c>
      <c r="G115" s="1968">
        <v>1659.85967802</v>
      </c>
      <c r="H115" s="1968">
        <f t="shared" si="16"/>
        <v>2507.0515562099999</v>
      </c>
      <c r="I115" s="1968">
        <v>6.5660524100000002</v>
      </c>
      <c r="J115" s="1968">
        <v>652.09833856</v>
      </c>
      <c r="K115" s="1968">
        <v>397.33267481999997</v>
      </c>
      <c r="L115" s="1968">
        <v>1451.0544904199999</v>
      </c>
      <c r="M115" s="1968">
        <f t="shared" si="17"/>
        <v>2824.5745535400001</v>
      </c>
      <c r="N115" s="1968">
        <f t="shared" si="18"/>
        <v>1164.1472404999997</v>
      </c>
      <c r="O115" s="1968">
        <f t="shared" si="18"/>
        <v>198.10971278000011</v>
      </c>
      <c r="P115" s="1968">
        <f t="shared" si="18"/>
        <v>973.39075193999975</v>
      </c>
      <c r="Q115" s="1968">
        <f t="shared" si="18"/>
        <v>488.92684832000009</v>
      </c>
      <c r="R115" s="1969">
        <v>1840.1804880499999</v>
      </c>
      <c r="S115" s="1969">
        <v>2661.5360345600002</v>
      </c>
      <c r="T115" s="1969">
        <v>1602.7044774699998</v>
      </c>
      <c r="U115" s="1969">
        <v>3599.84101676</v>
      </c>
    </row>
    <row r="116" spans="1:21" ht="15.6" hidden="1">
      <c r="A116" s="1967" t="s">
        <v>24</v>
      </c>
      <c r="B116" s="1968">
        <f t="shared" si="14"/>
        <v>9668.729364259998</v>
      </c>
      <c r="C116" s="1968">
        <f t="shared" si="15"/>
        <v>4415.2287439399997</v>
      </c>
      <c r="D116" s="1968">
        <v>658.88300986000002</v>
      </c>
      <c r="E116" s="1968">
        <v>1825.7104709699997</v>
      </c>
      <c r="F116" s="1968">
        <v>257.16935923</v>
      </c>
      <c r="G116" s="1968">
        <v>1673.4659038799998</v>
      </c>
      <c r="H116" s="1968">
        <f t="shared" si="16"/>
        <v>2499.52509568</v>
      </c>
      <c r="I116" s="1968">
        <v>6.2388615000000005</v>
      </c>
      <c r="J116" s="1968">
        <v>641.30587288999993</v>
      </c>
      <c r="K116" s="1968">
        <v>379.42455395000002</v>
      </c>
      <c r="L116" s="1968">
        <v>1472.55580734</v>
      </c>
      <c r="M116" s="1968">
        <f t="shared" si="17"/>
        <v>2753.9755246399995</v>
      </c>
      <c r="N116" s="1968">
        <f t="shared" si="18"/>
        <v>1121.8602814299998</v>
      </c>
      <c r="O116" s="1968">
        <f t="shared" si="18"/>
        <v>173.76240737000001</v>
      </c>
      <c r="P116" s="1968">
        <f t="shared" si="18"/>
        <v>1065.59418018</v>
      </c>
      <c r="Q116" s="1968">
        <f t="shared" si="18"/>
        <v>392.75865565999993</v>
      </c>
      <c r="R116" s="1969">
        <v>1786.9821527899999</v>
      </c>
      <c r="S116" s="1969">
        <v>2640.7787512299997</v>
      </c>
      <c r="T116" s="1969">
        <v>1702.18809336</v>
      </c>
      <c r="U116" s="1969">
        <v>3538.7803668799997</v>
      </c>
    </row>
    <row r="117" spans="1:21" ht="15.6" hidden="1">
      <c r="A117" s="1967" t="s">
        <v>25</v>
      </c>
      <c r="B117" s="1968">
        <f t="shared" si="14"/>
        <v>9878.328764670001</v>
      </c>
      <c r="C117" s="1968">
        <f t="shared" si="15"/>
        <v>4462.5601259300001</v>
      </c>
      <c r="D117" s="1968">
        <v>721.67235341000014</v>
      </c>
      <c r="E117" s="1968">
        <v>1809.5610204300001</v>
      </c>
      <c r="F117" s="1968">
        <v>232.69745124999997</v>
      </c>
      <c r="G117" s="1968">
        <v>1698.6293008399998</v>
      </c>
      <c r="H117" s="1968">
        <f t="shared" si="16"/>
        <v>2610.3072060900004</v>
      </c>
      <c r="I117" s="1968">
        <v>4.6164299800000004</v>
      </c>
      <c r="J117" s="1968">
        <v>647.79572144999997</v>
      </c>
      <c r="K117" s="1968">
        <v>381.31788356999999</v>
      </c>
      <c r="L117" s="1968">
        <v>1576.5771710900001</v>
      </c>
      <c r="M117" s="1968">
        <f t="shared" si="17"/>
        <v>2805.4614326500005</v>
      </c>
      <c r="N117" s="1968">
        <f t="shared" si="18"/>
        <v>1176.5655515900003</v>
      </c>
      <c r="O117" s="1968">
        <f t="shared" si="18"/>
        <v>180.80083114000013</v>
      </c>
      <c r="P117" s="1968">
        <f t="shared" si="18"/>
        <v>1049.7707715299998</v>
      </c>
      <c r="Q117" s="1968">
        <f t="shared" si="18"/>
        <v>398.32427839000025</v>
      </c>
      <c r="R117" s="1969">
        <v>1902.8543349800004</v>
      </c>
      <c r="S117" s="1969">
        <v>2638.1575730200002</v>
      </c>
      <c r="T117" s="1969">
        <v>1663.78610635</v>
      </c>
      <c r="U117" s="1969">
        <v>3673.5307503200002</v>
      </c>
    </row>
    <row r="118" spans="1:21" ht="15.6" hidden="1">
      <c r="A118" s="1967" t="s">
        <v>26</v>
      </c>
      <c r="B118" s="1968">
        <f t="shared" si="14"/>
        <v>10080.6149085</v>
      </c>
      <c r="C118" s="1968">
        <f t="shared" si="15"/>
        <v>4556.3257138199997</v>
      </c>
      <c r="D118" s="1968">
        <v>756.27759278000008</v>
      </c>
      <c r="E118" s="1968">
        <v>1859.6378374399999</v>
      </c>
      <c r="F118" s="1968">
        <v>237.46295470999999</v>
      </c>
      <c r="G118" s="1968">
        <v>1702.9473288899999</v>
      </c>
      <c r="H118" s="1968">
        <f t="shared" si="16"/>
        <v>2710.0146456299999</v>
      </c>
      <c r="I118" s="1968">
        <v>4.34345713</v>
      </c>
      <c r="J118" s="1968">
        <v>653.09437937999996</v>
      </c>
      <c r="K118" s="1968">
        <v>138.46559632</v>
      </c>
      <c r="L118" s="1968">
        <v>1914.1112128</v>
      </c>
      <c r="M118" s="1968">
        <f t="shared" si="17"/>
        <v>2814.2745490500001</v>
      </c>
      <c r="N118" s="1968">
        <f t="shared" si="18"/>
        <v>1102.88959903</v>
      </c>
      <c r="O118" s="1968">
        <f t="shared" si="18"/>
        <v>183.6878387200004</v>
      </c>
      <c r="P118" s="1968">
        <f t="shared" si="18"/>
        <v>1116.4094980399998</v>
      </c>
      <c r="Q118" s="1968">
        <f t="shared" si="18"/>
        <v>411.28761325999994</v>
      </c>
      <c r="R118" s="1969">
        <v>1863.51064894</v>
      </c>
      <c r="S118" s="1969">
        <v>2696.4200555400002</v>
      </c>
      <c r="T118" s="1969">
        <v>1492.3380490699999</v>
      </c>
      <c r="U118" s="1969">
        <v>4028.3461549499998</v>
      </c>
    </row>
    <row r="119" spans="1:21" ht="15.6" hidden="1">
      <c r="A119" s="1967" t="s">
        <v>27</v>
      </c>
      <c r="B119" s="1968">
        <f t="shared" si="14"/>
        <v>10202.409563829999</v>
      </c>
      <c r="C119" s="1968">
        <f t="shared" si="15"/>
        <v>4689.6690311399998</v>
      </c>
      <c r="D119" s="1968">
        <v>740.00818454000012</v>
      </c>
      <c r="E119" s="1968">
        <v>1964.2639437899998</v>
      </c>
      <c r="F119" s="1968">
        <v>265.28756340000001</v>
      </c>
      <c r="G119" s="1968">
        <v>1720.1093394100001</v>
      </c>
      <c r="H119" s="1968">
        <f t="shared" si="16"/>
        <v>2732.4536095599997</v>
      </c>
      <c r="I119" s="1968">
        <v>6.4126940900000005</v>
      </c>
      <c r="J119" s="1968">
        <v>674.24850509999987</v>
      </c>
      <c r="K119" s="1968">
        <v>398.36748927999997</v>
      </c>
      <c r="L119" s="1968">
        <v>1653.42492109</v>
      </c>
      <c r="M119" s="1968">
        <f t="shared" si="17"/>
        <v>2780.2869231300001</v>
      </c>
      <c r="N119" s="1968">
        <f t="shared" si="18"/>
        <v>1057.8898554000002</v>
      </c>
      <c r="O119" s="1968">
        <f t="shared" si="18"/>
        <v>182.71714234000001</v>
      </c>
      <c r="P119" s="1968">
        <f t="shared" si="18"/>
        <v>1016.99807867</v>
      </c>
      <c r="Q119" s="1968">
        <f t="shared" si="18"/>
        <v>522.68184671999984</v>
      </c>
      <c r="R119" s="1969">
        <v>1804.3107340300003</v>
      </c>
      <c r="S119" s="1969">
        <v>2821.2295912299996</v>
      </c>
      <c r="T119" s="1969">
        <v>1680.65313135</v>
      </c>
      <c r="U119" s="1969">
        <v>3896.2161072199997</v>
      </c>
    </row>
    <row r="120" spans="1:21" ht="15.6" hidden="1">
      <c r="A120" s="1967" t="s">
        <v>28</v>
      </c>
      <c r="B120" s="1968">
        <f t="shared" si="14"/>
        <v>10409.88123689</v>
      </c>
      <c r="C120" s="1968">
        <f t="shared" si="15"/>
        <v>4762.9615697899999</v>
      </c>
      <c r="D120" s="1968">
        <v>786.45607401999985</v>
      </c>
      <c r="E120" s="1968">
        <v>2018.1416876500002</v>
      </c>
      <c r="F120" s="1968">
        <v>233.77282270000001</v>
      </c>
      <c r="G120" s="1968">
        <v>1724.5909854200002</v>
      </c>
      <c r="H120" s="1968">
        <f t="shared" si="16"/>
        <v>2752.2809043000002</v>
      </c>
      <c r="I120" s="1968">
        <v>4.8639516799999996</v>
      </c>
      <c r="J120" s="1968">
        <v>678.3258898900001</v>
      </c>
      <c r="K120" s="1968">
        <v>406.54243339000004</v>
      </c>
      <c r="L120" s="1968">
        <v>1662.5486293399999</v>
      </c>
      <c r="M120" s="1968">
        <f t="shared" si="17"/>
        <v>2894.6387628000002</v>
      </c>
      <c r="N120" s="1968">
        <f t="shared" si="18"/>
        <v>1044.3525877100001</v>
      </c>
      <c r="O120" s="1968">
        <f t="shared" si="18"/>
        <v>198.85315732999993</v>
      </c>
      <c r="P120" s="1968">
        <f t="shared" si="18"/>
        <v>1151.8090281</v>
      </c>
      <c r="Q120" s="1968">
        <f t="shared" si="18"/>
        <v>499.62398966000001</v>
      </c>
      <c r="R120" s="1969">
        <v>1835.6726134099999</v>
      </c>
      <c r="S120" s="1969">
        <v>2895.3207348700003</v>
      </c>
      <c r="T120" s="1969">
        <v>1792.12428419</v>
      </c>
      <c r="U120" s="1969">
        <v>3886.7636044200003</v>
      </c>
    </row>
    <row r="121" spans="1:21" ht="15.6" hidden="1">
      <c r="A121" s="1967" t="s">
        <v>29</v>
      </c>
      <c r="B121" s="1968">
        <f t="shared" si="14"/>
        <v>10699.241985770001</v>
      </c>
      <c r="C121" s="1968">
        <f t="shared" si="15"/>
        <v>5113.4078103299998</v>
      </c>
      <c r="D121" s="1968">
        <v>777.14939947000005</v>
      </c>
      <c r="E121" s="1968">
        <v>2186.70776303</v>
      </c>
      <c r="F121" s="1968">
        <v>265.68550679999998</v>
      </c>
      <c r="G121" s="1968">
        <v>1883.8651410300004</v>
      </c>
      <c r="H121" s="1968">
        <f t="shared" si="16"/>
        <v>2782.9527644100003</v>
      </c>
      <c r="I121" s="1968">
        <v>5.4634511200000002</v>
      </c>
      <c r="J121" s="1968">
        <v>706.33409993999999</v>
      </c>
      <c r="K121" s="1968">
        <v>449.44292741000004</v>
      </c>
      <c r="L121" s="1968">
        <v>1621.7122859400004</v>
      </c>
      <c r="M121" s="1968">
        <f t="shared" si="17"/>
        <v>2802.88141103</v>
      </c>
      <c r="N121" s="1968">
        <f>R121-D121-I121</f>
        <v>1198.4983402600003</v>
      </c>
      <c r="O121" s="1968">
        <f>S121-E121-J121</f>
        <v>188.39494251000019</v>
      </c>
      <c r="P121" s="1968">
        <f>T121-F121-K121</f>
        <v>929.97896890999982</v>
      </c>
      <c r="Q121" s="1968">
        <f>U121-G121-L121</f>
        <v>486.00915934999989</v>
      </c>
      <c r="R121" s="1969">
        <v>1981.1111908500002</v>
      </c>
      <c r="S121" s="1969">
        <v>3081.4368054800002</v>
      </c>
      <c r="T121" s="1969">
        <v>1645.1074031199998</v>
      </c>
      <c r="U121" s="1969">
        <v>3991.5865863200006</v>
      </c>
    </row>
    <row r="122" spans="1:21" ht="15.6">
      <c r="A122" s="1971">
        <v>2013</v>
      </c>
      <c r="B122" s="1963">
        <v>12475.783595810002</v>
      </c>
      <c r="C122" s="1963">
        <v>6395.8448741600005</v>
      </c>
      <c r="D122" s="1963">
        <v>778.70325536999997</v>
      </c>
      <c r="E122" s="1963">
        <v>3109.6437595800003</v>
      </c>
      <c r="F122" s="1963">
        <v>309.56646377000004</v>
      </c>
      <c r="G122" s="1963">
        <v>2197.9313954400004</v>
      </c>
      <c r="H122" s="1963">
        <v>3261.5046962000001</v>
      </c>
      <c r="I122" s="1963">
        <v>103.48941263000002</v>
      </c>
      <c r="J122" s="1963">
        <v>731.25387891999992</v>
      </c>
      <c r="K122" s="1963">
        <v>428.65719717000002</v>
      </c>
      <c r="L122" s="1963">
        <v>1998.1042074800002</v>
      </c>
      <c r="M122" s="1963">
        <v>2818.4340254500016</v>
      </c>
      <c r="N122" s="1963">
        <v>1444.3999876199996</v>
      </c>
      <c r="O122" s="1963">
        <v>243.37742881000065</v>
      </c>
      <c r="P122" s="1963">
        <v>703.51957488000016</v>
      </c>
      <c r="Q122" s="1963">
        <v>427.13703414000111</v>
      </c>
      <c r="R122" s="1969"/>
      <c r="S122" s="1969"/>
      <c r="T122" s="1969"/>
      <c r="U122" s="1969"/>
    </row>
    <row r="123" spans="1:21" ht="15.6" hidden="1">
      <c r="A123" s="1967" t="s">
        <v>18</v>
      </c>
      <c r="B123" s="1968">
        <f t="shared" ref="B123:B134" si="19">+C123+M123+H123</f>
        <v>10357.58610067</v>
      </c>
      <c r="C123" s="1968">
        <f t="shared" ref="C123:C134" si="20">SUM(D123:G123)</f>
        <v>5315.3829536699986</v>
      </c>
      <c r="D123" s="1968">
        <v>792.94621103999987</v>
      </c>
      <c r="E123" s="1968">
        <v>2379.6441138899991</v>
      </c>
      <c r="F123" s="1968">
        <v>275.02096951999994</v>
      </c>
      <c r="G123" s="1968">
        <v>1867.7716592199995</v>
      </c>
      <c r="H123" s="1968">
        <f t="shared" ref="H123:H134" si="21">SUM(I123:L123)</f>
        <v>2636.0091594700002</v>
      </c>
      <c r="I123" s="1968">
        <v>100.20256955000001</v>
      </c>
      <c r="J123" s="1968">
        <v>633.38256508000006</v>
      </c>
      <c r="K123" s="1968">
        <v>448.99199352000005</v>
      </c>
      <c r="L123" s="1968">
        <v>1453.4320313200001</v>
      </c>
      <c r="M123" s="1968">
        <f t="shared" ref="M123:M134" si="22">SUM(N123:Q123)</f>
        <v>2406.19398753</v>
      </c>
      <c r="N123" s="1968">
        <f t="shared" ref="N123:Q133" si="23">R123-D123-I123</f>
        <v>958.59188996999922</v>
      </c>
      <c r="O123" s="1968">
        <f t="shared" si="23"/>
        <v>196.86302764000027</v>
      </c>
      <c r="P123" s="1968">
        <f t="shared" si="23"/>
        <v>790.45784391999996</v>
      </c>
      <c r="Q123" s="1968">
        <f t="shared" si="23"/>
        <v>460.28122600000052</v>
      </c>
      <c r="R123" s="1969">
        <v>1851.7406705599992</v>
      </c>
      <c r="S123" s="1969">
        <v>3209.8897066099994</v>
      </c>
      <c r="T123" s="1969">
        <v>1514.4708069599999</v>
      </c>
      <c r="U123" s="1969">
        <v>3781.4849165400001</v>
      </c>
    </row>
    <row r="124" spans="1:21" ht="15.6" hidden="1">
      <c r="A124" s="1967" t="s">
        <v>19</v>
      </c>
      <c r="B124" s="1968">
        <f t="shared" si="19"/>
        <v>10446.900583219998</v>
      </c>
      <c r="C124" s="1968">
        <f t="shared" si="20"/>
        <v>5416.8434167400001</v>
      </c>
      <c r="D124" s="1968">
        <v>864.91507689999992</v>
      </c>
      <c r="E124" s="1968">
        <v>2361.7131653200004</v>
      </c>
      <c r="F124" s="1968">
        <v>263.99812459000003</v>
      </c>
      <c r="G124" s="1968">
        <v>1926.21704993</v>
      </c>
      <c r="H124" s="1968">
        <f t="shared" si="21"/>
        <v>2613.5789296399998</v>
      </c>
      <c r="I124" s="1968">
        <v>94.201924020000007</v>
      </c>
      <c r="J124" s="1968">
        <v>660.33079098999997</v>
      </c>
      <c r="K124" s="1968">
        <v>426.78661963999991</v>
      </c>
      <c r="L124" s="1968">
        <v>1432.2595949899999</v>
      </c>
      <c r="M124" s="1968">
        <f t="shared" si="22"/>
        <v>2416.4782368399992</v>
      </c>
      <c r="N124" s="1968">
        <f t="shared" si="23"/>
        <v>1056.6722713299998</v>
      </c>
      <c r="O124" s="1968">
        <f t="shared" si="23"/>
        <v>210.85119891999966</v>
      </c>
      <c r="P124" s="1968">
        <f t="shared" si="23"/>
        <v>685.09787883999968</v>
      </c>
      <c r="Q124" s="1968">
        <f t="shared" si="23"/>
        <v>463.85688774999994</v>
      </c>
      <c r="R124" s="1969">
        <v>2015.7892722499996</v>
      </c>
      <c r="S124" s="1969">
        <v>3232.89515523</v>
      </c>
      <c r="T124" s="1969">
        <v>1375.8826230699997</v>
      </c>
      <c r="U124" s="1969">
        <v>3822.3335326699998</v>
      </c>
    </row>
    <row r="125" spans="1:21" ht="15.6" hidden="1">
      <c r="A125" s="1967" t="s">
        <v>20</v>
      </c>
      <c r="B125" s="1968">
        <f t="shared" si="19"/>
        <v>11012.710718599999</v>
      </c>
      <c r="C125" s="1968">
        <f t="shared" si="20"/>
        <v>5535.9675161499999</v>
      </c>
      <c r="D125" s="1968">
        <v>858.79915614000015</v>
      </c>
      <c r="E125" s="1968">
        <v>2400.9639115699997</v>
      </c>
      <c r="F125" s="1968">
        <v>286.20754225000002</v>
      </c>
      <c r="G125" s="1968">
        <v>1989.9969061899997</v>
      </c>
      <c r="H125" s="1968">
        <f t="shared" si="21"/>
        <v>2605.3736680799993</v>
      </c>
      <c r="I125" s="1968">
        <v>115.13421848999999</v>
      </c>
      <c r="J125" s="1968">
        <v>640.68966505999992</v>
      </c>
      <c r="K125" s="1968">
        <v>422.09620212999999</v>
      </c>
      <c r="L125" s="1968">
        <v>1427.4535823999997</v>
      </c>
      <c r="M125" s="1968">
        <f t="shared" si="22"/>
        <v>2871.3695343700001</v>
      </c>
      <c r="N125" s="1968">
        <f t="shared" si="23"/>
        <v>1130.0643066</v>
      </c>
      <c r="O125" s="1968">
        <f t="shared" si="23"/>
        <v>217.34985059999985</v>
      </c>
      <c r="P125" s="1968">
        <f t="shared" si="23"/>
        <v>1111.2092281400001</v>
      </c>
      <c r="Q125" s="1968">
        <f t="shared" si="23"/>
        <v>412.74614903000042</v>
      </c>
      <c r="R125" s="1969">
        <v>2103.9976812300001</v>
      </c>
      <c r="S125" s="1969">
        <v>3259.0034272299995</v>
      </c>
      <c r="T125" s="1969">
        <v>1819.5129725199999</v>
      </c>
      <c r="U125" s="1969">
        <v>3830.1966376199998</v>
      </c>
    </row>
    <row r="126" spans="1:21" ht="15.6" hidden="1">
      <c r="A126" s="1967" t="s">
        <v>21</v>
      </c>
      <c r="B126" s="1968">
        <f t="shared" si="19"/>
        <v>11405.290646939999</v>
      </c>
      <c r="C126" s="1968">
        <f t="shared" si="20"/>
        <v>5768.28016561</v>
      </c>
      <c r="D126" s="1968">
        <v>854.49023348000003</v>
      </c>
      <c r="E126" s="1968">
        <v>2623.5965471</v>
      </c>
      <c r="F126" s="1968">
        <v>259.28737891000014</v>
      </c>
      <c r="G126" s="1968">
        <v>2030.9060061200003</v>
      </c>
      <c r="H126" s="1968">
        <f t="shared" si="21"/>
        <v>2688.5701215499998</v>
      </c>
      <c r="I126" s="1968">
        <v>94.600993639999999</v>
      </c>
      <c r="J126" s="1968">
        <v>669.14858622999998</v>
      </c>
      <c r="K126" s="1968">
        <v>424.61082911</v>
      </c>
      <c r="L126" s="1968">
        <v>1500.20971257</v>
      </c>
      <c r="M126" s="1968">
        <f t="shared" si="22"/>
        <v>2948.4403597800001</v>
      </c>
      <c r="N126" s="1968">
        <f t="shared" si="23"/>
        <v>1278.81957091</v>
      </c>
      <c r="O126" s="1968">
        <f t="shared" si="23"/>
        <v>178.76003415000025</v>
      </c>
      <c r="P126" s="1968">
        <f t="shared" si="23"/>
        <v>1053.0026769699998</v>
      </c>
      <c r="Q126" s="1968">
        <f t="shared" si="23"/>
        <v>437.85807774999989</v>
      </c>
      <c r="R126" s="1969">
        <v>2227.91079803</v>
      </c>
      <c r="S126" s="1969">
        <v>3471.5051674800002</v>
      </c>
      <c r="T126" s="1969">
        <v>1736.9008849899999</v>
      </c>
      <c r="U126" s="1969">
        <v>3968.9737964400001</v>
      </c>
    </row>
    <row r="127" spans="1:21" ht="15.6" hidden="1">
      <c r="A127" s="1967" t="s">
        <v>22</v>
      </c>
      <c r="B127" s="1968">
        <f t="shared" si="19"/>
        <v>11434.838022740001</v>
      </c>
      <c r="C127" s="1968">
        <f t="shared" si="20"/>
        <v>5891.45147163</v>
      </c>
      <c r="D127" s="1968">
        <v>876.25826108000001</v>
      </c>
      <c r="E127" s="1968">
        <v>2689.0953467899999</v>
      </c>
      <c r="F127" s="1968">
        <v>280.78414050000003</v>
      </c>
      <c r="G127" s="1968">
        <v>2045.31372326</v>
      </c>
      <c r="H127" s="1968">
        <f t="shared" si="21"/>
        <v>2653.2853939299998</v>
      </c>
      <c r="I127" s="1968">
        <v>78.181303840000012</v>
      </c>
      <c r="J127" s="1968">
        <v>657.37994577999996</v>
      </c>
      <c r="K127" s="1968">
        <v>448.60835157999986</v>
      </c>
      <c r="L127" s="1968">
        <v>1469.1157927300001</v>
      </c>
      <c r="M127" s="1968">
        <f t="shared" si="22"/>
        <v>2890.10115718</v>
      </c>
      <c r="N127" s="1968">
        <f t="shared" si="23"/>
        <v>1227.7584335600004</v>
      </c>
      <c r="O127" s="1968">
        <f t="shared" si="23"/>
        <v>206.03727914999956</v>
      </c>
      <c r="P127" s="1968">
        <f t="shared" si="23"/>
        <v>1074.8055990099999</v>
      </c>
      <c r="Q127" s="1968">
        <f t="shared" si="23"/>
        <v>381.49984545999973</v>
      </c>
      <c r="R127" s="1969">
        <v>2182.1979984800005</v>
      </c>
      <c r="S127" s="1969">
        <v>3552.5125717199994</v>
      </c>
      <c r="T127" s="1969">
        <v>1804.1980910899997</v>
      </c>
      <c r="U127" s="1969">
        <v>3895.9293614499998</v>
      </c>
    </row>
    <row r="128" spans="1:21" ht="15.6" hidden="1">
      <c r="A128" s="1967" t="s">
        <v>23</v>
      </c>
      <c r="B128" s="1968">
        <f t="shared" si="19"/>
        <v>11399.91035052</v>
      </c>
      <c r="C128" s="1968">
        <f t="shared" si="20"/>
        <v>5922.2164039400004</v>
      </c>
      <c r="D128" s="1968">
        <v>914.47111170000017</v>
      </c>
      <c r="E128" s="1968">
        <v>2669.3835586100004</v>
      </c>
      <c r="F128" s="1968">
        <v>288.40273113999996</v>
      </c>
      <c r="G128" s="1968">
        <v>2049.9590024899999</v>
      </c>
      <c r="H128" s="1968">
        <f t="shared" si="21"/>
        <v>2827.1700825699995</v>
      </c>
      <c r="I128" s="1968">
        <v>114.87015584000001</v>
      </c>
      <c r="J128" s="1968">
        <v>679.62690398999973</v>
      </c>
      <c r="K128" s="1968">
        <v>454.16518194999998</v>
      </c>
      <c r="L128" s="1968">
        <v>1578.5078407899998</v>
      </c>
      <c r="M128" s="1968">
        <f t="shared" si="22"/>
        <v>2650.5238640100006</v>
      </c>
      <c r="N128" s="1968">
        <f t="shared" si="23"/>
        <v>1213.7837550800007</v>
      </c>
      <c r="O128" s="1968">
        <f t="shared" si="23"/>
        <v>194.15445337999984</v>
      </c>
      <c r="P128" s="1968">
        <f t="shared" si="23"/>
        <v>780.55432711999993</v>
      </c>
      <c r="Q128" s="1968">
        <f t="shared" si="23"/>
        <v>462.03132843000026</v>
      </c>
      <c r="R128" s="1969">
        <v>2243.1250226200009</v>
      </c>
      <c r="S128" s="1969">
        <v>3543.1649159799999</v>
      </c>
      <c r="T128" s="1969">
        <v>1523.12224021</v>
      </c>
      <c r="U128" s="1969">
        <v>4090.49817171</v>
      </c>
    </row>
    <row r="129" spans="1:21" ht="15.6" hidden="1">
      <c r="A129" s="1967" t="s">
        <v>24</v>
      </c>
      <c r="B129" s="1968">
        <f t="shared" si="19"/>
        <v>11655.10998614</v>
      </c>
      <c r="C129" s="1968">
        <f t="shared" si="20"/>
        <v>6019.3164782799995</v>
      </c>
      <c r="D129" s="1968">
        <v>850.97289785000021</v>
      </c>
      <c r="E129" s="1968">
        <v>2758.8862862400001</v>
      </c>
      <c r="F129" s="1968">
        <v>309.16418523999999</v>
      </c>
      <c r="G129" s="1968">
        <v>2100.2931089499998</v>
      </c>
      <c r="H129" s="1968">
        <f t="shared" si="21"/>
        <v>2882.1212117900004</v>
      </c>
      <c r="I129" s="1968">
        <v>109.30756085000002</v>
      </c>
      <c r="J129" s="1968">
        <v>700.00717716999998</v>
      </c>
      <c r="K129" s="1968">
        <v>467.43143580999998</v>
      </c>
      <c r="L129" s="1968">
        <v>1605.3750379600001</v>
      </c>
      <c r="M129" s="1968">
        <f t="shared" si="22"/>
        <v>2753.6722960699999</v>
      </c>
      <c r="N129" s="1968">
        <f t="shared" si="23"/>
        <v>1208.1143705900001</v>
      </c>
      <c r="O129" s="1968">
        <f t="shared" si="23"/>
        <v>189.44798328000024</v>
      </c>
      <c r="P129" s="1968">
        <f t="shared" si="23"/>
        <v>928.79279054999938</v>
      </c>
      <c r="Q129" s="1968">
        <f t="shared" si="23"/>
        <v>427.31715165000014</v>
      </c>
      <c r="R129" s="1969">
        <v>2168.3948292900004</v>
      </c>
      <c r="S129" s="1969">
        <v>3648.3414466900003</v>
      </c>
      <c r="T129" s="1969">
        <v>1705.3884115999995</v>
      </c>
      <c r="U129" s="1969">
        <v>4132.98529856</v>
      </c>
    </row>
    <row r="130" spans="1:21" ht="15.6" hidden="1">
      <c r="A130" s="1967" t="s">
        <v>25</v>
      </c>
      <c r="B130" s="1968">
        <f t="shared" si="19"/>
        <v>11661.530436970001</v>
      </c>
      <c r="C130" s="1968">
        <f t="shared" si="20"/>
        <v>6090.431832010001</v>
      </c>
      <c r="D130" s="1968">
        <v>909.82929411999999</v>
      </c>
      <c r="E130" s="1968">
        <v>2776.4284540499998</v>
      </c>
      <c r="F130" s="1968">
        <v>308.04844322000002</v>
      </c>
      <c r="G130" s="1968">
        <v>2096.1256406200005</v>
      </c>
      <c r="H130" s="1968">
        <f t="shared" si="21"/>
        <v>2931.2723908099997</v>
      </c>
      <c r="I130" s="1968">
        <v>97.954440939999998</v>
      </c>
      <c r="J130" s="1968">
        <v>752.5562511899999</v>
      </c>
      <c r="K130" s="1968">
        <v>791.49659497999994</v>
      </c>
      <c r="L130" s="1968">
        <v>1289.2651037000001</v>
      </c>
      <c r="M130" s="1968">
        <f t="shared" si="22"/>
        <v>2639.8262141499999</v>
      </c>
      <c r="N130" s="1968">
        <f t="shared" si="23"/>
        <v>1278.89994017</v>
      </c>
      <c r="O130" s="1968">
        <f t="shared" si="23"/>
        <v>201.1021392399997</v>
      </c>
      <c r="P130" s="1968">
        <f t="shared" si="23"/>
        <v>762.79325236000011</v>
      </c>
      <c r="Q130" s="1968">
        <f t="shared" si="23"/>
        <v>397.03088238000009</v>
      </c>
      <c r="R130" s="1969">
        <v>2286.6836752300001</v>
      </c>
      <c r="S130" s="1969">
        <v>3730.0868444799994</v>
      </c>
      <c r="T130" s="1969">
        <v>1862.3382905600001</v>
      </c>
      <c r="U130" s="1969">
        <v>3782.4216267000006</v>
      </c>
    </row>
    <row r="131" spans="1:21" ht="15.6" hidden="1">
      <c r="A131" s="1967" t="s">
        <v>26</v>
      </c>
      <c r="B131" s="1968">
        <f t="shared" si="19"/>
        <v>11929.36142668</v>
      </c>
      <c r="C131" s="1968">
        <f t="shared" si="20"/>
        <v>6237.3948655100003</v>
      </c>
      <c r="D131" s="1968">
        <v>992.37874834000002</v>
      </c>
      <c r="E131" s="1968">
        <v>2817.8499626499997</v>
      </c>
      <c r="F131" s="1968">
        <v>319.43896704000014</v>
      </c>
      <c r="G131" s="1968">
        <v>2107.7271874799999</v>
      </c>
      <c r="H131" s="1968">
        <f t="shared" si="21"/>
        <v>3067.3028821299995</v>
      </c>
      <c r="I131" s="1968">
        <v>98.178958879999996</v>
      </c>
      <c r="J131" s="1968">
        <v>783.31214825999996</v>
      </c>
      <c r="K131" s="1968">
        <v>440.90300232999999</v>
      </c>
      <c r="L131" s="1968">
        <v>1744.9087726599998</v>
      </c>
      <c r="M131" s="1968">
        <f t="shared" si="22"/>
        <v>2624.6636790399989</v>
      </c>
      <c r="N131" s="1968">
        <f t="shared" si="23"/>
        <v>1178.5375590499996</v>
      </c>
      <c r="O131" s="1968">
        <f t="shared" si="23"/>
        <v>212.25592955000002</v>
      </c>
      <c r="P131" s="1968">
        <f t="shared" si="23"/>
        <v>843.3608407700001</v>
      </c>
      <c r="Q131" s="1968">
        <f t="shared" si="23"/>
        <v>390.50934966999944</v>
      </c>
      <c r="R131" s="1969">
        <v>2269.0952662699997</v>
      </c>
      <c r="S131" s="1969">
        <v>3813.4180404599997</v>
      </c>
      <c r="T131" s="1969">
        <v>1603.7028101400001</v>
      </c>
      <c r="U131" s="1969">
        <v>4243.1453098099992</v>
      </c>
    </row>
    <row r="132" spans="1:21" ht="15.6" hidden="1">
      <c r="A132" s="1967" t="s">
        <v>27</v>
      </c>
      <c r="B132" s="1968">
        <f t="shared" si="19"/>
        <v>12042.25122926</v>
      </c>
      <c r="C132" s="1968">
        <f t="shared" si="20"/>
        <v>6303.3730588999997</v>
      </c>
      <c r="D132" s="1968">
        <v>945.16911811</v>
      </c>
      <c r="E132" s="1968">
        <v>2920.6318050799991</v>
      </c>
      <c r="F132" s="1968">
        <v>311.54953896000012</v>
      </c>
      <c r="G132" s="1968">
        <v>2126.02259675</v>
      </c>
      <c r="H132" s="1968">
        <f t="shared" si="21"/>
        <v>3067.8471613700003</v>
      </c>
      <c r="I132" s="1968">
        <v>86.933718430000013</v>
      </c>
      <c r="J132" s="1968">
        <v>782.41797007999992</v>
      </c>
      <c r="K132" s="1968">
        <v>448.31190614999997</v>
      </c>
      <c r="L132" s="1968">
        <v>1750.1835667100002</v>
      </c>
      <c r="M132" s="1968">
        <f t="shared" si="22"/>
        <v>2671.0310089900004</v>
      </c>
      <c r="N132" s="1968">
        <f t="shared" si="23"/>
        <v>1166.8942494399996</v>
      </c>
      <c r="O132" s="1968">
        <f t="shared" si="23"/>
        <v>228.05287413000008</v>
      </c>
      <c r="P132" s="1968">
        <f t="shared" si="23"/>
        <v>868.34383840999999</v>
      </c>
      <c r="Q132" s="1968">
        <f t="shared" si="23"/>
        <v>407.74004701000035</v>
      </c>
      <c r="R132" s="1969">
        <v>2198.9970859799996</v>
      </c>
      <c r="S132" s="1969">
        <v>3931.1026492899991</v>
      </c>
      <c r="T132" s="1969">
        <v>1628.20528352</v>
      </c>
      <c r="U132" s="1969">
        <v>4283.9462104700006</v>
      </c>
    </row>
    <row r="133" spans="1:21" ht="15.6" hidden="1">
      <c r="A133" s="1967" t="s">
        <v>28</v>
      </c>
      <c r="B133" s="1968">
        <f t="shared" si="19"/>
        <v>12432.654090510001</v>
      </c>
      <c r="C133" s="1968">
        <f t="shared" si="20"/>
        <v>6419.6112475600003</v>
      </c>
      <c r="D133" s="1968">
        <v>977.85977923999985</v>
      </c>
      <c r="E133" s="1968">
        <v>2977.5962449000003</v>
      </c>
      <c r="F133" s="1968">
        <v>309.62957451999995</v>
      </c>
      <c r="G133" s="1968">
        <v>2154.5256488999999</v>
      </c>
      <c r="H133" s="1968">
        <f t="shared" si="21"/>
        <v>3250.1392026500002</v>
      </c>
      <c r="I133" s="1968">
        <v>98.001636359999992</v>
      </c>
      <c r="J133" s="1968">
        <v>764.71277609999993</v>
      </c>
      <c r="K133" s="1968">
        <v>460.93221067000002</v>
      </c>
      <c r="L133" s="1968">
        <v>1926.4925795200002</v>
      </c>
      <c r="M133" s="1968">
        <f t="shared" si="22"/>
        <v>2762.9036403</v>
      </c>
      <c r="N133" s="1968">
        <f t="shared" si="23"/>
        <v>1154.0201636000002</v>
      </c>
      <c r="O133" s="1968">
        <f t="shared" si="23"/>
        <v>225.60669772999995</v>
      </c>
      <c r="P133" s="1968">
        <f t="shared" si="23"/>
        <v>945.79912570000022</v>
      </c>
      <c r="Q133" s="1968">
        <f t="shared" si="23"/>
        <v>437.47765326999979</v>
      </c>
      <c r="R133" s="1969">
        <v>2229.8815792</v>
      </c>
      <c r="S133" s="1969">
        <v>3967.9157187300002</v>
      </c>
      <c r="T133" s="1969">
        <v>1716.3609108900002</v>
      </c>
      <c r="U133" s="1969">
        <v>4518.4958816899998</v>
      </c>
    </row>
    <row r="134" spans="1:21" ht="15.6" hidden="1">
      <c r="A134" s="1967" t="s">
        <v>29</v>
      </c>
      <c r="B134" s="1968">
        <f t="shared" si="19"/>
        <v>12475.783595810002</v>
      </c>
      <c r="C134" s="1968">
        <f t="shared" si="20"/>
        <v>6395.8448741600005</v>
      </c>
      <c r="D134" s="1968">
        <v>778.70325536999997</v>
      </c>
      <c r="E134" s="1968">
        <v>3109.6437595800003</v>
      </c>
      <c r="F134" s="1968">
        <v>309.56646377000004</v>
      </c>
      <c r="G134" s="1968">
        <v>2197.9313954400004</v>
      </c>
      <c r="H134" s="1968">
        <f t="shared" si="21"/>
        <v>3261.5046962000001</v>
      </c>
      <c r="I134" s="1968">
        <v>103.48941263000002</v>
      </c>
      <c r="J134" s="1968">
        <v>731.25387891999992</v>
      </c>
      <c r="K134" s="1968">
        <v>428.65719717000002</v>
      </c>
      <c r="L134" s="1968">
        <v>1998.1042074800002</v>
      </c>
      <c r="M134" s="1968">
        <f t="shared" si="22"/>
        <v>2818.4340254500016</v>
      </c>
      <c r="N134" s="1968">
        <f>R134-D134-I134</f>
        <v>1444.3999876199996</v>
      </c>
      <c r="O134" s="1968">
        <f>S134-E134-J134</f>
        <v>243.37742881000065</v>
      </c>
      <c r="P134" s="1968">
        <f>T134-F134-K134</f>
        <v>703.51957488000016</v>
      </c>
      <c r="Q134" s="1968">
        <f>U134-G134-L134</f>
        <v>427.13703414000111</v>
      </c>
      <c r="R134" s="1969">
        <v>2326.5926556199997</v>
      </c>
      <c r="S134" s="1969">
        <v>4084.2750673100008</v>
      </c>
      <c r="T134" s="1969">
        <v>1441.7432358200001</v>
      </c>
      <c r="U134" s="1969">
        <v>4623.1726370600018</v>
      </c>
    </row>
    <row r="135" spans="1:21" ht="15.6">
      <c r="A135" s="1971">
        <v>2014</v>
      </c>
      <c r="B135" s="1963">
        <v>15453.381102480002</v>
      </c>
      <c r="C135" s="1963">
        <v>7188.3697248200006</v>
      </c>
      <c r="D135" s="1963">
        <v>884.03469315000007</v>
      </c>
      <c r="E135" s="1963">
        <v>3538.4</v>
      </c>
      <c r="F135" s="1963">
        <v>338.39098192000006</v>
      </c>
      <c r="G135" s="1963">
        <v>2427.5748312900005</v>
      </c>
      <c r="H135" s="1963">
        <v>4298.0699313599998</v>
      </c>
      <c r="I135" s="1963">
        <v>158.6681676</v>
      </c>
      <c r="J135" s="1963">
        <v>965.83333450000009</v>
      </c>
      <c r="K135" s="1963">
        <v>297.39951412999994</v>
      </c>
      <c r="L135" s="1963">
        <v>2876.1689151299993</v>
      </c>
      <c r="M135" s="1963">
        <v>3966.9106647600006</v>
      </c>
      <c r="N135" s="1963">
        <v>1691.7301719500001</v>
      </c>
      <c r="O135" s="1963">
        <v>504.88785321000023</v>
      </c>
      <c r="P135" s="1963">
        <v>1163.0459617900003</v>
      </c>
      <c r="Q135" s="1963">
        <v>607.24667781000016</v>
      </c>
      <c r="R135" s="1969"/>
      <c r="S135" s="1969"/>
      <c r="T135" s="1969"/>
      <c r="U135" s="1969"/>
    </row>
    <row r="136" spans="1:21" ht="15.6" hidden="1">
      <c r="A136" s="1967" t="s">
        <v>18</v>
      </c>
      <c r="B136" s="1968">
        <f t="shared" ref="B136:B142" si="24">+C136+M136+H136</f>
        <v>12682.982230280002</v>
      </c>
      <c r="C136" s="1968">
        <f t="shared" ref="C136:C142" si="25">SUM(D136:G136)</f>
        <v>6451.4104649500005</v>
      </c>
      <c r="D136" s="1968">
        <v>806.02335108999978</v>
      </c>
      <c r="E136" s="1968">
        <v>3123.7748464199999</v>
      </c>
      <c r="F136" s="1968">
        <v>299.82438132000004</v>
      </c>
      <c r="G136" s="1968">
        <v>2221.7878861200002</v>
      </c>
      <c r="H136" s="1968">
        <f t="shared" ref="H136:H142" si="26">SUM(I136:L136)</f>
        <v>3383.4003583500003</v>
      </c>
      <c r="I136" s="1968">
        <v>189.09022464000003</v>
      </c>
      <c r="J136" s="1968">
        <v>729.96729100000005</v>
      </c>
      <c r="K136" s="1968">
        <v>432.96957368</v>
      </c>
      <c r="L136" s="1968">
        <v>2031.3732690300003</v>
      </c>
      <c r="M136" s="1968">
        <f t="shared" ref="M136:M142" si="27">SUM(N136:Q136)</f>
        <v>2848.1714069800014</v>
      </c>
      <c r="N136" s="1968">
        <f t="shared" ref="N136:Q143" si="28">R136-D136-I136</f>
        <v>1411.1437701800005</v>
      </c>
      <c r="O136" s="1968">
        <f t="shared" si="28"/>
        <v>241.54668814000013</v>
      </c>
      <c r="P136" s="1968">
        <f t="shared" si="28"/>
        <v>747.61653039000021</v>
      </c>
      <c r="Q136" s="1968">
        <f t="shared" si="28"/>
        <v>447.86441827000044</v>
      </c>
      <c r="R136" s="1969">
        <v>2406.2573459100004</v>
      </c>
      <c r="S136" s="1969">
        <v>4095.2888255600001</v>
      </c>
      <c r="T136" s="1969">
        <v>1480.4104853900001</v>
      </c>
      <c r="U136" s="1969">
        <v>4701.0255734200009</v>
      </c>
    </row>
    <row r="137" spans="1:21" ht="15.6" hidden="1">
      <c r="A137" s="1967" t="s">
        <v>19</v>
      </c>
      <c r="B137" s="1968">
        <f t="shared" si="24"/>
        <v>12926.584412960001</v>
      </c>
      <c r="C137" s="1968">
        <f t="shared" si="25"/>
        <v>6591.6606563599998</v>
      </c>
      <c r="D137" s="1968">
        <v>909.39596168000026</v>
      </c>
      <c r="E137" s="1968">
        <v>3119.1144142700005</v>
      </c>
      <c r="F137" s="1968">
        <v>304.95863658000002</v>
      </c>
      <c r="G137" s="1968">
        <v>2258.19164383</v>
      </c>
      <c r="H137" s="1968">
        <f t="shared" si="26"/>
        <v>3520.3530108699997</v>
      </c>
      <c r="I137" s="1968">
        <v>230.47334183000004</v>
      </c>
      <c r="J137" s="1968">
        <v>749.6965672299998</v>
      </c>
      <c r="K137" s="1968">
        <v>432.14633094999999</v>
      </c>
      <c r="L137" s="1968">
        <v>2108.0367708600002</v>
      </c>
      <c r="M137" s="1968">
        <f t="shared" si="27"/>
        <v>2814.5707457300005</v>
      </c>
      <c r="N137" s="1968">
        <f t="shared" si="28"/>
        <v>1336.6923877499996</v>
      </c>
      <c r="O137" s="1968">
        <f t="shared" si="28"/>
        <v>277.87108863000003</v>
      </c>
      <c r="P137" s="1968">
        <f t="shared" si="28"/>
        <v>768.23259169000016</v>
      </c>
      <c r="Q137" s="1968">
        <f t="shared" si="28"/>
        <v>431.77467766000063</v>
      </c>
      <c r="R137" s="1969">
        <v>2476.5616912599999</v>
      </c>
      <c r="S137" s="1969">
        <v>4146.6820701300003</v>
      </c>
      <c r="T137" s="1969">
        <v>1505.3375592200002</v>
      </c>
      <c r="U137" s="1969">
        <v>4798.0030923500008</v>
      </c>
    </row>
    <row r="138" spans="1:21" ht="15.6" hidden="1">
      <c r="A138" s="1967" t="s">
        <v>20</v>
      </c>
      <c r="B138" s="1968">
        <f t="shared" si="24"/>
        <v>13308.087601419997</v>
      </c>
      <c r="C138" s="1968">
        <f t="shared" si="25"/>
        <v>6656.3254772600003</v>
      </c>
      <c r="D138" s="1968">
        <v>926.7595037399999</v>
      </c>
      <c r="E138" s="1968">
        <v>3150.2905874800003</v>
      </c>
      <c r="F138" s="1968">
        <v>329.53296780999995</v>
      </c>
      <c r="G138" s="1968">
        <v>2249.7424182300001</v>
      </c>
      <c r="H138" s="1968">
        <f t="shared" si="26"/>
        <v>3610.4386832799996</v>
      </c>
      <c r="I138" s="1968">
        <v>139.84350463000001</v>
      </c>
      <c r="J138" s="1968">
        <v>771.04639010999995</v>
      </c>
      <c r="K138" s="1968">
        <v>384.57780867000002</v>
      </c>
      <c r="L138" s="1968">
        <v>2314.9709798699996</v>
      </c>
      <c r="M138" s="1968">
        <f t="shared" si="27"/>
        <v>3041.3234408799976</v>
      </c>
      <c r="N138" s="1968">
        <f t="shared" si="28"/>
        <v>1329.0415002499997</v>
      </c>
      <c r="O138" s="1968">
        <f t="shared" si="28"/>
        <v>279.32887561999883</v>
      </c>
      <c r="P138" s="1968">
        <f t="shared" si="28"/>
        <v>1006.2444311499999</v>
      </c>
      <c r="Q138" s="1968">
        <f t="shared" si="28"/>
        <v>426.70863385999928</v>
      </c>
      <c r="R138" s="1969">
        <v>2395.6445086199997</v>
      </c>
      <c r="S138" s="1969">
        <v>4200.6658532099991</v>
      </c>
      <c r="T138" s="1969">
        <v>1720.3552076299998</v>
      </c>
      <c r="U138" s="1969">
        <v>4991.422031959999</v>
      </c>
    </row>
    <row r="139" spans="1:21" ht="15.6" hidden="1">
      <c r="A139" s="1967" t="s">
        <v>21</v>
      </c>
      <c r="B139" s="1968">
        <f t="shared" si="24"/>
        <v>13615.56091823</v>
      </c>
      <c r="C139" s="1968">
        <f t="shared" si="25"/>
        <v>6569.8810599799999</v>
      </c>
      <c r="D139" s="1968">
        <v>800.65418823000016</v>
      </c>
      <c r="E139" s="1968">
        <v>3266.3043853399995</v>
      </c>
      <c r="F139" s="1968">
        <v>333.40620868999997</v>
      </c>
      <c r="G139" s="1968">
        <v>2169.5162777199998</v>
      </c>
      <c r="H139" s="1968">
        <f t="shared" si="26"/>
        <v>3624.7059700700001</v>
      </c>
      <c r="I139" s="1968">
        <v>115.89015348</v>
      </c>
      <c r="J139" s="1968">
        <v>855.40462407999996</v>
      </c>
      <c r="K139" s="1968">
        <v>317.95375588000002</v>
      </c>
      <c r="L139" s="1968">
        <v>2335.4574366300003</v>
      </c>
      <c r="M139" s="1968">
        <f t="shared" si="27"/>
        <v>3420.9738881800008</v>
      </c>
      <c r="N139" s="1968">
        <f t="shared" si="28"/>
        <v>1496.41381062</v>
      </c>
      <c r="O139" s="1968">
        <f t="shared" si="28"/>
        <v>296.77697185000022</v>
      </c>
      <c r="P139" s="1968">
        <f t="shared" si="28"/>
        <v>1268.76184584</v>
      </c>
      <c r="Q139" s="1968">
        <f t="shared" si="28"/>
        <v>359.02125987000045</v>
      </c>
      <c r="R139" s="1969">
        <v>2412.9581523300003</v>
      </c>
      <c r="S139" s="1969">
        <v>4418.4859812699997</v>
      </c>
      <c r="T139" s="1969">
        <v>1920.1218104100001</v>
      </c>
      <c r="U139" s="1969">
        <v>4863.9949742200006</v>
      </c>
    </row>
    <row r="140" spans="1:21" ht="15.6" hidden="1">
      <c r="A140" s="1967" t="s">
        <v>22</v>
      </c>
      <c r="B140" s="1968">
        <f t="shared" si="24"/>
        <v>13637.018378619998</v>
      </c>
      <c r="C140" s="1968">
        <f t="shared" si="25"/>
        <v>6643.045191879999</v>
      </c>
      <c r="D140" s="1968">
        <v>815.45175207</v>
      </c>
      <c r="E140" s="1968">
        <v>3343.3968147099999</v>
      </c>
      <c r="F140" s="1968">
        <v>316.86015936000001</v>
      </c>
      <c r="G140" s="1968">
        <v>2167.3364657399998</v>
      </c>
      <c r="H140" s="1968">
        <f t="shared" si="26"/>
        <v>3684.2011206099992</v>
      </c>
      <c r="I140" s="1968">
        <v>102.12635584</v>
      </c>
      <c r="J140" s="1968">
        <v>857.33401172999993</v>
      </c>
      <c r="K140" s="1968">
        <v>327.89372947999999</v>
      </c>
      <c r="L140" s="1968">
        <v>2396.8470235599993</v>
      </c>
      <c r="M140" s="1968">
        <f t="shared" si="27"/>
        <v>3309.7720661299986</v>
      </c>
      <c r="N140" s="1968">
        <f t="shared" si="28"/>
        <v>1447.13395455</v>
      </c>
      <c r="O140" s="1968">
        <f t="shared" si="28"/>
        <v>319.17640589999974</v>
      </c>
      <c r="P140" s="1968">
        <f t="shared" si="28"/>
        <v>1065.4318082799998</v>
      </c>
      <c r="Q140" s="1968">
        <f t="shared" si="28"/>
        <v>478.0298973999993</v>
      </c>
      <c r="R140" s="1969">
        <v>2364.7120624600002</v>
      </c>
      <c r="S140" s="1969">
        <v>4519.9072323399996</v>
      </c>
      <c r="T140" s="1969">
        <v>1710.1856971199998</v>
      </c>
      <c r="U140" s="1969">
        <v>5042.2133866999984</v>
      </c>
    </row>
    <row r="141" spans="1:21" ht="15.6" hidden="1">
      <c r="A141" s="1967" t="s">
        <v>23</v>
      </c>
      <c r="B141" s="1968">
        <f t="shared" si="24"/>
        <v>13991.379577760001</v>
      </c>
      <c r="C141" s="1968">
        <f t="shared" si="25"/>
        <v>6720.5955842000003</v>
      </c>
      <c r="D141" s="1968">
        <v>798.48918222999998</v>
      </c>
      <c r="E141" s="1968">
        <v>3399.7615410499998</v>
      </c>
      <c r="F141" s="1968">
        <v>331.28414517999994</v>
      </c>
      <c r="G141" s="1968">
        <v>2191.0607157400004</v>
      </c>
      <c r="H141" s="1968">
        <f t="shared" si="26"/>
        <v>4091.3691251499999</v>
      </c>
      <c r="I141" s="1968">
        <v>107.87198387000001</v>
      </c>
      <c r="J141" s="1968">
        <v>921.95101441000008</v>
      </c>
      <c r="K141" s="1968">
        <v>307.12357411999994</v>
      </c>
      <c r="L141" s="1968">
        <v>2754.4225527499998</v>
      </c>
      <c r="M141" s="1968">
        <f t="shared" si="27"/>
        <v>3179.4148684100005</v>
      </c>
      <c r="N141" s="1968">
        <f t="shared" si="28"/>
        <v>1510.1236208900004</v>
      </c>
      <c r="O141" s="1968">
        <f t="shared" si="28"/>
        <v>345.73173261999989</v>
      </c>
      <c r="P141" s="1968">
        <f t="shared" si="28"/>
        <v>853.5708219400002</v>
      </c>
      <c r="Q141" s="1968">
        <f t="shared" si="28"/>
        <v>469.98869295999975</v>
      </c>
      <c r="R141" s="1974">
        <v>2416.4847869900004</v>
      </c>
      <c r="S141" s="1974">
        <v>4667.4442880799998</v>
      </c>
      <c r="T141" s="1974">
        <v>1491.9785412400001</v>
      </c>
      <c r="U141" s="1975">
        <v>5415.47196145</v>
      </c>
    </row>
    <row r="142" spans="1:21" ht="15.6" hidden="1">
      <c r="A142" s="1967" t="s">
        <v>24</v>
      </c>
      <c r="B142" s="1968">
        <f t="shared" si="24"/>
        <v>14558.072714710001</v>
      </c>
      <c r="C142" s="1968">
        <f t="shared" si="25"/>
        <v>6940.0354102000001</v>
      </c>
      <c r="D142" s="1968">
        <f>922794.44829/1000</f>
        <v>922.79444828999999</v>
      </c>
      <c r="E142" s="1968">
        <f>3480768.01241/1000</f>
        <v>3480.7680124099998</v>
      </c>
      <c r="F142" s="1968">
        <f>314189.3798/1000</f>
        <v>314.18937979999998</v>
      </c>
      <c r="G142" s="1968">
        <f>2222283.5697/1000</f>
        <v>2222.2835697</v>
      </c>
      <c r="H142" s="1968">
        <f t="shared" si="26"/>
        <v>4082.9599228900006</v>
      </c>
      <c r="I142" s="1968">
        <f>114975.21332/1000</f>
        <v>114.97521331999999</v>
      </c>
      <c r="J142" s="1968">
        <f>922620.73223/1000</f>
        <v>922.62073222999993</v>
      </c>
      <c r="K142" s="1968">
        <f>307591.83097/1000</f>
        <v>307.59183096999999</v>
      </c>
      <c r="L142" s="1968">
        <f>2737772.14637/1000</f>
        <v>2737.7721463700004</v>
      </c>
      <c r="M142" s="1968">
        <f t="shared" si="27"/>
        <v>3535.0773816199999</v>
      </c>
      <c r="N142" s="1968">
        <f t="shared" si="28"/>
        <v>1541.5991869300003</v>
      </c>
      <c r="O142" s="1968">
        <f t="shared" si="28"/>
        <v>372.36639394000008</v>
      </c>
      <c r="P142" s="1968">
        <f t="shared" si="28"/>
        <v>1172.2791921500002</v>
      </c>
      <c r="Q142" s="1968">
        <f t="shared" si="28"/>
        <v>448.83260859999928</v>
      </c>
      <c r="R142" s="1974">
        <f>2579368.84854/1000</f>
        <v>2579.3688485400003</v>
      </c>
      <c r="S142" s="1974">
        <f>4775755.13858/1000</f>
        <v>4775.7551385799998</v>
      </c>
      <c r="T142" s="1974">
        <f>1794060.40292/1000</f>
        <v>1794.0604029200001</v>
      </c>
      <c r="U142" s="1975">
        <f>5408888.32467/1000</f>
        <v>5408.8883246699997</v>
      </c>
    </row>
    <row r="143" spans="1:21" ht="15.6" hidden="1">
      <c r="A143" s="1967" t="s">
        <v>25</v>
      </c>
      <c r="B143" s="1968">
        <f>+C143+M143+H143</f>
        <v>14639.824534340001</v>
      </c>
      <c r="C143" s="1968">
        <f>SUM(D143:G143)</f>
        <v>6992.7978599899998</v>
      </c>
      <c r="D143" s="1968">
        <v>953.78570688000013</v>
      </c>
      <c r="E143" s="1968">
        <v>3493.2356249999998</v>
      </c>
      <c r="F143" s="1968">
        <v>311.10804916000001</v>
      </c>
      <c r="G143" s="1968">
        <v>2234.66847895</v>
      </c>
      <c r="H143" s="1968">
        <f>SUM(I143:L143)</f>
        <v>4022.5627189699994</v>
      </c>
      <c r="I143" s="1968">
        <v>100.94058175000001</v>
      </c>
      <c r="J143" s="1968">
        <v>926.05722303000005</v>
      </c>
      <c r="K143" s="1968">
        <v>301.58175446999996</v>
      </c>
      <c r="L143" s="1968">
        <v>2693.9831597199995</v>
      </c>
      <c r="M143" s="1968">
        <f>SUM(N143:Q143)</f>
        <v>3624.4639553800016</v>
      </c>
      <c r="N143" s="1968">
        <f>R143-D143-I143</f>
        <v>1505.0117839600005</v>
      </c>
      <c r="O143" s="1968">
        <f t="shared" si="28"/>
        <v>413.7243252800007</v>
      </c>
      <c r="P143" s="1968">
        <f t="shared" si="28"/>
        <v>1253.99722316</v>
      </c>
      <c r="Q143" s="1968">
        <f>U143-G143-L143</f>
        <v>451.73062298000059</v>
      </c>
      <c r="R143" s="1974">
        <v>2559.7380725900007</v>
      </c>
      <c r="S143" s="1974">
        <v>4833.0171733100005</v>
      </c>
      <c r="T143" s="1974">
        <v>1866.6870267900001</v>
      </c>
      <c r="U143" s="1975">
        <v>5380.3822616500001</v>
      </c>
    </row>
    <row r="144" spans="1:21" ht="15.6" hidden="1">
      <c r="A144" s="1967" t="s">
        <v>26</v>
      </c>
      <c r="B144" s="1968">
        <f>+C144+M144+H144</f>
        <v>14531.527112579999</v>
      </c>
      <c r="C144" s="1968">
        <f>SUM(D144:G144)</f>
        <v>6959.6658804500012</v>
      </c>
      <c r="D144" s="1968">
        <v>903.57757220000008</v>
      </c>
      <c r="E144" s="1968">
        <v>3517.4985903100005</v>
      </c>
      <c r="F144" s="1968">
        <v>329.38450423000012</v>
      </c>
      <c r="G144" s="1968">
        <v>2209.2052137100009</v>
      </c>
      <c r="H144" s="1968">
        <f>SUM(I144:L144)</f>
        <v>4085.6176387099995</v>
      </c>
      <c r="I144" s="1968">
        <v>129.77192485</v>
      </c>
      <c r="J144" s="1968">
        <v>940.09320977000004</v>
      </c>
      <c r="K144" s="1968">
        <v>293.44312536000001</v>
      </c>
      <c r="L144" s="1968">
        <v>2722.3093787299995</v>
      </c>
      <c r="M144" s="1968">
        <f>SUM(N144:Q144)</f>
        <v>3486.2435934200003</v>
      </c>
      <c r="N144" s="1968">
        <f>R144-D144-I144</f>
        <v>1461.46088224</v>
      </c>
      <c r="O144" s="1968">
        <f>S144-E144-J144</f>
        <v>464.22081931000014</v>
      </c>
      <c r="P144" s="1968">
        <f>T144-F144-K144</f>
        <v>1124.1474003999999</v>
      </c>
      <c r="Q144" s="1968">
        <f>U144-G144-L144</f>
        <v>436.41449147000003</v>
      </c>
      <c r="R144" s="1974">
        <v>2494.8103792900001</v>
      </c>
      <c r="S144" s="1974">
        <v>4921.8126193900007</v>
      </c>
      <c r="T144" s="1974">
        <v>1746.9750299900002</v>
      </c>
      <c r="U144" s="1975">
        <v>5367.9290839100004</v>
      </c>
    </row>
    <row r="145" spans="1:21" ht="15.6" hidden="1">
      <c r="A145" s="1967" t="s">
        <v>27</v>
      </c>
      <c r="B145" s="1968">
        <f>+C145+M145+H145</f>
        <v>14826.703069280002</v>
      </c>
      <c r="C145" s="1968">
        <f>SUM(D145:G145)</f>
        <v>7005.4142666900016</v>
      </c>
      <c r="D145" s="1968">
        <v>872.47568078000006</v>
      </c>
      <c r="E145" s="1968">
        <v>3566.7440125400008</v>
      </c>
      <c r="F145" s="1968">
        <v>342.17221251999996</v>
      </c>
      <c r="G145" s="1968">
        <v>2224.02236085</v>
      </c>
      <c r="H145" s="1968">
        <f>SUM(I145:L145)</f>
        <v>4088.1035528699995</v>
      </c>
      <c r="I145" s="1968">
        <v>104.64634278000001</v>
      </c>
      <c r="J145" s="1968">
        <v>968.15920382000002</v>
      </c>
      <c r="K145" s="1968">
        <v>303.87956991999999</v>
      </c>
      <c r="L145" s="1968">
        <v>2711.4184363499994</v>
      </c>
      <c r="M145" s="1968">
        <f>SUM(N145:Q145)</f>
        <v>3733.1852497200011</v>
      </c>
      <c r="N145" s="1968">
        <f>R145-D145-I145</f>
        <v>1428.3990951999999</v>
      </c>
      <c r="O145" s="1968">
        <f>S145-E145-J145</f>
        <v>544.73330276000036</v>
      </c>
      <c r="P145" s="1968">
        <f>T145-F145-K145</f>
        <v>1118.4555750200004</v>
      </c>
      <c r="Q145" s="1968">
        <f>U145-G145-L145</f>
        <v>641.59727674000032</v>
      </c>
      <c r="R145" s="1974">
        <v>2405.5211187599998</v>
      </c>
      <c r="S145" s="1974">
        <v>5079.6365191200011</v>
      </c>
      <c r="T145" s="1974">
        <v>1764.5073574600003</v>
      </c>
      <c r="U145" s="1975">
        <v>5577.0380739399998</v>
      </c>
    </row>
    <row r="146" spans="1:21" ht="15.6" hidden="1">
      <c r="A146" s="1967" t="s">
        <v>28</v>
      </c>
      <c r="B146" s="1968">
        <v>15312.03213983</v>
      </c>
      <c r="C146" s="1968">
        <v>7086.3795704900003</v>
      </c>
      <c r="D146" s="1968">
        <v>876.08846697000001</v>
      </c>
      <c r="E146" s="1968">
        <v>3606.0267997400001</v>
      </c>
      <c r="F146" s="1968">
        <v>351.80444329000005</v>
      </c>
      <c r="G146" s="1968">
        <v>2252.4598604900002</v>
      </c>
      <c r="H146" s="1968">
        <v>4131.4206027699993</v>
      </c>
      <c r="I146" s="1968">
        <v>107.8</v>
      </c>
      <c r="J146" s="1968">
        <v>978.67205638000007</v>
      </c>
      <c r="K146" s="1968">
        <v>305.29069709999999</v>
      </c>
      <c r="L146" s="1968">
        <v>2739.6150514199994</v>
      </c>
      <c r="M146" s="1968">
        <f>(B146-H146-C146)</f>
        <v>4094.2319665700015</v>
      </c>
      <c r="N146" s="1968">
        <f t="shared" ref="N146:Q147" si="29">(R146-D146-I146)</f>
        <v>1500.5733668700002</v>
      </c>
      <c r="O146" s="1968">
        <f t="shared" si="29"/>
        <v>573.87869047000038</v>
      </c>
      <c r="P146" s="1968">
        <f t="shared" si="29"/>
        <v>1391.8107113200001</v>
      </c>
      <c r="Q146" s="1968">
        <f t="shared" si="29"/>
        <v>628.01199578000023</v>
      </c>
      <c r="R146" s="1974">
        <v>2484.4618338400001</v>
      </c>
      <c r="S146" s="1974">
        <v>5158.5775465900006</v>
      </c>
      <c r="T146" s="1974">
        <v>2048.9058517100002</v>
      </c>
      <c r="U146" s="1975">
        <v>5620.0869076899999</v>
      </c>
    </row>
    <row r="147" spans="1:21" ht="15.6" hidden="1">
      <c r="A147" s="1967" t="s">
        <v>29</v>
      </c>
      <c r="B147" s="1968">
        <v>15453.381102480002</v>
      </c>
      <c r="C147" s="1968">
        <v>7188.3697248200006</v>
      </c>
      <c r="D147" s="1968">
        <v>884.03469315000007</v>
      </c>
      <c r="E147" s="1968">
        <v>3538.4</v>
      </c>
      <c r="F147" s="1968">
        <v>338.39098192000006</v>
      </c>
      <c r="G147" s="1968">
        <v>2427.5748312900005</v>
      </c>
      <c r="H147" s="1968">
        <v>4298.0699313599998</v>
      </c>
      <c r="I147" s="1968">
        <v>158.6681676</v>
      </c>
      <c r="J147" s="1968">
        <v>965.83333450000009</v>
      </c>
      <c r="K147" s="1968">
        <v>297.39951412999994</v>
      </c>
      <c r="L147" s="1968">
        <v>2876.1689151299993</v>
      </c>
      <c r="M147" s="1968">
        <f>SUM(N147:Q147)</f>
        <v>3966.9106647600006</v>
      </c>
      <c r="N147" s="1968">
        <f t="shared" si="29"/>
        <v>1691.7301719500001</v>
      </c>
      <c r="O147" s="1968">
        <f t="shared" si="29"/>
        <v>504.88785321000023</v>
      </c>
      <c r="P147" s="1968">
        <f t="shared" si="29"/>
        <v>1163.0459617900003</v>
      </c>
      <c r="Q147" s="1968">
        <f t="shared" si="29"/>
        <v>607.24667781000016</v>
      </c>
      <c r="R147" s="1974">
        <v>2734.4330327000002</v>
      </c>
      <c r="S147" s="1974">
        <v>5009.1211877100004</v>
      </c>
      <c r="T147" s="1974">
        <v>1798.8364578400003</v>
      </c>
      <c r="U147" s="1974">
        <v>5910.9904242299999</v>
      </c>
    </row>
    <row r="148" spans="1:21" ht="15.6">
      <c r="A148" s="1967" t="s">
        <v>1855</v>
      </c>
      <c r="B148" s="1963">
        <v>23431.389446500005</v>
      </c>
      <c r="C148" s="1963">
        <v>9473.9352678300002</v>
      </c>
      <c r="D148" s="1963">
        <v>440.88992102999987</v>
      </c>
      <c r="E148" s="1963">
        <v>979.32410602999994</v>
      </c>
      <c r="F148" s="1963">
        <v>1200.3200105899998</v>
      </c>
      <c r="G148" s="1963">
        <v>6853.4012301800003</v>
      </c>
      <c r="H148" s="1963">
        <v>6358.7762940699995</v>
      </c>
      <c r="I148" s="1963">
        <v>89.062323120000016</v>
      </c>
      <c r="J148" s="1963">
        <v>603.39636632999998</v>
      </c>
      <c r="K148" s="1963">
        <v>628.29423988999997</v>
      </c>
      <c r="L148" s="1963">
        <v>5038.0233647300001</v>
      </c>
      <c r="M148" s="1963">
        <v>7630.3589705799986</v>
      </c>
      <c r="N148" s="1963">
        <v>1703.2633654700003</v>
      </c>
      <c r="O148" s="1963">
        <v>485.73158481999997</v>
      </c>
      <c r="P148" s="1963">
        <v>3910.8967744999995</v>
      </c>
      <c r="Q148" s="1963">
        <v>1498.7861598100008</v>
      </c>
      <c r="R148" s="1974"/>
      <c r="S148" s="1974"/>
      <c r="T148" s="1974"/>
      <c r="U148" s="1974"/>
    </row>
    <row r="149" spans="1:21" ht="15.6" hidden="1">
      <c r="A149" s="1967" t="s">
        <v>18</v>
      </c>
      <c r="B149" s="1968">
        <v>15134.968000000001</v>
      </c>
      <c r="C149" s="1968">
        <v>7121.3389999999999</v>
      </c>
      <c r="D149" s="1968">
        <v>892.476</v>
      </c>
      <c r="E149" s="1968">
        <v>3383.846</v>
      </c>
      <c r="F149" s="1968">
        <v>337.61799999999999</v>
      </c>
      <c r="G149" s="1968">
        <v>2507.3969999999999</v>
      </c>
      <c r="H149" s="1968">
        <v>4246.9399999999996</v>
      </c>
      <c r="I149" s="1968">
        <v>106.6818</v>
      </c>
      <c r="J149" s="1968">
        <v>974.97500000000002</v>
      </c>
      <c r="K149" s="1968">
        <v>276.45299999999997</v>
      </c>
      <c r="L149" s="1968">
        <v>2888.828</v>
      </c>
      <c r="M149" s="1968">
        <f>SUM(N149:Q149)</f>
        <v>3766.6911999999998</v>
      </c>
      <c r="N149" s="1968">
        <f t="shared" ref="N149:Q150" si="30">(R149-D149-I149)</f>
        <v>1457.7402</v>
      </c>
      <c r="O149" s="1968">
        <f t="shared" si="30"/>
        <v>514.23800000000017</v>
      </c>
      <c r="P149" s="1968">
        <f t="shared" si="30"/>
        <v>1207.5640000000001</v>
      </c>
      <c r="Q149" s="1968">
        <f t="shared" si="30"/>
        <v>587.14899999999989</v>
      </c>
      <c r="R149" s="1974">
        <v>2456.8980000000001</v>
      </c>
      <c r="S149" s="1974">
        <v>4873.0590000000002</v>
      </c>
      <c r="T149" s="1974">
        <v>1821.635</v>
      </c>
      <c r="U149" s="1974">
        <v>5983.3739999999998</v>
      </c>
    </row>
    <row r="150" spans="1:21" ht="15.6" hidden="1">
      <c r="A150" s="1967" t="s">
        <v>19</v>
      </c>
      <c r="B150" s="1968">
        <v>18481.656999999999</v>
      </c>
      <c r="C150" s="1968">
        <v>7932.7</v>
      </c>
      <c r="D150" s="1968">
        <v>739.6</v>
      </c>
      <c r="E150" s="1968">
        <v>2248.1999999999998</v>
      </c>
      <c r="F150" s="1968">
        <v>621.6</v>
      </c>
      <c r="G150" s="1968">
        <v>4323.3</v>
      </c>
      <c r="H150" s="1968">
        <v>6170.8190000000004</v>
      </c>
      <c r="I150" s="1968">
        <v>83.436000000000007</v>
      </c>
      <c r="J150" s="1968">
        <v>1159.2494999999999</v>
      </c>
      <c r="K150" s="1968">
        <v>426.33699999999999</v>
      </c>
      <c r="L150" s="1968">
        <v>4501.7960000000003</v>
      </c>
      <c r="M150" s="1968">
        <f>SUM(N150:Q150)</f>
        <v>4378.1014999999989</v>
      </c>
      <c r="N150" s="1968">
        <f t="shared" si="30"/>
        <v>1435.164</v>
      </c>
      <c r="O150" s="1968">
        <f t="shared" si="30"/>
        <v>454.11050000000023</v>
      </c>
      <c r="P150" s="1968">
        <f t="shared" si="30"/>
        <v>1689.623</v>
      </c>
      <c r="Q150" s="1968">
        <f t="shared" si="30"/>
        <v>799.20399999999881</v>
      </c>
      <c r="R150" s="1974">
        <v>2258.1999999999998</v>
      </c>
      <c r="S150" s="1974">
        <v>3861.56</v>
      </c>
      <c r="T150" s="1974">
        <v>2737.56</v>
      </c>
      <c r="U150" s="1975">
        <v>9624.2999999999993</v>
      </c>
    </row>
    <row r="151" spans="1:21" ht="15.6" hidden="1">
      <c r="A151" s="1967" t="s">
        <v>20</v>
      </c>
      <c r="B151" s="1968">
        <v>18519.064999999999</v>
      </c>
      <c r="C151" s="1968">
        <v>7781.6453000000001</v>
      </c>
      <c r="D151" s="1968">
        <v>660.48900000000003</v>
      </c>
      <c r="E151" s="1968">
        <v>2036.5438999999999</v>
      </c>
      <c r="F151" s="1968">
        <v>620.08199999999999</v>
      </c>
      <c r="G151" s="1968">
        <v>4464.5280000000002</v>
      </c>
      <c r="H151" s="1968">
        <v>6094.5288</v>
      </c>
      <c r="I151" s="1968">
        <v>80.170199999999994</v>
      </c>
      <c r="J151" s="1968">
        <v>1073.924</v>
      </c>
      <c r="K151" s="1968">
        <v>411.54050000000001</v>
      </c>
      <c r="L151" s="1968">
        <v>4528.893</v>
      </c>
      <c r="M151" s="1968">
        <v>4642.8942999999999</v>
      </c>
      <c r="N151" s="1968">
        <v>1266.7214999999999</v>
      </c>
      <c r="O151" s="1968">
        <v>428.97700000000009</v>
      </c>
      <c r="P151" s="1968">
        <v>2087.9335000000001</v>
      </c>
      <c r="Q151" s="1968">
        <v>859.26230000000032</v>
      </c>
      <c r="R151" s="1974">
        <v>2007.3806999999999</v>
      </c>
      <c r="S151" s="1974">
        <v>3539.4449</v>
      </c>
      <c r="T151" s="1974">
        <v>3119.556</v>
      </c>
      <c r="U151" s="1975">
        <v>9852.6833000000006</v>
      </c>
    </row>
    <row r="152" spans="1:21" ht="15.6" hidden="1">
      <c r="A152" s="1967" t="s">
        <v>21</v>
      </c>
      <c r="B152" s="1968">
        <v>18831.062000000002</v>
      </c>
      <c r="C152" s="1968">
        <v>7717.2438000000002</v>
      </c>
      <c r="D152" s="1968">
        <v>574.76030000000003</v>
      </c>
      <c r="E152" s="1968">
        <v>1670.3175000000001</v>
      </c>
      <c r="F152" s="1968">
        <v>643.78160000000003</v>
      </c>
      <c r="G152" s="1968">
        <v>4828.3842999999997</v>
      </c>
      <c r="H152" s="1968">
        <v>6263.66</v>
      </c>
      <c r="I152" s="1968">
        <v>68.051299999999998</v>
      </c>
      <c r="J152" s="1968">
        <v>983.22320000000002</v>
      </c>
      <c r="K152" s="1968">
        <v>633.93520000000001</v>
      </c>
      <c r="L152" s="1968">
        <v>4578.4503000000004</v>
      </c>
      <c r="M152" s="1968">
        <v>4850.1581999999999</v>
      </c>
      <c r="N152" s="1968">
        <v>1315.81</v>
      </c>
      <c r="O152" s="1968">
        <v>394.94189999999969</v>
      </c>
      <c r="P152" s="1968">
        <v>1832.7671</v>
      </c>
      <c r="Q152" s="1968">
        <v>1306.6391999999996</v>
      </c>
      <c r="R152" s="1974">
        <v>1958.6215999999999</v>
      </c>
      <c r="S152" s="1974">
        <v>3048.4825999999998</v>
      </c>
      <c r="T152" s="1974">
        <v>3110.4839000000002</v>
      </c>
      <c r="U152" s="1975">
        <v>10713.4738</v>
      </c>
    </row>
    <row r="153" spans="1:21" ht="15.6" hidden="1">
      <c r="A153" s="1967" t="s">
        <v>22</v>
      </c>
      <c r="B153" s="1968">
        <v>18575.261172389997</v>
      </c>
      <c r="C153" s="1968">
        <v>7601.0539698399998</v>
      </c>
      <c r="D153" s="1968">
        <v>571.79054651000001</v>
      </c>
      <c r="E153" s="1968">
        <v>1600.8070183500001</v>
      </c>
      <c r="F153" s="1968">
        <v>605.9892078900001</v>
      </c>
      <c r="G153" s="1968">
        <v>4822.4671970899999</v>
      </c>
      <c r="H153" s="1968">
        <v>6142.6420843799997</v>
      </c>
      <c r="I153" s="1968">
        <v>75.740098830000008</v>
      </c>
      <c r="J153" s="1968">
        <v>950.52070342000002</v>
      </c>
      <c r="K153" s="1968">
        <v>741.50690688999998</v>
      </c>
      <c r="L153" s="1968">
        <v>4374.8743752399996</v>
      </c>
      <c r="M153" s="1968">
        <f>SUM(N153:Q153)</f>
        <v>4831.5651181699986</v>
      </c>
      <c r="N153" s="1968">
        <f>(R153-D153-I153)</f>
        <v>1314.7585579700001</v>
      </c>
      <c r="O153" s="1968">
        <f>(S153-E153-J153)</f>
        <v>443.38101635000021</v>
      </c>
      <c r="P153" s="1968">
        <f>(T153-F153-K153)</f>
        <v>1838.6990573600003</v>
      </c>
      <c r="Q153" s="1968">
        <f>(U153-G153-L153)</f>
        <v>1234.726486489998</v>
      </c>
      <c r="R153" s="1974">
        <v>1962.2892033100002</v>
      </c>
      <c r="S153" s="1974">
        <v>2994.7087381200004</v>
      </c>
      <c r="T153" s="1974">
        <v>3186.1951721400005</v>
      </c>
      <c r="U153" s="1975">
        <v>10432.068058819998</v>
      </c>
    </row>
    <row r="154" spans="1:21" ht="15.6" hidden="1">
      <c r="A154" s="1967" t="s">
        <v>23</v>
      </c>
      <c r="B154" s="1968">
        <v>18231.558145329996</v>
      </c>
      <c r="C154" s="1968">
        <v>7653.5739775600005</v>
      </c>
      <c r="D154" s="1968">
        <v>623.7291557399999</v>
      </c>
      <c r="E154" s="1968">
        <v>1556.1975219699998</v>
      </c>
      <c r="F154" s="1968">
        <v>650.28054799999984</v>
      </c>
      <c r="G154" s="1968">
        <v>4823.3667518500006</v>
      </c>
      <c r="H154" s="1968">
        <v>5713.9065187999995</v>
      </c>
      <c r="I154" s="1968">
        <v>79.131282709999994</v>
      </c>
      <c r="J154" s="1968">
        <v>916.72427033999986</v>
      </c>
      <c r="K154" s="1968">
        <v>727.87184375999993</v>
      </c>
      <c r="L154" s="1968">
        <v>3990.1791219900001</v>
      </c>
      <c r="M154" s="1968">
        <v>4864.0776489699992</v>
      </c>
      <c r="N154" s="1968">
        <v>1328.7262649899999</v>
      </c>
      <c r="O154" s="1968">
        <v>529.57196250000004</v>
      </c>
      <c r="P154" s="1968">
        <v>1891.8844096000003</v>
      </c>
      <c r="Q154" s="1968">
        <v>1113.8950118799989</v>
      </c>
      <c r="R154" s="1974">
        <v>2031.5867034399998</v>
      </c>
      <c r="S154" s="1974">
        <v>3002.4937548099997</v>
      </c>
      <c r="T154" s="1974">
        <v>3270.03680136</v>
      </c>
      <c r="U154" s="1975">
        <v>9927.4408857199996</v>
      </c>
    </row>
    <row r="155" spans="1:21" ht="15.6" hidden="1">
      <c r="A155" s="1967" t="s">
        <v>24</v>
      </c>
      <c r="B155" s="1968">
        <v>18213.55173241</v>
      </c>
      <c r="C155" s="1968">
        <v>7605.1210989900001</v>
      </c>
      <c r="D155" s="1968">
        <v>615.08488918999979</v>
      </c>
      <c r="E155" s="1968">
        <v>1523.5865833899998</v>
      </c>
      <c r="F155" s="1968">
        <v>656.40470650999998</v>
      </c>
      <c r="G155" s="1968">
        <v>4810.0449199000004</v>
      </c>
      <c r="H155" s="1968">
        <v>5667.5295810100006</v>
      </c>
      <c r="I155" s="1968">
        <v>68.727934330000011</v>
      </c>
      <c r="J155" s="1968">
        <v>895.27442808000012</v>
      </c>
      <c r="K155" s="1968">
        <v>768.38386080999999</v>
      </c>
      <c r="L155" s="1968">
        <v>3935.1433577900007</v>
      </c>
      <c r="M155" s="1968">
        <v>4940.9010524099995</v>
      </c>
      <c r="N155" s="1968">
        <v>1241.6207604000001</v>
      </c>
      <c r="O155" s="1968">
        <v>535.39500273999977</v>
      </c>
      <c r="P155" s="1968">
        <v>2040.9596329099995</v>
      </c>
      <c r="Q155" s="1968">
        <v>1122.9256563600002</v>
      </c>
      <c r="R155" s="1974">
        <v>1925.4335839199998</v>
      </c>
      <c r="S155" s="1974">
        <v>2954.2560142099996</v>
      </c>
      <c r="T155" s="1974">
        <v>3465.7482002299994</v>
      </c>
      <c r="U155" s="1975">
        <v>9868.1139340500013</v>
      </c>
    </row>
    <row r="156" spans="1:21" ht="15.6" hidden="1">
      <c r="A156" s="1967" t="s">
        <v>25</v>
      </c>
      <c r="B156" s="1968">
        <v>17658.05866011</v>
      </c>
      <c r="C156" s="1968">
        <v>7320.3477984499996</v>
      </c>
      <c r="D156" s="1968">
        <v>471.51166130000001</v>
      </c>
      <c r="E156" s="1968">
        <v>1376.43405375</v>
      </c>
      <c r="F156" s="1968">
        <v>675.66764136999996</v>
      </c>
      <c r="G156" s="1968">
        <v>4796.7344420299996</v>
      </c>
      <c r="H156" s="1968">
        <v>5300.2686472300002</v>
      </c>
      <c r="I156" s="1968">
        <v>68.921230010000002</v>
      </c>
      <c r="J156" s="1968">
        <v>846.49067882999998</v>
      </c>
      <c r="K156" s="1968">
        <v>496.15951104000015</v>
      </c>
      <c r="L156" s="1968">
        <v>3888.6972273500005</v>
      </c>
      <c r="M156" s="1968">
        <v>5037.4422144299979</v>
      </c>
      <c r="N156" s="1968">
        <v>1125.1704191399999</v>
      </c>
      <c r="O156" s="1968">
        <v>545.90173054999946</v>
      </c>
      <c r="P156" s="1968">
        <v>2276.1549815999997</v>
      </c>
      <c r="Q156" s="1968">
        <v>1090.2150831399986</v>
      </c>
      <c r="R156" s="1974">
        <v>1665.60331045</v>
      </c>
      <c r="S156" s="1974">
        <v>2768.8264631299994</v>
      </c>
      <c r="T156" s="1974">
        <v>3447.9821340099998</v>
      </c>
      <c r="U156" s="1975">
        <v>9775.6467525199987</v>
      </c>
    </row>
    <row r="157" spans="1:21" ht="15.6" hidden="1">
      <c r="A157" s="1967" t="s">
        <v>26</v>
      </c>
      <c r="B157" s="1968">
        <v>17477.467494050001</v>
      </c>
      <c r="C157" s="1968">
        <v>7311.8063250799996</v>
      </c>
      <c r="D157" s="1968">
        <v>462.99236394999997</v>
      </c>
      <c r="E157" s="1968">
        <v>1314.8491139500002</v>
      </c>
      <c r="F157" s="1968">
        <v>790.14634219999982</v>
      </c>
      <c r="G157" s="1968">
        <v>4743.8185049799995</v>
      </c>
      <c r="H157" s="1968">
        <v>5103.583032380001</v>
      </c>
      <c r="I157" s="1968">
        <v>78.922903550000001</v>
      </c>
      <c r="J157" s="1968">
        <v>813.69581436999999</v>
      </c>
      <c r="K157" s="1968">
        <v>479.56031644000007</v>
      </c>
      <c r="L157" s="1968">
        <v>3731.4039980200005</v>
      </c>
      <c r="M157" s="1968">
        <f>SUM(N157:Q157)</f>
        <v>5062.0781365899993</v>
      </c>
      <c r="N157" s="1968">
        <f>(R157-D157-I157)</f>
        <v>1267.56861564</v>
      </c>
      <c r="O157" s="1968">
        <f>(S157-E157-J157)</f>
        <v>359.88894909999988</v>
      </c>
      <c r="P157" s="1968">
        <f>(T157-F157-K157)</f>
        <v>2442.9236351</v>
      </c>
      <c r="Q157" s="1968">
        <f>(U157-G157-L157)</f>
        <v>991.69693674999962</v>
      </c>
      <c r="R157" s="1974">
        <v>1809.48388314</v>
      </c>
      <c r="S157" s="1974">
        <v>2488.43387742</v>
      </c>
      <c r="T157" s="1974">
        <v>3712.6302937399996</v>
      </c>
      <c r="U157" s="1975">
        <v>9466.9194397499996</v>
      </c>
    </row>
    <row r="158" spans="1:21" ht="15.6" hidden="1">
      <c r="A158" s="1967" t="s">
        <v>27</v>
      </c>
      <c r="B158" s="1968">
        <v>17150.462399190001</v>
      </c>
      <c r="C158" s="1968">
        <v>7172.9407930900006</v>
      </c>
      <c r="D158" s="1968">
        <v>497.94087688000002</v>
      </c>
      <c r="E158" s="1968">
        <v>1225.8779533200002</v>
      </c>
      <c r="F158" s="1968">
        <v>737.03035611000018</v>
      </c>
      <c r="G158" s="1968">
        <v>4712.0916067799999</v>
      </c>
      <c r="H158" s="1968">
        <v>5049.7674403400006</v>
      </c>
      <c r="I158" s="1968">
        <v>83.043859580000003</v>
      </c>
      <c r="J158" s="1968">
        <v>795.67803546000005</v>
      </c>
      <c r="K158" s="1968">
        <v>374.27825360999998</v>
      </c>
      <c r="L158" s="1968">
        <v>3796.7672916900005</v>
      </c>
      <c r="M158" s="1968">
        <v>4927.7541657599995</v>
      </c>
      <c r="N158" s="1968">
        <v>1279.8902856799996</v>
      </c>
      <c r="O158" s="1968">
        <v>432.27515238000001</v>
      </c>
      <c r="P158" s="1968">
        <v>2230.3893570299992</v>
      </c>
      <c r="Q158" s="1968">
        <v>985.19937067000092</v>
      </c>
      <c r="R158" s="1974">
        <v>1860.8750221399998</v>
      </c>
      <c r="S158" s="1974">
        <v>2453.8311411600002</v>
      </c>
      <c r="T158" s="1974">
        <v>3341.6979667499995</v>
      </c>
      <c r="U158" s="1975">
        <v>9494.0582691400014</v>
      </c>
    </row>
    <row r="159" spans="1:21" ht="15.6" hidden="1">
      <c r="A159" s="1967" t="s">
        <v>28</v>
      </c>
      <c r="B159" s="1968">
        <v>17598.888115910002</v>
      </c>
      <c r="C159" s="1968">
        <v>7089.5180692200001</v>
      </c>
      <c r="D159" s="1968">
        <v>504.37593103</v>
      </c>
      <c r="E159" s="1968">
        <v>1164.67827186</v>
      </c>
      <c r="F159" s="1968">
        <v>698.60521599000003</v>
      </c>
      <c r="G159" s="1968">
        <v>4721.8586503400002</v>
      </c>
      <c r="H159" s="1968">
        <v>5036.6649985499989</v>
      </c>
      <c r="I159" s="1968">
        <v>67.895046669999999</v>
      </c>
      <c r="J159" s="1968">
        <v>774.3351229299999</v>
      </c>
      <c r="K159" s="1968">
        <v>393.79330616999994</v>
      </c>
      <c r="L159" s="1968">
        <v>3800.6415227799994</v>
      </c>
      <c r="M159" s="1968">
        <v>5472.7050481400001</v>
      </c>
      <c r="N159" s="1968">
        <v>1300.7732300700002</v>
      </c>
      <c r="O159" s="1968">
        <v>429.86518566999985</v>
      </c>
      <c r="P159" s="1968">
        <v>2680.6728677699989</v>
      </c>
      <c r="Q159" s="1968">
        <v>1061.3937646300014</v>
      </c>
      <c r="R159" s="1974">
        <v>1873.0442077700002</v>
      </c>
      <c r="S159" s="1974">
        <v>2368.8785804599997</v>
      </c>
      <c r="T159" s="1974">
        <v>3773.071389929999</v>
      </c>
      <c r="U159" s="1975">
        <v>9583.893937750001</v>
      </c>
    </row>
    <row r="160" spans="1:21" ht="15.6" hidden="1">
      <c r="A160" s="1967" t="s">
        <v>29</v>
      </c>
      <c r="B160" s="1968">
        <v>23431.389446500005</v>
      </c>
      <c r="C160" s="1968">
        <v>9473.9352678300002</v>
      </c>
      <c r="D160" s="1968">
        <v>440.88992102999987</v>
      </c>
      <c r="E160" s="1968">
        <v>979.32410602999994</v>
      </c>
      <c r="F160" s="1968">
        <v>1200.3200105899998</v>
      </c>
      <c r="G160" s="1968">
        <v>6853.4012301800003</v>
      </c>
      <c r="H160" s="1968">
        <v>6358.7762940699995</v>
      </c>
      <c r="I160" s="1968">
        <v>89.062323120000016</v>
      </c>
      <c r="J160" s="1968">
        <v>603.39636632999998</v>
      </c>
      <c r="K160" s="1968">
        <v>628.29423988999997</v>
      </c>
      <c r="L160" s="1968">
        <v>5038.0233647300001</v>
      </c>
      <c r="M160" s="1968">
        <v>7630.3589705799986</v>
      </c>
      <c r="N160" s="1968">
        <f>(R160-D160-I160)</f>
        <v>1703.2633654700003</v>
      </c>
      <c r="O160" s="1968">
        <f>(S160-E160-J160)</f>
        <v>485.73158481999997</v>
      </c>
      <c r="P160" s="1968">
        <f>(T160-F160-K160)</f>
        <v>3910.8967744999995</v>
      </c>
      <c r="Q160" s="1968">
        <f>(U160-G160-L160)</f>
        <v>1498.7861598100008</v>
      </c>
      <c r="R160" s="1974">
        <v>2233.2156096200001</v>
      </c>
      <c r="S160" s="1974">
        <v>2068.4520571799999</v>
      </c>
      <c r="T160" s="1974">
        <v>5739.5110249799991</v>
      </c>
      <c r="U160" s="1975">
        <v>13390.210754720001</v>
      </c>
    </row>
    <row r="161" spans="1:23" ht="15.6">
      <c r="A161" s="1967" t="s">
        <v>1879</v>
      </c>
      <c r="B161" s="1963">
        <v>22090.979492840001</v>
      </c>
      <c r="C161" s="1963">
        <v>7448.6703850999993</v>
      </c>
      <c r="D161" s="1963">
        <v>593.12725676000014</v>
      </c>
      <c r="E161" s="1963">
        <v>924.10969758999988</v>
      </c>
      <c r="F161" s="1963">
        <v>1144.05167121</v>
      </c>
      <c r="G161" s="1963">
        <v>4787.3817595399987</v>
      </c>
      <c r="H161" s="1963">
        <v>5528.0058593799986</v>
      </c>
      <c r="I161" s="1963">
        <v>71.700868359999987</v>
      </c>
      <c r="J161" s="1963">
        <v>537.24336589999996</v>
      </c>
      <c r="K161" s="1963">
        <v>675.08966911000005</v>
      </c>
      <c r="L161" s="1963">
        <v>4243.9719560099993</v>
      </c>
      <c r="M161" s="1963">
        <v>9114.3032483600036</v>
      </c>
      <c r="N161" s="1963">
        <v>1970.2337789099997</v>
      </c>
      <c r="O161" s="1963">
        <v>1362.5035719100001</v>
      </c>
      <c r="P161" s="1963">
        <v>2984.1957252899997</v>
      </c>
      <c r="Q161" s="1963">
        <v>2797.3701722499991</v>
      </c>
      <c r="R161" s="1974"/>
      <c r="S161" s="1974"/>
      <c r="T161" s="1974"/>
      <c r="U161" s="1975"/>
    </row>
    <row r="162" spans="1:23" ht="15.6" hidden="1">
      <c r="A162" s="1967" t="s">
        <v>18</v>
      </c>
      <c r="B162" s="1968">
        <v>22576.48662118</v>
      </c>
      <c r="C162" s="1968">
        <v>8643.338840800001</v>
      </c>
      <c r="D162" s="1968">
        <v>395.46395204000009</v>
      </c>
      <c r="E162" s="1968">
        <v>1026.6177876700001</v>
      </c>
      <c r="F162" s="1968">
        <v>1092.8380958600001</v>
      </c>
      <c r="G162" s="1968">
        <v>6128.41900523</v>
      </c>
      <c r="H162" s="1968">
        <v>7166.9949462900013</v>
      </c>
      <c r="I162" s="1968">
        <v>102.97251574000001</v>
      </c>
      <c r="J162" s="1968">
        <v>637.64784706</v>
      </c>
      <c r="K162" s="1968">
        <v>526.94142351000005</v>
      </c>
      <c r="L162" s="1968">
        <v>5899.4331599800007</v>
      </c>
      <c r="M162" s="1968">
        <v>6800.5552543499998</v>
      </c>
      <c r="N162" s="1968">
        <f>(R162-D162-I162)</f>
        <v>1354.9089323399996</v>
      </c>
      <c r="O162" s="1968">
        <f>(S162-E162-J162)</f>
        <v>497.7081534700003</v>
      </c>
      <c r="P162" s="1968">
        <f>(T162-F162-K162)</f>
        <v>3373.1934018499996</v>
      </c>
      <c r="Q162" s="1968">
        <f>(U162-G162-L162)</f>
        <v>1540.3423464299995</v>
      </c>
      <c r="R162" s="1974">
        <v>1853.3454001199998</v>
      </c>
      <c r="S162" s="1974">
        <v>2161.9737882000004</v>
      </c>
      <c r="T162" s="1974">
        <v>4992.97292122</v>
      </c>
      <c r="U162" s="1975">
        <v>13568.19451164</v>
      </c>
    </row>
    <row r="163" spans="1:23" ht="15.6" hidden="1">
      <c r="A163" s="1967" t="s">
        <v>19</v>
      </c>
      <c r="B163" s="1968">
        <v>21285.444183420004</v>
      </c>
      <c r="C163" s="1968">
        <v>8077.2805155200022</v>
      </c>
      <c r="D163" s="1968">
        <v>414.88588116999995</v>
      </c>
      <c r="E163" s="1968">
        <v>994.01538985000002</v>
      </c>
      <c r="F163" s="1968">
        <v>1052.9077935900002</v>
      </c>
      <c r="G163" s="1968">
        <v>5615.4714509100022</v>
      </c>
      <c r="H163" s="1968">
        <v>6271.9979255600001</v>
      </c>
      <c r="I163" s="1968">
        <v>63.462362460000001</v>
      </c>
      <c r="J163" s="1968">
        <v>770.90365178000002</v>
      </c>
      <c r="K163" s="1968">
        <v>505.49978245</v>
      </c>
      <c r="L163" s="1968">
        <v>4932.1321288700001</v>
      </c>
      <c r="M163" s="1968">
        <v>6936.1657423399975</v>
      </c>
      <c r="N163" s="1968">
        <v>1430.4875528600003</v>
      </c>
      <c r="O163" s="1968">
        <v>504.89889568000012</v>
      </c>
      <c r="P163" s="1968">
        <v>3127.1378172699983</v>
      </c>
      <c r="Q163" s="1968">
        <v>1873.6414765299987</v>
      </c>
      <c r="R163" s="1974">
        <v>1908.8357964900001</v>
      </c>
      <c r="S163" s="1974">
        <v>2269.8179373100002</v>
      </c>
      <c r="T163" s="1974">
        <v>4685.5453933099989</v>
      </c>
      <c r="U163" s="1975">
        <v>12421.245056310001</v>
      </c>
      <c r="W163" s="1947">
        <v>1000</v>
      </c>
    </row>
    <row r="164" spans="1:23" ht="15.6" hidden="1">
      <c r="A164" s="1967" t="s">
        <v>20</v>
      </c>
      <c r="B164" s="1968">
        <v>23121.637737280002</v>
      </c>
      <c r="C164" s="1968">
        <v>7888.866837309999</v>
      </c>
      <c r="D164" s="1968">
        <v>493.72119703999999</v>
      </c>
      <c r="E164" s="1968">
        <v>1017.8553176299998</v>
      </c>
      <c r="F164" s="1968">
        <v>1010.1086851500002</v>
      </c>
      <c r="G164" s="1968">
        <v>5367.18163749</v>
      </c>
      <c r="H164" s="1968">
        <v>6444.4571196599991</v>
      </c>
      <c r="I164" s="1968">
        <v>84.578995370000001</v>
      </c>
      <c r="J164" s="1968">
        <v>799.79413139000008</v>
      </c>
      <c r="K164" s="1968">
        <v>495.80738154000005</v>
      </c>
      <c r="L164" s="1968">
        <v>5064.2766113599992</v>
      </c>
      <c r="M164" s="1968">
        <v>8788.3137803099999</v>
      </c>
      <c r="N164" s="1968">
        <v>1506.8197085800002</v>
      </c>
      <c r="O164" s="1968">
        <v>498.41800871000032</v>
      </c>
      <c r="P164" s="1968">
        <v>4068.8546808200008</v>
      </c>
      <c r="Q164" s="1968">
        <v>2714.2213821999985</v>
      </c>
      <c r="R164" s="1974">
        <v>2085.1199009900001</v>
      </c>
      <c r="S164" s="1974">
        <v>2316.0674577300001</v>
      </c>
      <c r="T164" s="1974">
        <v>5574.7707475100015</v>
      </c>
      <c r="U164" s="1975">
        <v>13145.679631049998</v>
      </c>
    </row>
    <row r="165" spans="1:23" ht="15.6" hidden="1">
      <c r="A165" s="1967" t="s">
        <v>21</v>
      </c>
      <c r="B165" s="1968">
        <v>22558.052858589999</v>
      </c>
      <c r="C165" s="1968">
        <v>7684.95810256</v>
      </c>
      <c r="D165" s="1968">
        <v>493.11902867000003</v>
      </c>
      <c r="E165" s="1968">
        <v>914.49493087999997</v>
      </c>
      <c r="F165" s="1968">
        <v>1058.9201124799999</v>
      </c>
      <c r="G165" s="1968">
        <v>5218.4240305300009</v>
      </c>
      <c r="H165" s="1968">
        <v>6182.4410817900007</v>
      </c>
      <c r="I165" s="1968">
        <v>77.362904760000006</v>
      </c>
      <c r="J165" s="1968">
        <v>762.09301765999999</v>
      </c>
      <c r="K165" s="1968">
        <v>476.95064371000007</v>
      </c>
      <c r="L165" s="1968">
        <v>4866.0345156600006</v>
      </c>
      <c r="M165" s="1968">
        <v>8690.6536742400003</v>
      </c>
      <c r="N165" s="1968">
        <v>1618.5548478399996</v>
      </c>
      <c r="O165" s="1968">
        <v>468.91508461000012</v>
      </c>
      <c r="P165" s="1968">
        <v>3973.8729139199995</v>
      </c>
      <c r="Q165" s="1968">
        <v>2629.310827870001</v>
      </c>
      <c r="R165" s="1974">
        <v>2189.0367812699997</v>
      </c>
      <c r="S165" s="1974">
        <v>2145.5030331500002</v>
      </c>
      <c r="T165" s="1974">
        <v>5509.7436701099996</v>
      </c>
      <c r="U165" s="1975">
        <v>12713.769374060003</v>
      </c>
    </row>
    <row r="166" spans="1:23" ht="15.6" hidden="1">
      <c r="A166" s="1967" t="s">
        <v>22</v>
      </c>
      <c r="B166" s="1968">
        <v>23148.058778530001</v>
      </c>
      <c r="C166" s="1968">
        <v>7565.9511798599997</v>
      </c>
      <c r="D166" s="1968">
        <v>486.20993685999991</v>
      </c>
      <c r="E166" s="1968">
        <v>961.33847025</v>
      </c>
      <c r="F166" s="1968">
        <v>1052.7850527000001</v>
      </c>
      <c r="G166" s="1968">
        <v>5065.6177200499997</v>
      </c>
      <c r="H166" s="1968">
        <v>6221.6415653900012</v>
      </c>
      <c r="I166" s="1968">
        <v>105.53736786</v>
      </c>
      <c r="J166" s="1968">
        <v>761.88788498999998</v>
      </c>
      <c r="K166" s="1968">
        <v>625.3260220300001</v>
      </c>
      <c r="L166" s="1968">
        <v>4728.8902905100013</v>
      </c>
      <c r="M166" s="1968">
        <v>9360.4660332800013</v>
      </c>
      <c r="N166" s="1968">
        <v>1650.0556431400003</v>
      </c>
      <c r="O166" s="1968">
        <v>485.79556657000012</v>
      </c>
      <c r="P166" s="1968">
        <v>3834.7924638800005</v>
      </c>
      <c r="Q166" s="1968">
        <v>3389.8223596900007</v>
      </c>
      <c r="R166" s="1974">
        <v>2241.8029478600001</v>
      </c>
      <c r="S166" s="1974">
        <v>2209.0219218100001</v>
      </c>
      <c r="T166" s="1974">
        <v>5512.9035386100004</v>
      </c>
      <c r="U166" s="1975">
        <v>13184.330370250002</v>
      </c>
    </row>
    <row r="167" spans="1:23" ht="15.6" hidden="1">
      <c r="A167" s="1967" t="s">
        <v>23</v>
      </c>
      <c r="B167" s="1968">
        <v>23366.762993790002</v>
      </c>
      <c r="C167" s="1968">
        <v>7815.6264911699991</v>
      </c>
      <c r="D167" s="1968">
        <v>546.73839292000002</v>
      </c>
      <c r="E167" s="1968">
        <v>970.36375868999983</v>
      </c>
      <c r="F167" s="1968">
        <v>1091.7599507300001</v>
      </c>
      <c r="G167" s="1968">
        <v>5206.7643888299999</v>
      </c>
      <c r="H167" s="1968">
        <v>6031.6449668599998</v>
      </c>
      <c r="I167" s="1968">
        <v>91.712456960000011</v>
      </c>
      <c r="J167" s="1968">
        <v>669.7833740100001</v>
      </c>
      <c r="K167" s="1968">
        <v>635.55247772000007</v>
      </c>
      <c r="L167" s="1968">
        <v>4634.5966581699995</v>
      </c>
      <c r="M167" s="1968">
        <v>9519.4915357600003</v>
      </c>
      <c r="N167" s="1968">
        <v>1844.8105047900003</v>
      </c>
      <c r="O167" s="1968">
        <v>500.12846699999989</v>
      </c>
      <c r="P167" s="1968">
        <v>3680.4814337299986</v>
      </c>
      <c r="Q167" s="1968">
        <v>3494.0711302400023</v>
      </c>
      <c r="R167" s="1974">
        <v>2483.2613546700004</v>
      </c>
      <c r="S167" s="1974">
        <v>2140.2755996999999</v>
      </c>
      <c r="T167" s="1974">
        <v>5407.7938621799985</v>
      </c>
      <c r="U167" s="1975">
        <v>13335.432177240002</v>
      </c>
    </row>
    <row r="168" spans="1:23" ht="15.6" hidden="1">
      <c r="A168" s="1967" t="s">
        <v>24</v>
      </c>
      <c r="B168" s="1968">
        <v>23248.853358559994</v>
      </c>
      <c r="C168" s="1968">
        <v>7843.8322067699992</v>
      </c>
      <c r="D168" s="1968">
        <v>589.40381853999997</v>
      </c>
      <c r="E168" s="1968">
        <v>916.61210225000002</v>
      </c>
      <c r="F168" s="1968">
        <v>1141.9646619700002</v>
      </c>
      <c r="G168" s="1968">
        <v>5195.8516240099998</v>
      </c>
      <c r="H168" s="1968">
        <v>5858.4821139300002</v>
      </c>
      <c r="I168" s="1968">
        <v>91.168270459999988</v>
      </c>
      <c r="J168" s="1968">
        <v>631.69173768999997</v>
      </c>
      <c r="K168" s="1968">
        <v>565.93032395</v>
      </c>
      <c r="L168" s="1968">
        <v>4569.6917818299999</v>
      </c>
      <c r="M168" s="1968">
        <v>9546.5390378600023</v>
      </c>
      <c r="N168" s="1968">
        <v>1931.3786209799994</v>
      </c>
      <c r="O168" s="1968">
        <v>485.54200054999967</v>
      </c>
      <c r="P168" s="1968">
        <v>3499.5308249300006</v>
      </c>
      <c r="Q168" s="1968">
        <v>3630.0875914000017</v>
      </c>
      <c r="R168" s="1974">
        <v>2611.9507099799994</v>
      </c>
      <c r="S168" s="1974">
        <v>2033.8458404899998</v>
      </c>
      <c r="T168" s="1974">
        <v>5207.4258108500007</v>
      </c>
      <c r="U168" s="1975">
        <v>13395.630997240001</v>
      </c>
    </row>
    <row r="169" spans="1:23" ht="15.6" hidden="1">
      <c r="A169" s="1967" t="s">
        <v>25</v>
      </c>
      <c r="B169" s="1968">
        <v>23673.772316860002</v>
      </c>
      <c r="C169" s="1968">
        <v>7931.8856794199983</v>
      </c>
      <c r="D169" s="1968">
        <v>530.98455763999993</v>
      </c>
      <c r="E169" s="1968">
        <v>925.52463819000013</v>
      </c>
      <c r="F169" s="1968">
        <v>1134.4384808299999</v>
      </c>
      <c r="G169" s="1968">
        <v>5340.9380027599991</v>
      </c>
      <c r="H169" s="1968">
        <v>5920.7974648299987</v>
      </c>
      <c r="I169" s="1968">
        <v>99.228474560000009</v>
      </c>
      <c r="J169" s="1968">
        <v>639.49957030999997</v>
      </c>
      <c r="K169" s="1968">
        <v>571.95494786000006</v>
      </c>
      <c r="L169" s="1968">
        <v>4610.1144720999991</v>
      </c>
      <c r="M169" s="1968">
        <v>9821.0891726100017</v>
      </c>
      <c r="N169" s="1968">
        <v>1814.7824133100007</v>
      </c>
      <c r="O169" s="1968">
        <v>476.61142654000002</v>
      </c>
      <c r="P169" s="1968">
        <v>3635.7740640800002</v>
      </c>
      <c r="Q169" s="1968">
        <v>3893.921268680001</v>
      </c>
      <c r="R169" s="1974">
        <v>2444.9954455100005</v>
      </c>
      <c r="S169" s="1974">
        <v>2041.6356350400001</v>
      </c>
      <c r="T169" s="1974">
        <v>5342.1674927700005</v>
      </c>
      <c r="U169" s="1975">
        <v>13844.973743539998</v>
      </c>
    </row>
    <row r="170" spans="1:23" ht="15.6" hidden="1">
      <c r="A170" s="1967" t="s">
        <v>26</v>
      </c>
      <c r="B170" s="1968">
        <v>22841.823131839999</v>
      </c>
      <c r="C170" s="1968">
        <v>7813.8673014100004</v>
      </c>
      <c r="D170" s="1968">
        <v>518.38537985999994</v>
      </c>
      <c r="E170" s="1968">
        <v>907.65208554000014</v>
      </c>
      <c r="F170" s="1968">
        <v>1165.3700243300002</v>
      </c>
      <c r="G170" s="1968">
        <v>5222.4598116800007</v>
      </c>
      <c r="H170" s="1968">
        <v>5872.2361056900008</v>
      </c>
      <c r="I170" s="1968">
        <v>98.169757440000012</v>
      </c>
      <c r="J170" s="1968">
        <v>605.67192999999997</v>
      </c>
      <c r="K170" s="1968">
        <v>650.97977207999998</v>
      </c>
      <c r="L170" s="1968">
        <v>4517.4146461700002</v>
      </c>
      <c r="M170" s="1968">
        <v>9155.7197247399999</v>
      </c>
      <c r="N170" s="1968">
        <v>2300.8210969999996</v>
      </c>
      <c r="O170" s="1968">
        <v>448.46705969999971</v>
      </c>
      <c r="P170" s="1968">
        <v>2997.4751573400017</v>
      </c>
      <c r="Q170" s="1968">
        <v>3408.9564106999987</v>
      </c>
      <c r="R170" s="1974">
        <v>2917.3762342999994</v>
      </c>
      <c r="S170" s="1974">
        <v>1961.7910752399998</v>
      </c>
      <c r="T170" s="1974">
        <v>4813.8249537500014</v>
      </c>
      <c r="U170" s="1975">
        <v>13148.83086855</v>
      </c>
    </row>
    <row r="171" spans="1:23" ht="15.6" hidden="1">
      <c r="A171" s="1967" t="s">
        <v>27</v>
      </c>
      <c r="B171" s="1968">
        <v>22227.398065330002</v>
      </c>
      <c r="C171" s="1968">
        <v>7413.11107498</v>
      </c>
      <c r="D171" s="1968">
        <v>480.19855046999999</v>
      </c>
      <c r="E171" s="1968">
        <v>917.41285771000014</v>
      </c>
      <c r="F171" s="1968">
        <v>1247.8405884899998</v>
      </c>
      <c r="G171" s="1968">
        <v>4767.65907831</v>
      </c>
      <c r="H171" s="1968">
        <v>5317.0422964700001</v>
      </c>
      <c r="I171" s="1968">
        <v>85.53800360000001</v>
      </c>
      <c r="J171" s="1968">
        <v>582.37352670999996</v>
      </c>
      <c r="K171" s="1968">
        <v>572.88963208999996</v>
      </c>
      <c r="L171" s="1968">
        <v>4076.24113407</v>
      </c>
      <c r="M171" s="1968">
        <v>9497.2446938799985</v>
      </c>
      <c r="N171" s="1968">
        <v>2018.4260913400001</v>
      </c>
      <c r="O171" s="1968">
        <v>1361.2589425800002</v>
      </c>
      <c r="P171" s="1968">
        <v>3277.8780135200013</v>
      </c>
      <c r="Q171" s="1968">
        <v>2839.6816464399981</v>
      </c>
      <c r="R171" s="1974">
        <v>2584.1626454100001</v>
      </c>
      <c r="S171" s="1974">
        <v>2861.0453270000003</v>
      </c>
      <c r="T171" s="1974">
        <v>5098.608234100001</v>
      </c>
      <c r="U171" s="1975">
        <v>11683.581858819998</v>
      </c>
    </row>
    <row r="172" spans="1:23" ht="15.6" hidden="1">
      <c r="A172" s="1967" t="s">
        <v>28</v>
      </c>
      <c r="B172" s="1968">
        <v>22651.162103860002</v>
      </c>
      <c r="C172" s="1968">
        <v>7605.7838093800001</v>
      </c>
      <c r="D172" s="1968">
        <v>513.95585828000014</v>
      </c>
      <c r="E172" s="1968">
        <v>916.54152053000007</v>
      </c>
      <c r="F172" s="1968">
        <v>1328.3355681799999</v>
      </c>
      <c r="G172" s="1968">
        <v>4846.9508623899992</v>
      </c>
      <c r="H172" s="1968">
        <v>5602.2453031600007</v>
      </c>
      <c r="I172" s="1968">
        <v>80.674939129999998</v>
      </c>
      <c r="J172" s="1968">
        <v>575.23592660999998</v>
      </c>
      <c r="K172" s="1968">
        <v>694.32862846</v>
      </c>
      <c r="L172" s="1968">
        <v>4252.0058089600006</v>
      </c>
      <c r="M172" s="1968">
        <v>9443.1329913200025</v>
      </c>
      <c r="N172" s="1968">
        <v>2080.4813102400008</v>
      </c>
      <c r="O172" s="1968">
        <v>1363.8596005799998</v>
      </c>
      <c r="P172" s="1968">
        <v>3032.2216198600013</v>
      </c>
      <c r="Q172" s="1968">
        <v>2966.5704606400004</v>
      </c>
      <c r="R172" s="1974">
        <v>2675.1121076500008</v>
      </c>
      <c r="S172" s="1974">
        <v>2855.6370477199998</v>
      </c>
      <c r="T172" s="1974">
        <v>5054.8858165000011</v>
      </c>
      <c r="U172" s="1975">
        <v>12065.52713199</v>
      </c>
    </row>
    <row r="173" spans="1:23" ht="15.6" hidden="1">
      <c r="A173" s="1967" t="s">
        <v>29</v>
      </c>
      <c r="B173" s="1968">
        <v>22090.979492840001</v>
      </c>
      <c r="C173" s="1968">
        <v>7448.6703850999993</v>
      </c>
      <c r="D173" s="1968">
        <v>593.12725676000014</v>
      </c>
      <c r="E173" s="1968">
        <v>924.10969758999988</v>
      </c>
      <c r="F173" s="1968">
        <v>1144.05167121</v>
      </c>
      <c r="G173" s="1968">
        <v>4787.3817595399987</v>
      </c>
      <c r="H173" s="1968">
        <v>5528.0058593799986</v>
      </c>
      <c r="I173" s="1968">
        <v>71.700868359999987</v>
      </c>
      <c r="J173" s="1968">
        <v>537.24336589999996</v>
      </c>
      <c r="K173" s="1968">
        <v>675.08966911000005</v>
      </c>
      <c r="L173" s="1968">
        <v>4243.9719560099993</v>
      </c>
      <c r="M173" s="1968">
        <f>(B173-H173-C173)</f>
        <v>9114.3032483600036</v>
      </c>
      <c r="N173" s="1968">
        <f>(R173-D173-I173)</f>
        <v>1970.2337789099997</v>
      </c>
      <c r="O173" s="1968">
        <f>(S173-E173-J173)</f>
        <v>1362.5035719100001</v>
      </c>
      <c r="P173" s="1968">
        <f>(T173-F173-K173)</f>
        <v>2984.1957252899997</v>
      </c>
      <c r="Q173" s="1968">
        <f>(U173-G173-L173)</f>
        <v>2797.3701722499991</v>
      </c>
      <c r="R173" s="1974">
        <v>2635.0619040299998</v>
      </c>
      <c r="S173" s="1974">
        <v>2823.8566354</v>
      </c>
      <c r="T173" s="1974">
        <v>4803.3370656099996</v>
      </c>
      <c r="U173" s="1975">
        <v>11828.723887799997</v>
      </c>
    </row>
    <row r="174" spans="1:23" ht="15.6">
      <c r="A174" s="1967" t="s">
        <v>1942</v>
      </c>
      <c r="B174" s="1968"/>
      <c r="C174" s="1968"/>
      <c r="D174" s="1968"/>
      <c r="E174" s="1968"/>
      <c r="F174" s="1968"/>
      <c r="G174" s="1968"/>
      <c r="H174" s="1968"/>
      <c r="I174" s="1968"/>
      <c r="J174" s="1968"/>
      <c r="K174" s="1968"/>
      <c r="L174" s="1968"/>
      <c r="M174" s="1968"/>
      <c r="N174" s="1968"/>
      <c r="O174" s="1968"/>
      <c r="P174" s="1968"/>
      <c r="Q174" s="1968"/>
      <c r="R174" s="1974"/>
      <c r="S174" s="1974"/>
      <c r="T174" s="1974"/>
      <c r="U174" s="1975"/>
    </row>
    <row r="175" spans="1:23" ht="15.6">
      <c r="A175" s="1967" t="s">
        <v>18</v>
      </c>
      <c r="B175" s="1968">
        <v>23215.011935040002</v>
      </c>
      <c r="C175" s="1968">
        <v>7747.21384734</v>
      </c>
      <c r="D175" s="1968">
        <v>511.30370880000004</v>
      </c>
      <c r="E175" s="1968">
        <v>941.39024112000004</v>
      </c>
      <c r="F175" s="1968">
        <v>1163.5807077500001</v>
      </c>
      <c r="G175" s="1968">
        <v>5130.939189669999</v>
      </c>
      <c r="H175" s="1968">
        <v>5753.1620311000006</v>
      </c>
      <c r="I175" s="1968">
        <v>129.29041722000002</v>
      </c>
      <c r="J175" s="1968">
        <v>540.35703023999986</v>
      </c>
      <c r="K175" s="1968">
        <v>932.55738747999999</v>
      </c>
      <c r="L175" s="1968">
        <v>4150.9571961600004</v>
      </c>
      <c r="M175" s="1968">
        <v>9714.6360566000003</v>
      </c>
      <c r="N175" s="1968">
        <v>1687.5110136199996</v>
      </c>
      <c r="O175" s="1968">
        <v>1353.5823116600004</v>
      </c>
      <c r="P175" s="1968">
        <v>3471.9036158099989</v>
      </c>
      <c r="Q175" s="1968">
        <v>3201.6391155100009</v>
      </c>
      <c r="R175" s="1974">
        <v>2328.1051396399998</v>
      </c>
      <c r="S175" s="1974">
        <v>2835.3295830200004</v>
      </c>
      <c r="T175" s="1974">
        <v>5568.0417110399994</v>
      </c>
      <c r="U175" s="1975">
        <v>12483.53550134</v>
      </c>
    </row>
    <row r="176" spans="1:23" ht="15.6">
      <c r="A176" s="1967" t="s">
        <v>19</v>
      </c>
      <c r="B176" s="1968">
        <v>21761.454722259998</v>
      </c>
      <c r="C176" s="1968">
        <v>7101.7795807600005</v>
      </c>
      <c r="D176" s="1968">
        <v>510.01916794999994</v>
      </c>
      <c r="E176" s="1968">
        <v>953.70506984000008</v>
      </c>
      <c r="F176" s="1968">
        <v>1045.7598395100001</v>
      </c>
      <c r="G176" s="1968">
        <v>4592.29550346</v>
      </c>
      <c r="H176" s="1968">
        <v>5332.5730695300008</v>
      </c>
      <c r="I176" s="1968">
        <v>86.003260250000011</v>
      </c>
      <c r="J176" s="1968">
        <v>509.13614666000001</v>
      </c>
      <c r="K176" s="1968">
        <v>1061.7027813699999</v>
      </c>
      <c r="L176" s="1968">
        <v>3675.7308812500005</v>
      </c>
      <c r="M176" s="1968">
        <v>9327.1020719700009</v>
      </c>
      <c r="N176" s="1968">
        <v>1688.5442630400003</v>
      </c>
      <c r="O176" s="1968">
        <v>1337.5645104200003</v>
      </c>
      <c r="P176" s="1968">
        <v>3336.6310166699996</v>
      </c>
      <c r="Q176" s="1968">
        <v>2964.3622818400008</v>
      </c>
      <c r="R176" s="1974">
        <v>2284.5666912400002</v>
      </c>
      <c r="S176" s="1974">
        <v>2800.4057269200002</v>
      </c>
      <c r="T176" s="1974">
        <v>5444.0936375499996</v>
      </c>
      <c r="U176" s="1975">
        <v>11232.388666550001</v>
      </c>
    </row>
    <row r="177" spans="1:21" ht="15.6">
      <c r="A177" s="1967" t="s">
        <v>20</v>
      </c>
      <c r="B177" s="1968">
        <v>21295.930216459998</v>
      </c>
      <c r="C177" s="1968">
        <v>6911.4482994199989</v>
      </c>
      <c r="D177" s="1968">
        <v>507.79294545999994</v>
      </c>
      <c r="E177" s="1968">
        <v>972.67982346000008</v>
      </c>
      <c r="F177" s="1968">
        <v>978.7682998600003</v>
      </c>
      <c r="G177" s="1968">
        <v>4452.2072306399996</v>
      </c>
      <c r="H177" s="1968">
        <v>5142.2947017300003</v>
      </c>
      <c r="I177" s="1968">
        <v>96.016516910000021</v>
      </c>
      <c r="J177" s="1968">
        <v>499.23899940999996</v>
      </c>
      <c r="K177" s="1968">
        <v>415.64322666999999</v>
      </c>
      <c r="L177" s="1968">
        <v>4131.3959587400004</v>
      </c>
      <c r="M177" s="1968">
        <v>9242.1872153100012</v>
      </c>
      <c r="N177" s="1968">
        <v>1706.5498026700002</v>
      </c>
      <c r="O177" s="1968">
        <v>1373.0064841100002</v>
      </c>
      <c r="P177" s="1968">
        <v>3241.1141526799997</v>
      </c>
      <c r="Q177" s="1968">
        <v>2921.5167758500002</v>
      </c>
      <c r="R177" s="1974">
        <v>2310.3592650400001</v>
      </c>
      <c r="S177" s="1974">
        <v>2844.9253069800002</v>
      </c>
      <c r="T177" s="1974">
        <v>4635.5256792099999</v>
      </c>
      <c r="U177" s="1975">
        <v>11505.11996523</v>
      </c>
    </row>
    <row r="178" spans="1:21" ht="15.6">
      <c r="A178" s="1967" t="s">
        <v>21</v>
      </c>
      <c r="B178" s="1968">
        <v>22148.608690479999</v>
      </c>
      <c r="C178" s="1968">
        <v>6873.1633715099997</v>
      </c>
      <c r="D178" s="1968">
        <v>594.38608856999986</v>
      </c>
      <c r="E178" s="1968">
        <v>1013.80627192</v>
      </c>
      <c r="F178" s="1968">
        <v>977.86800097000014</v>
      </c>
      <c r="G178" s="1968">
        <v>4287.1030100499993</v>
      </c>
      <c r="H178" s="1968">
        <v>5125.0752365199996</v>
      </c>
      <c r="I178" s="1968">
        <v>115.24164586000001</v>
      </c>
      <c r="J178" s="1968">
        <v>531.13794129999997</v>
      </c>
      <c r="K178" s="1968">
        <v>426.82019178000002</v>
      </c>
      <c r="L178" s="1968">
        <v>4051.8754575799999</v>
      </c>
      <c r="M178" s="1968">
        <v>10150.370082450001</v>
      </c>
      <c r="N178" s="1968">
        <v>1924.45684426</v>
      </c>
      <c r="O178" s="1968">
        <v>1391.96885662</v>
      </c>
      <c r="P178" s="1968">
        <v>3916.8819643700003</v>
      </c>
      <c r="Q178" s="1968">
        <v>2917.0624172000003</v>
      </c>
      <c r="R178" s="1974">
        <v>2634.0845786899999</v>
      </c>
      <c r="S178" s="1974">
        <v>2936.9130698399999</v>
      </c>
      <c r="T178" s="1974">
        <v>5321.5701571200007</v>
      </c>
      <c r="U178" s="1975">
        <v>11256.040884829999</v>
      </c>
    </row>
    <row r="179" spans="1:21" ht="15.6">
      <c r="A179" s="1967" t="s">
        <v>22</v>
      </c>
      <c r="B179" s="1968">
        <v>21594.662352359999</v>
      </c>
      <c r="C179" s="1968">
        <v>6846.7235042599987</v>
      </c>
      <c r="D179" s="1968">
        <v>691.21623787999988</v>
      </c>
      <c r="E179" s="1968">
        <v>1053.5552705099999</v>
      </c>
      <c r="F179" s="1968">
        <v>952.1354598800001</v>
      </c>
      <c r="G179" s="1968">
        <v>4149.8165359899995</v>
      </c>
      <c r="H179" s="1968">
        <v>4777.6970178000001</v>
      </c>
      <c r="I179" s="1968">
        <v>95.91001399000001</v>
      </c>
      <c r="J179" s="1968">
        <v>461.26379057999998</v>
      </c>
      <c r="K179" s="1968">
        <v>994.41097788000002</v>
      </c>
      <c r="L179" s="1968">
        <v>3226.1122353500004</v>
      </c>
      <c r="M179" s="1968">
        <v>9970.2418303000013</v>
      </c>
      <c r="N179" s="1968">
        <v>1632.5159611300007</v>
      </c>
      <c r="O179" s="1968">
        <v>1419.6315292499996</v>
      </c>
      <c r="P179" s="1968">
        <v>3936.0195881099999</v>
      </c>
      <c r="Q179" s="1968">
        <v>2982.0747518100006</v>
      </c>
      <c r="R179" s="1974">
        <v>2419.6422130000005</v>
      </c>
      <c r="S179" s="1974">
        <v>2934.4505903399995</v>
      </c>
      <c r="T179" s="1974">
        <v>5882.56602587</v>
      </c>
      <c r="U179" s="1975">
        <v>10358.003523150001</v>
      </c>
    </row>
    <row r="180" spans="1:21" ht="15.6">
      <c r="A180" s="1967" t="s">
        <v>23</v>
      </c>
      <c r="B180" s="1968">
        <v>21595.415994440005</v>
      </c>
      <c r="C180" s="1968">
        <v>6907.1098250700006</v>
      </c>
      <c r="D180" s="1968">
        <v>734.24331022999991</v>
      </c>
      <c r="E180" s="1968">
        <v>1104.18331337</v>
      </c>
      <c r="F180" s="1968">
        <v>998.89185959999998</v>
      </c>
      <c r="G180" s="1968">
        <v>4069.79134187</v>
      </c>
      <c r="H180" s="1968">
        <v>4732.2032445300001</v>
      </c>
      <c r="I180" s="1968">
        <v>120.98644231</v>
      </c>
      <c r="J180" s="1968">
        <v>453.78207615999992</v>
      </c>
      <c r="K180" s="1968">
        <v>489.53690608000005</v>
      </c>
      <c r="L180" s="1968">
        <v>3667.8978199799999</v>
      </c>
      <c r="M180" s="1968">
        <v>9956.1029248399991</v>
      </c>
      <c r="N180" s="1968">
        <v>1680.6508633899998</v>
      </c>
      <c r="O180" s="1968">
        <v>922.17756055000018</v>
      </c>
      <c r="P180" s="1968">
        <v>4314.5917706599985</v>
      </c>
      <c r="Q180" s="1968">
        <v>3038.6827302400011</v>
      </c>
      <c r="R180" s="1974">
        <v>2535.8806159299997</v>
      </c>
      <c r="S180" s="1974">
        <v>2480.14295008</v>
      </c>
      <c r="T180" s="1974">
        <v>5803.0205363399991</v>
      </c>
      <c r="U180" s="1975">
        <v>10776.371892090001</v>
      </c>
    </row>
    <row r="181" spans="1:21" ht="15.6">
      <c r="A181" s="1967" t="s">
        <v>24</v>
      </c>
      <c r="B181" s="1968">
        <v>21352.458820650005</v>
      </c>
      <c r="C181" s="1968">
        <v>6860.7177209400006</v>
      </c>
      <c r="D181" s="1968">
        <v>638.93427092000002</v>
      </c>
      <c r="E181" s="1968">
        <v>1183.1059403500001</v>
      </c>
      <c r="F181" s="1968">
        <v>1009.7550517699999</v>
      </c>
      <c r="G181" s="1968">
        <v>4028.9224579000002</v>
      </c>
      <c r="H181" s="1968">
        <v>4770.0330792200002</v>
      </c>
      <c r="I181" s="1968">
        <v>132.59944523000001</v>
      </c>
      <c r="J181" s="1968">
        <v>399.69076865</v>
      </c>
      <c r="K181" s="1968">
        <v>489.61596076999996</v>
      </c>
      <c r="L181" s="1968">
        <v>3748.1269045700001</v>
      </c>
      <c r="M181" s="1968">
        <v>9721.7080204900012</v>
      </c>
      <c r="N181" s="1968">
        <v>1629.2982414899998</v>
      </c>
      <c r="O181" s="1968">
        <v>781.44949229999986</v>
      </c>
      <c r="P181" s="1968">
        <v>4202.2245079299992</v>
      </c>
      <c r="Q181" s="1968">
        <v>3108.7357787700012</v>
      </c>
      <c r="R181" s="1974">
        <v>2400.8319576399999</v>
      </c>
      <c r="S181" s="1974">
        <v>2364.2462012999999</v>
      </c>
      <c r="T181" s="1974">
        <v>5701.5955204699994</v>
      </c>
      <c r="U181" s="1975">
        <v>10885.785141240001</v>
      </c>
    </row>
    <row r="182" spans="1:21" ht="15.6">
      <c r="A182" s="1967" t="s">
        <v>25</v>
      </c>
      <c r="B182" s="1968">
        <v>21008.018939289999</v>
      </c>
      <c r="C182" s="1968">
        <v>6895.4724854100014</v>
      </c>
      <c r="D182" s="1968">
        <v>684.21014093999997</v>
      </c>
      <c r="E182" s="1968">
        <v>1234.1775385000003</v>
      </c>
      <c r="F182" s="1968">
        <v>1031.6891513799999</v>
      </c>
      <c r="G182" s="1968">
        <v>3945.395654590001</v>
      </c>
      <c r="H182" s="1968">
        <v>4170.33850833</v>
      </c>
      <c r="I182" s="1968">
        <v>141.35162417000004</v>
      </c>
      <c r="J182" s="1968">
        <v>200.71455113000002</v>
      </c>
      <c r="K182" s="1968">
        <v>447.60887398</v>
      </c>
      <c r="L182" s="1968">
        <v>3380.6634590499998</v>
      </c>
      <c r="M182" s="1968">
        <v>9942.2079455499988</v>
      </c>
      <c r="N182" s="1968">
        <v>1662.6271696400004</v>
      </c>
      <c r="O182" s="1968">
        <v>783.38047376000009</v>
      </c>
      <c r="P182" s="1968">
        <v>4384.3211732299987</v>
      </c>
      <c r="Q182" s="1968">
        <v>3111.8791289199989</v>
      </c>
      <c r="R182" s="1974">
        <v>2488.1889347500005</v>
      </c>
      <c r="S182" s="1974">
        <v>2218.2725633900004</v>
      </c>
      <c r="T182" s="1974">
        <v>5863.6191985899986</v>
      </c>
      <c r="U182" s="1975">
        <v>10437.93824256</v>
      </c>
    </row>
    <row r="183" spans="1:21" ht="15.6">
      <c r="A183" s="1967" t="s">
        <v>26</v>
      </c>
      <c r="B183" s="1968">
        <v>19484.23664598</v>
      </c>
      <c r="C183" s="1968">
        <v>7022.1769641999999</v>
      </c>
      <c r="D183" s="1968">
        <v>685.53113867000002</v>
      </c>
      <c r="E183" s="1968">
        <v>1296.24622202</v>
      </c>
      <c r="F183" s="1968">
        <v>1172.4737137300001</v>
      </c>
      <c r="G183" s="1968">
        <v>3867.9258897800005</v>
      </c>
      <c r="H183" s="1968" t="s">
        <v>2047</v>
      </c>
      <c r="I183" s="1968">
        <v>134.39916910000002</v>
      </c>
      <c r="J183" s="1968">
        <v>209.69932566000003</v>
      </c>
      <c r="K183" s="1968">
        <v>241.13432000999998</v>
      </c>
      <c r="L183" s="1968">
        <v>1542.22673599</v>
      </c>
      <c r="M183" s="1968">
        <v>10334.600131020001</v>
      </c>
      <c r="N183" s="1968">
        <v>1968.6689919800001</v>
      </c>
      <c r="O183" s="1968">
        <v>647.20562004999999</v>
      </c>
      <c r="P183" s="1968">
        <v>4648.2796214199998</v>
      </c>
      <c r="Q183" s="1968">
        <v>3070.4458975700018</v>
      </c>
      <c r="R183" s="1974">
        <v>2788.5992997500002</v>
      </c>
      <c r="S183" s="1974">
        <v>2153.15116773</v>
      </c>
      <c r="T183" s="1974">
        <v>6061.8876551599997</v>
      </c>
      <c r="U183" s="1975">
        <v>8480.5985233400024</v>
      </c>
    </row>
    <row r="184" spans="1:21" ht="15.6">
      <c r="A184" s="1967" t="s">
        <v>27</v>
      </c>
      <c r="B184" s="1968">
        <v>19696.726037439999</v>
      </c>
      <c r="C184" s="1968">
        <v>7280.1157314900001</v>
      </c>
      <c r="D184" s="1968">
        <v>730.23960569000008</v>
      </c>
      <c r="E184" s="1968">
        <v>1459.3164028399999</v>
      </c>
      <c r="F184" s="1968">
        <v>1289.6514403799999</v>
      </c>
      <c r="G184" s="1968">
        <v>3800.9082825800001</v>
      </c>
      <c r="H184" s="1968">
        <v>2054.7600175299999</v>
      </c>
      <c r="I184" s="1968">
        <v>132.88479290000001</v>
      </c>
      <c r="J184" s="1968">
        <v>213.53205822999999</v>
      </c>
      <c r="K184" s="1968">
        <v>236.58157801999999</v>
      </c>
      <c r="L184" s="1968">
        <v>1471.7615883799999</v>
      </c>
      <c r="M184" s="1968">
        <v>10361.850288419999</v>
      </c>
      <c r="N184" s="1968">
        <v>1866.0599670200006</v>
      </c>
      <c r="O184" s="1968">
        <v>631.49836178999965</v>
      </c>
      <c r="P184" s="1968">
        <v>4802.1738252099985</v>
      </c>
      <c r="Q184" s="1968">
        <v>3062.1181343999988</v>
      </c>
      <c r="R184" s="1974">
        <v>2729.1843656100009</v>
      </c>
      <c r="S184" s="1974">
        <v>2304.3468228599995</v>
      </c>
      <c r="T184" s="1974">
        <v>6328.4068436099988</v>
      </c>
      <c r="U184" s="1975">
        <v>8334.7880053599984</v>
      </c>
    </row>
    <row r="185" spans="1:21" ht="15.6">
      <c r="A185" s="1967" t="s">
        <v>28</v>
      </c>
      <c r="B185" s="1968">
        <v>19635.302359779998</v>
      </c>
      <c r="C185" s="1968">
        <v>7370.6137107699997</v>
      </c>
      <c r="D185" s="1968">
        <v>719.73873243000003</v>
      </c>
      <c r="E185" s="1968">
        <v>1565.7398545599997</v>
      </c>
      <c r="F185" s="1968">
        <v>1489.1860028899996</v>
      </c>
      <c r="G185" s="1968">
        <v>3595.9491208899999</v>
      </c>
      <c r="H185" s="1968">
        <v>1918.5568416200001</v>
      </c>
      <c r="I185" s="1968">
        <v>104.96571934000001</v>
      </c>
      <c r="J185" s="1968">
        <v>228.02136705999996</v>
      </c>
      <c r="K185" s="1968">
        <v>232.56659327999995</v>
      </c>
      <c r="L185" s="1968">
        <v>1353.0031619400002</v>
      </c>
      <c r="M185" s="1968">
        <v>10346.13180739</v>
      </c>
      <c r="N185" s="1968">
        <v>2242.0657031199999</v>
      </c>
      <c r="O185" s="1968">
        <v>621.1482193999999</v>
      </c>
      <c r="P185" s="1968">
        <v>4397.0401643000005</v>
      </c>
      <c r="Q185" s="1968">
        <v>3085.8777205699994</v>
      </c>
      <c r="R185" s="1974">
        <v>3066.7701548899995</v>
      </c>
      <c r="S185" s="1974">
        <v>2414.9094410199996</v>
      </c>
      <c r="T185" s="1974">
        <v>6118.7927604699998</v>
      </c>
      <c r="U185" s="1975">
        <v>8034.8300033999994</v>
      </c>
    </row>
    <row r="186" spans="1:21" ht="15.6">
      <c r="A186" s="1967" t="s">
        <v>29</v>
      </c>
      <c r="B186" s="1968">
        <v>20599.091444879999</v>
      </c>
      <c r="C186" s="1968">
        <v>7561.1649168699996</v>
      </c>
      <c r="D186" s="1968">
        <v>833.84853344999999</v>
      </c>
      <c r="E186" s="1968">
        <v>1699.05114254</v>
      </c>
      <c r="F186" s="1968">
        <v>1526.1741736200001</v>
      </c>
      <c r="G186" s="1968">
        <v>3502.0910672599998</v>
      </c>
      <c r="H186" s="1968">
        <v>1935.0288678900004</v>
      </c>
      <c r="I186" s="1968">
        <v>118.85226854000001</v>
      </c>
      <c r="J186" s="1968">
        <v>221.09402102000001</v>
      </c>
      <c r="K186" s="1968">
        <v>233.61762527999994</v>
      </c>
      <c r="L186" s="1968">
        <v>1361.4649530500003</v>
      </c>
      <c r="M186" s="1968">
        <v>11102.897660120001</v>
      </c>
      <c r="N186" s="1968">
        <v>2335.0621659400003</v>
      </c>
      <c r="O186" s="1968">
        <v>477.63468647000002</v>
      </c>
      <c r="P186" s="1968">
        <v>5255.53492018</v>
      </c>
      <c r="Q186" s="1968">
        <v>3034.6658875300009</v>
      </c>
      <c r="R186" s="1974">
        <v>3287.7629679300003</v>
      </c>
      <c r="S186" s="1974">
        <v>2397.77985003</v>
      </c>
      <c r="T186" s="1974">
        <v>7015.3267190799997</v>
      </c>
      <c r="U186" s="1975">
        <v>7898.2219078400012</v>
      </c>
    </row>
    <row r="187" spans="1:21" ht="15.6">
      <c r="A187" s="1967" t="s">
        <v>2078</v>
      </c>
      <c r="B187" s="1968"/>
      <c r="C187" s="1968"/>
      <c r="D187" s="1968"/>
      <c r="E187" s="1968"/>
      <c r="F187" s="1968"/>
      <c r="G187" s="1968"/>
      <c r="H187" s="1968"/>
      <c r="I187" s="1968"/>
      <c r="J187" s="1968"/>
      <c r="K187" s="1968"/>
      <c r="L187" s="1968"/>
      <c r="M187" s="1968"/>
      <c r="N187" s="1968"/>
      <c r="O187" s="1968"/>
      <c r="P187" s="1968"/>
      <c r="Q187" s="1968"/>
      <c r="R187" s="1974"/>
      <c r="S187" s="1974"/>
      <c r="T187" s="1974"/>
      <c r="U187" s="1975"/>
    </row>
    <row r="188" spans="1:21" ht="15.6">
      <c r="A188" s="1967" t="s">
        <v>18</v>
      </c>
      <c r="B188" s="1968">
        <v>20861.52014651</v>
      </c>
      <c r="C188" s="1968">
        <v>7497.039985299999</v>
      </c>
      <c r="D188" s="1968">
        <v>741.69174687999987</v>
      </c>
      <c r="E188" s="1968">
        <v>1787.9554567299999</v>
      </c>
      <c r="F188" s="1968">
        <v>1513.9568288600001</v>
      </c>
      <c r="G188" s="1968">
        <v>3453.4359528299997</v>
      </c>
      <c r="H188" s="1968">
        <v>1936.65975925</v>
      </c>
      <c r="I188" s="1968">
        <v>144.86710582000003</v>
      </c>
      <c r="J188" s="1968">
        <v>220.93961589999998</v>
      </c>
      <c r="K188" s="1968">
        <v>247.70177226999994</v>
      </c>
      <c r="L188" s="1968">
        <v>1323.1512652599999</v>
      </c>
      <c r="M188" s="1968">
        <v>11427.82040196</v>
      </c>
      <c r="N188" s="1968">
        <v>2047.5037671600001</v>
      </c>
      <c r="O188" s="1968">
        <v>550.31400491000022</v>
      </c>
      <c r="P188" s="1968">
        <v>5771.4759269099995</v>
      </c>
      <c r="Q188" s="1968">
        <v>3058.5267029799993</v>
      </c>
      <c r="R188" s="1974">
        <v>2934.0626198599998</v>
      </c>
      <c r="S188" s="1974">
        <v>2559.2090775400002</v>
      </c>
      <c r="T188" s="1974">
        <v>7533.1345280400001</v>
      </c>
      <c r="U188" s="1975">
        <v>7835.1139210699994</v>
      </c>
    </row>
    <row r="189" spans="1:21" ht="15.6">
      <c r="A189" s="1967" t="s">
        <v>19</v>
      </c>
      <c r="B189" s="1968">
        <v>20686.631633080004</v>
      </c>
      <c r="C189" s="1968">
        <v>7750.3027705800005</v>
      </c>
      <c r="D189" s="1968">
        <v>993.99246617000017</v>
      </c>
      <c r="E189" s="1968">
        <v>1941.1930086999998</v>
      </c>
      <c r="F189" s="1968">
        <v>1478.1934614500001</v>
      </c>
      <c r="G189" s="1968">
        <v>3336.9238342599997</v>
      </c>
      <c r="H189" s="1968">
        <v>1869.7545668400003</v>
      </c>
      <c r="I189" s="1968">
        <v>147.66554392</v>
      </c>
      <c r="J189" s="1968">
        <v>240.07848050000001</v>
      </c>
      <c r="K189" s="1968">
        <v>221.21629823999999</v>
      </c>
      <c r="L189" s="1968">
        <v>1260.7942441800001</v>
      </c>
      <c r="M189" s="1968">
        <v>11066.574295660002</v>
      </c>
      <c r="N189" s="1968">
        <v>2051.2819356099999</v>
      </c>
      <c r="O189" s="1968">
        <v>455.80533409000014</v>
      </c>
      <c r="P189" s="1968">
        <v>5547.9412745000018</v>
      </c>
      <c r="Q189" s="1968">
        <v>3011.5457514600007</v>
      </c>
      <c r="R189" s="1974">
        <v>3192.9399457</v>
      </c>
      <c r="S189" s="1974">
        <v>2637.07682329</v>
      </c>
      <c r="T189" s="1974">
        <v>7247.351034190001</v>
      </c>
      <c r="U189" s="1975">
        <v>7609.2638299</v>
      </c>
    </row>
    <row r="190" spans="1:21" ht="15.6">
      <c r="A190" s="1967" t="s">
        <v>20</v>
      </c>
      <c r="B190" s="1968">
        <v>20328.670449750007</v>
      </c>
      <c r="C190" s="1968">
        <v>7657.1926146200003</v>
      </c>
      <c r="D190" s="1968">
        <v>777.43081286999995</v>
      </c>
      <c r="E190" s="1968">
        <v>1973.62260571</v>
      </c>
      <c r="F190" s="1968">
        <v>1529.3477414099996</v>
      </c>
      <c r="G190" s="1968">
        <v>3376.7914546299999</v>
      </c>
      <c r="H190" s="1968">
        <v>1668.00005222</v>
      </c>
      <c r="I190" s="1968">
        <v>149.86220959000002</v>
      </c>
      <c r="J190" s="1968">
        <v>256.89918239999997</v>
      </c>
      <c r="K190" s="1968">
        <v>216.26090340999997</v>
      </c>
      <c r="L190" s="1968">
        <v>1044.97775682</v>
      </c>
      <c r="M190" s="1968">
        <v>11003.47778291</v>
      </c>
      <c r="N190" s="1968">
        <v>2473.2953953400001</v>
      </c>
      <c r="O190" s="1968">
        <v>429.91169623000019</v>
      </c>
      <c r="P190" s="1968">
        <v>5094.0225515599996</v>
      </c>
      <c r="Q190" s="1968">
        <v>3006.2481397800002</v>
      </c>
      <c r="R190" s="1974">
        <v>3400.5884178000001</v>
      </c>
      <c r="S190" s="1974">
        <v>2660.4334843400002</v>
      </c>
      <c r="T190" s="1974">
        <v>6839.631196379999</v>
      </c>
      <c r="U190" s="1975">
        <v>7428.0173512299998</v>
      </c>
    </row>
    <row r="191" spans="1:21" ht="15.6">
      <c r="A191" s="1967" t="s">
        <v>21</v>
      </c>
      <c r="B191" s="1968">
        <v>20201.674806179999</v>
      </c>
      <c r="C191" s="1968">
        <v>7881.3586957200005</v>
      </c>
      <c r="D191" s="1968">
        <v>885.43564898999989</v>
      </c>
      <c r="E191" s="1968">
        <v>2002.3976561900001</v>
      </c>
      <c r="F191" s="1968">
        <v>1566.7741541099997</v>
      </c>
      <c r="G191" s="1968">
        <v>3426.7512364299996</v>
      </c>
      <c r="H191" s="1968">
        <v>1759.3374474699999</v>
      </c>
      <c r="I191" s="1968">
        <v>275.18865254999997</v>
      </c>
      <c r="J191" s="1968">
        <v>240.40940207</v>
      </c>
      <c r="K191" s="1968">
        <v>482.56678790000001</v>
      </c>
      <c r="L191" s="1968">
        <v>761.17260495000016</v>
      </c>
      <c r="M191" s="1968">
        <v>10560.978662990001</v>
      </c>
      <c r="N191" s="1968">
        <v>2249.7988475000006</v>
      </c>
      <c r="O191" s="1968">
        <v>335.99090425000003</v>
      </c>
      <c r="P191" s="1968">
        <v>4917.1091422399995</v>
      </c>
      <c r="Q191" s="1968">
        <v>3058.0797690000004</v>
      </c>
      <c r="R191" s="1974">
        <v>3410.4231490400007</v>
      </c>
      <c r="S191" s="1974">
        <v>2578.7979625100002</v>
      </c>
      <c r="T191" s="1974">
        <v>6966.4500842499992</v>
      </c>
      <c r="U191" s="1975">
        <v>7246.0036103800003</v>
      </c>
    </row>
    <row r="192" spans="1:21" ht="15.6">
      <c r="A192" s="1967" t="s">
        <v>22</v>
      </c>
      <c r="B192" s="1968">
        <v>20130.535433860001</v>
      </c>
      <c r="C192" s="1968">
        <v>7867.4841927100006</v>
      </c>
      <c r="D192" s="1968">
        <v>822.95172704000026</v>
      </c>
      <c r="E192" s="1968">
        <v>2096.2093240800004</v>
      </c>
      <c r="F192" s="1968">
        <v>1478.5333535600003</v>
      </c>
      <c r="G192" s="1968">
        <v>3469.7897880300002</v>
      </c>
      <c r="H192" s="1968">
        <v>1730.5247752300002</v>
      </c>
      <c r="I192" s="1968">
        <v>214.6185251</v>
      </c>
      <c r="J192" s="1968">
        <v>250.74407776000001</v>
      </c>
      <c r="K192" s="1968">
        <v>272.07418939000002</v>
      </c>
      <c r="L192" s="1968">
        <v>993.08798298000022</v>
      </c>
      <c r="M192" s="1968">
        <v>10532.52646592</v>
      </c>
      <c r="N192" s="1968">
        <v>2313.3721713599998</v>
      </c>
      <c r="O192" s="1968">
        <v>323.22554389000015</v>
      </c>
      <c r="P192" s="1968">
        <v>4804.0745037299994</v>
      </c>
      <c r="Q192" s="1968">
        <v>3091.8542469399999</v>
      </c>
      <c r="R192" s="1974">
        <v>3350.9424235000001</v>
      </c>
      <c r="S192" s="1974">
        <v>2670.1789457300006</v>
      </c>
      <c r="T192" s="1974">
        <v>6554.68204668</v>
      </c>
      <c r="U192" s="1975">
        <v>7554.7320179500002</v>
      </c>
    </row>
    <row r="193" spans="1:21" ht="15.6">
      <c r="A193" s="1967" t="s">
        <v>23</v>
      </c>
      <c r="B193" s="1968">
        <v>20439.065491319994</v>
      </c>
      <c r="C193" s="1968">
        <v>8109.3167944799998</v>
      </c>
      <c r="D193" s="1968">
        <v>917.95489522000003</v>
      </c>
      <c r="E193" s="1968">
        <v>2130.7924515200002</v>
      </c>
      <c r="F193" s="1968">
        <v>1480.20537528</v>
      </c>
      <c r="G193" s="1968">
        <v>3580.36407246</v>
      </c>
      <c r="H193" s="1968">
        <v>1732.32186559</v>
      </c>
      <c r="I193" s="1968">
        <v>246.55818549</v>
      </c>
      <c r="J193" s="1968">
        <v>252.02310839999998</v>
      </c>
      <c r="K193" s="1968">
        <v>234.79285619000001</v>
      </c>
      <c r="L193" s="1968">
        <v>998.94771551000008</v>
      </c>
      <c r="M193" s="1968">
        <v>10597.426831250001</v>
      </c>
      <c r="N193" s="1968">
        <v>2454.0385224700003</v>
      </c>
      <c r="O193" s="1968">
        <v>302.4660808999995</v>
      </c>
      <c r="P193" s="1968">
        <v>4733.0005721200005</v>
      </c>
      <c r="Q193" s="1968">
        <v>3107.9216557600002</v>
      </c>
      <c r="R193" s="1974">
        <v>3618.5516031800003</v>
      </c>
      <c r="S193" s="1974">
        <v>2685.2816408199997</v>
      </c>
      <c r="T193" s="1974">
        <v>6447.9988035900005</v>
      </c>
      <c r="U193" s="1974">
        <v>7687.2334437300005</v>
      </c>
    </row>
    <row r="194" spans="1:21" ht="15.6">
      <c r="A194" s="1967" t="s">
        <v>24</v>
      </c>
      <c r="B194" s="1968">
        <v>20491.224001660001</v>
      </c>
      <c r="C194" s="1968">
        <v>8049.5306197800001</v>
      </c>
      <c r="D194" s="1968">
        <v>876.91558681000004</v>
      </c>
      <c r="E194" s="1968">
        <v>2157.01236238</v>
      </c>
      <c r="F194" s="1968">
        <v>1476.6492723500003</v>
      </c>
      <c r="G194" s="1968">
        <v>3538.9533982399998</v>
      </c>
      <c r="H194" s="1968">
        <v>1556.07739373</v>
      </c>
      <c r="I194" s="1968">
        <v>110.53313078000004</v>
      </c>
      <c r="J194" s="1968">
        <v>244.86243636999998</v>
      </c>
      <c r="K194" s="1968">
        <v>215.73175524000001</v>
      </c>
      <c r="L194" s="1968">
        <v>984.95007134000002</v>
      </c>
      <c r="M194" s="1968">
        <v>10885.615988149999</v>
      </c>
      <c r="N194" s="1968">
        <v>2772.1853539199997</v>
      </c>
      <c r="O194" s="1968">
        <v>268.68012918999978</v>
      </c>
      <c r="P194" s="1968">
        <v>4788.7361097599996</v>
      </c>
      <c r="Q194" s="1968">
        <v>3056.0143952799999</v>
      </c>
      <c r="R194" s="1974">
        <v>3759.63407151</v>
      </c>
      <c r="S194" s="1974">
        <v>2670.5549279399997</v>
      </c>
      <c r="T194" s="1974">
        <v>6481.1171373500001</v>
      </c>
      <c r="U194" s="1974">
        <v>7579.91786486</v>
      </c>
    </row>
    <row r="195" spans="1:21" ht="15.6">
      <c r="A195" s="1967" t="s">
        <v>25</v>
      </c>
      <c r="B195" s="1968">
        <v>20590.612705210002</v>
      </c>
      <c r="C195" s="1968">
        <v>8020.7721544300011</v>
      </c>
      <c r="D195" s="1968">
        <v>827.40744354000014</v>
      </c>
      <c r="E195" s="1968">
        <v>2139.4209975700001</v>
      </c>
      <c r="F195" s="1968">
        <v>1484.7573798099997</v>
      </c>
      <c r="G195" s="1968">
        <v>3569.1863335100006</v>
      </c>
      <c r="H195" s="1968">
        <v>1581.0102847500002</v>
      </c>
      <c r="I195" s="1968">
        <v>115.71787568000001</v>
      </c>
      <c r="J195" s="1968">
        <v>246.15046806000001</v>
      </c>
      <c r="K195" s="1968">
        <v>230.84662654999997</v>
      </c>
      <c r="L195" s="1968">
        <v>988.2953144600001</v>
      </c>
      <c r="M195" s="1968">
        <v>10988.83026603</v>
      </c>
      <c r="N195" s="1968">
        <v>2865.3715612500005</v>
      </c>
      <c r="O195" s="1968">
        <v>249.92063820999974</v>
      </c>
      <c r="P195" s="1968">
        <v>4705.4700131899999</v>
      </c>
      <c r="Q195" s="1968">
        <v>3168.06805338</v>
      </c>
      <c r="R195" s="1974">
        <v>3808.4968804700006</v>
      </c>
      <c r="S195" s="1974">
        <v>2635.4921038399998</v>
      </c>
      <c r="T195" s="1974">
        <v>6421.0740195500002</v>
      </c>
      <c r="U195" s="1974">
        <v>7725.5497013500008</v>
      </c>
    </row>
    <row r="196" spans="1:21" ht="15.6">
      <c r="A196" s="1967" t="s">
        <v>26</v>
      </c>
      <c r="B196" s="1968">
        <v>21583.579528689999</v>
      </c>
      <c r="C196" s="1968">
        <v>8199.1276429999998</v>
      </c>
      <c r="D196" s="1968">
        <v>976.05798141000002</v>
      </c>
      <c r="E196" s="1968">
        <v>2094.1830284900002</v>
      </c>
      <c r="F196" s="1968">
        <v>1655.8324848999998</v>
      </c>
      <c r="G196" s="1968">
        <v>3473.0541481999999</v>
      </c>
      <c r="H196" s="1968">
        <v>1632.0445377999997</v>
      </c>
      <c r="I196" s="1968">
        <v>120.29472337000001</v>
      </c>
      <c r="J196" s="1968">
        <v>254.26338566000001</v>
      </c>
      <c r="K196" s="1968">
        <v>248.28851724</v>
      </c>
      <c r="L196" s="1968">
        <v>1009.1979115299999</v>
      </c>
      <c r="M196" s="1968">
        <v>11752.407347889999</v>
      </c>
      <c r="N196" s="1968">
        <v>3334.1386971699999</v>
      </c>
      <c r="O196" s="1968">
        <v>260.9148331600004</v>
      </c>
      <c r="P196" s="1968">
        <v>4959.5581386899985</v>
      </c>
      <c r="Q196" s="1968">
        <v>3197.7956788700003</v>
      </c>
      <c r="R196" s="1974">
        <v>4430.4914019500002</v>
      </c>
      <c r="S196" s="1974">
        <v>2609.3612473100006</v>
      </c>
      <c r="T196" s="1974">
        <v>6863.6791408299987</v>
      </c>
      <c r="U196" s="1974">
        <v>7680.0477386000002</v>
      </c>
    </row>
    <row r="197" spans="1:21" ht="15.6">
      <c r="A197" s="1967" t="s">
        <v>27</v>
      </c>
      <c r="B197" s="1968">
        <v>22003.129238079997</v>
      </c>
      <c r="C197" s="1968">
        <v>8140.0415015399994</v>
      </c>
      <c r="D197" s="1968">
        <v>893.81149075000019</v>
      </c>
      <c r="E197" s="1968">
        <v>2074.3308062799997</v>
      </c>
      <c r="F197" s="1968">
        <v>1688.1541165600001</v>
      </c>
      <c r="G197" s="1968">
        <v>3483.7450879500002</v>
      </c>
      <c r="H197" s="1968">
        <v>1591.82904242</v>
      </c>
      <c r="I197" s="1968">
        <v>145.37616427000003</v>
      </c>
      <c r="J197" s="1968">
        <v>255.41448873999997</v>
      </c>
      <c r="K197" s="1968">
        <v>241.97430420999999</v>
      </c>
      <c r="L197" s="1968">
        <v>949.06408519999991</v>
      </c>
      <c r="M197" s="1968">
        <v>12271.258694120001</v>
      </c>
      <c r="N197" s="1968">
        <v>3691.4278198499987</v>
      </c>
      <c r="O197" s="1968">
        <v>293.21622350999979</v>
      </c>
      <c r="P197" s="1968">
        <v>5067.2275998400019</v>
      </c>
      <c r="Q197" s="1968">
        <v>3219.3870509200005</v>
      </c>
      <c r="R197" s="1974">
        <v>4730.6154748699992</v>
      </c>
      <c r="S197" s="1974">
        <v>2622.9615185299995</v>
      </c>
      <c r="T197" s="1974">
        <v>6997.3560206100019</v>
      </c>
      <c r="U197" s="1974">
        <v>7652.1962240700004</v>
      </c>
    </row>
    <row r="198" spans="1:21" ht="15.6">
      <c r="A198" s="1967" t="s">
        <v>28</v>
      </c>
      <c r="B198" s="1968">
        <v>21990.067519420001</v>
      </c>
      <c r="C198" s="1968">
        <v>8073.4974073799995</v>
      </c>
      <c r="D198" s="1968">
        <v>923.0870461799999</v>
      </c>
      <c r="E198" s="1968">
        <v>2099.3108494900002</v>
      </c>
      <c r="F198" s="1968">
        <v>1677.2828869399998</v>
      </c>
      <c r="G198" s="1968">
        <v>3373.8166247699996</v>
      </c>
      <c r="H198" s="1968">
        <v>1546.8912431799999</v>
      </c>
      <c r="I198" s="1968">
        <v>145.86218808000004</v>
      </c>
      <c r="J198" s="1968">
        <v>261.26343091000001</v>
      </c>
      <c r="K198" s="1968">
        <v>229.18376868999999</v>
      </c>
      <c r="L198" s="1968">
        <v>910.58185549999996</v>
      </c>
      <c r="M198" s="1968">
        <v>12369.678868860001</v>
      </c>
      <c r="N198" s="1968">
        <v>3603.5296542700003</v>
      </c>
      <c r="O198" s="1968">
        <v>361.18702701000018</v>
      </c>
      <c r="P198" s="1968">
        <v>5297.4777855400007</v>
      </c>
      <c r="Q198" s="1968">
        <v>3107.4844020399996</v>
      </c>
      <c r="R198" s="1974">
        <v>4672.4788885300004</v>
      </c>
      <c r="S198" s="1974">
        <v>2721.7613074100004</v>
      </c>
      <c r="T198" s="1974">
        <v>7203.9444411700006</v>
      </c>
      <c r="U198" s="1974">
        <v>7391.8828823099993</v>
      </c>
    </row>
    <row r="199" spans="1:21" ht="15.6">
      <c r="A199" s="1967" t="s">
        <v>29</v>
      </c>
      <c r="B199" s="1968">
        <v>21870.407654459999</v>
      </c>
      <c r="C199" s="1968">
        <v>8375.3809737499996</v>
      </c>
      <c r="D199" s="1968">
        <v>1042.0562517200003</v>
      </c>
      <c r="E199" s="1968">
        <v>2100.1668999799999</v>
      </c>
      <c r="F199" s="1968">
        <v>1751.4342278399995</v>
      </c>
      <c r="G199" s="1968">
        <v>3481.7235942099996</v>
      </c>
      <c r="H199" s="1968">
        <v>1547.6521935900003</v>
      </c>
      <c r="I199" s="1968">
        <v>120.43640258000001</v>
      </c>
      <c r="J199" s="1968">
        <v>299.73629445000006</v>
      </c>
      <c r="K199" s="1968">
        <v>254.39862756999997</v>
      </c>
      <c r="L199" s="1968">
        <v>873.08086899000023</v>
      </c>
      <c r="M199" s="1968">
        <v>11947.374487119998</v>
      </c>
      <c r="N199" s="1968">
        <v>3773.0375790300009</v>
      </c>
      <c r="O199" s="1968">
        <v>246.30038732999992</v>
      </c>
      <c r="P199" s="1968">
        <v>5072.423194269998</v>
      </c>
      <c r="Q199" s="1968">
        <v>2855.61332649</v>
      </c>
      <c r="R199" s="1974">
        <v>4935.5302333300015</v>
      </c>
      <c r="S199" s="1974">
        <v>2646.2035817599999</v>
      </c>
      <c r="T199" s="1974">
        <v>7078.2560496799979</v>
      </c>
      <c r="U199" s="1974">
        <v>7210.4177896900001</v>
      </c>
    </row>
    <row r="200" spans="1:21" ht="15.6">
      <c r="A200" s="1967" t="s">
        <v>2171</v>
      </c>
      <c r="B200" s="1968"/>
      <c r="C200" s="1968"/>
      <c r="D200" s="1968"/>
      <c r="E200" s="1968"/>
      <c r="F200" s="1968"/>
      <c r="G200" s="1968"/>
      <c r="H200" s="1968"/>
      <c r="I200" s="1968"/>
      <c r="J200" s="1968"/>
      <c r="K200" s="1968"/>
      <c r="L200" s="1968"/>
      <c r="M200" s="1968"/>
      <c r="N200" s="1968"/>
      <c r="O200" s="1968"/>
      <c r="P200" s="1968"/>
      <c r="Q200" s="1968"/>
      <c r="R200" s="1974"/>
      <c r="S200" s="1974"/>
      <c r="T200" s="1974"/>
      <c r="U200" s="1974"/>
    </row>
    <row r="201" spans="1:21" ht="15.6">
      <c r="A201" s="1967" t="s">
        <v>18</v>
      </c>
      <c r="B201" s="1968">
        <v>21978.147033900004</v>
      </c>
      <c r="C201" s="1968">
        <v>8075.9421830599995</v>
      </c>
      <c r="D201" s="1968">
        <v>902.81743503999996</v>
      </c>
      <c r="E201" s="1968">
        <v>2125.2112483599999</v>
      </c>
      <c r="F201" s="1968">
        <v>1650.8776774099995</v>
      </c>
      <c r="G201" s="1968">
        <v>3397.0358222499999</v>
      </c>
      <c r="H201" s="1968">
        <v>1670.5081310600001</v>
      </c>
      <c r="I201" s="1968">
        <v>128.46202484000003</v>
      </c>
      <c r="J201" s="1968">
        <v>352.06054181999997</v>
      </c>
      <c r="K201" s="1968">
        <v>313.29287337</v>
      </c>
      <c r="L201" s="1968">
        <v>876.69269103000011</v>
      </c>
      <c r="M201" s="1968">
        <v>12231.696719780002</v>
      </c>
      <c r="N201" s="1968">
        <v>3621.4121775499998</v>
      </c>
      <c r="O201" s="1968">
        <v>238.65287355999982</v>
      </c>
      <c r="P201" s="1968">
        <v>5185.3854249700007</v>
      </c>
      <c r="Q201" s="1968">
        <v>3186.2462437000013</v>
      </c>
      <c r="R201" s="1974">
        <v>4652.6916374299999</v>
      </c>
      <c r="S201" s="1974">
        <v>2715.9246637399997</v>
      </c>
      <c r="T201" s="1974">
        <v>7149.5559757500005</v>
      </c>
      <c r="U201" s="1974">
        <v>7459.9747569800011</v>
      </c>
    </row>
    <row r="202" spans="1:21" ht="15.6">
      <c r="A202" s="1967" t="s">
        <v>19</v>
      </c>
      <c r="B202" s="1968">
        <v>22401.551348590001</v>
      </c>
      <c r="C202" s="1968">
        <v>8214.0440353800004</v>
      </c>
      <c r="D202" s="1968">
        <v>1164.92700747</v>
      </c>
      <c r="E202" s="1968">
        <v>2166.5879768999998</v>
      </c>
      <c r="F202" s="1968">
        <v>1696.6585533500001</v>
      </c>
      <c r="G202" s="1968">
        <v>3185.8704976599997</v>
      </c>
      <c r="H202" s="1968">
        <v>1534.2443533200001</v>
      </c>
      <c r="I202" s="1968">
        <v>136.92783763000003</v>
      </c>
      <c r="J202" s="1968">
        <v>374.74579917999995</v>
      </c>
      <c r="K202" s="1968">
        <v>221.06890501000001</v>
      </c>
      <c r="L202" s="1968">
        <v>801.50181149999992</v>
      </c>
      <c r="M202" s="1968">
        <v>12653.262959890002</v>
      </c>
      <c r="N202" s="1968">
        <v>3751.9914505499992</v>
      </c>
      <c r="O202" s="1968">
        <v>235.38169299000015</v>
      </c>
      <c r="P202" s="1968">
        <v>5506.9495701900014</v>
      </c>
      <c r="Q202" s="1968">
        <v>3158.9402461600002</v>
      </c>
      <c r="R202" s="1974">
        <v>5053.8462956499989</v>
      </c>
      <c r="S202" s="1974">
        <v>2776.7154690699999</v>
      </c>
      <c r="T202" s="1974">
        <v>7424.6770285500015</v>
      </c>
      <c r="U202" s="1974">
        <v>7146.3125553199998</v>
      </c>
    </row>
    <row r="203" spans="1:21" ht="15.6">
      <c r="A203" s="1967" t="s">
        <v>20</v>
      </c>
      <c r="B203" s="1968">
        <v>22124.25300665</v>
      </c>
      <c r="C203" s="1968">
        <v>8339.0993364300011</v>
      </c>
      <c r="D203" s="1968">
        <v>991.50181295999994</v>
      </c>
      <c r="E203" s="1968">
        <v>2305.8890213599993</v>
      </c>
      <c r="F203" s="1968">
        <v>1859.2526174000002</v>
      </c>
      <c r="G203" s="1968">
        <v>3182.4558847100006</v>
      </c>
      <c r="H203" s="1968">
        <v>1712.9676124799998</v>
      </c>
      <c r="I203" s="1968">
        <v>134.77568668000004</v>
      </c>
      <c r="J203" s="1968">
        <v>359.84731195000001</v>
      </c>
      <c r="K203" s="1968">
        <v>425.28097584999995</v>
      </c>
      <c r="L203" s="1968">
        <v>793.06363799999986</v>
      </c>
      <c r="M203" s="1968">
        <v>12072.186057740004</v>
      </c>
      <c r="N203" s="1968">
        <v>3469.227153020001</v>
      </c>
      <c r="O203" s="1968">
        <v>243.8766310800001</v>
      </c>
      <c r="P203" s="1968">
        <v>5209.6765786200021</v>
      </c>
      <c r="Q203" s="1968">
        <v>3149.4056950200002</v>
      </c>
      <c r="R203" s="1974">
        <v>4595.5046526600008</v>
      </c>
      <c r="S203" s="1974">
        <v>2909.6129643899994</v>
      </c>
      <c r="T203" s="1974">
        <v>7494.2101718700023</v>
      </c>
      <c r="U203" s="1974">
        <v>7124.9252177300004</v>
      </c>
    </row>
    <row r="204" spans="1:21" ht="15.6">
      <c r="A204" s="1967" t="s">
        <v>21</v>
      </c>
      <c r="B204" s="1968">
        <v>22132.041015399995</v>
      </c>
      <c r="C204" s="1968">
        <v>8714.9740302499995</v>
      </c>
      <c r="D204" s="1968">
        <v>1292.2645679399998</v>
      </c>
      <c r="E204" s="1968">
        <v>2328.7708591099995</v>
      </c>
      <c r="F204" s="1968">
        <v>1923.67850082</v>
      </c>
      <c r="G204" s="1968">
        <v>3170.2601023799998</v>
      </c>
      <c r="H204" s="1968">
        <v>1618.4195748999998</v>
      </c>
      <c r="I204" s="1968">
        <v>186.56348684000002</v>
      </c>
      <c r="J204" s="1968">
        <v>377.43569365999997</v>
      </c>
      <c r="K204" s="1968">
        <v>306.23757552999996</v>
      </c>
      <c r="L204" s="1968">
        <v>748.18281887000001</v>
      </c>
      <c r="M204" s="1968">
        <v>11798.64741025</v>
      </c>
      <c r="N204" s="1968">
        <v>3460.9888329799992</v>
      </c>
      <c r="O204" s="1968">
        <v>271.99102768000034</v>
      </c>
      <c r="P204" s="1968">
        <v>4950.1494897800003</v>
      </c>
      <c r="Q204" s="1968">
        <v>3115.5180598099996</v>
      </c>
      <c r="R204" s="1974">
        <v>4939.8168877599992</v>
      </c>
      <c r="S204" s="1974">
        <v>2978.1975804499998</v>
      </c>
      <c r="T204" s="1974">
        <v>7180.0655661300007</v>
      </c>
      <c r="U204" s="1974">
        <v>7033.9609810599995</v>
      </c>
    </row>
    <row r="205" spans="1:21" ht="15.6">
      <c r="A205" s="1967" t="s">
        <v>22</v>
      </c>
      <c r="B205" s="1968">
        <v>21982.192593719999</v>
      </c>
      <c r="C205" s="1968">
        <v>8622.9238094700013</v>
      </c>
      <c r="D205" s="1968">
        <v>1364.93147576</v>
      </c>
      <c r="E205" s="1968">
        <v>2307.5576692700001</v>
      </c>
      <c r="F205" s="1968">
        <v>1848.7420827800001</v>
      </c>
      <c r="G205" s="1968">
        <v>3101.6925816600001</v>
      </c>
      <c r="H205" s="1968">
        <v>1618.6819249300002</v>
      </c>
      <c r="I205" s="1968">
        <v>248.79491315000001</v>
      </c>
      <c r="J205" s="1968">
        <v>364.61199192000004</v>
      </c>
      <c r="K205" s="1968">
        <v>436.78800480999996</v>
      </c>
      <c r="L205" s="1968">
        <v>568.48701505000008</v>
      </c>
      <c r="M205" s="1968">
        <v>11740.586859320001</v>
      </c>
      <c r="N205" s="1968">
        <v>3536.5904506299999</v>
      </c>
      <c r="O205" s="1968">
        <v>254.58621842999992</v>
      </c>
      <c r="P205" s="1968">
        <v>4499.0295486300001</v>
      </c>
      <c r="Q205" s="1968">
        <v>3450.3806416300008</v>
      </c>
      <c r="R205" s="1974">
        <v>5150.3168395399998</v>
      </c>
      <c r="S205" s="1974">
        <v>2926.7558796200001</v>
      </c>
      <c r="T205" s="1974">
        <v>6784.5596362199994</v>
      </c>
      <c r="U205" s="1974">
        <v>7120.560238340001</v>
      </c>
    </row>
    <row r="206" spans="1:21" ht="15.6">
      <c r="A206" s="1967" t="s">
        <v>23</v>
      </c>
      <c r="B206" s="1968">
        <v>22128.01744766</v>
      </c>
      <c r="C206" s="1968">
        <v>8736.2501463300014</v>
      </c>
      <c r="D206" s="1968">
        <v>1490.1192988600001</v>
      </c>
      <c r="E206" s="1968">
        <v>2310.8791879800001</v>
      </c>
      <c r="F206" s="1968">
        <v>1880.58518542</v>
      </c>
      <c r="G206" s="1968">
        <v>3054.6664740700003</v>
      </c>
      <c r="H206" s="1968">
        <v>1606.4333407899999</v>
      </c>
      <c r="I206" s="1968">
        <v>218.63070220000003</v>
      </c>
      <c r="J206" s="1968">
        <v>353.05318718999996</v>
      </c>
      <c r="K206" s="1968">
        <v>289.60498548999999</v>
      </c>
      <c r="L206" s="1968">
        <v>745.14446590999978</v>
      </c>
      <c r="M206" s="1968">
        <v>11785.333960540001</v>
      </c>
      <c r="N206" s="1968">
        <v>3552.225120300001</v>
      </c>
      <c r="O206" s="1968">
        <v>290.71144079999959</v>
      </c>
      <c r="P206" s="1968">
        <v>4282.1283450500005</v>
      </c>
      <c r="Q206" s="1968">
        <v>3660.2690543900007</v>
      </c>
      <c r="R206" s="1974">
        <v>5260.9751213600011</v>
      </c>
      <c r="S206" s="1974">
        <v>2954.6438159699997</v>
      </c>
      <c r="T206" s="1974">
        <v>6452.3185159600007</v>
      </c>
      <c r="U206" s="1974">
        <v>7460.0799943700003</v>
      </c>
    </row>
    <row r="207" spans="1:21" ht="15.6">
      <c r="A207" s="1967" t="s">
        <v>24</v>
      </c>
      <c r="B207" s="1968">
        <v>22383.870138889997</v>
      </c>
      <c r="C207" s="1968">
        <v>8580.0406136500005</v>
      </c>
      <c r="D207" s="1968">
        <v>1373.56801133</v>
      </c>
      <c r="E207" s="1968">
        <v>2371.1013260300001</v>
      </c>
      <c r="F207" s="1968">
        <v>1821.4772125100001</v>
      </c>
      <c r="G207" s="1968">
        <v>3013.8940637800001</v>
      </c>
      <c r="H207" s="1968">
        <v>1601.1523181299999</v>
      </c>
      <c r="I207" s="1968">
        <v>172.32812251999999</v>
      </c>
      <c r="J207" s="1968">
        <v>369.09763309999994</v>
      </c>
      <c r="K207" s="1968">
        <v>257.51666296999997</v>
      </c>
      <c r="L207" s="1968">
        <v>802.20989954000004</v>
      </c>
      <c r="M207" s="1968">
        <v>12202.677207109999</v>
      </c>
      <c r="N207" s="1968">
        <v>3852.5205400499995</v>
      </c>
      <c r="O207" s="1968">
        <v>294.26403768999967</v>
      </c>
      <c r="P207" s="1968">
        <v>4154.0741544599996</v>
      </c>
      <c r="Q207" s="1968">
        <v>3901.818474910001</v>
      </c>
      <c r="R207" s="1974">
        <v>5398.4166738999993</v>
      </c>
      <c r="S207" s="1974">
        <v>3034.4629968199997</v>
      </c>
      <c r="T207" s="1974">
        <v>6233.0680299399992</v>
      </c>
      <c r="U207" s="1974">
        <v>7717.9224382300008</v>
      </c>
    </row>
    <row r="208" spans="1:21" ht="15.6">
      <c r="A208" s="1967" t="s">
        <v>25</v>
      </c>
      <c r="B208" s="1968">
        <v>22447.264083229999</v>
      </c>
      <c r="C208" s="1968">
        <v>8561.8422749700003</v>
      </c>
      <c r="D208" s="1968">
        <v>1340.0595577399997</v>
      </c>
      <c r="E208" s="1968">
        <v>2425.5099294099996</v>
      </c>
      <c r="F208" s="1968">
        <v>1758.04778786</v>
      </c>
      <c r="G208" s="1968">
        <v>3038.2249999600003</v>
      </c>
      <c r="H208" s="1968">
        <v>1657.7456359899998</v>
      </c>
      <c r="I208" s="1968">
        <v>166.40470959000001</v>
      </c>
      <c r="J208" s="1968">
        <v>370.50685606000002</v>
      </c>
      <c r="K208" s="1968">
        <v>287.36756570000006</v>
      </c>
      <c r="L208" s="1968">
        <v>833.46650463999981</v>
      </c>
      <c r="M208" s="1968">
        <f>SUM(N208:Q208)</f>
        <v>12227.676172269999</v>
      </c>
      <c r="N208" s="1968">
        <f t="shared" ref="N208:Q211" si="31">(R208-D208-I208)</f>
        <v>3712.0350740399995</v>
      </c>
      <c r="O208" s="1968">
        <f t="shared" si="31"/>
        <v>301.59347354000033</v>
      </c>
      <c r="P208" s="1968">
        <f t="shared" si="31"/>
        <v>4279.8799560799998</v>
      </c>
      <c r="Q208" s="1968">
        <f t="shared" si="31"/>
        <v>3934.1676686100009</v>
      </c>
      <c r="R208" s="1955">
        <v>5218.4993413699995</v>
      </c>
      <c r="S208" s="1955">
        <v>3097.6102590099999</v>
      </c>
      <c r="T208" s="1955">
        <v>6325.2953096399997</v>
      </c>
      <c r="U208" s="1955">
        <v>7805.8591732100003</v>
      </c>
    </row>
    <row r="209" spans="1:21" ht="15.6">
      <c r="A209" s="1967" t="s">
        <v>26</v>
      </c>
      <c r="B209" s="1968">
        <v>23437.240016809999</v>
      </c>
      <c r="C209" s="1968">
        <v>8605.3062544799996</v>
      </c>
      <c r="D209" s="1968">
        <v>1362.02321368</v>
      </c>
      <c r="E209" s="1968">
        <v>2448.1825514699995</v>
      </c>
      <c r="F209" s="1968">
        <v>1750.5513910699999</v>
      </c>
      <c r="G209" s="1968">
        <v>3044.5490982600004</v>
      </c>
      <c r="H209" s="1968">
        <v>1684.0702638899998</v>
      </c>
      <c r="I209" s="1968">
        <v>187.71154712999999</v>
      </c>
      <c r="J209" s="1968">
        <v>377.29704256000002</v>
      </c>
      <c r="K209" s="1968">
        <v>281.27990369999998</v>
      </c>
      <c r="L209" s="1968">
        <v>837.78177049999999</v>
      </c>
      <c r="M209" s="1968">
        <f>SUM(N209:Q209)</f>
        <v>13147.863498439998</v>
      </c>
      <c r="N209" s="1968">
        <f t="shared" si="31"/>
        <v>3904.9015920200009</v>
      </c>
      <c r="O209" s="1968">
        <f t="shared" si="31"/>
        <v>262.37005555000007</v>
      </c>
      <c r="P209" s="1968">
        <f t="shared" si="31"/>
        <v>4895.0862366699985</v>
      </c>
      <c r="Q209" s="1968">
        <f t="shared" si="31"/>
        <v>4085.5056142000003</v>
      </c>
      <c r="R209" s="1955">
        <v>5454.6363528300008</v>
      </c>
      <c r="S209" s="1955">
        <v>3087.8496495799996</v>
      </c>
      <c r="T209" s="1955">
        <v>6926.9175314399981</v>
      </c>
      <c r="U209" s="1955">
        <v>7967.8364829600005</v>
      </c>
    </row>
    <row r="210" spans="1:21" ht="15.6">
      <c r="A210" s="1967" t="s">
        <v>27</v>
      </c>
      <c r="B210" s="1968">
        <v>23413.52268233</v>
      </c>
      <c r="C210" s="1968">
        <v>8811.10468674</v>
      </c>
      <c r="D210" s="1968">
        <v>1451.0521270500003</v>
      </c>
      <c r="E210" s="1968">
        <v>2475.6824578100004</v>
      </c>
      <c r="F210" s="1968">
        <v>1825.99104902</v>
      </c>
      <c r="G210" s="1968">
        <v>3058.3790528599998</v>
      </c>
      <c r="H210" s="1968">
        <v>1704.05773329</v>
      </c>
      <c r="I210" s="1968">
        <v>162.89158561000002</v>
      </c>
      <c r="J210" s="1968">
        <v>412.47969509000001</v>
      </c>
      <c r="K210" s="1968">
        <v>277.78935122000001</v>
      </c>
      <c r="L210" s="1968">
        <v>850.89710136999986</v>
      </c>
      <c r="M210" s="1968">
        <f>SUM(N210:Q210)</f>
        <v>12898.360262300001</v>
      </c>
      <c r="N210" s="1968">
        <f t="shared" si="31"/>
        <v>3823.5505593999997</v>
      </c>
      <c r="O210" s="1968">
        <f t="shared" si="31"/>
        <v>250.31645936999979</v>
      </c>
      <c r="P210" s="1968">
        <f t="shared" si="31"/>
        <v>4889.2858862600006</v>
      </c>
      <c r="Q210" s="1968">
        <f t="shared" si="31"/>
        <v>3935.2073572700006</v>
      </c>
      <c r="R210" s="1955">
        <v>5437.4942720600002</v>
      </c>
      <c r="S210" s="1955">
        <v>3138.4786122700002</v>
      </c>
      <c r="T210" s="1955">
        <v>6993.0662865000004</v>
      </c>
      <c r="U210" s="1955">
        <v>7844.4835114999996</v>
      </c>
    </row>
    <row r="211" spans="1:21" ht="15.6">
      <c r="A211" s="1967" t="s">
        <v>28</v>
      </c>
      <c r="B211" s="1968">
        <v>23579.109019219999</v>
      </c>
      <c r="C211" s="1968">
        <v>8681.5184964199998</v>
      </c>
      <c r="D211" s="1968">
        <v>1511.5276151200001</v>
      </c>
      <c r="E211" s="1968">
        <v>2476.8654775800001</v>
      </c>
      <c r="F211" s="1968">
        <v>1597.6966929000002</v>
      </c>
      <c r="G211" s="1968">
        <v>3095.4287108199997</v>
      </c>
      <c r="H211" s="1968">
        <v>1708.3840644699999</v>
      </c>
      <c r="I211" s="1968">
        <v>190.63447908999999</v>
      </c>
      <c r="J211" s="1968">
        <v>399.51643851</v>
      </c>
      <c r="K211" s="1968">
        <v>258.15939763999995</v>
      </c>
      <c r="L211" s="1968">
        <v>860.07374922999998</v>
      </c>
      <c r="M211" s="1968">
        <f>SUM(N211:Q211)</f>
        <v>13189.206458330002</v>
      </c>
      <c r="N211" s="1968">
        <f t="shared" si="31"/>
        <v>3933.8915286700017</v>
      </c>
      <c r="O211" s="1968">
        <f t="shared" si="31"/>
        <v>254.52999749000008</v>
      </c>
      <c r="P211" s="1968">
        <f t="shared" si="31"/>
        <v>4974.4899288100005</v>
      </c>
      <c r="Q211" s="1968">
        <f t="shared" si="31"/>
        <v>4026.2950033599996</v>
      </c>
      <c r="R211" s="1955">
        <v>5636.0536228800011</v>
      </c>
      <c r="S211" s="1955">
        <v>3130.9119135800001</v>
      </c>
      <c r="T211" s="1955">
        <v>6830.3460193500005</v>
      </c>
      <c r="U211" s="1955">
        <v>7981.7974634099992</v>
      </c>
    </row>
    <row r="212" spans="1:21" ht="15.6">
      <c r="A212" s="1967" t="s">
        <v>29</v>
      </c>
      <c r="B212" s="1968">
        <v>24746.031022520001</v>
      </c>
      <c r="C212" s="1968">
        <v>8637.9155303499992</v>
      </c>
      <c r="D212" s="1968">
        <v>1565.5802501900002</v>
      </c>
      <c r="E212" s="1968">
        <v>2567.1526578300004</v>
      </c>
      <c r="F212" s="1968">
        <v>1389.4840974699998</v>
      </c>
      <c r="G212" s="1968">
        <v>3115.6985248599995</v>
      </c>
      <c r="H212" s="1968">
        <v>1726.6562713799999</v>
      </c>
      <c r="I212" s="1968">
        <v>178.65218595999997</v>
      </c>
      <c r="J212" s="1968">
        <v>406.05254871</v>
      </c>
      <c r="K212" s="1968">
        <v>256.23387382999994</v>
      </c>
      <c r="L212" s="1968">
        <v>885.71766288000003</v>
      </c>
      <c r="M212" s="1968">
        <f>SUM(N212:Q212)</f>
        <v>14381.459220790002</v>
      </c>
      <c r="N212" s="1968">
        <f>(R212-D212-I212)</f>
        <v>4695.9048427199996</v>
      </c>
      <c r="O212" s="1968">
        <f>(S212-E212-J212)</f>
        <v>244.25606162999964</v>
      </c>
      <c r="P212" s="1968">
        <f>(T212-F212-K212)</f>
        <v>5437.7147398100014</v>
      </c>
      <c r="Q212" s="1968">
        <f>(U212-G212-L212)</f>
        <v>4003.5835766300006</v>
      </c>
      <c r="R212" s="1955">
        <v>6440.13727887</v>
      </c>
      <c r="S212" s="1955">
        <v>3217.46126817</v>
      </c>
      <c r="T212" s="1955">
        <v>7083.432711110001</v>
      </c>
      <c r="U212" s="1955">
        <v>8004.9997643699999</v>
      </c>
    </row>
    <row r="213" spans="1:21" ht="15.6">
      <c r="A213" s="1967" t="s">
        <v>2407</v>
      </c>
      <c r="B213" s="1968"/>
      <c r="C213" s="1968"/>
      <c r="D213" s="1968"/>
      <c r="E213" s="1968"/>
      <c r="F213" s="1968"/>
      <c r="G213" s="1968"/>
      <c r="H213" s="1968"/>
      <c r="I213" s="1968"/>
      <c r="J213" s="1968"/>
      <c r="K213" s="1968"/>
      <c r="L213" s="1968"/>
      <c r="M213" s="1968"/>
      <c r="N213" s="1968"/>
      <c r="O213" s="1968"/>
      <c r="P213" s="1968"/>
      <c r="Q213" s="1968"/>
      <c r="R213" s="1955"/>
      <c r="S213" s="1955"/>
      <c r="T213" s="1955"/>
      <c r="U213" s="1955"/>
    </row>
    <row r="214" spans="1:21" ht="15.6">
      <c r="A214" s="1967" t="s">
        <v>18</v>
      </c>
      <c r="B214" s="1968">
        <v>24837.149398470006</v>
      </c>
      <c r="C214" s="1968">
        <v>8588.4792337400013</v>
      </c>
      <c r="D214" s="1968">
        <v>1566.0216184400003</v>
      </c>
      <c r="E214" s="1968">
        <v>2633.83396038</v>
      </c>
      <c r="F214" s="1968">
        <v>1362.7845814199998</v>
      </c>
      <c r="G214" s="1968">
        <v>3025.8390735000003</v>
      </c>
      <c r="H214" s="1968">
        <v>1742.9652537599998</v>
      </c>
      <c r="I214" s="1968">
        <v>180.23337121</v>
      </c>
      <c r="J214" s="1968">
        <v>413.12178333999992</v>
      </c>
      <c r="K214" s="1968">
        <v>282.43710074999996</v>
      </c>
      <c r="L214" s="1968">
        <v>867.17299845999992</v>
      </c>
      <c r="M214" s="1968">
        <f>SUM(N214:Q214)</f>
        <v>14505.704910970002</v>
      </c>
      <c r="N214" s="1968">
        <f t="shared" ref="N214:Q215" si="32">(R214-D214-I214)</f>
        <v>4642.3925820800014</v>
      </c>
      <c r="O214" s="1968">
        <f t="shared" si="32"/>
        <v>198.22879315000017</v>
      </c>
      <c r="P214" s="1968">
        <f t="shared" si="32"/>
        <v>5967.4117495699993</v>
      </c>
      <c r="Q214" s="1968">
        <f t="shared" si="32"/>
        <v>3697.6717861700008</v>
      </c>
      <c r="R214" s="1955">
        <v>6388.6475717300018</v>
      </c>
      <c r="S214" s="1955">
        <v>3245.1845368700001</v>
      </c>
      <c r="T214" s="1955">
        <v>7612.6334317399997</v>
      </c>
      <c r="U214" s="1955">
        <v>7590.6838581300008</v>
      </c>
    </row>
    <row r="215" spans="1:21" ht="15.6">
      <c r="A215" s="1967" t="s">
        <v>19</v>
      </c>
      <c r="B215" s="1968">
        <v>24934.571062599996</v>
      </c>
      <c r="C215" s="1968">
        <v>8694.4112436699997</v>
      </c>
      <c r="D215" s="1968">
        <v>1491.2587033799998</v>
      </c>
      <c r="E215" s="1968">
        <v>2631.4777248400001</v>
      </c>
      <c r="F215" s="1968">
        <v>1600.5365522499997</v>
      </c>
      <c r="G215" s="1968">
        <v>2971.1382632</v>
      </c>
      <c r="H215" s="1968">
        <v>2043.1267787799998</v>
      </c>
      <c r="I215" s="1968">
        <v>178.39506011</v>
      </c>
      <c r="J215" s="1968">
        <v>447.80838563999998</v>
      </c>
      <c r="K215" s="1968">
        <v>215.40115444999998</v>
      </c>
      <c r="L215" s="1968">
        <v>1201.5221785799999</v>
      </c>
      <c r="M215" s="1968">
        <f>SUM(N215:Q215)</f>
        <v>14197.03304015</v>
      </c>
      <c r="N215" s="1968">
        <f t="shared" si="32"/>
        <v>4845.2766693200001</v>
      </c>
      <c r="O215" s="1968">
        <f t="shared" si="32"/>
        <v>218.05054255999983</v>
      </c>
      <c r="P215" s="1968">
        <f t="shared" si="32"/>
        <v>5456.9155036600005</v>
      </c>
      <c r="Q215" s="1968">
        <f t="shared" si="32"/>
        <v>3676.79032461</v>
      </c>
      <c r="R215" s="1955">
        <v>6514.9304328099997</v>
      </c>
      <c r="S215" s="1955">
        <v>3297.3366530399999</v>
      </c>
      <c r="T215" s="1955">
        <v>7272.85321036</v>
      </c>
      <c r="U215" s="1955">
        <v>7849.4507663900004</v>
      </c>
    </row>
    <row r="216" spans="1:21" ht="15.6">
      <c r="A216" s="1967" t="s">
        <v>20</v>
      </c>
      <c r="B216" s="1968">
        <v>24085.053561459998</v>
      </c>
      <c r="C216" s="1968">
        <v>8251.70134512</v>
      </c>
      <c r="D216" s="1968">
        <v>1334.2123969199999</v>
      </c>
      <c r="E216" s="1968">
        <v>2367.5078618699995</v>
      </c>
      <c r="F216" s="1968">
        <v>1482.0835882999997</v>
      </c>
      <c r="G216" s="1968">
        <v>3067.89749803</v>
      </c>
      <c r="H216" s="1968">
        <v>2385.4006871199999</v>
      </c>
      <c r="I216" s="1968">
        <v>204.08022514000001</v>
      </c>
      <c r="J216" s="1968">
        <v>523.61211123999988</v>
      </c>
      <c r="K216" s="1968">
        <v>354.24260644999998</v>
      </c>
      <c r="L216" s="1968">
        <v>1303.46574429</v>
      </c>
      <c r="M216" s="1968">
        <f>SUM(N216:Q216)</f>
        <v>13447.951529219998</v>
      </c>
      <c r="N216" s="1968">
        <f>(R216-D216-I216)</f>
        <v>4389.1137679499998</v>
      </c>
      <c r="O216" s="1968">
        <f>(S216-E216-J216)</f>
        <v>239.42987890999962</v>
      </c>
      <c r="P216" s="1968">
        <f>(T216-F216-K216)</f>
        <v>5316.1552577499997</v>
      </c>
      <c r="Q216" s="1968">
        <f>(U216-G216-L216)</f>
        <v>3503.2526246099997</v>
      </c>
      <c r="R216" s="1955">
        <v>5927.40639001</v>
      </c>
      <c r="S216" s="1955">
        <v>3130.549852019999</v>
      </c>
      <c r="T216" s="1955">
        <v>7152.4814524999992</v>
      </c>
      <c r="U216" s="1955">
        <v>7874.6158669299994</v>
      </c>
    </row>
    <row r="217" spans="1:21" ht="15.6">
      <c r="A217" s="1967" t="s">
        <v>21</v>
      </c>
      <c r="B217" s="1968">
        <v>23380.799999999999</v>
      </c>
      <c r="C217" s="1968">
        <v>7758</v>
      </c>
      <c r="D217" s="1968">
        <v>1413.1998564199998</v>
      </c>
      <c r="E217" s="1968">
        <v>2067.8348112000003</v>
      </c>
      <c r="F217" s="1968">
        <v>1428.5605750500008</v>
      </c>
      <c r="G217" s="1968">
        <v>2848.4204015999999</v>
      </c>
      <c r="H217" s="1968">
        <v>2378.1968876999999</v>
      </c>
      <c r="I217" s="1968">
        <v>251.68506847000003</v>
      </c>
      <c r="J217" s="1968">
        <v>545.89909015000001</v>
      </c>
      <c r="K217" s="1968">
        <v>241.65108003999998</v>
      </c>
      <c r="L217" s="1968">
        <v>1338.9616490399999</v>
      </c>
      <c r="M217" s="1968">
        <v>13244.609966149997</v>
      </c>
      <c r="N217" s="1968">
        <v>4367.1565507099986</v>
      </c>
      <c r="O217" s="1968">
        <v>307.27753867000013</v>
      </c>
      <c r="P217" s="1968">
        <v>5112.9664724699978</v>
      </c>
      <c r="Q217" s="1968">
        <v>3457.2094043000002</v>
      </c>
      <c r="R217" s="1955">
        <v>6032.0414755999991</v>
      </c>
      <c r="S217" s="1955">
        <v>2921.0114400200005</v>
      </c>
      <c r="T217" s="1955">
        <v>6783.1781275599988</v>
      </c>
      <c r="U217" s="1955">
        <v>7644.5914549400004</v>
      </c>
    </row>
    <row r="218" spans="1:21" ht="15.6">
      <c r="A218" s="1967" t="s">
        <v>22</v>
      </c>
      <c r="B218" s="1968">
        <v>23357.3</v>
      </c>
      <c r="C218" s="1968">
        <v>7661.3</v>
      </c>
      <c r="D218" s="1968">
        <v>1618.6165247600002</v>
      </c>
      <c r="E218" s="1968">
        <v>1909.7580736800003</v>
      </c>
      <c r="F218" s="1968">
        <v>1348.4657959399999</v>
      </c>
      <c r="G218" s="1968">
        <v>2784.4923473200001</v>
      </c>
      <c r="H218" s="1968">
        <v>2371.0861739899997</v>
      </c>
      <c r="I218" s="1968">
        <v>263.08769016999992</v>
      </c>
      <c r="J218" s="1968">
        <v>541.02117511999995</v>
      </c>
      <c r="K218" s="1968">
        <v>249.14574100999999</v>
      </c>
      <c r="L218" s="1968">
        <v>1317.8315676899999</v>
      </c>
      <c r="M218" s="1968">
        <f t="shared" ref="M218:M223" si="33">SUM(N218:Q218)</f>
        <v>13324.85167448</v>
      </c>
      <c r="N218" s="1968">
        <f t="shared" ref="N218:Q225" si="34">(R218-D218-I218)</f>
        <v>4499.3118713200001</v>
      </c>
      <c r="O218" s="1968">
        <f t="shared" si="34"/>
        <v>297.45381062000001</v>
      </c>
      <c r="P218" s="1968">
        <f t="shared" si="34"/>
        <v>5164.6317747500007</v>
      </c>
      <c r="Q218" s="1968">
        <f t="shared" si="34"/>
        <v>3363.4542177900003</v>
      </c>
      <c r="R218" s="1955">
        <v>6381.0160862500006</v>
      </c>
      <c r="S218" s="1955">
        <v>2748.2330594200002</v>
      </c>
      <c r="T218" s="1955">
        <v>6762.243311700001</v>
      </c>
      <c r="U218" s="1955">
        <v>7465.7781328000001</v>
      </c>
    </row>
    <row r="219" spans="1:21" ht="15.6">
      <c r="A219" s="1967" t="s">
        <v>23</v>
      </c>
      <c r="B219" s="1968">
        <v>22565.53825976</v>
      </c>
      <c r="C219" s="1968">
        <v>7706.4012706499998</v>
      </c>
      <c r="D219" s="1968">
        <v>1623.92083897</v>
      </c>
      <c r="E219" s="1968">
        <v>1921.0492660000002</v>
      </c>
      <c r="F219" s="1968">
        <v>1394.2786115999997</v>
      </c>
      <c r="G219" s="1968">
        <v>2767.1525540799998</v>
      </c>
      <c r="H219" s="1968">
        <v>2093.5129920899999</v>
      </c>
      <c r="I219" s="1968">
        <v>173.62370498999999</v>
      </c>
      <c r="J219" s="1968">
        <v>467.86233097999997</v>
      </c>
      <c r="K219" s="1968">
        <v>302.79945858999992</v>
      </c>
      <c r="L219" s="1968">
        <v>1149.2274975300002</v>
      </c>
      <c r="M219" s="1968">
        <f t="shared" si="33"/>
        <v>12765.623997019999</v>
      </c>
      <c r="N219" s="1968">
        <f t="shared" si="34"/>
        <v>4440.6565504799992</v>
      </c>
      <c r="O219" s="1968">
        <f t="shared" si="34"/>
        <v>303.09027243999964</v>
      </c>
      <c r="P219" s="1968">
        <f t="shared" si="34"/>
        <v>4447.1427713200001</v>
      </c>
      <c r="Q219" s="1968">
        <f t="shared" si="34"/>
        <v>3574.7344027800013</v>
      </c>
      <c r="R219" s="1955">
        <v>6238.201094439999</v>
      </c>
      <c r="S219" s="1955">
        <v>2692.0018694199998</v>
      </c>
      <c r="T219" s="1955">
        <v>6144.2208415099994</v>
      </c>
      <c r="U219" s="1955">
        <v>7491.1144543900009</v>
      </c>
    </row>
    <row r="220" spans="1:21" ht="15.6">
      <c r="A220" s="1967" t="s">
        <v>24</v>
      </c>
      <c r="B220" s="1968">
        <v>22532.111036330003</v>
      </c>
      <c r="C220" s="1968">
        <v>7774.2386770499998</v>
      </c>
      <c r="D220" s="1968">
        <v>1650.7743836099996</v>
      </c>
      <c r="E220" s="1968">
        <v>2034.1723085500003</v>
      </c>
      <c r="F220" s="1968">
        <v>1407.6650322200001</v>
      </c>
      <c r="G220" s="1968">
        <v>2681.6269526700007</v>
      </c>
      <c r="H220" s="1968">
        <v>2077.6020416199999</v>
      </c>
      <c r="I220" s="1968">
        <v>167.65652552000003</v>
      </c>
      <c r="J220" s="1968">
        <v>492.08141911000001</v>
      </c>
      <c r="K220" s="1968">
        <v>276.04374776000003</v>
      </c>
      <c r="L220" s="1968">
        <v>1141.8203492299999</v>
      </c>
      <c r="M220" s="1968">
        <f t="shared" si="33"/>
        <v>12680.270317660001</v>
      </c>
      <c r="N220" s="1968">
        <f t="shared" si="34"/>
        <v>4569.1851176199998</v>
      </c>
      <c r="O220" s="1968">
        <f t="shared" si="34"/>
        <v>313.43305408999987</v>
      </c>
      <c r="P220" s="1968">
        <f t="shared" si="34"/>
        <v>4195.7731219599991</v>
      </c>
      <c r="Q220" s="1968">
        <f t="shared" si="34"/>
        <v>3601.87902399</v>
      </c>
      <c r="R220" s="1955">
        <v>6387.6160267499999</v>
      </c>
      <c r="S220" s="1955">
        <v>2839.6867817500001</v>
      </c>
      <c r="T220" s="1955">
        <v>5879.4819019399993</v>
      </c>
      <c r="U220" s="1955">
        <v>7425.3263258900006</v>
      </c>
    </row>
    <row r="221" spans="1:21" ht="15.6">
      <c r="A221" s="1967" t="s">
        <v>25</v>
      </c>
      <c r="B221" s="1968">
        <v>22727.782969659995</v>
      </c>
      <c r="C221" s="1968">
        <v>7874.4012779299992</v>
      </c>
      <c r="D221" s="1968">
        <v>1484.1951500500002</v>
      </c>
      <c r="E221" s="1968">
        <v>2094.8969761400003</v>
      </c>
      <c r="F221" s="1968">
        <v>1418.0844527300001</v>
      </c>
      <c r="G221" s="1968">
        <v>2877.2246990099998</v>
      </c>
      <c r="H221" s="1968">
        <v>2069.7306534099998</v>
      </c>
      <c r="I221" s="1968">
        <v>181.77602065000005</v>
      </c>
      <c r="J221" s="1968">
        <v>489.78407417000005</v>
      </c>
      <c r="K221" s="1968">
        <v>267.44785384999994</v>
      </c>
      <c r="L221" s="1968">
        <v>1130.7227047399999</v>
      </c>
      <c r="M221" s="1968">
        <f t="shared" si="33"/>
        <v>12783.651038319997</v>
      </c>
      <c r="N221" s="1968">
        <f t="shared" si="34"/>
        <v>4694.1993501499992</v>
      </c>
      <c r="O221" s="1968">
        <f t="shared" si="34"/>
        <v>306.87903113000004</v>
      </c>
      <c r="P221" s="1968">
        <f t="shared" si="34"/>
        <v>4562.4668342799987</v>
      </c>
      <c r="Q221" s="1968">
        <f t="shared" si="34"/>
        <v>3220.1058227599997</v>
      </c>
      <c r="R221" s="1955">
        <v>6360.1705208499989</v>
      </c>
      <c r="S221" s="1955">
        <v>2891.5600814400004</v>
      </c>
      <c r="T221" s="1955">
        <v>6247.9991408599981</v>
      </c>
      <c r="U221" s="1955">
        <v>7228.0532265100001</v>
      </c>
    </row>
    <row r="222" spans="1:21" ht="15.6">
      <c r="A222" s="1967" t="s">
        <v>26</v>
      </c>
      <c r="B222" s="1968">
        <v>22495.099938109997</v>
      </c>
      <c r="C222" s="1968">
        <v>7834.2450796999992</v>
      </c>
      <c r="D222" s="1968">
        <v>1513.2117639699998</v>
      </c>
      <c r="E222" s="1968">
        <v>2100.3842460800006</v>
      </c>
      <c r="F222" s="1968">
        <v>1409.1409778399993</v>
      </c>
      <c r="G222" s="1968">
        <v>2811.5080918099993</v>
      </c>
      <c r="H222" s="1968">
        <v>2018.9646001699998</v>
      </c>
      <c r="I222" s="1968">
        <v>171.55641302000001</v>
      </c>
      <c r="J222" s="1968">
        <v>478.55947757000001</v>
      </c>
      <c r="K222" s="1968">
        <v>267.86880594000002</v>
      </c>
      <c r="L222" s="1968">
        <v>1100.9799036399995</v>
      </c>
      <c r="M222" s="1968">
        <f t="shared" si="33"/>
        <v>12641.890258239999</v>
      </c>
      <c r="N222" s="1968">
        <f t="shared" si="34"/>
        <v>4872.3436810299982</v>
      </c>
      <c r="O222" s="1968">
        <f t="shared" si="34"/>
        <v>408.87466673999972</v>
      </c>
      <c r="P222" s="1968">
        <f t="shared" si="34"/>
        <v>4521.7889154200002</v>
      </c>
      <c r="Q222" s="1968">
        <f t="shared" si="34"/>
        <v>2838.8829950500008</v>
      </c>
      <c r="R222" s="1955">
        <v>6557.1118580199982</v>
      </c>
      <c r="S222" s="1955">
        <v>2987.8183903900003</v>
      </c>
      <c r="T222" s="1955">
        <v>6198.7986991999996</v>
      </c>
      <c r="U222" s="1955">
        <v>6751.3709904999996</v>
      </c>
    </row>
    <row r="223" spans="1:21" ht="15.6">
      <c r="A223" s="1967" t="s">
        <v>27</v>
      </c>
      <c r="B223" s="1968">
        <v>22442.057939730003</v>
      </c>
      <c r="C223" s="1968">
        <v>7870.3010247400007</v>
      </c>
      <c r="D223" s="1968">
        <v>1591.7539182199998</v>
      </c>
      <c r="E223" s="1968">
        <v>2105.2315232300002</v>
      </c>
      <c r="F223" s="1968">
        <v>1385.9028486700001</v>
      </c>
      <c r="G223" s="1968">
        <v>2787.4127346200003</v>
      </c>
      <c r="H223" s="1968">
        <v>1961.4281670099999</v>
      </c>
      <c r="I223" s="1968">
        <v>177.26972181000005</v>
      </c>
      <c r="J223" s="1968">
        <v>463.42215447999985</v>
      </c>
      <c r="K223" s="1968">
        <v>284.86174020000004</v>
      </c>
      <c r="L223" s="1968">
        <v>1035.87455052</v>
      </c>
      <c r="M223" s="1968">
        <f t="shared" si="33"/>
        <v>12610.328747980002</v>
      </c>
      <c r="N223" s="1968">
        <f t="shared" si="34"/>
        <v>4899.9974246400016</v>
      </c>
      <c r="O223" s="1968">
        <f t="shared" si="34"/>
        <v>329.92923165999986</v>
      </c>
      <c r="P223" s="1968">
        <f t="shared" si="34"/>
        <v>4451.2827370200012</v>
      </c>
      <c r="Q223" s="1968">
        <f t="shared" si="34"/>
        <v>2929.1193546600011</v>
      </c>
      <c r="R223" s="1955">
        <v>6669.0210646700016</v>
      </c>
      <c r="S223" s="1955">
        <v>2898.5829093699999</v>
      </c>
      <c r="T223" s="1955">
        <v>6122.047325890001</v>
      </c>
      <c r="U223" s="1955">
        <v>6752.4066398000014</v>
      </c>
    </row>
    <row r="224" spans="1:21" ht="15.6">
      <c r="A224" s="1967" t="s">
        <v>28</v>
      </c>
      <c r="B224" s="1968">
        <v>22305.824423959999</v>
      </c>
      <c r="C224" s="1968">
        <v>7908.2428459499988</v>
      </c>
      <c r="D224" s="1968">
        <v>1659.51513707</v>
      </c>
      <c r="E224" s="1968">
        <v>2082.6452251699998</v>
      </c>
      <c r="F224" s="1968">
        <v>1471.61589534</v>
      </c>
      <c r="G224" s="1968">
        <v>2694.46658837</v>
      </c>
      <c r="H224" s="1968">
        <v>1929.5450084999998</v>
      </c>
      <c r="I224" s="1968">
        <v>195.30145947999998</v>
      </c>
      <c r="J224" s="1968">
        <v>444.78141563999998</v>
      </c>
      <c r="K224" s="1968">
        <v>253.04759254999999</v>
      </c>
      <c r="L224" s="1968">
        <v>1036.4145408299999</v>
      </c>
      <c r="M224" s="1968">
        <f t="shared" ref="M224:M225" si="35">SUM(N224:Q224)</f>
        <v>12468.036569510001</v>
      </c>
      <c r="N224" s="1968">
        <f>(R224-D224-I224)</f>
        <v>4449.6192283999999</v>
      </c>
      <c r="O224" s="1968">
        <f t="shared" si="34"/>
        <v>474.22103619000018</v>
      </c>
      <c r="P224" s="1968">
        <f t="shared" si="34"/>
        <v>4609.7091796500008</v>
      </c>
      <c r="Q224" s="1968">
        <f t="shared" si="34"/>
        <v>2934.4871252699995</v>
      </c>
      <c r="R224" s="1955">
        <v>6304.4358249499992</v>
      </c>
      <c r="S224" s="1955">
        <v>3001.6476769999999</v>
      </c>
      <c r="T224" s="1955">
        <v>6334.3726675400012</v>
      </c>
      <c r="U224" s="1955">
        <v>6665.3682544699996</v>
      </c>
    </row>
    <row r="225" spans="1:21" ht="15.6">
      <c r="A225" s="1967" t="s">
        <v>29</v>
      </c>
      <c r="B225" s="1968">
        <v>23666.868830550004</v>
      </c>
      <c r="C225" s="1968">
        <v>8177.886792190001</v>
      </c>
      <c r="D225" s="1968">
        <v>1886.8482784300006</v>
      </c>
      <c r="E225" s="1968">
        <v>2140.2652058600002</v>
      </c>
      <c r="F225" s="1968">
        <v>1487.5553838999999</v>
      </c>
      <c r="G225" s="1968">
        <v>2663.217924</v>
      </c>
      <c r="H225" s="1968">
        <v>1885.0894329500002</v>
      </c>
      <c r="I225" s="1968">
        <v>189.10785044000002</v>
      </c>
      <c r="J225" s="1968">
        <v>414.03409943000003</v>
      </c>
      <c r="K225" s="1968">
        <v>315.26521802999997</v>
      </c>
      <c r="L225" s="1968">
        <v>966.68226504999996</v>
      </c>
      <c r="M225" s="1968">
        <f t="shared" si="35"/>
        <v>13603.892605410003</v>
      </c>
      <c r="N225" s="1968">
        <f t="shared" ref="N225" si="36">(R225-D225-I225)</f>
        <v>5340.7254183600025</v>
      </c>
      <c r="O225" s="1968">
        <f t="shared" si="34"/>
        <v>356.9508699299999</v>
      </c>
      <c r="P225" s="1968">
        <f t="shared" si="34"/>
        <v>4893.274761130001</v>
      </c>
      <c r="Q225" s="1968">
        <f t="shared" si="34"/>
        <v>3012.9415559899994</v>
      </c>
      <c r="R225" s="1955">
        <v>7416.6815472300032</v>
      </c>
      <c r="S225" s="1955">
        <v>2911.2501752200001</v>
      </c>
      <c r="T225" s="1955">
        <v>6696.0953630600015</v>
      </c>
      <c r="U225" s="1955">
        <v>6642.8417450399993</v>
      </c>
    </row>
    <row r="226" spans="1:21" ht="15.6">
      <c r="A226" s="1967" t="s">
        <v>2583</v>
      </c>
      <c r="B226" s="1968"/>
      <c r="C226" s="1968"/>
      <c r="D226" s="1968"/>
      <c r="E226" s="1968"/>
      <c r="F226" s="1968"/>
      <c r="G226" s="1968"/>
      <c r="H226" s="1968"/>
      <c r="I226" s="1968"/>
      <c r="J226" s="1968"/>
      <c r="K226" s="1968"/>
      <c r="L226" s="1968"/>
      <c r="M226" s="1968"/>
      <c r="N226" s="1968"/>
      <c r="O226" s="1968"/>
      <c r="P226" s="1968"/>
      <c r="Q226" s="1968"/>
      <c r="R226" s="1955"/>
      <c r="S226" s="1955"/>
      <c r="T226" s="1955"/>
      <c r="U226" s="1955"/>
    </row>
    <row r="227" spans="1:21" ht="15.6">
      <c r="A227" s="1967" t="s">
        <v>18</v>
      </c>
      <c r="B227" s="1968">
        <v>23189.312012769999</v>
      </c>
      <c r="C227" s="1968">
        <v>8202.9098893299997</v>
      </c>
      <c r="D227" s="1968">
        <v>1868.6757231999998</v>
      </c>
      <c r="E227" s="1968">
        <v>2178.8340790799998</v>
      </c>
      <c r="F227" s="1968">
        <v>1566.3911789200001</v>
      </c>
      <c r="G227" s="1968">
        <v>2589.0089081299998</v>
      </c>
      <c r="H227" s="1968">
        <v>1833.3767631800001</v>
      </c>
      <c r="I227" s="1968">
        <v>187.98328528000005</v>
      </c>
      <c r="J227" s="1968">
        <v>395.59040794000009</v>
      </c>
      <c r="K227" s="1968">
        <v>292.58915854000003</v>
      </c>
      <c r="L227" s="1968">
        <v>957.21391142000004</v>
      </c>
      <c r="M227" s="1968">
        <f t="shared" ref="M227" si="37">SUM(N227:Q227)</f>
        <v>13153.025360260001</v>
      </c>
      <c r="N227" s="1968">
        <f t="shared" ref="N227:Q227" si="38">(R227-D227-I227)</f>
        <v>5030.2269739399999</v>
      </c>
      <c r="O227" s="1968">
        <f t="shared" si="38"/>
        <v>438.47809135999989</v>
      </c>
      <c r="P227" s="1968">
        <f t="shared" si="38"/>
        <v>4675.5044527700002</v>
      </c>
      <c r="Q227" s="1968">
        <f t="shared" si="38"/>
        <v>3008.8158421900002</v>
      </c>
      <c r="R227" s="1955">
        <v>7086.8859824199999</v>
      </c>
      <c r="S227" s="1955">
        <v>3012.9025783799998</v>
      </c>
      <c r="T227" s="1955">
        <v>6534.4847902300007</v>
      </c>
      <c r="U227" s="1955">
        <v>6555.03866174</v>
      </c>
    </row>
    <row r="228" spans="1:21" ht="15.6">
      <c r="A228" s="1967" t="s">
        <v>19</v>
      </c>
      <c r="B228" s="1968">
        <v>23489.120903840001</v>
      </c>
      <c r="C228" s="1968">
        <v>8379.9494325300002</v>
      </c>
      <c r="D228" s="1968">
        <v>1952.0224437499999</v>
      </c>
      <c r="E228" s="1968">
        <v>2227.5910128600008</v>
      </c>
      <c r="F228" s="1968">
        <v>1626.72760094</v>
      </c>
      <c r="G228" s="1968">
        <v>2573.6083749800005</v>
      </c>
      <c r="H228" s="1968">
        <v>1754.1849223000002</v>
      </c>
      <c r="I228" s="1968">
        <v>186.89385806999996</v>
      </c>
      <c r="J228" s="1968">
        <v>368.44442142000003</v>
      </c>
      <c r="K228" s="1968">
        <v>292.27157092000004</v>
      </c>
      <c r="L228" s="1968">
        <v>906.57507189</v>
      </c>
      <c r="M228" s="1968">
        <v>13354.98654901</v>
      </c>
      <c r="N228" s="1968">
        <v>5229.7490794599989</v>
      </c>
      <c r="O228" s="1968">
        <v>456.43745552000041</v>
      </c>
      <c r="P228" s="1968">
        <v>4742.9240241300004</v>
      </c>
      <c r="Q228" s="1968">
        <v>2925.8759898999992</v>
      </c>
      <c r="R228" s="1955"/>
      <c r="S228" s="1955"/>
      <c r="T228" s="1955"/>
      <c r="U228" s="1955"/>
    </row>
    <row r="229" spans="1:21" ht="15.6">
      <c r="A229" s="1967" t="s">
        <v>20</v>
      </c>
      <c r="B229" s="1968">
        <v>23825.92843634</v>
      </c>
      <c r="C229" s="1968">
        <v>8147.481248770001</v>
      </c>
      <c r="D229" s="1968">
        <v>1737.5526218699997</v>
      </c>
      <c r="E229" s="1968">
        <v>2308.2650892500005</v>
      </c>
      <c r="F229" s="1968">
        <v>1589.1291412700004</v>
      </c>
      <c r="G229" s="1968">
        <v>2512.5343963800001</v>
      </c>
      <c r="H229" s="1968">
        <v>1706.1566083799999</v>
      </c>
      <c r="I229" s="1968">
        <v>182.67041608</v>
      </c>
      <c r="J229" s="1968">
        <v>349.23919896999996</v>
      </c>
      <c r="K229" s="1968">
        <v>280.39810767</v>
      </c>
      <c r="L229" s="1968">
        <v>893.84888565999995</v>
      </c>
      <c r="M229" s="1968">
        <v>13972.290579189999</v>
      </c>
      <c r="N229" s="1968">
        <v>5692.2042150200004</v>
      </c>
      <c r="O229" s="1968">
        <v>462.58087440000008</v>
      </c>
      <c r="P229" s="1968">
        <v>4856.6214933399988</v>
      </c>
      <c r="Q229" s="1968">
        <v>2960.8839964299987</v>
      </c>
      <c r="R229" s="1955"/>
      <c r="S229" s="1955"/>
      <c r="T229" s="1955"/>
      <c r="U229" s="1955"/>
    </row>
    <row r="230" spans="1:21" ht="15.6">
      <c r="A230" s="1967" t="s">
        <v>21</v>
      </c>
      <c r="B230" s="1968">
        <v>24213.241269210004</v>
      </c>
      <c r="C230" s="1968">
        <v>8352.9226073399986</v>
      </c>
      <c r="D230" s="1968">
        <v>1862.4086915200003</v>
      </c>
      <c r="E230" s="1968">
        <v>2422.8148154</v>
      </c>
      <c r="F230" s="1968">
        <v>1575.6320347099995</v>
      </c>
      <c r="G230" s="1968">
        <v>2492.06706571</v>
      </c>
      <c r="H230" s="1968">
        <v>1887.15468758</v>
      </c>
      <c r="I230" s="1968">
        <v>337.16375497999996</v>
      </c>
      <c r="J230" s="1968">
        <v>360.77551021999994</v>
      </c>
      <c r="K230" s="1968">
        <v>281.93958794000008</v>
      </c>
      <c r="L230" s="1968">
        <v>907.27583443999993</v>
      </c>
      <c r="M230" s="1968">
        <v>13973.163974290006</v>
      </c>
      <c r="N230" s="1968">
        <v>5798.6166856100008</v>
      </c>
      <c r="O230" s="1968">
        <v>466.28773977999975</v>
      </c>
      <c r="P230" s="1968">
        <v>4733.7979366700019</v>
      </c>
      <c r="Q230" s="1968">
        <v>2974.4616122300004</v>
      </c>
      <c r="R230" s="1955"/>
      <c r="S230" s="1955"/>
      <c r="T230" s="1955"/>
      <c r="U230" s="1955"/>
    </row>
    <row r="231" spans="1:21" ht="15.6">
      <c r="A231" s="1967" t="s">
        <v>22</v>
      </c>
      <c r="B231" s="1968">
        <v>24991.213881430005</v>
      </c>
      <c r="C231" s="1968">
        <v>8635.1500713999994</v>
      </c>
      <c r="D231" s="1968">
        <v>2257.2199849100002</v>
      </c>
      <c r="E231" s="1968">
        <v>2484.4238821199997</v>
      </c>
      <c r="F231" s="1968">
        <v>1382.0369339499998</v>
      </c>
      <c r="G231" s="1968">
        <v>2511.4692704200002</v>
      </c>
      <c r="H231" s="1968">
        <v>1878.0820939299999</v>
      </c>
      <c r="I231" s="1968">
        <v>253.48769137000002</v>
      </c>
      <c r="J231" s="1968">
        <v>389.68368123999994</v>
      </c>
      <c r="K231" s="1968">
        <v>314.37953800000008</v>
      </c>
      <c r="L231" s="1968">
        <v>920.53118331999985</v>
      </c>
      <c r="M231" s="1968">
        <v>14477.981716100006</v>
      </c>
      <c r="N231" s="1968">
        <v>6053.4474093900017</v>
      </c>
      <c r="O231" s="1968">
        <v>458.21381654999982</v>
      </c>
      <c r="P231" s="1968">
        <v>4822.751068120001</v>
      </c>
      <c r="Q231" s="1968">
        <v>3143.5694220400001</v>
      </c>
      <c r="R231" s="1955"/>
      <c r="S231" s="1955"/>
      <c r="T231" s="1955"/>
      <c r="U231" s="1955"/>
    </row>
    <row r="232" spans="1:21" ht="15.6">
      <c r="A232" s="1967" t="s">
        <v>23</v>
      </c>
      <c r="B232" s="1968">
        <v>24156.57158589</v>
      </c>
      <c r="C232" s="1968">
        <v>8435.4425984400004</v>
      </c>
      <c r="D232" s="1968">
        <v>2038.4566502799998</v>
      </c>
      <c r="E232" s="1968">
        <v>2543.3425932599998</v>
      </c>
      <c r="F232" s="1968">
        <v>1374.7897932200003</v>
      </c>
      <c r="G232" s="1968">
        <v>2478.85356168</v>
      </c>
      <c r="H232" s="1968">
        <v>1775.34518589</v>
      </c>
      <c r="I232" s="1968">
        <v>205.80025734</v>
      </c>
      <c r="J232" s="1968">
        <v>396.00358230999996</v>
      </c>
      <c r="K232" s="1968">
        <v>249.59012576000001</v>
      </c>
      <c r="L232" s="1968">
        <v>923.95122048000007</v>
      </c>
      <c r="M232" s="1968">
        <v>13945.783801559999</v>
      </c>
      <c r="N232" s="1968">
        <v>6024.2503466100025</v>
      </c>
      <c r="O232" s="1968">
        <v>472.73400758999946</v>
      </c>
      <c r="P232" s="1968">
        <v>5368.7517843399992</v>
      </c>
      <c r="Q232" s="1968">
        <v>2080.0476630199992</v>
      </c>
      <c r="R232" s="1955"/>
      <c r="S232" s="1955"/>
      <c r="T232" s="1955"/>
      <c r="U232" s="1955"/>
    </row>
    <row r="233" spans="1:21" ht="15.6">
      <c r="A233" s="1967" t="s">
        <v>24</v>
      </c>
      <c r="B233" s="1968">
        <v>24926.871174650005</v>
      </c>
      <c r="C233" s="1968">
        <v>8605.9042542200004</v>
      </c>
      <c r="D233" s="1968">
        <v>2127.4191736799999</v>
      </c>
      <c r="E233" s="1968">
        <v>2633.6575193500007</v>
      </c>
      <c r="F233" s="1968">
        <v>1373.9910223800002</v>
      </c>
      <c r="G233" s="1968">
        <v>2470.8365388100001</v>
      </c>
      <c r="H233" s="1968">
        <v>1793.2627585099999</v>
      </c>
      <c r="I233" s="1968">
        <v>183.74023432000001</v>
      </c>
      <c r="J233" s="1968">
        <v>424.11512380000005</v>
      </c>
      <c r="K233" s="1968">
        <v>239.80648344000002</v>
      </c>
      <c r="L233" s="1968">
        <v>945.60091694999983</v>
      </c>
      <c r="M233" s="1968">
        <v>14527.704161920004</v>
      </c>
      <c r="N233" s="1968">
        <v>5951.4005391199998</v>
      </c>
      <c r="O233" s="1968">
        <v>501.97684190999979</v>
      </c>
      <c r="P233" s="1968">
        <v>5797.0035013499992</v>
      </c>
      <c r="Q233" s="1968">
        <v>2277.3232795400004</v>
      </c>
      <c r="R233" s="1955"/>
      <c r="S233" s="1955"/>
      <c r="T233" s="1955"/>
      <c r="U233" s="1955"/>
    </row>
    <row r="234" spans="1:21" ht="15.6">
      <c r="A234" s="1967" t="s">
        <v>25</v>
      </c>
      <c r="B234" s="1968">
        <v>24791.852471049999</v>
      </c>
      <c r="C234" s="1968">
        <v>8559.0822393499984</v>
      </c>
      <c r="D234" s="1968">
        <v>2027.7020462299993</v>
      </c>
      <c r="E234" s="1968">
        <v>2703.2896369099999</v>
      </c>
      <c r="F234" s="1968">
        <v>1348.9076630499999</v>
      </c>
      <c r="G234" s="1968">
        <v>2479.1828931600003</v>
      </c>
      <c r="H234" s="1968">
        <v>1758.9172641700002</v>
      </c>
      <c r="I234" s="1968">
        <v>185.80970624</v>
      </c>
      <c r="J234" s="1968">
        <v>415.24990163000001</v>
      </c>
      <c r="K234" s="1968">
        <v>218.63548064000003</v>
      </c>
      <c r="L234" s="1968">
        <v>939.22217565999995</v>
      </c>
      <c r="M234" s="1968">
        <v>14473.85296753</v>
      </c>
      <c r="N234" s="1968">
        <v>6340.6895802200006</v>
      </c>
      <c r="O234" s="1968">
        <v>441.24333390999965</v>
      </c>
      <c r="P234" s="1968">
        <v>5407.50173524</v>
      </c>
      <c r="Q234" s="1976">
        <v>2284.4183181600001</v>
      </c>
      <c r="R234" s="1955"/>
      <c r="S234" s="1955"/>
      <c r="T234" s="1955"/>
      <c r="U234" s="1955"/>
    </row>
    <row r="235" spans="1:21" ht="15.6">
      <c r="A235" s="1967" t="s">
        <v>26</v>
      </c>
      <c r="B235" s="1968">
        <v>25705.473344060007</v>
      </c>
      <c r="C235" s="1968">
        <v>8838.1387690800002</v>
      </c>
      <c r="D235" s="1968">
        <v>2190.4178669900002</v>
      </c>
      <c r="E235" s="1968">
        <v>2794.6954747499999</v>
      </c>
      <c r="F235" s="1968">
        <v>1396.24874555</v>
      </c>
      <c r="G235" s="1968">
        <v>2456.7766817899997</v>
      </c>
      <c r="H235" s="1968">
        <v>1792.1316525500001</v>
      </c>
      <c r="I235" s="1968">
        <v>176.28316702000004</v>
      </c>
      <c r="J235" s="1968">
        <v>414.54721771000004</v>
      </c>
      <c r="K235" s="1968">
        <v>250.30013026</v>
      </c>
      <c r="L235" s="1968">
        <v>951.00113755999996</v>
      </c>
      <c r="M235" s="1968">
        <v>15075.202922430006</v>
      </c>
      <c r="N235" s="1968">
        <v>6434.7280831400003</v>
      </c>
      <c r="O235" s="1968">
        <v>500.66111911999997</v>
      </c>
      <c r="P235" s="1968">
        <v>6055.2464449999998</v>
      </c>
      <c r="Q235" s="1976">
        <v>2084.5672751699994</v>
      </c>
      <c r="R235" s="1955"/>
      <c r="S235" s="1955"/>
      <c r="T235" s="1955"/>
      <c r="U235" s="1955"/>
    </row>
    <row r="236" spans="1:21" ht="15.6">
      <c r="A236" s="1967" t="s">
        <v>27</v>
      </c>
      <c r="B236" s="1968">
        <v>26114.802925899996</v>
      </c>
      <c r="C236" s="1968">
        <v>8887.4329394499982</v>
      </c>
      <c r="D236" s="1968">
        <v>2184.0029753100002</v>
      </c>
      <c r="E236" s="1968">
        <v>2859.3991650199991</v>
      </c>
      <c r="F236" s="1968">
        <v>1428.92880685</v>
      </c>
      <c r="G236" s="1968">
        <v>2415.1019922699998</v>
      </c>
      <c r="H236" s="1968">
        <v>2003.4061354099997</v>
      </c>
      <c r="I236" s="1968">
        <v>186.08140752000003</v>
      </c>
      <c r="J236" s="1968">
        <v>392.21713358</v>
      </c>
      <c r="K236" s="1968">
        <v>447.71841138999986</v>
      </c>
      <c r="L236" s="1968">
        <v>977.38918291999983</v>
      </c>
      <c r="M236" s="1968">
        <v>15223.963851039998</v>
      </c>
      <c r="N236" s="1968">
        <v>6561.9275031300003</v>
      </c>
      <c r="O236" s="1968">
        <v>500.15825355999993</v>
      </c>
      <c r="P236" s="1968">
        <v>6096.4774209899997</v>
      </c>
      <c r="Q236" s="1976">
        <v>2065.4006733600004</v>
      </c>
      <c r="R236" s="1955"/>
      <c r="S236" s="1955"/>
      <c r="T236" s="1955"/>
      <c r="U236" s="1955"/>
    </row>
    <row r="237" spans="1:21" ht="15.6">
      <c r="A237" s="1967" t="s">
        <v>28</v>
      </c>
      <c r="B237" s="1968">
        <v>26790.859008169999</v>
      </c>
      <c r="C237" s="1968">
        <v>9051.7110219500009</v>
      </c>
      <c r="D237" s="1968">
        <v>2358.6125810600001</v>
      </c>
      <c r="E237" s="1968">
        <v>2896.16777417</v>
      </c>
      <c r="F237" s="1968">
        <v>1410.2477581200003</v>
      </c>
      <c r="G237" s="1968">
        <v>2386.6829085999998</v>
      </c>
      <c r="H237" s="1968">
        <v>1821.0162823599999</v>
      </c>
      <c r="I237" s="1968">
        <v>202.25000488000001</v>
      </c>
      <c r="J237" s="1968">
        <v>397.76429615000001</v>
      </c>
      <c r="K237" s="1968">
        <v>258.01547363999998</v>
      </c>
      <c r="L237" s="1968">
        <v>962.98650768999983</v>
      </c>
      <c r="M237" s="1968">
        <v>15918.131703859999</v>
      </c>
      <c r="N237" s="1968">
        <v>6750.46134076</v>
      </c>
      <c r="O237" s="1968">
        <v>523.76965887000006</v>
      </c>
      <c r="P237" s="1968">
        <v>6603.058107410001</v>
      </c>
      <c r="Q237" s="1976">
        <v>2040.8425968199997</v>
      </c>
      <c r="R237" s="1955"/>
      <c r="S237" s="1955"/>
      <c r="T237" s="1955"/>
      <c r="U237" s="1955"/>
    </row>
    <row r="238" spans="1:21" ht="15.6">
      <c r="A238" s="1967" t="s">
        <v>29</v>
      </c>
      <c r="B238" s="1968">
        <v>29027.731736139995</v>
      </c>
      <c r="C238" s="1968">
        <v>9241.4627988799984</v>
      </c>
      <c r="D238" s="1968">
        <v>2489.5264264500001</v>
      </c>
      <c r="E238" s="1968">
        <v>2962.6537996900001</v>
      </c>
      <c r="F238" s="1968">
        <v>1390.5800423299995</v>
      </c>
      <c r="G238" s="1968">
        <v>2398.7025304099998</v>
      </c>
      <c r="H238" s="1968">
        <v>1892.7085802300001</v>
      </c>
      <c r="I238" s="1968">
        <v>233.99267588000001</v>
      </c>
      <c r="J238" s="1968">
        <v>444.63889338999996</v>
      </c>
      <c r="K238" s="1968">
        <v>259.36619756000005</v>
      </c>
      <c r="L238" s="1968">
        <v>954.71081340000001</v>
      </c>
      <c r="M238" s="1968">
        <v>17893.560357029997</v>
      </c>
      <c r="N238" s="1968">
        <v>8030.6664632500006</v>
      </c>
      <c r="O238" s="1968">
        <v>520.27523670000005</v>
      </c>
      <c r="P238" s="1968">
        <v>7325.029904099998</v>
      </c>
      <c r="Q238" s="1976">
        <v>2017.5887529799993</v>
      </c>
      <c r="R238" s="1955"/>
      <c r="S238" s="1955"/>
      <c r="T238" s="1955"/>
      <c r="U238" s="1955"/>
    </row>
    <row r="239" spans="1:21" ht="15.6">
      <c r="A239" s="1967" t="s">
        <v>2892</v>
      </c>
      <c r="B239" s="1968"/>
      <c r="C239" s="1968"/>
      <c r="D239" s="1968"/>
      <c r="E239" s="1968"/>
      <c r="F239" s="1968"/>
      <c r="G239" s="1968"/>
      <c r="H239" s="1968"/>
      <c r="I239" s="1968"/>
      <c r="J239" s="1968"/>
      <c r="K239" s="1968"/>
      <c r="L239" s="1968"/>
      <c r="M239" s="1968"/>
      <c r="N239" s="1968"/>
      <c r="O239" s="1968"/>
      <c r="P239" s="1968"/>
      <c r="Q239" s="1976"/>
      <c r="R239" s="1955"/>
      <c r="S239" s="1955"/>
      <c r="T239" s="1955"/>
      <c r="U239" s="1955"/>
    </row>
    <row r="240" spans="1:21" ht="15.6">
      <c r="A240" s="1967" t="s">
        <v>18</v>
      </c>
      <c r="B240" s="1968">
        <v>29016.987753109999</v>
      </c>
      <c r="C240" s="1968">
        <v>9635.77302366</v>
      </c>
      <c r="D240" s="1968">
        <v>2845.2499069100004</v>
      </c>
      <c r="E240" s="1968">
        <v>3003.3933354899991</v>
      </c>
      <c r="F240" s="1968">
        <v>1379.9939565400002</v>
      </c>
      <c r="G240" s="1968">
        <v>2407.1358247200001</v>
      </c>
      <c r="H240" s="1968">
        <v>1894.0407553300001</v>
      </c>
      <c r="I240" s="1968">
        <v>264.61669099</v>
      </c>
      <c r="J240" s="1968">
        <v>433.82435377000007</v>
      </c>
      <c r="K240" s="1968">
        <v>266.57750097000002</v>
      </c>
      <c r="L240" s="1968">
        <v>929.02220959999988</v>
      </c>
      <c r="M240" s="1968">
        <v>17487.17397412</v>
      </c>
      <c r="N240" s="1968">
        <v>7079.1180386900005</v>
      </c>
      <c r="O240" s="1968">
        <v>516.01751200000035</v>
      </c>
      <c r="P240" s="1968">
        <v>7898.1994305599974</v>
      </c>
      <c r="Q240" s="1976">
        <v>1993.8389928700003</v>
      </c>
      <c r="R240" s="1955"/>
      <c r="S240" s="1955"/>
      <c r="T240" s="1955"/>
      <c r="U240" s="1955"/>
    </row>
    <row r="241" spans="1:21" ht="15.6">
      <c r="A241" s="1967" t="s">
        <v>19</v>
      </c>
      <c r="B241" s="1968">
        <v>29170.818363180002</v>
      </c>
      <c r="C241" s="1968">
        <v>10036.66102424</v>
      </c>
      <c r="D241" s="1968">
        <v>2923.8951665700001</v>
      </c>
      <c r="E241" s="1968">
        <v>3058.8985208200006</v>
      </c>
      <c r="F241" s="1968">
        <v>1661.3590477199998</v>
      </c>
      <c r="G241" s="1968">
        <v>2392.5082891299999</v>
      </c>
      <c r="H241" s="1968">
        <v>1962.8523260099998</v>
      </c>
      <c r="I241" s="1968">
        <v>292.93354124999996</v>
      </c>
      <c r="J241" s="1968">
        <v>514.61784480000006</v>
      </c>
      <c r="K241" s="1968">
        <v>255.44970428999997</v>
      </c>
      <c r="L241" s="1968">
        <v>899.85123566999982</v>
      </c>
      <c r="M241" s="1968">
        <f>B241-C241-H241</f>
        <v>17171.305012929999</v>
      </c>
      <c r="N241" s="1968">
        <v>6967.2992261100007</v>
      </c>
      <c r="O241" s="1968">
        <v>503.78276013999994</v>
      </c>
      <c r="P241" s="1968">
        <v>7701.2685236300003</v>
      </c>
      <c r="Q241" s="1976">
        <v>1998.9545030499999</v>
      </c>
      <c r="R241" s="1955"/>
      <c r="S241" s="1955"/>
      <c r="T241" s="1955"/>
      <c r="U241" s="1955"/>
    </row>
    <row r="242" spans="1:21" ht="15.6">
      <c r="A242" s="1967" t="s">
        <v>20</v>
      </c>
      <c r="B242" s="1968">
        <v>30508.507513960001</v>
      </c>
      <c r="C242" s="1968">
        <v>10372.044511299999</v>
      </c>
      <c r="D242" s="1968">
        <v>2903.2585276899995</v>
      </c>
      <c r="E242" s="1968">
        <v>3081.64431831</v>
      </c>
      <c r="F242" s="1968">
        <v>1947.4048629599995</v>
      </c>
      <c r="G242" s="1968">
        <v>2439.7368023399999</v>
      </c>
      <c r="H242" s="1968">
        <v>2231.8624965499998</v>
      </c>
      <c r="I242" s="1968">
        <v>430.32399083999996</v>
      </c>
      <c r="J242" s="1968">
        <v>527.87266001</v>
      </c>
      <c r="K242" s="1968">
        <v>340.13658265000004</v>
      </c>
      <c r="L242" s="1968">
        <v>933.52926304999994</v>
      </c>
      <c r="M242" s="1968">
        <v>17904.600506110004</v>
      </c>
      <c r="N242" s="1968">
        <v>7455.6415403700003</v>
      </c>
      <c r="O242" s="1968">
        <v>482.98148340999967</v>
      </c>
      <c r="P242" s="1968">
        <v>8028.1965935400003</v>
      </c>
      <c r="Q242" s="1976">
        <v>1937.7808887899996</v>
      </c>
      <c r="R242" s="1955"/>
      <c r="S242" s="1955"/>
      <c r="T242" s="1955"/>
      <c r="U242" s="1955"/>
    </row>
    <row r="243" spans="1:21" ht="15.6">
      <c r="A243" s="1967" t="s">
        <v>21</v>
      </c>
      <c r="B243" s="1968">
        <v>30890.39912767</v>
      </c>
      <c r="C243" s="1968">
        <v>10515.39277742</v>
      </c>
      <c r="D243" s="1968">
        <v>3180.4450775299997</v>
      </c>
      <c r="E243" s="1968">
        <v>3167.0767891500004</v>
      </c>
      <c r="F243" s="1968">
        <v>1741.1780598599998</v>
      </c>
      <c r="G243" s="1968">
        <v>2426.6928508800006</v>
      </c>
      <c r="H243" s="1968">
        <v>2309.6228971799997</v>
      </c>
      <c r="I243" s="1968">
        <v>488.42859758999992</v>
      </c>
      <c r="J243" s="1968">
        <v>557.36441835999995</v>
      </c>
      <c r="K243" s="1968">
        <v>385.52510130000007</v>
      </c>
      <c r="L243" s="1968">
        <v>878.30477992999988</v>
      </c>
      <c r="M243" s="1968">
        <v>18065.383453069997</v>
      </c>
      <c r="N243" s="1968">
        <v>7314.3335120600004</v>
      </c>
      <c r="O243" s="1968">
        <v>485.62631963000013</v>
      </c>
      <c r="P243" s="1968">
        <v>8359.3497351499991</v>
      </c>
      <c r="Q243" s="1976">
        <v>1906.0738862299995</v>
      </c>
      <c r="R243" s="1955"/>
      <c r="S243" s="1955"/>
      <c r="T243" s="1955"/>
      <c r="U243" s="1955"/>
    </row>
    <row r="244" spans="1:21" ht="15.6">
      <c r="A244" s="1967" t="s">
        <v>22</v>
      </c>
      <c r="B244" s="1968">
        <v>32025.252167420003</v>
      </c>
      <c r="C244" s="1968">
        <v>10593.24553143</v>
      </c>
      <c r="D244" s="1968">
        <v>2987.3838202400002</v>
      </c>
      <c r="E244" s="1968">
        <v>3241.1937070399999</v>
      </c>
      <c r="F244" s="1968">
        <v>1931.5254392900003</v>
      </c>
      <c r="G244" s="1968">
        <v>2433.1425648600002</v>
      </c>
      <c r="H244" s="1968">
        <v>2319.91486295</v>
      </c>
      <c r="I244" s="1968">
        <v>458.57997947000001</v>
      </c>
      <c r="J244" s="1968">
        <v>553.9152196</v>
      </c>
      <c r="K244" s="1968">
        <v>466.64987967000002</v>
      </c>
      <c r="L244" s="1968">
        <v>840.7697842099999</v>
      </c>
      <c r="M244" s="1968">
        <v>19112.09177304</v>
      </c>
      <c r="N244" s="1968">
        <v>8044.575353770002</v>
      </c>
      <c r="O244" s="1968">
        <v>485.15809794000006</v>
      </c>
      <c r="P244" s="1968">
        <v>8723.322352889998</v>
      </c>
      <c r="Q244" s="1976">
        <v>1859.0359684399994</v>
      </c>
      <c r="R244" s="1955"/>
      <c r="S244" s="1955"/>
      <c r="T244" s="1955"/>
      <c r="U244" s="1955"/>
    </row>
    <row r="245" spans="1:21" ht="15.6">
      <c r="A245" s="1967" t="s">
        <v>23</v>
      </c>
      <c r="B245" s="1968">
        <v>32417.121753569998</v>
      </c>
      <c r="C245" s="1968">
        <v>10596.171226</v>
      </c>
      <c r="D245" s="1968">
        <v>2995.2085680300006</v>
      </c>
      <c r="E245" s="1968">
        <v>3338.6540517399999</v>
      </c>
      <c r="F245" s="1968">
        <v>1848.6328109200001</v>
      </c>
      <c r="G245" s="1968">
        <v>2413.67579531</v>
      </c>
      <c r="H245" s="1968">
        <v>2375.0815632499998</v>
      </c>
      <c r="I245" s="1968">
        <v>383.64062357999995</v>
      </c>
      <c r="J245" s="1968">
        <v>585.89612785999998</v>
      </c>
      <c r="K245" s="1968">
        <v>588.16937778999977</v>
      </c>
      <c r="L245" s="1968">
        <v>817.37543401999983</v>
      </c>
      <c r="M245" s="1968">
        <v>19445.868964319998</v>
      </c>
      <c r="N245" s="1968">
        <v>8338.5902868699995</v>
      </c>
      <c r="O245" s="1968">
        <v>535.87357210999926</v>
      </c>
      <c r="P245" s="1968">
        <v>8390.8076007399995</v>
      </c>
      <c r="Q245" s="1976">
        <v>2180.5975046000003</v>
      </c>
      <c r="R245" s="1955"/>
      <c r="S245" s="1955"/>
      <c r="T245" s="1955"/>
      <c r="U245" s="1955"/>
    </row>
    <row r="246" spans="1:21" ht="15.6">
      <c r="A246" s="1967" t="s">
        <v>24</v>
      </c>
      <c r="B246" s="1968">
        <v>31957.277061000001</v>
      </c>
      <c r="C246" s="1968">
        <v>10817.12822398</v>
      </c>
      <c r="D246" s="1968">
        <v>3090.6108148200001</v>
      </c>
      <c r="E246" s="1968">
        <v>3412.2051158400004</v>
      </c>
      <c r="F246" s="1968">
        <v>1895.3109999499998</v>
      </c>
      <c r="G246" s="1968">
        <v>2419.00129337</v>
      </c>
      <c r="H246" s="1968">
        <v>2191.0758695</v>
      </c>
      <c r="I246" s="1968">
        <v>254.34199249000002</v>
      </c>
      <c r="J246" s="1968">
        <v>596.21666450000009</v>
      </c>
      <c r="K246" s="1968">
        <v>423.39883322000009</v>
      </c>
      <c r="L246" s="1968">
        <v>917.11837928999989</v>
      </c>
      <c r="M246" s="1968">
        <v>18949.072967520002</v>
      </c>
      <c r="N246" s="1968">
        <v>7821.9413241099983</v>
      </c>
      <c r="O246" s="1968">
        <v>684.85540414999934</v>
      </c>
      <c r="P246" s="1968">
        <v>8254.8329537100017</v>
      </c>
      <c r="Q246" s="1976">
        <v>2187.4432855499999</v>
      </c>
      <c r="R246" s="1955"/>
      <c r="S246" s="1955"/>
      <c r="T246" s="1955"/>
      <c r="U246" s="1955"/>
    </row>
    <row r="247" spans="1:21" ht="15.6">
      <c r="A247" s="1967" t="s">
        <v>25</v>
      </c>
      <c r="B247" s="1968">
        <v>32836.106540349996</v>
      </c>
      <c r="C247" s="1968">
        <v>10858.376694009999</v>
      </c>
      <c r="D247" s="1968">
        <v>3047.0856493699998</v>
      </c>
      <c r="E247" s="1968">
        <v>3501.0589775399994</v>
      </c>
      <c r="F247" s="1968">
        <v>1915.2867442900003</v>
      </c>
      <c r="G247" s="1968">
        <v>2394.9453228100001</v>
      </c>
      <c r="H247" s="1968">
        <v>2206.9399918300001</v>
      </c>
      <c r="I247" s="1968">
        <v>274.93362664</v>
      </c>
      <c r="J247" s="1968">
        <v>583.02662144999999</v>
      </c>
      <c r="K247" s="1968">
        <v>443.15126127000002</v>
      </c>
      <c r="L247" s="1968">
        <v>905.82848246999993</v>
      </c>
      <c r="M247" s="1968">
        <v>19770.789854509996</v>
      </c>
      <c r="N247" s="1968">
        <v>8532.6072739399988</v>
      </c>
      <c r="O247" s="1968">
        <v>697.68266065999956</v>
      </c>
      <c r="P247" s="1968">
        <v>8352.5576438000007</v>
      </c>
      <c r="Q247" s="1976">
        <v>2187.9422761099991</v>
      </c>
      <c r="R247" s="1955"/>
      <c r="S247" s="1955"/>
      <c r="T247" s="1955"/>
      <c r="U247" s="1955"/>
    </row>
    <row r="248" spans="1:21" ht="15.6">
      <c r="A248" s="1967" t="s">
        <v>26</v>
      </c>
      <c r="B248" s="1968">
        <v>33956.950859740005</v>
      </c>
      <c r="C248" s="1968">
        <v>11225.705309769999</v>
      </c>
      <c r="D248" s="1968">
        <v>3246.9941658399994</v>
      </c>
      <c r="E248" s="1968">
        <v>3576.7510893499998</v>
      </c>
      <c r="F248" s="1968">
        <v>2000.6142243499996</v>
      </c>
      <c r="G248" s="1968">
        <v>2401.34583023</v>
      </c>
      <c r="H248" s="1968">
        <v>2401.1235633699998</v>
      </c>
      <c r="I248" s="1968">
        <v>291.64545994999992</v>
      </c>
      <c r="J248" s="1968">
        <v>655.6537134099998</v>
      </c>
      <c r="K248" s="1968">
        <v>583.61944757000003</v>
      </c>
      <c r="L248" s="1968">
        <v>870.20494243999985</v>
      </c>
      <c r="M248" s="1968">
        <v>20330.121986600003</v>
      </c>
      <c r="N248" s="1968">
        <v>8822.1761353300026</v>
      </c>
      <c r="O248" s="1968">
        <v>697.46497992000025</v>
      </c>
      <c r="P248" s="1968">
        <v>8633.2486838600016</v>
      </c>
      <c r="Q248" s="1976">
        <v>2177.2321874899999</v>
      </c>
      <c r="R248" s="1955"/>
      <c r="S248" s="1955"/>
      <c r="T248" s="1955"/>
      <c r="U248" s="1955"/>
    </row>
    <row r="249" spans="1:21" ht="15.6">
      <c r="A249" s="1967" t="s">
        <v>27</v>
      </c>
      <c r="B249" s="1968">
        <v>34806.25794784</v>
      </c>
      <c r="C249" s="1968">
        <v>11500.0053315</v>
      </c>
      <c r="D249" s="1968">
        <v>3423.0472678699994</v>
      </c>
      <c r="E249" s="1968">
        <v>3635.68619042</v>
      </c>
      <c r="F249" s="1968">
        <v>2089.1146558600003</v>
      </c>
      <c r="G249" s="1968">
        <v>2352.1572173500003</v>
      </c>
      <c r="H249" s="1968">
        <v>2439.4120308399997</v>
      </c>
      <c r="I249" s="1968">
        <v>265.24752152000002</v>
      </c>
      <c r="J249" s="1968">
        <v>706.51641263999988</v>
      </c>
      <c r="K249" s="1968">
        <v>610.20534321999992</v>
      </c>
      <c r="L249" s="1968">
        <v>857.44275345999995</v>
      </c>
      <c r="M249" s="1968">
        <v>20866.840585500006</v>
      </c>
      <c r="N249" s="1968">
        <v>9286.5922257500024</v>
      </c>
      <c r="O249" s="1968">
        <v>723.75668761000009</v>
      </c>
      <c r="P249" s="1968">
        <v>8650.8879461800007</v>
      </c>
      <c r="Q249" s="1976">
        <v>2205.6037259600002</v>
      </c>
      <c r="R249" s="1955"/>
      <c r="S249" s="1955"/>
      <c r="T249" s="1955"/>
      <c r="U249" s="1955"/>
    </row>
    <row r="250" spans="1:21" ht="15.6">
      <c r="A250" s="1967" t="s">
        <v>28</v>
      </c>
      <c r="B250" s="1968">
        <v>35484.16493413</v>
      </c>
      <c r="C250" s="1968">
        <v>11588.58637651</v>
      </c>
      <c r="D250" s="1968">
        <v>3394.6715733799997</v>
      </c>
      <c r="E250" s="1968">
        <v>3687.9131500600006</v>
      </c>
      <c r="F250" s="1968">
        <v>2121.7242326999999</v>
      </c>
      <c r="G250" s="1968">
        <v>2384.2774203700001</v>
      </c>
      <c r="H250" s="1968">
        <v>2446.0378285899997</v>
      </c>
      <c r="I250" s="1968">
        <v>255.76609307000001</v>
      </c>
      <c r="J250" s="1968">
        <v>722.57569759000012</v>
      </c>
      <c r="K250" s="1968">
        <v>590.5425164699999</v>
      </c>
      <c r="L250" s="1968">
        <v>877.15352145999987</v>
      </c>
      <c r="M250" s="1968">
        <v>21449.540729029999</v>
      </c>
      <c r="N250" s="1968">
        <v>9277.2539944399996</v>
      </c>
      <c r="O250" s="1968">
        <v>781.74189926000076</v>
      </c>
      <c r="P250" s="1968">
        <v>9191.5817194499978</v>
      </c>
      <c r="Q250" s="1976">
        <v>2198.9631158799993</v>
      </c>
      <c r="R250" s="1955"/>
      <c r="S250" s="1955"/>
      <c r="T250" s="1955"/>
      <c r="U250" s="1955"/>
    </row>
    <row r="251" spans="1:21" ht="15.6">
      <c r="A251" s="1967" t="s">
        <v>29</v>
      </c>
      <c r="B251" s="1968">
        <v>36249.769001510009</v>
      </c>
      <c r="C251" s="1968">
        <v>11742.95861156</v>
      </c>
      <c r="D251" s="1968">
        <v>3349.2315357099997</v>
      </c>
      <c r="E251" s="1968">
        <v>3790.1588456099998</v>
      </c>
      <c r="F251" s="1968">
        <v>2173.4625190700003</v>
      </c>
      <c r="G251" s="1968">
        <v>2430.1057111699997</v>
      </c>
      <c r="H251" s="1968">
        <v>2481.77044716</v>
      </c>
      <c r="I251" s="1968">
        <v>426.17921723000001</v>
      </c>
      <c r="J251" s="1968">
        <v>717.75488679999989</v>
      </c>
      <c r="K251" s="1968">
        <v>588.47687945999996</v>
      </c>
      <c r="L251" s="1968">
        <v>749.35946366999985</v>
      </c>
      <c r="M251" s="1968">
        <v>22025.039942790005</v>
      </c>
      <c r="N251" s="1968">
        <v>9611.7453028300024</v>
      </c>
      <c r="O251" s="1968">
        <v>809.45768441999962</v>
      </c>
      <c r="P251" s="1968">
        <v>9377.1892714800015</v>
      </c>
      <c r="Q251" s="1976">
        <v>2226.6476840600003</v>
      </c>
      <c r="R251" s="1955"/>
      <c r="S251" s="1955"/>
      <c r="T251" s="1955"/>
      <c r="U251" s="1955"/>
    </row>
    <row r="252" spans="1:21" ht="15.6">
      <c r="A252" s="1967" t="s">
        <v>3605</v>
      </c>
      <c r="B252" s="1968"/>
      <c r="C252" s="1968"/>
      <c r="D252" s="1968"/>
      <c r="E252" s="1968"/>
      <c r="F252" s="1968"/>
      <c r="G252" s="1968"/>
      <c r="H252" s="1968"/>
      <c r="I252" s="1968"/>
      <c r="J252" s="1968"/>
      <c r="K252" s="1968"/>
      <c r="L252" s="1968"/>
      <c r="M252" s="1968"/>
      <c r="N252" s="1968"/>
      <c r="O252" s="1968"/>
      <c r="P252" s="1968"/>
      <c r="Q252" s="1976"/>
      <c r="R252" s="1955"/>
      <c r="S252" s="1955"/>
      <c r="T252" s="1955"/>
      <c r="U252" s="1955"/>
    </row>
    <row r="253" spans="1:21" ht="15.6">
      <c r="A253" s="1967" t="s">
        <v>18</v>
      </c>
      <c r="B253" s="1968">
        <v>35552.863399799993</v>
      </c>
      <c r="C253" s="1968">
        <v>11928.495167870002</v>
      </c>
      <c r="D253" s="1968">
        <v>3428.4033533899997</v>
      </c>
      <c r="E253" s="1968">
        <v>3871.1348435600003</v>
      </c>
      <c r="F253" s="1968">
        <v>2289.5861456500002</v>
      </c>
      <c r="G253" s="1968">
        <v>2339.3708252700003</v>
      </c>
      <c r="H253" s="1968">
        <v>2521.7209345399997</v>
      </c>
      <c r="I253" s="1968">
        <v>443.60372776999998</v>
      </c>
      <c r="J253" s="1968">
        <v>726.85710709999989</v>
      </c>
      <c r="K253" s="1968">
        <v>519.55635375999998</v>
      </c>
      <c r="L253" s="1968">
        <v>831.70374590999984</v>
      </c>
      <c r="M253" s="1968">
        <f>SUM(N253:Q253)</f>
        <v>21102.647297390002</v>
      </c>
      <c r="N253" s="1968">
        <v>8931.2691753500021</v>
      </c>
      <c r="O253" s="1968">
        <v>824.88307325999972</v>
      </c>
      <c r="P253" s="1968">
        <v>9171.1516070199978</v>
      </c>
      <c r="Q253" s="1976">
        <v>2175.3434417600001</v>
      </c>
      <c r="R253" s="1955"/>
      <c r="S253" s="1955"/>
      <c r="T253" s="1955"/>
      <c r="U253" s="1955"/>
    </row>
    <row r="254" spans="1:21" ht="15.6">
      <c r="A254" s="1967" t="s">
        <v>19</v>
      </c>
      <c r="B254" s="1968">
        <v>35179.241788129999</v>
      </c>
      <c r="C254" s="1968">
        <v>11901.83757354</v>
      </c>
      <c r="D254" s="1968">
        <v>3414.4064955100002</v>
      </c>
      <c r="E254" s="1968">
        <v>3884.1172935800005</v>
      </c>
      <c r="F254" s="1968">
        <v>2121.8370014299999</v>
      </c>
      <c r="G254" s="1968">
        <v>2481.4767830199999</v>
      </c>
      <c r="H254" s="1968">
        <v>2555.5924169800001</v>
      </c>
      <c r="I254" s="1968">
        <v>438.28919721</v>
      </c>
      <c r="J254" s="1968">
        <v>828.35173551000003</v>
      </c>
      <c r="K254" s="1968">
        <v>492.38142025000002</v>
      </c>
      <c r="L254" s="1968">
        <v>796.57006401000001</v>
      </c>
      <c r="M254" s="1968">
        <v>20721.81179761</v>
      </c>
      <c r="N254" s="1968">
        <v>8557.6614139999983</v>
      </c>
      <c r="O254" s="1968">
        <v>917.65527167000005</v>
      </c>
      <c r="P254" s="1968">
        <v>8780.5398415799973</v>
      </c>
      <c r="Q254" s="1976">
        <v>2465.9552703600007</v>
      </c>
      <c r="R254" s="1955"/>
      <c r="S254" s="1955"/>
      <c r="T254" s="1955"/>
      <c r="U254" s="1955"/>
    </row>
    <row r="255" spans="1:21" ht="15.6">
      <c r="A255" s="1967" t="s">
        <v>20</v>
      </c>
      <c r="B255" s="1968">
        <v>34554.831504200003</v>
      </c>
      <c r="C255" s="1968">
        <v>11964.3955489</v>
      </c>
      <c r="D255" s="1968">
        <v>3479.5931833500008</v>
      </c>
      <c r="E255" s="1968">
        <v>3918.1247518900004</v>
      </c>
      <c r="F255" s="1968">
        <v>2142.5609507200002</v>
      </c>
      <c r="G255" s="1968">
        <v>2424.11666294</v>
      </c>
      <c r="H255" s="1968">
        <v>2640.2669581599998</v>
      </c>
      <c r="I255" s="1968">
        <v>445.15624847999999</v>
      </c>
      <c r="J255" s="1968">
        <v>842.03371348999985</v>
      </c>
      <c r="K255" s="1968">
        <v>521.60926846000007</v>
      </c>
      <c r="L255" s="1968">
        <v>831.46772772999998</v>
      </c>
      <c r="M255" s="1968">
        <v>19950.168997139997</v>
      </c>
      <c r="N255" s="1968">
        <v>9035.9212121699984</v>
      </c>
      <c r="O255" s="1968">
        <v>943.16542512000046</v>
      </c>
      <c r="P255" s="1968">
        <v>7497.333111500001</v>
      </c>
      <c r="Q255" s="1976">
        <v>2473.7492483499991</v>
      </c>
      <c r="R255" s="1955"/>
      <c r="S255" s="1955"/>
      <c r="T255" s="1955"/>
      <c r="U255" s="1955"/>
    </row>
    <row r="256" spans="1:21" ht="15.6">
      <c r="A256" s="1967" t="s">
        <v>21</v>
      </c>
      <c r="B256" s="1968">
        <v>35202.44502739</v>
      </c>
      <c r="C256" s="1968">
        <v>12211.631103010001</v>
      </c>
      <c r="D256" s="1968">
        <v>3707.7561475699995</v>
      </c>
      <c r="E256" s="1968">
        <v>3957.6163669000002</v>
      </c>
      <c r="F256" s="1968">
        <v>2112.1675288800002</v>
      </c>
      <c r="G256" s="1968">
        <v>2434.0910596600002</v>
      </c>
      <c r="H256" s="1968">
        <v>2909.8154623299997</v>
      </c>
      <c r="I256" s="1968">
        <v>537.49990011999989</v>
      </c>
      <c r="J256" s="1968">
        <v>810.83043857999996</v>
      </c>
      <c r="K256" s="1968">
        <v>742.31473015999995</v>
      </c>
      <c r="L256" s="1968">
        <v>819.17039347000002</v>
      </c>
      <c r="M256" s="1968">
        <v>20080.99846205</v>
      </c>
      <c r="N256" s="1968">
        <v>8912.2529908900015</v>
      </c>
      <c r="O256" s="1968">
        <v>989.99722295999959</v>
      </c>
      <c r="P256" s="1968">
        <v>7678.8398396400007</v>
      </c>
      <c r="Q256" s="1976">
        <v>2499.9084085600002</v>
      </c>
      <c r="R256" s="1955"/>
      <c r="S256" s="1955"/>
      <c r="T256" s="1955"/>
      <c r="U256" s="1955"/>
    </row>
    <row r="257" spans="1:21" ht="15.6">
      <c r="A257" s="1967" t="s">
        <v>22</v>
      </c>
      <c r="B257" s="1968">
        <v>35393.087325780005</v>
      </c>
      <c r="C257" s="1968">
        <v>12400.72389207</v>
      </c>
      <c r="D257" s="1968">
        <v>3638.1915757399997</v>
      </c>
      <c r="E257" s="1968">
        <v>4048.6433766999999</v>
      </c>
      <c r="F257" s="1968">
        <v>2293.8150252999999</v>
      </c>
      <c r="G257" s="1968">
        <v>2420.0739143300002</v>
      </c>
      <c r="H257" s="1968">
        <v>2730.8099622899999</v>
      </c>
      <c r="I257" s="1968">
        <v>479.36319852999998</v>
      </c>
      <c r="J257" s="1968">
        <v>757.49803850000001</v>
      </c>
      <c r="K257" s="1968">
        <v>702.2232703599999</v>
      </c>
      <c r="L257" s="1968">
        <v>791.72545490000005</v>
      </c>
      <c r="M257" s="1968">
        <v>20261.55347142</v>
      </c>
      <c r="N257" s="1968">
        <v>9099.2063087899987</v>
      </c>
      <c r="O257" s="1968">
        <v>1085.2929812100001</v>
      </c>
      <c r="P257" s="1968">
        <v>7599.6822621700012</v>
      </c>
      <c r="Q257" s="1976">
        <v>2477.3719192499998</v>
      </c>
      <c r="R257" s="1955"/>
      <c r="S257" s="1955"/>
      <c r="T257" s="1955"/>
      <c r="U257" s="1955"/>
    </row>
    <row r="258" spans="1:21" ht="15.6">
      <c r="A258" s="1967" t="s">
        <v>23</v>
      </c>
      <c r="B258" s="1968">
        <v>34512.94671289</v>
      </c>
      <c r="C258" s="1968">
        <v>12748.80840428</v>
      </c>
      <c r="D258" s="1968">
        <v>3919.253059690001</v>
      </c>
      <c r="E258" s="1968">
        <v>4168.1857900300001</v>
      </c>
      <c r="F258" s="1968">
        <v>2218.9736204400001</v>
      </c>
      <c r="G258" s="1968">
        <v>2442.3959341199998</v>
      </c>
      <c r="H258" s="1968">
        <v>2474.6619893899997</v>
      </c>
      <c r="I258" s="1968">
        <v>483.36870170999993</v>
      </c>
      <c r="J258" s="1968">
        <v>538.50201820999996</v>
      </c>
      <c r="K258" s="1968">
        <v>754.85433708000005</v>
      </c>
      <c r="L258" s="1968">
        <v>697.93693239000004</v>
      </c>
      <c r="M258" s="1968">
        <v>19289.476319220001</v>
      </c>
      <c r="N258" s="1968">
        <v>9087.9320951299997</v>
      </c>
      <c r="O258" s="1968">
        <v>1221.2513505599998</v>
      </c>
      <c r="P258" s="1968">
        <v>6208.7405400600001</v>
      </c>
      <c r="Q258" s="1976">
        <v>2771.5523334700001</v>
      </c>
      <c r="R258" s="1955"/>
      <c r="S258" s="1955"/>
      <c r="T258" s="1955"/>
      <c r="U258" s="1955"/>
    </row>
    <row r="259" spans="1:21" ht="15.6">
      <c r="A259" s="1967" t="s">
        <v>24</v>
      </c>
      <c r="B259" s="1968">
        <v>34023.467394450003</v>
      </c>
      <c r="C259" s="1968">
        <v>12705.497011170002</v>
      </c>
      <c r="D259" s="1968">
        <v>3841.6218606300017</v>
      </c>
      <c r="E259" s="1968">
        <v>4233.3811577100005</v>
      </c>
      <c r="F259" s="1968">
        <v>2204.1997610200001</v>
      </c>
      <c r="G259" s="1968">
        <v>2426.2942318099999</v>
      </c>
      <c r="H259" s="1968">
        <v>2232.1454882900002</v>
      </c>
      <c r="I259" s="1968">
        <v>477.44109351999992</v>
      </c>
      <c r="J259" s="1968">
        <v>646.29483213999993</v>
      </c>
      <c r="K259" s="1968">
        <v>405.64727720000002</v>
      </c>
      <c r="L259" s="1968">
        <v>702.76228543000013</v>
      </c>
      <c r="M259" s="1968">
        <v>19085.824894989997</v>
      </c>
      <c r="N259" s="1968">
        <v>9286.6060429799982</v>
      </c>
      <c r="O259" s="1968">
        <v>1284.1239086099999</v>
      </c>
      <c r="P259" s="1968">
        <v>5720.8652743700004</v>
      </c>
      <c r="Q259" s="1976">
        <v>2794.22966903</v>
      </c>
      <c r="R259" s="1955"/>
      <c r="S259" s="1955"/>
      <c r="T259" s="1955"/>
      <c r="U259" s="1955"/>
    </row>
    <row r="260" spans="1:21" ht="15.6">
      <c r="A260" s="1967" t="s">
        <v>25</v>
      </c>
      <c r="B260" s="1968">
        <v>34325.122664660004</v>
      </c>
      <c r="C260" s="1968">
        <v>12580.125602840002</v>
      </c>
      <c r="D260" s="1968">
        <v>3717.7469765400006</v>
      </c>
      <c r="E260" s="1968">
        <v>4300.07373069</v>
      </c>
      <c r="F260" s="1968">
        <v>2156.5808836800002</v>
      </c>
      <c r="G260" s="1968">
        <v>2405.7240119300004</v>
      </c>
      <c r="H260" s="1968">
        <v>2339.74333187</v>
      </c>
      <c r="I260" s="1968">
        <v>450.92321826</v>
      </c>
      <c r="J260" s="1968">
        <v>752.65208719999998</v>
      </c>
      <c r="K260" s="1968">
        <v>429.49120596000012</v>
      </c>
      <c r="L260" s="1968">
        <v>706.67682044999981</v>
      </c>
      <c r="M260" s="1968">
        <v>19405.25372995</v>
      </c>
      <c r="N260" s="1968">
        <v>9665.9177721800006</v>
      </c>
      <c r="O260" s="1968">
        <v>1439.0735833900007</v>
      </c>
      <c r="P260" s="1968">
        <v>5472.2485661600012</v>
      </c>
      <c r="Q260" s="1976">
        <v>2828.0138082199996</v>
      </c>
      <c r="R260" s="1955"/>
      <c r="S260" s="1955"/>
      <c r="T260" s="1955"/>
      <c r="U260" s="1955"/>
    </row>
    <row r="261" spans="1:21" ht="15.6">
      <c r="A261" s="1967" t="s">
        <v>26</v>
      </c>
      <c r="B261" s="1968">
        <v>34230.529272649997</v>
      </c>
      <c r="C261" s="1968">
        <v>12705.47209046</v>
      </c>
      <c r="D261" s="1968">
        <v>3880.6098629600001</v>
      </c>
      <c r="E261" s="1968">
        <v>4370.9302982199997</v>
      </c>
      <c r="F261" s="1968">
        <v>2065.8548022900004</v>
      </c>
      <c r="G261" s="1968">
        <v>2388.0771269900006</v>
      </c>
      <c r="H261" s="1968">
        <v>2061.74313605</v>
      </c>
      <c r="I261" s="1968">
        <v>454.72817416999999</v>
      </c>
      <c r="J261" s="1968">
        <v>498.49453416</v>
      </c>
      <c r="K261" s="1968">
        <v>342.53181935000009</v>
      </c>
      <c r="L261" s="1968">
        <v>765.98860836999984</v>
      </c>
      <c r="M261" s="1968">
        <v>19463.31404614</v>
      </c>
      <c r="N261" s="1968">
        <v>9792.3123714100002</v>
      </c>
      <c r="O261" s="1968">
        <v>1524.6560768599998</v>
      </c>
      <c r="P261" s="1968">
        <v>5310.0783720900008</v>
      </c>
      <c r="Q261" s="1976">
        <v>2836.26722578</v>
      </c>
      <c r="R261" s="1955"/>
      <c r="S261" s="1955"/>
      <c r="T261" s="1955"/>
      <c r="U261" s="1955"/>
    </row>
    <row r="262" spans="1:21" ht="15.6">
      <c r="A262" s="1967" t="s">
        <v>27</v>
      </c>
      <c r="B262" s="1968">
        <v>34991.250378479992</v>
      </c>
      <c r="C262" s="1968" t="s">
        <v>4005</v>
      </c>
      <c r="D262" s="1968">
        <v>3891.0796489800005</v>
      </c>
      <c r="E262" s="1968">
        <v>4250.6065408099994</v>
      </c>
      <c r="F262" s="1968">
        <v>2076.4297283799997</v>
      </c>
      <c r="G262" s="1968">
        <v>2345.9637463600002</v>
      </c>
      <c r="H262" s="1968">
        <v>1929.3409091000001</v>
      </c>
      <c r="I262" s="1968">
        <v>479.50345427999997</v>
      </c>
      <c r="J262" s="1968">
        <v>500.53369467000005</v>
      </c>
      <c r="K262" s="1968">
        <v>312.69315468000002</v>
      </c>
      <c r="L262" s="1968">
        <v>636.61060547</v>
      </c>
      <c r="M262" s="1968">
        <v>20497.82980485</v>
      </c>
      <c r="N262" s="1968">
        <v>9776.2881645199977</v>
      </c>
      <c r="O262" s="1968">
        <v>1677.7987509499999</v>
      </c>
      <c r="P262" s="1968">
        <v>6258.7118345800009</v>
      </c>
      <c r="Q262" s="1976">
        <v>2785.0310548000011</v>
      </c>
      <c r="R262" s="1955"/>
      <c r="S262" s="1955"/>
      <c r="T262" s="1955"/>
      <c r="U262" s="1955"/>
    </row>
    <row r="263" spans="1:21" ht="15.6">
      <c r="A263" s="1967" t="s">
        <v>28</v>
      </c>
      <c r="B263" s="1968">
        <v>35128.819710420001</v>
      </c>
      <c r="C263" s="1968">
        <v>12524.91391736</v>
      </c>
      <c r="D263" s="1968">
        <v>3855.3848485999997</v>
      </c>
      <c r="E263" s="1968">
        <v>4379.7804269200005</v>
      </c>
      <c r="F263" s="1968">
        <v>1931.6570532300002</v>
      </c>
      <c r="G263" s="1968">
        <v>2358.0915886099997</v>
      </c>
      <c r="H263" s="1968">
        <v>1925.2084528099999</v>
      </c>
      <c r="I263" s="1968">
        <v>476.78213931999994</v>
      </c>
      <c r="J263" s="1968">
        <v>505.10693558000003</v>
      </c>
      <c r="K263" s="1968">
        <v>301.94481826999998</v>
      </c>
      <c r="L263" s="1968">
        <v>641.37455964000003</v>
      </c>
      <c r="M263" s="1968">
        <v>20678.697340250001</v>
      </c>
      <c r="N263" s="1968">
        <v>10287.15809284</v>
      </c>
      <c r="O263" s="1968">
        <v>1736.8300263000001</v>
      </c>
      <c r="P263" s="1968">
        <v>5789.7915937899998</v>
      </c>
      <c r="Q263" s="1976">
        <v>2864.9176273200001</v>
      </c>
      <c r="R263" s="1955"/>
      <c r="S263" s="1955"/>
      <c r="T263" s="1955"/>
      <c r="U263" s="1955"/>
    </row>
    <row r="264" spans="1:21" ht="15.6">
      <c r="A264" s="1967" t="s">
        <v>29</v>
      </c>
      <c r="B264" s="1968">
        <v>36965.110117480006</v>
      </c>
      <c r="C264" s="1968">
        <v>12947.755622960001</v>
      </c>
      <c r="D264" s="1968">
        <v>4124.6015843100004</v>
      </c>
      <c r="E264" s="1968">
        <v>4521.4856089800005</v>
      </c>
      <c r="F264" s="1968">
        <v>1939.8341434000004</v>
      </c>
      <c r="G264" s="1968">
        <v>2361.8342862699997</v>
      </c>
      <c r="H264" s="1968">
        <v>2365.8000574199996</v>
      </c>
      <c r="I264" s="1968">
        <v>491.69795726999985</v>
      </c>
      <c r="J264" s="1968">
        <v>758.92889563000006</v>
      </c>
      <c r="K264" s="1968">
        <v>453.45584865000006</v>
      </c>
      <c r="L264" s="1968">
        <v>661.71735586999989</v>
      </c>
      <c r="M264" s="1968">
        <v>21651.554437100003</v>
      </c>
      <c r="N264" s="1968">
        <v>10384.998328200003</v>
      </c>
      <c r="O264" s="1968">
        <v>1962.1157988499986</v>
      </c>
      <c r="P264" s="1968">
        <v>6224.2248027799997</v>
      </c>
      <c r="Q264" s="1976">
        <v>3080.2155072699998</v>
      </c>
      <c r="R264" s="1955"/>
      <c r="S264" s="1955"/>
      <c r="T264" s="1955"/>
      <c r="U264" s="1955"/>
    </row>
    <row r="265" spans="1:21" ht="15.6">
      <c r="A265" s="1967" t="s">
        <v>4086</v>
      </c>
      <c r="B265" s="1968"/>
      <c r="C265" s="1968"/>
      <c r="D265" s="1968"/>
      <c r="E265" s="1968"/>
      <c r="F265" s="1968"/>
      <c r="G265" s="1968"/>
      <c r="H265" s="1968"/>
      <c r="I265" s="1968"/>
      <c r="J265" s="1968"/>
      <c r="K265" s="1968"/>
      <c r="L265" s="1968"/>
      <c r="M265" s="1968"/>
      <c r="N265" s="1968"/>
      <c r="O265" s="1968"/>
      <c r="P265" s="1968"/>
      <c r="Q265" s="1976"/>
      <c r="R265" s="1955"/>
      <c r="S265" s="1955"/>
      <c r="T265" s="1955"/>
      <c r="U265" s="1955"/>
    </row>
    <row r="266" spans="1:21" ht="15.6">
      <c r="A266" s="1967" t="s">
        <v>18</v>
      </c>
      <c r="B266" s="1968">
        <v>37588.947156480004</v>
      </c>
      <c r="C266" s="1968">
        <v>13116.172725189997</v>
      </c>
      <c r="D266" s="1968">
        <v>3900.15271975</v>
      </c>
      <c r="E266" s="1968">
        <v>4630.7480746399997</v>
      </c>
      <c r="F266" s="1968">
        <v>2101.5505658699994</v>
      </c>
      <c r="G266" s="1968">
        <v>2483.7213649299997</v>
      </c>
      <c r="H266" s="1968">
        <v>2729.7897326100001</v>
      </c>
      <c r="I266" s="1968">
        <v>497.33025177000002</v>
      </c>
      <c r="J266" s="1968">
        <v>828.49891926000009</v>
      </c>
      <c r="K266" s="1968">
        <v>660.0673843699999</v>
      </c>
      <c r="L266" s="1968">
        <v>743.89317720999998</v>
      </c>
      <c r="M266" s="1968">
        <v>21742.984698680004</v>
      </c>
      <c r="N266" s="1968">
        <v>10301.069800620002</v>
      </c>
      <c r="O266" s="1968">
        <v>1783.3458688800006</v>
      </c>
      <c r="P266" s="1968">
        <v>6234.707242970002</v>
      </c>
      <c r="Q266" s="1976">
        <v>3423.8617862100004</v>
      </c>
      <c r="R266" s="1955"/>
      <c r="S266" s="1955"/>
      <c r="T266" s="1955"/>
      <c r="U266" s="1955"/>
    </row>
    <row r="267" spans="1:21" ht="15.6">
      <c r="A267" s="1977" t="s">
        <v>19</v>
      </c>
      <c r="B267" s="1978">
        <v>37154.228410869997</v>
      </c>
      <c r="C267" s="1978">
        <v>13267.209236139999</v>
      </c>
      <c r="D267" s="1978">
        <v>3899.9471199000004</v>
      </c>
      <c r="E267" s="1978">
        <v>4679.5241555499988</v>
      </c>
      <c r="F267" s="1978">
        <v>2191.4857113499997</v>
      </c>
      <c r="G267" s="1978">
        <v>2496.2522493399997</v>
      </c>
      <c r="H267" s="1978">
        <v>2311.1592694000001</v>
      </c>
      <c r="I267" s="1978">
        <v>538.25472792000016</v>
      </c>
      <c r="J267" s="1978">
        <v>577.91921739999998</v>
      </c>
      <c r="K267" s="1978">
        <v>505.20691405000008</v>
      </c>
      <c r="L267" s="1978">
        <v>689.7784100299998</v>
      </c>
      <c r="M267" s="1978">
        <f>SUM(N267:Q267)</f>
        <v>21575.859905329999</v>
      </c>
      <c r="N267" s="1978">
        <v>10629.706787090001</v>
      </c>
      <c r="O267" s="1978">
        <v>1851.8328299999994</v>
      </c>
      <c r="P267" s="1978">
        <v>5482.9545071999992</v>
      </c>
      <c r="Q267" s="1979">
        <v>3611.36578104</v>
      </c>
      <c r="R267" s="1955"/>
      <c r="S267" s="1955"/>
      <c r="T267" s="1955"/>
      <c r="U267" s="1955"/>
    </row>
    <row r="268" spans="1:21" s="1980" customFormat="1" ht="20.25" customHeight="1">
      <c r="A268" s="2441" t="s">
        <v>4022</v>
      </c>
      <c r="B268" s="2441"/>
      <c r="C268" s="2441"/>
      <c r="D268" s="2441"/>
      <c r="E268" s="2441"/>
      <c r="F268" s="2441"/>
      <c r="G268" s="2441"/>
      <c r="H268" s="2441"/>
      <c r="I268" s="2441"/>
      <c r="J268" s="2441"/>
      <c r="K268" s="2441"/>
      <c r="L268" s="2441"/>
      <c r="M268" s="2441"/>
      <c r="N268" s="2441"/>
      <c r="O268" s="2441"/>
      <c r="P268" s="2441"/>
      <c r="Q268" s="2441"/>
    </row>
    <row r="269" spans="1:21" s="1980" customFormat="1" ht="35.25" customHeight="1">
      <c r="A269" s="2441" t="s">
        <v>2762</v>
      </c>
      <c r="B269" s="2441"/>
      <c r="C269" s="2441"/>
      <c r="D269" s="2441"/>
      <c r="E269" s="2441"/>
      <c r="F269" s="2441"/>
      <c r="G269" s="2441"/>
      <c r="H269" s="2441"/>
      <c r="I269" s="2441"/>
      <c r="J269" s="2441"/>
      <c r="K269" s="2441"/>
      <c r="L269" s="2441"/>
      <c r="M269" s="2441"/>
      <c r="N269" s="2441"/>
      <c r="O269" s="2441"/>
      <c r="P269" s="2441"/>
      <c r="Q269" s="2441"/>
    </row>
    <row r="270" spans="1:21" s="1980" customFormat="1" ht="15.75" customHeight="1">
      <c r="A270" s="2442" t="s">
        <v>2757</v>
      </c>
      <c r="B270" s="2442"/>
      <c r="C270" s="2442"/>
      <c r="D270" s="2442"/>
      <c r="E270" s="2442"/>
      <c r="F270" s="2442"/>
      <c r="G270" s="2442"/>
      <c r="H270" s="2442"/>
      <c r="I270" s="2442"/>
      <c r="J270" s="2442"/>
      <c r="K270" s="2442"/>
      <c r="L270" s="2442"/>
      <c r="M270" s="2442"/>
      <c r="N270" s="2442"/>
      <c r="O270" s="2442"/>
      <c r="P270" s="2442"/>
      <c r="Q270" s="2442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68:Q268"/>
    <mergeCell ref="A269:Q269"/>
    <mergeCell ref="A270:Q270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74"/>
  <sheetViews>
    <sheetView showGridLines="0" view="pageBreakPreview" zoomScale="115" zoomScaleSheetLayoutView="115" workbookViewId="0">
      <pane ySplit="42" topLeftCell="A258" activePane="bottomLeft" state="frozen"/>
      <selection activeCell="G291" sqref="G291"/>
      <selection pane="bottomLeft" activeCell="F282" sqref="F282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48" t="s">
        <v>2808</v>
      </c>
      <c r="B2" s="2448"/>
      <c r="C2" s="2448"/>
      <c r="D2" s="2448"/>
      <c r="E2" s="2448"/>
      <c r="F2" s="2448"/>
    </row>
    <row r="3" spans="1:82" ht="24" customHeight="1">
      <c r="A3" s="2449" t="s">
        <v>2809</v>
      </c>
      <c r="B3" s="2449"/>
      <c r="C3" s="2449"/>
      <c r="D3" s="2449"/>
      <c r="E3" s="2449"/>
      <c r="F3" s="2449"/>
    </row>
    <row r="4" spans="1:82" s="798" customFormat="1" ht="12" customHeight="1">
      <c r="A4" s="797"/>
      <c r="B4" s="797"/>
      <c r="C4" s="797"/>
      <c r="D4" s="797"/>
      <c r="E4" s="797"/>
      <c r="F4" s="797"/>
    </row>
    <row r="5" spans="1:82" s="798" customFormat="1" ht="12" customHeight="1">
      <c r="A5" s="2455" t="s">
        <v>158</v>
      </c>
      <c r="B5" s="2455"/>
      <c r="C5" s="2455"/>
      <c r="D5" s="2455"/>
      <c r="E5" s="2455"/>
      <c r="F5" s="2455"/>
    </row>
    <row r="6" spans="1:82" s="65" customFormat="1">
      <c r="A6" s="2452" t="s">
        <v>182</v>
      </c>
      <c r="B6" s="2450" t="s">
        <v>204</v>
      </c>
      <c r="C6" s="2451" t="s">
        <v>144</v>
      </c>
      <c r="D6" s="2451"/>
      <c r="E6" s="2451"/>
      <c r="F6" s="2451"/>
    </row>
    <row r="7" spans="1:82" s="65" customFormat="1">
      <c r="A7" s="2453"/>
      <c r="B7" s="2450"/>
      <c r="C7" s="2451" t="s">
        <v>189</v>
      </c>
      <c r="D7" s="2451"/>
      <c r="E7" s="2451" t="s">
        <v>207</v>
      </c>
      <c r="F7" s="2451"/>
      <c r="CC7" s="343" t="s">
        <v>2089</v>
      </c>
      <c r="CD7" s="358" t="s">
        <v>2090</v>
      </c>
    </row>
    <row r="8" spans="1:82" s="65" customFormat="1" ht="21.75" customHeight="1">
      <c r="A8" s="2454"/>
      <c r="B8" s="2450"/>
      <c r="C8" s="654" t="s">
        <v>208</v>
      </c>
      <c r="D8" s="654" t="s">
        <v>209</v>
      </c>
      <c r="E8" s="654" t="s">
        <v>208</v>
      </c>
      <c r="F8" s="654" t="s">
        <v>209</v>
      </c>
      <c r="BY8" s="65">
        <f>BY10+BY22+BY32+BY40</f>
        <v>0</v>
      </c>
      <c r="CC8" s="65">
        <f>CC10+CC22+CC32+CC40</f>
        <v>622</v>
      </c>
      <c r="CD8" s="359">
        <f>BY8+BZ8+CA8+CC8</f>
        <v>622</v>
      </c>
    </row>
    <row r="9" spans="1:82" ht="10.5" customHeight="1">
      <c r="A9" s="2459"/>
      <c r="B9" s="2459"/>
      <c r="C9" s="2459"/>
      <c r="D9" s="2459"/>
      <c r="E9" s="2459"/>
      <c r="F9" s="2459"/>
      <c r="CD9" s="243"/>
    </row>
    <row r="10" spans="1:82">
      <c r="A10" s="2443" t="s">
        <v>304</v>
      </c>
      <c r="B10" s="2460" t="s">
        <v>210</v>
      </c>
      <c r="C10" s="2461" t="s">
        <v>149</v>
      </c>
      <c r="D10" s="2461"/>
      <c r="E10" s="2461"/>
      <c r="F10" s="2461"/>
      <c r="CC10" s="63">
        <f>CC12+CC17</f>
        <v>1713</v>
      </c>
      <c r="CD10" s="243">
        <f>BY10+BZ10+CA10+CC10</f>
        <v>1713</v>
      </c>
    </row>
    <row r="11" spans="1:82">
      <c r="A11" s="2443"/>
      <c r="B11" s="2460"/>
      <c r="C11" s="2461" t="s">
        <v>212</v>
      </c>
      <c r="D11" s="2461"/>
      <c r="E11" s="2461" t="s">
        <v>213</v>
      </c>
      <c r="F11" s="2461"/>
      <c r="CD11" s="243"/>
    </row>
    <row r="12" spans="1:82">
      <c r="A12" s="2443"/>
      <c r="B12" s="2460"/>
      <c r="C12" s="655" t="s">
        <v>214</v>
      </c>
      <c r="D12" s="655" t="s">
        <v>215</v>
      </c>
      <c r="E12" s="655" t="s">
        <v>214</v>
      </c>
      <c r="F12" s="655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9">
        <v>2007</v>
      </c>
      <c r="B43" s="800">
        <f>+B55</f>
        <v>4127.1830896899992</v>
      </c>
      <c r="C43" s="801">
        <f>+C55</f>
        <v>962.80140343000005</v>
      </c>
      <c r="D43" s="801">
        <f>+D55</f>
        <v>939.37474758999997</v>
      </c>
      <c r="E43" s="801">
        <f>+E55</f>
        <v>754.22318668000003</v>
      </c>
      <c r="F43" s="801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802" t="s">
        <v>18</v>
      </c>
      <c r="B44" s="771">
        <v>2096.6167330800004</v>
      </c>
      <c r="C44" s="771">
        <v>500.89812204999998</v>
      </c>
      <c r="D44" s="771">
        <v>239.62635330000001</v>
      </c>
      <c r="E44" s="771">
        <v>568.77467502000013</v>
      </c>
      <c r="F44" s="771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802" t="s">
        <v>19</v>
      </c>
      <c r="B45" s="771">
        <v>2147.5673924400003</v>
      </c>
      <c r="C45" s="771">
        <v>555.72444240000004</v>
      </c>
      <c r="D45" s="771">
        <v>271.51318447000006</v>
      </c>
      <c r="E45" s="771">
        <v>554.85489386000017</v>
      </c>
      <c r="F45" s="771">
        <v>765.47487171000012</v>
      </c>
      <c r="G45" s="62"/>
      <c r="H45" s="62"/>
      <c r="I45" s="62"/>
      <c r="CD45" s="243"/>
    </row>
    <row r="46" spans="1:82" hidden="1">
      <c r="A46" s="802" t="s">
        <v>20</v>
      </c>
      <c r="B46" s="771">
        <v>2238.0863028400004</v>
      </c>
      <c r="C46" s="771">
        <v>623.47124249000012</v>
      </c>
      <c r="D46" s="771">
        <v>316.03156693999995</v>
      </c>
      <c r="E46" s="771">
        <v>538.59962176000033</v>
      </c>
      <c r="F46" s="771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802" t="s">
        <v>21</v>
      </c>
      <c r="B47" s="771">
        <v>2248.8268927600006</v>
      </c>
      <c r="C47" s="771">
        <v>631.53492568999991</v>
      </c>
      <c r="D47" s="771">
        <v>364.90249673</v>
      </c>
      <c r="E47" s="771">
        <v>502.66455941000072</v>
      </c>
      <c r="F47" s="771">
        <v>749.72491093000008</v>
      </c>
      <c r="G47" s="62"/>
      <c r="H47" s="62"/>
      <c r="I47" s="62"/>
      <c r="CD47" s="243"/>
    </row>
    <row r="48" spans="1:82" hidden="1">
      <c r="A48" s="802" t="s">
        <v>22</v>
      </c>
      <c r="B48" s="771">
        <v>2371.46952508</v>
      </c>
      <c r="C48" s="771">
        <v>637.2352648000001</v>
      </c>
      <c r="D48" s="771">
        <v>412.29131131999998</v>
      </c>
      <c r="E48" s="771">
        <v>450.2158744100002</v>
      </c>
      <c r="F48" s="771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802" t="s">
        <v>23</v>
      </c>
      <c r="B49" s="771">
        <v>2436.3426978500001</v>
      </c>
      <c r="C49" s="771">
        <v>646.50913603000015</v>
      </c>
      <c r="D49" s="771">
        <v>434.10216400999997</v>
      </c>
      <c r="E49" s="771">
        <v>460.14052797999977</v>
      </c>
      <c r="F49" s="771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802" t="s">
        <v>24</v>
      </c>
      <c r="B50" s="771">
        <v>2510.4601260499999</v>
      </c>
      <c r="C50" s="771">
        <v>599.20595492000007</v>
      </c>
      <c r="D50" s="771">
        <v>529.65593548999993</v>
      </c>
      <c r="E50" s="771">
        <v>436.07674095000004</v>
      </c>
      <c r="F50" s="771">
        <v>945.52149468999994</v>
      </c>
      <c r="G50" s="62"/>
      <c r="H50" s="62"/>
      <c r="I50" s="62"/>
      <c r="CD50" s="243"/>
    </row>
    <row r="51" spans="1:82" hidden="1">
      <c r="A51" s="802" t="s">
        <v>25</v>
      </c>
      <c r="B51" s="771">
        <v>2743.0334336599999</v>
      </c>
      <c r="C51" s="771">
        <v>715.95557969000004</v>
      </c>
      <c r="D51" s="771">
        <v>577.80696886999999</v>
      </c>
      <c r="E51" s="771">
        <v>408.43194174999985</v>
      </c>
      <c r="F51" s="771">
        <v>1040.8389433500001</v>
      </c>
      <c r="CC51" s="63">
        <v>954</v>
      </c>
      <c r="CD51" s="243">
        <f t="shared" si="0"/>
        <v>954</v>
      </c>
    </row>
    <row r="52" spans="1:82" hidden="1">
      <c r="A52" s="802" t="s">
        <v>26</v>
      </c>
      <c r="B52" s="771">
        <v>2973.8333739999994</v>
      </c>
      <c r="C52" s="771">
        <v>737.22614386999987</v>
      </c>
      <c r="D52" s="771">
        <v>602.77646406000008</v>
      </c>
      <c r="E52" s="771">
        <v>522.36250482999958</v>
      </c>
      <c r="F52" s="771">
        <v>1111.4682612399999</v>
      </c>
      <c r="CC52" s="63">
        <v>11</v>
      </c>
      <c r="CD52" s="243">
        <f t="shared" si="0"/>
        <v>11</v>
      </c>
    </row>
    <row r="53" spans="1:82" hidden="1">
      <c r="A53" s="802" t="s">
        <v>27</v>
      </c>
      <c r="B53" s="771">
        <v>3100.1979160199999</v>
      </c>
      <c r="C53" s="771">
        <v>710.45201737000002</v>
      </c>
      <c r="D53" s="771">
        <v>650.90874280999992</v>
      </c>
      <c r="E53" s="771">
        <v>564.51048482999977</v>
      </c>
      <c r="F53" s="771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802" t="s">
        <v>28</v>
      </c>
      <c r="B54" s="771">
        <v>3149.9321332299996</v>
      </c>
      <c r="C54" s="771">
        <v>867.56669267000018</v>
      </c>
      <c r="D54" s="771">
        <v>620.34134030999985</v>
      </c>
      <c r="E54" s="771">
        <v>494.67887402999986</v>
      </c>
      <c r="F54" s="771">
        <v>1167.3452262199999</v>
      </c>
      <c r="CD54" s="243"/>
    </row>
    <row r="55" spans="1:82" hidden="1">
      <c r="A55" s="802" t="s">
        <v>29</v>
      </c>
      <c r="B55" s="771">
        <f>+C55+D55+E55+F55</f>
        <v>4127.1830896899992</v>
      </c>
      <c r="C55" s="771">
        <v>962.80140343000005</v>
      </c>
      <c r="D55" s="771">
        <v>939.37474758999997</v>
      </c>
      <c r="E55" s="771">
        <v>754.22318668000003</v>
      </c>
      <c r="F55" s="771">
        <v>1470.7837519899999</v>
      </c>
      <c r="CC55" s="63">
        <v>1214</v>
      </c>
      <c r="CD55" s="243">
        <f t="shared" si="0"/>
        <v>1214</v>
      </c>
    </row>
    <row r="56" spans="1:82">
      <c r="A56" s="803">
        <v>2008</v>
      </c>
      <c r="B56" s="804">
        <f>+B68</f>
        <v>6460.18830738</v>
      </c>
      <c r="C56" s="805">
        <f>+C68</f>
        <v>1054.10083994</v>
      </c>
      <c r="D56" s="805">
        <f>+D68</f>
        <v>1240.0590658599999</v>
      </c>
      <c r="E56" s="805">
        <f>+E68</f>
        <v>1025.2839537199998</v>
      </c>
      <c r="F56" s="805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802" t="s">
        <v>18</v>
      </c>
      <c r="B57" s="771">
        <v>3376.28206215</v>
      </c>
      <c r="C57" s="771">
        <v>768.52430240000001</v>
      </c>
      <c r="D57" s="771">
        <v>797.26867460000005</v>
      </c>
      <c r="E57" s="771">
        <v>506.97141882999995</v>
      </c>
      <c r="F57" s="771">
        <v>1303.51766632</v>
      </c>
      <c r="CC57" s="63">
        <v>0</v>
      </c>
      <c r="CD57" s="243">
        <f>BY57+BZ57+CA57+CC57</f>
        <v>0</v>
      </c>
    </row>
    <row r="58" spans="1:82" hidden="1">
      <c r="A58" s="802" t="s">
        <v>19</v>
      </c>
      <c r="B58" s="771">
        <v>3865.3276896699995</v>
      </c>
      <c r="C58" s="771">
        <v>825.45538856999997</v>
      </c>
      <c r="D58" s="771">
        <v>843.62777799000003</v>
      </c>
      <c r="E58" s="771">
        <v>440.12653222999916</v>
      </c>
      <c r="F58" s="771">
        <v>1756.11799088</v>
      </c>
      <c r="CC58" s="63">
        <v>15</v>
      </c>
      <c r="CD58" s="243">
        <f>BY58+BZ58+CA58+CC58</f>
        <v>15</v>
      </c>
    </row>
    <row r="59" spans="1:82" hidden="1">
      <c r="A59" s="802" t="s">
        <v>20</v>
      </c>
      <c r="B59" s="771">
        <v>3801.2519231299993</v>
      </c>
      <c r="C59" s="771">
        <v>829.32714390000001</v>
      </c>
      <c r="D59" s="771">
        <v>828.96395896999991</v>
      </c>
      <c r="E59" s="771">
        <v>380.5191615699996</v>
      </c>
      <c r="F59" s="771">
        <v>1762.4416586899997</v>
      </c>
      <c r="CC59" s="63">
        <v>-372</v>
      </c>
      <c r="CD59" s="243">
        <f>BY59+BZ59+CA59+CC59</f>
        <v>-372</v>
      </c>
    </row>
    <row r="60" spans="1:82" hidden="1">
      <c r="A60" s="802" t="s">
        <v>21</v>
      </c>
      <c r="B60" s="771">
        <v>3859.7257464200002</v>
      </c>
      <c r="C60" s="771">
        <v>823.78469875000008</v>
      </c>
      <c r="D60" s="771">
        <v>823.35633608000001</v>
      </c>
      <c r="E60" s="771">
        <v>492.56992217000015</v>
      </c>
      <c r="F60" s="771">
        <v>1720.0147894199999</v>
      </c>
      <c r="CC60" s="63">
        <v>-231</v>
      </c>
      <c r="CD60" s="243">
        <f>BY60+BZ60+CA60+CC60</f>
        <v>-231</v>
      </c>
    </row>
    <row r="61" spans="1:82" hidden="1">
      <c r="A61" s="802" t="s">
        <v>22</v>
      </c>
      <c r="B61" s="771">
        <v>4120.4938849399996</v>
      </c>
      <c r="C61" s="771">
        <v>733.3566900300001</v>
      </c>
      <c r="D61" s="771">
        <v>848.16434855999967</v>
      </c>
      <c r="E61" s="771">
        <v>614.47702447999995</v>
      </c>
      <c r="F61" s="771">
        <v>1924.4958218699996</v>
      </c>
      <c r="CD61" s="243"/>
    </row>
    <row r="62" spans="1:82" hidden="1">
      <c r="A62" s="802" t="s">
        <v>23</v>
      </c>
      <c r="B62" s="771">
        <v>4372.531935779999</v>
      </c>
      <c r="C62" s="771">
        <v>915.37709487999996</v>
      </c>
      <c r="D62" s="771">
        <v>789.03245963999984</v>
      </c>
      <c r="E62" s="771">
        <v>777.13472702999934</v>
      </c>
      <c r="F62" s="771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802" t="s">
        <v>24</v>
      </c>
      <c r="B63" s="771">
        <v>4259.7083277299998</v>
      </c>
      <c r="C63" s="771">
        <v>817.57940257999996</v>
      </c>
      <c r="D63" s="771">
        <v>845.68619052999986</v>
      </c>
      <c r="E63" s="771">
        <v>639.7181546700001</v>
      </c>
      <c r="F63" s="771">
        <v>1956.7245799499999</v>
      </c>
    </row>
    <row r="64" spans="1:82" hidden="1">
      <c r="A64" s="802" t="s">
        <v>25</v>
      </c>
      <c r="B64" s="771">
        <v>4523.3699284900003</v>
      </c>
      <c r="C64" s="771">
        <v>927.76715772</v>
      </c>
      <c r="D64" s="771">
        <v>885.36824561000003</v>
      </c>
      <c r="E64" s="771">
        <v>808.0362977800005</v>
      </c>
      <c r="F64" s="771">
        <v>1902.1982273799999</v>
      </c>
    </row>
    <row r="65" spans="1:6" hidden="1">
      <c r="A65" s="802" t="s">
        <v>26</v>
      </c>
      <c r="B65" s="771">
        <v>4479.4917286</v>
      </c>
      <c r="C65" s="771">
        <v>1020.19687441</v>
      </c>
      <c r="D65" s="771">
        <v>853.73524149000002</v>
      </c>
      <c r="E65" s="771">
        <v>727.92260166999995</v>
      </c>
      <c r="F65" s="771">
        <v>1877.6370110299999</v>
      </c>
    </row>
    <row r="66" spans="1:6" hidden="1">
      <c r="A66" s="802" t="s">
        <v>27</v>
      </c>
      <c r="B66" s="771">
        <v>4508.2237846199996</v>
      </c>
      <c r="C66" s="771">
        <v>929.56421783999997</v>
      </c>
      <c r="D66" s="771">
        <v>876.26212197999996</v>
      </c>
      <c r="E66" s="771">
        <v>871.11896935999994</v>
      </c>
      <c r="F66" s="771">
        <v>1831.27847544</v>
      </c>
    </row>
    <row r="67" spans="1:6" hidden="1">
      <c r="A67" s="802" t="s">
        <v>28</v>
      </c>
      <c r="B67" s="771">
        <v>4544.0344337400002</v>
      </c>
      <c r="C67" s="771">
        <v>968.76667119000001</v>
      </c>
      <c r="D67" s="771">
        <v>880.39156925999998</v>
      </c>
      <c r="E67" s="771">
        <v>735.63239218000012</v>
      </c>
      <c r="F67" s="771">
        <v>1959.24380111</v>
      </c>
    </row>
    <row r="68" spans="1:6" hidden="1">
      <c r="A68" s="802" t="s">
        <v>29</v>
      </c>
      <c r="B68" s="771">
        <f>+C68+D68+E68+F68</f>
        <v>6460.18830738</v>
      </c>
      <c r="C68" s="771">
        <v>1054.10083994</v>
      </c>
      <c r="D68" s="771">
        <v>1240.0590658599999</v>
      </c>
      <c r="E68" s="771">
        <v>1025.2839537199998</v>
      </c>
      <c r="F68" s="771">
        <v>3140.7444478599996</v>
      </c>
    </row>
    <row r="69" spans="1:6">
      <c r="A69" s="803">
        <v>2009</v>
      </c>
      <c r="B69" s="804">
        <f>+B81</f>
        <v>6379.1216378400004</v>
      </c>
      <c r="C69" s="805">
        <f>+C81</f>
        <v>1132.9879476500003</v>
      </c>
      <c r="D69" s="805">
        <f>+D81</f>
        <v>1220.3371491299997</v>
      </c>
      <c r="E69" s="805">
        <f>+E81</f>
        <v>1057.7832312799999</v>
      </c>
      <c r="F69" s="805">
        <f>+F81</f>
        <v>2968.0133097800008</v>
      </c>
    </row>
    <row r="70" spans="1:6" hidden="1">
      <c r="A70" s="802" t="s">
        <v>18</v>
      </c>
      <c r="B70" s="771">
        <f t="shared" ref="B70:B80" si="1">+C70+D70+E70+F70</f>
        <v>5287.8590411399991</v>
      </c>
      <c r="C70" s="771">
        <v>868.14582484000005</v>
      </c>
      <c r="D70" s="771">
        <v>825.67736874000002</v>
      </c>
      <c r="E70" s="771">
        <v>1685.3318265699997</v>
      </c>
      <c r="F70" s="771">
        <v>1908.7040209899999</v>
      </c>
    </row>
    <row r="71" spans="1:6" hidden="1">
      <c r="A71" s="802" t="s">
        <v>19</v>
      </c>
      <c r="B71" s="771">
        <f t="shared" si="1"/>
        <v>4160.1361393999996</v>
      </c>
      <c r="C71" s="771">
        <v>870.92294863999996</v>
      </c>
      <c r="D71" s="771">
        <v>690.76265406000005</v>
      </c>
      <c r="E71" s="771">
        <v>890.27298991999965</v>
      </c>
      <c r="F71" s="771">
        <v>1708.1775467800001</v>
      </c>
    </row>
    <row r="72" spans="1:6" hidden="1">
      <c r="A72" s="802" t="s">
        <v>20</v>
      </c>
      <c r="B72" s="771">
        <f t="shared" si="1"/>
        <v>3554.1640134599993</v>
      </c>
      <c r="C72" s="771">
        <v>787.09007223000003</v>
      </c>
      <c r="D72" s="771">
        <v>580.17292530999998</v>
      </c>
      <c r="E72" s="771">
        <v>949.88917914999979</v>
      </c>
      <c r="F72" s="771">
        <v>1237.0118367699999</v>
      </c>
    </row>
    <row r="73" spans="1:6" hidden="1">
      <c r="A73" s="802" t="s">
        <v>21</v>
      </c>
      <c r="B73" s="771">
        <f t="shared" si="1"/>
        <v>3624.8817440100001</v>
      </c>
      <c r="C73" s="771">
        <v>819.15391356999999</v>
      </c>
      <c r="D73" s="771">
        <v>556.02494530000001</v>
      </c>
      <c r="E73" s="771">
        <v>882.42495284000006</v>
      </c>
      <c r="F73" s="771">
        <v>1367.2779323</v>
      </c>
    </row>
    <row r="74" spans="1:6" hidden="1">
      <c r="A74" s="806" t="s">
        <v>22</v>
      </c>
      <c r="B74" s="771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802" t="s">
        <v>23</v>
      </c>
      <c r="B75" s="771">
        <f t="shared" si="1"/>
        <v>3696.3320366399998</v>
      </c>
      <c r="C75" s="771">
        <v>735.32850857999995</v>
      </c>
      <c r="D75" s="771">
        <v>585.73301329000003</v>
      </c>
      <c r="E75" s="771">
        <v>910.04478071999984</v>
      </c>
      <c r="F75" s="771">
        <v>1465.22573405</v>
      </c>
    </row>
    <row r="76" spans="1:6" s="64" customFormat="1" hidden="1">
      <c r="A76" s="806" t="s">
        <v>24</v>
      </c>
      <c r="B76" s="771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806" t="s">
        <v>25</v>
      </c>
      <c r="B77" s="771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806" t="s">
        <v>26</v>
      </c>
      <c r="B78" s="771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806" t="s">
        <v>27</v>
      </c>
      <c r="B79" s="771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802" t="s">
        <v>28</v>
      </c>
      <c r="B80" s="771">
        <f t="shared" si="1"/>
        <v>4308.23966131</v>
      </c>
      <c r="C80" s="771">
        <v>939.47929058</v>
      </c>
      <c r="D80" s="771">
        <v>688.65169532000004</v>
      </c>
      <c r="E80" s="771">
        <v>787.36982772999977</v>
      </c>
      <c r="F80" s="771">
        <v>1892.7388476799999</v>
      </c>
    </row>
    <row r="81" spans="1:6" hidden="1">
      <c r="A81" s="802" t="s">
        <v>29</v>
      </c>
      <c r="B81" s="771">
        <f t="shared" ref="B81:B94" si="2">+C81+D81+E81+F81</f>
        <v>6379.1216378400004</v>
      </c>
      <c r="C81" s="771">
        <v>1132.9879476500003</v>
      </c>
      <c r="D81" s="771">
        <v>1220.3371491299997</v>
      </c>
      <c r="E81" s="771">
        <v>1057.7832312799999</v>
      </c>
      <c r="F81" s="771">
        <v>2968.0133097800008</v>
      </c>
    </row>
    <row r="82" spans="1:6">
      <c r="A82" s="803">
        <v>2010</v>
      </c>
      <c r="B82" s="804">
        <v>7625.7781233199994</v>
      </c>
      <c r="C82" s="771">
        <v>1486.32706403</v>
      </c>
      <c r="D82" s="771">
        <v>1719.0040401799999</v>
      </c>
      <c r="E82" s="771">
        <v>1438.5680641500003</v>
      </c>
      <c r="F82" s="771">
        <v>2981.8789549599996</v>
      </c>
    </row>
    <row r="83" spans="1:6" hidden="1">
      <c r="A83" s="796" t="s">
        <v>18</v>
      </c>
      <c r="B83" s="771">
        <f t="shared" si="2"/>
        <v>6178.0459799599994</v>
      </c>
      <c r="C83" s="771">
        <v>952.27560396000001</v>
      </c>
      <c r="D83" s="771">
        <v>1264.8604808799998</v>
      </c>
      <c r="E83" s="771">
        <v>982.82083127999988</v>
      </c>
      <c r="F83" s="771">
        <v>2978.0890638400001</v>
      </c>
    </row>
    <row r="84" spans="1:6" hidden="1">
      <c r="A84" s="796" t="s">
        <v>19</v>
      </c>
      <c r="B84" s="771">
        <f t="shared" si="2"/>
        <v>6135.8669652500002</v>
      </c>
      <c r="C84" s="771">
        <v>962.85570766000035</v>
      </c>
      <c r="D84" s="771">
        <v>1164.8149808000001</v>
      </c>
      <c r="E84" s="771">
        <v>911.54419401999996</v>
      </c>
      <c r="F84" s="771">
        <v>3096.6520827700001</v>
      </c>
    </row>
    <row r="85" spans="1:6" hidden="1">
      <c r="A85" s="796" t="s">
        <v>20</v>
      </c>
      <c r="B85" s="771">
        <f t="shared" si="2"/>
        <v>6737.6419238500002</v>
      </c>
      <c r="C85" s="771">
        <v>971.80699677999985</v>
      </c>
      <c r="D85" s="771">
        <v>1292.97068896</v>
      </c>
      <c r="E85" s="771">
        <v>1322.1432028700001</v>
      </c>
      <c r="F85" s="771">
        <v>3150.7210352400002</v>
      </c>
    </row>
    <row r="86" spans="1:6" hidden="1">
      <c r="A86" s="796" t="s">
        <v>21</v>
      </c>
      <c r="B86" s="771">
        <f t="shared" si="2"/>
        <v>6780.8207531300013</v>
      </c>
      <c r="C86" s="771">
        <v>970.78420222000011</v>
      </c>
      <c r="D86" s="771">
        <v>1328.7406101399999</v>
      </c>
      <c r="E86" s="771">
        <v>1297.81057248</v>
      </c>
      <c r="F86" s="771">
        <v>3183.4853682900007</v>
      </c>
    </row>
    <row r="87" spans="1:6" hidden="1">
      <c r="A87" s="796" t="s">
        <v>22</v>
      </c>
      <c r="B87" s="771">
        <f t="shared" si="2"/>
        <v>6536.6532337099998</v>
      </c>
      <c r="C87" s="771">
        <v>957.89293934000011</v>
      </c>
      <c r="D87" s="771">
        <v>1341.7824006399999</v>
      </c>
      <c r="E87" s="771">
        <v>1086.7377674899999</v>
      </c>
      <c r="F87" s="771">
        <v>3150.2401262399999</v>
      </c>
    </row>
    <row r="88" spans="1:6" hidden="1">
      <c r="A88" s="796" t="s">
        <v>23</v>
      </c>
      <c r="B88" s="771">
        <f t="shared" si="2"/>
        <v>6596.8905588799989</v>
      </c>
      <c r="C88" s="771">
        <v>1066.8836732599996</v>
      </c>
      <c r="D88" s="771">
        <v>1336.4220278999999</v>
      </c>
      <c r="E88" s="771">
        <v>926.58790703</v>
      </c>
      <c r="F88" s="771">
        <v>3266.9969506899997</v>
      </c>
    </row>
    <row r="89" spans="1:6" hidden="1">
      <c r="A89" s="796" t="s">
        <v>24</v>
      </c>
      <c r="B89" s="771">
        <f t="shared" si="2"/>
        <v>6286.8784351699996</v>
      </c>
      <c r="C89" s="771">
        <v>995.08458976999998</v>
      </c>
      <c r="D89" s="771">
        <v>1406.67190351</v>
      </c>
      <c r="E89" s="771">
        <v>891.07073312999989</v>
      </c>
      <c r="F89" s="771">
        <v>2994.05120876</v>
      </c>
    </row>
    <row r="90" spans="1:6" hidden="1">
      <c r="A90" s="796" t="s">
        <v>25</v>
      </c>
      <c r="B90" s="771">
        <f t="shared" si="2"/>
        <v>6591.2542577700005</v>
      </c>
      <c r="C90" s="771">
        <v>1015.97543498</v>
      </c>
      <c r="D90" s="771">
        <v>1486.13321382</v>
      </c>
      <c r="E90" s="771">
        <v>972.46251440999981</v>
      </c>
      <c r="F90" s="771">
        <v>3116.68309456</v>
      </c>
    </row>
    <row r="91" spans="1:6" hidden="1">
      <c r="A91" s="796" t="s">
        <v>26</v>
      </c>
      <c r="B91" s="771">
        <f t="shared" si="2"/>
        <v>6741.7278075100003</v>
      </c>
      <c r="C91" s="771">
        <v>1078.6310475999999</v>
      </c>
      <c r="D91" s="771">
        <v>1506.4891441099999</v>
      </c>
      <c r="E91" s="771">
        <v>1079.5527715699998</v>
      </c>
      <c r="F91" s="771">
        <v>3077.0548442300005</v>
      </c>
    </row>
    <row r="92" spans="1:6" hidden="1">
      <c r="A92" s="796" t="s">
        <v>27</v>
      </c>
      <c r="B92" s="771">
        <f t="shared" si="2"/>
        <v>6968.6439867000008</v>
      </c>
      <c r="C92" s="771">
        <v>1133.7775053700002</v>
      </c>
      <c r="D92" s="771">
        <v>1546.3019752299999</v>
      </c>
      <c r="E92" s="771">
        <v>1337.9562049599999</v>
      </c>
      <c r="F92" s="771">
        <v>2950.6083011400001</v>
      </c>
    </row>
    <row r="93" spans="1:6" hidden="1">
      <c r="A93" s="796" t="s">
        <v>28</v>
      </c>
      <c r="B93" s="771">
        <f t="shared" si="2"/>
        <v>6915.8610377500008</v>
      </c>
      <c r="C93" s="771">
        <v>1043.5411553399999</v>
      </c>
      <c r="D93" s="771">
        <v>1730.0641860100002</v>
      </c>
      <c r="E93" s="771">
        <v>1180.4639666999999</v>
      </c>
      <c r="F93" s="771">
        <v>2961.7917296999999</v>
      </c>
    </row>
    <row r="94" spans="1:6" hidden="1">
      <c r="A94" s="796" t="s">
        <v>29</v>
      </c>
      <c r="B94" s="771">
        <f t="shared" si="2"/>
        <v>7625.7781233199994</v>
      </c>
      <c r="C94" s="771">
        <v>1486.32706403</v>
      </c>
      <c r="D94" s="771">
        <v>1719.0040401799999</v>
      </c>
      <c r="E94" s="771">
        <v>1438.5680641500003</v>
      </c>
      <c r="F94" s="771">
        <v>2981.8789549599996</v>
      </c>
    </row>
    <row r="95" spans="1:6">
      <c r="A95" s="576">
        <v>2011</v>
      </c>
      <c r="B95" s="804">
        <v>9447.0007198299991</v>
      </c>
      <c r="C95" s="805">
        <v>1756.5923799999994</v>
      </c>
      <c r="D95" s="805">
        <v>2524.08792847</v>
      </c>
      <c r="E95" s="805">
        <v>1671.9176333800001</v>
      </c>
      <c r="F95" s="805">
        <v>3494.4027779800003</v>
      </c>
    </row>
    <row r="96" spans="1:6" hidden="1">
      <c r="A96" s="796" t="s">
        <v>18</v>
      </c>
      <c r="B96" s="771">
        <f>+C96+D96+E96+F96</f>
        <v>7321.2590175500009</v>
      </c>
      <c r="C96" s="771">
        <v>1131.1159975700002</v>
      </c>
      <c r="D96" s="771">
        <v>1735.8713411900001</v>
      </c>
      <c r="E96" s="771">
        <v>1449.6592281400003</v>
      </c>
      <c r="F96" s="771">
        <v>3004.61245065</v>
      </c>
    </row>
    <row r="97" spans="1:6" hidden="1">
      <c r="A97" s="796" t="s">
        <v>19</v>
      </c>
      <c r="B97" s="771">
        <f t="shared" ref="B97:B102" si="3">+C97+D97+E97+F97</f>
        <v>7315.0040979000005</v>
      </c>
      <c r="C97" s="771">
        <v>1217.4633789000002</v>
      </c>
      <c r="D97" s="771">
        <v>1711.17223586</v>
      </c>
      <c r="E97" s="771">
        <v>1361.8140107200002</v>
      </c>
      <c r="F97" s="771">
        <v>3024.5544724200004</v>
      </c>
    </row>
    <row r="98" spans="1:6" hidden="1">
      <c r="A98" s="796" t="s">
        <v>20</v>
      </c>
      <c r="B98" s="771">
        <f t="shared" si="3"/>
        <v>7751.0752097800014</v>
      </c>
      <c r="C98" s="771">
        <v>1288.1612081400003</v>
      </c>
      <c r="D98" s="771">
        <v>1789.3808975499999</v>
      </c>
      <c r="E98" s="771">
        <v>1216.7302896599999</v>
      </c>
      <c r="F98" s="771">
        <v>3456.8028144300001</v>
      </c>
    </row>
    <row r="99" spans="1:6" hidden="1">
      <c r="A99" s="796" t="s">
        <v>21</v>
      </c>
      <c r="B99" s="771">
        <f t="shared" si="3"/>
        <v>7788.8309037399995</v>
      </c>
      <c r="C99" s="771">
        <v>1293.8843101800001</v>
      </c>
      <c r="D99" s="771">
        <v>1831.2224631000001</v>
      </c>
      <c r="E99" s="771">
        <v>1136.90022034</v>
      </c>
      <c r="F99" s="771">
        <v>3526.8239101199997</v>
      </c>
    </row>
    <row r="100" spans="1:6" hidden="1">
      <c r="A100" s="796" t="s">
        <v>22</v>
      </c>
      <c r="B100" s="771">
        <f t="shared" si="3"/>
        <v>7959.1259541700001</v>
      </c>
      <c r="C100" s="771">
        <v>1305.1893527500001</v>
      </c>
      <c r="D100" s="771">
        <v>1884.87932327</v>
      </c>
      <c r="E100" s="771">
        <v>1279.6985698900003</v>
      </c>
      <c r="F100" s="771">
        <v>3489.3587082600002</v>
      </c>
    </row>
    <row r="101" spans="1:6" hidden="1">
      <c r="A101" s="796" t="s">
        <v>23</v>
      </c>
      <c r="B101" s="771">
        <f t="shared" si="3"/>
        <v>8126.7557803200007</v>
      </c>
      <c r="C101" s="771">
        <v>1342.2634674199999</v>
      </c>
      <c r="D101" s="771">
        <v>1949.4730186500001</v>
      </c>
      <c r="E101" s="771">
        <v>1373.94408481</v>
      </c>
      <c r="F101" s="771">
        <v>3461.0752094400004</v>
      </c>
    </row>
    <row r="102" spans="1:6" hidden="1">
      <c r="A102" s="796" t="s">
        <v>24</v>
      </c>
      <c r="B102" s="771">
        <f t="shared" si="3"/>
        <v>8345.8196153299996</v>
      </c>
      <c r="C102" s="771">
        <v>1576.0813211699999</v>
      </c>
      <c r="D102" s="771">
        <v>1991.0525396500002</v>
      </c>
      <c r="E102" s="771">
        <v>1506.62535744</v>
      </c>
      <c r="F102" s="771">
        <v>3272.0603970699999</v>
      </c>
    </row>
    <row r="103" spans="1:6" hidden="1">
      <c r="A103" s="796" t="s">
        <v>25</v>
      </c>
      <c r="B103" s="771">
        <f>+C103+D103+E103+F103</f>
        <v>8449.7129442300011</v>
      </c>
      <c r="C103" s="771">
        <v>1470.20310793</v>
      </c>
      <c r="D103" s="771">
        <v>2018.0687987800004</v>
      </c>
      <c r="E103" s="771">
        <v>1401.3430445600002</v>
      </c>
      <c r="F103" s="771">
        <v>3560.0979929599998</v>
      </c>
    </row>
    <row r="104" spans="1:6" hidden="1">
      <c r="A104" s="796" t="s">
        <v>26</v>
      </c>
      <c r="B104" s="771">
        <f>+C104+D104+E104+F104</f>
        <v>8740.5817513300008</v>
      </c>
      <c r="C104" s="771">
        <v>1440.4562208099999</v>
      </c>
      <c r="D104" s="771">
        <v>2176.4399810600003</v>
      </c>
      <c r="E104" s="771">
        <v>1582.9193660000003</v>
      </c>
      <c r="F104" s="771">
        <v>3540.7661834599999</v>
      </c>
    </row>
    <row r="105" spans="1:6" hidden="1">
      <c r="A105" s="796" t="s">
        <v>27</v>
      </c>
      <c r="B105" s="771">
        <f>+C105+D105+E105+F105</f>
        <v>8707.8253123100003</v>
      </c>
      <c r="C105" s="771">
        <v>1413.82235664</v>
      </c>
      <c r="D105" s="771">
        <v>2262.3902457700001</v>
      </c>
      <c r="E105" s="771">
        <v>1505.2474949499999</v>
      </c>
      <c r="F105" s="771">
        <v>3526.3652149500003</v>
      </c>
    </row>
    <row r="106" spans="1:6" hidden="1">
      <c r="A106" s="796" t="s">
        <v>28</v>
      </c>
      <c r="B106" s="771">
        <f>+C106+D106+E106+F106</f>
        <v>8892.7983016500002</v>
      </c>
      <c r="C106" s="771">
        <v>1585.6223956800002</v>
      </c>
      <c r="D106" s="771">
        <v>2302.9509355200003</v>
      </c>
      <c r="E106" s="771">
        <v>1566.3086352299997</v>
      </c>
      <c r="F106" s="771">
        <v>3437.9163352199998</v>
      </c>
    </row>
    <row r="107" spans="1:6" hidden="1">
      <c r="A107" s="796" t="s">
        <v>29</v>
      </c>
      <c r="B107" s="771">
        <f>+C107+D107+E107+F107</f>
        <v>9447.0007198299991</v>
      </c>
      <c r="C107" s="771">
        <v>1756.5923799999994</v>
      </c>
      <c r="D107" s="771">
        <v>2524.08792847</v>
      </c>
      <c r="E107" s="771">
        <v>1671.9176333800001</v>
      </c>
      <c r="F107" s="771">
        <v>3494.4027779800003</v>
      </c>
    </row>
    <row r="108" spans="1:6">
      <c r="A108" s="576">
        <v>2012</v>
      </c>
      <c r="B108" s="804">
        <v>10699.241985770001</v>
      </c>
      <c r="C108" s="805">
        <v>1981.1111908500002</v>
      </c>
      <c r="D108" s="805">
        <v>3081.4368054800002</v>
      </c>
      <c r="E108" s="805">
        <v>1645.1074031199998</v>
      </c>
      <c r="F108" s="805">
        <v>3991.5865863200006</v>
      </c>
    </row>
    <row r="109" spans="1:6" hidden="1">
      <c r="A109" s="796" t="s">
        <v>18</v>
      </c>
      <c r="B109" s="807">
        <f t="shared" ref="B109:B114" si="4">+C109+D109+E109+F109</f>
        <v>9281.2090842100006</v>
      </c>
      <c r="C109" s="807">
        <v>1629.8683496100005</v>
      </c>
      <c r="D109" s="807">
        <v>2551.9310052099995</v>
      </c>
      <c r="E109" s="807">
        <v>1568.1199476899999</v>
      </c>
      <c r="F109" s="807">
        <v>3531.2897817000003</v>
      </c>
    </row>
    <row r="110" spans="1:6" hidden="1">
      <c r="A110" s="796" t="s">
        <v>19</v>
      </c>
      <c r="B110" s="807">
        <f t="shared" si="4"/>
        <v>9507.0192621999995</v>
      </c>
      <c r="C110" s="807">
        <v>1570.0930416900001</v>
      </c>
      <c r="D110" s="807">
        <v>2640.4926453200001</v>
      </c>
      <c r="E110" s="807">
        <v>1696.2636222499998</v>
      </c>
      <c r="F110" s="807">
        <v>3600.1699529399993</v>
      </c>
    </row>
    <row r="111" spans="1:6" hidden="1">
      <c r="A111" s="796" t="s">
        <v>20</v>
      </c>
      <c r="B111" s="807">
        <f t="shared" si="4"/>
        <v>9796.4743111400003</v>
      </c>
      <c r="C111" s="807">
        <v>1887.1114911899997</v>
      </c>
      <c r="D111" s="807">
        <v>2575.0628635499997</v>
      </c>
      <c r="E111" s="807">
        <v>1734.4930930800001</v>
      </c>
      <c r="F111" s="807">
        <v>3599.8068633200005</v>
      </c>
    </row>
    <row r="112" spans="1:6" hidden="1">
      <c r="A112" s="796" t="s">
        <v>21</v>
      </c>
      <c r="B112" s="807">
        <f t="shared" si="4"/>
        <v>9870.0211999999992</v>
      </c>
      <c r="C112" s="807">
        <v>1788.6369999999999</v>
      </c>
      <c r="D112" s="807">
        <v>2545.3182000000002</v>
      </c>
      <c r="E112" s="807">
        <v>1918.5643</v>
      </c>
      <c r="F112" s="807">
        <v>3617.5016999999998</v>
      </c>
    </row>
    <row r="113" spans="1:6" hidden="1">
      <c r="A113" s="796" t="s">
        <v>22</v>
      </c>
      <c r="B113" s="807">
        <f t="shared" si="4"/>
        <v>9884.5236785399993</v>
      </c>
      <c r="C113" s="807">
        <v>1823.203896</v>
      </c>
      <c r="D113" s="807">
        <v>2588.3484053499997</v>
      </c>
      <c r="E113" s="807">
        <v>1901.40825051</v>
      </c>
      <c r="F113" s="807">
        <v>3571.5631266799996</v>
      </c>
    </row>
    <row r="114" spans="1:6" hidden="1">
      <c r="A114" s="796" t="s">
        <v>23</v>
      </c>
      <c r="B114" s="807">
        <f t="shared" si="4"/>
        <v>9704.2620168400008</v>
      </c>
      <c r="C114" s="807">
        <v>1840.1804880499999</v>
      </c>
      <c r="D114" s="807">
        <v>2661.5360345600002</v>
      </c>
      <c r="E114" s="807">
        <v>1602.7044774699998</v>
      </c>
      <c r="F114" s="807">
        <v>3599.84101676</v>
      </c>
    </row>
    <row r="115" spans="1:6" hidden="1">
      <c r="A115" s="796" t="s">
        <v>24</v>
      </c>
      <c r="B115" s="807">
        <f t="shared" ref="B115:B120" si="5">+C115+D115+E115+F115</f>
        <v>9668.729364259998</v>
      </c>
      <c r="C115" s="807">
        <v>1786.9821527899999</v>
      </c>
      <c r="D115" s="807">
        <v>2640.7787512299997</v>
      </c>
      <c r="E115" s="807">
        <v>1702.18809336</v>
      </c>
      <c r="F115" s="807">
        <v>3538.7803668799997</v>
      </c>
    </row>
    <row r="116" spans="1:6" hidden="1">
      <c r="A116" s="796" t="s">
        <v>25</v>
      </c>
      <c r="B116" s="807">
        <f t="shared" si="5"/>
        <v>9878.328764670001</v>
      </c>
      <c r="C116" s="807">
        <v>1902.8543349800004</v>
      </c>
      <c r="D116" s="807">
        <v>2638.1575730200002</v>
      </c>
      <c r="E116" s="807">
        <v>1663.78610635</v>
      </c>
      <c r="F116" s="807">
        <v>3673.5307503200002</v>
      </c>
    </row>
    <row r="117" spans="1:6" hidden="1">
      <c r="A117" s="796" t="s">
        <v>26</v>
      </c>
      <c r="B117" s="807">
        <f t="shared" si="5"/>
        <v>10080.6149085</v>
      </c>
      <c r="C117" s="807">
        <v>1863.51064894</v>
      </c>
      <c r="D117" s="807">
        <v>2696.4200555400002</v>
      </c>
      <c r="E117" s="807">
        <v>1492.3380490699999</v>
      </c>
      <c r="F117" s="807">
        <v>4028.3461549499998</v>
      </c>
    </row>
    <row r="118" spans="1:6" hidden="1">
      <c r="A118" s="796" t="s">
        <v>27</v>
      </c>
      <c r="B118" s="807">
        <f t="shared" si="5"/>
        <v>10202.409563829999</v>
      </c>
      <c r="C118" s="807">
        <v>1804.3107340300003</v>
      </c>
      <c r="D118" s="807">
        <v>2821.2295912299996</v>
      </c>
      <c r="E118" s="807">
        <v>1680.65313135</v>
      </c>
      <c r="F118" s="807">
        <v>3896.2161072199997</v>
      </c>
    </row>
    <row r="119" spans="1:6" hidden="1">
      <c r="A119" s="796" t="s">
        <v>28</v>
      </c>
      <c r="B119" s="807">
        <f t="shared" si="5"/>
        <v>10409.881236890002</v>
      </c>
      <c r="C119" s="807">
        <v>1835.6726134099999</v>
      </c>
      <c r="D119" s="807">
        <v>2895.3207348700003</v>
      </c>
      <c r="E119" s="807">
        <v>1792.12428419</v>
      </c>
      <c r="F119" s="807">
        <v>3886.7636044200003</v>
      </c>
    </row>
    <row r="120" spans="1:6" hidden="1">
      <c r="A120" s="796" t="s">
        <v>29</v>
      </c>
      <c r="B120" s="807">
        <f t="shared" si="5"/>
        <v>10699.241985770001</v>
      </c>
      <c r="C120" s="807">
        <v>1981.1111908500002</v>
      </c>
      <c r="D120" s="807">
        <v>3081.4368054800002</v>
      </c>
      <c r="E120" s="807">
        <v>1645.1074031199998</v>
      </c>
      <c r="F120" s="807">
        <v>3991.5865863200006</v>
      </c>
    </row>
    <row r="121" spans="1:6">
      <c r="A121" s="576">
        <v>2013</v>
      </c>
      <c r="B121" s="808"/>
      <c r="C121" s="809"/>
      <c r="D121" s="809"/>
      <c r="E121" s="809"/>
      <c r="F121" s="809"/>
    </row>
    <row r="122" spans="1:6">
      <c r="A122" s="796" t="s">
        <v>18</v>
      </c>
      <c r="B122" s="807">
        <f t="shared" ref="B122:B127" si="6">+C122+D122+E122+F122</f>
        <v>10357.58610067</v>
      </c>
      <c r="C122" s="807">
        <v>1851.7406705599992</v>
      </c>
      <c r="D122" s="807">
        <v>3209.8897066099994</v>
      </c>
      <c r="E122" s="807">
        <v>1514.4708069599999</v>
      </c>
      <c r="F122" s="807">
        <v>3781.4849165400001</v>
      </c>
    </row>
    <row r="123" spans="1:6">
      <c r="A123" s="796" t="s">
        <v>19</v>
      </c>
      <c r="B123" s="807">
        <f t="shared" si="6"/>
        <v>10446.900583219998</v>
      </c>
      <c r="C123" s="807">
        <v>2015.7892722499996</v>
      </c>
      <c r="D123" s="807">
        <v>3232.89515523</v>
      </c>
      <c r="E123" s="807">
        <v>1375.8826230699997</v>
      </c>
      <c r="F123" s="807">
        <v>3822.3335326699998</v>
      </c>
    </row>
    <row r="124" spans="1:6">
      <c r="A124" s="796" t="s">
        <v>20</v>
      </c>
      <c r="B124" s="807">
        <f t="shared" si="6"/>
        <v>11012.710718599999</v>
      </c>
      <c r="C124" s="807">
        <v>2103.9976812300001</v>
      </c>
      <c r="D124" s="807">
        <v>3259.0034272299995</v>
      </c>
      <c r="E124" s="807">
        <v>1819.5129725199999</v>
      </c>
      <c r="F124" s="807">
        <v>3830.1966376199998</v>
      </c>
    </row>
    <row r="125" spans="1:6">
      <c r="A125" s="796" t="s">
        <v>21</v>
      </c>
      <c r="B125" s="807">
        <f t="shared" si="6"/>
        <v>11405.29064694</v>
      </c>
      <c r="C125" s="807">
        <v>2227.91079803</v>
      </c>
      <c r="D125" s="807">
        <v>3471.5051674800002</v>
      </c>
      <c r="E125" s="807">
        <v>1736.9008849899999</v>
      </c>
      <c r="F125" s="807">
        <v>3968.9737964400001</v>
      </c>
    </row>
    <row r="126" spans="1:6">
      <c r="A126" s="796" t="s">
        <v>22</v>
      </c>
      <c r="B126" s="807">
        <f t="shared" si="6"/>
        <v>11434.838022739999</v>
      </c>
      <c r="C126" s="807">
        <v>2182.1979984800005</v>
      </c>
      <c r="D126" s="807">
        <v>3552.5125717199994</v>
      </c>
      <c r="E126" s="807">
        <v>1804.1980910899997</v>
      </c>
      <c r="F126" s="807">
        <v>3895.9293614499998</v>
      </c>
    </row>
    <row r="127" spans="1:6">
      <c r="A127" s="796" t="s">
        <v>23</v>
      </c>
      <c r="B127" s="807">
        <f t="shared" si="6"/>
        <v>11399.91035052</v>
      </c>
      <c r="C127" s="807">
        <v>2243.1250226200009</v>
      </c>
      <c r="D127" s="807">
        <v>3543.1649159799999</v>
      </c>
      <c r="E127" s="807">
        <v>1523.12224021</v>
      </c>
      <c r="F127" s="807">
        <v>4090.49817171</v>
      </c>
    </row>
    <row r="128" spans="1:6">
      <c r="A128" s="796" t="s">
        <v>24</v>
      </c>
      <c r="B128" s="807">
        <f t="shared" ref="B128:B133" si="7">+C128+D128+E128+F128</f>
        <v>11655.10998614</v>
      </c>
      <c r="C128" s="807">
        <v>2168.3948292900004</v>
      </c>
      <c r="D128" s="807">
        <v>3648.3414466900003</v>
      </c>
      <c r="E128" s="807">
        <v>1705.3884115999995</v>
      </c>
      <c r="F128" s="807">
        <v>4132.98529856</v>
      </c>
    </row>
    <row r="129" spans="1:6">
      <c r="A129" s="796" t="s">
        <v>25</v>
      </c>
      <c r="B129" s="807">
        <f t="shared" si="7"/>
        <v>11661.530436970001</v>
      </c>
      <c r="C129" s="807">
        <v>2286.6836752300001</v>
      </c>
      <c r="D129" s="807">
        <v>3730.0868444799994</v>
      </c>
      <c r="E129" s="807">
        <v>1862.3382905600001</v>
      </c>
      <c r="F129" s="807">
        <v>3782.4216267000006</v>
      </c>
    </row>
    <row r="130" spans="1:6">
      <c r="A130" s="796" t="s">
        <v>26</v>
      </c>
      <c r="B130" s="807">
        <f t="shared" si="7"/>
        <v>11929.36142668</v>
      </c>
      <c r="C130" s="807">
        <v>2269.0952662699997</v>
      </c>
      <c r="D130" s="807">
        <v>3813.4180404599997</v>
      </c>
      <c r="E130" s="807">
        <v>1603.7028101400001</v>
      </c>
      <c r="F130" s="807">
        <v>4243.1453098099992</v>
      </c>
    </row>
    <row r="131" spans="1:6">
      <c r="A131" s="796" t="s">
        <v>27</v>
      </c>
      <c r="B131" s="807">
        <f t="shared" si="7"/>
        <v>12042.25122926</v>
      </c>
      <c r="C131" s="807">
        <v>2198.9970859799996</v>
      </c>
      <c r="D131" s="807">
        <v>3931.1026492899991</v>
      </c>
      <c r="E131" s="807">
        <v>1628.20528352</v>
      </c>
      <c r="F131" s="807">
        <v>4283.9462104700006</v>
      </c>
    </row>
    <row r="132" spans="1:6">
      <c r="A132" s="796" t="s">
        <v>28</v>
      </c>
      <c r="B132" s="807">
        <f t="shared" si="7"/>
        <v>12432.654090510001</v>
      </c>
      <c r="C132" s="807">
        <v>2229.8815792</v>
      </c>
      <c r="D132" s="807">
        <v>3967.9157187300002</v>
      </c>
      <c r="E132" s="807">
        <v>1716.3609108900002</v>
      </c>
      <c r="F132" s="807">
        <v>4518.4958816899998</v>
      </c>
    </row>
    <row r="133" spans="1:6">
      <c r="A133" s="796" t="s">
        <v>29</v>
      </c>
      <c r="B133" s="807">
        <f t="shared" si="7"/>
        <v>12475.783595810004</v>
      </c>
      <c r="C133" s="807">
        <v>2326.5926556199997</v>
      </c>
      <c r="D133" s="807">
        <v>4084.2750673100008</v>
      </c>
      <c r="E133" s="807">
        <v>1441.7432358200001</v>
      </c>
      <c r="F133" s="807">
        <v>4623.1726370600018</v>
      </c>
    </row>
    <row r="134" spans="1:6">
      <c r="A134" s="576">
        <v>2014</v>
      </c>
      <c r="B134" s="808"/>
      <c r="C134" s="809"/>
      <c r="D134" s="809"/>
      <c r="E134" s="809"/>
      <c r="F134" s="809"/>
    </row>
    <row r="135" spans="1:6">
      <c r="A135" s="796" t="s">
        <v>18</v>
      </c>
      <c r="B135" s="807">
        <f t="shared" ref="B135:B141" si="8">+C135+D135+E135+F135</f>
        <v>12682.982230280002</v>
      </c>
      <c r="C135" s="807">
        <v>2406.2573459100004</v>
      </c>
      <c r="D135" s="807">
        <v>4095.2888255600001</v>
      </c>
      <c r="E135" s="807">
        <v>1480.4104853900001</v>
      </c>
      <c r="F135" s="807">
        <v>4701.0255734200009</v>
      </c>
    </row>
    <row r="136" spans="1:6">
      <c r="A136" s="796" t="s">
        <v>19</v>
      </c>
      <c r="B136" s="807">
        <f t="shared" si="8"/>
        <v>12926.584412960001</v>
      </c>
      <c r="C136" s="807">
        <v>2476.5616912599999</v>
      </c>
      <c r="D136" s="807">
        <v>4146.6820701300003</v>
      </c>
      <c r="E136" s="807">
        <v>1505.3375592200002</v>
      </c>
      <c r="F136" s="807">
        <v>4798.0030923500008</v>
      </c>
    </row>
    <row r="137" spans="1:6">
      <c r="A137" s="796" t="s">
        <v>20</v>
      </c>
      <c r="B137" s="807">
        <f t="shared" si="8"/>
        <v>13308.087601419998</v>
      </c>
      <c r="C137" s="807">
        <v>2395.6445086199997</v>
      </c>
      <c r="D137" s="807">
        <v>4200.6658532099991</v>
      </c>
      <c r="E137" s="807">
        <v>1720.3552076299998</v>
      </c>
      <c r="F137" s="807">
        <v>4991.422031959999</v>
      </c>
    </row>
    <row r="138" spans="1:6">
      <c r="A138" s="796" t="s">
        <v>21</v>
      </c>
      <c r="B138" s="807">
        <f t="shared" si="8"/>
        <v>13615.560918230001</v>
      </c>
      <c r="C138" s="807">
        <v>2412.9581523300003</v>
      </c>
      <c r="D138" s="807">
        <v>4418.4859812699997</v>
      </c>
      <c r="E138" s="807">
        <v>1920.1218104100001</v>
      </c>
      <c r="F138" s="807">
        <v>4863.9949742200006</v>
      </c>
    </row>
    <row r="139" spans="1:6">
      <c r="A139" s="796" t="s">
        <v>22</v>
      </c>
      <c r="B139" s="807">
        <f t="shared" si="8"/>
        <v>13637.01837862</v>
      </c>
      <c r="C139" s="807">
        <v>2364.7120624600002</v>
      </c>
      <c r="D139" s="807">
        <v>4519.9072323399996</v>
      </c>
      <c r="E139" s="807">
        <v>1710.1856971199998</v>
      </c>
      <c r="F139" s="807">
        <v>5042.2133866999984</v>
      </c>
    </row>
    <row r="140" spans="1:6">
      <c r="A140" s="796" t="s">
        <v>23</v>
      </c>
      <c r="B140" s="807">
        <f t="shared" si="8"/>
        <v>13991.379577759999</v>
      </c>
      <c r="C140" s="807">
        <v>2416.4847869900004</v>
      </c>
      <c r="D140" s="807">
        <v>4667.4442880799998</v>
      </c>
      <c r="E140" s="807">
        <v>1491.9785412400001</v>
      </c>
      <c r="F140" s="807">
        <v>5415.47196145</v>
      </c>
    </row>
    <row r="141" spans="1:6">
      <c r="A141" s="796" t="s">
        <v>24</v>
      </c>
      <c r="B141" s="807">
        <f t="shared" si="8"/>
        <v>14558.072714710001</v>
      </c>
      <c r="C141" s="807">
        <f>2579368.84854/1000</f>
        <v>2579.3688485400003</v>
      </c>
      <c r="D141" s="807">
        <f>4775755.13858/1000</f>
        <v>4775.7551385799998</v>
      </c>
      <c r="E141" s="807">
        <f>1794060.40292/1000</f>
        <v>1794.0604029200001</v>
      </c>
      <c r="F141" s="807">
        <f>5408888.32467/1000</f>
        <v>5408.8883246699997</v>
      </c>
    </row>
    <row r="142" spans="1:6">
      <c r="A142" s="796" t="s">
        <v>25</v>
      </c>
      <c r="B142" s="807">
        <f>+C142+D142+E142+F142</f>
        <v>14639.824534340001</v>
      </c>
      <c r="C142" s="807">
        <v>2559.7380725900007</v>
      </c>
      <c r="D142" s="807">
        <v>4833.0171733100005</v>
      </c>
      <c r="E142" s="807">
        <v>1866.6870267900001</v>
      </c>
      <c r="F142" s="807">
        <v>5380.3822616500001</v>
      </c>
    </row>
    <row r="143" spans="1:6">
      <c r="A143" s="796" t="s">
        <v>26</v>
      </c>
      <c r="B143" s="807">
        <f>+C143+D143+E143+F143</f>
        <v>14531.527112580003</v>
      </c>
      <c r="C143" s="807">
        <v>2494.8103792900001</v>
      </c>
      <c r="D143" s="807">
        <v>4921.8126193900007</v>
      </c>
      <c r="E143" s="807">
        <v>1746.9750299900002</v>
      </c>
      <c r="F143" s="807">
        <v>5367.9290839100004</v>
      </c>
    </row>
    <row r="144" spans="1:6">
      <c r="A144" s="796" t="s">
        <v>27</v>
      </c>
      <c r="B144" s="807">
        <f>+C144+D144+E144+F144</f>
        <v>14826.70306928</v>
      </c>
      <c r="C144" s="807">
        <v>2405.5211187599998</v>
      </c>
      <c r="D144" s="807">
        <v>5079.6365191200011</v>
      </c>
      <c r="E144" s="807">
        <v>1764.5073574600003</v>
      </c>
      <c r="F144" s="807">
        <v>5577.0380739399998</v>
      </c>
    </row>
    <row r="145" spans="1:6">
      <c r="A145" s="796" t="s">
        <v>28</v>
      </c>
      <c r="B145" s="807">
        <f>+C145+D145+E145+F145</f>
        <v>15312.03213983</v>
      </c>
      <c r="C145" s="807">
        <v>2484.4618338400001</v>
      </c>
      <c r="D145" s="807">
        <v>5158.5775465900006</v>
      </c>
      <c r="E145" s="807">
        <v>2048.9058517100002</v>
      </c>
      <c r="F145" s="807">
        <v>5620.0869076899999</v>
      </c>
    </row>
    <row r="146" spans="1:6">
      <c r="A146" s="796" t="s">
        <v>29</v>
      </c>
      <c r="B146" s="807">
        <f>((SUM(C146:F146)))</f>
        <v>15453.38110248</v>
      </c>
      <c r="C146" s="807">
        <v>2734.4330327000002</v>
      </c>
      <c r="D146" s="807">
        <v>5009.1211877100004</v>
      </c>
      <c r="E146" s="807">
        <v>1798.8364578400003</v>
      </c>
      <c r="F146" s="807">
        <v>5910.9904242299999</v>
      </c>
    </row>
    <row r="147" spans="1:6">
      <c r="A147" s="796" t="s">
        <v>1855</v>
      </c>
      <c r="B147" s="807"/>
      <c r="C147" s="807"/>
      <c r="D147" s="807"/>
      <c r="E147" s="807"/>
      <c r="F147" s="807"/>
    </row>
    <row r="148" spans="1:6">
      <c r="A148" s="796" t="s">
        <v>18</v>
      </c>
      <c r="B148" s="807">
        <v>15134.7</v>
      </c>
      <c r="C148" s="807">
        <v>2456.8980000000001</v>
      </c>
      <c r="D148" s="807">
        <v>4873.0590000000002</v>
      </c>
      <c r="E148" s="807">
        <v>1821.635</v>
      </c>
      <c r="F148" s="807">
        <v>5983.3739999999998</v>
      </c>
    </row>
    <row r="149" spans="1:6">
      <c r="A149" s="796" t="s">
        <v>19</v>
      </c>
      <c r="B149" s="807">
        <v>18481.7</v>
      </c>
      <c r="C149" s="807">
        <v>2258.1999999999998</v>
      </c>
      <c r="D149" s="807">
        <v>3861.56</v>
      </c>
      <c r="E149" s="807">
        <v>2737.56</v>
      </c>
      <c r="F149" s="807">
        <v>9624.2999999999993</v>
      </c>
    </row>
    <row r="150" spans="1:6">
      <c r="A150" s="796" t="s">
        <v>20</v>
      </c>
      <c r="B150" s="807">
        <v>18519.064999999999</v>
      </c>
      <c r="C150" s="807">
        <v>2007.3806999999999</v>
      </c>
      <c r="D150" s="807">
        <v>3539.4449</v>
      </c>
      <c r="E150" s="807">
        <v>3119.556</v>
      </c>
      <c r="F150" s="807">
        <v>9852.6833000000006</v>
      </c>
    </row>
    <row r="151" spans="1:6">
      <c r="A151" s="796" t="s">
        <v>21</v>
      </c>
      <c r="B151" s="807">
        <v>18831.061000000002</v>
      </c>
      <c r="C151" s="807">
        <v>1958.6215999999999</v>
      </c>
      <c r="D151" s="807">
        <v>3048.4825999999998</v>
      </c>
      <c r="E151" s="807">
        <v>3110.4836</v>
      </c>
      <c r="F151" s="807">
        <v>10713.473</v>
      </c>
    </row>
    <row r="152" spans="1:6">
      <c r="A152" s="796" t="s">
        <v>22</v>
      </c>
      <c r="B152" s="807">
        <v>18575.261172389997</v>
      </c>
      <c r="C152" s="807">
        <v>1962.2892033100002</v>
      </c>
      <c r="D152" s="807">
        <v>2994.7087381200004</v>
      </c>
      <c r="E152" s="807">
        <v>3186.1951721400005</v>
      </c>
      <c r="F152" s="807">
        <v>10432.068058819998</v>
      </c>
    </row>
    <row r="153" spans="1:6">
      <c r="A153" s="796" t="s">
        <v>23</v>
      </c>
      <c r="B153" s="807">
        <v>18231.558145329996</v>
      </c>
      <c r="C153" s="807">
        <v>2031.5867034399998</v>
      </c>
      <c r="D153" s="807">
        <v>3002.4937548099997</v>
      </c>
      <c r="E153" s="807">
        <v>3270.03680136</v>
      </c>
      <c r="F153" s="807">
        <v>9927.4408857199996</v>
      </c>
    </row>
    <row r="154" spans="1:6">
      <c r="A154" s="796" t="s">
        <v>24</v>
      </c>
      <c r="B154" s="807">
        <v>18213.551732410004</v>
      </c>
      <c r="C154" s="807">
        <v>1925.4335839199998</v>
      </c>
      <c r="D154" s="807">
        <v>2954.2560142099996</v>
      </c>
      <c r="E154" s="807">
        <v>3465.7482002299994</v>
      </c>
      <c r="F154" s="807">
        <v>9868.1139340500013</v>
      </c>
    </row>
    <row r="155" spans="1:6">
      <c r="A155" s="796" t="s">
        <v>25</v>
      </c>
      <c r="B155" s="807">
        <v>17658.05866011</v>
      </c>
      <c r="C155" s="807">
        <v>1665.60331045</v>
      </c>
      <c r="D155" s="807">
        <v>2768.8264631299994</v>
      </c>
      <c r="E155" s="807">
        <v>3447.9821340099998</v>
      </c>
      <c r="F155" s="807">
        <v>9775.6467525199987</v>
      </c>
    </row>
    <row r="156" spans="1:6">
      <c r="A156" s="796" t="s">
        <v>26</v>
      </c>
      <c r="B156" s="807">
        <v>17477.467494050001</v>
      </c>
      <c r="C156" s="807">
        <v>1809.48388314</v>
      </c>
      <c r="D156" s="807">
        <v>2488.43387742</v>
      </c>
      <c r="E156" s="807">
        <v>3712.6302937399996</v>
      </c>
      <c r="F156" s="807">
        <v>9466.9194397499996</v>
      </c>
    </row>
    <row r="157" spans="1:6">
      <c r="A157" s="796" t="s">
        <v>27</v>
      </c>
      <c r="B157" s="807">
        <v>17150.462399190001</v>
      </c>
      <c r="C157" s="807">
        <v>1860.8750221399998</v>
      </c>
      <c r="D157" s="807">
        <v>2453.8311411600002</v>
      </c>
      <c r="E157" s="807">
        <v>3341.6979667499995</v>
      </c>
      <c r="F157" s="807">
        <v>9494.0582691400014</v>
      </c>
    </row>
    <row r="158" spans="1:6">
      <c r="A158" s="796" t="s">
        <v>28</v>
      </c>
      <c r="B158" s="807">
        <v>17598.888115910002</v>
      </c>
      <c r="C158" s="807">
        <v>1873.0442077700002</v>
      </c>
      <c r="D158" s="807">
        <v>2368.8785804599997</v>
      </c>
      <c r="E158" s="807">
        <v>3773.071389929999</v>
      </c>
      <c r="F158" s="807">
        <v>9583.893937750001</v>
      </c>
    </row>
    <row r="159" spans="1:6">
      <c r="A159" s="796" t="s">
        <v>29</v>
      </c>
      <c r="B159" s="807">
        <f>SUM(C159:F159)</f>
        <v>23431.389446499998</v>
      </c>
      <c r="C159" s="807">
        <v>2233.2156096200001</v>
      </c>
      <c r="D159" s="807">
        <v>2068.4520571799999</v>
      </c>
      <c r="E159" s="807">
        <v>5739.5110249799991</v>
      </c>
      <c r="F159" s="807">
        <v>13390.210754720001</v>
      </c>
    </row>
    <row r="160" spans="1:6">
      <c r="A160" s="796" t="s">
        <v>1879</v>
      </c>
      <c r="B160" s="807"/>
      <c r="C160" s="807"/>
      <c r="D160" s="807"/>
      <c r="E160" s="807"/>
      <c r="F160" s="807"/>
    </row>
    <row r="161" spans="1:6">
      <c r="A161" s="796" t="s">
        <v>18</v>
      </c>
      <c r="B161" s="807">
        <f>SUM(C161:F161)</f>
        <v>22576.48662118</v>
      </c>
      <c r="C161" s="807">
        <v>1853.3454001199998</v>
      </c>
      <c r="D161" s="807">
        <v>2161.9737882000004</v>
      </c>
      <c r="E161" s="807">
        <v>4992.97292122</v>
      </c>
      <c r="F161" s="807">
        <v>13568.19451164</v>
      </c>
    </row>
    <row r="162" spans="1:6">
      <c r="A162" s="796" t="s">
        <v>19</v>
      </c>
      <c r="B162" s="807">
        <v>21285.444183419997</v>
      </c>
      <c r="C162" s="807">
        <v>1908.8357964900001</v>
      </c>
      <c r="D162" s="807">
        <v>2269.8179373100002</v>
      </c>
      <c r="E162" s="807">
        <v>4685.5453933099989</v>
      </c>
      <c r="F162" s="807">
        <v>12421.245056310001</v>
      </c>
    </row>
    <row r="163" spans="1:6">
      <c r="A163" s="796" t="s">
        <v>20</v>
      </c>
      <c r="B163" s="807">
        <f>SUM(C163:F163)</f>
        <v>23121.637737279998</v>
      </c>
      <c r="C163" s="807">
        <v>2085.1199009900001</v>
      </c>
      <c r="D163" s="807">
        <v>2316.0674577300001</v>
      </c>
      <c r="E163" s="807">
        <v>5574.7707475100015</v>
      </c>
      <c r="F163" s="807">
        <v>13145.679631049998</v>
      </c>
    </row>
    <row r="164" spans="1:6">
      <c r="A164" s="796" t="s">
        <v>21</v>
      </c>
      <c r="B164" s="807">
        <f>SUM(C164:F164)</f>
        <v>22558.052858590003</v>
      </c>
      <c r="C164" s="807">
        <v>2189.0367812699997</v>
      </c>
      <c r="D164" s="807">
        <v>2145.5030331500002</v>
      </c>
      <c r="E164" s="807">
        <v>5509.7436701099996</v>
      </c>
      <c r="F164" s="807">
        <v>12713.769374060003</v>
      </c>
    </row>
    <row r="165" spans="1:6">
      <c r="A165" s="796" t="s">
        <v>22</v>
      </c>
      <c r="B165" s="807">
        <v>23148.058778530001</v>
      </c>
      <c r="C165" s="807">
        <v>2241.8029478600001</v>
      </c>
      <c r="D165" s="807">
        <v>2209.0219218100001</v>
      </c>
      <c r="E165" s="807">
        <v>5512.9035386100004</v>
      </c>
      <c r="F165" s="807">
        <v>13184.330370250002</v>
      </c>
    </row>
    <row r="166" spans="1:6">
      <c r="A166" s="796" t="s">
        <v>23</v>
      </c>
      <c r="B166" s="807">
        <v>23366.762993790002</v>
      </c>
      <c r="C166" s="807">
        <v>2483.2613546700004</v>
      </c>
      <c r="D166" s="807">
        <v>2140.2755996999999</v>
      </c>
      <c r="E166" s="807">
        <v>5407.7938621799985</v>
      </c>
      <c r="F166" s="807">
        <v>13335.432177240002</v>
      </c>
    </row>
    <row r="167" spans="1:6">
      <c r="A167" s="796" t="s">
        <v>24</v>
      </c>
      <c r="B167" s="807">
        <v>23248.853358559994</v>
      </c>
      <c r="C167" s="807">
        <v>2611.9507099799994</v>
      </c>
      <c r="D167" s="807">
        <v>2033.8458404899998</v>
      </c>
      <c r="E167" s="807">
        <v>5207.4258108500007</v>
      </c>
      <c r="F167" s="807">
        <v>13395.630997240001</v>
      </c>
    </row>
    <row r="168" spans="1:6">
      <c r="A168" s="796" t="s">
        <v>25</v>
      </c>
      <c r="B168" s="807">
        <v>23673.772316860002</v>
      </c>
      <c r="C168" s="807">
        <v>2444.9954455100005</v>
      </c>
      <c r="D168" s="807">
        <v>2041.6356350400001</v>
      </c>
      <c r="E168" s="807">
        <v>5342.1674927700005</v>
      </c>
      <c r="F168" s="807">
        <v>13844.973743539998</v>
      </c>
    </row>
    <row r="169" spans="1:6">
      <c r="A169" s="796" t="s">
        <v>26</v>
      </c>
      <c r="B169" s="807">
        <v>22841.823131839999</v>
      </c>
      <c r="C169" s="807">
        <v>2917.3762342999994</v>
      </c>
      <c r="D169" s="807">
        <v>1961.7910752399998</v>
      </c>
      <c r="E169" s="807">
        <v>4813.8249537500014</v>
      </c>
      <c r="F169" s="807">
        <v>13148.83086855</v>
      </c>
    </row>
    <row r="170" spans="1:6">
      <c r="A170" s="796" t="s">
        <v>27</v>
      </c>
      <c r="B170" s="807">
        <v>22227.398065330002</v>
      </c>
      <c r="C170" s="807">
        <v>2584.1626454100001</v>
      </c>
      <c r="D170" s="807">
        <v>2861.0453270000003</v>
      </c>
      <c r="E170" s="807">
        <v>5098.608234100001</v>
      </c>
      <c r="F170" s="807">
        <v>11683.581858819998</v>
      </c>
    </row>
    <row r="171" spans="1:6">
      <c r="A171" s="796" t="s">
        <v>28</v>
      </c>
      <c r="B171" s="807">
        <v>22651.162103860002</v>
      </c>
      <c r="C171" s="807">
        <v>2675.1121076500008</v>
      </c>
      <c r="D171" s="807">
        <v>2855.6370477199998</v>
      </c>
      <c r="E171" s="807">
        <v>5054.8858165000011</v>
      </c>
      <c r="F171" s="807">
        <v>12065.52713199</v>
      </c>
    </row>
    <row r="172" spans="1:6">
      <c r="A172" s="796" t="s">
        <v>29</v>
      </c>
      <c r="B172" s="807">
        <v>22090.979492840001</v>
      </c>
      <c r="C172" s="807">
        <v>2635.0619040299998</v>
      </c>
      <c r="D172" s="807">
        <v>2823.8566354</v>
      </c>
      <c r="E172" s="807">
        <v>4803.3370656099996</v>
      </c>
      <c r="F172" s="807">
        <v>11828.723887799997</v>
      </c>
    </row>
    <row r="173" spans="1:6">
      <c r="A173" s="796" t="s">
        <v>1942</v>
      </c>
      <c r="B173" s="807"/>
      <c r="C173" s="807"/>
      <c r="D173" s="807"/>
      <c r="E173" s="807"/>
      <c r="F173" s="807"/>
    </row>
    <row r="174" spans="1:6">
      <c r="A174" s="796" t="s">
        <v>18</v>
      </c>
      <c r="B174" s="807">
        <v>23215.011935040002</v>
      </c>
      <c r="C174" s="807">
        <v>2328.1051396399998</v>
      </c>
      <c r="D174" s="807">
        <v>2835.3295830200004</v>
      </c>
      <c r="E174" s="807">
        <v>5568.0417110399994</v>
      </c>
      <c r="F174" s="807">
        <v>12483.53550134</v>
      </c>
    </row>
    <row r="175" spans="1:6">
      <c r="A175" s="796" t="s">
        <v>19</v>
      </c>
      <c r="B175" s="807">
        <v>21761.454722259998</v>
      </c>
      <c r="C175" s="807">
        <v>2284.5666912400002</v>
      </c>
      <c r="D175" s="807">
        <v>2800.4057269200002</v>
      </c>
      <c r="E175" s="807">
        <v>5444.0936375499996</v>
      </c>
      <c r="F175" s="807">
        <v>11232.388666550001</v>
      </c>
    </row>
    <row r="176" spans="1:6">
      <c r="A176" s="796" t="s">
        <v>20</v>
      </c>
      <c r="B176" s="807">
        <v>21295.930216459998</v>
      </c>
      <c r="C176" s="807">
        <v>2310.3592650400001</v>
      </c>
      <c r="D176" s="807">
        <v>2844.9253069800002</v>
      </c>
      <c r="E176" s="807">
        <v>4635.5256792099999</v>
      </c>
      <c r="F176" s="807">
        <v>11505.11996523</v>
      </c>
    </row>
    <row r="177" spans="1:6">
      <c r="A177" s="796" t="s">
        <v>21</v>
      </c>
      <c r="B177" s="807">
        <v>22148.608690479999</v>
      </c>
      <c r="C177" s="807">
        <v>2634.0845786899999</v>
      </c>
      <c r="D177" s="807">
        <v>2936.9130698399999</v>
      </c>
      <c r="E177" s="807">
        <v>5321.5701571200007</v>
      </c>
      <c r="F177" s="807">
        <v>11256.040884829999</v>
      </c>
    </row>
    <row r="178" spans="1:6">
      <c r="A178" s="796" t="s">
        <v>22</v>
      </c>
      <c r="B178" s="807">
        <v>21594.662352359999</v>
      </c>
      <c r="C178" s="807">
        <v>2419.6422130000005</v>
      </c>
      <c r="D178" s="807">
        <v>2934.4505903399995</v>
      </c>
      <c r="E178" s="807">
        <v>5882.56602587</v>
      </c>
      <c r="F178" s="807">
        <v>10358.003523150001</v>
      </c>
    </row>
    <row r="179" spans="1:6">
      <c r="A179" s="796" t="s">
        <v>23</v>
      </c>
      <c r="B179" s="807">
        <v>21595.415994440005</v>
      </c>
      <c r="C179" s="807">
        <v>2535.8806159299997</v>
      </c>
      <c r="D179" s="807">
        <v>2480.14295008</v>
      </c>
      <c r="E179" s="807">
        <v>5803.0205363399991</v>
      </c>
      <c r="F179" s="807">
        <v>10776.371892090001</v>
      </c>
    </row>
    <row r="180" spans="1:6">
      <c r="A180" s="796" t="s">
        <v>24</v>
      </c>
      <c r="B180" s="807">
        <v>21352.458820650005</v>
      </c>
      <c r="C180" s="807">
        <v>2400.8319576399999</v>
      </c>
      <c r="D180" s="807">
        <v>2364.2462012999999</v>
      </c>
      <c r="E180" s="807">
        <v>5701.5955204699994</v>
      </c>
      <c r="F180" s="807">
        <v>10885.785141240001</v>
      </c>
    </row>
    <row r="181" spans="1:6">
      <c r="A181" s="796" t="s">
        <v>25</v>
      </c>
      <c r="B181" s="807">
        <v>21008.018939289999</v>
      </c>
      <c r="C181" s="807">
        <v>2488.1889347500005</v>
      </c>
      <c r="D181" s="807">
        <v>2218.2725633900004</v>
      </c>
      <c r="E181" s="807">
        <v>5863.6191985899986</v>
      </c>
      <c r="F181" s="807">
        <v>10437.93824256</v>
      </c>
    </row>
    <row r="182" spans="1:6">
      <c r="A182" s="796" t="s">
        <v>26</v>
      </c>
      <c r="B182" s="807">
        <v>19484.23664598</v>
      </c>
      <c r="C182" s="807">
        <v>2788.5992997500002</v>
      </c>
      <c r="D182" s="807">
        <v>2153.15116773</v>
      </c>
      <c r="E182" s="807">
        <v>6061.8876551599997</v>
      </c>
      <c r="F182" s="807">
        <v>8480.5985233400024</v>
      </c>
    </row>
    <row r="183" spans="1:6">
      <c r="A183" s="796" t="s">
        <v>27</v>
      </c>
      <c r="B183" s="807">
        <v>19696.726037440003</v>
      </c>
      <c r="C183" s="807">
        <v>2729.1843656100009</v>
      </c>
      <c r="D183" s="807">
        <v>2304.3468228599995</v>
      </c>
      <c r="E183" s="807">
        <v>6328.4068436099988</v>
      </c>
      <c r="F183" s="807">
        <v>8334.7880053599984</v>
      </c>
    </row>
    <row r="184" spans="1:6">
      <c r="A184" s="796" t="s">
        <v>28</v>
      </c>
      <c r="B184" s="807">
        <v>19635.302359779998</v>
      </c>
      <c r="C184" s="807">
        <v>3066.7701548899995</v>
      </c>
      <c r="D184" s="807">
        <v>2414.9094410199996</v>
      </c>
      <c r="E184" s="807">
        <v>6118.7927604699998</v>
      </c>
      <c r="F184" s="807">
        <v>8034.8300033999994</v>
      </c>
    </row>
    <row r="185" spans="1:6">
      <c r="A185" s="796" t="s">
        <v>29</v>
      </c>
      <c r="B185" s="807">
        <v>20599.091444879999</v>
      </c>
      <c r="C185" s="807">
        <v>3287.7629679300003</v>
      </c>
      <c r="D185" s="807">
        <v>2397.77985003</v>
      </c>
      <c r="E185" s="807">
        <v>7015.3267190799997</v>
      </c>
      <c r="F185" s="807">
        <v>7898.2219078400012</v>
      </c>
    </row>
    <row r="186" spans="1:6">
      <c r="A186" s="796" t="s">
        <v>2078</v>
      </c>
      <c r="B186" s="807"/>
      <c r="C186" s="807"/>
      <c r="D186" s="807"/>
      <c r="E186" s="807"/>
      <c r="F186" s="807"/>
    </row>
    <row r="187" spans="1:6">
      <c r="A187" s="796" t="s">
        <v>18</v>
      </c>
      <c r="B187" s="807">
        <v>20861.52014651</v>
      </c>
      <c r="C187" s="807">
        <v>2934.0626198599998</v>
      </c>
      <c r="D187" s="807">
        <v>2559.2090775400002</v>
      </c>
      <c r="E187" s="807">
        <v>7533.1345280400001</v>
      </c>
      <c r="F187" s="807">
        <v>7835.1139210699994</v>
      </c>
    </row>
    <row r="188" spans="1:6">
      <c r="A188" s="796" t="s">
        <v>19</v>
      </c>
      <c r="B188" s="807">
        <v>20686.631633080004</v>
      </c>
      <c r="C188" s="807">
        <v>3192.9399457</v>
      </c>
      <c r="D188" s="807">
        <v>2637.07682329</v>
      </c>
      <c r="E188" s="807">
        <v>7247.351034190001</v>
      </c>
      <c r="F188" s="807">
        <v>7609.2638299</v>
      </c>
    </row>
    <row r="189" spans="1:6">
      <c r="A189" s="796" t="s">
        <v>20</v>
      </c>
      <c r="B189" s="807">
        <v>20328.670449750007</v>
      </c>
      <c r="C189" s="807">
        <v>3400.5884178000001</v>
      </c>
      <c r="D189" s="807">
        <v>2660.4334843400002</v>
      </c>
      <c r="E189" s="807">
        <v>6839.631196379999</v>
      </c>
      <c r="F189" s="807">
        <v>7428.0173512299998</v>
      </c>
    </row>
    <row r="190" spans="1:6">
      <c r="A190" s="796" t="s">
        <v>21</v>
      </c>
      <c r="B190" s="807">
        <v>20201.674806179999</v>
      </c>
      <c r="C190" s="807">
        <v>3410.4231490400007</v>
      </c>
      <c r="D190" s="807">
        <v>2578.7979625100002</v>
      </c>
      <c r="E190" s="807">
        <v>6966.4500842499992</v>
      </c>
      <c r="F190" s="807">
        <v>7246.0036103800003</v>
      </c>
    </row>
    <row r="191" spans="1:6">
      <c r="A191" s="796" t="s">
        <v>22</v>
      </c>
      <c r="B191" s="807">
        <v>20130.535433860001</v>
      </c>
      <c r="C191" s="807">
        <v>3350.9424235000001</v>
      </c>
      <c r="D191" s="807">
        <v>2670.1789457300006</v>
      </c>
      <c r="E191" s="807">
        <v>6554.68204668</v>
      </c>
      <c r="F191" s="807">
        <v>7554.7320179500002</v>
      </c>
    </row>
    <row r="192" spans="1:6">
      <c r="A192" s="796" t="s">
        <v>23</v>
      </c>
      <c r="B192" s="807">
        <v>20439.065491319994</v>
      </c>
      <c r="C192" s="807">
        <v>3618.5516031800003</v>
      </c>
      <c r="D192" s="807">
        <v>2685.2816408199997</v>
      </c>
      <c r="E192" s="807">
        <v>6447.9988035900005</v>
      </c>
      <c r="F192" s="807">
        <v>7687.2334437300005</v>
      </c>
    </row>
    <row r="193" spans="1:6">
      <c r="A193" s="796" t="s">
        <v>24</v>
      </c>
      <c r="B193" s="807">
        <v>20491.224001660004</v>
      </c>
      <c r="C193" s="807">
        <v>3759.6340715100018</v>
      </c>
      <c r="D193" s="807">
        <v>2670.5549279399997</v>
      </c>
      <c r="E193" s="807">
        <v>6481.1171373500001</v>
      </c>
      <c r="F193" s="807">
        <v>7579.91786486</v>
      </c>
    </row>
    <row r="194" spans="1:6">
      <c r="A194" s="796" t="s">
        <v>25</v>
      </c>
      <c r="B194" s="807">
        <v>20590.612705210002</v>
      </c>
      <c r="C194" s="807">
        <v>3808.4968804700006</v>
      </c>
      <c r="D194" s="807">
        <v>2635.4921038399998</v>
      </c>
      <c r="E194" s="807">
        <v>6421.0740195500002</v>
      </c>
      <c r="F194" s="807">
        <v>7725.5497013500008</v>
      </c>
    </row>
    <row r="195" spans="1:6">
      <c r="A195" s="796" t="s">
        <v>26</v>
      </c>
      <c r="B195" s="807">
        <v>21583.579528689999</v>
      </c>
      <c r="C195" s="807">
        <v>4430.4914019500002</v>
      </c>
      <c r="D195" s="807">
        <v>2609.3612473100006</v>
      </c>
      <c r="E195" s="807">
        <v>6863.6791408299987</v>
      </c>
      <c r="F195" s="807">
        <v>7680.0477386000002</v>
      </c>
    </row>
    <row r="196" spans="1:6">
      <c r="A196" s="796" t="s">
        <v>27</v>
      </c>
      <c r="B196" s="807">
        <v>22003.129238079997</v>
      </c>
      <c r="C196" s="807">
        <v>4730.6154748699992</v>
      </c>
      <c r="D196" s="807">
        <v>2622.9615185299995</v>
      </c>
      <c r="E196" s="807">
        <v>6997.3560206100019</v>
      </c>
      <c r="F196" s="807">
        <v>7652.1962240700004</v>
      </c>
    </row>
    <row r="197" spans="1:6">
      <c r="A197" s="796" t="s">
        <v>28</v>
      </c>
      <c r="B197" s="807">
        <v>21990.067519420001</v>
      </c>
      <c r="C197" s="807">
        <v>4672.4788885300004</v>
      </c>
      <c r="D197" s="807">
        <v>2721.7613074100004</v>
      </c>
      <c r="E197" s="807">
        <v>7203.9444411700006</v>
      </c>
      <c r="F197" s="807">
        <v>7391.8828823099993</v>
      </c>
    </row>
    <row r="198" spans="1:6">
      <c r="A198" s="796" t="s">
        <v>29</v>
      </c>
      <c r="B198" s="807">
        <v>21870.407654459999</v>
      </c>
      <c r="C198" s="807">
        <v>4935.5302333300015</v>
      </c>
      <c r="D198" s="807">
        <v>2646.2035817599999</v>
      </c>
      <c r="E198" s="807">
        <v>7078.2560496799979</v>
      </c>
      <c r="F198" s="807">
        <v>7210.4177896900001</v>
      </c>
    </row>
    <row r="199" spans="1:6">
      <c r="A199" s="796" t="s">
        <v>2171</v>
      </c>
      <c r="B199" s="807"/>
      <c r="C199" s="807"/>
      <c r="D199" s="807"/>
      <c r="E199" s="807"/>
      <c r="F199" s="807"/>
    </row>
    <row r="200" spans="1:6">
      <c r="A200" s="796" t="s">
        <v>18</v>
      </c>
      <c r="B200" s="807">
        <v>21978.147033900004</v>
      </c>
      <c r="C200" s="807">
        <v>4652.6916374299999</v>
      </c>
      <c r="D200" s="807">
        <v>2715.9246637399997</v>
      </c>
      <c r="E200" s="807">
        <v>7149.5559757500005</v>
      </c>
      <c r="F200" s="807">
        <v>7459.9747569800011</v>
      </c>
    </row>
    <row r="201" spans="1:6">
      <c r="A201" s="796" t="s">
        <v>19</v>
      </c>
      <c r="B201" s="807">
        <v>22401.551348590001</v>
      </c>
      <c r="C201" s="807">
        <v>5053.8462956499989</v>
      </c>
      <c r="D201" s="807">
        <v>2776.7154690699999</v>
      </c>
      <c r="E201" s="807">
        <v>7424.6770285500015</v>
      </c>
      <c r="F201" s="807">
        <v>7146.3125553199998</v>
      </c>
    </row>
    <row r="202" spans="1:6">
      <c r="A202" s="796" t="s">
        <v>20</v>
      </c>
      <c r="B202" s="807">
        <v>22124.25300665</v>
      </c>
      <c r="C202" s="807">
        <v>4595.5046526600008</v>
      </c>
      <c r="D202" s="807">
        <v>2909.6129643899994</v>
      </c>
      <c r="E202" s="807">
        <v>7494.2101718700023</v>
      </c>
      <c r="F202" s="807">
        <v>7124.9252177300004</v>
      </c>
    </row>
    <row r="203" spans="1:6">
      <c r="A203" s="796" t="s">
        <v>21</v>
      </c>
      <c r="B203" s="807">
        <v>22132.041015399995</v>
      </c>
      <c r="C203" s="807">
        <v>4939.8168877599992</v>
      </c>
      <c r="D203" s="807">
        <v>2978.1975804499998</v>
      </c>
      <c r="E203" s="807">
        <v>7180.0655661300007</v>
      </c>
      <c r="F203" s="807">
        <v>7033.9609810599995</v>
      </c>
    </row>
    <row r="204" spans="1:6">
      <c r="A204" s="796" t="s">
        <v>22</v>
      </c>
      <c r="B204" s="807">
        <v>21982.192593719999</v>
      </c>
      <c r="C204" s="807">
        <v>5150.3168395399998</v>
      </c>
      <c r="D204" s="807">
        <v>2926.7558796200001</v>
      </c>
      <c r="E204" s="807">
        <v>6784.5596362199994</v>
      </c>
      <c r="F204" s="807">
        <v>7120.560238340001</v>
      </c>
    </row>
    <row r="205" spans="1:6">
      <c r="A205" s="796" t="s">
        <v>23</v>
      </c>
      <c r="B205" s="807">
        <v>22128.01744766</v>
      </c>
      <c r="C205" s="807">
        <v>5260.9751213600011</v>
      </c>
      <c r="D205" s="807">
        <v>2954.6438159699997</v>
      </c>
      <c r="E205" s="807">
        <v>6452.3185159600007</v>
      </c>
      <c r="F205" s="807">
        <v>7460.0799943700003</v>
      </c>
    </row>
    <row r="206" spans="1:6">
      <c r="A206" s="796" t="s">
        <v>24</v>
      </c>
      <c r="B206" s="807">
        <v>22383.870138889997</v>
      </c>
      <c r="C206" s="807">
        <v>5398.4166738999993</v>
      </c>
      <c r="D206" s="807">
        <v>3034.4629968199997</v>
      </c>
      <c r="E206" s="807">
        <v>6233.0680299399992</v>
      </c>
      <c r="F206" s="807">
        <v>7717.9224382300008</v>
      </c>
    </row>
    <row r="207" spans="1:6">
      <c r="A207" s="796" t="s">
        <v>25</v>
      </c>
      <c r="B207" s="807">
        <v>22447.264083229999</v>
      </c>
      <c r="C207" s="807">
        <v>5218.4993413699995</v>
      </c>
      <c r="D207" s="807">
        <v>3097.6102590099999</v>
      </c>
      <c r="E207" s="807">
        <v>6325.2953096399997</v>
      </c>
      <c r="F207" s="807">
        <v>7805.8591732100003</v>
      </c>
    </row>
    <row r="208" spans="1:6">
      <c r="A208" s="796" t="s">
        <v>26</v>
      </c>
      <c r="B208" s="807">
        <v>23437.240016809999</v>
      </c>
      <c r="C208" s="807">
        <v>5454.6363528300008</v>
      </c>
      <c r="D208" s="807">
        <v>3087.8496495799996</v>
      </c>
      <c r="E208" s="807">
        <v>6926.9175314399981</v>
      </c>
      <c r="F208" s="807">
        <v>7967.8364829600005</v>
      </c>
    </row>
    <row r="209" spans="1:7">
      <c r="A209" s="796" t="s">
        <v>27</v>
      </c>
      <c r="B209" s="807">
        <v>23413.52268233</v>
      </c>
      <c r="C209" s="807">
        <v>5437.4942720600002</v>
      </c>
      <c r="D209" s="807">
        <v>3138.4786122700002</v>
      </c>
      <c r="E209" s="807">
        <v>6993.0662865000004</v>
      </c>
      <c r="F209" s="807">
        <v>7844.4835114999996</v>
      </c>
    </row>
    <row r="210" spans="1:7">
      <c r="A210" s="796" t="s">
        <v>28</v>
      </c>
      <c r="B210" s="807">
        <v>23579.109019219999</v>
      </c>
      <c r="C210" s="807">
        <v>5636.0536228800011</v>
      </c>
      <c r="D210" s="807">
        <v>3130.9119135800001</v>
      </c>
      <c r="E210" s="807">
        <v>6830.3460193500005</v>
      </c>
      <c r="F210" s="807">
        <v>7981.7974634099992</v>
      </c>
    </row>
    <row r="211" spans="1:7">
      <c r="A211" s="796" t="s">
        <v>29</v>
      </c>
      <c r="B211" s="807">
        <v>24746.031022520001</v>
      </c>
      <c r="C211" s="807">
        <v>6440.13727887</v>
      </c>
      <c r="D211" s="807">
        <v>3217.46126817</v>
      </c>
      <c r="E211" s="807">
        <v>7083.432711110001</v>
      </c>
      <c r="F211" s="807">
        <v>8004.9997643699999</v>
      </c>
    </row>
    <row r="212" spans="1:7">
      <c r="A212" s="796" t="s">
        <v>2407</v>
      </c>
      <c r="B212" s="807"/>
      <c r="C212" s="807"/>
      <c r="D212" s="807"/>
      <c r="E212" s="807"/>
      <c r="F212" s="807"/>
    </row>
    <row r="213" spans="1:7">
      <c r="A213" s="796" t="s">
        <v>18</v>
      </c>
      <c r="B213" s="807">
        <v>24837.149398470006</v>
      </c>
      <c r="C213" s="807">
        <v>6388.6475717300018</v>
      </c>
      <c r="D213" s="807">
        <v>3245.1845368700001</v>
      </c>
      <c r="E213" s="807">
        <v>7612.6334317399997</v>
      </c>
      <c r="F213" s="807">
        <v>7590.6838581300008</v>
      </c>
      <c r="G213" s="463"/>
    </row>
    <row r="214" spans="1:7">
      <c r="A214" s="796" t="s">
        <v>19</v>
      </c>
      <c r="B214" s="807">
        <v>24934.571062599996</v>
      </c>
      <c r="C214" s="807">
        <v>6514.9304328099997</v>
      </c>
      <c r="D214" s="807">
        <v>3297.3366530399999</v>
      </c>
      <c r="E214" s="807">
        <v>7272.85321036</v>
      </c>
      <c r="F214" s="807">
        <v>7849.4507663900004</v>
      </c>
      <c r="G214" s="463"/>
    </row>
    <row r="215" spans="1:7">
      <c r="A215" s="796" t="s">
        <v>20</v>
      </c>
      <c r="B215" s="807">
        <v>24085.053561460001</v>
      </c>
      <c r="C215" s="807">
        <v>5927.40639001</v>
      </c>
      <c r="D215" s="807">
        <v>3130.549852019999</v>
      </c>
      <c r="E215" s="807">
        <v>7152.4814524999992</v>
      </c>
      <c r="F215" s="807">
        <v>7874.6158669299994</v>
      </c>
      <c r="G215" s="463"/>
    </row>
    <row r="216" spans="1:7">
      <c r="A216" s="796" t="s">
        <v>21</v>
      </c>
      <c r="B216" s="807" t="s">
        <v>2453</v>
      </c>
      <c r="C216" s="807">
        <v>6032.0414755999991</v>
      </c>
      <c r="D216" s="807">
        <v>2921.0114400200005</v>
      </c>
      <c r="E216" s="807">
        <v>6783.1781275599988</v>
      </c>
      <c r="F216" s="807">
        <v>7644.5914549400004</v>
      </c>
      <c r="G216" s="463"/>
    </row>
    <row r="217" spans="1:7">
      <c r="A217" s="796" t="s">
        <v>22</v>
      </c>
      <c r="B217" s="807" t="s">
        <v>2470</v>
      </c>
      <c r="C217" s="807">
        <v>6381.0160862500006</v>
      </c>
      <c r="D217" s="807">
        <v>2748.2330594200002</v>
      </c>
      <c r="E217" s="807">
        <v>6762.243311700001</v>
      </c>
      <c r="F217" s="807">
        <v>7465.7781328000001</v>
      </c>
      <c r="G217" s="463"/>
    </row>
    <row r="218" spans="1:7">
      <c r="A218" s="796" t="s">
        <v>23</v>
      </c>
      <c r="B218" s="807">
        <v>22565.53825976</v>
      </c>
      <c r="C218" s="807">
        <v>6238.201094439999</v>
      </c>
      <c r="D218" s="807">
        <v>2692.0018694199998</v>
      </c>
      <c r="E218" s="807">
        <v>6144.2208415099994</v>
      </c>
      <c r="F218" s="807">
        <v>7491.1144543900009</v>
      </c>
      <c r="G218" s="463"/>
    </row>
    <row r="219" spans="1:7">
      <c r="A219" s="796" t="s">
        <v>24</v>
      </c>
      <c r="B219" s="807">
        <v>22532.111036330003</v>
      </c>
      <c r="C219" s="807">
        <v>6387.6160267499999</v>
      </c>
      <c r="D219" s="807">
        <v>2839.6867817500001</v>
      </c>
      <c r="E219" s="807">
        <v>5879.4819019399993</v>
      </c>
      <c r="F219" s="807">
        <v>7425.3263258900006</v>
      </c>
      <c r="G219" s="463"/>
    </row>
    <row r="220" spans="1:7">
      <c r="A220" s="796" t="s">
        <v>25</v>
      </c>
      <c r="B220" s="807">
        <v>22727.782969659995</v>
      </c>
      <c r="C220" s="807">
        <v>6360.1705208499989</v>
      </c>
      <c r="D220" s="807">
        <v>2891.5600814400004</v>
      </c>
      <c r="E220" s="807">
        <v>6247.9991408599981</v>
      </c>
      <c r="F220" s="807">
        <v>7228.0532265100001</v>
      </c>
      <c r="G220" s="463"/>
    </row>
    <row r="221" spans="1:7">
      <c r="A221" s="796" t="s">
        <v>26</v>
      </c>
      <c r="B221" s="807">
        <v>22495.099938109997</v>
      </c>
      <c r="C221" s="807">
        <v>6557.1118580199982</v>
      </c>
      <c r="D221" s="807">
        <v>2987.8183903900003</v>
      </c>
      <c r="E221" s="807">
        <v>6198.7986991999996</v>
      </c>
      <c r="F221" s="807">
        <v>6751.3709904999996</v>
      </c>
      <c r="G221" s="138"/>
    </row>
    <row r="222" spans="1:7" ht="18" customHeight="1">
      <c r="A222" s="796" t="s">
        <v>27</v>
      </c>
      <c r="B222" s="807">
        <v>22442.057939730003</v>
      </c>
      <c r="C222" s="807">
        <v>6669.0210646700016</v>
      </c>
      <c r="D222" s="807">
        <v>2898.5829093699999</v>
      </c>
      <c r="E222" s="807">
        <v>6122.047325890001</v>
      </c>
      <c r="F222" s="807">
        <v>6752.4066398000014</v>
      </c>
      <c r="G222" s="138"/>
    </row>
    <row r="223" spans="1:7" ht="18" customHeight="1">
      <c r="A223" s="796" t="s">
        <v>28</v>
      </c>
      <c r="B223" s="807">
        <v>22305.824423959999</v>
      </c>
      <c r="C223" s="807">
        <v>6304.4358249499992</v>
      </c>
      <c r="D223" s="807">
        <v>3001.6476769999999</v>
      </c>
      <c r="E223" s="807">
        <v>6334.3726675400012</v>
      </c>
      <c r="F223" s="807">
        <v>6665.3682544699996</v>
      </c>
      <c r="G223" s="138"/>
    </row>
    <row r="224" spans="1:7" ht="18" customHeight="1">
      <c r="A224" s="796" t="s">
        <v>29</v>
      </c>
      <c r="B224" s="807">
        <v>23666.868830550004</v>
      </c>
      <c r="C224" s="807">
        <v>7416.6815472300032</v>
      </c>
      <c r="D224" s="807">
        <v>2911.2501752200001</v>
      </c>
      <c r="E224" s="807">
        <v>6696.0953630600015</v>
      </c>
      <c r="F224" s="807">
        <v>6642.8417450399993</v>
      </c>
      <c r="G224" s="138"/>
    </row>
    <row r="225" spans="1:7">
      <c r="A225" s="803">
        <v>2021</v>
      </c>
      <c r="B225" s="810"/>
      <c r="C225" s="810"/>
      <c r="D225" s="810"/>
      <c r="E225" s="810"/>
      <c r="F225" s="810"/>
      <c r="G225" s="138"/>
    </row>
    <row r="226" spans="1:7">
      <c r="A226" s="796" t="s">
        <v>18</v>
      </c>
      <c r="B226" s="807">
        <v>23189.312012770002</v>
      </c>
      <c r="C226" s="807">
        <v>7086.8859824199999</v>
      </c>
      <c r="D226" s="807">
        <v>3012.9025783799998</v>
      </c>
      <c r="E226" s="807">
        <v>6534.4847902300007</v>
      </c>
      <c r="F226" s="807">
        <v>6555.03866174</v>
      </c>
      <c r="G226" s="138"/>
    </row>
    <row r="227" spans="1:7">
      <c r="A227" s="796" t="s">
        <v>19</v>
      </c>
      <c r="B227" s="807">
        <v>23489.120903840001</v>
      </c>
      <c r="C227" s="807">
        <v>7368.6653812799987</v>
      </c>
      <c r="D227" s="807">
        <v>3052.4728898000012</v>
      </c>
      <c r="E227" s="807">
        <v>6661.9231959900007</v>
      </c>
      <c r="F227" s="807">
        <v>6406.0594367699996</v>
      </c>
      <c r="G227" s="138"/>
    </row>
    <row r="228" spans="1:7">
      <c r="A228" s="796" t="s">
        <v>20</v>
      </c>
      <c r="B228" s="807">
        <v>23825.92843634</v>
      </c>
      <c r="C228" s="807">
        <v>7612.4272529700002</v>
      </c>
      <c r="D228" s="807">
        <v>3120.0851626200006</v>
      </c>
      <c r="E228" s="807">
        <v>6726.1487422799992</v>
      </c>
      <c r="F228" s="807">
        <v>6367.2672784699989</v>
      </c>
      <c r="G228" s="138"/>
    </row>
    <row r="229" spans="1:7">
      <c r="A229" s="796" t="s">
        <v>21</v>
      </c>
      <c r="B229" s="807">
        <v>24213.241269210004</v>
      </c>
      <c r="C229" s="807">
        <v>7998.1891321100011</v>
      </c>
      <c r="D229" s="807">
        <v>3249.8780653999997</v>
      </c>
      <c r="E229" s="807">
        <v>6591.3695593200009</v>
      </c>
      <c r="F229" s="807">
        <v>6373.8045123800002</v>
      </c>
      <c r="G229" s="138"/>
    </row>
    <row r="230" spans="1:7">
      <c r="A230" s="796" t="s">
        <v>22</v>
      </c>
      <c r="B230" s="807">
        <v>24991.213881430005</v>
      </c>
      <c r="C230" s="807">
        <v>8564.1550856700014</v>
      </c>
      <c r="D230" s="807">
        <v>3332.3213799099995</v>
      </c>
      <c r="E230" s="807">
        <v>6519.1675400700015</v>
      </c>
      <c r="F230" s="807">
        <v>6575.5698757800001</v>
      </c>
      <c r="G230" s="138"/>
    </row>
    <row r="231" spans="1:7">
      <c r="A231" s="796" t="s">
        <v>23</v>
      </c>
      <c r="B231" s="807">
        <v>24156.57158589</v>
      </c>
      <c r="C231" s="807">
        <v>8268.5072542300022</v>
      </c>
      <c r="D231" s="807">
        <v>3412.0801831599993</v>
      </c>
      <c r="E231" s="807">
        <v>6993.1317033199994</v>
      </c>
      <c r="F231" s="807">
        <v>5482.8524451799994</v>
      </c>
      <c r="G231" s="138"/>
    </row>
    <row r="232" spans="1:7">
      <c r="A232" s="796" t="s">
        <v>24</v>
      </c>
      <c r="B232" s="807">
        <v>24926.871174650005</v>
      </c>
      <c r="C232" s="807">
        <v>8262.5599471200003</v>
      </c>
      <c r="D232" s="807">
        <v>3559.7494850600006</v>
      </c>
      <c r="E232" s="807">
        <v>7410.80100717</v>
      </c>
      <c r="F232" s="807">
        <v>5693.7607353000003</v>
      </c>
      <c r="G232" s="138"/>
    </row>
    <row r="233" spans="1:7">
      <c r="A233" s="796" t="s">
        <v>25</v>
      </c>
      <c r="B233" s="807">
        <v>24791.852471049999</v>
      </c>
      <c r="C233" s="807">
        <v>8554.2013326899996</v>
      </c>
      <c r="D233" s="807">
        <v>3559.7828724499996</v>
      </c>
      <c r="E233" s="807">
        <v>6975.0448789299999</v>
      </c>
      <c r="F233" s="807">
        <v>5702.8233869800006</v>
      </c>
      <c r="G233" s="138"/>
    </row>
    <row r="234" spans="1:7">
      <c r="A234" s="796" t="s">
        <v>26</v>
      </c>
      <c r="B234" s="807">
        <v>25705.473344060007</v>
      </c>
      <c r="C234" s="807">
        <v>8801.4291171500008</v>
      </c>
      <c r="D234" s="807">
        <v>3709.9038115799999</v>
      </c>
      <c r="E234" s="807">
        <v>7701.7953208099998</v>
      </c>
      <c r="F234" s="807">
        <v>5492.3450945199993</v>
      </c>
      <c r="G234" s="138"/>
    </row>
    <row r="235" spans="1:7">
      <c r="A235" s="796" t="s">
        <v>27</v>
      </c>
      <c r="B235" s="807">
        <v>26114.802925899996</v>
      </c>
      <c r="C235" s="807">
        <v>8932.0118859600007</v>
      </c>
      <c r="D235" s="807">
        <v>3751.7745521599991</v>
      </c>
      <c r="E235" s="807">
        <v>7973.12463923</v>
      </c>
      <c r="F235" s="807">
        <v>5492.3450945199993</v>
      </c>
      <c r="G235" s="138"/>
    </row>
    <row r="236" spans="1:7">
      <c r="A236" s="796" t="s">
        <v>28</v>
      </c>
      <c r="B236" s="807">
        <v>26790.859008169999</v>
      </c>
      <c r="C236" s="807">
        <v>9311.3239267000008</v>
      </c>
      <c r="D236" s="807">
        <v>3817.7017291900002</v>
      </c>
      <c r="E236" s="807">
        <v>8271.321339170001</v>
      </c>
      <c r="F236" s="807">
        <v>5390.5120131099993</v>
      </c>
      <c r="G236" s="138"/>
    </row>
    <row r="237" spans="1:7">
      <c r="A237" s="796" t="s">
        <v>29</v>
      </c>
      <c r="B237" s="807">
        <v>29027.731736139995</v>
      </c>
      <c r="C237" s="807">
        <v>10754.185565580001</v>
      </c>
      <c r="D237" s="807">
        <v>3927.5679297800002</v>
      </c>
      <c r="E237" s="807">
        <v>8974.9761439899976</v>
      </c>
      <c r="F237" s="807">
        <v>5371.0020967899991</v>
      </c>
      <c r="G237" s="138"/>
    </row>
    <row r="238" spans="1:7">
      <c r="A238" s="796" t="s">
        <v>2892</v>
      </c>
      <c r="B238" s="807"/>
      <c r="C238" s="807"/>
      <c r="D238" s="807"/>
      <c r="E238" s="807"/>
      <c r="F238" s="807"/>
      <c r="G238" s="138"/>
    </row>
    <row r="239" spans="1:7">
      <c r="A239" s="796" t="s">
        <v>18</v>
      </c>
      <c r="B239" s="807">
        <v>29016.987753109999</v>
      </c>
      <c r="C239" s="807">
        <v>10188.984636590001</v>
      </c>
      <c r="D239" s="807">
        <v>3953.2352012599995</v>
      </c>
      <c r="E239" s="807">
        <v>9544.7708880699975</v>
      </c>
      <c r="F239" s="807">
        <v>5329.9970271900002</v>
      </c>
      <c r="G239" s="138"/>
    </row>
    <row r="240" spans="1:7">
      <c r="A240" s="796" t="s">
        <v>19</v>
      </c>
      <c r="B240" s="807">
        <v>29170.818363180002</v>
      </c>
      <c r="C240" s="807">
        <v>10184.127933930002</v>
      </c>
      <c r="D240" s="807">
        <v>4077.2991257600006</v>
      </c>
      <c r="E240" s="807">
        <v>9618.0772756400002</v>
      </c>
      <c r="F240" s="807">
        <v>5291.3140278499995</v>
      </c>
      <c r="G240" s="138"/>
    </row>
    <row r="241" spans="1:7">
      <c r="A241" s="796" t="s">
        <v>20</v>
      </c>
      <c r="B241" s="807">
        <v>30508.507513960001</v>
      </c>
      <c r="C241" s="807">
        <v>10789.224058899999</v>
      </c>
      <c r="D241" s="807">
        <v>4092.4984617299997</v>
      </c>
      <c r="E241" s="807">
        <v>10315.738039150001</v>
      </c>
      <c r="F241" s="807">
        <v>5311.0469541799994</v>
      </c>
      <c r="G241" s="138"/>
    </row>
    <row r="242" spans="1:7">
      <c r="A242" s="796" t="s">
        <v>21</v>
      </c>
      <c r="B242" s="807">
        <v>30890.39912767</v>
      </c>
      <c r="C242" s="807">
        <v>10983.20718718</v>
      </c>
      <c r="D242" s="807">
        <v>4210.0675271400005</v>
      </c>
      <c r="E242" s="807">
        <v>10486.052896309999</v>
      </c>
      <c r="F242" s="807">
        <v>5211.0715170399999</v>
      </c>
      <c r="G242" s="138"/>
    </row>
    <row r="243" spans="1:7">
      <c r="A243" s="796" t="s">
        <v>22</v>
      </c>
      <c r="B243" s="807">
        <v>32025.252167420003</v>
      </c>
      <c r="C243" s="807">
        <v>11490.539153480002</v>
      </c>
      <c r="D243" s="807">
        <v>4280.26702458</v>
      </c>
      <c r="E243" s="807">
        <v>11121.497671849998</v>
      </c>
      <c r="F243" s="807">
        <v>5132.9483175099995</v>
      </c>
      <c r="G243" s="138"/>
    </row>
    <row r="244" spans="1:7">
      <c r="A244" s="796" t="s">
        <v>23</v>
      </c>
      <c r="B244" s="807">
        <v>32417.121753569998</v>
      </c>
      <c r="C244" s="807">
        <v>11717.439478480001</v>
      </c>
      <c r="D244" s="807">
        <v>4460.4237517099991</v>
      </c>
      <c r="E244" s="807">
        <v>10827.60978945</v>
      </c>
      <c r="F244" s="807">
        <v>5411.6487339300002</v>
      </c>
      <c r="G244" s="138"/>
    </row>
    <row r="245" spans="1:7">
      <c r="A245" s="796" t="s">
        <v>24</v>
      </c>
      <c r="B245" s="807">
        <v>31957.277061000001</v>
      </c>
      <c r="C245" s="807">
        <v>11166.894131419998</v>
      </c>
      <c r="D245" s="807">
        <v>4693.2771844899999</v>
      </c>
      <c r="E245" s="807">
        <v>10573.542786880002</v>
      </c>
      <c r="F245" s="807">
        <v>5523.56295821</v>
      </c>
      <c r="G245" s="138"/>
    </row>
    <row r="246" spans="1:7">
      <c r="A246" s="796" t="s">
        <v>25</v>
      </c>
      <c r="B246" s="807">
        <v>32836.106540349996</v>
      </c>
      <c r="C246" s="807">
        <v>11854.626549949999</v>
      </c>
      <c r="D246" s="807">
        <v>4781.768259649999</v>
      </c>
      <c r="E246" s="807">
        <v>10710.995649360002</v>
      </c>
      <c r="F246" s="807">
        <v>5488.7160813899991</v>
      </c>
      <c r="G246" s="138"/>
    </row>
    <row r="247" spans="1:7">
      <c r="A247" s="796" t="s">
        <v>26</v>
      </c>
      <c r="B247" s="807">
        <v>33956.950859740005</v>
      </c>
      <c r="C247" s="807">
        <v>12360.815761120002</v>
      </c>
      <c r="D247" s="807">
        <v>4929.8697826799998</v>
      </c>
      <c r="E247" s="807">
        <v>11217.482355780001</v>
      </c>
      <c r="F247" s="807">
        <v>5448.7829601599997</v>
      </c>
      <c r="G247" s="138"/>
    </row>
    <row r="248" spans="1:7">
      <c r="A248" s="796" t="s">
        <v>27</v>
      </c>
      <c r="B248" s="807">
        <v>34806.25794784</v>
      </c>
      <c r="C248" s="807">
        <v>12974.887015140001</v>
      </c>
      <c r="D248" s="807">
        <v>5065.95929067</v>
      </c>
      <c r="E248" s="807">
        <v>11350.207945260001</v>
      </c>
      <c r="F248" s="807">
        <v>5415.2036967700005</v>
      </c>
      <c r="G248" s="138"/>
    </row>
    <row r="249" spans="1:7">
      <c r="A249" s="796" t="s">
        <v>28</v>
      </c>
      <c r="B249" s="807">
        <v>35484.16493413</v>
      </c>
      <c r="C249" s="807">
        <v>12927.691660889999</v>
      </c>
      <c r="D249" s="807">
        <v>5192.2307469100015</v>
      </c>
      <c r="E249" s="807">
        <v>11903.848468619997</v>
      </c>
      <c r="F249" s="807">
        <v>5460.3940577099993</v>
      </c>
      <c r="G249" s="138"/>
    </row>
    <row r="250" spans="1:7">
      <c r="A250" s="796" t="s">
        <v>29</v>
      </c>
      <c r="B250" s="807">
        <v>36249.769001510009</v>
      </c>
      <c r="C250" s="807">
        <v>13387.156055770001</v>
      </c>
      <c r="D250" s="807">
        <v>5317.3714168299994</v>
      </c>
      <c r="E250" s="807">
        <v>12139.128670010003</v>
      </c>
      <c r="F250" s="807">
        <v>5406.1128589</v>
      </c>
      <c r="G250" s="138"/>
    </row>
    <row r="251" spans="1:7">
      <c r="A251" s="796" t="s">
        <v>3605</v>
      </c>
      <c r="B251" s="807"/>
      <c r="C251" s="807"/>
      <c r="D251" s="807"/>
      <c r="E251" s="807"/>
      <c r="F251" s="807"/>
      <c r="G251" s="138"/>
    </row>
    <row r="252" spans="1:7">
      <c r="A252" s="796" t="s">
        <v>18</v>
      </c>
      <c r="B252" s="807">
        <v>35552.863399799993</v>
      </c>
      <c r="C252" s="807">
        <v>12803.276256510002</v>
      </c>
      <c r="D252" s="807">
        <v>5422.8750239199999</v>
      </c>
      <c r="E252" s="807">
        <v>11980.294106429998</v>
      </c>
      <c r="F252" s="807">
        <v>5346.4180129400002</v>
      </c>
      <c r="G252" s="138"/>
    </row>
    <row r="253" spans="1:7">
      <c r="A253" s="796" t="s">
        <v>19</v>
      </c>
      <c r="B253" s="807">
        <v>35179.241788129999</v>
      </c>
      <c r="C253" s="807">
        <v>12410.357106719999</v>
      </c>
      <c r="D253" s="807">
        <v>5630.1243007600006</v>
      </c>
      <c r="E253" s="807">
        <v>11394.758263259997</v>
      </c>
      <c r="F253" s="807">
        <v>5744.0021173900004</v>
      </c>
      <c r="G253" s="138"/>
    </row>
    <row r="254" spans="1:7">
      <c r="A254" s="796" t="s">
        <v>20</v>
      </c>
      <c r="B254" s="807">
        <v>34554.831504200003</v>
      </c>
      <c r="C254" s="807">
        <v>12960.670644</v>
      </c>
      <c r="D254" s="807">
        <v>5703.3238905000007</v>
      </c>
      <c r="E254" s="807">
        <v>10161.503330680001</v>
      </c>
      <c r="F254" s="807">
        <v>5729.3336390199993</v>
      </c>
      <c r="G254" s="138"/>
    </row>
    <row r="255" spans="1:7">
      <c r="A255" s="796" t="s">
        <v>21</v>
      </c>
      <c r="B255" s="807">
        <v>35202.44502739</v>
      </c>
      <c r="C255" s="807">
        <v>13157.509038579999</v>
      </c>
      <c r="D255" s="807">
        <v>5758.4440284399998</v>
      </c>
      <c r="E255" s="807">
        <v>10533.322098680001</v>
      </c>
      <c r="F255" s="807">
        <v>5753.1698616900003</v>
      </c>
      <c r="G255" s="138"/>
    </row>
    <row r="256" spans="1:7">
      <c r="A256" s="796" t="s">
        <v>22</v>
      </c>
      <c r="B256" s="807">
        <v>35393.087325780005</v>
      </c>
      <c r="C256" s="807">
        <v>13216.761083059999</v>
      </c>
      <c r="D256" s="807">
        <v>5891.4343964099999</v>
      </c>
      <c r="E256" s="807">
        <v>10595.720557830002</v>
      </c>
      <c r="F256" s="807">
        <v>5689.1712884799999</v>
      </c>
      <c r="G256" s="138"/>
    </row>
    <row r="257" spans="1:8">
      <c r="A257" s="796" t="s">
        <v>23</v>
      </c>
      <c r="B257" s="807">
        <v>34512.94671289</v>
      </c>
      <c r="C257" s="807">
        <v>13490.553856530001</v>
      </c>
      <c r="D257" s="807">
        <v>5927.9391587999999</v>
      </c>
      <c r="E257" s="807">
        <v>9182.5684975799995</v>
      </c>
      <c r="F257" s="807">
        <v>5911.8851999799999</v>
      </c>
      <c r="G257" s="138"/>
    </row>
    <row r="258" spans="1:8">
      <c r="A258" s="796" t="s">
        <v>24</v>
      </c>
      <c r="B258" s="807">
        <v>34023.467394450003</v>
      </c>
      <c r="C258" s="807">
        <v>13605.66899713</v>
      </c>
      <c r="D258" s="807">
        <v>6163.7998984600008</v>
      </c>
      <c r="E258" s="807">
        <v>8330.7123125899998</v>
      </c>
      <c r="F258" s="807">
        <v>5923.2861862700001</v>
      </c>
      <c r="G258" s="138"/>
    </row>
    <row r="259" spans="1:8">
      <c r="A259" s="796" t="s">
        <v>25</v>
      </c>
      <c r="B259" s="807">
        <v>34325.122664660004</v>
      </c>
      <c r="C259" s="807">
        <v>13834.587966980002</v>
      </c>
      <c r="D259" s="807">
        <v>6491.7994012800009</v>
      </c>
      <c r="E259" s="807">
        <v>8058.320655800002</v>
      </c>
      <c r="F259" s="807">
        <v>5940.4146406</v>
      </c>
      <c r="G259" s="138"/>
    </row>
    <row r="260" spans="1:8">
      <c r="A260" s="796" t="s">
        <v>26</v>
      </c>
      <c r="B260" s="807">
        <v>34230.529272649997</v>
      </c>
      <c r="C260" s="807">
        <v>14127.650408540001</v>
      </c>
      <c r="D260" s="807">
        <v>6394.0809092399995</v>
      </c>
      <c r="E260" s="807">
        <v>7718.464993730001</v>
      </c>
      <c r="F260" s="807">
        <v>5990.3329611400004</v>
      </c>
      <c r="G260" s="138"/>
    </row>
    <row r="261" spans="1:8">
      <c r="A261" s="796" t="s">
        <v>27</v>
      </c>
      <c r="B261" s="807">
        <v>34991.250378479992</v>
      </c>
      <c r="C261" s="807">
        <v>14146.871267779999</v>
      </c>
      <c r="D261" s="807">
        <v>6428.9389864299992</v>
      </c>
      <c r="E261" s="807">
        <v>8647.8347176400002</v>
      </c>
      <c r="F261" s="807">
        <v>5767.6054066300012</v>
      </c>
      <c r="G261" s="138"/>
    </row>
    <row r="262" spans="1:8">
      <c r="A262" s="796" t="s">
        <v>28</v>
      </c>
      <c r="B262" s="807">
        <v>35128.819710420001</v>
      </c>
      <c r="C262" s="807">
        <v>14619.325080759998</v>
      </c>
      <c r="D262" s="807">
        <v>6621.7173888000007</v>
      </c>
      <c r="E262" s="807">
        <v>8023.3934652899998</v>
      </c>
      <c r="F262" s="807">
        <v>5864.3837755699997</v>
      </c>
      <c r="G262" s="138"/>
    </row>
    <row r="263" spans="1:8">
      <c r="A263" s="796" t="s">
        <v>29</v>
      </c>
      <c r="B263" s="807">
        <v>36965.110117480006</v>
      </c>
      <c r="C263" s="807">
        <v>15001.297869780003</v>
      </c>
      <c r="D263" s="807">
        <v>7242.5303034599992</v>
      </c>
      <c r="E263" s="807">
        <v>8617.51479483</v>
      </c>
      <c r="F263" s="807">
        <v>6103.7671494099995</v>
      </c>
      <c r="G263" s="138"/>
    </row>
    <row r="264" spans="1:8">
      <c r="A264" s="796" t="s">
        <v>4086</v>
      </c>
      <c r="B264" s="807"/>
      <c r="C264" s="807"/>
      <c r="D264" s="807"/>
      <c r="E264" s="807"/>
      <c r="F264" s="807"/>
      <c r="G264" s="138"/>
    </row>
    <row r="265" spans="1:8">
      <c r="A265" s="796" t="s">
        <v>18</v>
      </c>
      <c r="B265" s="807">
        <v>37588.947156480004</v>
      </c>
      <c r="C265" s="807">
        <v>14698.552772140001</v>
      </c>
      <c r="D265" s="807">
        <v>7242.5928627800004</v>
      </c>
      <c r="E265" s="807">
        <v>8996.3251932100011</v>
      </c>
      <c r="F265" s="807">
        <v>6651.4763283499997</v>
      </c>
      <c r="G265" s="138"/>
    </row>
    <row r="266" spans="1:8">
      <c r="A266" s="796" t="s">
        <v>19</v>
      </c>
      <c r="B266" s="807">
        <v>37154.228410869997</v>
      </c>
      <c r="C266" s="807">
        <v>15067.908634910002</v>
      </c>
      <c r="D266" s="807">
        <v>7109.2762029499982</v>
      </c>
      <c r="E266" s="807">
        <v>8179.6471325999992</v>
      </c>
      <c r="F266" s="807">
        <v>6797.3964404099988</v>
      </c>
      <c r="G266" s="138"/>
    </row>
    <row r="267" spans="1:8" s="896" customFormat="1" ht="12.75" customHeight="1">
      <c r="A267" s="2458" t="s">
        <v>2763</v>
      </c>
      <c r="B267" s="2458"/>
      <c r="C267" s="2458"/>
      <c r="D267" s="2458"/>
      <c r="E267" s="2458"/>
      <c r="F267" s="2458"/>
      <c r="G267" s="894"/>
      <c r="H267" s="895"/>
    </row>
    <row r="268" spans="1:8" s="896" customFormat="1" ht="46.5" customHeight="1">
      <c r="A268" s="2457" t="s">
        <v>2764</v>
      </c>
      <c r="B268" s="2457"/>
      <c r="C268" s="2457"/>
      <c r="D268" s="2457"/>
      <c r="E268" s="2457"/>
      <c r="F268" s="2457"/>
      <c r="G268" s="894"/>
      <c r="H268" s="895"/>
    </row>
    <row r="269" spans="1:8" s="896" customFormat="1" ht="13.5" customHeight="1">
      <c r="A269" s="2456" t="s">
        <v>2766</v>
      </c>
      <c r="B269" s="2456"/>
      <c r="C269" s="2456"/>
      <c r="D269" s="2456"/>
      <c r="E269" s="2456"/>
      <c r="F269" s="2456"/>
      <c r="G269" s="894"/>
      <c r="H269" s="895"/>
    </row>
    <row r="274" spans="7:8">
      <c r="G274" s="243"/>
      <c r="H274" s="243"/>
    </row>
  </sheetData>
  <mergeCells count="17">
    <mergeCell ref="A269:F269"/>
    <mergeCell ref="A268:F268"/>
    <mergeCell ref="A267:F267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5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77"/>
  <sheetViews>
    <sheetView showGridLines="0" view="pageBreakPreview" zoomScaleSheetLayoutView="100" workbookViewId="0">
      <pane ySplit="11" topLeftCell="A188" activePane="bottomLeft" state="frozen"/>
      <selection activeCell="G291" sqref="G291"/>
      <selection pane="bottomLeft" activeCell="V216" sqref="V216"/>
    </sheetView>
  </sheetViews>
  <sheetFormatPr defaultColWidth="8.88671875" defaultRowHeight="13.8"/>
  <cols>
    <col min="1" max="1" width="8" style="1981" customWidth="1"/>
    <col min="2" max="2" width="11" style="1981" customWidth="1"/>
    <col min="3" max="4" width="8.109375" style="1981" customWidth="1"/>
    <col min="5" max="5" width="9.44140625" style="1981" customWidth="1"/>
    <col min="6" max="7" width="8.109375" style="1981" customWidth="1"/>
    <col min="8" max="8" width="9.44140625" style="1981" customWidth="1"/>
    <col min="9" max="10" width="8.109375" style="1981" customWidth="1"/>
    <col min="11" max="12" width="9.44140625" style="1981" customWidth="1"/>
    <col min="13" max="14" width="8.109375" style="1981" customWidth="1"/>
    <col min="15" max="15" width="9.44140625" style="1981" customWidth="1"/>
    <col min="16" max="17" width="8.109375" style="1981" customWidth="1"/>
    <col min="18" max="18" width="9.44140625" style="1981" customWidth="1"/>
    <col min="19" max="19" width="7.33203125" style="1981" customWidth="1"/>
    <col min="20" max="21" width="8.109375" style="1981" customWidth="1"/>
    <col min="22" max="22" width="9.44140625" style="1981" customWidth="1"/>
    <col min="23" max="24" width="8.109375" style="1981" customWidth="1"/>
    <col min="25" max="26" width="9.44140625" style="1981" customWidth="1"/>
    <col min="27" max="28" width="8.109375" style="1981" customWidth="1"/>
    <col min="29" max="29" width="9.44140625" style="1981" customWidth="1"/>
    <col min="30" max="31" width="8.109375" style="1981" customWidth="1"/>
    <col min="32" max="16384" width="8.88671875" style="1981"/>
  </cols>
  <sheetData>
    <row r="1" spans="1:31" ht="12" customHeight="1"/>
    <row r="2" spans="1:31" ht="18" customHeight="1">
      <c r="A2" s="2483" t="s">
        <v>2810</v>
      </c>
      <c r="B2" s="2483"/>
      <c r="C2" s="2483"/>
      <c r="D2" s="2483"/>
      <c r="E2" s="2483"/>
      <c r="F2" s="2483"/>
      <c r="G2" s="2483"/>
      <c r="H2" s="2483"/>
      <c r="I2" s="2483"/>
      <c r="J2" s="2483"/>
      <c r="K2" s="2483"/>
      <c r="L2" s="2483"/>
      <c r="M2" s="2483"/>
      <c r="N2" s="2483"/>
      <c r="O2" s="2483"/>
      <c r="P2" s="2483"/>
      <c r="Q2" s="2483"/>
      <c r="R2" s="2483"/>
      <c r="S2" s="2483"/>
      <c r="T2" s="2483"/>
      <c r="U2" s="2483"/>
      <c r="V2" s="2483"/>
      <c r="W2" s="2483"/>
      <c r="X2" s="2483"/>
      <c r="Y2" s="2483"/>
      <c r="Z2" s="2483"/>
      <c r="AA2" s="2483"/>
      <c r="AB2" s="2483"/>
      <c r="AC2" s="2483"/>
      <c r="AD2" s="2483"/>
      <c r="AE2" s="2483"/>
    </row>
    <row r="3" spans="1:31" ht="27" customHeight="1">
      <c r="A3" s="2484" t="s">
        <v>3474</v>
      </c>
      <c r="B3" s="2484"/>
      <c r="C3" s="2484"/>
      <c r="D3" s="2484"/>
      <c r="E3" s="2484"/>
      <c r="F3" s="2484"/>
      <c r="G3" s="2484"/>
      <c r="H3" s="2484"/>
      <c r="I3" s="2484"/>
      <c r="J3" s="2484"/>
      <c r="K3" s="2484"/>
      <c r="L3" s="2484"/>
      <c r="M3" s="2484"/>
      <c r="N3" s="2484"/>
      <c r="O3" s="2484"/>
      <c r="P3" s="2484"/>
      <c r="Q3" s="2484"/>
      <c r="R3" s="2484"/>
      <c r="S3" s="2484"/>
      <c r="T3" s="2484"/>
      <c r="U3" s="2484"/>
      <c r="V3" s="2484"/>
      <c r="W3" s="2484"/>
      <c r="X3" s="2484"/>
      <c r="Y3" s="2484"/>
      <c r="Z3" s="2484"/>
      <c r="AA3" s="2484"/>
      <c r="AB3" s="2484"/>
      <c r="AC3" s="2484"/>
      <c r="AD3" s="2484"/>
      <c r="AE3" s="2484"/>
    </row>
    <row r="4" spans="1:31" s="1983" customFormat="1" ht="12.75" customHeight="1">
      <c r="A4" s="1982"/>
      <c r="B4" s="1982"/>
      <c r="C4" s="1982"/>
      <c r="D4" s="1982"/>
      <c r="E4" s="1982"/>
      <c r="F4" s="1982"/>
      <c r="G4" s="1982"/>
      <c r="H4" s="1982"/>
      <c r="I4" s="1982"/>
      <c r="J4" s="1982"/>
      <c r="K4" s="1982"/>
      <c r="L4" s="1982"/>
      <c r="M4" s="1982"/>
      <c r="N4" s="1982"/>
      <c r="O4" s="1982"/>
      <c r="P4" s="1982"/>
      <c r="Q4" s="1982"/>
      <c r="R4" s="1982"/>
      <c r="S4" s="1982"/>
      <c r="T4" s="1982"/>
      <c r="U4" s="1982"/>
      <c r="V4" s="1982"/>
      <c r="W4" s="1982"/>
      <c r="X4" s="1982"/>
      <c r="Y4" s="1982"/>
      <c r="Z4" s="1982"/>
      <c r="AA4" s="1982"/>
      <c r="AB4" s="1982"/>
      <c r="AC4" s="1982"/>
      <c r="AD4" s="1982"/>
      <c r="AE4" s="1982"/>
    </row>
    <row r="5" spans="1:31" s="1983" customFormat="1" ht="12.75" customHeight="1">
      <c r="A5" s="811"/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  <c r="AA5" s="811"/>
      <c r="AB5" s="2259" t="s">
        <v>8</v>
      </c>
      <c r="AC5" s="2259"/>
      <c r="AD5" s="2259"/>
      <c r="AE5" s="2259"/>
    </row>
    <row r="6" spans="1:31" s="1984" customFormat="1">
      <c r="A6" s="2485" t="s">
        <v>182</v>
      </c>
      <c r="B6" s="2488" t="s">
        <v>155</v>
      </c>
      <c r="C6" s="2489" t="s">
        <v>183</v>
      </c>
      <c r="D6" s="2490"/>
      <c r="E6" s="2493" t="s">
        <v>184</v>
      </c>
      <c r="F6" s="2480" t="s">
        <v>183</v>
      </c>
      <c r="G6" s="2480"/>
      <c r="H6" s="2494" t="s">
        <v>185</v>
      </c>
      <c r="I6" s="2480" t="s">
        <v>183</v>
      </c>
      <c r="J6" s="2480"/>
      <c r="K6" s="2476" t="s">
        <v>186</v>
      </c>
      <c r="L6" s="2477" t="s">
        <v>1200</v>
      </c>
      <c r="M6" s="2480" t="s">
        <v>183</v>
      </c>
      <c r="N6" s="2480"/>
      <c r="O6" s="2476" t="s">
        <v>372</v>
      </c>
      <c r="P6" s="2480" t="s">
        <v>183</v>
      </c>
      <c r="Q6" s="2480"/>
      <c r="R6" s="2476" t="s">
        <v>1160</v>
      </c>
      <c r="S6" s="2477" t="s">
        <v>1200</v>
      </c>
      <c r="T6" s="2480" t="s">
        <v>183</v>
      </c>
      <c r="U6" s="2480"/>
      <c r="V6" s="2476" t="s">
        <v>372</v>
      </c>
      <c r="W6" s="2480" t="s">
        <v>183</v>
      </c>
      <c r="X6" s="2480"/>
      <c r="Y6" s="2476" t="s">
        <v>188</v>
      </c>
      <c r="Z6" s="2477" t="s">
        <v>1200</v>
      </c>
      <c r="AA6" s="2480" t="s">
        <v>183</v>
      </c>
      <c r="AB6" s="2480"/>
      <c r="AC6" s="2476" t="s">
        <v>372</v>
      </c>
      <c r="AD6" s="2480" t="s">
        <v>183</v>
      </c>
      <c r="AE6" s="2480"/>
    </row>
    <row r="7" spans="1:31" s="1984" customFormat="1">
      <c r="A7" s="2486"/>
      <c r="B7" s="2488"/>
      <c r="C7" s="2491"/>
      <c r="D7" s="2492"/>
      <c r="E7" s="2493"/>
      <c r="F7" s="2480"/>
      <c r="G7" s="2480"/>
      <c r="H7" s="2494"/>
      <c r="I7" s="2480"/>
      <c r="J7" s="2480"/>
      <c r="K7" s="2476"/>
      <c r="L7" s="2478"/>
      <c r="M7" s="2480"/>
      <c r="N7" s="2480"/>
      <c r="O7" s="2476"/>
      <c r="P7" s="2480"/>
      <c r="Q7" s="2480"/>
      <c r="R7" s="2476"/>
      <c r="S7" s="2478"/>
      <c r="T7" s="2480"/>
      <c r="U7" s="2480"/>
      <c r="V7" s="2476"/>
      <c r="W7" s="2480"/>
      <c r="X7" s="2480"/>
      <c r="Y7" s="2476"/>
      <c r="Z7" s="2478"/>
      <c r="AA7" s="2480"/>
      <c r="AB7" s="2480"/>
      <c r="AC7" s="2476"/>
      <c r="AD7" s="2480"/>
      <c r="AE7" s="2480"/>
    </row>
    <row r="8" spans="1:31" s="1985" customFormat="1" ht="11.4">
      <c r="A8" s="2486"/>
      <c r="B8" s="2488"/>
      <c r="C8" s="2477" t="s">
        <v>1201</v>
      </c>
      <c r="D8" s="2476" t="s">
        <v>207</v>
      </c>
      <c r="E8" s="2493"/>
      <c r="F8" s="2481" t="s">
        <v>1201</v>
      </c>
      <c r="G8" s="2465" t="s">
        <v>207</v>
      </c>
      <c r="H8" s="2494"/>
      <c r="I8" s="2481" t="s">
        <v>1201</v>
      </c>
      <c r="J8" s="2465" t="s">
        <v>207</v>
      </c>
      <c r="K8" s="2476"/>
      <c r="L8" s="2478"/>
      <c r="M8" s="2464" t="s">
        <v>190</v>
      </c>
      <c r="N8" s="2465" t="s">
        <v>191</v>
      </c>
      <c r="O8" s="2476"/>
      <c r="P8" s="2464" t="s">
        <v>190</v>
      </c>
      <c r="Q8" s="2465" t="s">
        <v>191</v>
      </c>
      <c r="R8" s="2476"/>
      <c r="S8" s="2478"/>
      <c r="T8" s="2464" t="s">
        <v>190</v>
      </c>
      <c r="U8" s="2465" t="s">
        <v>191</v>
      </c>
      <c r="V8" s="2476"/>
      <c r="W8" s="2464" t="s">
        <v>190</v>
      </c>
      <c r="X8" s="2465" t="s">
        <v>191</v>
      </c>
      <c r="Y8" s="2476"/>
      <c r="Z8" s="2478"/>
      <c r="AA8" s="2464" t="s">
        <v>190</v>
      </c>
      <c r="AB8" s="2465" t="s">
        <v>191</v>
      </c>
      <c r="AC8" s="2476"/>
      <c r="AD8" s="2464" t="s">
        <v>190</v>
      </c>
      <c r="AE8" s="2465" t="s">
        <v>191</v>
      </c>
    </row>
    <row r="9" spans="1:31" s="1985" customFormat="1" ht="46.95" customHeight="1">
      <c r="A9" s="2487"/>
      <c r="B9" s="2488"/>
      <c r="C9" s="2479"/>
      <c r="D9" s="2476"/>
      <c r="E9" s="2493"/>
      <c r="F9" s="2482"/>
      <c r="G9" s="2465"/>
      <c r="H9" s="2494"/>
      <c r="I9" s="2482"/>
      <c r="J9" s="2465"/>
      <c r="K9" s="2476"/>
      <c r="L9" s="2479"/>
      <c r="M9" s="2464"/>
      <c r="N9" s="2465"/>
      <c r="O9" s="2476"/>
      <c r="P9" s="2464"/>
      <c r="Q9" s="2465"/>
      <c r="R9" s="2476"/>
      <c r="S9" s="2479"/>
      <c r="T9" s="2464"/>
      <c r="U9" s="2465"/>
      <c r="V9" s="2476"/>
      <c r="W9" s="2464"/>
      <c r="X9" s="2465"/>
      <c r="Y9" s="2476"/>
      <c r="Z9" s="2479"/>
      <c r="AA9" s="2464"/>
      <c r="AB9" s="2465"/>
      <c r="AC9" s="2476"/>
      <c r="AD9" s="2464"/>
      <c r="AE9" s="2465"/>
    </row>
    <row r="10" spans="1:31" s="1986" customFormat="1">
      <c r="A10" s="2470" t="s">
        <v>304</v>
      </c>
      <c r="B10" s="2471" t="s">
        <v>105</v>
      </c>
      <c r="C10" s="2472" t="s">
        <v>106</v>
      </c>
      <c r="D10" s="2473"/>
      <c r="E10" s="2474" t="s">
        <v>1202</v>
      </c>
      <c r="F10" s="2463" t="s">
        <v>106</v>
      </c>
      <c r="G10" s="2463"/>
      <c r="H10" s="2475" t="s">
        <v>1203</v>
      </c>
      <c r="I10" s="2463" t="s">
        <v>106</v>
      </c>
      <c r="J10" s="2463"/>
      <c r="K10" s="2462" t="s">
        <v>1204</v>
      </c>
      <c r="L10" s="2462" t="s">
        <v>371</v>
      </c>
      <c r="M10" s="2463" t="s">
        <v>106</v>
      </c>
      <c r="N10" s="2463"/>
      <c r="O10" s="2462" t="s">
        <v>213</v>
      </c>
      <c r="P10" s="2463" t="s">
        <v>106</v>
      </c>
      <c r="Q10" s="2463"/>
      <c r="R10" s="2462" t="s">
        <v>1206</v>
      </c>
      <c r="S10" s="2462" t="s">
        <v>371</v>
      </c>
      <c r="T10" s="2463" t="s">
        <v>106</v>
      </c>
      <c r="U10" s="2463"/>
      <c r="V10" s="2462" t="s">
        <v>213</v>
      </c>
      <c r="W10" s="2463" t="s">
        <v>106</v>
      </c>
      <c r="X10" s="2463"/>
      <c r="Y10" s="2462" t="s">
        <v>1205</v>
      </c>
      <c r="Z10" s="2462" t="s">
        <v>371</v>
      </c>
      <c r="AA10" s="2463" t="s">
        <v>106</v>
      </c>
      <c r="AB10" s="2463"/>
      <c r="AC10" s="2462" t="s">
        <v>213</v>
      </c>
      <c r="AD10" s="2463" t="s">
        <v>106</v>
      </c>
      <c r="AE10" s="2463"/>
    </row>
    <row r="11" spans="1:31" s="1986" customFormat="1" ht="66" customHeight="1">
      <c r="A11" s="2470"/>
      <c r="B11" s="2471"/>
      <c r="C11" s="1946" t="s">
        <v>371</v>
      </c>
      <c r="D11" s="1946" t="s">
        <v>213</v>
      </c>
      <c r="E11" s="2474"/>
      <c r="F11" s="1946" t="s">
        <v>371</v>
      </c>
      <c r="G11" s="1946" t="s">
        <v>213</v>
      </c>
      <c r="H11" s="2475"/>
      <c r="I11" s="1946" t="s">
        <v>371</v>
      </c>
      <c r="J11" s="1946" t="s">
        <v>213</v>
      </c>
      <c r="K11" s="2462"/>
      <c r="L11" s="2462"/>
      <c r="M11" s="656" t="s">
        <v>1202</v>
      </c>
      <c r="N11" s="657" t="s">
        <v>1203</v>
      </c>
      <c r="O11" s="2462"/>
      <c r="P11" s="656" t="s">
        <v>1202</v>
      </c>
      <c r="Q11" s="657" t="s">
        <v>1203</v>
      </c>
      <c r="R11" s="2462"/>
      <c r="S11" s="2462"/>
      <c r="T11" s="656" t="s">
        <v>1202</v>
      </c>
      <c r="U11" s="657" t="s">
        <v>1203</v>
      </c>
      <c r="V11" s="2462"/>
      <c r="W11" s="656" t="s">
        <v>1202</v>
      </c>
      <c r="X11" s="657" t="s">
        <v>1203</v>
      </c>
      <c r="Y11" s="2462"/>
      <c r="Z11" s="2462"/>
      <c r="AA11" s="656" t="s">
        <v>1202</v>
      </c>
      <c r="AB11" s="657" t="s">
        <v>1203</v>
      </c>
      <c r="AC11" s="2462"/>
      <c r="AD11" s="656" t="s">
        <v>1202</v>
      </c>
      <c r="AE11" s="657" t="s">
        <v>1203</v>
      </c>
    </row>
    <row r="12" spans="1:31" ht="15.6">
      <c r="A12" s="1987">
        <v>2009</v>
      </c>
      <c r="B12" s="1988">
        <f>+C12+D12</f>
        <v>2334.8716709</v>
      </c>
      <c r="C12" s="1988">
        <f>+F12+I12</f>
        <v>965.59186697999996</v>
      </c>
      <c r="D12" s="1988">
        <f>+G12+J12</f>
        <v>1369.2798039199999</v>
      </c>
      <c r="E12" s="1988">
        <f>+F12+G12</f>
        <v>2149.9815619199999</v>
      </c>
      <c r="F12" s="1988">
        <f>+M12+AA12</f>
        <v>940.34621092999998</v>
      </c>
      <c r="G12" s="1988">
        <f>+P12+AD12</f>
        <v>1209.63535099</v>
      </c>
      <c r="H12" s="1988">
        <f>+I12+J12</f>
        <v>184.89010898000001</v>
      </c>
      <c r="I12" s="1988">
        <f>+N12+AB12</f>
        <v>25.245656049999997</v>
      </c>
      <c r="J12" s="1988">
        <f>+Q12+AE12</f>
        <v>159.64445293</v>
      </c>
      <c r="K12" s="1988">
        <f>+L12+O12</f>
        <v>1581.74617478</v>
      </c>
      <c r="L12" s="1988">
        <f>+M12+N12</f>
        <v>729.52573712999992</v>
      </c>
      <c r="M12" s="1988">
        <v>716.34732660999998</v>
      </c>
      <c r="N12" s="1988">
        <v>13.17841052</v>
      </c>
      <c r="O12" s="1988">
        <f t="shared" ref="O12:O29" si="0">P12+Q12</f>
        <v>852.22043765000012</v>
      </c>
      <c r="P12" s="1988">
        <v>767.8179416800001</v>
      </c>
      <c r="Q12" s="1988">
        <v>84.402495970000004</v>
      </c>
      <c r="R12" s="1988">
        <f t="shared" ref="R12:R29" si="1">S12+V12</f>
        <v>520.03121744999999</v>
      </c>
      <c r="S12" s="1988">
        <f t="shared" ref="S12:S29" si="2">T12+U12</f>
        <v>353.49315752000007</v>
      </c>
      <c r="T12" s="1988">
        <v>345.85064731000006</v>
      </c>
      <c r="U12" s="1988">
        <v>7.6425102100000002</v>
      </c>
      <c r="V12" s="1988">
        <f t="shared" ref="V12:V29" si="3">W12+X12</f>
        <v>166.53805992999997</v>
      </c>
      <c r="W12" s="1988">
        <v>142.31297461999998</v>
      </c>
      <c r="X12" s="1988">
        <v>24.225085310000001</v>
      </c>
      <c r="Y12" s="1988">
        <f t="shared" ref="Y12:Y29" si="4">Z12+AC12</f>
        <v>753.12549612000009</v>
      </c>
      <c r="Z12" s="1988">
        <f t="shared" ref="Z12:Z29" si="5">AA12+AB12</f>
        <v>236.06612985000001</v>
      </c>
      <c r="AA12" s="1988">
        <v>223.99888432</v>
      </c>
      <c r="AB12" s="1988">
        <v>12.067245529999997</v>
      </c>
      <c r="AC12" s="1988">
        <f t="shared" ref="AC12:AC29" si="6">AD12+AE12</f>
        <v>517.05936627000006</v>
      </c>
      <c r="AD12" s="1988">
        <v>441.81740931000002</v>
      </c>
      <c r="AE12" s="1988">
        <v>75.241956959999996</v>
      </c>
    </row>
    <row r="13" spans="1:31" ht="15.6">
      <c r="A13" s="1989">
        <v>2010</v>
      </c>
      <c r="B13" s="1990">
        <v>3029.7520766299999</v>
      </c>
      <c r="C13" s="1990">
        <v>1409.9405663699999</v>
      </c>
      <c r="D13" s="1990">
        <v>1619.81151026</v>
      </c>
      <c r="E13" s="1990">
        <v>2753.1319171800001</v>
      </c>
      <c r="F13" s="1990">
        <v>1369.67122221</v>
      </c>
      <c r="G13" s="1990">
        <v>1383.4606949700001</v>
      </c>
      <c r="H13" s="1990">
        <v>276.62015945000002</v>
      </c>
      <c r="I13" s="1990">
        <v>40.269344160000003</v>
      </c>
      <c r="J13" s="1990">
        <v>236.35081529000001</v>
      </c>
      <c r="K13" s="1990">
        <v>1982.55478328</v>
      </c>
      <c r="L13" s="1990">
        <v>1050.46106233</v>
      </c>
      <c r="M13" s="1990">
        <v>1028.6627618</v>
      </c>
      <c r="N13" s="1990">
        <v>21.798300529999999</v>
      </c>
      <c r="O13" s="1990">
        <v>932.09372095000003</v>
      </c>
      <c r="P13" s="1990">
        <v>822.37151931000005</v>
      </c>
      <c r="Q13" s="1990">
        <v>109.72220163999999</v>
      </c>
      <c r="R13" s="1990">
        <v>574.07753954000009</v>
      </c>
      <c r="S13" s="1990">
        <v>385.00787456</v>
      </c>
      <c r="T13" s="1990">
        <v>373.94191294000001</v>
      </c>
      <c r="U13" s="1990">
        <v>11.065961620000001</v>
      </c>
      <c r="V13" s="1990">
        <v>189.06966498000006</v>
      </c>
      <c r="W13" s="1990">
        <v>158.07785595000004</v>
      </c>
      <c r="X13" s="1990">
        <v>30.991809030000002</v>
      </c>
      <c r="Y13" s="1990">
        <v>1047.1972933500001</v>
      </c>
      <c r="Z13" s="1990">
        <v>359.47950403999999</v>
      </c>
      <c r="AA13" s="1990">
        <v>341.00846041</v>
      </c>
      <c r="AB13" s="1990">
        <v>18.47104363</v>
      </c>
      <c r="AC13" s="1990">
        <v>687.71778931000006</v>
      </c>
      <c r="AD13" s="1990">
        <v>561.08917566000002</v>
      </c>
      <c r="AE13" s="1990">
        <v>126.62861365000001</v>
      </c>
    </row>
    <row r="14" spans="1:31" hidden="1">
      <c r="A14" s="1991">
        <v>1</v>
      </c>
      <c r="B14" s="1990">
        <f t="shared" ref="B14:B29" si="7">+C14+D14</f>
        <v>2385.7566735800001</v>
      </c>
      <c r="C14" s="1990">
        <f t="shared" ref="C14:D29" si="8">+F14+I14</f>
        <v>984.89458506999995</v>
      </c>
      <c r="D14" s="1990">
        <f t="shared" si="8"/>
        <v>1400.8620885099999</v>
      </c>
      <c r="E14" s="1990">
        <f t="shared" ref="E14:E29" si="9">+F14+G14</f>
        <v>2198.1479804699998</v>
      </c>
      <c r="F14" s="1990">
        <f t="shared" ref="F14:F29" si="10">+M14+AA14</f>
        <v>958.51113047999991</v>
      </c>
      <c r="G14" s="1990">
        <f t="shared" ref="G14:G29" si="11">+P14+AD14</f>
        <v>1239.63684999</v>
      </c>
      <c r="H14" s="1990">
        <f t="shared" ref="H14:H29" si="12">+I14+J14</f>
        <v>187.60869310999999</v>
      </c>
      <c r="I14" s="1990">
        <f t="shared" ref="I14:I29" si="13">+N14+AB14</f>
        <v>26.383454589999999</v>
      </c>
      <c r="J14" s="1990">
        <f t="shared" ref="J14:J29" si="14">+Q14+AE14</f>
        <v>161.22523852</v>
      </c>
      <c r="K14" s="1990">
        <f t="shared" ref="K14:K20" si="15">+L14+O14</f>
        <v>1620.03987478</v>
      </c>
      <c r="L14" s="1990">
        <f t="shared" ref="L14:L29" si="16">+M14+N14</f>
        <v>748.34873550999987</v>
      </c>
      <c r="M14" s="1990">
        <v>734.20506462999992</v>
      </c>
      <c r="N14" s="1990">
        <v>14.14367088</v>
      </c>
      <c r="O14" s="1990">
        <f t="shared" si="0"/>
        <v>871.69113927000012</v>
      </c>
      <c r="P14" s="1990">
        <v>787.20356221000009</v>
      </c>
      <c r="Q14" s="1990">
        <v>84.487577060000007</v>
      </c>
      <c r="R14" s="1990">
        <f t="shared" si="1"/>
        <v>495.54856038999992</v>
      </c>
      <c r="S14" s="1990">
        <f t="shared" si="2"/>
        <v>328.11430781999991</v>
      </c>
      <c r="T14" s="1990">
        <v>320.49947731999993</v>
      </c>
      <c r="U14" s="1990">
        <v>7.6148305000000001</v>
      </c>
      <c r="V14" s="1990">
        <f t="shared" si="3"/>
        <v>167.43425257000001</v>
      </c>
      <c r="W14" s="1990">
        <v>144.69308780000003</v>
      </c>
      <c r="X14" s="1990">
        <v>22.741164769999997</v>
      </c>
      <c r="Y14" s="1990">
        <f t="shared" si="4"/>
        <v>765.71679880000011</v>
      </c>
      <c r="Z14" s="1990">
        <f t="shared" si="5"/>
        <v>236.54584956000002</v>
      </c>
      <c r="AA14" s="1990">
        <v>224.30606585000001</v>
      </c>
      <c r="AB14" s="1990">
        <v>12.239783709999999</v>
      </c>
      <c r="AC14" s="1990">
        <f t="shared" si="6"/>
        <v>529.17094924000003</v>
      </c>
      <c r="AD14" s="1990">
        <v>452.43328778</v>
      </c>
      <c r="AE14" s="1990">
        <v>76.737661459999998</v>
      </c>
    </row>
    <row r="15" spans="1:31" hidden="1">
      <c r="A15" s="1991">
        <v>2</v>
      </c>
      <c r="B15" s="1990">
        <f t="shared" si="7"/>
        <v>2422.8286893999998</v>
      </c>
      <c r="C15" s="1990">
        <f t="shared" si="8"/>
        <v>1029.72960706</v>
      </c>
      <c r="D15" s="1990">
        <f t="shared" si="8"/>
        <v>1393.0990823399998</v>
      </c>
      <c r="E15" s="1990">
        <f t="shared" si="9"/>
        <v>2222.3145293199996</v>
      </c>
      <c r="F15" s="1990">
        <f t="shared" si="10"/>
        <v>996.30905269999994</v>
      </c>
      <c r="G15" s="1990">
        <f t="shared" si="11"/>
        <v>1226.0054766199999</v>
      </c>
      <c r="H15" s="1990">
        <f t="shared" si="12"/>
        <v>200.51416008000001</v>
      </c>
      <c r="I15" s="1990">
        <f t="shared" si="13"/>
        <v>33.420554359999997</v>
      </c>
      <c r="J15" s="1990">
        <f t="shared" si="14"/>
        <v>167.09360572000003</v>
      </c>
      <c r="K15" s="1990">
        <f t="shared" si="15"/>
        <v>1646.96342949</v>
      </c>
      <c r="L15" s="1990">
        <f t="shared" si="16"/>
        <v>787.73736747999999</v>
      </c>
      <c r="M15" s="1990">
        <v>766.69862157</v>
      </c>
      <c r="N15" s="1990">
        <v>21.038745909999999</v>
      </c>
      <c r="O15" s="1990">
        <f t="shared" si="0"/>
        <v>859.22606200999996</v>
      </c>
      <c r="P15" s="1990">
        <v>771.02189335999992</v>
      </c>
      <c r="Q15" s="1990">
        <v>88.204168650000014</v>
      </c>
      <c r="R15" s="1990">
        <f t="shared" si="1"/>
        <v>510.42054188000003</v>
      </c>
      <c r="S15" s="1990">
        <f t="shared" si="2"/>
        <v>346.59478275000004</v>
      </c>
      <c r="T15" s="1990">
        <v>338.94568735000001</v>
      </c>
      <c r="U15" s="1990">
        <v>7.6490954000000002</v>
      </c>
      <c r="V15" s="1990">
        <f t="shared" si="3"/>
        <v>163.82575912999999</v>
      </c>
      <c r="W15" s="1990">
        <v>138.62288117999998</v>
      </c>
      <c r="X15" s="1990">
        <v>25.202877950000001</v>
      </c>
      <c r="Y15" s="1990">
        <f t="shared" si="4"/>
        <v>775.86525991000008</v>
      </c>
      <c r="Z15" s="1990">
        <f t="shared" si="5"/>
        <v>241.99223957999999</v>
      </c>
      <c r="AA15" s="1990">
        <v>229.61043112999999</v>
      </c>
      <c r="AB15" s="1990">
        <v>12.381808449999999</v>
      </c>
      <c r="AC15" s="1990">
        <f t="shared" si="6"/>
        <v>533.87302033000003</v>
      </c>
      <c r="AD15" s="1990">
        <v>454.98358325999999</v>
      </c>
      <c r="AE15" s="1990">
        <v>78.88943707</v>
      </c>
    </row>
    <row r="16" spans="1:31" hidden="1">
      <c r="A16" s="1991">
        <v>3</v>
      </c>
      <c r="B16" s="1990">
        <f t="shared" si="7"/>
        <v>2394.9631016999997</v>
      </c>
      <c r="C16" s="1990">
        <f t="shared" si="8"/>
        <v>980.62264517999995</v>
      </c>
      <c r="D16" s="1990">
        <f t="shared" si="8"/>
        <v>1414.3404565199999</v>
      </c>
      <c r="E16" s="1990">
        <f t="shared" si="9"/>
        <v>2165.2093463299998</v>
      </c>
      <c r="F16" s="1990">
        <f t="shared" si="10"/>
        <v>947.3857183099999</v>
      </c>
      <c r="G16" s="1990">
        <f t="shared" si="11"/>
        <v>1217.8236280199999</v>
      </c>
      <c r="H16" s="1990">
        <f t="shared" si="12"/>
        <v>229.75375537000002</v>
      </c>
      <c r="I16" s="1990">
        <f t="shared" si="13"/>
        <v>33.236926870000005</v>
      </c>
      <c r="J16" s="1990">
        <f t="shared" si="14"/>
        <v>196.5168285</v>
      </c>
      <c r="K16" s="1990">
        <f t="shared" si="15"/>
        <v>1596.1196230800001</v>
      </c>
      <c r="L16" s="1990">
        <f t="shared" si="16"/>
        <v>728.57798585</v>
      </c>
      <c r="M16" s="1990">
        <v>707.55199848999996</v>
      </c>
      <c r="N16" s="1990">
        <v>21.025987360000002</v>
      </c>
      <c r="O16" s="1990">
        <f t="shared" si="0"/>
        <v>867.54163722999999</v>
      </c>
      <c r="P16" s="1990">
        <v>753.06996697</v>
      </c>
      <c r="Q16" s="1990">
        <v>114.47167026</v>
      </c>
      <c r="R16" s="1990">
        <f t="shared" si="1"/>
        <v>453.32058209000002</v>
      </c>
      <c r="S16" s="1990">
        <f t="shared" si="2"/>
        <v>276.60139115999993</v>
      </c>
      <c r="T16" s="1990">
        <v>267.79145539999996</v>
      </c>
      <c r="U16" s="1990">
        <v>8.8099357600000001</v>
      </c>
      <c r="V16" s="1990">
        <f t="shared" si="3"/>
        <v>176.71919093000005</v>
      </c>
      <c r="W16" s="1990">
        <v>151.87859067000005</v>
      </c>
      <c r="X16" s="1990">
        <v>24.840600260000002</v>
      </c>
      <c r="Y16" s="1990">
        <f t="shared" si="4"/>
        <v>798.84347862000004</v>
      </c>
      <c r="Z16" s="1990">
        <f t="shared" si="5"/>
        <v>252.04465933</v>
      </c>
      <c r="AA16" s="1990">
        <v>239.83371982</v>
      </c>
      <c r="AB16" s="1990">
        <v>12.210939509999999</v>
      </c>
      <c r="AC16" s="1990">
        <f t="shared" si="6"/>
        <v>546.79881928999998</v>
      </c>
      <c r="AD16" s="1990">
        <v>464.75366105000001</v>
      </c>
      <c r="AE16" s="1990">
        <v>82.045158240000006</v>
      </c>
    </row>
    <row r="17" spans="1:31" hidden="1">
      <c r="A17" s="1991">
        <v>4</v>
      </c>
      <c r="B17" s="1990">
        <f t="shared" si="7"/>
        <v>2474.7451724799998</v>
      </c>
      <c r="C17" s="1990">
        <f t="shared" si="8"/>
        <v>1070.3465200400001</v>
      </c>
      <c r="D17" s="1990">
        <f t="shared" si="8"/>
        <v>1404.3986524399998</v>
      </c>
      <c r="E17" s="1990">
        <f t="shared" si="9"/>
        <v>2243.6622416599998</v>
      </c>
      <c r="F17" s="1990">
        <f t="shared" si="10"/>
        <v>1034.97521663</v>
      </c>
      <c r="G17" s="1990">
        <f t="shared" si="11"/>
        <v>1208.6870250299999</v>
      </c>
      <c r="H17" s="1990">
        <f t="shared" si="12"/>
        <v>231.08293082</v>
      </c>
      <c r="I17" s="1990">
        <f t="shared" si="13"/>
        <v>35.371303410000003</v>
      </c>
      <c r="J17" s="1990">
        <f t="shared" si="14"/>
        <v>195.71162741000001</v>
      </c>
      <c r="K17" s="1990">
        <f t="shared" si="15"/>
        <v>1649.7198340999998</v>
      </c>
      <c r="L17" s="1990">
        <f t="shared" si="16"/>
        <v>808.99133410000002</v>
      </c>
      <c r="M17" s="1990">
        <v>785.81950931000006</v>
      </c>
      <c r="N17" s="1990">
        <v>23.171824790000002</v>
      </c>
      <c r="O17" s="1990">
        <f t="shared" si="0"/>
        <v>840.72849999999994</v>
      </c>
      <c r="P17" s="1990">
        <v>727.35913864999998</v>
      </c>
      <c r="Q17" s="1990">
        <v>113.36936134999999</v>
      </c>
      <c r="R17" s="1990">
        <f t="shared" si="1"/>
        <v>494.21133439000005</v>
      </c>
      <c r="S17" s="1990">
        <f t="shared" si="2"/>
        <v>342.60319303000006</v>
      </c>
      <c r="T17" s="1990">
        <v>334.35324584000006</v>
      </c>
      <c r="U17" s="1990">
        <v>8.2499471900000003</v>
      </c>
      <c r="V17" s="1990">
        <f t="shared" si="3"/>
        <v>151.60814135999999</v>
      </c>
      <c r="W17" s="1990">
        <v>123.79325000999999</v>
      </c>
      <c r="X17" s="1990">
        <v>27.814891350000003</v>
      </c>
      <c r="Y17" s="1990">
        <f t="shared" si="4"/>
        <v>825.02533837999999</v>
      </c>
      <c r="Z17" s="1990">
        <f t="shared" si="5"/>
        <v>261.35518594000001</v>
      </c>
      <c r="AA17" s="1990">
        <v>249.15570732</v>
      </c>
      <c r="AB17" s="1990">
        <v>12.199478620000001</v>
      </c>
      <c r="AC17" s="1990">
        <f t="shared" si="6"/>
        <v>563.67015244000004</v>
      </c>
      <c r="AD17" s="1990">
        <v>481.32788638</v>
      </c>
      <c r="AE17" s="1990">
        <v>82.34226606</v>
      </c>
    </row>
    <row r="18" spans="1:31" hidden="1">
      <c r="A18" s="1991">
        <v>5</v>
      </c>
      <c r="B18" s="1990">
        <f t="shared" si="7"/>
        <v>2481.70096117</v>
      </c>
      <c r="C18" s="1990">
        <f t="shared" si="8"/>
        <v>1061.70389834</v>
      </c>
      <c r="D18" s="1990">
        <f t="shared" si="8"/>
        <v>1419.99706283</v>
      </c>
      <c r="E18" s="1990">
        <f t="shared" si="9"/>
        <v>2253.7982198</v>
      </c>
      <c r="F18" s="1990">
        <f t="shared" si="10"/>
        <v>1027.41710334</v>
      </c>
      <c r="G18" s="1990">
        <f t="shared" si="11"/>
        <v>1226.3811164599999</v>
      </c>
      <c r="H18" s="1990">
        <f t="shared" si="12"/>
        <v>227.90274137</v>
      </c>
      <c r="I18" s="1990">
        <f t="shared" si="13"/>
        <v>34.286794999999998</v>
      </c>
      <c r="J18" s="1990">
        <f t="shared" si="14"/>
        <v>193.61594637000002</v>
      </c>
      <c r="K18" s="1990">
        <f t="shared" si="15"/>
        <v>1653.1428037599999</v>
      </c>
      <c r="L18" s="1990">
        <f t="shared" si="16"/>
        <v>797.51454086000001</v>
      </c>
      <c r="M18" s="1990">
        <v>775.48334707000004</v>
      </c>
      <c r="N18" s="1990">
        <v>22.03119379</v>
      </c>
      <c r="O18" s="1990">
        <f t="shared" si="0"/>
        <v>855.62826289999998</v>
      </c>
      <c r="P18" s="1990">
        <v>744.83533221999994</v>
      </c>
      <c r="Q18" s="1990">
        <v>110.79293068000001</v>
      </c>
      <c r="R18" s="1990">
        <f t="shared" si="1"/>
        <v>488.13707039999997</v>
      </c>
      <c r="S18" s="1990">
        <f t="shared" si="2"/>
        <v>325.97959022999999</v>
      </c>
      <c r="T18" s="1990">
        <v>318.08818076</v>
      </c>
      <c r="U18" s="1990">
        <v>7.8914094700000001</v>
      </c>
      <c r="V18" s="1990">
        <f t="shared" si="3"/>
        <v>162.15748017000001</v>
      </c>
      <c r="W18" s="1990">
        <v>136.91766004000002</v>
      </c>
      <c r="X18" s="1990">
        <v>25.239820130000002</v>
      </c>
      <c r="Y18" s="1990">
        <f t="shared" si="4"/>
        <v>828.55815741000004</v>
      </c>
      <c r="Z18" s="1990">
        <f t="shared" si="5"/>
        <v>264.18935748000001</v>
      </c>
      <c r="AA18" s="1990">
        <v>251.93375627</v>
      </c>
      <c r="AB18" s="1990">
        <v>12.25560121</v>
      </c>
      <c r="AC18" s="1990">
        <f t="shared" si="6"/>
        <v>564.36879993000002</v>
      </c>
      <c r="AD18" s="1990">
        <v>481.54578423999999</v>
      </c>
      <c r="AE18" s="1990">
        <v>82.823015690000005</v>
      </c>
    </row>
    <row r="19" spans="1:31" hidden="1">
      <c r="A19" s="1991">
        <v>6</v>
      </c>
      <c r="B19" s="1990">
        <f t="shared" si="7"/>
        <v>2562.83582191</v>
      </c>
      <c r="C19" s="1990">
        <f t="shared" si="8"/>
        <v>1112.4802394800001</v>
      </c>
      <c r="D19" s="1990">
        <f t="shared" si="8"/>
        <v>1450.3555824300001</v>
      </c>
      <c r="E19" s="1990">
        <f t="shared" si="9"/>
        <v>2328.14721422</v>
      </c>
      <c r="F19" s="1990">
        <f t="shared" si="10"/>
        <v>1073.8226409000001</v>
      </c>
      <c r="G19" s="1990">
        <f t="shared" si="11"/>
        <v>1254.3245733200001</v>
      </c>
      <c r="H19" s="1990">
        <f t="shared" si="12"/>
        <v>234.68860769000003</v>
      </c>
      <c r="I19" s="1990">
        <f t="shared" si="13"/>
        <v>38.657598579999998</v>
      </c>
      <c r="J19" s="1990">
        <f t="shared" si="14"/>
        <v>196.03100911000001</v>
      </c>
      <c r="K19" s="1990">
        <f t="shared" si="15"/>
        <v>1711.6235453700001</v>
      </c>
      <c r="L19" s="1990">
        <f t="shared" si="16"/>
        <v>837.24547739000002</v>
      </c>
      <c r="M19" s="1990">
        <v>814.75039459000004</v>
      </c>
      <c r="N19" s="1990">
        <v>22.495082799999999</v>
      </c>
      <c r="O19" s="1990">
        <f t="shared" si="0"/>
        <v>874.37806797999997</v>
      </c>
      <c r="P19" s="1990">
        <v>763.15453316000003</v>
      </c>
      <c r="Q19" s="1990">
        <v>111.22353482</v>
      </c>
      <c r="R19" s="1990">
        <f t="shared" si="1"/>
        <v>523.03755899999999</v>
      </c>
      <c r="S19" s="1990">
        <f t="shared" si="2"/>
        <v>356.81037192999997</v>
      </c>
      <c r="T19" s="1990">
        <v>343.92267056999998</v>
      </c>
      <c r="U19" s="1990">
        <v>12.887701359999999</v>
      </c>
      <c r="V19" s="1990">
        <f t="shared" si="3"/>
        <v>166.22718707000001</v>
      </c>
      <c r="W19" s="1990">
        <v>140.17602475000001</v>
      </c>
      <c r="X19" s="1990">
        <v>26.05116232</v>
      </c>
      <c r="Y19" s="1990">
        <f t="shared" si="4"/>
        <v>851.21227653999995</v>
      </c>
      <c r="Z19" s="1990">
        <f t="shared" si="5"/>
        <v>275.23476209</v>
      </c>
      <c r="AA19" s="1990">
        <v>259.07224631000003</v>
      </c>
      <c r="AB19" s="1990">
        <v>16.16251578</v>
      </c>
      <c r="AC19" s="1990">
        <f t="shared" si="6"/>
        <v>575.97751444999994</v>
      </c>
      <c r="AD19" s="1990">
        <v>491.17004015999999</v>
      </c>
      <c r="AE19" s="1990">
        <v>84.807474290000002</v>
      </c>
    </row>
    <row r="20" spans="1:31" hidden="1">
      <c r="A20" s="1991">
        <v>7</v>
      </c>
      <c r="B20" s="1990">
        <f t="shared" si="7"/>
        <v>2716.2651976500001</v>
      </c>
      <c r="C20" s="1990">
        <f t="shared" si="8"/>
        <v>1212.0917760699999</v>
      </c>
      <c r="D20" s="1990">
        <f t="shared" si="8"/>
        <v>1504.1734215800002</v>
      </c>
      <c r="E20" s="1990">
        <f t="shared" si="9"/>
        <v>2480.95948142</v>
      </c>
      <c r="F20" s="1990">
        <f t="shared" si="10"/>
        <v>1173.5092171199999</v>
      </c>
      <c r="G20" s="1990">
        <f t="shared" si="11"/>
        <v>1307.4502643000001</v>
      </c>
      <c r="H20" s="1990">
        <f t="shared" si="12"/>
        <v>235.30571623000003</v>
      </c>
      <c r="I20" s="1990">
        <f t="shared" si="13"/>
        <v>38.582558950000006</v>
      </c>
      <c r="J20" s="1990">
        <f t="shared" si="14"/>
        <v>196.72315728000001</v>
      </c>
      <c r="K20" s="1990">
        <f t="shared" si="15"/>
        <v>1830.47295712</v>
      </c>
      <c r="L20" s="1990">
        <f t="shared" si="16"/>
        <v>919.30402593999997</v>
      </c>
      <c r="M20" s="1990">
        <v>898.05716949999999</v>
      </c>
      <c r="N20" s="1990">
        <v>21.246856440000002</v>
      </c>
      <c r="O20" s="1990">
        <f t="shared" si="0"/>
        <v>911.16893118000007</v>
      </c>
      <c r="P20" s="1990">
        <v>806.51771411000004</v>
      </c>
      <c r="Q20" s="1990">
        <v>104.65121707</v>
      </c>
      <c r="R20" s="1990">
        <f t="shared" si="1"/>
        <v>571.18026027999997</v>
      </c>
      <c r="S20" s="1990">
        <f t="shared" si="2"/>
        <v>390.98637384</v>
      </c>
      <c r="T20" s="1990">
        <v>381.83419182</v>
      </c>
      <c r="U20" s="1990">
        <v>9.1521820199999997</v>
      </c>
      <c r="V20" s="1990">
        <f t="shared" si="3"/>
        <v>180.19388643999997</v>
      </c>
      <c r="W20" s="1990">
        <v>154.40856262999998</v>
      </c>
      <c r="X20" s="1990">
        <v>25.785323809999998</v>
      </c>
      <c r="Y20" s="1990">
        <f t="shared" si="4"/>
        <v>885.79224053000007</v>
      </c>
      <c r="Z20" s="1990">
        <f t="shared" si="5"/>
        <v>292.78775013000001</v>
      </c>
      <c r="AA20" s="1990">
        <v>275.45204762000003</v>
      </c>
      <c r="AB20" s="1990">
        <v>17.335702510000001</v>
      </c>
      <c r="AC20" s="1990">
        <f t="shared" si="6"/>
        <v>593.00449040000001</v>
      </c>
      <c r="AD20" s="1990">
        <v>500.93255018999997</v>
      </c>
      <c r="AE20" s="1990">
        <v>92.071940209999994</v>
      </c>
    </row>
    <row r="21" spans="1:31" hidden="1">
      <c r="A21" s="1991">
        <v>8</v>
      </c>
      <c r="B21" s="1990">
        <f t="shared" si="7"/>
        <v>2720.8074087499999</v>
      </c>
      <c r="C21" s="1990">
        <f t="shared" si="8"/>
        <v>1186.96496387</v>
      </c>
      <c r="D21" s="1990">
        <f t="shared" si="8"/>
        <v>1533.8424448799999</v>
      </c>
      <c r="E21" s="1990">
        <f t="shared" si="9"/>
        <v>2475.3234267299999</v>
      </c>
      <c r="F21" s="1990">
        <f t="shared" si="10"/>
        <v>1150.4242307</v>
      </c>
      <c r="G21" s="1990">
        <f t="shared" si="11"/>
        <v>1324.89919603</v>
      </c>
      <c r="H21" s="1990">
        <f t="shared" si="12"/>
        <v>245.48398201999998</v>
      </c>
      <c r="I21" s="1990">
        <f t="shared" si="13"/>
        <v>36.540733170000003</v>
      </c>
      <c r="J21" s="1990">
        <f t="shared" si="14"/>
        <v>208.94324884999997</v>
      </c>
      <c r="K21" s="1990">
        <f>+L21+O21</f>
        <v>1802.3728617300001</v>
      </c>
      <c r="L21" s="1990">
        <f t="shared" si="16"/>
        <v>876.04747244000009</v>
      </c>
      <c r="M21" s="1990">
        <v>856.98685096000008</v>
      </c>
      <c r="N21" s="1990">
        <v>19.060621480000002</v>
      </c>
      <c r="O21" s="1990">
        <f t="shared" si="0"/>
        <v>926.32538928999998</v>
      </c>
      <c r="P21" s="1990">
        <v>818.67524112000001</v>
      </c>
      <c r="Q21" s="1990">
        <v>107.65014816999999</v>
      </c>
      <c r="R21" s="1990">
        <f t="shared" si="1"/>
        <v>500.33615320000001</v>
      </c>
      <c r="S21" s="1990">
        <f t="shared" si="2"/>
        <v>327.24065817000002</v>
      </c>
      <c r="T21" s="1990">
        <v>317.29276216</v>
      </c>
      <c r="U21" s="1990">
        <v>9.9478960099999991</v>
      </c>
      <c r="V21" s="1990">
        <f t="shared" si="3"/>
        <v>173.09549503</v>
      </c>
      <c r="W21" s="1990">
        <v>145.28047014999999</v>
      </c>
      <c r="X21" s="1990">
        <v>27.815024880000003</v>
      </c>
      <c r="Y21" s="1990">
        <f t="shared" si="4"/>
        <v>918.43454701999985</v>
      </c>
      <c r="Z21" s="1990">
        <f t="shared" si="5"/>
        <v>310.91749142999998</v>
      </c>
      <c r="AA21" s="1990">
        <v>293.43737973999998</v>
      </c>
      <c r="AB21" s="1990">
        <v>17.480111690000001</v>
      </c>
      <c r="AC21" s="1990">
        <f t="shared" si="6"/>
        <v>607.51705558999993</v>
      </c>
      <c r="AD21" s="1990">
        <v>506.22395490999997</v>
      </c>
      <c r="AE21" s="1990">
        <v>101.29310067999999</v>
      </c>
    </row>
    <row r="22" spans="1:31" hidden="1">
      <c r="A22" s="1991">
        <v>9</v>
      </c>
      <c r="B22" s="1990">
        <f t="shared" si="7"/>
        <v>2798.3141282899996</v>
      </c>
      <c r="C22" s="1990">
        <f t="shared" si="8"/>
        <v>1245.5884828000001</v>
      </c>
      <c r="D22" s="1990">
        <f t="shared" si="8"/>
        <v>1552.7256454899998</v>
      </c>
      <c r="E22" s="1990">
        <f t="shared" si="9"/>
        <v>2541.6270219999997</v>
      </c>
      <c r="F22" s="1990">
        <f t="shared" si="10"/>
        <v>1206.23803677</v>
      </c>
      <c r="G22" s="1990">
        <f t="shared" si="11"/>
        <v>1335.3889852299999</v>
      </c>
      <c r="H22" s="1990">
        <f t="shared" si="12"/>
        <v>256.68710629000003</v>
      </c>
      <c r="I22" s="1990">
        <f t="shared" si="13"/>
        <v>39.350446030000001</v>
      </c>
      <c r="J22" s="1990">
        <f t="shared" si="14"/>
        <v>217.33666026000003</v>
      </c>
      <c r="K22" s="1990">
        <f t="shared" ref="K22:K29" si="17">+L22+O22</f>
        <v>1857.0890481699998</v>
      </c>
      <c r="L22" s="1990">
        <f t="shared" si="16"/>
        <v>922.80662541999993</v>
      </c>
      <c r="M22" s="1990">
        <v>900.97212835999994</v>
      </c>
      <c r="N22" s="1990">
        <v>21.834497059999997</v>
      </c>
      <c r="O22" s="1990">
        <f t="shared" si="0"/>
        <v>934.28242275000002</v>
      </c>
      <c r="P22" s="1990">
        <v>820.82542999999998</v>
      </c>
      <c r="Q22" s="1990">
        <v>113.45699275000001</v>
      </c>
      <c r="R22" s="1990">
        <f t="shared" si="1"/>
        <v>524.63056880999989</v>
      </c>
      <c r="S22" s="1990">
        <f t="shared" si="2"/>
        <v>349.64738546999996</v>
      </c>
      <c r="T22" s="1990">
        <v>338.36879901999998</v>
      </c>
      <c r="U22" s="1990">
        <v>11.278586449999999</v>
      </c>
      <c r="V22" s="1990">
        <f t="shared" si="3"/>
        <v>174.98318333999998</v>
      </c>
      <c r="W22" s="1990">
        <v>146.70725561999998</v>
      </c>
      <c r="X22" s="1990">
        <v>28.275927720000002</v>
      </c>
      <c r="Y22" s="1990">
        <f t="shared" si="4"/>
        <v>941.22508012000003</v>
      </c>
      <c r="Z22" s="1990">
        <f t="shared" si="5"/>
        <v>322.78185738000002</v>
      </c>
      <c r="AA22" s="1990">
        <v>305.26590841000001</v>
      </c>
      <c r="AB22" s="1990">
        <v>17.51594897</v>
      </c>
      <c r="AC22" s="1990">
        <f t="shared" si="6"/>
        <v>618.44322274000001</v>
      </c>
      <c r="AD22" s="1990">
        <v>514.56355523000002</v>
      </c>
      <c r="AE22" s="1990">
        <v>103.87966751</v>
      </c>
    </row>
    <row r="23" spans="1:31" hidden="1">
      <c r="A23" s="1991">
        <v>10</v>
      </c>
      <c r="B23" s="1990">
        <f t="shared" si="7"/>
        <v>2887.52964651</v>
      </c>
      <c r="C23" s="1990">
        <f t="shared" si="8"/>
        <v>1308.5327202799999</v>
      </c>
      <c r="D23" s="1990">
        <f t="shared" si="8"/>
        <v>1578.9969262300001</v>
      </c>
      <c r="E23" s="1990">
        <f t="shared" si="9"/>
        <v>2642.4944710499999</v>
      </c>
      <c r="F23" s="1990">
        <f t="shared" si="10"/>
        <v>1269.2193216999999</v>
      </c>
      <c r="G23" s="1990">
        <f t="shared" si="11"/>
        <v>1373.27514935</v>
      </c>
      <c r="H23" s="1990">
        <f t="shared" si="12"/>
        <v>245.03517546</v>
      </c>
      <c r="I23" s="1990">
        <f t="shared" si="13"/>
        <v>39.313398579999998</v>
      </c>
      <c r="J23" s="1990">
        <f t="shared" si="14"/>
        <v>205.72177687999999</v>
      </c>
      <c r="K23" s="1990">
        <f t="shared" si="17"/>
        <v>1896.3183770599999</v>
      </c>
      <c r="L23" s="1990">
        <f t="shared" si="16"/>
        <v>962.58070470999996</v>
      </c>
      <c r="M23" s="1990">
        <v>941.03463070999999</v>
      </c>
      <c r="N23" s="1990">
        <v>21.546073999999997</v>
      </c>
      <c r="O23" s="1990">
        <f t="shared" si="0"/>
        <v>933.73767234999991</v>
      </c>
      <c r="P23" s="1990">
        <v>835.56842071999995</v>
      </c>
      <c r="Q23" s="1990">
        <v>98.169251629999991</v>
      </c>
      <c r="R23" s="1990">
        <f t="shared" si="1"/>
        <v>576.34303089000002</v>
      </c>
      <c r="S23" s="1990">
        <f t="shared" si="2"/>
        <v>385.43445643000001</v>
      </c>
      <c r="T23" s="1990">
        <v>374.16780999000002</v>
      </c>
      <c r="U23" s="1990">
        <v>11.266646439999999</v>
      </c>
      <c r="V23" s="1990">
        <f t="shared" si="3"/>
        <v>190.90857445999998</v>
      </c>
      <c r="W23" s="1990">
        <v>162.55348000999999</v>
      </c>
      <c r="X23" s="1990">
        <v>28.355094449999999</v>
      </c>
      <c r="Y23" s="1990">
        <f t="shared" si="4"/>
        <v>991.21126945000003</v>
      </c>
      <c r="Z23" s="1990">
        <f t="shared" si="5"/>
        <v>345.95201556999996</v>
      </c>
      <c r="AA23" s="1990">
        <v>328.18469098999998</v>
      </c>
      <c r="AB23" s="1990">
        <v>17.76732458</v>
      </c>
      <c r="AC23" s="1990">
        <f t="shared" si="6"/>
        <v>645.25925388000007</v>
      </c>
      <c r="AD23" s="1990">
        <v>537.70672863000004</v>
      </c>
      <c r="AE23" s="1990">
        <v>107.55252525</v>
      </c>
    </row>
    <row r="24" spans="1:31" hidden="1">
      <c r="A24" s="1991">
        <v>11</v>
      </c>
      <c r="B24" s="1990">
        <f t="shared" si="7"/>
        <v>2868.4287497800001</v>
      </c>
      <c r="C24" s="1990">
        <f t="shared" si="8"/>
        <v>1297.4377133</v>
      </c>
      <c r="D24" s="1990">
        <f t="shared" si="8"/>
        <v>1570.99103648</v>
      </c>
      <c r="E24" s="1990">
        <f t="shared" si="9"/>
        <v>2611.73494059</v>
      </c>
      <c r="F24" s="1990">
        <f t="shared" si="10"/>
        <v>1259.19981117</v>
      </c>
      <c r="G24" s="1990">
        <f t="shared" si="11"/>
        <v>1352.53512942</v>
      </c>
      <c r="H24" s="1990">
        <f t="shared" si="12"/>
        <v>256.69380919000002</v>
      </c>
      <c r="I24" s="1990">
        <f t="shared" si="13"/>
        <v>38.237902130000002</v>
      </c>
      <c r="J24" s="1990">
        <f t="shared" si="14"/>
        <v>218.45590706000002</v>
      </c>
      <c r="K24" s="1990">
        <f t="shared" si="17"/>
        <v>1856.40667261</v>
      </c>
      <c r="L24" s="1990">
        <f t="shared" si="16"/>
        <v>941.23767450000003</v>
      </c>
      <c r="M24" s="1990">
        <v>920.95187013999998</v>
      </c>
      <c r="N24" s="1990">
        <v>20.28580436</v>
      </c>
      <c r="O24" s="1990">
        <f t="shared" si="0"/>
        <v>915.16899811000008</v>
      </c>
      <c r="P24" s="1990">
        <v>807.02573340000004</v>
      </c>
      <c r="Q24" s="1990">
        <v>108.14326471000001</v>
      </c>
      <c r="R24" s="1990">
        <f t="shared" si="1"/>
        <v>504.74436416999993</v>
      </c>
      <c r="S24" s="1990">
        <f t="shared" si="2"/>
        <v>327.80126077999995</v>
      </c>
      <c r="T24" s="1990">
        <v>317.54026840999995</v>
      </c>
      <c r="U24" s="1990">
        <v>10.260992369999999</v>
      </c>
      <c r="V24" s="1990">
        <f t="shared" si="3"/>
        <v>176.94310339</v>
      </c>
      <c r="W24" s="1990">
        <v>149.13601165</v>
      </c>
      <c r="X24" s="1990">
        <v>27.807091740000001</v>
      </c>
      <c r="Y24" s="1990">
        <f t="shared" si="4"/>
        <v>1012.02207717</v>
      </c>
      <c r="Z24" s="1990">
        <f t="shared" si="5"/>
        <v>356.20003880000002</v>
      </c>
      <c r="AA24" s="1990">
        <v>338.24794102999999</v>
      </c>
      <c r="AB24" s="1990">
        <v>17.952097770000002</v>
      </c>
      <c r="AC24" s="1990">
        <f t="shared" si="6"/>
        <v>655.82203836999997</v>
      </c>
      <c r="AD24" s="1990">
        <v>545.50939601999994</v>
      </c>
      <c r="AE24" s="1990">
        <v>110.31264235</v>
      </c>
    </row>
    <row r="25" spans="1:31" hidden="1">
      <c r="A25" s="1991">
        <v>12</v>
      </c>
      <c r="B25" s="1990">
        <f t="shared" si="7"/>
        <v>3029.7520766299999</v>
      </c>
      <c r="C25" s="1990">
        <f t="shared" si="8"/>
        <v>1409.9405663699999</v>
      </c>
      <c r="D25" s="1990">
        <f t="shared" si="8"/>
        <v>1619.81151026</v>
      </c>
      <c r="E25" s="1990">
        <f t="shared" si="9"/>
        <v>2753.1319171800001</v>
      </c>
      <c r="F25" s="1990">
        <f t="shared" si="10"/>
        <v>1369.67122221</v>
      </c>
      <c r="G25" s="1990">
        <f t="shared" si="11"/>
        <v>1383.4606949700001</v>
      </c>
      <c r="H25" s="1990">
        <f t="shared" si="12"/>
        <v>276.62015945000002</v>
      </c>
      <c r="I25" s="1990">
        <f t="shared" si="13"/>
        <v>40.269344160000003</v>
      </c>
      <c r="J25" s="1990">
        <f t="shared" si="14"/>
        <v>236.35081529000001</v>
      </c>
      <c r="K25" s="1990">
        <f t="shared" si="17"/>
        <v>1982.55478328</v>
      </c>
      <c r="L25" s="1990">
        <f t="shared" si="16"/>
        <v>1050.46106233</v>
      </c>
      <c r="M25" s="1990">
        <v>1028.6627618</v>
      </c>
      <c r="N25" s="1990">
        <v>21.798300529999999</v>
      </c>
      <c r="O25" s="1990">
        <f t="shared" si="0"/>
        <v>932.09372095000003</v>
      </c>
      <c r="P25" s="1990">
        <v>822.37151931000005</v>
      </c>
      <c r="Q25" s="1990">
        <v>109.72220163999999</v>
      </c>
      <c r="R25" s="1990">
        <f t="shared" si="1"/>
        <v>574.07753954000009</v>
      </c>
      <c r="S25" s="1990">
        <f t="shared" si="2"/>
        <v>385.00787456</v>
      </c>
      <c r="T25" s="1990">
        <v>373.94191294000001</v>
      </c>
      <c r="U25" s="1990">
        <v>11.065961620000001</v>
      </c>
      <c r="V25" s="1990">
        <f t="shared" si="3"/>
        <v>189.06966498000006</v>
      </c>
      <c r="W25" s="1990">
        <v>158.07785595000004</v>
      </c>
      <c r="X25" s="1990">
        <v>30.991809030000002</v>
      </c>
      <c r="Y25" s="1990">
        <f t="shared" si="4"/>
        <v>1047.1972933500001</v>
      </c>
      <c r="Z25" s="1990">
        <f t="shared" si="5"/>
        <v>359.47950403999999</v>
      </c>
      <c r="AA25" s="1990">
        <v>341.00846041</v>
      </c>
      <c r="AB25" s="1990">
        <v>18.47104363</v>
      </c>
      <c r="AC25" s="1990">
        <f t="shared" si="6"/>
        <v>687.71778931000006</v>
      </c>
      <c r="AD25" s="1990">
        <v>561.08917566000002</v>
      </c>
      <c r="AE25" s="1990">
        <v>126.62861365000001</v>
      </c>
    </row>
    <row r="26" spans="1:31" ht="15.6">
      <c r="A26" s="1989">
        <v>2011</v>
      </c>
      <c r="B26" s="1990">
        <v>4119.8374570199994</v>
      </c>
      <c r="C26" s="1990">
        <v>2281.6742900099998</v>
      </c>
      <c r="D26" s="1990">
        <v>1838.1631670100001</v>
      </c>
      <c r="E26" s="1990">
        <v>3747.3870726099994</v>
      </c>
      <c r="F26" s="1990">
        <v>2225.2523184399997</v>
      </c>
      <c r="G26" s="1990">
        <v>1522.13475417</v>
      </c>
      <c r="H26" s="1990">
        <v>372.45038440999997</v>
      </c>
      <c r="I26" s="1990">
        <v>56.421971569999997</v>
      </c>
      <c r="J26" s="1990">
        <v>316.02841283999999</v>
      </c>
      <c r="K26" s="1990">
        <v>2640.2781299799999</v>
      </c>
      <c r="L26" s="1990">
        <v>1615.5138685099998</v>
      </c>
      <c r="M26" s="1990">
        <v>1576.7078550199999</v>
      </c>
      <c r="N26" s="1990">
        <v>38.806013489999998</v>
      </c>
      <c r="O26" s="1990">
        <v>1024.7642614700001</v>
      </c>
      <c r="P26" s="1990">
        <v>846.78046261999998</v>
      </c>
      <c r="Q26" s="1990">
        <v>177.98379885000003</v>
      </c>
      <c r="R26" s="1990">
        <v>843.78939447999983</v>
      </c>
      <c r="S26" s="1990">
        <v>613.14276837999989</v>
      </c>
      <c r="T26" s="1990">
        <v>598.90492479999989</v>
      </c>
      <c r="U26" s="1990">
        <v>14.23784358</v>
      </c>
      <c r="V26" s="1990">
        <v>230.64662609999999</v>
      </c>
      <c r="W26" s="1990">
        <v>188.46886025000001</v>
      </c>
      <c r="X26" s="1990">
        <v>42.17776585</v>
      </c>
      <c r="Y26" s="1990">
        <v>1479.55932704</v>
      </c>
      <c r="Z26" s="1990">
        <v>666.16042149999998</v>
      </c>
      <c r="AA26" s="1990">
        <v>648.54446341999994</v>
      </c>
      <c r="AB26" s="1990">
        <v>17.615958079999999</v>
      </c>
      <c r="AC26" s="1990">
        <v>813.39890553999999</v>
      </c>
      <c r="AD26" s="1990">
        <v>675.35429154999997</v>
      </c>
      <c r="AE26" s="1990">
        <v>138.04461398999999</v>
      </c>
    </row>
    <row r="27" spans="1:31" hidden="1">
      <c r="A27" s="1992">
        <v>1</v>
      </c>
      <c r="B27" s="1990">
        <f t="shared" si="7"/>
        <v>3072.1312173899996</v>
      </c>
      <c r="C27" s="1990">
        <f t="shared" si="8"/>
        <v>1388.6811291700001</v>
      </c>
      <c r="D27" s="1990">
        <f t="shared" si="8"/>
        <v>1683.4500882199998</v>
      </c>
      <c r="E27" s="1990">
        <f t="shared" si="9"/>
        <v>2793.9685544699996</v>
      </c>
      <c r="F27" s="1990">
        <f t="shared" si="10"/>
        <v>1348.22280325</v>
      </c>
      <c r="G27" s="1990">
        <f t="shared" si="11"/>
        <v>1445.7457512199999</v>
      </c>
      <c r="H27" s="1990">
        <f t="shared" si="12"/>
        <v>278.16266292</v>
      </c>
      <c r="I27" s="1990">
        <f t="shared" si="13"/>
        <v>40.45832592</v>
      </c>
      <c r="J27" s="1990">
        <f t="shared" si="14"/>
        <v>237.70433699999998</v>
      </c>
      <c r="K27" s="1990">
        <f t="shared" si="17"/>
        <v>1993.4201421499997</v>
      </c>
      <c r="L27" s="1990">
        <f t="shared" si="16"/>
        <v>1021.0301880199999</v>
      </c>
      <c r="M27" s="1990">
        <v>999.51221319999991</v>
      </c>
      <c r="N27" s="1990">
        <v>21.517974819999999</v>
      </c>
      <c r="O27" s="1990">
        <f t="shared" si="0"/>
        <v>972.38995412999998</v>
      </c>
      <c r="P27" s="1990">
        <v>863.64217873999996</v>
      </c>
      <c r="Q27" s="1990">
        <v>108.74777538999999</v>
      </c>
      <c r="R27" s="1990">
        <f t="shared" si="1"/>
        <v>575.05018775999997</v>
      </c>
      <c r="S27" s="1990">
        <f t="shared" si="2"/>
        <v>352.36563034999995</v>
      </c>
      <c r="T27" s="1990">
        <v>341.89018159999995</v>
      </c>
      <c r="U27" s="1990">
        <v>10.47544875</v>
      </c>
      <c r="V27" s="1990">
        <f t="shared" si="3"/>
        <v>222.68455740999997</v>
      </c>
      <c r="W27" s="1990">
        <v>191.33102738999997</v>
      </c>
      <c r="X27" s="1990">
        <v>31.353530020000001</v>
      </c>
      <c r="Y27" s="1990">
        <f t="shared" si="4"/>
        <v>1078.7110752399999</v>
      </c>
      <c r="Z27" s="1990">
        <f t="shared" si="5"/>
        <v>367.65094114999999</v>
      </c>
      <c r="AA27" s="1990">
        <v>348.71059005000001</v>
      </c>
      <c r="AB27" s="1990">
        <v>18.940351100000001</v>
      </c>
      <c r="AC27" s="1990">
        <f t="shared" si="6"/>
        <v>711.06013409000002</v>
      </c>
      <c r="AD27" s="1990">
        <v>582.10357248000003</v>
      </c>
      <c r="AE27" s="1990">
        <v>128.95656160999999</v>
      </c>
    </row>
    <row r="28" spans="1:31" hidden="1">
      <c r="A28" s="1992">
        <v>2</v>
      </c>
      <c r="B28" s="1990">
        <f t="shared" si="7"/>
        <v>3142.9067649100002</v>
      </c>
      <c r="C28" s="1990">
        <f t="shared" si="8"/>
        <v>1487.8513265500001</v>
      </c>
      <c r="D28" s="1990">
        <f t="shared" si="8"/>
        <v>1655.0554383600002</v>
      </c>
      <c r="E28" s="1990">
        <f t="shared" si="9"/>
        <v>2864.0972923200006</v>
      </c>
      <c r="F28" s="1990">
        <f t="shared" si="10"/>
        <v>1446.9984427000002</v>
      </c>
      <c r="G28" s="1990">
        <f t="shared" si="11"/>
        <v>1417.0988496200002</v>
      </c>
      <c r="H28" s="1990">
        <f t="shared" si="12"/>
        <v>278.80947258999998</v>
      </c>
      <c r="I28" s="1990">
        <f t="shared" si="13"/>
        <v>40.852883849999998</v>
      </c>
      <c r="J28" s="1990">
        <f t="shared" si="14"/>
        <v>237.95658874</v>
      </c>
      <c r="K28" s="1990">
        <f t="shared" si="17"/>
        <v>2049.83709924</v>
      </c>
      <c r="L28" s="1990">
        <f t="shared" si="16"/>
        <v>1115.1497055100001</v>
      </c>
      <c r="M28" s="1990">
        <v>1093.3286710100001</v>
      </c>
      <c r="N28" s="1990">
        <v>21.8210345</v>
      </c>
      <c r="O28" s="1990">
        <f t="shared" si="0"/>
        <v>934.68739373000005</v>
      </c>
      <c r="P28" s="1990">
        <v>828.14898779000009</v>
      </c>
      <c r="Q28" s="1990">
        <v>106.53840593999999</v>
      </c>
      <c r="R28" s="1990">
        <f t="shared" si="1"/>
        <v>614.03971422999996</v>
      </c>
      <c r="S28" s="1990">
        <f t="shared" si="2"/>
        <v>426.50273661</v>
      </c>
      <c r="T28" s="1990">
        <v>415.08898418000001</v>
      </c>
      <c r="U28" s="1990">
        <v>11.413752429999999</v>
      </c>
      <c r="V28" s="1990">
        <f t="shared" si="3"/>
        <v>187.53697761999999</v>
      </c>
      <c r="W28" s="1990">
        <v>155.81740033</v>
      </c>
      <c r="X28" s="1990">
        <v>31.71957729</v>
      </c>
      <c r="Y28" s="1990">
        <f t="shared" si="4"/>
        <v>1093.0696656699999</v>
      </c>
      <c r="Z28" s="1990">
        <f t="shared" si="5"/>
        <v>372.70162104000002</v>
      </c>
      <c r="AA28" s="1990">
        <v>353.66977169</v>
      </c>
      <c r="AB28" s="1990">
        <v>19.031849350000002</v>
      </c>
      <c r="AC28" s="1990">
        <f t="shared" si="6"/>
        <v>720.36804462999999</v>
      </c>
      <c r="AD28" s="1990">
        <v>588.94986183000003</v>
      </c>
      <c r="AE28" s="1990">
        <v>131.41818280000001</v>
      </c>
    </row>
    <row r="29" spans="1:31" hidden="1">
      <c r="A29" s="1992">
        <v>3</v>
      </c>
      <c r="B29" s="1990">
        <f t="shared" si="7"/>
        <v>3289.13620975</v>
      </c>
      <c r="C29" s="1990">
        <f t="shared" si="8"/>
        <v>1514.67471271</v>
      </c>
      <c r="D29" s="1990">
        <f t="shared" si="8"/>
        <v>1774.46149704</v>
      </c>
      <c r="E29" s="1990">
        <f t="shared" si="9"/>
        <v>3005.1889364899998</v>
      </c>
      <c r="F29" s="1990">
        <f t="shared" si="10"/>
        <v>1476.5827620099999</v>
      </c>
      <c r="G29" s="1990">
        <f t="shared" si="11"/>
        <v>1528.6061744799999</v>
      </c>
      <c r="H29" s="1990">
        <f t="shared" si="12"/>
        <v>283.94727326000003</v>
      </c>
      <c r="I29" s="1990">
        <f t="shared" si="13"/>
        <v>38.091950699999998</v>
      </c>
      <c r="J29" s="1990">
        <f t="shared" si="14"/>
        <v>245.85532256000002</v>
      </c>
      <c r="K29" s="1990">
        <f t="shared" si="17"/>
        <v>2089.5310464099998</v>
      </c>
      <c r="L29" s="1990">
        <f t="shared" si="16"/>
        <v>1139.58409345</v>
      </c>
      <c r="M29" s="1990">
        <v>1117.7655891899999</v>
      </c>
      <c r="N29" s="1990">
        <v>21.818504259999997</v>
      </c>
      <c r="O29" s="1990">
        <f t="shared" si="0"/>
        <v>949.94695295999998</v>
      </c>
      <c r="P29" s="1990">
        <v>839.16299196</v>
      </c>
      <c r="Q29" s="1990">
        <v>110.78396100000001</v>
      </c>
      <c r="R29" s="1990">
        <f t="shared" si="1"/>
        <v>608.64503751999996</v>
      </c>
      <c r="S29" s="1990">
        <f t="shared" si="2"/>
        <v>411.43732685999998</v>
      </c>
      <c r="T29" s="1990">
        <v>400.05283784</v>
      </c>
      <c r="U29" s="1990">
        <v>11.384489019999998</v>
      </c>
      <c r="V29" s="1990">
        <f t="shared" si="3"/>
        <v>197.20771066000003</v>
      </c>
      <c r="W29" s="1990">
        <v>164.54670804000003</v>
      </c>
      <c r="X29" s="1990">
        <v>32.661002620000005</v>
      </c>
      <c r="Y29" s="1990">
        <f t="shared" si="4"/>
        <v>1199.60516334</v>
      </c>
      <c r="Z29" s="1990">
        <f t="shared" si="5"/>
        <v>375.09061925999998</v>
      </c>
      <c r="AA29" s="1990">
        <v>358.81717282</v>
      </c>
      <c r="AB29" s="1990">
        <v>16.273446440000001</v>
      </c>
      <c r="AC29" s="1990">
        <f t="shared" si="6"/>
        <v>824.51454407999995</v>
      </c>
      <c r="AD29" s="1990">
        <v>689.44318251999994</v>
      </c>
      <c r="AE29" s="1990">
        <v>135.07136156000001</v>
      </c>
    </row>
    <row r="30" spans="1:31" hidden="1">
      <c r="A30" s="1992">
        <v>4</v>
      </c>
      <c r="B30" s="1990">
        <f>+C30+D30</f>
        <v>3358.6820325299996</v>
      </c>
      <c r="C30" s="1990">
        <f t="shared" ref="C30:D32" si="18">+F30+I30</f>
        <v>1555.9722181799998</v>
      </c>
      <c r="D30" s="1990">
        <f t="shared" si="18"/>
        <v>1802.7098143499998</v>
      </c>
      <c r="E30" s="1990">
        <f>+F30+G30</f>
        <v>3069.7795907299997</v>
      </c>
      <c r="F30" s="1990">
        <f>+M30+AA30</f>
        <v>1517.8652517399998</v>
      </c>
      <c r="G30" s="1990">
        <f>+P30+AD30</f>
        <v>1551.9143389899998</v>
      </c>
      <c r="H30" s="1990">
        <f>+I30+J30</f>
        <v>288.90244180000002</v>
      </c>
      <c r="I30" s="1990">
        <f>+N30+AB30</f>
        <v>38.106966439999994</v>
      </c>
      <c r="J30" s="1990">
        <f>+Q30+AE30</f>
        <v>250.79547536000001</v>
      </c>
      <c r="K30" s="1990">
        <f>+L30+O30</f>
        <v>2120.3649516299997</v>
      </c>
      <c r="L30" s="1990">
        <f>+M30+N30</f>
        <v>1154.45868636</v>
      </c>
      <c r="M30" s="1990">
        <v>1132.7305356899999</v>
      </c>
      <c r="N30" s="1990">
        <v>21.728150669999998</v>
      </c>
      <c r="O30" s="1990">
        <f>P30+Q30</f>
        <v>965.90626526999984</v>
      </c>
      <c r="P30" s="1990">
        <v>852.45385943999986</v>
      </c>
      <c r="Q30" s="1990">
        <v>113.45240583</v>
      </c>
      <c r="R30" s="1990">
        <f>S30+V30</f>
        <v>631.13291092999998</v>
      </c>
      <c r="S30" s="1990">
        <f>T30+U30</f>
        <v>430.59949551</v>
      </c>
      <c r="T30" s="1990">
        <v>418.93577388</v>
      </c>
      <c r="U30" s="1990">
        <v>11.663721630000001</v>
      </c>
      <c r="V30" s="1990">
        <f>W30+X30</f>
        <v>200.53341541999995</v>
      </c>
      <c r="W30" s="1990">
        <v>166.31272977999996</v>
      </c>
      <c r="X30" s="1990">
        <v>34.220685639999992</v>
      </c>
      <c r="Y30" s="1990">
        <f>Z30+AC30</f>
        <v>1238.3170808999998</v>
      </c>
      <c r="Z30" s="1990">
        <f>AA30+AB30</f>
        <v>401.51353182000003</v>
      </c>
      <c r="AA30" s="1990">
        <v>385.13471605000001</v>
      </c>
      <c r="AB30" s="1990">
        <v>16.378815769999999</v>
      </c>
      <c r="AC30" s="1990">
        <f>AD30+AE30</f>
        <v>836.80354907999993</v>
      </c>
      <c r="AD30" s="1990">
        <v>699.46047954999995</v>
      </c>
      <c r="AE30" s="1990">
        <v>137.34306953000001</v>
      </c>
    </row>
    <row r="31" spans="1:31" hidden="1">
      <c r="A31" s="1992">
        <v>5</v>
      </c>
      <c r="B31" s="1990">
        <f>+C31+D31</f>
        <v>3321.4622767800001</v>
      </c>
      <c r="C31" s="1990">
        <f t="shared" si="18"/>
        <v>1577.7175126500001</v>
      </c>
      <c r="D31" s="1990">
        <f t="shared" si="18"/>
        <v>1743.7447641299998</v>
      </c>
      <c r="E31" s="1990">
        <f>+F31+G31</f>
        <v>3029.0114991099999</v>
      </c>
      <c r="F31" s="1990">
        <f>+M31+AA31</f>
        <v>1537.9609659600001</v>
      </c>
      <c r="G31" s="1990">
        <f>+P31+AD31</f>
        <v>1491.0505331499999</v>
      </c>
      <c r="H31" s="1990">
        <f>+I31+J31</f>
        <v>292.45077766999998</v>
      </c>
      <c r="I31" s="1990">
        <f>+N31+AB31</f>
        <v>39.75654669</v>
      </c>
      <c r="J31" s="1990">
        <f>+Q31+AE31</f>
        <v>252.69423097999999</v>
      </c>
      <c r="K31" s="1990">
        <f>+L31+O31</f>
        <v>2117.8241179699999</v>
      </c>
      <c r="L31" s="1990">
        <f>(+M31+N31)</f>
        <v>1153.1648539100001</v>
      </c>
      <c r="M31" s="1990">
        <v>1129.6905461700001</v>
      </c>
      <c r="N31" s="1990">
        <v>23.47430774</v>
      </c>
      <c r="O31" s="1990">
        <f>P31+Q31</f>
        <v>964.65926405999994</v>
      </c>
      <c r="P31" s="1990">
        <v>848.68281552999997</v>
      </c>
      <c r="Q31" s="1990">
        <v>115.97644853000001</v>
      </c>
      <c r="R31" s="1990">
        <f>S31+V31</f>
        <v>640.54337295000005</v>
      </c>
      <c r="S31" s="1990">
        <f>T31+U31</f>
        <v>428.80747981000002</v>
      </c>
      <c r="T31" s="1990">
        <v>416.40295070000002</v>
      </c>
      <c r="U31" s="1990">
        <v>12.40452911</v>
      </c>
      <c r="V31" s="1990">
        <f>W31+X31</f>
        <v>211.73589314000003</v>
      </c>
      <c r="W31" s="1990">
        <v>175.08719787000001</v>
      </c>
      <c r="X31" s="1990">
        <v>36.648695270000005</v>
      </c>
      <c r="Y31" s="1990">
        <f>Z31+AC31</f>
        <v>1203.63815881</v>
      </c>
      <c r="Z31" s="1990">
        <f>AA31+AB31</f>
        <v>424.55265874000003</v>
      </c>
      <c r="AA31" s="1990">
        <v>408.27041979000001</v>
      </c>
      <c r="AB31" s="1990">
        <v>16.28223895</v>
      </c>
      <c r="AC31" s="1990">
        <f>AD31+AE31</f>
        <v>779.08550006999997</v>
      </c>
      <c r="AD31" s="1990">
        <v>642.36771762000001</v>
      </c>
      <c r="AE31" s="1990">
        <v>136.71778244999999</v>
      </c>
    </row>
    <row r="32" spans="1:31" hidden="1">
      <c r="A32" s="1992">
        <v>6</v>
      </c>
      <c r="B32" s="1990">
        <f>+C32+D32</f>
        <v>3451.4294540000001</v>
      </c>
      <c r="C32" s="1990">
        <f t="shared" si="18"/>
        <v>1674.2001243799998</v>
      </c>
      <c r="D32" s="1990">
        <f t="shared" si="18"/>
        <v>1777.22932962</v>
      </c>
      <c r="E32" s="1990">
        <f>+F32+G32</f>
        <v>3156.3301891999999</v>
      </c>
      <c r="F32" s="1990">
        <f>+M32+AA32</f>
        <v>1634.7911974899998</v>
      </c>
      <c r="G32" s="1990">
        <f>+P32+AD32</f>
        <v>1521.5389917100001</v>
      </c>
      <c r="H32" s="1990">
        <f>+I32+J32</f>
        <v>295.09926480000001</v>
      </c>
      <c r="I32" s="1990">
        <f>+N32+AB32</f>
        <v>39.408926889999996</v>
      </c>
      <c r="J32" s="1990">
        <f>+Q32+AE32</f>
        <v>255.69033791000001</v>
      </c>
      <c r="K32" s="1990">
        <f>+L32+O32</f>
        <v>2202.2772249700001</v>
      </c>
      <c r="L32" s="1990">
        <f>(+M32+N32)</f>
        <v>1235.13767117</v>
      </c>
      <c r="M32" s="1990">
        <v>1211.62053167</v>
      </c>
      <c r="N32" s="1990">
        <v>23.517139499999999</v>
      </c>
      <c r="O32" s="1990">
        <f>P32+Q32</f>
        <v>967.13955379999993</v>
      </c>
      <c r="P32" s="1990">
        <v>851.26943202999996</v>
      </c>
      <c r="Q32" s="1990">
        <v>115.87012177</v>
      </c>
      <c r="R32" s="1990">
        <f>S32+V32</f>
        <v>698.21442935000005</v>
      </c>
      <c r="S32" s="1990">
        <f>T32+U32</f>
        <v>485.03161867000006</v>
      </c>
      <c r="T32" s="1990">
        <v>473.29168300000003</v>
      </c>
      <c r="U32" s="1990">
        <v>11.739935669999999</v>
      </c>
      <c r="V32" s="1990">
        <f>W32+X32</f>
        <v>213.18281067999999</v>
      </c>
      <c r="W32" s="1990">
        <v>174.3885018</v>
      </c>
      <c r="X32" s="1990">
        <v>38.794308880000003</v>
      </c>
      <c r="Y32" s="1990">
        <f>Z32+AC32</f>
        <v>1249.1522290299999</v>
      </c>
      <c r="Z32" s="1990">
        <f>AA32+AB32</f>
        <v>439.06245320999994</v>
      </c>
      <c r="AA32" s="1990">
        <v>423.17066581999995</v>
      </c>
      <c r="AB32" s="1990">
        <v>15.891787389999999</v>
      </c>
      <c r="AC32" s="1990">
        <f>AD32+AE32</f>
        <v>810.08977582000011</v>
      </c>
      <c r="AD32" s="1990">
        <v>670.26955968000004</v>
      </c>
      <c r="AE32" s="1990">
        <v>139.82021614000001</v>
      </c>
    </row>
    <row r="33" spans="1:31" hidden="1">
      <c r="A33" s="1992">
        <v>7</v>
      </c>
      <c r="B33" s="1990">
        <f>+C33+D33</f>
        <v>3543.6408617500001</v>
      </c>
      <c r="C33" s="1990">
        <f>+F33+I33</f>
        <v>1745.40367109</v>
      </c>
      <c r="D33" s="1990">
        <f>+G33+J33</f>
        <v>1798.2371906600001</v>
      </c>
      <c r="E33" s="1990">
        <f>+F33+G33</f>
        <v>3228.1626874399999</v>
      </c>
      <c r="F33" s="1990">
        <f>+M33+AA33</f>
        <v>1705.19663517</v>
      </c>
      <c r="G33" s="1990">
        <f>+P33+AD33</f>
        <v>1522.9660522700001</v>
      </c>
      <c r="H33" s="1990">
        <f>+I33+J33</f>
        <v>315.47817431000004</v>
      </c>
      <c r="I33" s="1990">
        <f>+N33+AB33</f>
        <v>40.207035919999996</v>
      </c>
      <c r="J33" s="1990">
        <f>+Q33+AE33</f>
        <v>275.27113839000003</v>
      </c>
      <c r="K33" s="1990">
        <f>+L33+O33</f>
        <v>2242.1092349400001</v>
      </c>
      <c r="L33" s="1990">
        <f>(+M33+N33)</f>
        <v>1278.6928524700002</v>
      </c>
      <c r="M33" s="1990">
        <v>1254.6082479900001</v>
      </c>
      <c r="N33" s="1990">
        <v>24.084604479999999</v>
      </c>
      <c r="O33" s="1990">
        <f>P33+Q33</f>
        <v>963.41638246999992</v>
      </c>
      <c r="P33" s="1990">
        <v>831.78723308999997</v>
      </c>
      <c r="Q33" s="1990">
        <v>131.62914938</v>
      </c>
      <c r="R33" s="1990">
        <f>S33+V33</f>
        <v>738.9080111400001</v>
      </c>
      <c r="S33" s="1990">
        <f>T33+U33</f>
        <v>517.85449964000009</v>
      </c>
      <c r="T33" s="1990">
        <v>506.18611441000007</v>
      </c>
      <c r="U33" s="1990">
        <v>11.66838523</v>
      </c>
      <c r="V33" s="1990">
        <f>W33+X33</f>
        <v>221.05351150000001</v>
      </c>
      <c r="W33" s="1990">
        <v>180.77334060000001</v>
      </c>
      <c r="X33" s="1990">
        <v>40.280170900000002</v>
      </c>
      <c r="Y33" s="1990">
        <f>Z33+AC33</f>
        <v>1301.53162681</v>
      </c>
      <c r="Z33" s="1990">
        <f>AA33+AB33</f>
        <v>466.71081862</v>
      </c>
      <c r="AA33" s="1990">
        <v>450.58838717999998</v>
      </c>
      <c r="AB33" s="1990">
        <v>16.12243144</v>
      </c>
      <c r="AC33" s="1990">
        <f>AD33+AE33</f>
        <v>834.82080818999998</v>
      </c>
      <c r="AD33" s="1990">
        <v>691.17881918</v>
      </c>
      <c r="AE33" s="1990">
        <v>143.64198901</v>
      </c>
    </row>
    <row r="34" spans="1:31" hidden="1">
      <c r="A34" s="1992">
        <v>8</v>
      </c>
      <c r="B34" s="1990">
        <v>3660.7234386299997</v>
      </c>
      <c r="C34" s="1990">
        <v>1837.70567848</v>
      </c>
      <c r="D34" s="1990">
        <v>1823.01776015</v>
      </c>
      <c r="E34" s="1990">
        <v>3341.2512515199996</v>
      </c>
      <c r="F34" s="1990">
        <v>1793.2349224299999</v>
      </c>
      <c r="G34" s="1990">
        <v>1548.01632909</v>
      </c>
      <c r="H34" s="1990">
        <v>319.47218710999994</v>
      </c>
      <c r="I34" s="1990">
        <v>44.470756049999999</v>
      </c>
      <c r="J34" s="1990">
        <v>275.00143105999996</v>
      </c>
      <c r="K34" s="1990">
        <v>2304.4993147599998</v>
      </c>
      <c r="L34" s="1990">
        <v>1343.9873504899999</v>
      </c>
      <c r="M34" s="1990">
        <v>1315.0583001099999</v>
      </c>
      <c r="N34" s="1990">
        <v>28.92905038</v>
      </c>
      <c r="O34" s="1990">
        <v>960.51196427000002</v>
      </c>
      <c r="P34" s="1990">
        <v>829.61670271000003</v>
      </c>
      <c r="Q34" s="1990">
        <v>130.89526155999999</v>
      </c>
      <c r="R34" s="1990">
        <v>774.89832870999999</v>
      </c>
      <c r="S34" s="1990">
        <v>561.26581954000005</v>
      </c>
      <c r="T34" s="1990">
        <v>546.19266758000003</v>
      </c>
      <c r="U34" s="1990">
        <v>15.073151960000001</v>
      </c>
      <c r="V34" s="1990">
        <v>213.63250916999999</v>
      </c>
      <c r="W34" s="1990">
        <v>174.74798201999999</v>
      </c>
      <c r="X34" s="1990">
        <v>38.884527149999997</v>
      </c>
      <c r="Y34" s="1990">
        <v>1356.2241238699999</v>
      </c>
      <c r="Z34" s="1990">
        <v>493.71832798999998</v>
      </c>
      <c r="AA34" s="1990">
        <v>478.17662231999998</v>
      </c>
      <c r="AB34" s="1990">
        <v>15.541705670000001</v>
      </c>
      <c r="AC34" s="1990">
        <v>862.50579587999994</v>
      </c>
      <c r="AD34" s="1990">
        <v>718.39962637999997</v>
      </c>
      <c r="AE34" s="1990">
        <v>144.10616949999999</v>
      </c>
    </row>
    <row r="35" spans="1:31" hidden="1">
      <c r="A35" s="1992">
        <v>9</v>
      </c>
      <c r="B35" s="1990">
        <f>+C35+D35</f>
        <v>3622.4216608500001</v>
      </c>
      <c r="C35" s="1990">
        <f t="shared" ref="C35:D37" si="19">+F35+I35</f>
        <v>1798.7007750599998</v>
      </c>
      <c r="D35" s="1990">
        <f t="shared" si="19"/>
        <v>1823.7208857900002</v>
      </c>
      <c r="E35" s="1990">
        <f>+F35+G35</f>
        <v>3301.87825918</v>
      </c>
      <c r="F35" s="1990">
        <f>+M35+AA35</f>
        <v>1755.7630382799998</v>
      </c>
      <c r="G35" s="1990">
        <f>+P35+AD35</f>
        <v>1546.1152209000002</v>
      </c>
      <c r="H35" s="1990">
        <f>+I35+J35</f>
        <v>320.54340167000004</v>
      </c>
      <c r="I35" s="1990">
        <f>+N35+AB35</f>
        <v>42.937736780000002</v>
      </c>
      <c r="J35" s="1990">
        <f>+Q35+AE35</f>
        <v>277.60566489000001</v>
      </c>
      <c r="K35" s="1990">
        <f>+L35+O35</f>
        <v>2207.5095781600003</v>
      </c>
      <c r="L35" s="1990">
        <f>M35+N35</f>
        <v>1270.9284819699999</v>
      </c>
      <c r="M35" s="1990">
        <v>1243.27559415</v>
      </c>
      <c r="N35" s="1990">
        <v>27.65288782</v>
      </c>
      <c r="O35" s="1990">
        <f>P35+Q35</f>
        <v>936.58109619000015</v>
      </c>
      <c r="P35" s="1990">
        <v>805.39899179000008</v>
      </c>
      <c r="Q35" s="1990">
        <v>131.18210440000001</v>
      </c>
      <c r="R35" s="1990">
        <f>S35+V35</f>
        <v>663.32986907999998</v>
      </c>
      <c r="S35" s="1990">
        <f>T35+U35</f>
        <v>454.73067648</v>
      </c>
      <c r="T35" s="1990">
        <v>441.42866126000001</v>
      </c>
      <c r="U35" s="1990">
        <v>13.302015219999999</v>
      </c>
      <c r="V35" s="1990">
        <f>W35+X35</f>
        <v>208.59919260000001</v>
      </c>
      <c r="W35" s="1990">
        <v>172.77462405</v>
      </c>
      <c r="X35" s="1990">
        <v>35.824568550000002</v>
      </c>
      <c r="Y35" s="1990">
        <f>Z35+AC35</f>
        <v>1414.91208269</v>
      </c>
      <c r="Z35" s="1990">
        <f>AA35+AB35</f>
        <v>527.77229308999995</v>
      </c>
      <c r="AA35" s="1990">
        <v>512.48744412999997</v>
      </c>
      <c r="AB35" s="1990">
        <v>15.28484896</v>
      </c>
      <c r="AC35" s="1990">
        <f>AD35+AE35</f>
        <v>887.13978960000009</v>
      </c>
      <c r="AD35" s="1990">
        <v>740.71622911000009</v>
      </c>
      <c r="AE35" s="1990">
        <v>146.42356049</v>
      </c>
    </row>
    <row r="36" spans="1:31" hidden="1">
      <c r="A36" s="1992">
        <v>10</v>
      </c>
      <c r="B36" s="1990">
        <f>+C36+D36</f>
        <v>3674.9500908</v>
      </c>
      <c r="C36" s="1990">
        <f t="shared" si="19"/>
        <v>1823.2473730700001</v>
      </c>
      <c r="D36" s="1990">
        <f t="shared" si="19"/>
        <v>1851.7027177300001</v>
      </c>
      <c r="E36" s="1990">
        <f>+F36+G36</f>
        <v>3349.0632772400004</v>
      </c>
      <c r="F36" s="1990">
        <f>+M36+AA36</f>
        <v>1778.6873445800002</v>
      </c>
      <c r="G36" s="1990">
        <f>+P36+AD36</f>
        <v>1570.37593266</v>
      </c>
      <c r="H36" s="1990">
        <f>+I36+J36</f>
        <v>325.88681356000001</v>
      </c>
      <c r="I36" s="1990">
        <f>+N36+AB36</f>
        <v>44.560028490000001</v>
      </c>
      <c r="J36" s="1990">
        <f>+Q36+AE36</f>
        <v>281.32678507000003</v>
      </c>
      <c r="K36" s="1990">
        <f>+L36+O36</f>
        <v>2218.5641748200001</v>
      </c>
      <c r="L36" s="1990">
        <f>M36+N36</f>
        <v>1277.2987592700001</v>
      </c>
      <c r="M36" s="1990">
        <v>1248.6488293500001</v>
      </c>
      <c r="N36" s="1990">
        <v>28.649929919999998</v>
      </c>
      <c r="O36" s="1990">
        <f>P36+Q36</f>
        <v>941.26541554999994</v>
      </c>
      <c r="P36" s="1990">
        <v>808.84038536999992</v>
      </c>
      <c r="Q36" s="1990">
        <v>132.42503018000002</v>
      </c>
      <c r="R36" s="1990">
        <f>S36+V36</f>
        <v>643.05534983999996</v>
      </c>
      <c r="S36" s="1990">
        <f>T36+U36</f>
        <v>432.68067533999999</v>
      </c>
      <c r="T36" s="1990">
        <v>418.71257238999999</v>
      </c>
      <c r="U36" s="1990">
        <v>13.96810295</v>
      </c>
      <c r="V36" s="1990">
        <f>W36+X36</f>
        <v>210.3746745</v>
      </c>
      <c r="W36" s="1990">
        <v>175.16818782999999</v>
      </c>
      <c r="X36" s="1990">
        <v>35.206486670000004</v>
      </c>
      <c r="Y36" s="1990">
        <f>Z36+AC36</f>
        <v>1456.3859159799999</v>
      </c>
      <c r="Z36" s="1990">
        <f>AA36+AB36</f>
        <v>545.94861379999998</v>
      </c>
      <c r="AA36" s="1990">
        <v>530.03851523000003</v>
      </c>
      <c r="AB36" s="1990">
        <v>15.910098570000001</v>
      </c>
      <c r="AC36" s="1990">
        <f>AD36+AE36</f>
        <v>910.43730218000007</v>
      </c>
      <c r="AD36" s="1990">
        <v>761.53554729000007</v>
      </c>
      <c r="AE36" s="1990">
        <v>148.90175489000001</v>
      </c>
    </row>
    <row r="37" spans="1:31" hidden="1">
      <c r="A37" s="1992">
        <v>11</v>
      </c>
      <c r="B37" s="1990">
        <f>+C37+D37</f>
        <v>3830.0952434999999</v>
      </c>
      <c r="C37" s="1990">
        <f t="shared" si="19"/>
        <v>1970.17044476</v>
      </c>
      <c r="D37" s="1990">
        <f t="shared" si="19"/>
        <v>1859.9247987399999</v>
      </c>
      <c r="E37" s="1990">
        <f>+F37+G37</f>
        <v>3481.2427367199998</v>
      </c>
      <c r="F37" s="1990">
        <f>+M37+AA37</f>
        <v>1924.90769974</v>
      </c>
      <c r="G37" s="1990">
        <f>+P37+AD37</f>
        <v>1556.33503698</v>
      </c>
      <c r="H37" s="1990">
        <f>+I37+J37</f>
        <v>348.85250678</v>
      </c>
      <c r="I37" s="1990">
        <f>+N37+AB37</f>
        <v>45.262745019999997</v>
      </c>
      <c r="J37" s="1990">
        <f>+Q37+AE37</f>
        <v>303.58976175999999</v>
      </c>
      <c r="K37" s="1990">
        <f>+L37+O37</f>
        <v>2392.6496577799999</v>
      </c>
      <c r="L37" s="1990">
        <f>M37+N37</f>
        <v>1358.91171371</v>
      </c>
      <c r="M37" s="1990">
        <v>1330.7775355799999</v>
      </c>
      <c r="N37" s="1990">
        <v>28.134178129999999</v>
      </c>
      <c r="O37" s="1990">
        <f>P37+Q37</f>
        <v>1033.7379440700001</v>
      </c>
      <c r="P37" s="1990">
        <v>852.83691593000003</v>
      </c>
      <c r="Q37" s="1990">
        <v>180.90102813999999</v>
      </c>
      <c r="R37" s="1990">
        <f>S37+V37</f>
        <v>749.28207334000001</v>
      </c>
      <c r="S37" s="1990">
        <f>T37+U37</f>
        <v>493.74183979000003</v>
      </c>
      <c r="T37" s="1990">
        <v>480.87453503</v>
      </c>
      <c r="U37" s="1990">
        <v>12.86730476</v>
      </c>
      <c r="V37" s="1990">
        <f>W37+X37</f>
        <v>255.54023355000001</v>
      </c>
      <c r="W37" s="1990">
        <v>205.76126374</v>
      </c>
      <c r="X37" s="1990">
        <v>49.77896981</v>
      </c>
      <c r="Y37" s="1990">
        <f>Z37+AC37</f>
        <v>1437.4455857200001</v>
      </c>
      <c r="Z37" s="1990">
        <f>AA37+AB37</f>
        <v>611.25873105000005</v>
      </c>
      <c r="AA37" s="1990">
        <v>594.13016416000005</v>
      </c>
      <c r="AB37" s="1990">
        <v>17.128566889999998</v>
      </c>
      <c r="AC37" s="1990">
        <f>AD37+AE37</f>
        <v>826.18685467</v>
      </c>
      <c r="AD37" s="1990">
        <v>703.49812105000001</v>
      </c>
      <c r="AE37" s="1990">
        <v>122.68873361999999</v>
      </c>
    </row>
    <row r="38" spans="1:31" hidden="1">
      <c r="A38" s="1992">
        <v>12</v>
      </c>
      <c r="B38" s="1990">
        <f>+C38+D38</f>
        <v>4119.8374570199994</v>
      </c>
      <c r="C38" s="1990">
        <f>+F38+I38</f>
        <v>2281.6742900099998</v>
      </c>
      <c r="D38" s="1990">
        <f>+G38+J38</f>
        <v>1838.1631670100001</v>
      </c>
      <c r="E38" s="1990">
        <f>+F38+G38</f>
        <v>3747.3870726099994</v>
      </c>
      <c r="F38" s="1990">
        <f>+M38+AA38</f>
        <v>2225.2523184399997</v>
      </c>
      <c r="G38" s="1990">
        <f>+P38+AD38</f>
        <v>1522.13475417</v>
      </c>
      <c r="H38" s="1990">
        <f>+I38+J38</f>
        <v>372.45038440999997</v>
      </c>
      <c r="I38" s="1990">
        <f>+N38+AB38</f>
        <v>56.421971569999997</v>
      </c>
      <c r="J38" s="1990">
        <f>+Q38+AE38</f>
        <v>316.02841283999999</v>
      </c>
      <c r="K38" s="1990">
        <f>+L38+O38</f>
        <v>2640.2781299799999</v>
      </c>
      <c r="L38" s="1990">
        <f>M38+N38</f>
        <v>1615.5138685099998</v>
      </c>
      <c r="M38" s="1990">
        <v>1576.7078550199999</v>
      </c>
      <c r="N38" s="1990">
        <v>38.806013489999998</v>
      </c>
      <c r="O38" s="1990">
        <f>P38+Q38</f>
        <v>1024.7642614700001</v>
      </c>
      <c r="P38" s="1990">
        <v>846.78046261999998</v>
      </c>
      <c r="Q38" s="1990">
        <v>177.98379885000003</v>
      </c>
      <c r="R38" s="1990">
        <f>S38+V38</f>
        <v>843.78939447999983</v>
      </c>
      <c r="S38" s="1990">
        <f>T38+U38</f>
        <v>613.14276837999989</v>
      </c>
      <c r="T38" s="1990">
        <v>598.90492479999989</v>
      </c>
      <c r="U38" s="1990">
        <v>14.23784358</v>
      </c>
      <c r="V38" s="1990">
        <f>W38+X38</f>
        <v>230.64662609999999</v>
      </c>
      <c r="W38" s="1990">
        <v>188.46886025000001</v>
      </c>
      <c r="X38" s="1990">
        <v>42.17776585</v>
      </c>
      <c r="Y38" s="1990">
        <f>Z38+AC38</f>
        <v>1479.55932704</v>
      </c>
      <c r="Z38" s="1990">
        <f>AA38+AB38</f>
        <v>666.16042149999998</v>
      </c>
      <c r="AA38" s="1990">
        <v>648.54446341999994</v>
      </c>
      <c r="AB38" s="1990">
        <v>17.615958079999999</v>
      </c>
      <c r="AC38" s="1990">
        <f>AD38+AE38</f>
        <v>813.39890553999999</v>
      </c>
      <c r="AD38" s="1990">
        <v>675.35429154999997</v>
      </c>
      <c r="AE38" s="1990">
        <v>138.04461398999999</v>
      </c>
    </row>
    <row r="39" spans="1:31" ht="15.6">
      <c r="A39" s="1989">
        <v>2012</v>
      </c>
      <c r="B39" s="1990">
        <v>5113.4078103299998</v>
      </c>
      <c r="C39" s="1990">
        <v>2963.8571625000004</v>
      </c>
      <c r="D39" s="1990">
        <v>2149.5506478299999</v>
      </c>
      <c r="E39" s="1990">
        <v>4525.1908701800003</v>
      </c>
      <c r="F39" s="1990">
        <v>2889.7716593200003</v>
      </c>
      <c r="G39" s="1990">
        <v>1635.41921086</v>
      </c>
      <c r="H39" s="1990">
        <v>588.21694015000003</v>
      </c>
      <c r="I39" s="1990">
        <v>74.085503180000003</v>
      </c>
      <c r="J39" s="1990">
        <v>514.13143696999998</v>
      </c>
      <c r="K39" s="1990">
        <v>3132.5954872399998</v>
      </c>
      <c r="L39" s="1990">
        <v>2058.5881624799999</v>
      </c>
      <c r="M39" s="1990">
        <v>2002.2039538700001</v>
      </c>
      <c r="N39" s="1990">
        <v>56.384208610000002</v>
      </c>
      <c r="O39" s="1990">
        <v>1074.0073247600001</v>
      </c>
      <c r="P39" s="1990">
        <v>886.2459640300001</v>
      </c>
      <c r="Q39" s="1990">
        <v>187.76136072999998</v>
      </c>
      <c r="R39" s="1990">
        <v>1042.8349062699999</v>
      </c>
      <c r="S39" s="1990">
        <v>777.14939947000005</v>
      </c>
      <c r="T39" s="1990">
        <v>760.27598019000004</v>
      </c>
      <c r="U39" s="1990">
        <v>16.873419280000004</v>
      </c>
      <c r="V39" s="1990">
        <v>265.68550679999998</v>
      </c>
      <c r="W39" s="1990">
        <v>227.82533279</v>
      </c>
      <c r="X39" s="1990">
        <v>37.860174009999994</v>
      </c>
      <c r="Y39" s="1990">
        <v>1980.8123230900001</v>
      </c>
      <c r="Z39" s="1990">
        <v>905.26900002000002</v>
      </c>
      <c r="AA39" s="1990">
        <v>887.56770545000006</v>
      </c>
      <c r="AB39" s="1990">
        <v>17.701294570000002</v>
      </c>
      <c r="AC39" s="1990">
        <v>1075.54332307</v>
      </c>
      <c r="AD39" s="1990">
        <v>749.17324683000004</v>
      </c>
      <c r="AE39" s="1990">
        <v>326.37007624</v>
      </c>
    </row>
    <row r="40" spans="1:31" hidden="1">
      <c r="A40" s="1992">
        <v>1</v>
      </c>
      <c r="B40" s="1993">
        <f t="shared" ref="B40:B51" si="20">+C40+D40</f>
        <v>4179.4653587800003</v>
      </c>
      <c r="C40" s="1993">
        <f t="shared" ref="C40:D51" si="21">+F40+I40</f>
        <v>2314.9857024400003</v>
      </c>
      <c r="D40" s="1993">
        <f t="shared" si="21"/>
        <v>1864.47965634</v>
      </c>
      <c r="E40" s="1993">
        <f t="shared" ref="E40:E51" si="22">+F40+G40</f>
        <v>3796.0538128400003</v>
      </c>
      <c r="F40" s="1993">
        <f t="shared" ref="F40:F51" si="23">+M40+AA40</f>
        <v>2255.7079404400001</v>
      </c>
      <c r="G40" s="1993">
        <f t="shared" ref="G40:G51" si="24">+P40+AD40</f>
        <v>1540.3458724</v>
      </c>
      <c r="H40" s="1993">
        <f t="shared" ref="H40:H51" si="25">+I40+J40</f>
        <v>383.41154593999994</v>
      </c>
      <c r="I40" s="1993">
        <f t="shared" ref="I40:I51" si="26">+N40+AB40</f>
        <v>59.277761999999996</v>
      </c>
      <c r="J40" s="1993">
        <f t="shared" ref="J40:J51" si="27">+Q40+AE40</f>
        <v>324.13378393999994</v>
      </c>
      <c r="K40" s="1993">
        <f t="shared" ref="K40:K51" si="28">+L40+O40</f>
        <v>2647.40506215</v>
      </c>
      <c r="L40" s="1993">
        <f t="shared" ref="L40:L51" si="29">+M40+N40</f>
        <v>1621.2583045699998</v>
      </c>
      <c r="M40" s="1993">
        <v>1580.7951487099999</v>
      </c>
      <c r="N40" s="1993">
        <v>40.463155860000001</v>
      </c>
      <c r="O40" s="1993">
        <f t="shared" ref="O40:O51" si="30">P40+Q40</f>
        <v>1026.14675758</v>
      </c>
      <c r="P40" s="1993">
        <v>847.99000544</v>
      </c>
      <c r="Q40" s="1993">
        <v>178.15675213999998</v>
      </c>
      <c r="R40" s="1993">
        <f t="shared" ref="R40:R51" si="31">S40+V40</f>
        <v>840.72890419000009</v>
      </c>
      <c r="S40" s="1993">
        <f t="shared" ref="S40:S51" si="32">T40+U40</f>
        <v>613.40160514000013</v>
      </c>
      <c r="T40" s="1993">
        <v>599.42742643000008</v>
      </c>
      <c r="U40" s="1993">
        <v>13.97417871</v>
      </c>
      <c r="V40" s="1993">
        <f t="shared" ref="V40:V51" si="33">W40+X40</f>
        <v>227.32729905000002</v>
      </c>
      <c r="W40" s="1993">
        <v>187.08697971000001</v>
      </c>
      <c r="X40" s="1993">
        <v>40.240319339999999</v>
      </c>
      <c r="Y40" s="1993">
        <f t="shared" ref="Y40:Y51" si="34">Z40+AC40</f>
        <v>1532.0602966299998</v>
      </c>
      <c r="Z40" s="1993">
        <f t="shared" ref="Z40:Z51" si="35">AA40+AB40</f>
        <v>693.72739787</v>
      </c>
      <c r="AA40" s="1993">
        <v>674.91279172999998</v>
      </c>
      <c r="AB40" s="1993">
        <v>18.814606139999999</v>
      </c>
      <c r="AC40" s="1993">
        <f t="shared" ref="AC40:AC51" si="36">AD40+AE40</f>
        <v>838.33289875999992</v>
      </c>
      <c r="AD40" s="1993">
        <v>692.35586695999996</v>
      </c>
      <c r="AE40" s="1993">
        <v>145.97703179999999</v>
      </c>
    </row>
    <row r="41" spans="1:31" hidden="1">
      <c r="A41" s="1992">
        <v>2</v>
      </c>
      <c r="B41" s="1993">
        <f t="shared" si="20"/>
        <v>4330.6031756900002</v>
      </c>
      <c r="C41" s="1993">
        <f t="shared" si="21"/>
        <v>2421.3598318700001</v>
      </c>
      <c r="D41" s="1993">
        <f t="shared" si="21"/>
        <v>1909.2433438200001</v>
      </c>
      <c r="E41" s="1993">
        <f t="shared" si="22"/>
        <v>3916.8289355000002</v>
      </c>
      <c r="F41" s="1993">
        <f t="shared" si="23"/>
        <v>2361.1873018800002</v>
      </c>
      <c r="G41" s="1993">
        <f t="shared" si="24"/>
        <v>1555.64163362</v>
      </c>
      <c r="H41" s="1993">
        <f t="shared" si="25"/>
        <v>413.77424018999994</v>
      </c>
      <c r="I41" s="1993">
        <f t="shared" si="26"/>
        <v>60.172529990000001</v>
      </c>
      <c r="J41" s="1993">
        <f t="shared" si="27"/>
        <v>353.60171019999996</v>
      </c>
      <c r="K41" s="1993">
        <f t="shared" si="28"/>
        <v>2791.9560604500002</v>
      </c>
      <c r="L41" s="1993">
        <f t="shared" si="29"/>
        <v>1709.5563666400001</v>
      </c>
      <c r="M41" s="1993">
        <v>1668.2396651700001</v>
      </c>
      <c r="N41" s="1993">
        <v>41.316701469999998</v>
      </c>
      <c r="O41" s="1993">
        <f t="shared" si="30"/>
        <v>1082.3996938099999</v>
      </c>
      <c r="P41" s="1993">
        <v>866.98648814000001</v>
      </c>
      <c r="Q41" s="1993">
        <v>215.41320567</v>
      </c>
      <c r="R41" s="1993">
        <f t="shared" si="31"/>
        <v>881.74782860000005</v>
      </c>
      <c r="S41" s="1993">
        <f t="shared" si="32"/>
        <v>640.70385937000003</v>
      </c>
      <c r="T41" s="1993">
        <v>626.03336222000007</v>
      </c>
      <c r="U41" s="1993">
        <v>14.670497150000001</v>
      </c>
      <c r="V41" s="1993">
        <f t="shared" si="33"/>
        <v>241.04396923000002</v>
      </c>
      <c r="W41" s="1993">
        <v>198.75926312000001</v>
      </c>
      <c r="X41" s="1993">
        <v>42.284706110000002</v>
      </c>
      <c r="Y41" s="1993">
        <f t="shared" si="34"/>
        <v>1538.6471152400002</v>
      </c>
      <c r="Z41" s="1993">
        <f t="shared" si="35"/>
        <v>711.80346523000003</v>
      </c>
      <c r="AA41" s="1993">
        <v>692.94763670999998</v>
      </c>
      <c r="AB41" s="1993">
        <v>18.855828519999999</v>
      </c>
      <c r="AC41" s="1993">
        <f t="shared" si="36"/>
        <v>826.84365001000015</v>
      </c>
      <c r="AD41" s="1993">
        <v>688.6551454800001</v>
      </c>
      <c r="AE41" s="1993">
        <v>138.18850452999999</v>
      </c>
    </row>
    <row r="42" spans="1:31" hidden="1">
      <c r="A42" s="1992">
        <v>3</v>
      </c>
      <c r="B42" s="1993">
        <f t="shared" si="20"/>
        <v>4298.9149969499995</v>
      </c>
      <c r="C42" s="1993">
        <f t="shared" si="21"/>
        <v>2395.7400571499998</v>
      </c>
      <c r="D42" s="1993">
        <f t="shared" si="21"/>
        <v>1903.1749398000002</v>
      </c>
      <c r="E42" s="1993">
        <f t="shared" si="22"/>
        <v>3881.55446605</v>
      </c>
      <c r="F42" s="1993">
        <f t="shared" si="23"/>
        <v>2335.3348436299998</v>
      </c>
      <c r="G42" s="1993">
        <f t="shared" si="24"/>
        <v>1546.2196224200002</v>
      </c>
      <c r="H42" s="1993">
        <f t="shared" si="25"/>
        <v>417.36053090000001</v>
      </c>
      <c r="I42" s="1993">
        <f t="shared" si="26"/>
        <v>60.405213519999997</v>
      </c>
      <c r="J42" s="1993">
        <f t="shared" si="27"/>
        <v>356.95531738</v>
      </c>
      <c r="K42" s="1993">
        <f t="shared" si="28"/>
        <v>2742.8503246700002</v>
      </c>
      <c r="L42" s="1993">
        <f t="shared" si="29"/>
        <v>1675.5915348199999</v>
      </c>
      <c r="M42" s="1993">
        <v>1634.1503025999998</v>
      </c>
      <c r="N42" s="1993">
        <v>41.441232219999996</v>
      </c>
      <c r="O42" s="1993">
        <f t="shared" si="30"/>
        <v>1067.2587898500001</v>
      </c>
      <c r="P42" s="1993">
        <v>851.89247178000005</v>
      </c>
      <c r="Q42" s="1993">
        <v>215.36631806999998</v>
      </c>
      <c r="R42" s="1993">
        <f t="shared" si="31"/>
        <v>890.64527336999993</v>
      </c>
      <c r="S42" s="1993">
        <f t="shared" si="32"/>
        <v>649.11181754999996</v>
      </c>
      <c r="T42" s="1993">
        <v>634.78676427999994</v>
      </c>
      <c r="U42" s="1993">
        <v>14.32505327</v>
      </c>
      <c r="V42" s="1993">
        <f t="shared" si="33"/>
        <v>241.53345581999997</v>
      </c>
      <c r="W42" s="1993">
        <v>202.35781094999999</v>
      </c>
      <c r="X42" s="1993">
        <v>39.175644869999999</v>
      </c>
      <c r="Y42" s="1993">
        <f t="shared" si="34"/>
        <v>1556.06467228</v>
      </c>
      <c r="Z42" s="1993">
        <f t="shared" si="35"/>
        <v>720.14852232999999</v>
      </c>
      <c r="AA42" s="1993">
        <v>701.18454102999999</v>
      </c>
      <c r="AB42" s="1993">
        <v>18.9639813</v>
      </c>
      <c r="AC42" s="1993">
        <f t="shared" si="36"/>
        <v>835.91614994999998</v>
      </c>
      <c r="AD42" s="1993">
        <v>694.32715064000001</v>
      </c>
      <c r="AE42" s="1993">
        <v>141.58899930999999</v>
      </c>
    </row>
    <row r="43" spans="1:31" hidden="1">
      <c r="A43" s="1992">
        <v>4</v>
      </c>
      <c r="B43" s="1993">
        <f t="shared" si="20"/>
        <v>4338.8285999999998</v>
      </c>
      <c r="C43" s="1993">
        <f t="shared" si="21"/>
        <v>2400.4805999999999</v>
      </c>
      <c r="D43" s="1993">
        <f t="shared" si="21"/>
        <v>1938.348</v>
      </c>
      <c r="E43" s="1993">
        <f t="shared" si="22"/>
        <v>3915.8477000000003</v>
      </c>
      <c r="F43" s="1993">
        <f t="shared" si="23"/>
        <v>2337.3977</v>
      </c>
      <c r="G43" s="1993">
        <f t="shared" si="24"/>
        <v>1578.45</v>
      </c>
      <c r="H43" s="1993">
        <f t="shared" si="25"/>
        <v>422.98090000000002</v>
      </c>
      <c r="I43" s="1993">
        <f t="shared" si="26"/>
        <v>63.082899999999995</v>
      </c>
      <c r="J43" s="1993">
        <f t="shared" si="27"/>
        <v>359.89800000000002</v>
      </c>
      <c r="K43" s="1993">
        <f t="shared" si="28"/>
        <v>2774.9306000000001</v>
      </c>
      <c r="L43" s="1993">
        <f t="shared" si="29"/>
        <v>1701.0066000000002</v>
      </c>
      <c r="M43" s="1993">
        <v>1658.1537000000001</v>
      </c>
      <c r="N43" s="1993">
        <v>42.852899999999998</v>
      </c>
      <c r="O43" s="1993">
        <f t="shared" si="30"/>
        <v>1073.924</v>
      </c>
      <c r="P43" s="1993">
        <v>863.26</v>
      </c>
      <c r="Q43" s="1993">
        <v>210.66399999999999</v>
      </c>
      <c r="R43" s="1993">
        <f t="shared" si="31"/>
        <v>926.90364</v>
      </c>
      <c r="S43" s="1993">
        <f t="shared" si="32"/>
        <v>672.02245000000005</v>
      </c>
      <c r="T43" s="1993">
        <v>657.52700000000004</v>
      </c>
      <c r="U43" s="1993">
        <v>14.49545</v>
      </c>
      <c r="V43" s="1993">
        <f t="shared" si="33"/>
        <v>254.88119</v>
      </c>
      <c r="W43" s="1993">
        <v>217.006</v>
      </c>
      <c r="X43" s="1993">
        <v>37.875190000000003</v>
      </c>
      <c r="Y43" s="1993">
        <f t="shared" si="34"/>
        <v>1563.8980000000001</v>
      </c>
      <c r="Z43" s="1993">
        <f t="shared" si="35"/>
        <v>699.47400000000005</v>
      </c>
      <c r="AA43" s="1993">
        <v>679.24400000000003</v>
      </c>
      <c r="AB43" s="1993">
        <v>20.23</v>
      </c>
      <c r="AC43" s="1993">
        <f t="shared" si="36"/>
        <v>864.42400000000009</v>
      </c>
      <c r="AD43" s="1993">
        <v>715.19</v>
      </c>
      <c r="AE43" s="1993">
        <v>149.23400000000001</v>
      </c>
    </row>
    <row r="44" spans="1:31" hidden="1">
      <c r="A44" s="1992">
        <v>5</v>
      </c>
      <c r="B44" s="1993">
        <f t="shared" si="20"/>
        <v>4341.7222206500001</v>
      </c>
      <c r="C44" s="1993">
        <f t="shared" si="21"/>
        <v>2450.6532336699997</v>
      </c>
      <c r="D44" s="1993">
        <f t="shared" si="21"/>
        <v>1891.0689869800001</v>
      </c>
      <c r="E44" s="1993">
        <f t="shared" si="22"/>
        <v>3916.0947369299997</v>
      </c>
      <c r="F44" s="1993">
        <f t="shared" si="23"/>
        <v>2382.0562332299996</v>
      </c>
      <c r="G44" s="1993">
        <f t="shared" si="24"/>
        <v>1534.0385037000001</v>
      </c>
      <c r="H44" s="1993">
        <f t="shared" si="25"/>
        <v>425.62748371999999</v>
      </c>
      <c r="I44" s="1993">
        <f t="shared" si="26"/>
        <v>68.597000440000002</v>
      </c>
      <c r="J44" s="1993">
        <f t="shared" si="27"/>
        <v>357.03048328</v>
      </c>
      <c r="K44" s="1993">
        <f t="shared" si="28"/>
        <v>2741.7785271499997</v>
      </c>
      <c r="L44" s="1993">
        <f t="shared" si="29"/>
        <v>1720.8144945699999</v>
      </c>
      <c r="M44" s="1993">
        <v>1673.7196331299999</v>
      </c>
      <c r="N44" s="1993">
        <v>47.094861440000003</v>
      </c>
      <c r="O44" s="1993">
        <f t="shared" si="30"/>
        <v>1020.96403258</v>
      </c>
      <c r="P44" s="1993">
        <v>814.28855099999998</v>
      </c>
      <c r="Q44" s="1993">
        <v>206.67548158</v>
      </c>
      <c r="R44" s="1993">
        <f t="shared" si="31"/>
        <v>909.48692170999993</v>
      </c>
      <c r="S44" s="1993">
        <f t="shared" si="32"/>
        <v>679.25029234999988</v>
      </c>
      <c r="T44" s="1993">
        <v>664.80310138999994</v>
      </c>
      <c r="U44" s="1993">
        <v>14.44719096</v>
      </c>
      <c r="V44" s="1993">
        <f t="shared" si="33"/>
        <v>230.23662935999999</v>
      </c>
      <c r="W44" s="1993">
        <v>195.16742299999999</v>
      </c>
      <c r="X44" s="1993">
        <v>35.069206360000003</v>
      </c>
      <c r="Y44" s="1993">
        <f t="shared" si="34"/>
        <v>1599.9436934999999</v>
      </c>
      <c r="Z44" s="1993">
        <f t="shared" si="35"/>
        <v>729.83873909999988</v>
      </c>
      <c r="AA44" s="1993">
        <v>708.33660009999994</v>
      </c>
      <c r="AB44" s="1993">
        <v>21.502139</v>
      </c>
      <c r="AC44" s="1993">
        <f t="shared" si="36"/>
        <v>870.1049544</v>
      </c>
      <c r="AD44" s="1993">
        <v>719.74995269999999</v>
      </c>
      <c r="AE44" s="1993">
        <v>150.3550017</v>
      </c>
    </row>
    <row r="45" spans="1:31" hidden="1">
      <c r="A45" s="1992">
        <v>6</v>
      </c>
      <c r="B45" s="1993">
        <f t="shared" si="20"/>
        <v>4372.6359070899998</v>
      </c>
      <c r="C45" s="1993">
        <f t="shared" si="21"/>
        <v>2480.7951783600001</v>
      </c>
      <c r="D45" s="1993">
        <f t="shared" si="21"/>
        <v>1891.8407287300001</v>
      </c>
      <c r="E45" s="1993">
        <f t="shared" si="22"/>
        <v>3934.2153623200002</v>
      </c>
      <c r="F45" s="1993">
        <f t="shared" si="23"/>
        <v>2409.1661784500002</v>
      </c>
      <c r="G45" s="1993">
        <f t="shared" si="24"/>
        <v>1525.04918387</v>
      </c>
      <c r="H45" s="1993">
        <f t="shared" si="25"/>
        <v>438.42054477000005</v>
      </c>
      <c r="I45" s="1993">
        <f t="shared" si="26"/>
        <v>71.628999910000005</v>
      </c>
      <c r="J45" s="1993">
        <f t="shared" si="27"/>
        <v>366.79154486000004</v>
      </c>
      <c r="K45" s="1993">
        <f t="shared" si="28"/>
        <v>2768.8895501500001</v>
      </c>
      <c r="L45" s="1993">
        <f t="shared" si="29"/>
        <v>1736.9693218800001</v>
      </c>
      <c r="M45" s="1993">
        <v>1687.48987504</v>
      </c>
      <c r="N45" s="1993">
        <v>49.479446840000001</v>
      </c>
      <c r="O45" s="1993">
        <f t="shared" si="30"/>
        <v>1031.9202282700001</v>
      </c>
      <c r="P45" s="1993">
        <v>819.94114969999998</v>
      </c>
      <c r="Q45" s="1993">
        <v>211.97907857000001</v>
      </c>
      <c r="R45" s="1993">
        <f t="shared" si="31"/>
        <v>901.44824584999992</v>
      </c>
      <c r="S45" s="1993">
        <f t="shared" si="32"/>
        <v>669.46719513999994</v>
      </c>
      <c r="T45" s="1993">
        <v>652.81941490999998</v>
      </c>
      <c r="U45" s="1993">
        <v>16.647780229999999</v>
      </c>
      <c r="V45" s="1993">
        <f t="shared" si="33"/>
        <v>231.98105070999998</v>
      </c>
      <c r="W45" s="1993">
        <v>192.49263912999999</v>
      </c>
      <c r="X45" s="1993">
        <v>39.488411579999998</v>
      </c>
      <c r="Y45" s="1993">
        <f t="shared" si="34"/>
        <v>1603.7463569399999</v>
      </c>
      <c r="Z45" s="1993">
        <f t="shared" si="35"/>
        <v>743.82585647999997</v>
      </c>
      <c r="AA45" s="1993">
        <v>721.67630340999995</v>
      </c>
      <c r="AB45" s="1993">
        <v>22.14955307</v>
      </c>
      <c r="AC45" s="1993">
        <f t="shared" si="36"/>
        <v>859.92050045999997</v>
      </c>
      <c r="AD45" s="1993">
        <v>705.10803417</v>
      </c>
      <c r="AE45" s="1993">
        <v>154.81246629</v>
      </c>
    </row>
    <row r="46" spans="1:31" hidden="1">
      <c r="A46" s="1992">
        <v>7</v>
      </c>
      <c r="B46" s="1993">
        <f t="shared" si="20"/>
        <v>4415.2287439399997</v>
      </c>
      <c r="C46" s="1993">
        <f t="shared" si="21"/>
        <v>2484.5934808299999</v>
      </c>
      <c r="D46" s="1993">
        <f t="shared" si="21"/>
        <v>1930.6352631099999</v>
      </c>
      <c r="E46" s="1993">
        <f t="shared" si="22"/>
        <v>3983.2384086899997</v>
      </c>
      <c r="F46" s="1993">
        <f t="shared" si="23"/>
        <v>2421.0602596499998</v>
      </c>
      <c r="G46" s="1993">
        <f t="shared" si="24"/>
        <v>1562.1781490399999</v>
      </c>
      <c r="H46" s="1993">
        <f t="shared" si="25"/>
        <v>431.99033524999999</v>
      </c>
      <c r="I46" s="1993">
        <f t="shared" si="26"/>
        <v>63.533221179999998</v>
      </c>
      <c r="J46" s="1993">
        <f t="shared" si="27"/>
        <v>368.45711406999999</v>
      </c>
      <c r="K46" s="1993">
        <f t="shared" si="28"/>
        <v>2788.7426619399998</v>
      </c>
      <c r="L46" s="1993">
        <f t="shared" si="29"/>
        <v>1721.8286432099999</v>
      </c>
      <c r="M46" s="1993">
        <v>1672.30660485</v>
      </c>
      <c r="N46" s="1993">
        <v>49.522038359999996</v>
      </c>
      <c r="O46" s="1993">
        <f t="shared" si="30"/>
        <v>1066.91401873</v>
      </c>
      <c r="P46" s="1993">
        <v>852.04811209000002</v>
      </c>
      <c r="Q46" s="1993">
        <v>214.86590663999999</v>
      </c>
      <c r="R46" s="1993">
        <f t="shared" si="31"/>
        <v>916.05236908999996</v>
      </c>
      <c r="S46" s="1993">
        <f t="shared" si="32"/>
        <v>658.88300986000002</v>
      </c>
      <c r="T46" s="1993">
        <v>642.58851195</v>
      </c>
      <c r="U46" s="1993">
        <v>16.29449791</v>
      </c>
      <c r="V46" s="1993">
        <f t="shared" si="33"/>
        <v>257.16935923</v>
      </c>
      <c r="W46" s="1993">
        <v>225.77914336000001</v>
      </c>
      <c r="X46" s="1993">
        <v>31.390215870000002</v>
      </c>
      <c r="Y46" s="1993">
        <f t="shared" si="34"/>
        <v>1626.4860819999999</v>
      </c>
      <c r="Z46" s="1993">
        <f t="shared" si="35"/>
        <v>762.76483761999998</v>
      </c>
      <c r="AA46" s="1993">
        <v>748.75365479999994</v>
      </c>
      <c r="AB46" s="1993">
        <v>14.01118282</v>
      </c>
      <c r="AC46" s="1993">
        <f t="shared" si="36"/>
        <v>863.72124437999992</v>
      </c>
      <c r="AD46" s="1993">
        <v>710.13003694999998</v>
      </c>
      <c r="AE46" s="1993">
        <v>153.59120743</v>
      </c>
    </row>
    <row r="47" spans="1:31" hidden="1">
      <c r="A47" s="1992">
        <v>8</v>
      </c>
      <c r="B47" s="1993">
        <f t="shared" si="20"/>
        <v>4462.5601259300001</v>
      </c>
      <c r="C47" s="1993">
        <f t="shared" si="21"/>
        <v>2531.2333738400002</v>
      </c>
      <c r="D47" s="1993">
        <f t="shared" si="21"/>
        <v>1931.3267520899999</v>
      </c>
      <c r="E47" s="1993">
        <f t="shared" si="22"/>
        <v>4026.7439203900003</v>
      </c>
      <c r="F47" s="1993">
        <f t="shared" si="23"/>
        <v>2468.4336892700003</v>
      </c>
      <c r="G47" s="1993">
        <f t="shared" si="24"/>
        <v>1558.31023112</v>
      </c>
      <c r="H47" s="1993">
        <f t="shared" si="25"/>
        <v>435.81620554</v>
      </c>
      <c r="I47" s="1993">
        <f t="shared" si="26"/>
        <v>62.799684570000011</v>
      </c>
      <c r="J47" s="1993">
        <f t="shared" si="27"/>
        <v>373.01652096999999</v>
      </c>
      <c r="K47" s="1993">
        <f t="shared" si="28"/>
        <v>2853.5252051700004</v>
      </c>
      <c r="L47" s="1993">
        <f t="shared" si="29"/>
        <v>1803.8922251400004</v>
      </c>
      <c r="M47" s="1993">
        <v>1756.2077578400003</v>
      </c>
      <c r="N47" s="1993">
        <v>47.684467300000009</v>
      </c>
      <c r="O47" s="1993">
        <f t="shared" si="30"/>
        <v>1049.63298003</v>
      </c>
      <c r="P47" s="1993">
        <v>834.38048157000003</v>
      </c>
      <c r="Q47" s="1993">
        <v>215.25249846</v>
      </c>
      <c r="R47" s="1993">
        <f t="shared" si="31"/>
        <v>954.36980466000011</v>
      </c>
      <c r="S47" s="1993">
        <f t="shared" si="32"/>
        <v>721.67235341000014</v>
      </c>
      <c r="T47" s="1993">
        <v>707.50938414000018</v>
      </c>
      <c r="U47" s="1993">
        <v>14.162969270000001</v>
      </c>
      <c r="V47" s="1993">
        <f t="shared" si="33"/>
        <v>232.69745124999997</v>
      </c>
      <c r="W47" s="1993">
        <v>201.42437547999998</v>
      </c>
      <c r="X47" s="1993">
        <v>31.273075769999998</v>
      </c>
      <c r="Y47" s="1993">
        <f t="shared" si="34"/>
        <v>1609.0349207600002</v>
      </c>
      <c r="Z47" s="1993">
        <f t="shared" si="35"/>
        <v>727.34114870000008</v>
      </c>
      <c r="AA47" s="1993">
        <v>712.22593143000006</v>
      </c>
      <c r="AB47" s="1993">
        <v>15.11521727</v>
      </c>
      <c r="AC47" s="1993">
        <f t="shared" si="36"/>
        <v>881.69377206000001</v>
      </c>
      <c r="AD47" s="1993">
        <v>723.92974955</v>
      </c>
      <c r="AE47" s="1993">
        <v>157.76402250999999</v>
      </c>
    </row>
    <row r="48" spans="1:31" hidden="1">
      <c r="A48" s="1992">
        <v>9</v>
      </c>
      <c r="B48" s="1993">
        <f t="shared" si="20"/>
        <v>4556.3257138199997</v>
      </c>
      <c r="C48" s="1993">
        <f t="shared" si="21"/>
        <v>2615.91543022</v>
      </c>
      <c r="D48" s="1993">
        <f t="shared" si="21"/>
        <v>1940.4102836</v>
      </c>
      <c r="E48" s="1993">
        <f t="shared" si="22"/>
        <v>4110.8239940399999</v>
      </c>
      <c r="F48" s="1993">
        <f t="shared" si="23"/>
        <v>2550.9160714199998</v>
      </c>
      <c r="G48" s="1993">
        <f t="shared" si="24"/>
        <v>1559.9079226199999</v>
      </c>
      <c r="H48" s="1993">
        <f t="shared" si="25"/>
        <v>445.50171978000003</v>
      </c>
      <c r="I48" s="1993">
        <f t="shared" si="26"/>
        <v>64.99935880000001</v>
      </c>
      <c r="J48" s="1993">
        <f t="shared" si="27"/>
        <v>380.50236097999999</v>
      </c>
      <c r="K48" s="1993">
        <f t="shared" si="28"/>
        <v>2921.21124143</v>
      </c>
      <c r="L48" s="1993">
        <f t="shared" si="29"/>
        <v>1859.4618799500001</v>
      </c>
      <c r="M48" s="1993">
        <v>1809.46790293</v>
      </c>
      <c r="N48" s="1993">
        <v>49.993977020000003</v>
      </c>
      <c r="O48" s="1993">
        <f t="shared" si="30"/>
        <v>1061.7493614800001</v>
      </c>
      <c r="P48" s="1993">
        <v>837.70243659999994</v>
      </c>
      <c r="Q48" s="1993">
        <v>224.04692488000001</v>
      </c>
      <c r="R48" s="1993">
        <f t="shared" si="31"/>
        <v>993.74054749000004</v>
      </c>
      <c r="S48" s="1993">
        <f t="shared" si="32"/>
        <v>756.27759278000008</v>
      </c>
      <c r="T48" s="1993">
        <v>740.13854533000006</v>
      </c>
      <c r="U48" s="1993">
        <v>16.13904745</v>
      </c>
      <c r="V48" s="1993">
        <f t="shared" si="33"/>
        <v>237.46295470999999</v>
      </c>
      <c r="W48" s="1993">
        <v>199.56677836999998</v>
      </c>
      <c r="X48" s="1993">
        <v>37.896176340000004</v>
      </c>
      <c r="Y48" s="1993">
        <f t="shared" si="34"/>
        <v>1635.1144723899997</v>
      </c>
      <c r="Z48" s="1993">
        <f t="shared" si="35"/>
        <v>756.45355026999994</v>
      </c>
      <c r="AA48" s="1993">
        <v>741.44816848999994</v>
      </c>
      <c r="AB48" s="1993">
        <v>15.00538178</v>
      </c>
      <c r="AC48" s="1993">
        <f t="shared" si="36"/>
        <v>878.6609221199999</v>
      </c>
      <c r="AD48" s="1993">
        <v>722.20548601999997</v>
      </c>
      <c r="AE48" s="1993">
        <v>156.45543609999999</v>
      </c>
    </row>
    <row r="49" spans="1:31" hidden="1">
      <c r="A49" s="1992">
        <v>10</v>
      </c>
      <c r="B49" s="1993">
        <f t="shared" si="20"/>
        <v>4689.6690311399998</v>
      </c>
      <c r="C49" s="1993">
        <f t="shared" si="21"/>
        <v>2704.2721283300002</v>
      </c>
      <c r="D49" s="1993">
        <f t="shared" si="21"/>
        <v>1985.39690281</v>
      </c>
      <c r="E49" s="1993">
        <f t="shared" si="22"/>
        <v>4253.1566267799999</v>
      </c>
      <c r="F49" s="1993">
        <f t="shared" si="23"/>
        <v>2640.0072848300001</v>
      </c>
      <c r="G49" s="1993">
        <f t="shared" si="24"/>
        <v>1613.14934195</v>
      </c>
      <c r="H49" s="1993">
        <f t="shared" si="25"/>
        <v>436.51240436</v>
      </c>
      <c r="I49" s="1993">
        <f t="shared" si="26"/>
        <v>64.264843500000012</v>
      </c>
      <c r="J49" s="1993">
        <f t="shared" si="27"/>
        <v>372.24756085999996</v>
      </c>
      <c r="K49" s="1993">
        <f t="shared" si="28"/>
        <v>3019.1945834500002</v>
      </c>
      <c r="L49" s="1993">
        <f t="shared" si="29"/>
        <v>1931.3115117</v>
      </c>
      <c r="M49" s="1993">
        <v>1882.2360399500001</v>
      </c>
      <c r="N49" s="1993">
        <v>49.075471750000005</v>
      </c>
      <c r="O49" s="1993">
        <f t="shared" si="30"/>
        <v>1087.88307175</v>
      </c>
      <c r="P49" s="1993">
        <v>872.69774899000004</v>
      </c>
      <c r="Q49" s="1993">
        <v>215.18532275999996</v>
      </c>
      <c r="R49" s="1993">
        <f t="shared" si="31"/>
        <v>1005.2957479400002</v>
      </c>
      <c r="S49" s="1993">
        <f t="shared" si="32"/>
        <v>740.00818454000012</v>
      </c>
      <c r="T49" s="1993">
        <v>725.05667938000011</v>
      </c>
      <c r="U49" s="1993">
        <v>14.95150516</v>
      </c>
      <c r="V49" s="1993">
        <f t="shared" si="33"/>
        <v>265.28756340000001</v>
      </c>
      <c r="W49" s="1993">
        <v>227.95867665000003</v>
      </c>
      <c r="X49" s="1993">
        <v>37.328886749999995</v>
      </c>
      <c r="Y49" s="1993">
        <f t="shared" si="34"/>
        <v>1670.47444769</v>
      </c>
      <c r="Z49" s="1993">
        <f t="shared" si="35"/>
        <v>772.96061663</v>
      </c>
      <c r="AA49" s="1993">
        <v>757.77124488000004</v>
      </c>
      <c r="AB49" s="1993">
        <v>15.189371749999999</v>
      </c>
      <c r="AC49" s="1993">
        <f t="shared" si="36"/>
        <v>897.51383106000003</v>
      </c>
      <c r="AD49" s="1993">
        <v>740.45159295999997</v>
      </c>
      <c r="AE49" s="1993">
        <v>157.0622381</v>
      </c>
    </row>
    <row r="50" spans="1:31" hidden="1">
      <c r="A50" s="1992">
        <v>11</v>
      </c>
      <c r="B50" s="1993">
        <f t="shared" si="20"/>
        <v>4762.9615697900008</v>
      </c>
      <c r="C50" s="1993">
        <f t="shared" si="21"/>
        <v>2804.5977616700002</v>
      </c>
      <c r="D50" s="1993">
        <f t="shared" si="21"/>
        <v>1958.3638081200002</v>
      </c>
      <c r="E50" s="1993">
        <f t="shared" si="22"/>
        <v>4332.6070064100004</v>
      </c>
      <c r="F50" s="1993">
        <f t="shared" si="23"/>
        <v>2738.2874585700001</v>
      </c>
      <c r="G50" s="1993">
        <f t="shared" si="24"/>
        <v>1594.3195478400003</v>
      </c>
      <c r="H50" s="1993">
        <f t="shared" si="25"/>
        <v>430.35456338</v>
      </c>
      <c r="I50" s="1993">
        <f t="shared" si="26"/>
        <v>66.310303099999999</v>
      </c>
      <c r="J50" s="1993">
        <f t="shared" si="27"/>
        <v>364.04426028</v>
      </c>
      <c r="K50" s="1993">
        <f t="shared" si="28"/>
        <v>3025.4096513400004</v>
      </c>
      <c r="L50" s="1993">
        <f t="shared" si="29"/>
        <v>1979.8520945200003</v>
      </c>
      <c r="M50" s="1993">
        <v>1929.3502524300002</v>
      </c>
      <c r="N50" s="1993">
        <v>50.501842089999997</v>
      </c>
      <c r="O50" s="1993">
        <f t="shared" si="30"/>
        <v>1045.5575568200002</v>
      </c>
      <c r="P50" s="1993">
        <v>844.8795509900001</v>
      </c>
      <c r="Q50" s="1993">
        <v>200.67800583000002</v>
      </c>
      <c r="R50" s="1993">
        <f t="shared" si="31"/>
        <v>1020.2288967199999</v>
      </c>
      <c r="S50" s="1993">
        <f t="shared" si="32"/>
        <v>786.45607401999985</v>
      </c>
      <c r="T50" s="1993">
        <v>771.32250100999988</v>
      </c>
      <c r="U50" s="1993">
        <v>15.133573009999999</v>
      </c>
      <c r="V50" s="1993">
        <f t="shared" si="33"/>
        <v>233.77282270000001</v>
      </c>
      <c r="W50" s="1993">
        <v>198.33695929999999</v>
      </c>
      <c r="X50" s="1993">
        <v>35.435863400000002</v>
      </c>
      <c r="Y50" s="1993">
        <f t="shared" si="34"/>
        <v>1737.5519184499999</v>
      </c>
      <c r="Z50" s="1993">
        <f t="shared" si="35"/>
        <v>824.74566715000003</v>
      </c>
      <c r="AA50" s="1993">
        <v>808.93720614000006</v>
      </c>
      <c r="AB50" s="1993">
        <v>15.80846101</v>
      </c>
      <c r="AC50" s="1993">
        <f t="shared" si="36"/>
        <v>912.80625129999999</v>
      </c>
      <c r="AD50" s="1993">
        <v>749.43999685000006</v>
      </c>
      <c r="AE50" s="1993">
        <v>163.36625444999999</v>
      </c>
    </row>
    <row r="51" spans="1:31" hidden="1">
      <c r="A51" s="1992">
        <v>12</v>
      </c>
      <c r="B51" s="1993">
        <f t="shared" si="20"/>
        <v>5113.4078103299998</v>
      </c>
      <c r="C51" s="1993">
        <f t="shared" si="21"/>
        <v>2963.8571625000004</v>
      </c>
      <c r="D51" s="1993">
        <f t="shared" si="21"/>
        <v>2149.5506478299999</v>
      </c>
      <c r="E51" s="1993">
        <f t="shared" si="22"/>
        <v>4525.1908701800003</v>
      </c>
      <c r="F51" s="1993">
        <f t="shared" si="23"/>
        <v>2889.7716593200003</v>
      </c>
      <c r="G51" s="1993">
        <f t="shared" si="24"/>
        <v>1635.41921086</v>
      </c>
      <c r="H51" s="1993">
        <f t="shared" si="25"/>
        <v>588.21694015000003</v>
      </c>
      <c r="I51" s="1993">
        <f t="shared" si="26"/>
        <v>74.085503180000003</v>
      </c>
      <c r="J51" s="1993">
        <f t="shared" si="27"/>
        <v>514.13143696999998</v>
      </c>
      <c r="K51" s="1993">
        <f t="shared" si="28"/>
        <v>3132.5954872399998</v>
      </c>
      <c r="L51" s="1993">
        <f t="shared" si="29"/>
        <v>2058.5881624799999</v>
      </c>
      <c r="M51" s="1993">
        <v>2002.2039538700001</v>
      </c>
      <c r="N51" s="1993">
        <v>56.384208610000002</v>
      </c>
      <c r="O51" s="1993">
        <f t="shared" si="30"/>
        <v>1074.0073247600001</v>
      </c>
      <c r="P51" s="1993">
        <v>886.2459640300001</v>
      </c>
      <c r="Q51" s="1993">
        <v>187.76136072999998</v>
      </c>
      <c r="R51" s="1993">
        <f t="shared" si="31"/>
        <v>1042.8349062699999</v>
      </c>
      <c r="S51" s="1993">
        <f t="shared" si="32"/>
        <v>777.14939947000005</v>
      </c>
      <c r="T51" s="1993">
        <v>760.27598019000004</v>
      </c>
      <c r="U51" s="1993">
        <v>16.873419280000004</v>
      </c>
      <c r="V51" s="1993">
        <f t="shared" si="33"/>
        <v>265.68550679999998</v>
      </c>
      <c r="W51" s="1993">
        <v>227.82533279</v>
      </c>
      <c r="X51" s="1993">
        <v>37.860174009999994</v>
      </c>
      <c r="Y51" s="1993">
        <f t="shared" si="34"/>
        <v>1980.8123230900001</v>
      </c>
      <c r="Z51" s="1993">
        <f t="shared" si="35"/>
        <v>905.26900002000002</v>
      </c>
      <c r="AA51" s="1993">
        <v>887.56770545000006</v>
      </c>
      <c r="AB51" s="1993">
        <v>17.701294570000002</v>
      </c>
      <c r="AC51" s="1993">
        <f t="shared" si="36"/>
        <v>1075.54332307</v>
      </c>
      <c r="AD51" s="1993">
        <v>749.17324683000004</v>
      </c>
      <c r="AE51" s="1993">
        <v>326.37007624</v>
      </c>
    </row>
    <row r="52" spans="1:31" ht="15.6">
      <c r="A52" s="1989">
        <v>2013</v>
      </c>
      <c r="B52" s="1993"/>
      <c r="C52" s="1993"/>
      <c r="D52" s="1993"/>
      <c r="E52" s="1993"/>
      <c r="F52" s="1993"/>
      <c r="G52" s="1993"/>
      <c r="H52" s="1993"/>
      <c r="I52" s="1993"/>
      <c r="J52" s="1993"/>
      <c r="K52" s="1993"/>
      <c r="L52" s="1993"/>
      <c r="M52" s="1993"/>
      <c r="N52" s="1993"/>
      <c r="O52" s="1993"/>
      <c r="P52" s="1993"/>
      <c r="Q52" s="1993"/>
      <c r="R52" s="1993"/>
      <c r="S52" s="1993"/>
      <c r="T52" s="1993"/>
      <c r="U52" s="1993"/>
      <c r="V52" s="1993"/>
      <c r="W52" s="1993"/>
      <c r="X52" s="1993"/>
      <c r="Y52" s="1993"/>
      <c r="Z52" s="1993"/>
      <c r="AA52" s="1993"/>
      <c r="AB52" s="1993"/>
      <c r="AC52" s="1993"/>
      <c r="AD52" s="1993"/>
      <c r="AE52" s="1993"/>
    </row>
    <row r="53" spans="1:31">
      <c r="A53" s="1992">
        <v>1</v>
      </c>
      <c r="B53" s="1993">
        <f t="shared" ref="B53:B64" si="37">+C53+D53</f>
        <v>5315.3829536699996</v>
      </c>
      <c r="C53" s="1993">
        <f t="shared" ref="C53:D64" si="38">+F53+I53</f>
        <v>3172.5903249300004</v>
      </c>
      <c r="D53" s="1993">
        <f t="shared" si="38"/>
        <v>2142.7926287399996</v>
      </c>
      <c r="E53" s="1993">
        <f t="shared" ref="E53:E64" si="39">+F53+G53</f>
        <v>4715.4322848299998</v>
      </c>
      <c r="F53" s="1993">
        <f t="shared" ref="F53:F64" si="40">+M53+AA53</f>
        <v>3054.1924471000002</v>
      </c>
      <c r="G53" s="1993">
        <f t="shared" ref="G53:G64" si="41">+P53+AD53</f>
        <v>1661.2398377299999</v>
      </c>
      <c r="H53" s="1993">
        <f t="shared" ref="H53:H64" si="42">+I53+J53</f>
        <v>599.95066883999993</v>
      </c>
      <c r="I53" s="1993">
        <f t="shared" ref="I53:I64" si="43">+N53+AB53</f>
        <v>118.39787783</v>
      </c>
      <c r="J53" s="1993">
        <f t="shared" ref="J53:J64" si="44">+Q53+AE53</f>
        <v>481.55279100999996</v>
      </c>
      <c r="K53" s="1993">
        <f t="shared" ref="K53:K64" si="45">+L53+O53</f>
        <v>3184.4374205399999</v>
      </c>
      <c r="L53" s="1993">
        <f t="shared" ref="L53:L64" si="46">+M53+N53</f>
        <v>2123.7093182899998</v>
      </c>
      <c r="M53" s="1993">
        <v>2067.03238126</v>
      </c>
      <c r="N53" s="1993">
        <v>56.676937030000005</v>
      </c>
      <c r="O53" s="1993">
        <f t="shared" ref="O53:O64" si="47">P53+Q53</f>
        <v>1060.7281022499999</v>
      </c>
      <c r="P53" s="1993">
        <v>907.68400254999995</v>
      </c>
      <c r="Q53" s="1993">
        <v>153.04409969999998</v>
      </c>
      <c r="R53" s="1993">
        <f t="shared" ref="R53:R64" si="48">S53+V53</f>
        <v>1067.9671805600001</v>
      </c>
      <c r="S53" s="1993">
        <f t="shared" ref="S53:S64" si="49">T53+U53</f>
        <v>792.94621103999998</v>
      </c>
      <c r="T53" s="1993">
        <v>777.99044253</v>
      </c>
      <c r="U53" s="1993">
        <v>14.95576851</v>
      </c>
      <c r="V53" s="1993">
        <f t="shared" ref="V53:V64" si="50">W53+X53</f>
        <v>275.02096951999999</v>
      </c>
      <c r="W53" s="1993">
        <v>234.38221780999999</v>
      </c>
      <c r="X53" s="1993">
        <v>40.638751709999994</v>
      </c>
      <c r="Y53" s="1993">
        <f t="shared" ref="Y53:Y64" si="51">Z53+AC53</f>
        <v>2130.9455331300001</v>
      </c>
      <c r="Z53" s="1993">
        <f t="shared" ref="Z53:Z64" si="52">AA53+AB53</f>
        <v>1048.8810066400001</v>
      </c>
      <c r="AA53" s="1993">
        <v>987.16006584000002</v>
      </c>
      <c r="AB53" s="1993">
        <v>61.720940799999994</v>
      </c>
      <c r="AC53" s="1993">
        <f t="shared" ref="AC53:AC64" si="53">AD53+AE53</f>
        <v>1082.0645264899999</v>
      </c>
      <c r="AD53" s="1993">
        <v>753.55583517999992</v>
      </c>
      <c r="AE53" s="1993">
        <v>328.50869130999996</v>
      </c>
    </row>
    <row r="54" spans="1:31">
      <c r="A54" s="1992">
        <v>2</v>
      </c>
      <c r="B54" s="1993">
        <f t="shared" si="37"/>
        <v>5416.8434167400001</v>
      </c>
      <c r="C54" s="1993">
        <f t="shared" si="38"/>
        <v>3226.6282422200002</v>
      </c>
      <c r="D54" s="1993">
        <f t="shared" si="38"/>
        <v>2190.2151745199999</v>
      </c>
      <c r="E54" s="1993">
        <f t="shared" si="39"/>
        <v>4798.8679654100006</v>
      </c>
      <c r="F54" s="1993">
        <f t="shared" si="40"/>
        <v>3109.8383471400002</v>
      </c>
      <c r="G54" s="1993">
        <f t="shared" si="41"/>
        <v>1689.0296182700001</v>
      </c>
      <c r="H54" s="1993">
        <f t="shared" si="42"/>
        <v>617.97545132999994</v>
      </c>
      <c r="I54" s="1993">
        <f t="shared" si="43"/>
        <v>116.78989508000001</v>
      </c>
      <c r="J54" s="1993">
        <f t="shared" si="44"/>
        <v>501.18555624999999</v>
      </c>
      <c r="K54" s="1993">
        <f t="shared" si="45"/>
        <v>3189.27294712</v>
      </c>
      <c r="L54" s="1993">
        <f t="shared" si="46"/>
        <v>2139.2774117399999</v>
      </c>
      <c r="M54" s="1993">
        <v>2084.3332848300001</v>
      </c>
      <c r="N54" s="1993">
        <v>54.944126910000001</v>
      </c>
      <c r="O54" s="1993">
        <f t="shared" si="47"/>
        <v>1049.9955353800001</v>
      </c>
      <c r="P54" s="1993">
        <v>892.67199314000004</v>
      </c>
      <c r="Q54" s="1993">
        <v>157.32354224000002</v>
      </c>
      <c r="R54" s="1993">
        <f t="shared" si="48"/>
        <v>1128.9132014900001</v>
      </c>
      <c r="S54" s="1993">
        <f t="shared" si="49"/>
        <v>864.91507690000003</v>
      </c>
      <c r="T54" s="1993">
        <v>849.25054256999999</v>
      </c>
      <c r="U54" s="1993">
        <v>15.664534329999999</v>
      </c>
      <c r="V54" s="1993">
        <f t="shared" si="50"/>
        <v>263.99812459000003</v>
      </c>
      <c r="W54" s="1993">
        <v>222.47107683000002</v>
      </c>
      <c r="X54" s="1993">
        <v>41.527047760000009</v>
      </c>
      <c r="Y54" s="1993">
        <f t="shared" si="51"/>
        <v>2227.57046962</v>
      </c>
      <c r="Z54" s="1993">
        <f t="shared" si="52"/>
        <v>1087.3508304799998</v>
      </c>
      <c r="AA54" s="1993">
        <v>1025.5050623099999</v>
      </c>
      <c r="AB54" s="1993">
        <v>61.845768169999999</v>
      </c>
      <c r="AC54" s="1993">
        <f t="shared" si="53"/>
        <v>1140.21963914</v>
      </c>
      <c r="AD54" s="1993">
        <v>796.35762513000009</v>
      </c>
      <c r="AE54" s="1993">
        <v>343.86201401</v>
      </c>
    </row>
    <row r="55" spans="1:31">
      <c r="A55" s="1992">
        <v>3</v>
      </c>
      <c r="B55" s="1993">
        <f t="shared" si="37"/>
        <v>5535.9675161499999</v>
      </c>
      <c r="C55" s="1993">
        <f t="shared" si="38"/>
        <v>3259.7630677100001</v>
      </c>
      <c r="D55" s="1993">
        <f t="shared" si="38"/>
        <v>2276.2044484400003</v>
      </c>
      <c r="E55" s="1993">
        <f t="shared" si="39"/>
        <v>4871.2586217900007</v>
      </c>
      <c r="F55" s="1993">
        <f t="shared" si="40"/>
        <v>3144.46212754</v>
      </c>
      <c r="G55" s="1993">
        <f t="shared" si="41"/>
        <v>1726.7964942500003</v>
      </c>
      <c r="H55" s="1993">
        <f t="shared" si="42"/>
        <v>664.70889436000004</v>
      </c>
      <c r="I55" s="1993">
        <f t="shared" si="43"/>
        <v>115.30094017</v>
      </c>
      <c r="J55" s="1993">
        <f t="shared" si="44"/>
        <v>549.40795419000005</v>
      </c>
      <c r="K55" s="1993">
        <f t="shared" si="45"/>
        <v>3268.9519692000003</v>
      </c>
      <c r="L55" s="1993">
        <f t="shared" si="46"/>
        <v>2197.4050623600001</v>
      </c>
      <c r="M55" s="1993">
        <v>2143.9020378300002</v>
      </c>
      <c r="N55" s="1993">
        <v>53.503024530000005</v>
      </c>
      <c r="O55" s="1993">
        <f t="shared" si="47"/>
        <v>1071.54690684</v>
      </c>
      <c r="P55" s="1993">
        <v>910.50264336000009</v>
      </c>
      <c r="Q55" s="1993">
        <v>161.04426348000001</v>
      </c>
      <c r="R55" s="1993">
        <f t="shared" si="48"/>
        <v>1145.0066983899999</v>
      </c>
      <c r="S55" s="1993">
        <f t="shared" si="49"/>
        <v>858.79915613999992</v>
      </c>
      <c r="T55" s="1993">
        <v>842.6302285999999</v>
      </c>
      <c r="U55" s="1993">
        <v>16.168927540000002</v>
      </c>
      <c r="V55" s="1993">
        <f t="shared" si="50"/>
        <v>286.20754225000002</v>
      </c>
      <c r="W55" s="1993">
        <v>239.86241933000002</v>
      </c>
      <c r="X55" s="1993">
        <v>46.345122919999994</v>
      </c>
      <c r="Y55" s="1993">
        <f t="shared" si="51"/>
        <v>2267.01554695</v>
      </c>
      <c r="Z55" s="1993">
        <f t="shared" si="52"/>
        <v>1062.35800535</v>
      </c>
      <c r="AA55" s="1993">
        <v>1000.5600897099999</v>
      </c>
      <c r="AB55" s="1993">
        <v>61.797915639999999</v>
      </c>
      <c r="AC55" s="1993">
        <f t="shared" si="53"/>
        <v>1204.6575416000001</v>
      </c>
      <c r="AD55" s="1993">
        <v>816.29385089000016</v>
      </c>
      <c r="AE55" s="1993">
        <v>388.36369071000001</v>
      </c>
    </row>
    <row r="56" spans="1:31">
      <c r="A56" s="1992">
        <v>4</v>
      </c>
      <c r="B56" s="1993">
        <f t="shared" si="37"/>
        <v>5768.28016561</v>
      </c>
      <c r="C56" s="1993">
        <f t="shared" si="38"/>
        <v>3478.0867805800003</v>
      </c>
      <c r="D56" s="1993">
        <f t="shared" si="38"/>
        <v>2290.1933850300002</v>
      </c>
      <c r="E56" s="1993">
        <f t="shared" si="39"/>
        <v>5080.6374338100004</v>
      </c>
      <c r="F56" s="1993">
        <f t="shared" si="40"/>
        <v>3361.9994418400001</v>
      </c>
      <c r="G56" s="1993">
        <f t="shared" si="41"/>
        <v>1718.63799197</v>
      </c>
      <c r="H56" s="1993">
        <f t="shared" si="42"/>
        <v>687.64273180000009</v>
      </c>
      <c r="I56" s="1993">
        <f t="shared" si="43"/>
        <v>116.08733874000001</v>
      </c>
      <c r="J56" s="1993">
        <f t="shared" si="44"/>
        <v>571.55539306000003</v>
      </c>
      <c r="K56" s="1993">
        <f t="shared" si="45"/>
        <v>3230.9247393799997</v>
      </c>
      <c r="L56" s="1993">
        <f t="shared" si="46"/>
        <v>2183.10890445</v>
      </c>
      <c r="M56" s="1993">
        <v>2128.1561349499998</v>
      </c>
      <c r="N56" s="1993">
        <v>54.952769499999995</v>
      </c>
      <c r="O56" s="1993">
        <f t="shared" si="47"/>
        <v>1047.8158349299999</v>
      </c>
      <c r="P56" s="1993">
        <v>896.95608104999997</v>
      </c>
      <c r="Q56" s="1993">
        <v>150.85975388</v>
      </c>
      <c r="R56" s="1993">
        <f t="shared" si="48"/>
        <v>1113.7776123900001</v>
      </c>
      <c r="S56" s="1993">
        <f t="shared" si="49"/>
        <v>854.49023348000003</v>
      </c>
      <c r="T56" s="1993">
        <v>838.85617839999998</v>
      </c>
      <c r="U56" s="1993">
        <v>15.634055079999998</v>
      </c>
      <c r="V56" s="1993">
        <f t="shared" si="50"/>
        <v>259.28737890999997</v>
      </c>
      <c r="W56" s="1993">
        <v>223.87313054999998</v>
      </c>
      <c r="X56" s="1993">
        <v>35.414248359999995</v>
      </c>
      <c r="Y56" s="1993">
        <f t="shared" si="51"/>
        <v>2537.3554262300004</v>
      </c>
      <c r="Z56" s="1993">
        <f t="shared" si="52"/>
        <v>1294.9778761300001</v>
      </c>
      <c r="AA56" s="1993">
        <v>1233.8433068900001</v>
      </c>
      <c r="AB56" s="1993">
        <v>61.134569240000005</v>
      </c>
      <c r="AC56" s="1993">
        <f t="shared" si="53"/>
        <v>1242.3775501</v>
      </c>
      <c r="AD56" s="1993">
        <v>821.68191092000006</v>
      </c>
      <c r="AE56" s="1993">
        <v>420.69563918</v>
      </c>
    </row>
    <row r="57" spans="1:31">
      <c r="A57" s="1992">
        <v>5</v>
      </c>
      <c r="B57" s="1993">
        <f t="shared" si="37"/>
        <v>5891.45147163</v>
      </c>
      <c r="C57" s="1993">
        <f t="shared" si="38"/>
        <v>3565.3536078699999</v>
      </c>
      <c r="D57" s="1993">
        <f t="shared" si="38"/>
        <v>2326.0978637600001</v>
      </c>
      <c r="E57" s="1993">
        <f t="shared" si="39"/>
        <v>5199.3350518699999</v>
      </c>
      <c r="F57" s="1993">
        <f t="shared" si="40"/>
        <v>3449.0419230699999</v>
      </c>
      <c r="G57" s="1993">
        <f t="shared" si="41"/>
        <v>1750.2931288</v>
      </c>
      <c r="H57" s="1993">
        <f t="shared" si="42"/>
        <v>692.11641975999999</v>
      </c>
      <c r="I57" s="1993">
        <f t="shared" si="43"/>
        <v>116.31168479999999</v>
      </c>
      <c r="J57" s="1993">
        <f t="shared" si="44"/>
        <v>575.80473496000002</v>
      </c>
      <c r="K57" s="1993">
        <f t="shared" si="45"/>
        <v>3344.1253506499997</v>
      </c>
      <c r="L57" s="1993">
        <f t="shared" si="46"/>
        <v>2264.05759081</v>
      </c>
      <c r="M57" s="1993">
        <v>2209.7448520399998</v>
      </c>
      <c r="N57" s="1993">
        <v>54.312738770000003</v>
      </c>
      <c r="O57" s="1993">
        <f t="shared" si="47"/>
        <v>1080.06775984</v>
      </c>
      <c r="P57" s="1993">
        <v>925.32565005000004</v>
      </c>
      <c r="Q57" s="1993">
        <v>154.74210979</v>
      </c>
      <c r="R57" s="1993">
        <f t="shared" si="48"/>
        <v>1157.0424015799999</v>
      </c>
      <c r="S57" s="1993">
        <f t="shared" si="49"/>
        <v>876.25826108000001</v>
      </c>
      <c r="T57" s="1993">
        <v>860.14382441999999</v>
      </c>
      <c r="U57" s="1993">
        <v>16.114436659999999</v>
      </c>
      <c r="V57" s="1993">
        <f t="shared" si="50"/>
        <v>280.78414050000003</v>
      </c>
      <c r="W57" s="1993">
        <v>242.63089644000001</v>
      </c>
      <c r="X57" s="1993">
        <v>38.153244059999999</v>
      </c>
      <c r="Y57" s="1993">
        <f t="shared" si="51"/>
        <v>2547.3261209800003</v>
      </c>
      <c r="Z57" s="1993">
        <f t="shared" si="52"/>
        <v>1301.2960170600002</v>
      </c>
      <c r="AA57" s="1993">
        <v>1239.2970710300001</v>
      </c>
      <c r="AB57" s="1993">
        <v>61.998946029999999</v>
      </c>
      <c r="AC57" s="1993">
        <f t="shared" si="53"/>
        <v>1246.0301039200001</v>
      </c>
      <c r="AD57" s="1993">
        <v>824.96747875000005</v>
      </c>
      <c r="AE57" s="1993">
        <v>421.06262516999999</v>
      </c>
    </row>
    <row r="58" spans="1:31">
      <c r="A58" s="1992">
        <v>6</v>
      </c>
      <c r="B58" s="1993">
        <f t="shared" si="37"/>
        <v>5922.2164039399995</v>
      </c>
      <c r="C58" s="1993">
        <f t="shared" si="38"/>
        <v>3583.8546703100001</v>
      </c>
      <c r="D58" s="1993">
        <f t="shared" si="38"/>
        <v>2338.3617336299999</v>
      </c>
      <c r="E58" s="1993">
        <f t="shared" si="39"/>
        <v>5221.4891143699997</v>
      </c>
      <c r="F58" s="1993">
        <f t="shared" si="40"/>
        <v>3467.03324591</v>
      </c>
      <c r="G58" s="1993">
        <f t="shared" si="41"/>
        <v>1754.4558684599999</v>
      </c>
      <c r="H58" s="1993">
        <f t="shared" si="42"/>
        <v>700.72728957000004</v>
      </c>
      <c r="I58" s="1993">
        <f t="shared" si="43"/>
        <v>116.8214244</v>
      </c>
      <c r="J58" s="1993">
        <f t="shared" si="44"/>
        <v>583.90586517000008</v>
      </c>
      <c r="K58" s="1993">
        <f t="shared" si="45"/>
        <v>3412.7238381100001</v>
      </c>
      <c r="L58" s="1993">
        <f t="shared" si="46"/>
        <v>2325.4691912900003</v>
      </c>
      <c r="M58" s="1993">
        <v>2272.0069924200002</v>
      </c>
      <c r="N58" s="1993">
        <v>53.462198870000002</v>
      </c>
      <c r="O58" s="1993">
        <f t="shared" si="47"/>
        <v>1087.2546468199998</v>
      </c>
      <c r="P58" s="1993">
        <v>925.44447775999993</v>
      </c>
      <c r="Q58" s="1993">
        <v>161.81016906000002</v>
      </c>
      <c r="R58" s="1993">
        <f t="shared" si="48"/>
        <v>1202.87384284</v>
      </c>
      <c r="S58" s="1993">
        <f t="shared" si="49"/>
        <v>914.47111170000005</v>
      </c>
      <c r="T58" s="1993">
        <v>899.04871462000006</v>
      </c>
      <c r="U58" s="1993">
        <v>15.42239708</v>
      </c>
      <c r="V58" s="1993">
        <f t="shared" si="50"/>
        <v>288.40273113999996</v>
      </c>
      <c r="W58" s="1993">
        <v>245.24628513999997</v>
      </c>
      <c r="X58" s="1993">
        <v>43.15644600000001</v>
      </c>
      <c r="Y58" s="1993">
        <f t="shared" si="51"/>
        <v>2509.4925658299999</v>
      </c>
      <c r="Z58" s="1993">
        <f t="shared" si="52"/>
        <v>1258.3854790199998</v>
      </c>
      <c r="AA58" s="1993">
        <v>1195.0262534899998</v>
      </c>
      <c r="AB58" s="1993">
        <v>63.359225529999996</v>
      </c>
      <c r="AC58" s="1993">
        <f t="shared" si="53"/>
        <v>1251.1070868100001</v>
      </c>
      <c r="AD58" s="1993">
        <v>829.01139069999999</v>
      </c>
      <c r="AE58" s="1993">
        <v>422.09569611000006</v>
      </c>
    </row>
    <row r="59" spans="1:31">
      <c r="A59" s="1992">
        <v>7</v>
      </c>
      <c r="B59" s="1993">
        <f t="shared" si="37"/>
        <v>6019.3164782800004</v>
      </c>
      <c r="C59" s="1993">
        <f t="shared" si="38"/>
        <v>3609.8591840900003</v>
      </c>
      <c r="D59" s="1993">
        <f t="shared" si="38"/>
        <v>2409.4572941900001</v>
      </c>
      <c r="E59" s="1993">
        <f t="shared" si="39"/>
        <v>5287.5822711800001</v>
      </c>
      <c r="F59" s="1993">
        <f t="shared" si="40"/>
        <v>3460.7371533200003</v>
      </c>
      <c r="G59" s="1993">
        <f t="shared" si="41"/>
        <v>1826.8451178600001</v>
      </c>
      <c r="H59" s="1993">
        <f t="shared" si="42"/>
        <v>731.73420710000005</v>
      </c>
      <c r="I59" s="1993">
        <f t="shared" si="43"/>
        <v>149.12203077000001</v>
      </c>
      <c r="J59" s="1993">
        <f t="shared" si="44"/>
        <v>582.61217633000001</v>
      </c>
      <c r="K59" s="1993">
        <f t="shared" si="45"/>
        <v>3452.1833446500004</v>
      </c>
      <c r="L59" s="1993">
        <f t="shared" si="46"/>
        <v>2315.9672258300002</v>
      </c>
      <c r="M59" s="1993">
        <v>2230.1244928900001</v>
      </c>
      <c r="N59" s="1993">
        <v>85.842732940000005</v>
      </c>
      <c r="O59" s="1993">
        <f t="shared" si="47"/>
        <v>1136.21611882</v>
      </c>
      <c r="P59" s="1993">
        <v>974.91382616999999</v>
      </c>
      <c r="Q59" s="1993">
        <v>161.30229265</v>
      </c>
      <c r="R59" s="1993">
        <f t="shared" si="48"/>
        <v>1160.13708309</v>
      </c>
      <c r="S59" s="1993">
        <f t="shared" si="49"/>
        <v>850.97289785000009</v>
      </c>
      <c r="T59" s="1993">
        <v>832.82103095000014</v>
      </c>
      <c r="U59" s="1993">
        <v>18.151866900000002</v>
      </c>
      <c r="V59" s="1993">
        <f t="shared" si="50"/>
        <v>309.16418523999988</v>
      </c>
      <c r="W59" s="1993">
        <v>276.4176686699999</v>
      </c>
      <c r="X59" s="1993">
        <v>32.746516570000004</v>
      </c>
      <c r="Y59" s="1993">
        <f t="shared" si="51"/>
        <v>2567.13313363</v>
      </c>
      <c r="Z59" s="1993">
        <f t="shared" si="52"/>
        <v>1293.8919582599999</v>
      </c>
      <c r="AA59" s="1993">
        <v>1230.61266043</v>
      </c>
      <c r="AB59" s="1993">
        <v>63.279297829999997</v>
      </c>
      <c r="AC59" s="1993">
        <f t="shared" si="53"/>
        <v>1273.2411753700001</v>
      </c>
      <c r="AD59" s="1993">
        <v>851.93129169000008</v>
      </c>
      <c r="AE59" s="1993">
        <v>421.30988367999998</v>
      </c>
    </row>
    <row r="60" spans="1:31">
      <c r="A60" s="1992">
        <v>8</v>
      </c>
      <c r="B60" s="1993">
        <f t="shared" si="37"/>
        <v>6090.4318320100001</v>
      </c>
      <c r="C60" s="1993">
        <f t="shared" si="38"/>
        <v>3686.25774817</v>
      </c>
      <c r="D60" s="1993">
        <f t="shared" si="38"/>
        <v>2404.1740838400001</v>
      </c>
      <c r="E60" s="1993">
        <f t="shared" si="39"/>
        <v>5353.5566308399993</v>
      </c>
      <c r="F60" s="1993">
        <f t="shared" si="40"/>
        <v>3537.5087298799999</v>
      </c>
      <c r="G60" s="1993">
        <f t="shared" si="41"/>
        <v>1816.0479009599999</v>
      </c>
      <c r="H60" s="1993">
        <f t="shared" si="42"/>
        <v>736.87520116999997</v>
      </c>
      <c r="I60" s="1993">
        <f t="shared" si="43"/>
        <v>148.74901828999998</v>
      </c>
      <c r="J60" s="1993">
        <f t="shared" si="44"/>
        <v>588.12618287999999</v>
      </c>
      <c r="K60" s="1993">
        <f t="shared" si="45"/>
        <v>3492.7363818100002</v>
      </c>
      <c r="L60" s="1993">
        <f t="shared" si="46"/>
        <v>2369.1564675300001</v>
      </c>
      <c r="M60" s="1993">
        <v>2284.4809292</v>
      </c>
      <c r="N60" s="1993">
        <v>84.675538329999995</v>
      </c>
      <c r="O60" s="1993">
        <f t="shared" si="47"/>
        <v>1123.5799142799999</v>
      </c>
      <c r="P60" s="1993">
        <v>958.36480546999996</v>
      </c>
      <c r="Q60" s="1993">
        <v>165.21510881</v>
      </c>
      <c r="R60" s="1993">
        <f t="shared" si="48"/>
        <v>1217.8777373399998</v>
      </c>
      <c r="S60" s="1993">
        <f t="shared" si="49"/>
        <v>909.82929411999999</v>
      </c>
      <c r="T60" s="1993">
        <v>892.03902519999997</v>
      </c>
      <c r="U60" s="1993">
        <v>17.790268919999999</v>
      </c>
      <c r="V60" s="1993">
        <f t="shared" si="50"/>
        <v>308.04844321999997</v>
      </c>
      <c r="W60" s="1993">
        <v>275.10109048999999</v>
      </c>
      <c r="X60" s="1993">
        <v>32.947352729999999</v>
      </c>
      <c r="Y60" s="1993">
        <f t="shared" si="51"/>
        <v>2597.6954501999999</v>
      </c>
      <c r="Z60" s="1993">
        <f t="shared" si="52"/>
        <v>1317.1012806399999</v>
      </c>
      <c r="AA60" s="1993">
        <v>1253.0278006799999</v>
      </c>
      <c r="AB60" s="1993">
        <v>64.07347996</v>
      </c>
      <c r="AC60" s="1993">
        <f t="shared" si="53"/>
        <v>1280.59416956</v>
      </c>
      <c r="AD60" s="1993">
        <v>857.68309549000003</v>
      </c>
      <c r="AE60" s="1993">
        <v>422.91107406999998</v>
      </c>
    </row>
    <row r="61" spans="1:31">
      <c r="A61" s="1992">
        <v>9</v>
      </c>
      <c r="B61" s="1993">
        <f t="shared" si="37"/>
        <v>6237.3948655100003</v>
      </c>
      <c r="C61" s="1993">
        <f t="shared" si="38"/>
        <v>3810.2287109899999</v>
      </c>
      <c r="D61" s="1993">
        <f t="shared" si="38"/>
        <v>2427.1661545200004</v>
      </c>
      <c r="E61" s="1993">
        <f t="shared" si="39"/>
        <v>5491.3099233700004</v>
      </c>
      <c r="F61" s="1993">
        <f t="shared" si="40"/>
        <v>3660.0852061400001</v>
      </c>
      <c r="G61" s="1993">
        <f t="shared" si="41"/>
        <v>1831.2247172300001</v>
      </c>
      <c r="H61" s="1993">
        <f t="shared" si="42"/>
        <v>746.08494214000007</v>
      </c>
      <c r="I61" s="1993">
        <f t="shared" si="43"/>
        <v>150.14350485</v>
      </c>
      <c r="J61" s="1993">
        <f t="shared" si="44"/>
        <v>595.94143729000007</v>
      </c>
      <c r="K61" s="1993">
        <f t="shared" si="45"/>
        <v>3613.4530662699999</v>
      </c>
      <c r="L61" s="1993">
        <f t="shared" si="46"/>
        <v>2471.5560135199999</v>
      </c>
      <c r="M61" s="1993">
        <v>2385.6003037199998</v>
      </c>
      <c r="N61" s="1993">
        <v>85.955709799999994</v>
      </c>
      <c r="O61" s="1993">
        <f t="shared" si="47"/>
        <v>1141.8970527500001</v>
      </c>
      <c r="P61" s="1993">
        <v>970.16047580000009</v>
      </c>
      <c r="Q61" s="1993">
        <v>171.73657694999997</v>
      </c>
      <c r="R61" s="1993">
        <f t="shared" si="48"/>
        <v>1311.8177153800002</v>
      </c>
      <c r="S61" s="1993">
        <f t="shared" si="49"/>
        <v>992.37874834000002</v>
      </c>
      <c r="T61" s="1993">
        <v>975.06882923000001</v>
      </c>
      <c r="U61" s="1993">
        <v>17.309919109999999</v>
      </c>
      <c r="V61" s="1993">
        <f t="shared" si="50"/>
        <v>319.43896704000008</v>
      </c>
      <c r="W61" s="1993">
        <v>284.5541591700001</v>
      </c>
      <c r="X61" s="1993">
        <v>34.884807869999996</v>
      </c>
      <c r="Y61" s="1993">
        <f t="shared" si="51"/>
        <v>2623.9417992400004</v>
      </c>
      <c r="Z61" s="1993">
        <f t="shared" si="52"/>
        <v>1338.67269747</v>
      </c>
      <c r="AA61" s="1993">
        <v>1274.48490242</v>
      </c>
      <c r="AB61" s="1993">
        <v>64.187795050000005</v>
      </c>
      <c r="AC61" s="1993">
        <f t="shared" si="53"/>
        <v>1285.2691017700001</v>
      </c>
      <c r="AD61" s="1993">
        <v>861.06424143000004</v>
      </c>
      <c r="AE61" s="1993">
        <v>424.20486034000004</v>
      </c>
    </row>
    <row r="62" spans="1:31">
      <c r="A62" s="1992">
        <v>10</v>
      </c>
      <c r="B62" s="1993">
        <f t="shared" si="37"/>
        <v>6303.3730588999988</v>
      </c>
      <c r="C62" s="1993">
        <f t="shared" si="38"/>
        <v>3865.8009231899991</v>
      </c>
      <c r="D62" s="1993">
        <f t="shared" si="38"/>
        <v>2437.5721357100001</v>
      </c>
      <c r="E62" s="1993">
        <f t="shared" si="39"/>
        <v>5551.8639683599995</v>
      </c>
      <c r="F62" s="1993">
        <f t="shared" si="40"/>
        <v>3712.4003578799993</v>
      </c>
      <c r="G62" s="1993">
        <f t="shared" si="41"/>
        <v>1839.4636104800002</v>
      </c>
      <c r="H62" s="1993">
        <f t="shared" si="42"/>
        <v>751.50909053999999</v>
      </c>
      <c r="I62" s="1993">
        <f t="shared" si="43"/>
        <v>153.40056530999999</v>
      </c>
      <c r="J62" s="1993">
        <f t="shared" si="44"/>
        <v>598.10852522999994</v>
      </c>
      <c r="K62" s="1993">
        <f t="shared" si="45"/>
        <v>3621.0030646999994</v>
      </c>
      <c r="L62" s="1993">
        <f t="shared" si="46"/>
        <v>2473.2560071499997</v>
      </c>
      <c r="M62" s="1993">
        <v>2383.8400182699997</v>
      </c>
      <c r="N62" s="1993">
        <v>89.41598888</v>
      </c>
      <c r="O62" s="1993">
        <f t="shared" si="47"/>
        <v>1147.7470575499999</v>
      </c>
      <c r="P62" s="1993">
        <v>976.11569015999999</v>
      </c>
      <c r="Q62" s="1993">
        <v>171.63136739000001</v>
      </c>
      <c r="R62" s="1993">
        <f t="shared" si="48"/>
        <v>1256.7186570700001</v>
      </c>
      <c r="S62" s="1993">
        <f t="shared" si="49"/>
        <v>945.16911811</v>
      </c>
      <c r="T62" s="1993">
        <v>927.13565699000003</v>
      </c>
      <c r="U62" s="1993">
        <v>18.033461120000002</v>
      </c>
      <c r="V62" s="1993">
        <f t="shared" si="50"/>
        <v>311.54953896000006</v>
      </c>
      <c r="W62" s="1993">
        <v>278.24269532000005</v>
      </c>
      <c r="X62" s="1993">
        <v>33.306843640000004</v>
      </c>
      <c r="Y62" s="1993">
        <f t="shared" si="51"/>
        <v>2682.3699941999998</v>
      </c>
      <c r="Z62" s="1993">
        <f t="shared" si="52"/>
        <v>1392.5449160399999</v>
      </c>
      <c r="AA62" s="1993">
        <v>1328.5603396099998</v>
      </c>
      <c r="AB62" s="1993">
        <v>63.984576430000004</v>
      </c>
      <c r="AC62" s="1993">
        <f t="shared" si="53"/>
        <v>1289.82507816</v>
      </c>
      <c r="AD62" s="1993">
        <v>863.34792032000007</v>
      </c>
      <c r="AE62" s="1993">
        <v>426.47715783999996</v>
      </c>
    </row>
    <row r="63" spans="1:31">
      <c r="A63" s="1992">
        <v>11</v>
      </c>
      <c r="B63" s="1993">
        <f t="shared" si="37"/>
        <v>6419.6112475600003</v>
      </c>
      <c r="C63" s="1993">
        <f t="shared" si="38"/>
        <v>3955.45602414</v>
      </c>
      <c r="D63" s="1993">
        <f t="shared" si="38"/>
        <v>2464.1552234199999</v>
      </c>
      <c r="E63" s="1993">
        <f t="shared" si="39"/>
        <v>5659.3099568600001</v>
      </c>
      <c r="F63" s="1993">
        <f t="shared" si="40"/>
        <v>3800.22161203</v>
      </c>
      <c r="G63" s="1993">
        <f t="shared" si="41"/>
        <v>1859.0883448300001</v>
      </c>
      <c r="H63" s="1993">
        <f t="shared" si="42"/>
        <v>760.30129069999998</v>
      </c>
      <c r="I63" s="1993">
        <f t="shared" si="43"/>
        <v>155.23441210999999</v>
      </c>
      <c r="J63" s="1993">
        <f t="shared" si="44"/>
        <v>605.06687858999999</v>
      </c>
      <c r="K63" s="1993">
        <f t="shared" si="45"/>
        <v>3718.6585385899998</v>
      </c>
      <c r="L63" s="1993">
        <f t="shared" si="46"/>
        <v>2550.6016936199999</v>
      </c>
      <c r="M63" s="1993">
        <v>2459.49282481</v>
      </c>
      <c r="N63" s="1993">
        <v>91.10886880999999</v>
      </c>
      <c r="O63" s="1993">
        <f t="shared" si="47"/>
        <v>1168.0568449699999</v>
      </c>
      <c r="P63" s="1993">
        <v>985.04173283</v>
      </c>
      <c r="Q63" s="1993">
        <v>183.01511214000001</v>
      </c>
      <c r="R63" s="1993">
        <f t="shared" si="48"/>
        <v>1287.4893537599999</v>
      </c>
      <c r="S63" s="1993">
        <f t="shared" si="49"/>
        <v>977.85977923999997</v>
      </c>
      <c r="T63" s="1993">
        <v>959.80819712999994</v>
      </c>
      <c r="U63" s="1993">
        <v>18.051582110000002</v>
      </c>
      <c r="V63" s="1993">
        <f t="shared" si="50"/>
        <v>309.62957451999995</v>
      </c>
      <c r="W63" s="1993">
        <v>276.91025766999996</v>
      </c>
      <c r="X63" s="1993">
        <v>32.719316849999998</v>
      </c>
      <c r="Y63" s="1993">
        <f t="shared" si="51"/>
        <v>2700.9527089700005</v>
      </c>
      <c r="Z63" s="1993">
        <f t="shared" si="52"/>
        <v>1404.8543305200001</v>
      </c>
      <c r="AA63" s="1993">
        <v>1340.72878722</v>
      </c>
      <c r="AB63" s="1993">
        <v>64.125543300000004</v>
      </c>
      <c r="AC63" s="1993">
        <f t="shared" si="53"/>
        <v>1296.0983784500002</v>
      </c>
      <c r="AD63" s="1993">
        <v>874.0466120000001</v>
      </c>
      <c r="AE63" s="1993">
        <v>422.05176645</v>
      </c>
    </row>
    <row r="64" spans="1:31">
      <c r="A64" s="1992">
        <v>12</v>
      </c>
      <c r="B64" s="1993">
        <f t="shared" si="37"/>
        <v>6395.8448741600005</v>
      </c>
      <c r="C64" s="1993">
        <f t="shared" si="38"/>
        <v>3888.3470149499999</v>
      </c>
      <c r="D64" s="1993">
        <f t="shared" si="38"/>
        <v>2507.4978592100001</v>
      </c>
      <c r="E64" s="1993">
        <f t="shared" si="39"/>
        <v>5620.2964212200004</v>
      </c>
      <c r="F64" s="1993">
        <f t="shared" si="40"/>
        <v>3730.1211726500001</v>
      </c>
      <c r="G64" s="1993">
        <f t="shared" si="41"/>
        <v>1890.1752485700001</v>
      </c>
      <c r="H64" s="1993">
        <f t="shared" si="42"/>
        <v>775.54845294000006</v>
      </c>
      <c r="I64" s="1993">
        <f t="shared" si="43"/>
        <v>158.22584230000001</v>
      </c>
      <c r="J64" s="1993">
        <f t="shared" si="44"/>
        <v>617.32261063999999</v>
      </c>
      <c r="K64" s="1993">
        <f t="shared" si="45"/>
        <v>3705.50365977</v>
      </c>
      <c r="L64" s="1993">
        <f t="shared" si="46"/>
        <v>2445.7544599099997</v>
      </c>
      <c r="M64" s="1993">
        <v>2351.3211118099998</v>
      </c>
      <c r="N64" s="1993">
        <v>94.433348100000003</v>
      </c>
      <c r="O64" s="1993">
        <f t="shared" si="47"/>
        <v>1259.7491998600001</v>
      </c>
      <c r="P64" s="1993">
        <v>1067.0870260900001</v>
      </c>
      <c r="Q64" s="1993">
        <v>192.66217377000001</v>
      </c>
      <c r="R64" s="1993">
        <f t="shared" si="48"/>
        <v>1088.26971914</v>
      </c>
      <c r="S64" s="1993">
        <f t="shared" si="49"/>
        <v>778.70325536999997</v>
      </c>
      <c r="T64" s="1993">
        <v>759.75829567999995</v>
      </c>
      <c r="U64" s="1993">
        <v>18.944959690000001</v>
      </c>
      <c r="V64" s="1993">
        <f t="shared" si="50"/>
        <v>309.56646377000004</v>
      </c>
      <c r="W64" s="1993">
        <v>272.14360713000002</v>
      </c>
      <c r="X64" s="1993">
        <v>37.422856639999999</v>
      </c>
      <c r="Y64" s="1993">
        <f t="shared" si="51"/>
        <v>2690.3412143900005</v>
      </c>
      <c r="Z64" s="1993">
        <f t="shared" si="52"/>
        <v>1442.5925550400002</v>
      </c>
      <c r="AA64" s="1993">
        <v>1378.8000608400002</v>
      </c>
      <c r="AB64" s="1993">
        <v>63.7924942</v>
      </c>
      <c r="AC64" s="1993">
        <f t="shared" si="53"/>
        <v>1247.74865935</v>
      </c>
      <c r="AD64" s="1993">
        <v>823.08822248000001</v>
      </c>
      <c r="AE64" s="1993">
        <v>424.66043687000001</v>
      </c>
    </row>
    <row r="65" spans="1:31" ht="15.6">
      <c r="A65" s="1989">
        <v>2014</v>
      </c>
      <c r="B65" s="1993"/>
      <c r="C65" s="1993"/>
      <c r="D65" s="1993"/>
      <c r="E65" s="1993"/>
      <c r="F65" s="1993"/>
      <c r="G65" s="1993"/>
      <c r="H65" s="1993"/>
      <c r="I65" s="1993"/>
      <c r="J65" s="1993"/>
      <c r="K65" s="1993"/>
      <c r="L65" s="1993"/>
      <c r="M65" s="1993"/>
      <c r="N65" s="1993"/>
      <c r="O65" s="1993"/>
      <c r="P65" s="1993"/>
      <c r="Q65" s="1993"/>
      <c r="R65" s="1993"/>
      <c r="S65" s="1993"/>
      <c r="T65" s="1993"/>
      <c r="U65" s="1993"/>
      <c r="V65" s="1993"/>
      <c r="W65" s="1993"/>
      <c r="X65" s="1993"/>
      <c r="Y65" s="1993"/>
      <c r="Z65" s="1993"/>
      <c r="AA65" s="1993"/>
      <c r="AB65" s="1993"/>
      <c r="AC65" s="1993"/>
      <c r="AD65" s="1993"/>
      <c r="AE65" s="1993"/>
    </row>
    <row r="66" spans="1:31">
      <c r="A66" s="1992">
        <v>1</v>
      </c>
      <c r="B66" s="1993">
        <f t="shared" ref="B66:B71" si="54">+C66+D66</f>
        <v>6451.4104649499996</v>
      </c>
      <c r="C66" s="1993">
        <f t="shared" ref="C66:D74" si="55">+F66+I66</f>
        <v>3929.7981975099997</v>
      </c>
      <c r="D66" s="1993">
        <f t="shared" si="55"/>
        <v>2521.6122674399999</v>
      </c>
      <c r="E66" s="1993">
        <f t="shared" ref="E66:E71" si="56">+F66+G66</f>
        <v>5675.6954215400001</v>
      </c>
      <c r="F66" s="1993">
        <f t="shared" ref="F66:F71" si="57">+M66+AA66</f>
        <v>3773.0849977399998</v>
      </c>
      <c r="G66" s="1993">
        <f t="shared" ref="G66:G71" si="58">+P66+AD66</f>
        <v>1902.6104237999998</v>
      </c>
      <c r="H66" s="1993">
        <f t="shared" ref="H66:H71" si="59">+I66+J66</f>
        <v>775.71504340999991</v>
      </c>
      <c r="I66" s="1993">
        <f t="shared" ref="I66:I71" si="60">+N66+AB66</f>
        <v>156.71319976999999</v>
      </c>
      <c r="J66" s="1993">
        <f t="shared" ref="J66:J71" si="61">+Q66+AE66</f>
        <v>619.00184363999995</v>
      </c>
      <c r="K66" s="1993">
        <f t="shared" ref="K66:K71" si="62">+L66+O66</f>
        <v>3725.1427390499998</v>
      </c>
      <c r="L66" s="1993">
        <f t="shared" ref="L66:L71" si="63">+M66+N66</f>
        <v>2465.79586621</v>
      </c>
      <c r="M66" s="1993">
        <v>2368.00962037</v>
      </c>
      <c r="N66" s="1993">
        <v>97.786245839999992</v>
      </c>
      <c r="O66" s="1993">
        <f t="shared" ref="O66:O72" si="64">P66+Q66</f>
        <v>1259.3468728399998</v>
      </c>
      <c r="P66" s="1993">
        <v>1065.9615482699999</v>
      </c>
      <c r="Q66" s="1993">
        <v>193.38532456999999</v>
      </c>
      <c r="R66" s="1993">
        <f t="shared" ref="R66:R71" si="65">S66+V66</f>
        <v>1105.8477324099999</v>
      </c>
      <c r="S66" s="1993">
        <f t="shared" ref="S66:S71" si="66">T66+U66</f>
        <v>806.02335108999989</v>
      </c>
      <c r="T66" s="1993">
        <v>787.91023093999991</v>
      </c>
      <c r="U66" s="1993">
        <v>18.113120150000004</v>
      </c>
      <c r="V66" s="1993">
        <f t="shared" ref="V66:V72" si="67">W66+X66</f>
        <v>299.82438132000004</v>
      </c>
      <c r="W66" s="1993">
        <v>264.04105980000003</v>
      </c>
      <c r="X66" s="1993">
        <v>35.783321520000001</v>
      </c>
      <c r="Y66" s="1993">
        <f t="shared" ref="Y66:Y72" si="68">Z66+AC66</f>
        <v>2726.2677259000002</v>
      </c>
      <c r="Z66" s="1993">
        <f t="shared" ref="Z66:Z72" si="69">AA66+AB66</f>
        <v>1464.0023312999999</v>
      </c>
      <c r="AA66" s="1993">
        <v>1405.0753773699998</v>
      </c>
      <c r="AB66" s="1993">
        <v>58.926953929999996</v>
      </c>
      <c r="AC66" s="1993">
        <f t="shared" ref="AC66:AC72" si="70">AD66+AE66</f>
        <v>1262.2653946</v>
      </c>
      <c r="AD66" s="1993">
        <v>836.64887552999994</v>
      </c>
      <c r="AE66" s="1993">
        <v>425.61651906999998</v>
      </c>
    </row>
    <row r="67" spans="1:31">
      <c r="A67" s="1992">
        <v>2</v>
      </c>
      <c r="B67" s="1993">
        <f t="shared" si="54"/>
        <v>6591.6606563599998</v>
      </c>
      <c r="C67" s="1993">
        <f t="shared" si="55"/>
        <v>4028.5103759500003</v>
      </c>
      <c r="D67" s="1993">
        <f t="shared" si="55"/>
        <v>2563.1502804100001</v>
      </c>
      <c r="E67" s="1993">
        <f t="shared" si="56"/>
        <v>5840.2864390699997</v>
      </c>
      <c r="F67" s="1993">
        <f t="shared" si="57"/>
        <v>3894.0410626900002</v>
      </c>
      <c r="G67" s="1993">
        <f t="shared" si="58"/>
        <v>1946.2453763799999</v>
      </c>
      <c r="H67" s="1993">
        <f t="shared" si="59"/>
        <v>751.37421729000005</v>
      </c>
      <c r="I67" s="1993">
        <f t="shared" si="60"/>
        <v>134.46931326000001</v>
      </c>
      <c r="J67" s="1993">
        <f t="shared" si="61"/>
        <v>616.90490403000001</v>
      </c>
      <c r="K67" s="1993">
        <f t="shared" si="62"/>
        <v>3857.9997306400001</v>
      </c>
      <c r="L67" s="1993">
        <f t="shared" si="63"/>
        <v>2558.2764536700001</v>
      </c>
      <c r="M67" s="1993">
        <v>2483.72669653</v>
      </c>
      <c r="N67" s="1993">
        <v>74.549757139999997</v>
      </c>
      <c r="O67" s="1993">
        <f t="shared" si="64"/>
        <v>1299.7232769700001</v>
      </c>
      <c r="P67" s="1993">
        <v>1096.9439224800001</v>
      </c>
      <c r="Q67" s="1993">
        <v>202.77935449</v>
      </c>
      <c r="R67" s="1993">
        <f t="shared" si="65"/>
        <v>1214.3545982599999</v>
      </c>
      <c r="S67" s="1993">
        <f t="shared" si="66"/>
        <v>909.39596168000003</v>
      </c>
      <c r="T67" s="1993">
        <v>891.70560348000004</v>
      </c>
      <c r="U67" s="1993">
        <v>17.690358199999999</v>
      </c>
      <c r="V67" s="1993">
        <f t="shared" si="67"/>
        <v>304.95863657999996</v>
      </c>
      <c r="W67" s="1993">
        <v>271.80815847999997</v>
      </c>
      <c r="X67" s="1993">
        <v>33.150478100000001</v>
      </c>
      <c r="Y67" s="1993">
        <f t="shared" si="68"/>
        <v>2733.6609257199998</v>
      </c>
      <c r="Z67" s="1993">
        <f t="shared" si="69"/>
        <v>1470.2339222799999</v>
      </c>
      <c r="AA67" s="1993">
        <v>1410.31436616</v>
      </c>
      <c r="AB67" s="1993">
        <v>59.919556120000003</v>
      </c>
      <c r="AC67" s="1993">
        <f t="shared" si="70"/>
        <v>1263.4270034399999</v>
      </c>
      <c r="AD67" s="1993">
        <v>849.30145389999996</v>
      </c>
      <c r="AE67" s="1993">
        <v>414.12554954000001</v>
      </c>
    </row>
    <row r="68" spans="1:31">
      <c r="A68" s="1992">
        <v>3</v>
      </c>
      <c r="B68" s="1993">
        <f t="shared" si="54"/>
        <v>6656.3254772600003</v>
      </c>
      <c r="C68" s="1993">
        <f t="shared" si="55"/>
        <v>4077.05009122</v>
      </c>
      <c r="D68" s="1993">
        <f t="shared" si="55"/>
        <v>2579.2753860400003</v>
      </c>
      <c r="E68" s="1993">
        <f t="shared" si="56"/>
        <v>5959.3639897499997</v>
      </c>
      <c r="F68" s="1993">
        <f t="shared" si="57"/>
        <v>3948.3811343299999</v>
      </c>
      <c r="G68" s="1993">
        <f t="shared" si="58"/>
        <v>2010.9828554200003</v>
      </c>
      <c r="H68" s="1993">
        <f t="shared" si="59"/>
        <v>696.96148750999998</v>
      </c>
      <c r="I68" s="1993">
        <f t="shared" si="60"/>
        <v>128.66895689</v>
      </c>
      <c r="J68" s="1993">
        <f t="shared" si="61"/>
        <v>568.29253061999998</v>
      </c>
      <c r="K68" s="1993">
        <f t="shared" si="62"/>
        <v>3990.14908328</v>
      </c>
      <c r="L68" s="1993">
        <f t="shared" si="63"/>
        <v>2592.1079596700001</v>
      </c>
      <c r="M68" s="1993">
        <v>2523.3057687099999</v>
      </c>
      <c r="N68" s="1993">
        <v>68.802190960000004</v>
      </c>
      <c r="O68" s="1993">
        <f t="shared" si="64"/>
        <v>1398.0411236100001</v>
      </c>
      <c r="P68" s="1993">
        <v>1141.2416964200002</v>
      </c>
      <c r="Q68" s="1993">
        <v>256.79942719000002</v>
      </c>
      <c r="R68" s="1993">
        <f t="shared" si="65"/>
        <v>1256.2924715500001</v>
      </c>
      <c r="S68" s="1993">
        <f t="shared" si="66"/>
        <v>926.75950374000001</v>
      </c>
      <c r="T68" s="1993">
        <v>907.01271545999998</v>
      </c>
      <c r="U68" s="1993">
        <v>19.746788280000001</v>
      </c>
      <c r="V68" s="1993">
        <f t="shared" si="67"/>
        <v>329.53296781</v>
      </c>
      <c r="W68" s="1993">
        <v>283.94721874999999</v>
      </c>
      <c r="X68" s="1993">
        <v>45.585749059999998</v>
      </c>
      <c r="Y68" s="1993">
        <f t="shared" si="68"/>
        <v>2666.1763939800003</v>
      </c>
      <c r="Z68" s="1993">
        <f t="shared" si="69"/>
        <v>1484.9421315499999</v>
      </c>
      <c r="AA68" s="1993">
        <v>1425.07536562</v>
      </c>
      <c r="AB68" s="1993">
        <v>59.866765930000007</v>
      </c>
      <c r="AC68" s="1993">
        <f t="shared" si="70"/>
        <v>1181.2342624300002</v>
      </c>
      <c r="AD68" s="1993">
        <v>869.74115900000015</v>
      </c>
      <c r="AE68" s="1993">
        <v>311.49310343000002</v>
      </c>
    </row>
    <row r="69" spans="1:31">
      <c r="A69" s="1992">
        <v>4</v>
      </c>
      <c r="B69" s="1993">
        <f t="shared" si="54"/>
        <v>6569.8810599799999</v>
      </c>
      <c r="C69" s="1993">
        <f t="shared" si="55"/>
        <v>4066.9585735699998</v>
      </c>
      <c r="D69" s="1993">
        <f t="shared" si="55"/>
        <v>2502.9224864100001</v>
      </c>
      <c r="E69" s="1993">
        <f t="shared" si="56"/>
        <v>5961.1683254700001</v>
      </c>
      <c r="F69" s="1993">
        <f t="shared" si="57"/>
        <v>3942.2243731799999</v>
      </c>
      <c r="G69" s="1993">
        <f t="shared" si="58"/>
        <v>2018.94395229</v>
      </c>
      <c r="H69" s="1993">
        <f t="shared" si="59"/>
        <v>608.71273451000002</v>
      </c>
      <c r="I69" s="1993">
        <f t="shared" si="60"/>
        <v>124.73420039</v>
      </c>
      <c r="J69" s="1993">
        <f t="shared" si="61"/>
        <v>483.97853412000006</v>
      </c>
      <c r="K69" s="1993">
        <f t="shared" si="62"/>
        <v>3961.3788653300003</v>
      </c>
      <c r="L69" s="1993">
        <f t="shared" si="63"/>
        <v>2559.6036840800002</v>
      </c>
      <c r="M69" s="1993">
        <v>2494.8064018300001</v>
      </c>
      <c r="N69" s="1993">
        <v>64.797282249999995</v>
      </c>
      <c r="O69" s="1993">
        <f t="shared" si="64"/>
        <v>1401.7751812500001</v>
      </c>
      <c r="P69" s="1993">
        <v>1152.6522775200001</v>
      </c>
      <c r="Q69" s="1993">
        <v>249.12290373000002</v>
      </c>
      <c r="R69" s="1993">
        <f t="shared" si="65"/>
        <v>1134.0603969200001</v>
      </c>
      <c r="S69" s="1993">
        <f t="shared" si="66"/>
        <v>800.65418823000005</v>
      </c>
      <c r="T69" s="1993">
        <v>781.66087979000008</v>
      </c>
      <c r="U69" s="1993">
        <v>18.993308440000003</v>
      </c>
      <c r="V69" s="1993">
        <f t="shared" si="67"/>
        <v>333.40620869000003</v>
      </c>
      <c r="W69" s="1993">
        <v>294.80842256000005</v>
      </c>
      <c r="X69" s="1993">
        <v>38.597786129999996</v>
      </c>
      <c r="Y69" s="1993">
        <f t="shared" si="68"/>
        <v>2608.5021946499996</v>
      </c>
      <c r="Z69" s="1993">
        <f t="shared" si="69"/>
        <v>1507.3548894899998</v>
      </c>
      <c r="AA69" s="1993">
        <v>1447.4179713499998</v>
      </c>
      <c r="AB69" s="1993">
        <v>59.936918140000003</v>
      </c>
      <c r="AC69" s="1993">
        <f t="shared" si="70"/>
        <v>1101.1473051599999</v>
      </c>
      <c r="AD69" s="1993">
        <v>866.29167476999987</v>
      </c>
      <c r="AE69" s="1993">
        <v>234.85563039000002</v>
      </c>
    </row>
    <row r="70" spans="1:31">
      <c r="A70" s="1992">
        <v>5</v>
      </c>
      <c r="B70" s="1993">
        <f t="shared" si="54"/>
        <v>6643.0451918799999</v>
      </c>
      <c r="C70" s="1993">
        <f t="shared" si="55"/>
        <v>4158.8485667799996</v>
      </c>
      <c r="D70" s="1993">
        <f t="shared" si="55"/>
        <v>2484.1966251000003</v>
      </c>
      <c r="E70" s="1993">
        <f t="shared" si="56"/>
        <v>6030.3407771700004</v>
      </c>
      <c r="F70" s="1993">
        <f t="shared" si="57"/>
        <v>4032.5437257999997</v>
      </c>
      <c r="G70" s="1993">
        <f t="shared" si="58"/>
        <v>1997.7970513700002</v>
      </c>
      <c r="H70" s="1993">
        <f t="shared" si="59"/>
        <v>612.70441471000004</v>
      </c>
      <c r="I70" s="1993">
        <f t="shared" si="60"/>
        <v>126.30484097999999</v>
      </c>
      <c r="J70" s="1993">
        <f t="shared" si="61"/>
        <v>486.39957372999999</v>
      </c>
      <c r="K70" s="1993">
        <f t="shared" si="62"/>
        <v>3993.8217594899997</v>
      </c>
      <c r="L70" s="1993">
        <f t="shared" si="63"/>
        <v>2629.1217976899998</v>
      </c>
      <c r="M70" s="1993">
        <v>2563.13422597</v>
      </c>
      <c r="N70" s="1993">
        <v>65.987571719999991</v>
      </c>
      <c r="O70" s="1993">
        <f t="shared" si="64"/>
        <v>1364.6999618000002</v>
      </c>
      <c r="P70" s="1993">
        <v>1116.8125606700003</v>
      </c>
      <c r="Q70" s="1993">
        <v>247.88740112999997</v>
      </c>
      <c r="R70" s="1993">
        <f t="shared" si="65"/>
        <v>1132.31191143</v>
      </c>
      <c r="S70" s="1993">
        <f t="shared" si="66"/>
        <v>815.45175207</v>
      </c>
      <c r="T70" s="1993">
        <v>796.44956019999995</v>
      </c>
      <c r="U70" s="1993">
        <v>19.002191870000004</v>
      </c>
      <c r="V70" s="1993">
        <f t="shared" si="67"/>
        <v>316.86015936000001</v>
      </c>
      <c r="W70" s="1993">
        <v>279.47943951000002</v>
      </c>
      <c r="X70" s="1993">
        <v>37.380719849999991</v>
      </c>
      <c r="Y70" s="1993">
        <f t="shared" si="68"/>
        <v>2649.2234323900002</v>
      </c>
      <c r="Z70" s="1993">
        <f t="shared" si="69"/>
        <v>1529.7267690899998</v>
      </c>
      <c r="AA70" s="1993">
        <v>1469.4094998299997</v>
      </c>
      <c r="AB70" s="1993">
        <v>60.317269259999996</v>
      </c>
      <c r="AC70" s="1993">
        <f t="shared" si="70"/>
        <v>1119.4966633000001</v>
      </c>
      <c r="AD70" s="1993">
        <v>880.98449070000004</v>
      </c>
      <c r="AE70" s="1993">
        <v>238.51217260000001</v>
      </c>
    </row>
    <row r="71" spans="1:31">
      <c r="A71" s="1992">
        <v>6</v>
      </c>
      <c r="B71" s="1993">
        <f t="shared" si="54"/>
        <v>6720.5955842000003</v>
      </c>
      <c r="C71" s="1993">
        <f t="shared" si="55"/>
        <v>4198.2507232799999</v>
      </c>
      <c r="D71" s="1993">
        <f t="shared" si="55"/>
        <v>2522.3448609200004</v>
      </c>
      <c r="E71" s="1993">
        <f t="shared" si="56"/>
        <v>6093.2068779600004</v>
      </c>
      <c r="F71" s="1993">
        <f t="shared" si="57"/>
        <v>4070.3656986599999</v>
      </c>
      <c r="G71" s="1993">
        <f t="shared" si="58"/>
        <v>2022.8411793000002</v>
      </c>
      <c r="H71" s="1993">
        <f t="shared" si="59"/>
        <v>627.38870624000003</v>
      </c>
      <c r="I71" s="1993">
        <f t="shared" si="60"/>
        <v>127.88502462</v>
      </c>
      <c r="J71" s="1993">
        <f t="shared" si="61"/>
        <v>499.50368162000001</v>
      </c>
      <c r="K71" s="1993">
        <f t="shared" si="62"/>
        <v>4023.3686879800002</v>
      </c>
      <c r="L71" s="1993">
        <f t="shared" si="63"/>
        <v>2640.8026103699999</v>
      </c>
      <c r="M71" s="1993">
        <v>2572.74336589</v>
      </c>
      <c r="N71" s="1993">
        <v>68.059244480000004</v>
      </c>
      <c r="O71" s="1993">
        <f t="shared" si="64"/>
        <v>1382.5660776100003</v>
      </c>
      <c r="P71" s="1993">
        <v>1123.4978669800003</v>
      </c>
      <c r="Q71" s="1993">
        <v>259.06821063000001</v>
      </c>
      <c r="R71" s="1993">
        <f t="shared" si="65"/>
        <v>1129.7733274100001</v>
      </c>
      <c r="S71" s="1993">
        <f t="shared" si="66"/>
        <v>798.48918222999998</v>
      </c>
      <c r="T71" s="1993">
        <v>777.89316209000003</v>
      </c>
      <c r="U71" s="1993">
        <v>20.59602014</v>
      </c>
      <c r="V71" s="1993">
        <f t="shared" si="67"/>
        <v>331.28414518</v>
      </c>
      <c r="W71" s="1993">
        <v>289.52290390000002</v>
      </c>
      <c r="X71" s="1993">
        <v>41.761241279999993</v>
      </c>
      <c r="Y71" s="1993">
        <f t="shared" si="68"/>
        <v>2697.2268962200005</v>
      </c>
      <c r="Z71" s="1993">
        <f t="shared" si="69"/>
        <v>1557.4481129100002</v>
      </c>
      <c r="AA71" s="1993">
        <v>1497.6223327700002</v>
      </c>
      <c r="AB71" s="1993">
        <v>59.825780139999999</v>
      </c>
      <c r="AC71" s="1993">
        <f t="shared" si="70"/>
        <v>1139.7787833100001</v>
      </c>
      <c r="AD71" s="1993">
        <v>899.34331232</v>
      </c>
      <c r="AE71" s="1993">
        <v>240.43547099</v>
      </c>
    </row>
    <row r="72" spans="1:31">
      <c r="A72" s="1992">
        <v>7</v>
      </c>
      <c r="B72" s="1993">
        <f>+C72+D72</f>
        <v>6940.0354101999992</v>
      </c>
      <c r="C72" s="1993">
        <f t="shared" si="55"/>
        <v>4403.5624606999991</v>
      </c>
      <c r="D72" s="1993">
        <f t="shared" si="55"/>
        <v>2536.4729495000001</v>
      </c>
      <c r="E72" s="1993">
        <f>+F72+G72</f>
        <v>6310.9431645199993</v>
      </c>
      <c r="F72" s="1993">
        <f>+M72+AA72</f>
        <v>4271.6614618799995</v>
      </c>
      <c r="G72" s="1993">
        <f>+P72+AD72</f>
        <v>2039.28170264</v>
      </c>
      <c r="H72" s="1993">
        <f>+I72+J72</f>
        <v>629.09224567999991</v>
      </c>
      <c r="I72" s="1993">
        <f>+N72+AB72</f>
        <v>131.90099881999998</v>
      </c>
      <c r="J72" s="1993">
        <f>+Q72+AE72</f>
        <v>497.19124685999998</v>
      </c>
      <c r="K72" s="1993">
        <f>+L72+O72</f>
        <v>4224.9281000600004</v>
      </c>
      <c r="L72" s="1993">
        <f>+M72+N72</f>
        <v>2832.3002050199998</v>
      </c>
      <c r="M72" s="1993">
        <f>2760872.73555/1000</f>
        <v>2760.87273555</v>
      </c>
      <c r="N72" s="1993">
        <f>71427.46947/1000</f>
        <v>71.427469469999991</v>
      </c>
      <c r="O72" s="1993">
        <f t="shared" si="64"/>
        <v>1392.6278950400001</v>
      </c>
      <c r="P72" s="1993">
        <f>1135526.8194/1000</f>
        <v>1135.5268194</v>
      </c>
      <c r="Q72" s="1993">
        <f>257101.07564/1000</f>
        <v>257.10107563999998</v>
      </c>
      <c r="R72" s="1993">
        <f>S72+V72</f>
        <v>1236.9838280899999</v>
      </c>
      <c r="S72" s="1993">
        <f>T72+U72</f>
        <v>922.79444828999988</v>
      </c>
      <c r="T72" s="1993">
        <f>900312.27692/1000</f>
        <v>900.31227691999993</v>
      </c>
      <c r="U72" s="1993">
        <f>22482.17137/1000</f>
        <v>22.48217137</v>
      </c>
      <c r="V72" s="1993">
        <f t="shared" si="67"/>
        <v>314.18937979999998</v>
      </c>
      <c r="W72" s="1993">
        <f>272807.15785/1000</f>
        <v>272.80715785000001</v>
      </c>
      <c r="X72" s="1993">
        <f>41382.22195/1000</f>
        <v>41.382221950000002</v>
      </c>
      <c r="Y72" s="1993">
        <f t="shared" si="68"/>
        <v>2715.1073101399998</v>
      </c>
      <c r="Z72" s="1993">
        <f t="shared" si="69"/>
        <v>1571.26225568</v>
      </c>
      <c r="AA72" s="1993">
        <f>1510788.72633/1000</f>
        <v>1510.7887263299999</v>
      </c>
      <c r="AB72" s="1993">
        <f>60473.52935/1000</f>
        <v>60.47352935</v>
      </c>
      <c r="AC72" s="1993">
        <f t="shared" si="70"/>
        <v>1143.84505446</v>
      </c>
      <c r="AD72" s="1993">
        <f>903754.88324/1000</f>
        <v>903.75488324000003</v>
      </c>
      <c r="AE72" s="1993">
        <f>240090.17122/1000</f>
        <v>240.09017122</v>
      </c>
    </row>
    <row r="73" spans="1:31">
      <c r="A73" s="1992">
        <v>8</v>
      </c>
      <c r="B73" s="1993">
        <f>+C73+D73</f>
        <v>6992.7978599899998</v>
      </c>
      <c r="C73" s="1993">
        <f t="shared" si="55"/>
        <v>4447.0213318799997</v>
      </c>
      <c r="D73" s="1993">
        <f t="shared" si="55"/>
        <v>2545.7765281100001</v>
      </c>
      <c r="E73" s="1993">
        <f>+F73+G73</f>
        <v>6354.8139937699998</v>
      </c>
      <c r="F73" s="1993">
        <f>+M73+AA73</f>
        <v>4314.7920651499999</v>
      </c>
      <c r="G73" s="1993">
        <f>+P73+AD73</f>
        <v>2040.0219286199999</v>
      </c>
      <c r="H73" s="1993">
        <f>+I73+J73</f>
        <v>637.98386621999998</v>
      </c>
      <c r="I73" s="1993">
        <f>+N73+AB73</f>
        <v>132.22926673000001</v>
      </c>
      <c r="J73" s="1993">
        <f>+Q73+AE73</f>
        <v>505.75459948999998</v>
      </c>
      <c r="K73" s="1993">
        <f>+L73+O73</f>
        <v>4255.667445179999</v>
      </c>
      <c r="L73" s="1993">
        <f>+M73+N73</f>
        <v>2860.1562631099996</v>
      </c>
      <c r="M73" s="1993">
        <v>2789.2572967299998</v>
      </c>
      <c r="N73" s="1993">
        <v>70.89896637999999</v>
      </c>
      <c r="O73" s="1993">
        <f>P73+Q73</f>
        <v>1395.5111820699999</v>
      </c>
      <c r="P73" s="1993">
        <v>1136.08362197</v>
      </c>
      <c r="Q73" s="1993">
        <v>259.42756009999999</v>
      </c>
      <c r="R73" s="1993">
        <f>S73+V73</f>
        <v>1264.8937560400002</v>
      </c>
      <c r="S73" s="1993">
        <f>T73+U73</f>
        <v>953.78570688000013</v>
      </c>
      <c r="T73" s="1993">
        <v>931.61211873000013</v>
      </c>
      <c r="U73" s="1993">
        <v>22.173588149999997</v>
      </c>
      <c r="V73" s="1993">
        <f>W73+X73</f>
        <v>311.10804916000001</v>
      </c>
      <c r="W73" s="1993">
        <v>270.17126560999998</v>
      </c>
      <c r="X73" s="1993">
        <v>40.936783550000008</v>
      </c>
      <c r="Y73" s="1993">
        <f>Z73+AC73</f>
        <v>2737.1304148099998</v>
      </c>
      <c r="Z73" s="1993">
        <f>AA73+AB73</f>
        <v>1586.8650687700001</v>
      </c>
      <c r="AA73" s="1993">
        <v>1525.5347684200001</v>
      </c>
      <c r="AB73" s="1993">
        <v>61.330300350000002</v>
      </c>
      <c r="AC73" s="1993">
        <f>AD73+AE73</f>
        <v>1150.2653460399999</v>
      </c>
      <c r="AD73" s="1993">
        <v>903.93830664999996</v>
      </c>
      <c r="AE73" s="1993">
        <v>246.32703938999998</v>
      </c>
    </row>
    <row r="74" spans="1:31">
      <c r="A74" s="1992">
        <v>9</v>
      </c>
      <c r="B74" s="1993">
        <f>+C74+D74</f>
        <v>6959.6658804500003</v>
      </c>
      <c r="C74" s="1993">
        <f t="shared" si="55"/>
        <v>4421.0761625100004</v>
      </c>
      <c r="D74" s="1993">
        <f t="shared" si="55"/>
        <v>2538.5897179400004</v>
      </c>
      <c r="E74" s="1993">
        <f>+F74+G74</f>
        <v>6329.4943607900004</v>
      </c>
      <c r="F74" s="1993">
        <f>+M74+AA74</f>
        <v>4288.6481575500002</v>
      </c>
      <c r="G74" s="1993">
        <f>+P74+AD74</f>
        <v>2040.8462032400002</v>
      </c>
      <c r="H74" s="1993">
        <f>+I74+J74</f>
        <v>630.17151966000006</v>
      </c>
      <c r="I74" s="1993">
        <f>+N74+AB74</f>
        <v>132.42800495999998</v>
      </c>
      <c r="J74" s="1993">
        <f>+Q74+AE74</f>
        <v>497.74351470000005</v>
      </c>
      <c r="K74" s="1993">
        <f>+L74+O74</f>
        <v>4217.8168702399998</v>
      </c>
      <c r="L74" s="1993">
        <f>+M74+N74</f>
        <v>2818.5724524299999</v>
      </c>
      <c r="M74" s="1993">
        <v>2747.8982599199999</v>
      </c>
      <c r="N74" s="1993">
        <v>70.674192509999983</v>
      </c>
      <c r="O74" s="1993">
        <f>P74+Q74</f>
        <v>1399.2444178100002</v>
      </c>
      <c r="P74" s="1993">
        <v>1146.8674623300001</v>
      </c>
      <c r="Q74" s="1993">
        <v>252.37695548000002</v>
      </c>
      <c r="R74" s="1993">
        <f>S74+V74</f>
        <v>1232.96207643</v>
      </c>
      <c r="S74" s="1993">
        <f>T74+U74</f>
        <v>903.57757219999996</v>
      </c>
      <c r="T74" s="1993">
        <v>882.58605996999995</v>
      </c>
      <c r="U74" s="1993">
        <v>20.991512229999994</v>
      </c>
      <c r="V74" s="1993">
        <f>W74+X74</f>
        <v>329.38450423000006</v>
      </c>
      <c r="W74" s="1993">
        <v>287.15275673000008</v>
      </c>
      <c r="X74" s="1993">
        <v>42.231747500000004</v>
      </c>
      <c r="Y74" s="1993">
        <f>Z74+AC74</f>
        <v>2741.8490102100004</v>
      </c>
      <c r="Z74" s="1993">
        <f>AA74+AB74</f>
        <v>1602.50371008</v>
      </c>
      <c r="AA74" s="1993">
        <v>1540.7498976300001</v>
      </c>
      <c r="AB74" s="1993">
        <v>61.753812449999998</v>
      </c>
      <c r="AC74" s="1993">
        <f>AD74+AE74</f>
        <v>1139.3453001300002</v>
      </c>
      <c r="AD74" s="1993">
        <v>893.97874091000017</v>
      </c>
      <c r="AE74" s="1993">
        <v>245.36655922000003</v>
      </c>
    </row>
    <row r="75" spans="1:31">
      <c r="A75" s="1992">
        <v>10</v>
      </c>
      <c r="B75" s="1993">
        <f>+C75+D75</f>
        <v>7005.4142666900016</v>
      </c>
      <c r="C75" s="1993">
        <f>+F75+I75</f>
        <v>4439.2196933200012</v>
      </c>
      <c r="D75" s="1993">
        <f>+G75+J75</f>
        <v>2566.1945733700004</v>
      </c>
      <c r="E75" s="1993">
        <f>+F75+G75</f>
        <v>6369.1821249700015</v>
      </c>
      <c r="F75" s="1993">
        <f>+M75+AA75</f>
        <v>4305.5616620600013</v>
      </c>
      <c r="G75" s="1993">
        <f>+P75+AD75</f>
        <v>2063.6204629100002</v>
      </c>
      <c r="H75" s="1993">
        <f>+I75+J75</f>
        <v>636.23214171999996</v>
      </c>
      <c r="I75" s="1993">
        <f>+N75+AB75</f>
        <v>133.65803125999997</v>
      </c>
      <c r="J75" s="1993">
        <f>+Q75+AE75</f>
        <v>502.57411045999999</v>
      </c>
      <c r="K75" s="1993">
        <f>+L75+O75</f>
        <v>4237.6600490999999</v>
      </c>
      <c r="L75" s="1993">
        <f>+M75+N75</f>
        <v>2813.0767394600002</v>
      </c>
      <c r="M75" s="1993">
        <v>2741.5919655300004</v>
      </c>
      <c r="N75" s="1993">
        <v>71.484773929999989</v>
      </c>
      <c r="O75" s="1993">
        <f>P75+Q75</f>
        <v>1424.5833096399999</v>
      </c>
      <c r="P75" s="1993">
        <v>1169.3976625</v>
      </c>
      <c r="Q75" s="1993">
        <v>255.18564713999999</v>
      </c>
      <c r="R75" s="1993">
        <f>S75+V75</f>
        <v>1214.6478933000001</v>
      </c>
      <c r="S75" s="1993">
        <f>T75+U75</f>
        <v>872.47568078000006</v>
      </c>
      <c r="T75" s="1993">
        <v>849.49350105000008</v>
      </c>
      <c r="U75" s="1993">
        <v>22.982179730000002</v>
      </c>
      <c r="V75" s="1993">
        <f>W75+X75</f>
        <v>342.17221251999996</v>
      </c>
      <c r="W75" s="1993">
        <v>298.87088891999997</v>
      </c>
      <c r="X75" s="1993">
        <v>43.301323600000003</v>
      </c>
      <c r="Y75" s="1993">
        <f>Z75+AC75</f>
        <v>2767.7542175900007</v>
      </c>
      <c r="Z75" s="1993">
        <f>AA75+AB75</f>
        <v>1626.1429538600005</v>
      </c>
      <c r="AA75" s="1993">
        <v>1563.9696965300004</v>
      </c>
      <c r="AB75" s="1993">
        <v>62.173257329999998</v>
      </c>
      <c r="AC75" s="1993">
        <f>AD75+AE75</f>
        <v>1141.61126373</v>
      </c>
      <c r="AD75" s="1993">
        <v>894.22280040999999</v>
      </c>
      <c r="AE75" s="1993">
        <v>247.38846332</v>
      </c>
    </row>
    <row r="76" spans="1:31">
      <c r="A76" s="1992">
        <v>11</v>
      </c>
      <c r="B76" s="1993">
        <v>7086.3795704900003</v>
      </c>
      <c r="C76" s="1993">
        <v>4482.1152667100005</v>
      </c>
      <c r="D76" s="1993">
        <v>2604.2643037799999</v>
      </c>
      <c r="E76" s="1993">
        <v>6435.6216005100005</v>
      </c>
      <c r="F76" s="1993">
        <v>4347.9515414100006</v>
      </c>
      <c r="G76" s="1993">
        <v>2087.6700590999999</v>
      </c>
      <c r="H76" s="1993">
        <v>650.75796997999998</v>
      </c>
      <c r="I76" s="1993">
        <v>134.16372530000001</v>
      </c>
      <c r="J76" s="1993">
        <v>516.59424467999997</v>
      </c>
      <c r="K76" s="1993">
        <v>4265.5762716099998</v>
      </c>
      <c r="L76" s="1993">
        <v>2808.0154413800001</v>
      </c>
      <c r="M76" s="1993">
        <v>2736.3341646200001</v>
      </c>
      <c r="N76" s="1993">
        <v>71.681276760000003</v>
      </c>
      <c r="O76" s="1993">
        <v>1457.5608302300002</v>
      </c>
      <c r="P76" s="1993">
        <v>1186.1001939300002</v>
      </c>
      <c r="Q76" s="1993">
        <v>271.46063630000003</v>
      </c>
      <c r="R76" s="1993">
        <v>1227.89291026</v>
      </c>
      <c r="S76" s="1993">
        <v>876.08846697000001</v>
      </c>
      <c r="T76" s="1993">
        <v>852.54887004</v>
      </c>
      <c r="U76" s="1993">
        <v>23.539596930000002</v>
      </c>
      <c r="V76" s="1993">
        <v>351.80444328999999</v>
      </c>
      <c r="W76" s="1993">
        <v>300.38580257000001</v>
      </c>
      <c r="X76" s="1993">
        <v>51.418640719999999</v>
      </c>
      <c r="Y76" s="1993">
        <v>2820.8032988800001</v>
      </c>
      <c r="Z76" s="1993">
        <v>1674.0998253300002</v>
      </c>
      <c r="AA76" s="1993">
        <v>1611.6173767900002</v>
      </c>
      <c r="AB76" s="1993">
        <v>62.48244854</v>
      </c>
      <c r="AC76" s="1993">
        <v>1146.7034735499999</v>
      </c>
      <c r="AD76" s="1993">
        <v>901.56986516999996</v>
      </c>
      <c r="AE76" s="1993">
        <v>245.13360838</v>
      </c>
    </row>
    <row r="77" spans="1:31">
      <c r="A77" s="1992">
        <v>12</v>
      </c>
      <c r="B77" s="1993">
        <v>7188.3697248199987</v>
      </c>
      <c r="C77" s="1993">
        <v>4422.3999999999996</v>
      </c>
      <c r="D77" s="1993">
        <v>2765.9658132099999</v>
      </c>
      <c r="E77" s="1993">
        <v>6472.4956181699999</v>
      </c>
      <c r="F77" s="1993">
        <v>4293.76998499</v>
      </c>
      <c r="G77" s="1993">
        <v>2178.7256331799999</v>
      </c>
      <c r="H77" s="1993">
        <v>715.87410665000004</v>
      </c>
      <c r="I77" s="1993">
        <v>128.63392662000001</v>
      </c>
      <c r="J77" s="1993">
        <v>587.24018003000003</v>
      </c>
      <c r="K77" s="1993">
        <v>4344.3437627699996</v>
      </c>
      <c r="L77" s="1993">
        <v>2757.4619760299997</v>
      </c>
      <c r="M77" s="1993">
        <v>2692.0064045399999</v>
      </c>
      <c r="N77" s="1993">
        <v>65.455571489999997</v>
      </c>
      <c r="O77" s="1993">
        <v>1586.8817867400001</v>
      </c>
      <c r="P77" s="1993">
        <v>1248.68294973</v>
      </c>
      <c r="Q77" s="1993">
        <v>338.19883700999998</v>
      </c>
      <c r="R77" s="1993">
        <v>1222.4256750700001</v>
      </c>
      <c r="S77" s="1993">
        <v>884.03469315000007</v>
      </c>
      <c r="T77" s="1993">
        <v>858.70443988000011</v>
      </c>
      <c r="U77" s="1993">
        <v>25.330253270000004</v>
      </c>
      <c r="V77" s="1993">
        <v>338.39098192000006</v>
      </c>
      <c r="W77" s="1993">
        <v>296.51505732000004</v>
      </c>
      <c r="X77" s="1993">
        <v>41.875924599999998</v>
      </c>
      <c r="Y77" s="1993">
        <v>2844.0259620500001</v>
      </c>
      <c r="Z77" s="1993">
        <v>1664.9419355800001</v>
      </c>
      <c r="AA77" s="1993">
        <v>1601.7635804500001</v>
      </c>
      <c r="AB77" s="1993">
        <v>63.178355129999993</v>
      </c>
      <c r="AC77" s="1993">
        <v>1179.08402647</v>
      </c>
      <c r="AD77" s="1993">
        <v>930.04268345000003</v>
      </c>
      <c r="AE77" s="1993">
        <v>249.04134302000003</v>
      </c>
    </row>
    <row r="78" spans="1:31">
      <c r="A78" s="1992">
        <v>2015</v>
      </c>
      <c r="B78" s="1993"/>
      <c r="C78" s="1993"/>
      <c r="D78" s="1993"/>
      <c r="E78" s="1993"/>
      <c r="F78" s="1993"/>
      <c r="G78" s="1993"/>
      <c r="H78" s="1993"/>
      <c r="I78" s="1993"/>
      <c r="J78" s="1993"/>
      <c r="K78" s="1993"/>
      <c r="L78" s="1993"/>
      <c r="M78" s="1993"/>
      <c r="N78" s="1993"/>
      <c r="O78" s="1993"/>
      <c r="P78" s="1993"/>
      <c r="Q78" s="1993"/>
      <c r="R78" s="1993"/>
      <c r="S78" s="1993"/>
      <c r="T78" s="1993"/>
      <c r="U78" s="1993"/>
      <c r="V78" s="1993"/>
      <c r="W78" s="1993"/>
      <c r="X78" s="1993"/>
      <c r="Y78" s="1993"/>
      <c r="Z78" s="1993"/>
      <c r="AA78" s="1993"/>
      <c r="AB78" s="1993"/>
      <c r="AC78" s="1993"/>
      <c r="AD78" s="1993"/>
      <c r="AE78" s="1993"/>
    </row>
    <row r="79" spans="1:31">
      <c r="A79" s="1992">
        <v>1</v>
      </c>
      <c r="B79" s="1993">
        <v>7121.3389999999999</v>
      </c>
      <c r="C79" s="1993">
        <v>4276.3230000000003</v>
      </c>
      <c r="D79" s="1993">
        <v>2845</v>
      </c>
      <c r="E79" s="1993">
        <v>6463.59</v>
      </c>
      <c r="F79" s="1993">
        <v>4155.9520000000002</v>
      </c>
      <c r="G79" s="1993">
        <v>2307.6379999999999</v>
      </c>
      <c r="H79" s="1993">
        <v>657.74900000000002</v>
      </c>
      <c r="I79" s="1993">
        <v>120.371</v>
      </c>
      <c r="J79" s="1993">
        <v>537.37800000000004</v>
      </c>
      <c r="K79" s="1993">
        <v>4280.9480000000003</v>
      </c>
      <c r="L79" s="1993">
        <v>2656.7429999999999</v>
      </c>
      <c r="M79" s="1993">
        <v>2599.2179999999998</v>
      </c>
      <c r="N79" s="1993">
        <v>57.5456</v>
      </c>
      <c r="O79" s="1993">
        <v>1624.183</v>
      </c>
      <c r="P79" s="1993">
        <v>1337.9179999999999</v>
      </c>
      <c r="Q79" s="1993">
        <v>286.26499999999999</v>
      </c>
      <c r="R79" s="1993">
        <v>1230.095</v>
      </c>
      <c r="S79" s="1993">
        <v>892.476</v>
      </c>
      <c r="T79" s="1993">
        <v>866.58799999999997</v>
      </c>
      <c r="U79" s="1993">
        <v>25.888000000000002</v>
      </c>
      <c r="V79" s="1993">
        <v>337.61799999999999</v>
      </c>
      <c r="W79" s="1993">
        <v>294.42500000000001</v>
      </c>
      <c r="X79" s="1993">
        <v>43.192999999999998</v>
      </c>
      <c r="Y79" s="1993">
        <v>2840.3910000000001</v>
      </c>
      <c r="Z79" s="1993">
        <v>1619.559</v>
      </c>
      <c r="AA79" s="1993">
        <v>1556.7329999999999</v>
      </c>
      <c r="AB79" s="1993">
        <v>62.825699999999998</v>
      </c>
      <c r="AC79" s="1993">
        <v>1220.8320000000001</v>
      </c>
      <c r="AD79" s="1993">
        <v>969.72</v>
      </c>
      <c r="AE79" s="1993">
        <v>251.11199999999999</v>
      </c>
    </row>
    <row r="80" spans="1:31">
      <c r="A80" s="1992">
        <v>2</v>
      </c>
      <c r="B80" s="1993">
        <v>7932.68</v>
      </c>
      <c r="C80" s="1993">
        <v>2987.78</v>
      </c>
      <c r="D80" s="1993">
        <v>4944.8999999999996</v>
      </c>
      <c r="E80" s="1993">
        <v>7068.8</v>
      </c>
      <c r="F80" s="1993">
        <v>2919.982</v>
      </c>
      <c r="G80" s="1993">
        <v>4148.8209999999999</v>
      </c>
      <c r="H80" s="1993">
        <v>863.87099999999998</v>
      </c>
      <c r="I80" s="1993">
        <v>67.8</v>
      </c>
      <c r="J80" s="1993">
        <v>796.072</v>
      </c>
      <c r="K80" s="1993">
        <v>4998.5659999999998</v>
      </c>
      <c r="L80" s="1993">
        <v>1930.8209999999999</v>
      </c>
      <c r="M80" s="1993">
        <v>1884.3119999999999</v>
      </c>
      <c r="N80" s="1993">
        <v>46.509120000000003</v>
      </c>
      <c r="O80" s="1993">
        <v>3067.7440000000001</v>
      </c>
      <c r="P80" s="1993">
        <v>2612.7510000000002</v>
      </c>
      <c r="Q80" s="1993">
        <v>454.99310000000003</v>
      </c>
      <c r="R80" s="1993">
        <v>1361.193</v>
      </c>
      <c r="S80" s="1993">
        <v>739.56600000000003</v>
      </c>
      <c r="T80" s="1993">
        <v>716.74099999999999</v>
      </c>
      <c r="U80" s="1993">
        <v>22.8</v>
      </c>
      <c r="V80" s="1993">
        <v>621.62599999999998</v>
      </c>
      <c r="W80" s="1993">
        <v>559.50199999999995</v>
      </c>
      <c r="X80" s="1993">
        <v>62.124000000000002</v>
      </c>
      <c r="Y80" s="1993">
        <v>2934.1</v>
      </c>
      <c r="Z80" s="1993">
        <v>1056.9590000000001</v>
      </c>
      <c r="AA80" s="1993">
        <v>1035.67</v>
      </c>
      <c r="AB80" s="1993">
        <v>21.3</v>
      </c>
      <c r="AC80" s="1993">
        <v>1877.1479999999999</v>
      </c>
      <c r="AD80" s="1993">
        <v>1536.1</v>
      </c>
      <c r="AE80" s="1993">
        <v>341.05099999999999</v>
      </c>
    </row>
    <row r="81" spans="1:31">
      <c r="A81" s="1992">
        <v>3</v>
      </c>
      <c r="B81" s="1993">
        <v>7781.6453000000001</v>
      </c>
      <c r="C81" s="1993">
        <v>2697.0338000000002</v>
      </c>
      <c r="D81" s="1993">
        <v>5084.6116000000002</v>
      </c>
      <c r="E81" s="1993">
        <v>6924.1737999999996</v>
      </c>
      <c r="F81" s="1993">
        <v>2641.5976999999998</v>
      </c>
      <c r="G81" s="1993">
        <v>4282.5761000000002</v>
      </c>
      <c r="H81" s="1993">
        <v>857.47109999999998</v>
      </c>
      <c r="I81" s="1993">
        <v>55.436100000000003</v>
      </c>
      <c r="J81" s="1993">
        <v>802.03539999999998</v>
      </c>
      <c r="K81" s="1993">
        <v>4901.8209999999999</v>
      </c>
      <c r="L81" s="1993">
        <v>1702.0782999999999</v>
      </c>
      <c r="M81" s="1993">
        <v>1664.5219</v>
      </c>
      <c r="N81" s="1993">
        <v>37.556399999999996</v>
      </c>
      <c r="O81" s="1993">
        <v>3199.7426999999998</v>
      </c>
      <c r="P81" s="1993">
        <v>2743.7489999999998</v>
      </c>
      <c r="Q81" s="1993">
        <v>455.99369999999999</v>
      </c>
      <c r="R81" s="1993">
        <v>1280.5725</v>
      </c>
      <c r="S81" s="1993">
        <v>660.48979999999995</v>
      </c>
      <c r="T81" s="1993">
        <v>641.31790000000001</v>
      </c>
      <c r="U81" s="1993">
        <v>19.171900000000001</v>
      </c>
      <c r="V81" s="1993">
        <v>620.82809999999995</v>
      </c>
      <c r="W81" s="1993">
        <v>555.77</v>
      </c>
      <c r="X81" s="1993">
        <v>64.31</v>
      </c>
      <c r="Y81" s="1993">
        <v>2879.8243000000002</v>
      </c>
      <c r="Z81" s="1993">
        <v>994.95540000000005</v>
      </c>
      <c r="AA81" s="1993">
        <v>977.07579999999996</v>
      </c>
      <c r="AB81" s="1993">
        <v>17.8796</v>
      </c>
      <c r="AC81" s="1993">
        <v>1884.8688999999999</v>
      </c>
      <c r="AD81" s="1993">
        <v>1538.8271999999999</v>
      </c>
      <c r="AE81" s="1993">
        <v>346.04169999999999</v>
      </c>
    </row>
    <row r="82" spans="1:31">
      <c r="A82" s="1992">
        <v>4</v>
      </c>
      <c r="B82" s="1993">
        <v>7717.2430000000004</v>
      </c>
      <c r="C82" s="1993">
        <v>2245.0778</v>
      </c>
      <c r="D82" s="1993">
        <v>5472.1660000000002</v>
      </c>
      <c r="E82" s="1993">
        <v>6856.1909999999998</v>
      </c>
      <c r="F82" s="1993">
        <v>2201.7399999999998</v>
      </c>
      <c r="G82" s="1993">
        <v>4654.451</v>
      </c>
      <c r="H82" s="1993">
        <v>861.05219999999997</v>
      </c>
      <c r="I82" s="1993">
        <v>43.337699999999998</v>
      </c>
      <c r="J82" s="1993">
        <v>817.71439999999996</v>
      </c>
      <c r="K82" s="1993">
        <v>4816.5281999999997</v>
      </c>
      <c r="L82" s="1993">
        <v>1392.241</v>
      </c>
      <c r="M82" s="1993">
        <v>1363.127</v>
      </c>
      <c r="N82" s="1993">
        <v>29.113900000000001</v>
      </c>
      <c r="O82" s="1993">
        <v>3424.2869999999998</v>
      </c>
      <c r="P82" s="1993">
        <v>3029.172</v>
      </c>
      <c r="Q82" s="1993">
        <v>395.1146</v>
      </c>
      <c r="R82" s="1993">
        <v>1218.54196</v>
      </c>
      <c r="S82" s="1993">
        <v>574.76</v>
      </c>
      <c r="T82" s="1993">
        <v>559.66899999999998</v>
      </c>
      <c r="U82" s="1993">
        <v>15.09</v>
      </c>
      <c r="V82" s="1993">
        <v>643.78099999999995</v>
      </c>
      <c r="W82" s="1993">
        <v>563.01400000000001</v>
      </c>
      <c r="X82" s="1993">
        <v>80.766999999999996</v>
      </c>
      <c r="Y82" s="1993">
        <v>2900.7150000000001</v>
      </c>
      <c r="Z82" s="1993">
        <v>852.83600000000001</v>
      </c>
      <c r="AA82" s="1993">
        <v>838.61300000000006</v>
      </c>
      <c r="AB82" s="1993">
        <v>14.223000000000001</v>
      </c>
      <c r="AC82" s="1993">
        <v>2047.8779999999999</v>
      </c>
      <c r="AD82" s="1993">
        <v>1625.278</v>
      </c>
      <c r="AE82" s="1993">
        <v>422.59899999999999</v>
      </c>
    </row>
    <row r="83" spans="1:31">
      <c r="A83" s="1992">
        <v>5</v>
      </c>
      <c r="B83" s="1993">
        <v>7601.0539698400007</v>
      </c>
      <c r="C83" s="1993">
        <v>2172.5975648599997</v>
      </c>
      <c r="D83" s="1993">
        <v>5428.4564049800001</v>
      </c>
      <c r="E83" s="1993">
        <v>6747.8451515300003</v>
      </c>
      <c r="F83" s="1993">
        <v>2130.62341861</v>
      </c>
      <c r="G83" s="1993">
        <v>4617.2217329200002</v>
      </c>
      <c r="H83" s="1993">
        <v>853.20881830999986</v>
      </c>
      <c r="I83" s="1993">
        <v>41.974146250000004</v>
      </c>
      <c r="J83" s="1993">
        <v>811.23467205999987</v>
      </c>
      <c r="K83" s="1993">
        <v>4756.9318383999998</v>
      </c>
      <c r="L83" s="1993">
        <v>1356.38720352</v>
      </c>
      <c r="M83" s="1993">
        <v>1328.9284809200001</v>
      </c>
      <c r="N83" s="1993">
        <v>27.458722600000002</v>
      </c>
      <c r="O83" s="1993">
        <v>3400.5446348799996</v>
      </c>
      <c r="P83" s="1993">
        <v>3012.1943586800003</v>
      </c>
      <c r="Q83" s="1993">
        <v>388.35027619999988</v>
      </c>
      <c r="R83" s="1993">
        <v>1177.7797544</v>
      </c>
      <c r="S83" s="1993">
        <v>571.79054651000001</v>
      </c>
      <c r="T83" s="1993">
        <v>556.11874438000007</v>
      </c>
      <c r="U83" s="1993">
        <v>15.671802130000001</v>
      </c>
      <c r="V83" s="1993">
        <v>605.98920788999999</v>
      </c>
      <c r="W83" s="1993">
        <v>531.66616778000002</v>
      </c>
      <c r="X83" s="1993">
        <v>74.323040110000008</v>
      </c>
      <c r="Y83" s="1993">
        <v>2844.12213144</v>
      </c>
      <c r="Z83" s="1993">
        <v>816.21036133999996</v>
      </c>
      <c r="AA83" s="1993">
        <v>801.69493768999996</v>
      </c>
      <c r="AB83" s="1993">
        <v>14.515423649999999</v>
      </c>
      <c r="AC83" s="1993">
        <v>2027.9117701</v>
      </c>
      <c r="AD83" s="1993">
        <v>1605.02737424</v>
      </c>
      <c r="AE83" s="1993">
        <v>422.88439585999998</v>
      </c>
    </row>
    <row r="84" spans="1:31">
      <c r="A84" s="1992">
        <v>6</v>
      </c>
      <c r="B84" s="1993">
        <v>7653.5739775599995</v>
      </c>
      <c r="C84" s="1993">
        <v>2179.9266777099997</v>
      </c>
      <c r="D84" s="1993">
        <v>5473.6472998500012</v>
      </c>
      <c r="E84" s="1993">
        <v>6794.13709758</v>
      </c>
      <c r="F84" s="1993">
        <v>2137.7462591699996</v>
      </c>
      <c r="G84" s="1993">
        <v>4656.3908384100005</v>
      </c>
      <c r="H84" s="1993">
        <v>859.43687998000007</v>
      </c>
      <c r="I84" s="1993">
        <v>42.180418539999998</v>
      </c>
      <c r="J84" s="1993">
        <v>817.25646144000007</v>
      </c>
      <c r="K84" s="1993">
        <v>4858.4385419700002</v>
      </c>
      <c r="L84" s="1993">
        <v>1389.0385505799998</v>
      </c>
      <c r="M84" s="1993">
        <v>1360.9570695099999</v>
      </c>
      <c r="N84" s="1993">
        <v>28.081481069999999</v>
      </c>
      <c r="O84" s="1993">
        <v>3469.3999913900011</v>
      </c>
      <c r="P84" s="1993">
        <v>3035.2714719700007</v>
      </c>
      <c r="Q84" s="1993">
        <v>434.12851942000003</v>
      </c>
      <c r="R84" s="1993">
        <v>1274.0097037399998</v>
      </c>
      <c r="S84" s="1993">
        <v>623.7291557399999</v>
      </c>
      <c r="T84" s="1993">
        <v>608.91931143999989</v>
      </c>
      <c r="U84" s="1993">
        <v>14.809844299999998</v>
      </c>
      <c r="V84" s="1993">
        <v>650.28054799999995</v>
      </c>
      <c r="W84" s="1993">
        <v>569.52309290999995</v>
      </c>
      <c r="X84" s="1993">
        <v>80.757455090000008</v>
      </c>
      <c r="Y84" s="1993">
        <v>2795.1354355899998</v>
      </c>
      <c r="Z84" s="1993">
        <v>790.88812712999993</v>
      </c>
      <c r="AA84" s="1993">
        <v>776.78918965999992</v>
      </c>
      <c r="AB84" s="1993">
        <v>14.098937470000001</v>
      </c>
      <c r="AC84" s="1993">
        <v>2004.2473084599999</v>
      </c>
      <c r="AD84" s="1993">
        <v>1621.11936644</v>
      </c>
      <c r="AE84" s="1993">
        <v>383.12794201999998</v>
      </c>
    </row>
    <row r="85" spans="1:31">
      <c r="A85" s="1992">
        <v>7</v>
      </c>
      <c r="B85" s="1993">
        <v>7605.1210989900001</v>
      </c>
      <c r="C85" s="1993">
        <v>2138.6714725799998</v>
      </c>
      <c r="D85" s="1993">
        <v>5466.4496264099998</v>
      </c>
      <c r="E85" s="1993">
        <v>6734.3213579399999</v>
      </c>
      <c r="F85" s="1993">
        <v>2094.71836188</v>
      </c>
      <c r="G85" s="1993">
        <v>4639.6029960599999</v>
      </c>
      <c r="H85" s="1993">
        <v>870.79974104999997</v>
      </c>
      <c r="I85" s="1993">
        <v>43.953110700000003</v>
      </c>
      <c r="J85" s="1993">
        <v>826.84663034999994</v>
      </c>
      <c r="K85" s="1993">
        <v>4775.0516846800001</v>
      </c>
      <c r="L85" s="1993">
        <v>1362.9411642</v>
      </c>
      <c r="M85" s="1993">
        <v>1330.883808</v>
      </c>
      <c r="N85" s="1993">
        <v>32.057356200000001</v>
      </c>
      <c r="O85" s="1993">
        <v>3412.1105204800001</v>
      </c>
      <c r="P85" s="1993">
        <v>2996.4223993199998</v>
      </c>
      <c r="Q85" s="1993">
        <v>415.68812115999992</v>
      </c>
      <c r="R85" s="1993">
        <v>1271.4895956999999</v>
      </c>
      <c r="S85" s="1993">
        <v>615.08488919000001</v>
      </c>
      <c r="T85" s="1993">
        <v>599.84124184999996</v>
      </c>
      <c r="U85" s="1993">
        <v>15.243647339999997</v>
      </c>
      <c r="V85" s="1993">
        <v>656.40470650999998</v>
      </c>
      <c r="W85" s="1993">
        <v>566.61199297999985</v>
      </c>
      <c r="X85" s="1993">
        <v>89.792713530000015</v>
      </c>
      <c r="Y85" s="1993">
        <v>2830.06941431</v>
      </c>
      <c r="Z85" s="1993">
        <v>775.73030838</v>
      </c>
      <c r="AA85" s="1993">
        <v>763.83455387999993</v>
      </c>
      <c r="AB85" s="1993">
        <v>11.895754500000001</v>
      </c>
      <c r="AC85" s="1993">
        <v>2054.3391059300002</v>
      </c>
      <c r="AD85" s="1993">
        <v>1643.1805967400001</v>
      </c>
      <c r="AE85" s="1993">
        <v>411.15850919000002</v>
      </c>
    </row>
    <row r="86" spans="1:31">
      <c r="A86" s="1992">
        <v>8</v>
      </c>
      <c r="B86" s="1993">
        <v>7320.3477984499996</v>
      </c>
      <c r="C86" s="1993">
        <v>1847.94571505</v>
      </c>
      <c r="D86" s="1993">
        <v>5472.4020834000003</v>
      </c>
      <c r="E86" s="1993">
        <v>6462.4606675099994</v>
      </c>
      <c r="F86" s="1993">
        <v>1810.9422525</v>
      </c>
      <c r="G86" s="1993">
        <v>4651.5184150099994</v>
      </c>
      <c r="H86" s="1993">
        <v>857.88713094000002</v>
      </c>
      <c r="I86" s="1993">
        <v>37.003462550000002</v>
      </c>
      <c r="J86" s="1993">
        <v>820.88366839000003</v>
      </c>
      <c r="K86" s="1993">
        <v>4551.3533391800001</v>
      </c>
      <c r="L86" s="1993">
        <v>1128.0614200300001</v>
      </c>
      <c r="M86" s="1993">
        <v>1101.71684682</v>
      </c>
      <c r="N86" s="1993">
        <v>26.34457321</v>
      </c>
      <c r="O86" s="1993">
        <v>3423.29191915</v>
      </c>
      <c r="P86" s="1993">
        <v>3007.1346984299998</v>
      </c>
      <c r="Q86" s="1993">
        <v>416.15722072</v>
      </c>
      <c r="R86" s="1993">
        <v>1147.1793026700002</v>
      </c>
      <c r="S86" s="1993">
        <v>471.51166130000001</v>
      </c>
      <c r="T86" s="1993">
        <v>459.99972249000001</v>
      </c>
      <c r="U86" s="1993">
        <v>11.511938809999998</v>
      </c>
      <c r="V86" s="1993">
        <v>675.66764137000007</v>
      </c>
      <c r="W86" s="1993">
        <v>578.17614074000005</v>
      </c>
      <c r="X86" s="1993">
        <v>97.49150062999999</v>
      </c>
      <c r="Y86" s="1993">
        <v>2768.9944592699999</v>
      </c>
      <c r="Z86" s="1993">
        <v>719.88429501999997</v>
      </c>
      <c r="AA86" s="1993">
        <v>709.22540567999999</v>
      </c>
      <c r="AB86" s="1993">
        <v>10.65888934</v>
      </c>
      <c r="AC86" s="1993">
        <v>2049.1101642499998</v>
      </c>
      <c r="AD86" s="1993">
        <v>1644.3837165799998</v>
      </c>
      <c r="AE86" s="1993">
        <v>404.72644767000003</v>
      </c>
    </row>
    <row r="87" spans="1:31">
      <c r="A87" s="1992">
        <v>9</v>
      </c>
      <c r="B87" s="1993">
        <v>7311.8063250799996</v>
      </c>
      <c r="C87" s="1993">
        <v>1777.8414779</v>
      </c>
      <c r="D87" s="1993">
        <v>5533.9648471799992</v>
      </c>
      <c r="E87" s="1993">
        <v>6406.3446526799989</v>
      </c>
      <c r="F87" s="1993">
        <v>1742.7941885299999</v>
      </c>
      <c r="G87" s="1993">
        <v>4663.5504641499992</v>
      </c>
      <c r="H87" s="1993">
        <v>905.4616724</v>
      </c>
      <c r="I87" s="1993">
        <v>35.047289370000001</v>
      </c>
      <c r="J87" s="1993">
        <v>870.41438303000007</v>
      </c>
      <c r="K87" s="1993">
        <v>4587.5231250500001</v>
      </c>
      <c r="L87" s="1993">
        <v>1087.2257848700001</v>
      </c>
      <c r="M87" s="1993">
        <v>1062.39524016</v>
      </c>
      <c r="N87" s="1993">
        <v>24.830544709999998</v>
      </c>
      <c r="O87" s="1993">
        <v>3500.29734018</v>
      </c>
      <c r="P87" s="1993">
        <v>3030.9021169299999</v>
      </c>
      <c r="Q87" s="1993">
        <v>469.39522324999996</v>
      </c>
      <c r="R87" s="1993">
        <v>1253.1387061499997</v>
      </c>
      <c r="S87" s="1993">
        <v>462.99236394999997</v>
      </c>
      <c r="T87" s="1993">
        <v>451.37213398</v>
      </c>
      <c r="U87" s="1993">
        <v>11.62022997</v>
      </c>
      <c r="V87" s="1993">
        <v>790.14634219999971</v>
      </c>
      <c r="W87" s="1993">
        <v>628.07725794999976</v>
      </c>
      <c r="X87" s="1993">
        <v>162.06908424999997</v>
      </c>
      <c r="Y87" s="1993">
        <v>2724.28320003</v>
      </c>
      <c r="Z87" s="1993">
        <v>690.61569302999999</v>
      </c>
      <c r="AA87" s="1993">
        <v>680.39894836999997</v>
      </c>
      <c r="AB87" s="1993">
        <v>10.21674466</v>
      </c>
      <c r="AC87" s="1993">
        <v>2033.6675070000001</v>
      </c>
      <c r="AD87" s="1993">
        <v>1632.64834722</v>
      </c>
      <c r="AE87" s="1993">
        <v>401.01915978</v>
      </c>
    </row>
    <row r="88" spans="1:31">
      <c r="A88" s="1992">
        <v>10</v>
      </c>
      <c r="B88" s="1993">
        <v>7172.9407930899997</v>
      </c>
      <c r="C88" s="1993">
        <v>1723.8188301999996</v>
      </c>
      <c r="D88" s="1993">
        <v>5449.1219628899998</v>
      </c>
      <c r="E88" s="1993">
        <v>6280.4862207699998</v>
      </c>
      <c r="F88" s="1993">
        <v>1689.9756044599999</v>
      </c>
      <c r="G88" s="1993">
        <v>4590.5106163099999</v>
      </c>
      <c r="H88" s="1993">
        <v>892.45457232000012</v>
      </c>
      <c r="I88" s="1993">
        <v>33.843225739999994</v>
      </c>
      <c r="J88" s="1993">
        <v>858.61134658000014</v>
      </c>
      <c r="K88" s="1993">
        <v>4494.6221479700007</v>
      </c>
      <c r="L88" s="1993">
        <v>1061.1789904499999</v>
      </c>
      <c r="M88" s="1993">
        <v>1037.19972448</v>
      </c>
      <c r="N88" s="1993">
        <v>23.979265969999997</v>
      </c>
      <c r="O88" s="1993">
        <v>3433.4431575200001</v>
      </c>
      <c r="P88" s="1993">
        <v>2973.9924213199997</v>
      </c>
      <c r="Q88" s="1993">
        <v>459.45073620000011</v>
      </c>
      <c r="R88" s="1993">
        <v>1234.9712329899999</v>
      </c>
      <c r="S88" s="1993">
        <v>497.94087688000002</v>
      </c>
      <c r="T88" s="1993">
        <v>486.54688093999999</v>
      </c>
      <c r="U88" s="1993">
        <v>11.39399594</v>
      </c>
      <c r="V88" s="1993">
        <v>737.03035611000007</v>
      </c>
      <c r="W88" s="1993">
        <v>580.34538343000008</v>
      </c>
      <c r="X88" s="1993">
        <v>156.68497268000004</v>
      </c>
      <c r="Y88" s="1993">
        <v>2678.3186451199999</v>
      </c>
      <c r="Z88" s="1993">
        <v>662.63983974999996</v>
      </c>
      <c r="AA88" s="1993">
        <v>652.77587998000001</v>
      </c>
      <c r="AB88" s="1993">
        <v>9.8639597699999992</v>
      </c>
      <c r="AC88" s="1993">
        <v>2015.6788053700002</v>
      </c>
      <c r="AD88" s="1993">
        <v>1616.5181949900002</v>
      </c>
      <c r="AE88" s="1993">
        <v>399.16061037999998</v>
      </c>
    </row>
    <row r="89" spans="1:31">
      <c r="A89" s="1992">
        <v>11</v>
      </c>
      <c r="B89" s="1993">
        <v>7089.5180692200001</v>
      </c>
      <c r="C89" s="1993">
        <v>1669.0542028900004</v>
      </c>
      <c r="D89" s="1993">
        <v>5420.4638663299993</v>
      </c>
      <c r="E89" s="1993">
        <v>6209.8949123699995</v>
      </c>
      <c r="F89" s="1993">
        <v>1635.9719457200001</v>
      </c>
      <c r="G89" s="1993">
        <v>4573.9229666499996</v>
      </c>
      <c r="H89" s="1993">
        <v>879.62315684999999</v>
      </c>
      <c r="I89" s="1993">
        <v>33.082257169999998</v>
      </c>
      <c r="J89" s="1993">
        <v>846.54089967999994</v>
      </c>
      <c r="K89" s="1993">
        <v>4423.0350113300001</v>
      </c>
      <c r="L89" s="1993">
        <v>1039.3429286000001</v>
      </c>
      <c r="M89" s="1993">
        <v>1015.9798669700001</v>
      </c>
      <c r="N89" s="1993">
        <v>23.363061630000001</v>
      </c>
      <c r="O89" s="1993">
        <v>3383.69208273</v>
      </c>
      <c r="P89" s="1993">
        <v>2934.3404315500002</v>
      </c>
      <c r="Q89" s="1993">
        <v>449.35165117999998</v>
      </c>
      <c r="R89" s="1993">
        <v>1202.98114702</v>
      </c>
      <c r="S89" s="1993">
        <v>504.37593103000006</v>
      </c>
      <c r="T89" s="1993">
        <v>493.30292734000005</v>
      </c>
      <c r="U89" s="1993">
        <v>11.073003690000002</v>
      </c>
      <c r="V89" s="1993">
        <v>698.60521598999992</v>
      </c>
      <c r="W89" s="1993">
        <v>534.46641052999996</v>
      </c>
      <c r="X89" s="1993">
        <v>164.13880545999999</v>
      </c>
      <c r="Y89" s="1993">
        <v>2666.4830578899996</v>
      </c>
      <c r="Z89" s="1993">
        <v>629.71127429000001</v>
      </c>
      <c r="AA89" s="1993">
        <v>619.99207875000002</v>
      </c>
      <c r="AB89" s="1993">
        <v>9.7191955399999994</v>
      </c>
      <c r="AC89" s="1993">
        <v>2036.7717836000002</v>
      </c>
      <c r="AD89" s="1993">
        <v>1639.5825351000001</v>
      </c>
      <c r="AE89" s="1993">
        <v>397.18924849999996</v>
      </c>
    </row>
    <row r="90" spans="1:31">
      <c r="A90" s="1992">
        <v>12</v>
      </c>
      <c r="B90" s="1993">
        <v>9473.9352678300002</v>
      </c>
      <c r="C90" s="1993">
        <v>1420.2140270599998</v>
      </c>
      <c r="D90" s="1993">
        <v>8053.721240769999</v>
      </c>
      <c r="E90" s="1993">
        <v>8240.86622919</v>
      </c>
      <c r="F90" s="1993">
        <v>1386.2787789199999</v>
      </c>
      <c r="G90" s="1993">
        <v>6854.5874502699999</v>
      </c>
      <c r="H90" s="1993">
        <v>1233.0690386399999</v>
      </c>
      <c r="I90" s="1993">
        <v>33.935248139999999</v>
      </c>
      <c r="J90" s="1993">
        <v>1199.1337904999998</v>
      </c>
      <c r="K90" s="1993">
        <v>5929.0004859199989</v>
      </c>
      <c r="L90" s="1993">
        <v>849.97402743999987</v>
      </c>
      <c r="M90" s="1993">
        <v>825.18226513999991</v>
      </c>
      <c r="N90" s="1993">
        <v>24.791762300000002</v>
      </c>
      <c r="O90" s="1993">
        <v>5079.0264584799997</v>
      </c>
      <c r="P90" s="1993">
        <v>4462.3810947100001</v>
      </c>
      <c r="Q90" s="1993">
        <v>616.6453637699999</v>
      </c>
      <c r="R90" s="1993">
        <v>1641.2099316199997</v>
      </c>
      <c r="S90" s="1993">
        <v>440.88992102999993</v>
      </c>
      <c r="T90" s="1993">
        <v>427.09017397999992</v>
      </c>
      <c r="U90" s="1993">
        <v>13.799747050000002</v>
      </c>
      <c r="V90" s="1993">
        <v>1200.3200105899998</v>
      </c>
      <c r="W90" s="1993">
        <v>983.51033654999992</v>
      </c>
      <c r="X90" s="1993">
        <v>216.80967404</v>
      </c>
      <c r="Y90" s="1993">
        <v>3544.9347819099999</v>
      </c>
      <c r="Z90" s="1993">
        <v>570.23999962000005</v>
      </c>
      <c r="AA90" s="1993">
        <v>561.09651378000001</v>
      </c>
      <c r="AB90" s="1993">
        <v>9.1434858399999985</v>
      </c>
      <c r="AC90" s="1993">
        <v>2974.6947822900001</v>
      </c>
      <c r="AD90" s="1993">
        <v>2392.2063555600002</v>
      </c>
      <c r="AE90" s="1993">
        <v>582.4884267299999</v>
      </c>
    </row>
    <row r="91" spans="1:31">
      <c r="A91" s="1992">
        <v>2016</v>
      </c>
      <c r="B91" s="1993"/>
      <c r="C91" s="1993"/>
      <c r="D91" s="1993"/>
      <c r="E91" s="1993"/>
      <c r="F91" s="1993"/>
      <c r="G91" s="1993"/>
      <c r="H91" s="1993"/>
      <c r="I91" s="1993"/>
      <c r="J91" s="1993"/>
      <c r="K91" s="1993"/>
      <c r="L91" s="1993"/>
      <c r="M91" s="1993"/>
      <c r="N91" s="1993"/>
      <c r="O91" s="1993"/>
      <c r="P91" s="1993"/>
      <c r="Q91" s="1993"/>
      <c r="R91" s="1993"/>
      <c r="S91" s="1993"/>
      <c r="T91" s="1993"/>
      <c r="U91" s="1993"/>
      <c r="V91" s="1993"/>
      <c r="W91" s="1993"/>
      <c r="X91" s="1993"/>
      <c r="Y91" s="1993"/>
      <c r="Z91" s="1993"/>
      <c r="AA91" s="1993"/>
      <c r="AB91" s="1993"/>
      <c r="AC91" s="1993"/>
      <c r="AD91" s="1993"/>
      <c r="AE91" s="1993"/>
    </row>
    <row r="92" spans="1:31">
      <c r="A92" s="1992">
        <v>1</v>
      </c>
      <c r="B92" s="1993">
        <v>8643.3388407999992</v>
      </c>
      <c r="C92" s="1993">
        <v>1422.0817397100002</v>
      </c>
      <c r="D92" s="1993">
        <v>7221.2571010899992</v>
      </c>
      <c r="E92" s="1993">
        <v>7447.2643537699978</v>
      </c>
      <c r="F92" s="1993">
        <v>1394.01133218</v>
      </c>
      <c r="G92" s="1993">
        <v>6053.2530215899978</v>
      </c>
      <c r="H92" s="1993">
        <v>1196.07448703</v>
      </c>
      <c r="I92" s="1993">
        <v>28.070407530000004</v>
      </c>
      <c r="J92" s="1993">
        <v>1168.0040795</v>
      </c>
      <c r="K92" s="1993">
        <v>5322.65772311</v>
      </c>
      <c r="L92" s="1993">
        <v>898.01851525000006</v>
      </c>
      <c r="M92" s="1993">
        <v>878.37388914000007</v>
      </c>
      <c r="N92" s="1993">
        <v>19.644626110000001</v>
      </c>
      <c r="O92" s="1993">
        <v>4424.6392078599993</v>
      </c>
      <c r="P92" s="1993">
        <v>3842.0370275799996</v>
      </c>
      <c r="Q92" s="1993">
        <v>582.60218027999997</v>
      </c>
      <c r="R92" s="1993">
        <v>1488.3020478999999</v>
      </c>
      <c r="S92" s="1993">
        <v>395.46395204000004</v>
      </c>
      <c r="T92" s="1993">
        <v>385.37683241000008</v>
      </c>
      <c r="U92" s="1993">
        <v>10.08711963</v>
      </c>
      <c r="V92" s="1993">
        <v>1092.8380958599998</v>
      </c>
      <c r="W92" s="1993">
        <v>877.74916729999984</v>
      </c>
      <c r="X92" s="1993">
        <v>215.08892856</v>
      </c>
      <c r="Y92" s="1993">
        <v>3320.6811176899996</v>
      </c>
      <c r="Z92" s="1993">
        <v>524.06322446000001</v>
      </c>
      <c r="AA92" s="1993">
        <v>515.63744303999999</v>
      </c>
      <c r="AB92" s="1993">
        <v>8.4257814200000016</v>
      </c>
      <c r="AC92" s="1993">
        <v>2796.6178932299995</v>
      </c>
      <c r="AD92" s="1993">
        <v>2211.2159940099996</v>
      </c>
      <c r="AE92" s="1993">
        <v>585.40189922000002</v>
      </c>
    </row>
    <row r="93" spans="1:31">
      <c r="A93" s="1992">
        <v>2</v>
      </c>
      <c r="B93" s="1993">
        <v>8077.2805155200003</v>
      </c>
      <c r="C93" s="1993">
        <v>1408.90127102</v>
      </c>
      <c r="D93" s="1993">
        <v>6668.3792444999999</v>
      </c>
      <c r="E93" s="1993">
        <v>6996.2612405600003</v>
      </c>
      <c r="F93" s="1993">
        <v>1380.7842218699998</v>
      </c>
      <c r="G93" s="1993">
        <v>5615.4770186900005</v>
      </c>
      <c r="H93" s="1993">
        <v>1081.0192749600001</v>
      </c>
      <c r="I93" s="1993">
        <v>28.11704915</v>
      </c>
      <c r="J93" s="1993">
        <v>1052.9022258099999</v>
      </c>
      <c r="K93" s="1993">
        <v>4738.8875859899999</v>
      </c>
      <c r="L93" s="1993">
        <v>883.40900723000004</v>
      </c>
      <c r="M93" s="1993">
        <v>863.75118524999993</v>
      </c>
      <c r="N93" s="1993">
        <v>19.657821980000001</v>
      </c>
      <c r="O93" s="1993">
        <v>3855.4785787599999</v>
      </c>
      <c r="P93" s="1993">
        <v>3361.4866052000002</v>
      </c>
      <c r="Q93" s="1993">
        <v>493.99197356000002</v>
      </c>
      <c r="R93" s="1993">
        <v>1467.7936747600002</v>
      </c>
      <c r="S93" s="1993">
        <v>414.88588117</v>
      </c>
      <c r="T93" s="1993">
        <v>404.70384724999997</v>
      </c>
      <c r="U93" s="1993">
        <v>10.18203392</v>
      </c>
      <c r="V93" s="1993">
        <v>1052.9077935900002</v>
      </c>
      <c r="W93" s="1993">
        <v>814.24330665000002</v>
      </c>
      <c r="X93" s="1993">
        <v>238.66448693999999</v>
      </c>
      <c r="Y93" s="1993">
        <v>3338.3929295299995</v>
      </c>
      <c r="Z93" s="1993">
        <v>525.49226379000004</v>
      </c>
      <c r="AA93" s="1993">
        <v>517.03303661999996</v>
      </c>
      <c r="AB93" s="1993">
        <v>8.4592271700000001</v>
      </c>
      <c r="AC93" s="1993">
        <v>2812.9006657399996</v>
      </c>
      <c r="AD93" s="1993">
        <v>2253.9904134899998</v>
      </c>
      <c r="AE93" s="1993">
        <v>558.91025224999987</v>
      </c>
    </row>
    <row r="94" spans="1:31">
      <c r="A94" s="1992">
        <v>3</v>
      </c>
      <c r="B94" s="1993">
        <v>7888.866837309999</v>
      </c>
      <c r="C94" s="1993">
        <v>1511.5765146700001</v>
      </c>
      <c r="D94" s="1993">
        <v>6377.2903226400003</v>
      </c>
      <c r="E94" s="1993">
        <v>6860.4379567499982</v>
      </c>
      <c r="F94" s="1993">
        <v>1482.3184479899999</v>
      </c>
      <c r="G94" s="1993">
        <v>5378.119508759999</v>
      </c>
      <c r="H94" s="1993">
        <v>1028.4288805599999</v>
      </c>
      <c r="I94" s="1993">
        <v>29.258066679999999</v>
      </c>
      <c r="J94" s="1993">
        <v>999.17081387999997</v>
      </c>
      <c r="K94" s="1993">
        <v>4623.1699660300001</v>
      </c>
      <c r="L94" s="1993">
        <v>944.75561758999993</v>
      </c>
      <c r="M94" s="1993">
        <v>923.80277017999992</v>
      </c>
      <c r="N94" s="1993">
        <v>20.95284741</v>
      </c>
      <c r="O94" s="1993">
        <v>3678.4143484399997</v>
      </c>
      <c r="P94" s="1993">
        <v>3225.6338430000001</v>
      </c>
      <c r="Q94" s="1993">
        <v>452.78050543999996</v>
      </c>
      <c r="R94" s="1993">
        <v>1503.82988219</v>
      </c>
      <c r="S94" s="1993">
        <v>493.72119703999999</v>
      </c>
      <c r="T94" s="1993">
        <v>482.78437300999997</v>
      </c>
      <c r="U94" s="1993">
        <v>10.93682403</v>
      </c>
      <c r="V94" s="1993">
        <v>1010.10868515</v>
      </c>
      <c r="W94" s="1993">
        <v>802.72960946000012</v>
      </c>
      <c r="X94" s="1993">
        <v>207.37907568999998</v>
      </c>
      <c r="Y94" s="1993">
        <v>3265.6968712799999</v>
      </c>
      <c r="Z94" s="1993">
        <v>566.8208970799999</v>
      </c>
      <c r="AA94" s="1993">
        <v>558.51567780999994</v>
      </c>
      <c r="AB94" s="1993">
        <v>8.3052192700000003</v>
      </c>
      <c r="AC94" s="1993">
        <v>2698.8759742000002</v>
      </c>
      <c r="AD94" s="1993">
        <v>2152.4856657599998</v>
      </c>
      <c r="AE94" s="1993">
        <v>546.39030844000001</v>
      </c>
    </row>
    <row r="95" spans="1:31">
      <c r="A95" s="1992">
        <v>4</v>
      </c>
      <c r="B95" s="1993">
        <v>7684.9581025599991</v>
      </c>
      <c r="C95" s="1993">
        <v>1407.6139595500001</v>
      </c>
      <c r="D95" s="1993">
        <v>6277.3441430100002</v>
      </c>
      <c r="E95" s="1993">
        <v>6683.6563772800009</v>
      </c>
      <c r="F95" s="1993">
        <v>1377.4845387800001</v>
      </c>
      <c r="G95" s="1993">
        <v>5306.1718385000004</v>
      </c>
      <c r="H95" s="1993">
        <v>1001.30172528</v>
      </c>
      <c r="I95" s="1993">
        <v>30.129420770000003</v>
      </c>
      <c r="J95" s="1993">
        <v>971.17230451</v>
      </c>
      <c r="K95" s="1993">
        <v>4592.0517547900008</v>
      </c>
      <c r="L95" s="1993">
        <v>893.22790241000007</v>
      </c>
      <c r="M95" s="1993">
        <v>872.63862687000005</v>
      </c>
      <c r="N95" s="1993">
        <v>20.589275540000003</v>
      </c>
      <c r="O95" s="1993">
        <v>3698.8238523800001</v>
      </c>
      <c r="P95" s="1993">
        <v>3215.4354863399999</v>
      </c>
      <c r="Q95" s="1993">
        <v>483.38836603999999</v>
      </c>
      <c r="R95" s="1993">
        <v>1552.03914115</v>
      </c>
      <c r="S95" s="1993">
        <v>493.11902867000003</v>
      </c>
      <c r="T95" s="1993">
        <v>483.03023889000002</v>
      </c>
      <c r="U95" s="1993">
        <v>10.088789780000001</v>
      </c>
      <c r="V95" s="1993">
        <v>1058.9201124800002</v>
      </c>
      <c r="W95" s="1993">
        <v>859.71428450999997</v>
      </c>
      <c r="X95" s="1993">
        <v>199.20582797</v>
      </c>
      <c r="Y95" s="1993">
        <v>3092.9063477700001</v>
      </c>
      <c r="Z95" s="1993">
        <v>514.38605713999993</v>
      </c>
      <c r="AA95" s="1993">
        <v>504.84591190999998</v>
      </c>
      <c r="AB95" s="1993">
        <v>9.5401452300000003</v>
      </c>
      <c r="AC95" s="1993">
        <v>2578.5202906300001</v>
      </c>
      <c r="AD95" s="1993">
        <v>2090.73635216</v>
      </c>
      <c r="AE95" s="1993">
        <v>487.78393847000001</v>
      </c>
    </row>
    <row r="96" spans="1:31">
      <c r="A96" s="1992">
        <v>5</v>
      </c>
      <c r="B96" s="1993">
        <v>7565.9511798600006</v>
      </c>
      <c r="C96" s="1993">
        <v>1447.54840711</v>
      </c>
      <c r="D96" s="1993">
        <v>6118.4027727500006</v>
      </c>
      <c r="E96" s="1993">
        <v>6583.9164775400004</v>
      </c>
      <c r="F96" s="1993">
        <v>1417.2406280299999</v>
      </c>
      <c r="G96" s="1993">
        <v>5166.6758495100003</v>
      </c>
      <c r="H96" s="1993">
        <v>982.03470232000018</v>
      </c>
      <c r="I96" s="1993">
        <v>30.307779080000003</v>
      </c>
      <c r="J96" s="1993">
        <v>951.72692324000013</v>
      </c>
      <c r="K96" s="1993">
        <v>4548.8650003100001</v>
      </c>
      <c r="L96" s="1993">
        <v>936.23981334999996</v>
      </c>
      <c r="M96" s="1993">
        <v>915.08716974999993</v>
      </c>
      <c r="N96" s="1993">
        <v>21.152643600000005</v>
      </c>
      <c r="O96" s="1993">
        <v>3612.6251869600001</v>
      </c>
      <c r="P96" s="1993">
        <v>3134.3709992899999</v>
      </c>
      <c r="Q96" s="1993">
        <v>478.25418767000002</v>
      </c>
      <c r="R96" s="1993">
        <v>1538.99498956</v>
      </c>
      <c r="S96" s="1993">
        <v>486.20993685999997</v>
      </c>
      <c r="T96" s="1993">
        <v>476.46891482999996</v>
      </c>
      <c r="U96" s="1993">
        <v>9.7410220299999999</v>
      </c>
      <c r="V96" s="1993">
        <v>1052.7850527000001</v>
      </c>
      <c r="W96" s="1993">
        <v>858.01942688999986</v>
      </c>
      <c r="X96" s="1993">
        <v>194.76562581000002</v>
      </c>
      <c r="Y96" s="1993">
        <v>3017.08617955</v>
      </c>
      <c r="Z96" s="1993">
        <v>511.30859375999995</v>
      </c>
      <c r="AA96" s="1993">
        <v>502.15345827999994</v>
      </c>
      <c r="AB96" s="1993">
        <v>9.1551354800000002</v>
      </c>
      <c r="AC96" s="1993">
        <v>2505.7775857900001</v>
      </c>
      <c r="AD96" s="1993">
        <v>2032.3048502199999</v>
      </c>
      <c r="AE96" s="1993">
        <v>473.47273557000005</v>
      </c>
    </row>
    <row r="97" spans="1:31">
      <c r="A97" s="1992">
        <v>6</v>
      </c>
      <c r="B97" s="1993">
        <v>7815.6264911699991</v>
      </c>
      <c r="C97" s="1993">
        <v>1517.1021516099997</v>
      </c>
      <c r="D97" s="1993">
        <v>6298.5243395599991</v>
      </c>
      <c r="E97" s="1993">
        <v>6792.5395942199993</v>
      </c>
      <c r="F97" s="1993">
        <v>1484.6593616699997</v>
      </c>
      <c r="G97" s="1993">
        <v>5307.8802325500001</v>
      </c>
      <c r="H97" s="1993">
        <v>1023.08689695</v>
      </c>
      <c r="I97" s="1993">
        <v>32.442789939999997</v>
      </c>
      <c r="J97" s="1993">
        <v>990.64410700999997</v>
      </c>
      <c r="K97" s="1993">
        <v>4737.3135872899993</v>
      </c>
      <c r="L97" s="1993">
        <v>1002.7139079299999</v>
      </c>
      <c r="M97" s="1993">
        <v>979.37765181999987</v>
      </c>
      <c r="N97" s="1993">
        <v>23.336256110000001</v>
      </c>
      <c r="O97" s="1993">
        <v>3734.5996793599993</v>
      </c>
      <c r="P97" s="1993">
        <v>3231.9696183499996</v>
      </c>
      <c r="Q97" s="1993">
        <v>502.63006100999996</v>
      </c>
      <c r="R97" s="1993">
        <v>1638.4983436499999</v>
      </c>
      <c r="S97" s="1993">
        <v>546.73839292000002</v>
      </c>
      <c r="T97" s="1993">
        <v>534.79585080999993</v>
      </c>
      <c r="U97" s="1993">
        <v>11.942542109999998</v>
      </c>
      <c r="V97" s="1993">
        <v>1091.7599507299999</v>
      </c>
      <c r="W97" s="1993">
        <v>876.30853079999997</v>
      </c>
      <c r="X97" s="1993">
        <v>215.45141993000001</v>
      </c>
      <c r="Y97" s="1993">
        <v>3078.3129038799998</v>
      </c>
      <c r="Z97" s="1993">
        <v>514.38824367999996</v>
      </c>
      <c r="AA97" s="1993">
        <v>505.28170984999997</v>
      </c>
      <c r="AB97" s="1993">
        <v>9.1065338300000001</v>
      </c>
      <c r="AC97" s="1993">
        <v>2563.9246601999998</v>
      </c>
      <c r="AD97" s="1993">
        <v>2075.9106142000001</v>
      </c>
      <c r="AE97" s="1993">
        <v>488.01404600000001</v>
      </c>
    </row>
    <row r="98" spans="1:31">
      <c r="A98" s="1992">
        <v>7</v>
      </c>
      <c r="B98" s="1993">
        <v>7843.8322067699992</v>
      </c>
      <c r="C98" s="1993">
        <v>1506.0159207900001</v>
      </c>
      <c r="D98" s="1993">
        <v>6337.8162859799995</v>
      </c>
      <c r="E98" s="1993">
        <v>6851.7018981600004</v>
      </c>
      <c r="F98" s="1993">
        <v>1474.7795012400002</v>
      </c>
      <c r="G98" s="1993">
        <v>5376.9223969200002</v>
      </c>
      <c r="H98" s="1993">
        <v>992.13030860999993</v>
      </c>
      <c r="I98" s="1993">
        <v>31.236419549999997</v>
      </c>
      <c r="J98" s="1993">
        <v>960.89388905999999</v>
      </c>
      <c r="K98" s="1993">
        <v>4829.455896299999</v>
      </c>
      <c r="L98" s="1993">
        <v>1023.8503967300001</v>
      </c>
      <c r="M98" s="1993">
        <v>1001.57899021</v>
      </c>
      <c r="N98" s="1993">
        <v>22.271406519999999</v>
      </c>
      <c r="O98" s="1993">
        <v>3805.6054995699997</v>
      </c>
      <c r="P98" s="1993">
        <v>3311.3435036599994</v>
      </c>
      <c r="Q98" s="1993">
        <v>494.26199591</v>
      </c>
      <c r="R98" s="1993">
        <v>1731.3684805100002</v>
      </c>
      <c r="S98" s="1993">
        <v>589.40381854000009</v>
      </c>
      <c r="T98" s="1993">
        <v>578.43384142000002</v>
      </c>
      <c r="U98" s="1993">
        <v>10.969977119999999</v>
      </c>
      <c r="V98" s="1993">
        <v>1141.96466197</v>
      </c>
      <c r="W98" s="1993">
        <v>917.19110690000002</v>
      </c>
      <c r="X98" s="1993">
        <v>224.77355506999999</v>
      </c>
      <c r="Y98" s="1993">
        <v>3014.3763104700001</v>
      </c>
      <c r="Z98" s="1993">
        <v>482.16552406000005</v>
      </c>
      <c r="AA98" s="1993">
        <v>473.20051103000003</v>
      </c>
      <c r="AB98" s="1993">
        <v>8.9650130299999979</v>
      </c>
      <c r="AC98" s="1993">
        <v>2532.2107864099999</v>
      </c>
      <c r="AD98" s="1993">
        <v>2065.5788932599999</v>
      </c>
      <c r="AE98" s="1993">
        <v>466.63189315</v>
      </c>
    </row>
    <row r="99" spans="1:31">
      <c r="A99" s="1992">
        <v>8</v>
      </c>
      <c r="B99" s="1993">
        <v>7931.8856794200001</v>
      </c>
      <c r="C99" s="1993">
        <v>1456.50919583</v>
      </c>
      <c r="D99" s="1993">
        <v>6475.3764835900001</v>
      </c>
      <c r="E99" s="1993">
        <v>6913.4587721799999</v>
      </c>
      <c r="F99" s="1993">
        <v>1423.8463465199998</v>
      </c>
      <c r="G99" s="1993">
        <v>5489.6124256600006</v>
      </c>
      <c r="H99" s="1993">
        <v>1018.42690724</v>
      </c>
      <c r="I99" s="1993">
        <v>32.662849309999999</v>
      </c>
      <c r="J99" s="1993">
        <v>985.76405793000004</v>
      </c>
      <c r="K99" s="1993">
        <v>4874.7005078600005</v>
      </c>
      <c r="L99" s="1993">
        <v>974.24768753999979</v>
      </c>
      <c r="M99" s="1993">
        <v>950.5357732199999</v>
      </c>
      <c r="N99" s="1993">
        <v>23.711914320000002</v>
      </c>
      <c r="O99" s="1993">
        <v>3900.4528203200002</v>
      </c>
      <c r="P99" s="1993">
        <v>3384.2494364300001</v>
      </c>
      <c r="Q99" s="1993">
        <v>516.20338389000005</v>
      </c>
      <c r="R99" s="1993">
        <v>1665.4230384699995</v>
      </c>
      <c r="S99" s="1993">
        <v>530.98455763999993</v>
      </c>
      <c r="T99" s="1993">
        <v>518.44544952999991</v>
      </c>
      <c r="U99" s="1993">
        <v>12.539108110000003</v>
      </c>
      <c r="V99" s="1993">
        <v>1134.4384808299999</v>
      </c>
      <c r="W99" s="1993">
        <v>906.56418373999986</v>
      </c>
      <c r="X99" s="1993">
        <v>227.87429709</v>
      </c>
      <c r="Y99" s="1993">
        <v>3057.1851715599996</v>
      </c>
      <c r="Z99" s="1993">
        <v>482.26150828999999</v>
      </c>
      <c r="AA99" s="1993">
        <v>473.31057329999999</v>
      </c>
      <c r="AB99" s="1993">
        <v>8.9509349900000004</v>
      </c>
      <c r="AC99" s="1993">
        <v>2574.9236632699999</v>
      </c>
      <c r="AD99" s="1993">
        <v>2105.36298923</v>
      </c>
      <c r="AE99" s="1993">
        <v>469.56067403999998</v>
      </c>
    </row>
    <row r="100" spans="1:31">
      <c r="A100" s="1992">
        <v>9</v>
      </c>
      <c r="B100" s="1993">
        <v>7813.8673014099995</v>
      </c>
      <c r="C100" s="1993">
        <v>1426.0374654</v>
      </c>
      <c r="D100" s="1993">
        <v>6387.8298360099998</v>
      </c>
      <c r="E100" s="1993">
        <v>6828.53688754</v>
      </c>
      <c r="F100" s="1993">
        <v>1395.7307868299999</v>
      </c>
      <c r="G100" s="1993">
        <v>5432.8061007099996</v>
      </c>
      <c r="H100" s="1993">
        <v>985.33041386999992</v>
      </c>
      <c r="I100" s="1993">
        <v>30.306678569999995</v>
      </c>
      <c r="J100" s="1993">
        <v>955.0237353</v>
      </c>
      <c r="K100" s="1993">
        <v>4833.2744599099997</v>
      </c>
      <c r="L100" s="1993">
        <v>947.50138616999993</v>
      </c>
      <c r="M100" s="1993">
        <v>926.10750189999987</v>
      </c>
      <c r="N100" s="1993">
        <v>21.393884269999997</v>
      </c>
      <c r="O100" s="1993">
        <v>3885.7730737399997</v>
      </c>
      <c r="P100" s="1993">
        <v>3393.4231242800001</v>
      </c>
      <c r="Q100" s="1993">
        <v>492.34994945999995</v>
      </c>
      <c r="R100" s="1993">
        <v>1683.7554041899998</v>
      </c>
      <c r="S100" s="1993">
        <v>518.38537985999994</v>
      </c>
      <c r="T100" s="1993">
        <v>507.90023003999994</v>
      </c>
      <c r="U100" s="1993">
        <v>10.48514982</v>
      </c>
      <c r="V100" s="1993">
        <v>1165.37002433</v>
      </c>
      <c r="W100" s="1993">
        <v>970.89561084000002</v>
      </c>
      <c r="X100" s="1993">
        <v>194.47441348999996</v>
      </c>
      <c r="Y100" s="1993">
        <v>2980.5928414999998</v>
      </c>
      <c r="Z100" s="1993">
        <v>478.53607922999998</v>
      </c>
      <c r="AA100" s="1993">
        <v>469.62328492999995</v>
      </c>
      <c r="AB100" s="1993">
        <v>8.9127942999999998</v>
      </c>
      <c r="AC100" s="1993">
        <v>2502.05676227</v>
      </c>
      <c r="AD100" s="1993">
        <v>2039.3829764299999</v>
      </c>
      <c r="AE100" s="1993">
        <v>462.67378584000005</v>
      </c>
    </row>
    <row r="101" spans="1:31">
      <c r="A101" s="1992">
        <v>10</v>
      </c>
      <c r="B101" s="1993">
        <v>7413.1110749800009</v>
      </c>
      <c r="C101" s="1993">
        <v>1397.6114081800001</v>
      </c>
      <c r="D101" s="1993">
        <v>6015.4996668000003</v>
      </c>
      <c r="E101" s="1993">
        <v>6471.7484338200011</v>
      </c>
      <c r="F101" s="1993">
        <v>1365.1214721900001</v>
      </c>
      <c r="G101" s="1993">
        <v>5106.6269616300006</v>
      </c>
      <c r="H101" s="1993">
        <v>941.36264115999995</v>
      </c>
      <c r="I101" s="1993">
        <v>32.489935989999999</v>
      </c>
      <c r="J101" s="1993">
        <v>908.87270517000002</v>
      </c>
      <c r="K101" s="1993">
        <v>4901.9131810000008</v>
      </c>
      <c r="L101" s="1993">
        <v>928.55661909000003</v>
      </c>
      <c r="M101" s="1993">
        <v>904.83404340000004</v>
      </c>
      <c r="N101" s="1993">
        <v>23.722575689999999</v>
      </c>
      <c r="O101" s="1993">
        <v>3973.3565619100004</v>
      </c>
      <c r="P101" s="1993">
        <v>3483.5255997300005</v>
      </c>
      <c r="Q101" s="1993">
        <v>489.83096218000003</v>
      </c>
      <c r="R101" s="1993">
        <v>1728.0391389600002</v>
      </c>
      <c r="S101" s="1993">
        <v>480.19855047000004</v>
      </c>
      <c r="T101" s="1993">
        <v>467.23045539000003</v>
      </c>
      <c r="U101" s="1993">
        <v>12.968095080000001</v>
      </c>
      <c r="V101" s="1993">
        <v>1247.8405884900001</v>
      </c>
      <c r="W101" s="1993">
        <v>1039.49043674</v>
      </c>
      <c r="X101" s="1993">
        <v>208.35015175000001</v>
      </c>
      <c r="Y101" s="1993">
        <v>2511.1978939800001</v>
      </c>
      <c r="Z101" s="1993">
        <v>469.05478909000004</v>
      </c>
      <c r="AA101" s="1993">
        <v>460.28742879000004</v>
      </c>
      <c r="AB101" s="1993">
        <v>8.7673603</v>
      </c>
      <c r="AC101" s="1993">
        <v>2042.1431048900001</v>
      </c>
      <c r="AD101" s="1993">
        <v>1623.1013619</v>
      </c>
      <c r="AE101" s="1993">
        <v>419.04174298999993</v>
      </c>
    </row>
    <row r="102" spans="1:31">
      <c r="A102" s="1992">
        <v>11</v>
      </c>
      <c r="B102" s="1993">
        <v>7605.7838093800001</v>
      </c>
      <c r="C102" s="1993">
        <v>1430.4973788100001</v>
      </c>
      <c r="D102" s="1993">
        <v>6175.2864305700004</v>
      </c>
      <c r="E102" s="1993">
        <v>6648.5885385800002</v>
      </c>
      <c r="F102" s="1993">
        <v>1400.1552132500001</v>
      </c>
      <c r="G102" s="1993">
        <v>5248.4333253300001</v>
      </c>
      <c r="H102" s="1993">
        <v>957.1952708</v>
      </c>
      <c r="I102" s="1993">
        <v>30.342165560000002</v>
      </c>
      <c r="J102" s="1993">
        <v>926.8531052400001</v>
      </c>
      <c r="K102" s="1993">
        <v>5113.0464668800005</v>
      </c>
      <c r="L102" s="1993">
        <v>976.09259972000007</v>
      </c>
      <c r="M102" s="1993">
        <v>954.49573178000003</v>
      </c>
      <c r="N102" s="1993">
        <v>21.596867940000003</v>
      </c>
      <c r="O102" s="1993">
        <v>4136.9538671600003</v>
      </c>
      <c r="P102" s="1993">
        <v>3629.95108858</v>
      </c>
      <c r="Q102" s="1993">
        <v>507.00277858000004</v>
      </c>
      <c r="R102" s="1993">
        <v>1842.2914264600001</v>
      </c>
      <c r="S102" s="1993">
        <v>513.95585828000003</v>
      </c>
      <c r="T102" s="1993">
        <v>503.48044164999999</v>
      </c>
      <c r="U102" s="1993">
        <v>10.475416630000003</v>
      </c>
      <c r="V102" s="1993">
        <v>1328.3355681800001</v>
      </c>
      <c r="W102" s="1993">
        <v>1116.8657780700003</v>
      </c>
      <c r="X102" s="1993">
        <v>211.46979011000002</v>
      </c>
      <c r="Y102" s="1993">
        <v>2492.7373425000001</v>
      </c>
      <c r="Z102" s="1993">
        <v>454.40477909000009</v>
      </c>
      <c r="AA102" s="1993">
        <v>445.65948147000006</v>
      </c>
      <c r="AB102" s="1993">
        <v>8.7452976199999988</v>
      </c>
      <c r="AC102" s="1993">
        <v>2038.3325634100001</v>
      </c>
      <c r="AD102" s="1993">
        <v>1618.4822367500001</v>
      </c>
      <c r="AE102" s="1993">
        <v>419.85032666000001</v>
      </c>
    </row>
    <row r="103" spans="1:31">
      <c r="A103" s="1992">
        <v>12</v>
      </c>
      <c r="B103" s="1993">
        <v>7448.6703850999993</v>
      </c>
      <c r="C103" s="1993">
        <v>1517.2369543500004</v>
      </c>
      <c r="D103" s="1993">
        <v>5931.4334307499994</v>
      </c>
      <c r="E103" s="1993">
        <v>6481.7945768099999</v>
      </c>
      <c r="F103" s="1993">
        <v>1483.7997685900002</v>
      </c>
      <c r="G103" s="1993">
        <v>4997.994808219999</v>
      </c>
      <c r="H103" s="1993">
        <v>966.87580829000001</v>
      </c>
      <c r="I103" s="1993">
        <v>33.437185759999998</v>
      </c>
      <c r="J103" s="1993">
        <v>933.43862252999998</v>
      </c>
      <c r="K103" s="1993">
        <v>4967.6144122800006</v>
      </c>
      <c r="L103" s="1993">
        <v>1061.4773695300003</v>
      </c>
      <c r="M103" s="1993">
        <v>1036.6847789300002</v>
      </c>
      <c r="N103" s="1993">
        <v>24.7925906</v>
      </c>
      <c r="O103" s="1993">
        <v>3906.1370427500001</v>
      </c>
      <c r="P103" s="1993">
        <v>3396.8780316100001</v>
      </c>
      <c r="Q103" s="1993">
        <v>509.25901113999993</v>
      </c>
      <c r="R103" s="1993">
        <v>1737.1789279700001</v>
      </c>
      <c r="S103" s="1993">
        <v>593.12725676000014</v>
      </c>
      <c r="T103" s="1993">
        <v>579.65820566000014</v>
      </c>
      <c r="U103" s="1993">
        <v>13.4690511</v>
      </c>
      <c r="V103" s="1993">
        <v>1144.0516712099998</v>
      </c>
      <c r="W103" s="1993">
        <v>925.97169045999999</v>
      </c>
      <c r="X103" s="1993">
        <v>218.07998074999998</v>
      </c>
      <c r="Y103" s="1993">
        <v>2481.0559728199996</v>
      </c>
      <c r="Z103" s="1993">
        <v>455.75958481999999</v>
      </c>
      <c r="AA103" s="1993">
        <v>447.11498965999994</v>
      </c>
      <c r="AB103" s="1993">
        <v>8.6445951599999997</v>
      </c>
      <c r="AC103" s="1993">
        <v>2025.2963879999998</v>
      </c>
      <c r="AD103" s="1993">
        <v>1601.1167766099998</v>
      </c>
      <c r="AE103" s="1993">
        <v>424.17961138999999</v>
      </c>
    </row>
    <row r="104" spans="1:31">
      <c r="A104" s="1992">
        <v>2017</v>
      </c>
      <c r="B104" s="1993"/>
      <c r="C104" s="1993"/>
      <c r="D104" s="1993"/>
      <c r="E104" s="1993"/>
      <c r="F104" s="1993"/>
      <c r="G104" s="1993"/>
      <c r="H104" s="1993"/>
      <c r="I104" s="1993"/>
      <c r="J104" s="1993"/>
      <c r="K104" s="1993"/>
      <c r="L104" s="1993"/>
      <c r="M104" s="1993"/>
      <c r="N104" s="1993"/>
      <c r="O104" s="1993"/>
      <c r="P104" s="1993"/>
      <c r="Q104" s="1993"/>
      <c r="R104" s="1993"/>
      <c r="S104" s="1993"/>
      <c r="T104" s="1993"/>
      <c r="U104" s="1993"/>
      <c r="V104" s="1993"/>
      <c r="W104" s="1993"/>
      <c r="X104" s="1993"/>
      <c r="Y104" s="1993"/>
      <c r="Z104" s="1993"/>
      <c r="AA104" s="1993"/>
      <c r="AB104" s="1993"/>
      <c r="AC104" s="1993"/>
      <c r="AD104" s="1993"/>
      <c r="AE104" s="1993"/>
    </row>
    <row r="105" spans="1:31">
      <c r="A105" s="1992">
        <v>1</v>
      </c>
      <c r="B105" s="1993">
        <v>7747.2138473399991</v>
      </c>
      <c r="C105" s="1993">
        <v>1452.69394992</v>
      </c>
      <c r="D105" s="1993">
        <v>6294.5198974199993</v>
      </c>
      <c r="E105" s="1993">
        <v>6753.8906869799994</v>
      </c>
      <c r="F105" s="1993">
        <v>1420.1879446400001</v>
      </c>
      <c r="G105" s="1993">
        <v>5333.7027423399995</v>
      </c>
      <c r="H105" s="1993">
        <v>993.32316035999997</v>
      </c>
      <c r="I105" s="1993">
        <v>32.506005280000004</v>
      </c>
      <c r="J105" s="1993">
        <v>960.81715508000002</v>
      </c>
      <c r="K105" s="1993">
        <v>5157.3086473799995</v>
      </c>
      <c r="L105" s="1993">
        <v>1000.66411306</v>
      </c>
      <c r="M105" s="1993">
        <v>976.17507050999995</v>
      </c>
      <c r="N105" s="1993">
        <v>24.489042550000004</v>
      </c>
      <c r="O105" s="1993">
        <v>4156.6445343199994</v>
      </c>
      <c r="P105" s="1993">
        <v>3620.9460052899999</v>
      </c>
      <c r="Q105" s="1993">
        <v>535.69852903000003</v>
      </c>
      <c r="R105" s="1993">
        <v>1674.8844165500002</v>
      </c>
      <c r="S105" s="1993">
        <v>511.30370879999998</v>
      </c>
      <c r="T105" s="1993">
        <v>499.06653041999999</v>
      </c>
      <c r="U105" s="1993">
        <v>12.237178380000003</v>
      </c>
      <c r="V105" s="1993">
        <v>1163.5807077500001</v>
      </c>
      <c r="W105" s="1993">
        <v>926.81243798000003</v>
      </c>
      <c r="X105" s="1993">
        <v>236.76826976999999</v>
      </c>
      <c r="Y105" s="1993">
        <v>2589.9051999600006</v>
      </c>
      <c r="Z105" s="1993">
        <v>452.02983686000005</v>
      </c>
      <c r="AA105" s="1993">
        <v>444.01287413000006</v>
      </c>
      <c r="AB105" s="1993">
        <v>8.0169627299999995</v>
      </c>
      <c r="AC105" s="1993">
        <v>2137.8753630999995</v>
      </c>
      <c r="AD105" s="1993">
        <v>1712.7567370499999</v>
      </c>
      <c r="AE105" s="1993">
        <v>425.11862604999999</v>
      </c>
    </row>
    <row r="106" spans="1:31">
      <c r="A106" s="1992">
        <v>2</v>
      </c>
      <c r="B106" s="1993">
        <v>7101.7795807599996</v>
      </c>
      <c r="C106" s="1993">
        <v>1463.72423779</v>
      </c>
      <c r="D106" s="1993">
        <v>5638.0553429699994</v>
      </c>
      <c r="E106" s="1993">
        <v>6205.0481601699994</v>
      </c>
      <c r="F106" s="1993">
        <v>1431.2831334499999</v>
      </c>
      <c r="G106" s="1993">
        <v>4773.7650267199997</v>
      </c>
      <c r="H106" s="1993">
        <v>896.73142058999997</v>
      </c>
      <c r="I106" s="1993">
        <v>32.441104340000003</v>
      </c>
      <c r="J106" s="1993">
        <v>864.29031624999993</v>
      </c>
      <c r="K106" s="1993">
        <v>4709.0541522799995</v>
      </c>
      <c r="L106" s="1993">
        <v>1008.8547734</v>
      </c>
      <c r="M106" s="1993">
        <v>986.05256842999995</v>
      </c>
      <c r="N106" s="1993">
        <v>22.802204970000002</v>
      </c>
      <c r="O106" s="1993">
        <v>3700.19937888</v>
      </c>
      <c r="P106" s="1993">
        <v>3204.6507970900002</v>
      </c>
      <c r="Q106" s="1993">
        <v>495.54858178999996</v>
      </c>
      <c r="R106" s="1993">
        <v>1555.77900746</v>
      </c>
      <c r="S106" s="1993">
        <v>510.01916795</v>
      </c>
      <c r="T106" s="1993">
        <v>499.84428459999998</v>
      </c>
      <c r="U106" s="1993">
        <v>10.17488335</v>
      </c>
      <c r="V106" s="1993">
        <v>1045.7598395099999</v>
      </c>
      <c r="W106" s="1993">
        <v>826.15726330999996</v>
      </c>
      <c r="X106" s="1993">
        <v>219.60257619999999</v>
      </c>
      <c r="Y106" s="1993">
        <v>2392.7254284799997</v>
      </c>
      <c r="Z106" s="1993">
        <v>454.86946439000002</v>
      </c>
      <c r="AA106" s="1993">
        <v>445.23056502000003</v>
      </c>
      <c r="AB106" s="1993">
        <v>9.638899369999999</v>
      </c>
      <c r="AC106" s="1993">
        <v>1937.8559640899998</v>
      </c>
      <c r="AD106" s="1993">
        <v>1569.11422963</v>
      </c>
      <c r="AE106" s="1993">
        <v>368.74173445999998</v>
      </c>
    </row>
    <row r="107" spans="1:31">
      <c r="A107" s="1992">
        <v>3</v>
      </c>
      <c r="B107" s="1993">
        <v>6911.4482994199998</v>
      </c>
      <c r="C107" s="1993">
        <v>1480.4727689199999</v>
      </c>
      <c r="D107" s="1993">
        <v>5430.9755305000008</v>
      </c>
      <c r="E107" s="1993">
        <v>6033.8340495500006</v>
      </c>
      <c r="F107" s="1993">
        <v>1446.9942711000001</v>
      </c>
      <c r="G107" s="1993">
        <v>4586.8397784500003</v>
      </c>
      <c r="H107" s="1993">
        <v>877.61424987000009</v>
      </c>
      <c r="I107" s="1993">
        <v>33.478497820000001</v>
      </c>
      <c r="J107" s="1993">
        <v>844.13575205000006</v>
      </c>
      <c r="K107" s="1993">
        <v>4598.95956716</v>
      </c>
      <c r="L107" s="1993">
        <v>1019.97453338</v>
      </c>
      <c r="M107" s="1993">
        <v>996.40465117000008</v>
      </c>
      <c r="N107" s="1993">
        <v>23.569882209999999</v>
      </c>
      <c r="O107" s="1993">
        <v>3578.9850337799999</v>
      </c>
      <c r="P107" s="1993">
        <v>3090.4950881199993</v>
      </c>
      <c r="Q107" s="1993">
        <v>488.48994566000005</v>
      </c>
      <c r="R107" s="1993">
        <v>1486.5612453200001</v>
      </c>
      <c r="S107" s="1993">
        <v>507.79294545999994</v>
      </c>
      <c r="T107" s="1993">
        <v>496.46003026</v>
      </c>
      <c r="U107" s="1993">
        <v>11.332915199999999</v>
      </c>
      <c r="V107" s="1993">
        <v>978.76829986000018</v>
      </c>
      <c r="W107" s="1993">
        <v>761.94903144000011</v>
      </c>
      <c r="X107" s="1993">
        <v>216.81926842000001</v>
      </c>
      <c r="Y107" s="1993">
        <v>2312.4887322599998</v>
      </c>
      <c r="Z107" s="1993">
        <v>460.49823553999994</v>
      </c>
      <c r="AA107" s="1993">
        <v>450.58961992999997</v>
      </c>
      <c r="AB107" s="1993">
        <v>9.90861561</v>
      </c>
      <c r="AC107" s="1993">
        <v>1851.9904967200002</v>
      </c>
      <c r="AD107" s="1993">
        <v>1496.34469033</v>
      </c>
      <c r="AE107" s="1993">
        <v>355.64580639000002</v>
      </c>
    </row>
    <row r="108" spans="1:31">
      <c r="A108" s="1992">
        <v>4</v>
      </c>
      <c r="B108" s="1993">
        <v>6873.1633715100006</v>
      </c>
      <c r="C108" s="1993">
        <v>1608.1923604899998</v>
      </c>
      <c r="D108" s="1993">
        <v>5264.9710110200012</v>
      </c>
      <c r="E108" s="1993">
        <v>6006.2714098500001</v>
      </c>
      <c r="F108" s="1993">
        <v>1572.73132852</v>
      </c>
      <c r="G108" s="1993">
        <v>4433.5400813300002</v>
      </c>
      <c r="H108" s="1993">
        <v>866.89196166000011</v>
      </c>
      <c r="I108" s="1993">
        <v>35.461031970000001</v>
      </c>
      <c r="J108" s="1993">
        <v>831.43092969000008</v>
      </c>
      <c r="K108" s="1993">
        <v>4637.14995421</v>
      </c>
      <c r="L108" s="1993">
        <v>1128.9168918800001</v>
      </c>
      <c r="M108" s="1993">
        <v>1103.4617057600001</v>
      </c>
      <c r="N108" s="1993">
        <v>25.45518612</v>
      </c>
      <c r="O108" s="1993">
        <v>3508.2330623300004</v>
      </c>
      <c r="P108" s="1993">
        <v>3016.9175732100002</v>
      </c>
      <c r="Q108" s="1993">
        <v>491.31548912000005</v>
      </c>
      <c r="R108" s="1993">
        <v>1572.25408954</v>
      </c>
      <c r="S108" s="1993">
        <v>594.38608856999986</v>
      </c>
      <c r="T108" s="1993">
        <v>581.8769082099999</v>
      </c>
      <c r="U108" s="1993">
        <v>12.50918036</v>
      </c>
      <c r="V108" s="1993">
        <v>977.86800097000014</v>
      </c>
      <c r="W108" s="1993">
        <v>760.65189371000008</v>
      </c>
      <c r="X108" s="1993">
        <v>217.21610726000003</v>
      </c>
      <c r="Y108" s="1993">
        <v>2236.0134172999997</v>
      </c>
      <c r="Z108" s="1993">
        <v>479.27546860999996</v>
      </c>
      <c r="AA108" s="1993">
        <v>469.26962275999995</v>
      </c>
      <c r="AB108" s="1993">
        <v>10.005845849999998</v>
      </c>
      <c r="AC108" s="1993">
        <v>1756.7379486899997</v>
      </c>
      <c r="AD108" s="1993">
        <v>1416.6225081199998</v>
      </c>
      <c r="AE108" s="1993">
        <v>340.11544056999998</v>
      </c>
    </row>
    <row r="109" spans="1:31">
      <c r="A109" s="1992">
        <v>5</v>
      </c>
      <c r="B109" s="1993">
        <v>6846.7235042599996</v>
      </c>
      <c r="C109" s="1993">
        <v>1744.77150839</v>
      </c>
      <c r="D109" s="1993">
        <v>5101.9519958699993</v>
      </c>
      <c r="E109" s="1993">
        <v>6017.8606406300005</v>
      </c>
      <c r="F109" s="1993">
        <v>1698.5322011299997</v>
      </c>
      <c r="G109" s="1993">
        <v>4319.3284395000001</v>
      </c>
      <c r="H109" s="1993">
        <v>828.86286362999999</v>
      </c>
      <c r="I109" s="1993">
        <v>46.239307260000004</v>
      </c>
      <c r="J109" s="1993">
        <v>782.62355636999996</v>
      </c>
      <c r="K109" s="1993">
        <v>4650.3283388400005</v>
      </c>
      <c r="L109" s="1993">
        <v>1253.8706366500001</v>
      </c>
      <c r="M109" s="1993">
        <v>1225.0172643899998</v>
      </c>
      <c r="N109" s="1993">
        <v>28.85337226</v>
      </c>
      <c r="O109" s="1993">
        <v>3396.45770219</v>
      </c>
      <c r="P109" s="1993">
        <v>2941.4880281000001</v>
      </c>
      <c r="Q109" s="1993">
        <v>454.96967409000001</v>
      </c>
      <c r="R109" s="1993">
        <v>1643.35169776</v>
      </c>
      <c r="S109" s="1993">
        <v>691.21623787999988</v>
      </c>
      <c r="T109" s="1993">
        <v>679.92399665999994</v>
      </c>
      <c r="U109" s="1993">
        <v>11.292241220000001</v>
      </c>
      <c r="V109" s="1993">
        <v>952.1354598800001</v>
      </c>
      <c r="W109" s="1993">
        <v>759.01058208000006</v>
      </c>
      <c r="X109" s="1993">
        <v>193.12487780000001</v>
      </c>
      <c r="Y109" s="1993">
        <v>2196.39516542</v>
      </c>
      <c r="Z109" s="1993">
        <v>490.90087173999996</v>
      </c>
      <c r="AA109" s="1993">
        <v>473.51493674</v>
      </c>
      <c r="AB109" s="1993">
        <v>17.385935</v>
      </c>
      <c r="AC109" s="1993">
        <v>1705.4942936800001</v>
      </c>
      <c r="AD109" s="1993">
        <v>1377.8404114</v>
      </c>
      <c r="AE109" s="1993">
        <v>327.65388227999995</v>
      </c>
    </row>
    <row r="110" spans="1:31">
      <c r="A110" s="1992">
        <v>6</v>
      </c>
      <c r="B110" s="1993">
        <v>6907.1098250700015</v>
      </c>
      <c r="C110" s="1993">
        <v>1838.4266236000001</v>
      </c>
      <c r="D110" s="1993">
        <v>5068.6832014700003</v>
      </c>
      <c r="E110" s="1993">
        <v>6093.1433046100001</v>
      </c>
      <c r="F110" s="1993">
        <v>1789.3588692499998</v>
      </c>
      <c r="G110" s="1993">
        <v>4303.7844353600003</v>
      </c>
      <c r="H110" s="1993">
        <v>813.96652046000008</v>
      </c>
      <c r="I110" s="1993">
        <v>49.067754350000001</v>
      </c>
      <c r="J110" s="1993">
        <v>764.89876611</v>
      </c>
      <c r="K110" s="1993">
        <v>4705.23386897</v>
      </c>
      <c r="L110" s="1993">
        <v>1341.4902313499999</v>
      </c>
      <c r="M110" s="1993">
        <v>1312.2559013299999</v>
      </c>
      <c r="N110" s="1993">
        <v>29.234330020000002</v>
      </c>
      <c r="O110" s="1993">
        <v>3363.7436376200003</v>
      </c>
      <c r="P110" s="1993">
        <v>2924.54219534</v>
      </c>
      <c r="Q110" s="1993">
        <v>439.20144227999998</v>
      </c>
      <c r="R110" s="1993">
        <v>1733.13516983</v>
      </c>
      <c r="S110" s="1993">
        <v>734.24331022999991</v>
      </c>
      <c r="T110" s="1993">
        <v>721.79423368999994</v>
      </c>
      <c r="U110" s="1993">
        <v>12.44907654</v>
      </c>
      <c r="V110" s="1993">
        <v>998.89185960000009</v>
      </c>
      <c r="W110" s="1993">
        <v>815.96829234000006</v>
      </c>
      <c r="X110" s="1993">
        <v>182.92356725999997</v>
      </c>
      <c r="Y110" s="1993">
        <v>2201.8759561000002</v>
      </c>
      <c r="Z110" s="1993">
        <v>496.93639224999998</v>
      </c>
      <c r="AA110" s="1993">
        <v>477.10296791999997</v>
      </c>
      <c r="AB110" s="1993">
        <v>19.83342433</v>
      </c>
      <c r="AC110" s="1993">
        <v>1704.93956385</v>
      </c>
      <c r="AD110" s="1993">
        <v>1379.2422400200001</v>
      </c>
      <c r="AE110" s="1993">
        <v>325.69732382999996</v>
      </c>
    </row>
    <row r="111" spans="1:31">
      <c r="A111" s="1992">
        <v>7</v>
      </c>
      <c r="B111" s="1993">
        <v>6860.7177209399988</v>
      </c>
      <c r="C111" s="1993">
        <v>1822.0402112700001</v>
      </c>
      <c r="D111" s="1993">
        <v>5038.6775096699985</v>
      </c>
      <c r="E111" s="1993">
        <v>6054.1088052200002</v>
      </c>
      <c r="F111" s="1993">
        <v>1770.3942132900002</v>
      </c>
      <c r="G111" s="1993">
        <v>4283.7145919299992</v>
      </c>
      <c r="H111" s="1993">
        <v>806.60891571999991</v>
      </c>
      <c r="I111" s="1993">
        <v>51.645997980000004</v>
      </c>
      <c r="J111" s="1993">
        <v>754.96291773999997</v>
      </c>
      <c r="K111" s="1993">
        <v>4669.2146708500004</v>
      </c>
      <c r="L111" s="1993">
        <v>1301.41174499</v>
      </c>
      <c r="M111" s="1993">
        <v>1270.18626692</v>
      </c>
      <c r="N111" s="1993">
        <v>31.225478070000001</v>
      </c>
      <c r="O111" s="1993">
        <v>3367.80292586</v>
      </c>
      <c r="P111" s="1993">
        <v>2930.9304453700001</v>
      </c>
      <c r="Q111" s="1993">
        <v>436.87248048999999</v>
      </c>
      <c r="R111" s="1993">
        <v>1648.6893226899999</v>
      </c>
      <c r="S111" s="1993">
        <v>638.9342709199999</v>
      </c>
      <c r="T111" s="1993">
        <v>626.14714468999989</v>
      </c>
      <c r="U111" s="1993">
        <v>12.78712623</v>
      </c>
      <c r="V111" s="1993">
        <v>1009.7550517699999</v>
      </c>
      <c r="W111" s="1993">
        <v>831.21941169999991</v>
      </c>
      <c r="X111" s="1993">
        <v>178.53564007</v>
      </c>
      <c r="Y111" s="1993">
        <v>2191.5030500899998</v>
      </c>
      <c r="Z111" s="1993">
        <v>520.62846628000011</v>
      </c>
      <c r="AA111" s="1993">
        <v>500.20794637000006</v>
      </c>
      <c r="AB111" s="1993">
        <v>20.420519909999999</v>
      </c>
      <c r="AC111" s="1993">
        <v>1670.8745838099996</v>
      </c>
      <c r="AD111" s="1993">
        <v>1352.7841465599997</v>
      </c>
      <c r="AE111" s="1993">
        <v>318.09043724999998</v>
      </c>
    </row>
    <row r="112" spans="1:31">
      <c r="A112" s="1992">
        <v>8</v>
      </c>
      <c r="B112" s="1993">
        <v>6895.4724854100004</v>
      </c>
      <c r="C112" s="1993">
        <v>1918.3876794400001</v>
      </c>
      <c r="D112" s="1993">
        <v>4977.0848059700002</v>
      </c>
      <c r="E112" s="1993">
        <v>6096.6528371899994</v>
      </c>
      <c r="F112" s="1993">
        <v>1863.5428979500002</v>
      </c>
      <c r="G112" s="1993">
        <v>4233.1099392399992</v>
      </c>
      <c r="H112" s="1993">
        <v>798.81964821999998</v>
      </c>
      <c r="I112" s="1993">
        <v>54.844781490000003</v>
      </c>
      <c r="J112" s="1993">
        <v>743.97486673000003</v>
      </c>
      <c r="K112" s="1993">
        <v>4733.3702515000004</v>
      </c>
      <c r="L112" s="1993">
        <v>1383.4952701800003</v>
      </c>
      <c r="M112" s="1993">
        <v>1349.2550590300002</v>
      </c>
      <c r="N112" s="1993">
        <v>34.24021115</v>
      </c>
      <c r="O112" s="1993">
        <v>3349.8749813199997</v>
      </c>
      <c r="P112" s="1993">
        <v>2900.1196946299997</v>
      </c>
      <c r="Q112" s="1993">
        <v>449.75528669000005</v>
      </c>
      <c r="R112" s="1993">
        <v>1715.8992923200001</v>
      </c>
      <c r="S112" s="1993">
        <v>684.21014093999997</v>
      </c>
      <c r="T112" s="1993">
        <v>669.92811483000003</v>
      </c>
      <c r="U112" s="1993">
        <v>14.28202611</v>
      </c>
      <c r="V112" s="1993">
        <v>1031.6891513800001</v>
      </c>
      <c r="W112" s="1993">
        <v>862.80258056000014</v>
      </c>
      <c r="X112" s="1993">
        <v>168.88657082</v>
      </c>
      <c r="Y112" s="1993">
        <v>2162.10223391</v>
      </c>
      <c r="Z112" s="1993">
        <v>534.89240926000002</v>
      </c>
      <c r="AA112" s="1993">
        <v>514.28783892000001</v>
      </c>
      <c r="AB112" s="1993">
        <v>20.604570339999999</v>
      </c>
      <c r="AC112" s="1993">
        <v>1627.2098246499997</v>
      </c>
      <c r="AD112" s="1993">
        <v>1332.99024461</v>
      </c>
      <c r="AE112" s="1993">
        <v>294.21958004000004</v>
      </c>
    </row>
    <row r="113" spans="1:31">
      <c r="A113" s="1992">
        <v>9</v>
      </c>
      <c r="B113" s="1993">
        <v>7022.1769642000008</v>
      </c>
      <c r="C113" s="1993">
        <v>1981.7773606900003</v>
      </c>
      <c r="D113" s="1993">
        <v>5040.3996035100008</v>
      </c>
      <c r="E113" s="1993">
        <v>6239.0849786300005</v>
      </c>
      <c r="F113" s="1993">
        <v>1926.5075668500003</v>
      </c>
      <c r="G113" s="1993">
        <v>4312.5774117800011</v>
      </c>
      <c r="H113" s="1993">
        <v>783.09198557000002</v>
      </c>
      <c r="I113" s="1993">
        <v>55.269793839999998</v>
      </c>
      <c r="J113" s="1993">
        <v>727.82219172999999</v>
      </c>
      <c r="K113" s="1993">
        <v>4883.3877578200008</v>
      </c>
      <c r="L113" s="1993">
        <v>1431.9714366400001</v>
      </c>
      <c r="M113" s="1993">
        <v>1397.8468438000002</v>
      </c>
      <c r="N113" s="1993">
        <v>34.124592839999998</v>
      </c>
      <c r="O113" s="1993">
        <v>3451.4163211800005</v>
      </c>
      <c r="P113" s="1993">
        <v>3010.7522470600006</v>
      </c>
      <c r="Q113" s="1993">
        <v>440.66407412000001</v>
      </c>
      <c r="R113" s="1993">
        <v>1858.0048523999997</v>
      </c>
      <c r="S113" s="1993">
        <v>685.5311386699999</v>
      </c>
      <c r="T113" s="1993">
        <v>672.59218239999996</v>
      </c>
      <c r="U113" s="1993">
        <v>12.93895627</v>
      </c>
      <c r="V113" s="1993">
        <v>1172.4737137299999</v>
      </c>
      <c r="W113" s="1993">
        <v>1011.82683718</v>
      </c>
      <c r="X113" s="1993">
        <v>160.64687655</v>
      </c>
      <c r="Y113" s="1993">
        <v>2138.7892063800005</v>
      </c>
      <c r="Z113" s="1993">
        <v>549.80592405000004</v>
      </c>
      <c r="AA113" s="1993">
        <v>528.66072305</v>
      </c>
      <c r="AB113" s="1993">
        <v>21.145201</v>
      </c>
      <c r="AC113" s="1993">
        <v>1588.9832823300003</v>
      </c>
      <c r="AD113" s="1993">
        <v>1301.8251647200002</v>
      </c>
      <c r="AE113" s="1993">
        <v>287.15811761000003</v>
      </c>
    </row>
    <row r="114" spans="1:31">
      <c r="A114" s="1992">
        <v>10</v>
      </c>
      <c r="B114" s="1993">
        <v>7280.1157314900011</v>
      </c>
      <c r="C114" s="1993">
        <v>2189.5560085300003</v>
      </c>
      <c r="D114" s="1993">
        <v>5090.5597229600007</v>
      </c>
      <c r="E114" s="1993">
        <v>6513.5456944600019</v>
      </c>
      <c r="F114" s="1993">
        <v>2134.6301832300005</v>
      </c>
      <c r="G114" s="1993">
        <v>4378.9155112300014</v>
      </c>
      <c r="H114" s="1993">
        <v>766.57003703000009</v>
      </c>
      <c r="I114" s="1993">
        <v>54.9258253</v>
      </c>
      <c r="J114" s="1993">
        <v>711.64421173000005</v>
      </c>
      <c r="K114" s="1993">
        <v>5131.3671718300011</v>
      </c>
      <c r="L114" s="1993">
        <v>1620.8822610200002</v>
      </c>
      <c r="M114" s="1993">
        <v>1587.3242971800003</v>
      </c>
      <c r="N114" s="1993">
        <v>33.557963839999999</v>
      </c>
      <c r="O114" s="1993">
        <v>3510.4849108100007</v>
      </c>
      <c r="P114" s="1993">
        <v>3072.4716386100008</v>
      </c>
      <c r="Q114" s="1993">
        <v>438.01327220000002</v>
      </c>
      <c r="R114" s="1993">
        <v>2019.8910460700001</v>
      </c>
      <c r="S114" s="1993">
        <v>730.23960569000008</v>
      </c>
      <c r="T114" s="1993">
        <v>717.13511556000003</v>
      </c>
      <c r="U114" s="1993">
        <v>13.104490130000002</v>
      </c>
      <c r="V114" s="1993">
        <v>1289.6514403799999</v>
      </c>
      <c r="W114" s="1993">
        <v>1134.3309391800001</v>
      </c>
      <c r="X114" s="1993">
        <v>155.32050120000002</v>
      </c>
      <c r="Y114" s="1993">
        <v>2148.7485596600004</v>
      </c>
      <c r="Z114" s="1993">
        <v>568.67374751</v>
      </c>
      <c r="AA114" s="1993">
        <v>547.30588605000003</v>
      </c>
      <c r="AB114" s="1993">
        <v>21.36786146</v>
      </c>
      <c r="AC114" s="1993">
        <v>1580.0748121500001</v>
      </c>
      <c r="AD114" s="1993">
        <v>1306.4438726200001</v>
      </c>
      <c r="AE114" s="1993">
        <v>273.63093953000003</v>
      </c>
    </row>
    <row r="115" spans="1:31">
      <c r="A115" s="1992">
        <v>11</v>
      </c>
      <c r="B115" s="1993">
        <v>7370.6137107699997</v>
      </c>
      <c r="C115" s="1993">
        <v>2285.4785869899997</v>
      </c>
      <c r="D115" s="1993">
        <v>5085.13512378</v>
      </c>
      <c r="E115" s="1993">
        <v>6608.0878869699991</v>
      </c>
      <c r="F115" s="1993">
        <v>2226.5753235699999</v>
      </c>
      <c r="G115" s="1993">
        <v>4381.5125633999996</v>
      </c>
      <c r="H115" s="1993">
        <v>762.52582380000001</v>
      </c>
      <c r="I115" s="1993">
        <v>58.903263420000002</v>
      </c>
      <c r="J115" s="1993">
        <v>703.6225603800001</v>
      </c>
      <c r="K115" s="1993">
        <v>5271.1649083900002</v>
      </c>
      <c r="L115" s="1993">
        <v>1696.05278918</v>
      </c>
      <c r="M115" s="1993">
        <v>1661.08392353</v>
      </c>
      <c r="N115" s="1993">
        <v>34.968865649999998</v>
      </c>
      <c r="O115" s="1993">
        <v>3575.1121192099999</v>
      </c>
      <c r="P115" s="1993">
        <v>3127.4061164899999</v>
      </c>
      <c r="Q115" s="1993">
        <v>447.70600272000001</v>
      </c>
      <c r="R115" s="1993">
        <v>2208.9247353199999</v>
      </c>
      <c r="S115" s="1993">
        <v>719.73873243000014</v>
      </c>
      <c r="T115" s="1993">
        <v>705.85328219000007</v>
      </c>
      <c r="U115" s="1993">
        <v>13.885450239999999</v>
      </c>
      <c r="V115" s="1993">
        <v>1489.1860028899998</v>
      </c>
      <c r="W115" s="1993">
        <v>1319.9254439699998</v>
      </c>
      <c r="X115" s="1993">
        <v>169.26055891999999</v>
      </c>
      <c r="Y115" s="1993">
        <v>2099.4488023800004</v>
      </c>
      <c r="Z115" s="1993">
        <v>589.42579780999995</v>
      </c>
      <c r="AA115" s="1993">
        <v>565.49140003999992</v>
      </c>
      <c r="AB115" s="1993">
        <v>23.93439777</v>
      </c>
      <c r="AC115" s="1993">
        <v>1510.02300457</v>
      </c>
      <c r="AD115" s="1993">
        <v>1254.1064469100002</v>
      </c>
      <c r="AE115" s="1993">
        <v>255.91655766000002</v>
      </c>
    </row>
    <row r="116" spans="1:31">
      <c r="A116" s="1992">
        <v>12</v>
      </c>
      <c r="B116" s="1993">
        <v>7561.1649168700005</v>
      </c>
      <c r="C116" s="1993">
        <v>2532.8996759900006</v>
      </c>
      <c r="D116" s="1993">
        <v>5028.2652408800004</v>
      </c>
      <c r="E116" s="1993">
        <v>6816.1689644099997</v>
      </c>
      <c r="F116" s="1993">
        <v>2470.9792299200003</v>
      </c>
      <c r="G116" s="1993">
        <v>4345.1897344899999</v>
      </c>
      <c r="H116" s="1993">
        <v>744.9959524599999</v>
      </c>
      <c r="I116" s="1993">
        <v>61.920446069999997</v>
      </c>
      <c r="J116" s="1993">
        <v>683.07550638999999</v>
      </c>
      <c r="K116" s="1993">
        <v>5531.6934448000011</v>
      </c>
      <c r="L116" s="1993">
        <v>1927.9416608600002</v>
      </c>
      <c r="M116" s="1993">
        <v>1891.0497697700002</v>
      </c>
      <c r="N116" s="1993">
        <v>36.891891090000001</v>
      </c>
      <c r="O116" s="1993">
        <v>3603.7517839400007</v>
      </c>
      <c r="P116" s="1993">
        <v>3168.4605873</v>
      </c>
      <c r="Q116" s="1993">
        <v>435.29119663999995</v>
      </c>
      <c r="R116" s="1993">
        <v>2360.0227070700003</v>
      </c>
      <c r="S116" s="1993">
        <v>833.84853344999999</v>
      </c>
      <c r="T116" s="1993">
        <v>819.24011239000004</v>
      </c>
      <c r="U116" s="1993">
        <v>14.60842106</v>
      </c>
      <c r="V116" s="1993">
        <v>1526.1741736200001</v>
      </c>
      <c r="W116" s="1993">
        <v>1365.0884557700003</v>
      </c>
      <c r="X116" s="1993">
        <v>161.08571784999998</v>
      </c>
      <c r="Y116" s="1993">
        <v>2029.4714720700001</v>
      </c>
      <c r="Z116" s="1993">
        <v>604.95801513000004</v>
      </c>
      <c r="AA116" s="1993">
        <v>579.92946015000007</v>
      </c>
      <c r="AB116" s="1993">
        <v>25.028554979999999</v>
      </c>
      <c r="AC116" s="1993">
        <v>1424.5134569400002</v>
      </c>
      <c r="AD116" s="1993">
        <v>1176.7291471900003</v>
      </c>
      <c r="AE116" s="1993">
        <v>247.78430975000001</v>
      </c>
    </row>
    <row r="117" spans="1:31">
      <c r="A117" s="1992">
        <v>2018</v>
      </c>
      <c r="B117" s="1993"/>
      <c r="C117" s="1993"/>
      <c r="D117" s="1993"/>
      <c r="E117" s="1993"/>
      <c r="F117" s="1993"/>
      <c r="G117" s="1993"/>
      <c r="H117" s="1993"/>
      <c r="I117" s="1993"/>
      <c r="J117" s="1993"/>
      <c r="K117" s="1993"/>
      <c r="L117" s="1993"/>
      <c r="M117" s="1993"/>
      <c r="N117" s="1993"/>
      <c r="O117" s="1993"/>
      <c r="P117" s="1993"/>
      <c r="Q117" s="1993"/>
      <c r="R117" s="1993"/>
      <c r="S117" s="1993"/>
      <c r="T117" s="1993"/>
      <c r="U117" s="1993"/>
      <c r="V117" s="1993"/>
      <c r="W117" s="1993"/>
      <c r="X117" s="1993"/>
      <c r="Y117" s="1993"/>
      <c r="Z117" s="1993"/>
      <c r="AA117" s="1993"/>
      <c r="AB117" s="1993"/>
      <c r="AC117" s="1993"/>
      <c r="AD117" s="1993"/>
      <c r="AE117" s="1993"/>
    </row>
    <row r="118" spans="1:31">
      <c r="A118" s="1992">
        <v>1</v>
      </c>
      <c r="B118" s="1993">
        <v>7497.0399853000008</v>
      </c>
      <c r="C118" s="1993">
        <v>2529.6472036099999</v>
      </c>
      <c r="D118" s="1993">
        <v>4967.3927816900004</v>
      </c>
      <c r="E118" s="1993">
        <v>6747.3187275700002</v>
      </c>
      <c r="F118" s="1993">
        <v>2462.2246009299997</v>
      </c>
      <c r="G118" s="1993">
        <v>4285.0941266400005</v>
      </c>
      <c r="H118" s="1993">
        <v>749.72125772999993</v>
      </c>
      <c r="I118" s="1993">
        <v>67.422602680000011</v>
      </c>
      <c r="J118" s="1993">
        <v>682.29865504999998</v>
      </c>
      <c r="K118" s="1993">
        <v>5486.4540007800006</v>
      </c>
      <c r="L118" s="1993">
        <v>1904.2743460899999</v>
      </c>
      <c r="M118" s="1993">
        <v>1863.4737974299999</v>
      </c>
      <c r="N118" s="1993">
        <v>40.800548659999997</v>
      </c>
      <c r="O118" s="1993">
        <v>3582.17965469</v>
      </c>
      <c r="P118" s="1993">
        <v>3145.26460507</v>
      </c>
      <c r="Q118" s="1993">
        <v>436.91504961999999</v>
      </c>
      <c r="R118" s="1993">
        <v>2255.6485757400001</v>
      </c>
      <c r="S118" s="1993">
        <v>741.69174687999998</v>
      </c>
      <c r="T118" s="1993">
        <v>726.48402321999993</v>
      </c>
      <c r="U118" s="1993">
        <v>15.207723659999999</v>
      </c>
      <c r="V118" s="1993">
        <v>1513.9568288600001</v>
      </c>
      <c r="W118" s="1993">
        <v>1351.4334216499999</v>
      </c>
      <c r="X118" s="1993">
        <v>162.52340721000002</v>
      </c>
      <c r="Y118" s="1993">
        <v>2010.58598452</v>
      </c>
      <c r="Z118" s="1993">
        <v>625.37285751999991</v>
      </c>
      <c r="AA118" s="1993">
        <v>598.75080349999996</v>
      </c>
      <c r="AB118" s="1993">
        <v>26.62205402</v>
      </c>
      <c r="AC118" s="1993">
        <v>1385.213127</v>
      </c>
      <c r="AD118" s="1993">
        <v>1139.82952157</v>
      </c>
      <c r="AE118" s="1993">
        <v>245.38360543000002</v>
      </c>
    </row>
    <row r="119" spans="1:31">
      <c r="A119" s="1992">
        <v>2</v>
      </c>
      <c r="B119" s="1993">
        <v>7750.3027705799996</v>
      </c>
      <c r="C119" s="1993">
        <v>2935.1854748699998</v>
      </c>
      <c r="D119" s="1993">
        <v>4815.1172957099989</v>
      </c>
      <c r="E119" s="1993">
        <v>7014.2037231299992</v>
      </c>
      <c r="F119" s="1993">
        <v>2863.91213814</v>
      </c>
      <c r="G119" s="1993">
        <v>4150.2915849899991</v>
      </c>
      <c r="H119" s="1993">
        <v>736.09904744999994</v>
      </c>
      <c r="I119" s="1993">
        <v>71.273336729999997</v>
      </c>
      <c r="J119" s="1993">
        <v>664.82571071999996</v>
      </c>
      <c r="K119" s="1993">
        <v>5817.1273901699988</v>
      </c>
      <c r="L119" s="1993">
        <v>2288.0093067699995</v>
      </c>
      <c r="M119" s="1993">
        <v>2242.6476549199997</v>
      </c>
      <c r="N119" s="1993">
        <v>45.361651850000001</v>
      </c>
      <c r="O119" s="1993">
        <v>3529.1180833999993</v>
      </c>
      <c r="P119" s="1993">
        <v>3103.3396229699993</v>
      </c>
      <c r="Q119" s="1993">
        <v>425.77846043</v>
      </c>
      <c r="R119" s="1993">
        <v>2472.1859276200003</v>
      </c>
      <c r="S119" s="1993">
        <v>993.99246617000006</v>
      </c>
      <c r="T119" s="1993">
        <v>976.46430667000004</v>
      </c>
      <c r="U119" s="1993">
        <v>17.528159500000001</v>
      </c>
      <c r="V119" s="1993">
        <v>1478.1934614500001</v>
      </c>
      <c r="W119" s="1993">
        <v>1329.5898635999999</v>
      </c>
      <c r="X119" s="1993">
        <v>148.60359785</v>
      </c>
      <c r="Y119" s="1993">
        <v>1933.1753804099997</v>
      </c>
      <c r="Z119" s="1993">
        <v>647.17616810000004</v>
      </c>
      <c r="AA119" s="1993">
        <v>621.2644832200001</v>
      </c>
      <c r="AB119" s="1993">
        <v>25.911684879999999</v>
      </c>
      <c r="AC119" s="1993">
        <v>1285.9992123099998</v>
      </c>
      <c r="AD119" s="1993">
        <v>1046.9519620199999</v>
      </c>
      <c r="AE119" s="1993">
        <v>239.04725028999999</v>
      </c>
    </row>
    <row r="120" spans="1:31">
      <c r="A120" s="1992">
        <v>3</v>
      </c>
      <c r="B120" s="1993">
        <v>7657.1926146200003</v>
      </c>
      <c r="C120" s="1993">
        <v>2751.0534185800002</v>
      </c>
      <c r="D120" s="1993">
        <v>4906.1391960399997</v>
      </c>
      <c r="E120" s="1993">
        <v>6906.2533413499996</v>
      </c>
      <c r="F120" s="1993">
        <v>2652.8160331600002</v>
      </c>
      <c r="G120" s="1993">
        <v>4253.4373081899994</v>
      </c>
      <c r="H120" s="1993">
        <v>750.93927327000006</v>
      </c>
      <c r="I120" s="1993">
        <v>98.237385419999981</v>
      </c>
      <c r="J120" s="1993">
        <v>652.70188785000005</v>
      </c>
      <c r="K120" s="1993">
        <v>5651.9093129399998</v>
      </c>
      <c r="L120" s="1993">
        <v>2084.19498303</v>
      </c>
      <c r="M120" s="1993">
        <v>2013.53215045</v>
      </c>
      <c r="N120" s="1993">
        <v>70.662832579999986</v>
      </c>
      <c r="O120" s="1993">
        <v>3567.7143299099998</v>
      </c>
      <c r="P120" s="1993">
        <v>3151.9051646200001</v>
      </c>
      <c r="Q120" s="1993">
        <v>415.80916529000001</v>
      </c>
      <c r="R120" s="1993">
        <v>2306.7785542799998</v>
      </c>
      <c r="S120" s="1993">
        <v>777.43081287000007</v>
      </c>
      <c r="T120" s="1993">
        <v>736.09329121999997</v>
      </c>
      <c r="U120" s="1993">
        <v>41.337521649999992</v>
      </c>
      <c r="V120" s="1993">
        <v>1529.3477414099998</v>
      </c>
      <c r="W120" s="1993">
        <v>1391.2109921699998</v>
      </c>
      <c r="X120" s="1993">
        <v>138.13674924000003</v>
      </c>
      <c r="Y120" s="1993">
        <v>2005.28330168</v>
      </c>
      <c r="Z120" s="1993">
        <v>666.85843555000008</v>
      </c>
      <c r="AA120" s="1993">
        <v>639.28388271000006</v>
      </c>
      <c r="AB120" s="1993">
        <v>27.574552839999999</v>
      </c>
      <c r="AC120" s="1993">
        <v>1338.4248661300001</v>
      </c>
      <c r="AD120" s="1993">
        <v>1101.5321435699998</v>
      </c>
      <c r="AE120" s="1993">
        <v>236.89272256000001</v>
      </c>
    </row>
    <row r="121" spans="1:31">
      <c r="A121" s="1992">
        <v>4</v>
      </c>
      <c r="B121" s="1993">
        <v>7881.3586957200005</v>
      </c>
      <c r="C121" s="1993">
        <v>2887.83330518</v>
      </c>
      <c r="D121" s="1993">
        <v>4993.5253905400004</v>
      </c>
      <c r="E121" s="1993">
        <v>7155.1260668399991</v>
      </c>
      <c r="F121" s="1993">
        <v>2813.9098562099998</v>
      </c>
      <c r="G121" s="1993">
        <v>4341.2162106299993</v>
      </c>
      <c r="H121" s="1993">
        <v>726.23262888000011</v>
      </c>
      <c r="I121" s="1993">
        <v>73.923448969999995</v>
      </c>
      <c r="J121" s="1993">
        <v>652.30917991000001</v>
      </c>
      <c r="K121" s="1993">
        <v>5801.143322240001</v>
      </c>
      <c r="L121" s="1993">
        <v>2205.6636959899997</v>
      </c>
      <c r="M121" s="1993">
        <v>2161.3763665399997</v>
      </c>
      <c r="N121" s="1993">
        <v>44.287329450000001</v>
      </c>
      <c r="O121" s="1993">
        <v>3595.4796262500004</v>
      </c>
      <c r="P121" s="1993">
        <v>3174.7776455000003</v>
      </c>
      <c r="Q121" s="1993">
        <v>420.70198075000002</v>
      </c>
      <c r="R121" s="1993">
        <v>2452.2098031</v>
      </c>
      <c r="S121" s="1993">
        <v>885.43564898999989</v>
      </c>
      <c r="T121" s="1993">
        <v>871.48363013999995</v>
      </c>
      <c r="U121" s="1993">
        <v>13.95201885</v>
      </c>
      <c r="V121" s="1993">
        <v>1566.7741541099999</v>
      </c>
      <c r="W121" s="1993">
        <v>1413.54359791</v>
      </c>
      <c r="X121" s="1993">
        <v>153.2305562</v>
      </c>
      <c r="Y121" s="1993">
        <v>2080.2153734799999</v>
      </c>
      <c r="Z121" s="1993">
        <v>682.16960919000007</v>
      </c>
      <c r="AA121" s="1993">
        <v>652.53348967000011</v>
      </c>
      <c r="AB121" s="1993">
        <v>29.636119519999998</v>
      </c>
      <c r="AC121" s="1993">
        <v>1398.0457642900001</v>
      </c>
      <c r="AD121" s="1993">
        <v>1166.4385651299999</v>
      </c>
      <c r="AE121" s="1993">
        <v>231.60719916000002</v>
      </c>
    </row>
    <row r="122" spans="1:31">
      <c r="A122" s="1992">
        <v>5</v>
      </c>
      <c r="B122" s="1993">
        <v>7867.4841927100006</v>
      </c>
      <c r="C122" s="1993">
        <v>2919.1610511200001</v>
      </c>
      <c r="D122" s="1993">
        <v>4948.3231415900009</v>
      </c>
      <c r="E122" s="1993">
        <v>7131.9914783800004</v>
      </c>
      <c r="F122" s="1993">
        <v>2841.2712078599998</v>
      </c>
      <c r="G122" s="1993">
        <v>4290.7202705199998</v>
      </c>
      <c r="H122" s="1993">
        <v>735.49271433000001</v>
      </c>
      <c r="I122" s="1993">
        <v>77.889843259999992</v>
      </c>
      <c r="J122" s="1993">
        <v>657.60287106999999</v>
      </c>
      <c r="K122" s="1993">
        <v>5746.0538149900012</v>
      </c>
      <c r="L122" s="1993">
        <v>2210.13287231</v>
      </c>
      <c r="M122" s="1993">
        <v>2158.7737180700001</v>
      </c>
      <c r="N122" s="1993">
        <v>51.359154239999995</v>
      </c>
      <c r="O122" s="1993">
        <v>3535.9209426800007</v>
      </c>
      <c r="P122" s="1993">
        <v>3109.3209601500007</v>
      </c>
      <c r="Q122" s="1993">
        <v>426.59998253000003</v>
      </c>
      <c r="R122" s="1993">
        <v>2301.4850805999999</v>
      </c>
      <c r="S122" s="1993">
        <v>822.95172704000015</v>
      </c>
      <c r="T122" s="1993">
        <v>803.1785452900001</v>
      </c>
      <c r="U122" s="1993">
        <v>19.773181749999999</v>
      </c>
      <c r="V122" s="1993">
        <v>1478.53335356</v>
      </c>
      <c r="W122" s="1993">
        <v>1314.8033323699999</v>
      </c>
      <c r="X122" s="1993">
        <v>163.73002119</v>
      </c>
      <c r="Y122" s="1993">
        <v>2121.4303777200003</v>
      </c>
      <c r="Z122" s="1993">
        <v>709.02817880999999</v>
      </c>
      <c r="AA122" s="1993">
        <v>682.49748978999992</v>
      </c>
      <c r="AB122" s="1993">
        <v>26.530689020000001</v>
      </c>
      <c r="AC122" s="1993">
        <v>1412.4021989099999</v>
      </c>
      <c r="AD122" s="1993">
        <v>1181.39931037</v>
      </c>
      <c r="AE122" s="1993">
        <v>231.00288854000001</v>
      </c>
    </row>
    <row r="123" spans="1:31">
      <c r="A123" s="1992">
        <v>6</v>
      </c>
      <c r="B123" s="1993">
        <v>8109.3167944799998</v>
      </c>
      <c r="C123" s="1993">
        <v>3048.74734674</v>
      </c>
      <c r="D123" s="1993">
        <v>5060.5694477399993</v>
      </c>
      <c r="E123" s="1993">
        <v>7378.9881100100019</v>
      </c>
      <c r="F123" s="1993">
        <v>2969.0324319400002</v>
      </c>
      <c r="G123" s="1993">
        <v>4409.9556780700013</v>
      </c>
      <c r="H123" s="1993">
        <v>730.3286844700001</v>
      </c>
      <c r="I123" s="1993">
        <v>79.714914800000003</v>
      </c>
      <c r="J123" s="1993">
        <v>650.61376967000001</v>
      </c>
      <c r="K123" s="1993">
        <v>5533.6278241199998</v>
      </c>
      <c r="L123" s="1993">
        <v>1978.5591570100003</v>
      </c>
      <c r="M123" s="1993">
        <v>1936.6991054900002</v>
      </c>
      <c r="N123" s="1993">
        <v>41.860051519999999</v>
      </c>
      <c r="O123" s="1993">
        <v>3555.0686671099998</v>
      </c>
      <c r="P123" s="1993">
        <v>3136.59241952</v>
      </c>
      <c r="Q123" s="1993">
        <v>418.47624759000007</v>
      </c>
      <c r="R123" s="1993">
        <v>2398.1602705</v>
      </c>
      <c r="S123" s="1993">
        <v>917.95489522000003</v>
      </c>
      <c r="T123" s="1993">
        <v>902.81722892000005</v>
      </c>
      <c r="U123" s="1993">
        <v>15.137666299999998</v>
      </c>
      <c r="V123" s="1993">
        <v>1480.20537528</v>
      </c>
      <c r="W123" s="1993">
        <v>1318.4304832900002</v>
      </c>
      <c r="X123" s="1993">
        <v>161.77489198999999</v>
      </c>
      <c r="Y123" s="1993">
        <v>2575.6889703599995</v>
      </c>
      <c r="Z123" s="1993">
        <v>1070.18818973</v>
      </c>
      <c r="AA123" s="1993">
        <v>1032.33332645</v>
      </c>
      <c r="AB123" s="1993">
        <v>37.854863280000004</v>
      </c>
      <c r="AC123" s="1993">
        <v>1505.50078063</v>
      </c>
      <c r="AD123" s="1993">
        <v>1273.36325855</v>
      </c>
      <c r="AE123" s="1993">
        <v>232.13752208</v>
      </c>
    </row>
    <row r="124" spans="1:31">
      <c r="A124" s="1992">
        <v>7</v>
      </c>
      <c r="B124" s="1993">
        <v>8049.5306197800001</v>
      </c>
      <c r="C124" s="1993">
        <v>3033.9279491900002</v>
      </c>
      <c r="D124" s="1993">
        <v>5015.6026705900003</v>
      </c>
      <c r="E124" s="1993">
        <v>7334.703613489999</v>
      </c>
      <c r="F124" s="1993">
        <v>2952.1859868500001</v>
      </c>
      <c r="G124" s="1993">
        <v>4382.5176266399994</v>
      </c>
      <c r="H124" s="1993">
        <v>714.82700628999999</v>
      </c>
      <c r="I124" s="1993">
        <v>81.741962340000001</v>
      </c>
      <c r="J124" s="1993">
        <v>633.08504395</v>
      </c>
      <c r="K124" s="1993">
        <v>5507.4194654400007</v>
      </c>
      <c r="L124" s="1993">
        <v>1969.8867920600003</v>
      </c>
      <c r="M124" s="1993">
        <v>1925.7940569700002</v>
      </c>
      <c r="N124" s="1993">
        <v>44.092735089999998</v>
      </c>
      <c r="O124" s="1993">
        <v>3537.5326733800002</v>
      </c>
      <c r="P124" s="1993">
        <v>3131.1249291300001</v>
      </c>
      <c r="Q124" s="1993">
        <v>406.40774425000006</v>
      </c>
      <c r="R124" s="1993">
        <v>2353.5648591600007</v>
      </c>
      <c r="S124" s="1993">
        <v>876.91558681000004</v>
      </c>
      <c r="T124" s="1993">
        <v>860.87594050999996</v>
      </c>
      <c r="U124" s="1993">
        <v>16.039646300000001</v>
      </c>
      <c r="V124" s="1993">
        <v>1476.6492723500003</v>
      </c>
      <c r="W124" s="1993">
        <v>1328.4897727300004</v>
      </c>
      <c r="X124" s="1993">
        <v>148.15949962000002</v>
      </c>
      <c r="Y124" s="1993">
        <v>2542.1111543399998</v>
      </c>
      <c r="Z124" s="1993">
        <v>1064.0411571299999</v>
      </c>
      <c r="AA124" s="1993">
        <v>1026.3919298799999</v>
      </c>
      <c r="AB124" s="1993">
        <v>37.649227250000003</v>
      </c>
      <c r="AC124" s="1993">
        <v>1478.0699972100001</v>
      </c>
      <c r="AD124" s="1993">
        <v>1251.3926975100001</v>
      </c>
      <c r="AE124" s="1993">
        <v>226.67729969999999</v>
      </c>
    </row>
    <row r="125" spans="1:31">
      <c r="A125" s="1992">
        <v>8</v>
      </c>
      <c r="B125" s="1993">
        <v>8020.7721544300002</v>
      </c>
      <c r="C125" s="1993">
        <v>2966.8284411099999</v>
      </c>
      <c r="D125" s="1993">
        <v>5053.9437133199999</v>
      </c>
      <c r="E125" s="1993">
        <v>7308.7455212200002</v>
      </c>
      <c r="F125" s="1993">
        <v>2886.1159376300002</v>
      </c>
      <c r="G125" s="1993">
        <v>4422.6295835900009</v>
      </c>
      <c r="H125" s="1993">
        <v>712.02663321000011</v>
      </c>
      <c r="I125" s="1993">
        <v>80.712503480000009</v>
      </c>
      <c r="J125" s="1993">
        <v>631.31412972999999</v>
      </c>
      <c r="K125" s="1993">
        <v>5520.0750391000001</v>
      </c>
      <c r="L125" s="1993">
        <v>1906.27775144</v>
      </c>
      <c r="M125" s="1993">
        <v>1863.2352920200001</v>
      </c>
      <c r="N125" s="1993">
        <v>43.042459420000007</v>
      </c>
      <c r="O125" s="1993">
        <v>3613.7972876599997</v>
      </c>
      <c r="P125" s="1993">
        <v>3173.73009129</v>
      </c>
      <c r="Q125" s="1993">
        <v>440.06719637000003</v>
      </c>
      <c r="R125" s="1993">
        <v>2312.16482335</v>
      </c>
      <c r="S125" s="1993">
        <v>827.40744354000014</v>
      </c>
      <c r="T125" s="1993">
        <v>811.63838787000009</v>
      </c>
      <c r="U125" s="1993">
        <v>15.76905567</v>
      </c>
      <c r="V125" s="1993">
        <v>1484.7573798099997</v>
      </c>
      <c r="W125" s="1993">
        <v>1336.0791182799999</v>
      </c>
      <c r="X125" s="1993">
        <v>148.67826153000004</v>
      </c>
      <c r="Y125" s="1993">
        <v>2500.6971153300005</v>
      </c>
      <c r="Z125" s="1993">
        <v>1060.5506896700003</v>
      </c>
      <c r="AA125" s="1993">
        <v>1022.8806456100001</v>
      </c>
      <c r="AB125" s="1993">
        <v>37.670044060000002</v>
      </c>
      <c r="AC125" s="1993">
        <v>1440.14642566</v>
      </c>
      <c r="AD125" s="1993">
        <v>1248.8994923</v>
      </c>
      <c r="AE125" s="1993">
        <v>191.24693335999999</v>
      </c>
    </row>
    <row r="126" spans="1:31">
      <c r="A126" s="1992">
        <v>9</v>
      </c>
      <c r="B126" s="1993">
        <v>8199.1276429999998</v>
      </c>
      <c r="C126" s="1993">
        <v>3070.2410098999999</v>
      </c>
      <c r="D126" s="1993">
        <v>5128.886633099999</v>
      </c>
      <c r="E126" s="1993">
        <v>7363.4770324400006</v>
      </c>
      <c r="F126" s="1993">
        <v>2934.0627576400007</v>
      </c>
      <c r="G126" s="1993">
        <v>4429.4142747999995</v>
      </c>
      <c r="H126" s="1993">
        <v>835.6506105599999</v>
      </c>
      <c r="I126" s="1993">
        <v>136.17825226000002</v>
      </c>
      <c r="J126" s="1993">
        <v>699.4723583</v>
      </c>
      <c r="K126" s="1993">
        <v>5752.3377746799997</v>
      </c>
      <c r="L126" s="1993">
        <v>2052.2929290500001</v>
      </c>
      <c r="M126" s="1993">
        <v>1953.9680083400001</v>
      </c>
      <c r="N126" s="1993">
        <v>98.324920710000015</v>
      </c>
      <c r="O126" s="1993">
        <v>3700.0448456300001</v>
      </c>
      <c r="P126" s="1993">
        <v>3190.16330324</v>
      </c>
      <c r="Q126" s="1993">
        <v>509.88154238999999</v>
      </c>
      <c r="R126" s="1993">
        <v>2631.8904663099997</v>
      </c>
      <c r="S126" s="1993">
        <v>976.05798141000002</v>
      </c>
      <c r="T126" s="1993">
        <v>904.95493590000001</v>
      </c>
      <c r="U126" s="1993">
        <v>71.103045510000015</v>
      </c>
      <c r="V126" s="1993">
        <v>1655.8324848999996</v>
      </c>
      <c r="W126" s="1993">
        <v>1437.0148793899996</v>
      </c>
      <c r="X126" s="1993">
        <v>218.81760550999999</v>
      </c>
      <c r="Y126" s="1993">
        <v>2446.7898683200001</v>
      </c>
      <c r="Z126" s="1993">
        <v>1017.94808085</v>
      </c>
      <c r="AA126" s="1993">
        <v>980.09474929999999</v>
      </c>
      <c r="AB126" s="1993">
        <v>37.853331549999993</v>
      </c>
      <c r="AC126" s="1993">
        <v>1428.8417874699999</v>
      </c>
      <c r="AD126" s="1993">
        <v>1239.2509715599997</v>
      </c>
      <c r="AE126" s="1993">
        <v>189.59081591</v>
      </c>
    </row>
    <row r="127" spans="1:31">
      <c r="A127" s="1992">
        <v>10</v>
      </c>
      <c r="B127" s="1993">
        <v>8140.0415015399994</v>
      </c>
      <c r="C127" s="1993">
        <v>2968.14229703</v>
      </c>
      <c r="D127" s="1993">
        <v>5171.8992045099994</v>
      </c>
      <c r="E127" s="1993">
        <v>7295.4615516300009</v>
      </c>
      <c r="F127" s="1993">
        <v>2881.2760688399999</v>
      </c>
      <c r="G127" s="1993">
        <v>4414.1854827900006</v>
      </c>
      <c r="H127" s="1993">
        <v>844.57994990999998</v>
      </c>
      <c r="I127" s="1993">
        <v>86.866228190000001</v>
      </c>
      <c r="J127" s="1993">
        <v>757.71372171999997</v>
      </c>
      <c r="K127" s="1993">
        <v>5721.9515949200004</v>
      </c>
      <c r="L127" s="1993">
        <v>1951.7647698899998</v>
      </c>
      <c r="M127" s="1993">
        <v>1900.9030647399998</v>
      </c>
      <c r="N127" s="1993">
        <v>50.861705150000006</v>
      </c>
      <c r="O127" s="1993">
        <v>3770.1868250299999</v>
      </c>
      <c r="P127" s="1993">
        <v>3198.3940290800001</v>
      </c>
      <c r="Q127" s="1993">
        <v>571.79279594999991</v>
      </c>
      <c r="R127" s="1993">
        <v>2581.96560731</v>
      </c>
      <c r="S127" s="1993">
        <v>893.81149075000008</v>
      </c>
      <c r="T127" s="1993">
        <v>875.5844056200001</v>
      </c>
      <c r="U127" s="1993">
        <v>18.227085130000003</v>
      </c>
      <c r="V127" s="1993">
        <v>1688.1541165599999</v>
      </c>
      <c r="W127" s="1993">
        <v>1407.12624925</v>
      </c>
      <c r="X127" s="1993">
        <v>281.02786730999998</v>
      </c>
      <c r="Y127" s="1993">
        <v>2418.08990662</v>
      </c>
      <c r="Z127" s="1993">
        <v>1016.37752714</v>
      </c>
      <c r="AA127" s="1993">
        <v>980.3730041</v>
      </c>
      <c r="AB127" s="1993">
        <v>36.004523039999995</v>
      </c>
      <c r="AC127" s="1993">
        <v>1401.71237948</v>
      </c>
      <c r="AD127" s="1993">
        <v>1215.7914537099998</v>
      </c>
      <c r="AE127" s="1993">
        <v>185.92092577</v>
      </c>
    </row>
    <row r="128" spans="1:31">
      <c r="A128" s="1992">
        <v>11</v>
      </c>
      <c r="B128" s="1993">
        <v>8073.4974073799985</v>
      </c>
      <c r="C128" s="1993">
        <v>3022.3978956699993</v>
      </c>
      <c r="D128" s="1993">
        <v>5051.0995117099992</v>
      </c>
      <c r="E128" s="1993">
        <v>7313.4535235699996</v>
      </c>
      <c r="F128" s="1993">
        <v>2924.0024755599998</v>
      </c>
      <c r="G128" s="1993">
        <v>4389.4510480099989</v>
      </c>
      <c r="H128" s="1993">
        <v>760.04388381000001</v>
      </c>
      <c r="I128" s="1993">
        <v>98.395420110000003</v>
      </c>
      <c r="J128" s="1993">
        <v>661.64846370000009</v>
      </c>
      <c r="K128" s="1993">
        <v>5704.0945709799989</v>
      </c>
      <c r="L128" s="1993">
        <v>2001.3455705899996</v>
      </c>
      <c r="M128" s="1993">
        <v>1947.0342872199997</v>
      </c>
      <c r="N128" s="1993">
        <v>54.311283369999998</v>
      </c>
      <c r="O128" s="1993">
        <v>3702.7490003899993</v>
      </c>
      <c r="P128" s="1993">
        <v>3219.9523325799992</v>
      </c>
      <c r="Q128" s="1993">
        <v>482.79666781000003</v>
      </c>
      <c r="R128" s="1993">
        <v>2600.3699331199996</v>
      </c>
      <c r="S128" s="1993">
        <v>923.0870461799999</v>
      </c>
      <c r="T128" s="1993">
        <v>905.4018741299999</v>
      </c>
      <c r="U128" s="1993">
        <v>17.685172050000002</v>
      </c>
      <c r="V128" s="1993">
        <v>1677.2828869399998</v>
      </c>
      <c r="W128" s="1993">
        <v>1484.9987250199997</v>
      </c>
      <c r="X128" s="1993">
        <v>192.28416192</v>
      </c>
      <c r="Y128" s="1993">
        <v>2369.4028364000001</v>
      </c>
      <c r="Z128" s="1993">
        <v>1021.0523250799999</v>
      </c>
      <c r="AA128" s="1993">
        <v>976.96818833999998</v>
      </c>
      <c r="AB128" s="1993">
        <v>44.084136740000005</v>
      </c>
      <c r="AC128" s="1993">
        <v>1348.3505113200001</v>
      </c>
      <c r="AD128" s="1993">
        <v>1169.4987154300002</v>
      </c>
      <c r="AE128" s="1993">
        <v>178.85179589000001</v>
      </c>
    </row>
    <row r="129" spans="1:31">
      <c r="A129" s="1992">
        <v>12</v>
      </c>
      <c r="B129" s="1993">
        <v>8375.3809737499996</v>
      </c>
      <c r="C129" s="1993">
        <v>3142.2231517000005</v>
      </c>
      <c r="D129" s="1993">
        <v>5233.1578220499996</v>
      </c>
      <c r="E129" s="1993">
        <v>7611.5719711900001</v>
      </c>
      <c r="F129" s="1993">
        <v>3038.9146249300002</v>
      </c>
      <c r="G129" s="1993">
        <v>4572.6573462599999</v>
      </c>
      <c r="H129" s="1993">
        <v>763.80900256000007</v>
      </c>
      <c r="I129" s="1993">
        <v>103.30852676999999</v>
      </c>
      <c r="J129" s="1993">
        <v>660.50047579000011</v>
      </c>
      <c r="K129" s="1993">
        <v>6007.6955438299992</v>
      </c>
      <c r="L129" s="1993">
        <v>2109.37244186</v>
      </c>
      <c r="M129" s="1993">
        <v>2051.67298979</v>
      </c>
      <c r="N129" s="1993">
        <v>57.699452069999985</v>
      </c>
      <c r="O129" s="1993">
        <v>3898.3231019700002</v>
      </c>
      <c r="P129" s="1993">
        <v>3418.2589523399997</v>
      </c>
      <c r="Q129" s="1993">
        <v>480.06414963000003</v>
      </c>
      <c r="R129" s="1993">
        <v>2793.49047956</v>
      </c>
      <c r="S129" s="1993">
        <v>1042.0562517200001</v>
      </c>
      <c r="T129" s="1993">
        <v>1021.1814805600001</v>
      </c>
      <c r="U129" s="1993">
        <v>20.874771159999995</v>
      </c>
      <c r="V129" s="1993">
        <v>1751.4342278399997</v>
      </c>
      <c r="W129" s="1993">
        <v>1560.1352513399997</v>
      </c>
      <c r="X129" s="1993">
        <v>191.29897650000001</v>
      </c>
      <c r="Y129" s="1993">
        <v>2367.6854299199999</v>
      </c>
      <c r="Z129" s="1993">
        <v>1032.85070984</v>
      </c>
      <c r="AA129" s="1993">
        <v>987.24163513999997</v>
      </c>
      <c r="AB129" s="1993">
        <v>45.609074700000008</v>
      </c>
      <c r="AC129" s="1993">
        <v>1334.8347200799999</v>
      </c>
      <c r="AD129" s="1993">
        <v>1154.39839392</v>
      </c>
      <c r="AE129" s="1993">
        <v>180.43632616000002</v>
      </c>
    </row>
    <row r="130" spans="1:31">
      <c r="A130" s="1992">
        <v>2019</v>
      </c>
      <c r="B130" s="1993"/>
      <c r="C130" s="1993"/>
      <c r="D130" s="1993"/>
      <c r="E130" s="1993"/>
      <c r="F130" s="1993"/>
      <c r="G130" s="1993"/>
      <c r="H130" s="1993"/>
      <c r="I130" s="1993"/>
      <c r="J130" s="1993"/>
      <c r="K130" s="1993"/>
      <c r="L130" s="1993"/>
      <c r="M130" s="1993"/>
      <c r="N130" s="1993"/>
      <c r="O130" s="1993"/>
      <c r="P130" s="1993"/>
      <c r="Q130" s="1993"/>
      <c r="R130" s="1993"/>
      <c r="S130" s="1993"/>
      <c r="T130" s="1993"/>
      <c r="U130" s="1993"/>
      <c r="V130" s="1993"/>
      <c r="W130" s="1993"/>
      <c r="X130" s="1993"/>
      <c r="Y130" s="1993"/>
      <c r="Z130" s="1993"/>
      <c r="AA130" s="1993"/>
      <c r="AB130" s="1993"/>
      <c r="AC130" s="1993"/>
      <c r="AD130" s="1993"/>
      <c r="AE130" s="1993"/>
    </row>
    <row r="131" spans="1:31">
      <c r="A131" s="1992">
        <v>1</v>
      </c>
      <c r="B131" s="1993">
        <v>8075.9421830599995</v>
      </c>
      <c r="C131" s="1993">
        <v>3028.0286833999999</v>
      </c>
      <c r="D131" s="1993">
        <v>5047.9134996600005</v>
      </c>
      <c r="E131" s="1993">
        <v>7290.7329817099999</v>
      </c>
      <c r="F131" s="1993">
        <v>2927.1319528699996</v>
      </c>
      <c r="G131" s="1993">
        <v>4363.6010288400003</v>
      </c>
      <c r="H131" s="1993">
        <v>785.20920135000006</v>
      </c>
      <c r="I131" s="1993">
        <v>100.89673053000001</v>
      </c>
      <c r="J131" s="1993">
        <v>684.31247082000004</v>
      </c>
      <c r="K131" s="1993">
        <v>5736.0068931800006</v>
      </c>
      <c r="L131" s="1993">
        <v>1991.9083041600002</v>
      </c>
      <c r="M131" s="1993">
        <v>1936.1132291399999</v>
      </c>
      <c r="N131" s="1993">
        <v>55.795075020000006</v>
      </c>
      <c r="O131" s="1993">
        <v>3744.0985890200004</v>
      </c>
      <c r="P131" s="1993">
        <v>3236.8308564900003</v>
      </c>
      <c r="Q131" s="1993">
        <v>507.26773253000005</v>
      </c>
      <c r="R131" s="1993">
        <v>2553.6951124500001</v>
      </c>
      <c r="S131" s="1993">
        <v>902.81743503999996</v>
      </c>
      <c r="T131" s="1993">
        <v>884.96083039999996</v>
      </c>
      <c r="U131" s="1993">
        <v>17.85660464</v>
      </c>
      <c r="V131" s="1993">
        <v>1650.8776774099999</v>
      </c>
      <c r="W131" s="1993">
        <v>1445.64834774</v>
      </c>
      <c r="X131" s="1993">
        <v>205.22932967000006</v>
      </c>
      <c r="Y131" s="1993">
        <v>2339.9352898800003</v>
      </c>
      <c r="Z131" s="1993">
        <v>1036.1203792399999</v>
      </c>
      <c r="AA131" s="1993">
        <v>991.01872372999992</v>
      </c>
      <c r="AB131" s="1993">
        <v>45.101655509999993</v>
      </c>
      <c r="AC131" s="1993">
        <v>1303.8149106399999</v>
      </c>
      <c r="AD131" s="1993">
        <v>1126.7701723499999</v>
      </c>
      <c r="AE131" s="1993">
        <v>177.04473829</v>
      </c>
    </row>
    <row r="132" spans="1:31">
      <c r="A132" s="1992">
        <v>2</v>
      </c>
      <c r="B132" s="1993">
        <v>8214.0440353800004</v>
      </c>
      <c r="C132" s="1993">
        <v>3331.5149843699996</v>
      </c>
      <c r="D132" s="1993">
        <v>4882.5290510100003</v>
      </c>
      <c r="E132" s="1993">
        <v>7586.9529529600004</v>
      </c>
      <c r="F132" s="1993">
        <v>3228.8009155</v>
      </c>
      <c r="G132" s="1993">
        <v>4358.1520374600004</v>
      </c>
      <c r="H132" s="1993">
        <v>627.09108242000002</v>
      </c>
      <c r="I132" s="1993">
        <v>102.71406887000001</v>
      </c>
      <c r="J132" s="1993">
        <v>524.37701355000002</v>
      </c>
      <c r="K132" s="1993">
        <v>6056.0489390700004</v>
      </c>
      <c r="L132" s="1993">
        <v>2280.8901818599998</v>
      </c>
      <c r="M132" s="1993">
        <v>2223.8271000199998</v>
      </c>
      <c r="N132" s="1993">
        <v>57.063081840000002</v>
      </c>
      <c r="O132" s="1993">
        <v>3775.1587572100002</v>
      </c>
      <c r="P132" s="1993">
        <v>3307.7187213800003</v>
      </c>
      <c r="Q132" s="1993">
        <v>467.44003583000006</v>
      </c>
      <c r="R132" s="1993">
        <v>2861.58556082</v>
      </c>
      <c r="S132" s="1993">
        <v>1164.92700747</v>
      </c>
      <c r="T132" s="1993">
        <v>1144.4764041600001</v>
      </c>
      <c r="U132" s="1993">
        <v>20.450603309999998</v>
      </c>
      <c r="V132" s="1993">
        <v>1696.6585533500001</v>
      </c>
      <c r="W132" s="1993">
        <v>1495.1039470800001</v>
      </c>
      <c r="X132" s="1993">
        <v>201.55460626999999</v>
      </c>
      <c r="Y132" s="1993">
        <v>2157.99509631</v>
      </c>
      <c r="Z132" s="1993">
        <v>1050.6248025099999</v>
      </c>
      <c r="AA132" s="1993">
        <v>1004.97381548</v>
      </c>
      <c r="AB132" s="1993">
        <v>45.650987030000003</v>
      </c>
      <c r="AC132" s="1993">
        <v>1107.3702937999999</v>
      </c>
      <c r="AD132" s="1993">
        <v>1050.4333160799999</v>
      </c>
      <c r="AE132" s="1993">
        <v>56.936977720000002</v>
      </c>
    </row>
    <row r="133" spans="1:31">
      <c r="A133" s="1992">
        <v>3</v>
      </c>
      <c r="B133" s="1993">
        <v>8339.0993364299993</v>
      </c>
      <c r="C133" s="1993">
        <v>3297.3908343199992</v>
      </c>
      <c r="D133" s="1993">
        <v>5041.7085021100002</v>
      </c>
      <c r="E133" s="1993">
        <v>7732.3840459799994</v>
      </c>
      <c r="F133" s="1993">
        <v>3192.7614520899997</v>
      </c>
      <c r="G133" s="1993">
        <v>4539.6225938899997</v>
      </c>
      <c r="H133" s="1993">
        <v>606.71529045</v>
      </c>
      <c r="I133" s="1993">
        <v>104.62938223</v>
      </c>
      <c r="J133" s="1993">
        <v>502.08590822000002</v>
      </c>
      <c r="K133" s="1993">
        <v>6180.1522621099994</v>
      </c>
      <c r="L133" s="1993">
        <v>2235.5182789499995</v>
      </c>
      <c r="M133" s="1993">
        <v>2177.3162629999997</v>
      </c>
      <c r="N133" s="1993">
        <v>58.202015950000003</v>
      </c>
      <c r="O133" s="1993">
        <v>3944.6339831600003</v>
      </c>
      <c r="P133" s="1993">
        <v>3499.0537123200002</v>
      </c>
      <c r="Q133" s="1993">
        <v>445.58027084000003</v>
      </c>
      <c r="R133" s="1993">
        <v>2850.7544303600002</v>
      </c>
      <c r="S133" s="1993">
        <v>991.50181296000005</v>
      </c>
      <c r="T133" s="1993">
        <v>970.10469719000002</v>
      </c>
      <c r="U133" s="1993">
        <v>21.397115770000003</v>
      </c>
      <c r="V133" s="1993">
        <v>1859.2526174000002</v>
      </c>
      <c r="W133" s="1993">
        <v>1675.4227709400002</v>
      </c>
      <c r="X133" s="1993">
        <v>183.82984646000003</v>
      </c>
      <c r="Y133" s="1993">
        <v>2158.94707432</v>
      </c>
      <c r="Z133" s="1993">
        <v>1061.8725553699999</v>
      </c>
      <c r="AA133" s="1993">
        <v>1015.4451890899999</v>
      </c>
      <c r="AB133" s="1993">
        <v>46.427366280000001</v>
      </c>
      <c r="AC133" s="1993">
        <v>1097.0745189500001</v>
      </c>
      <c r="AD133" s="1993">
        <v>1040.56888157</v>
      </c>
      <c r="AE133" s="1993">
        <v>56.505637379999996</v>
      </c>
    </row>
    <row r="134" spans="1:31">
      <c r="A134" s="1992">
        <v>4</v>
      </c>
      <c r="B134" s="1993">
        <v>8714.9740302499995</v>
      </c>
      <c r="C134" s="1993">
        <v>3621.0354270499993</v>
      </c>
      <c r="D134" s="1993">
        <v>5093.9386032000002</v>
      </c>
      <c r="E134" s="1993">
        <v>8120.04966694</v>
      </c>
      <c r="F134" s="1993">
        <v>3513.5976597399995</v>
      </c>
      <c r="G134" s="1993">
        <v>4606.4520072000005</v>
      </c>
      <c r="H134" s="1993">
        <v>594.92436330999999</v>
      </c>
      <c r="I134" s="1993">
        <v>107.43776731</v>
      </c>
      <c r="J134" s="1993">
        <v>487.48659600000002</v>
      </c>
      <c r="K134" s="1993">
        <v>6501.6427129599997</v>
      </c>
      <c r="L134" s="1993">
        <v>2527.8687839199993</v>
      </c>
      <c r="M134" s="1993">
        <v>2467.2525106399994</v>
      </c>
      <c r="N134" s="1993">
        <v>60.616273279999994</v>
      </c>
      <c r="O134" s="1993">
        <v>3973.77392904</v>
      </c>
      <c r="P134" s="1993">
        <v>3541.3659354900001</v>
      </c>
      <c r="Q134" s="1993">
        <v>432.40799355000001</v>
      </c>
      <c r="R134" s="1993">
        <v>3215.9430687599997</v>
      </c>
      <c r="S134" s="1993">
        <v>1292.2645679399998</v>
      </c>
      <c r="T134" s="1993">
        <v>1270.4268685399998</v>
      </c>
      <c r="U134" s="1993">
        <v>21.837699399999998</v>
      </c>
      <c r="V134" s="1993">
        <v>1923.6785008199997</v>
      </c>
      <c r="W134" s="1993">
        <v>1756.2949558699997</v>
      </c>
      <c r="X134" s="1993">
        <v>167.38354495000002</v>
      </c>
      <c r="Y134" s="1993">
        <v>2213.3313172900002</v>
      </c>
      <c r="Z134" s="1993">
        <v>1093.16664313</v>
      </c>
      <c r="AA134" s="1993">
        <v>1046.3451491000001</v>
      </c>
      <c r="AB134" s="1993">
        <v>46.821494029999997</v>
      </c>
      <c r="AC134" s="1993">
        <v>1120.1646741600002</v>
      </c>
      <c r="AD134" s="1993">
        <v>1065.0860717100002</v>
      </c>
      <c r="AE134" s="1993">
        <v>55.078602449999998</v>
      </c>
    </row>
    <row r="135" spans="1:31">
      <c r="A135" s="1992">
        <v>5</v>
      </c>
      <c r="B135" s="1993">
        <v>8622.9238094699995</v>
      </c>
      <c r="C135" s="1993">
        <v>3672.4891450299997</v>
      </c>
      <c r="D135" s="1993">
        <v>4950.4346644400002</v>
      </c>
      <c r="E135" s="1993">
        <v>8084.5988720299993</v>
      </c>
      <c r="F135" s="1993">
        <v>3559.36022839</v>
      </c>
      <c r="G135" s="1993">
        <v>4525.2386436399993</v>
      </c>
      <c r="H135" s="1993">
        <v>538.32493743999999</v>
      </c>
      <c r="I135" s="1993">
        <v>113.12891664</v>
      </c>
      <c r="J135" s="1993">
        <v>425.19602080000004</v>
      </c>
      <c r="K135" s="1993">
        <v>6520.3301956599998</v>
      </c>
      <c r="L135" s="1993">
        <v>2631.7831141299998</v>
      </c>
      <c r="M135" s="1993">
        <v>2564.5515476</v>
      </c>
      <c r="N135" s="1993">
        <v>67.231566529999995</v>
      </c>
      <c r="O135" s="1993">
        <v>3888.54708153</v>
      </c>
      <c r="P135" s="1993">
        <v>3516.0388695500001</v>
      </c>
      <c r="Q135" s="1993">
        <v>372.50821198000006</v>
      </c>
      <c r="R135" s="1993">
        <v>3213.6735585400002</v>
      </c>
      <c r="S135" s="1993">
        <v>1364.93147576</v>
      </c>
      <c r="T135" s="1993">
        <v>1338.1680182</v>
      </c>
      <c r="U135" s="1993">
        <v>26.763457560000003</v>
      </c>
      <c r="V135" s="1993">
        <v>1848.7420827800001</v>
      </c>
      <c r="W135" s="1993">
        <v>1703.6491898100001</v>
      </c>
      <c r="X135" s="1993">
        <v>145.09289297000007</v>
      </c>
      <c r="Y135" s="1993">
        <v>2102.5936138099996</v>
      </c>
      <c r="Z135" s="1993">
        <v>1040.7060308999999</v>
      </c>
      <c r="AA135" s="1993">
        <v>994.80868078999993</v>
      </c>
      <c r="AB135" s="1993">
        <v>45.897350109999998</v>
      </c>
      <c r="AC135" s="1993">
        <v>1061.88758291</v>
      </c>
      <c r="AD135" s="1993">
        <v>1009.1997740899999</v>
      </c>
      <c r="AE135" s="1993">
        <v>52.687808820000008</v>
      </c>
    </row>
    <row r="136" spans="1:31">
      <c r="A136" s="1992">
        <v>6</v>
      </c>
      <c r="B136" s="1993">
        <v>8736.2501463299996</v>
      </c>
      <c r="C136" s="1993">
        <v>3800.9984868399997</v>
      </c>
      <c r="D136" s="1993">
        <v>4935.2516594899998</v>
      </c>
      <c r="E136" s="1993">
        <v>8233.8561040999994</v>
      </c>
      <c r="F136" s="1993">
        <v>3697.0532530699993</v>
      </c>
      <c r="G136" s="1993">
        <v>4536.8028510300001</v>
      </c>
      <c r="H136" s="1993">
        <v>502.39404223000003</v>
      </c>
      <c r="I136" s="1993">
        <v>103.94523377</v>
      </c>
      <c r="J136" s="1993">
        <v>398.44880846000001</v>
      </c>
      <c r="K136" s="1993">
        <v>6632.5246721200001</v>
      </c>
      <c r="L136" s="1993">
        <v>2750.8426220499996</v>
      </c>
      <c r="M136" s="1993">
        <v>2686.5418416199996</v>
      </c>
      <c r="N136" s="1993">
        <v>64.300780430000003</v>
      </c>
      <c r="O136" s="1993">
        <v>3881.6820500700001</v>
      </c>
      <c r="P136" s="1993">
        <v>3535.1525668600002</v>
      </c>
      <c r="Q136" s="1993">
        <v>346.52948321000002</v>
      </c>
      <c r="R136" s="1993">
        <v>3370.7044842800001</v>
      </c>
      <c r="S136" s="1993">
        <v>1490.1192988600001</v>
      </c>
      <c r="T136" s="1993">
        <v>1466.67377117</v>
      </c>
      <c r="U136" s="1993">
        <v>23.445527689999999</v>
      </c>
      <c r="V136" s="1993">
        <v>1880.58518542</v>
      </c>
      <c r="W136" s="1993">
        <v>1654.8677026400001</v>
      </c>
      <c r="X136" s="1993">
        <v>225.71748278000001</v>
      </c>
      <c r="Y136" s="1993">
        <v>2103.7254742099999</v>
      </c>
      <c r="Z136" s="1993">
        <v>1050.1558647899999</v>
      </c>
      <c r="AA136" s="1993">
        <v>1010.51141145</v>
      </c>
      <c r="AB136" s="1993">
        <v>39.644453339999998</v>
      </c>
      <c r="AC136" s="1993">
        <v>1053.56960942</v>
      </c>
      <c r="AD136" s="1993">
        <v>1001.6502841700001</v>
      </c>
      <c r="AE136" s="1993">
        <v>51.91932525</v>
      </c>
    </row>
    <row r="137" spans="1:31">
      <c r="A137" s="1992">
        <v>7</v>
      </c>
      <c r="B137" s="1993">
        <v>8580.0406136500005</v>
      </c>
      <c r="C137" s="1993">
        <v>3744.6693373600001</v>
      </c>
      <c r="D137" s="1993">
        <v>4835.3712762900004</v>
      </c>
      <c r="E137" s="1993">
        <v>8097.9065478600005</v>
      </c>
      <c r="F137" s="1993">
        <v>3640.6951740999998</v>
      </c>
      <c r="G137" s="1993">
        <v>4457.2113737600002</v>
      </c>
      <c r="H137" s="1993">
        <v>482.13406579000002</v>
      </c>
      <c r="I137" s="1993">
        <v>103.97416325999998</v>
      </c>
      <c r="J137" s="1993">
        <v>378.15990253000007</v>
      </c>
      <c r="K137" s="1993">
        <v>6509.6840994200002</v>
      </c>
      <c r="L137" s="1993">
        <v>2679.3347162099999</v>
      </c>
      <c r="M137" s="1993">
        <v>2615.2334557199997</v>
      </c>
      <c r="N137" s="1993">
        <v>64.101260489999987</v>
      </c>
      <c r="O137" s="1993">
        <v>3830.3493832100003</v>
      </c>
      <c r="P137" s="1993">
        <v>3504.9024964500004</v>
      </c>
      <c r="Q137" s="1993">
        <v>325.44688676000004</v>
      </c>
      <c r="R137" s="1993">
        <v>3195.0452238400003</v>
      </c>
      <c r="S137" s="1993">
        <v>1373.5680113300002</v>
      </c>
      <c r="T137" s="1993">
        <v>1350.2078703500001</v>
      </c>
      <c r="U137" s="1993">
        <v>23.360140979999994</v>
      </c>
      <c r="V137" s="1993">
        <v>1821.4772125099998</v>
      </c>
      <c r="W137" s="1993">
        <v>1612.5534250399999</v>
      </c>
      <c r="X137" s="1993">
        <v>208.92378747000004</v>
      </c>
      <c r="Y137" s="1993">
        <v>2070.3565142300004</v>
      </c>
      <c r="Z137" s="1993">
        <v>1065.3346211500002</v>
      </c>
      <c r="AA137" s="1993">
        <v>1025.4617183800001</v>
      </c>
      <c r="AB137" s="1993">
        <v>39.872902770000003</v>
      </c>
      <c r="AC137" s="1993">
        <v>1005.0218930799999</v>
      </c>
      <c r="AD137" s="1993">
        <v>952.30887730999996</v>
      </c>
      <c r="AE137" s="1993">
        <v>52.713015769999998</v>
      </c>
    </row>
    <row r="138" spans="1:31">
      <c r="A138" s="1992">
        <v>8</v>
      </c>
      <c r="B138" s="1993">
        <v>8561.8422749700003</v>
      </c>
      <c r="C138" s="1993">
        <v>3765.5694871499995</v>
      </c>
      <c r="D138" s="1993">
        <v>4796.2727878200003</v>
      </c>
      <c r="E138" s="1993">
        <v>8078.43782018</v>
      </c>
      <c r="F138" s="1993">
        <v>3659.0012241799996</v>
      </c>
      <c r="G138" s="1993">
        <v>4419.4365960000005</v>
      </c>
      <c r="H138" s="1993">
        <v>483.40445479000005</v>
      </c>
      <c r="I138" s="1993">
        <v>106.56826296999998</v>
      </c>
      <c r="J138" s="1993">
        <v>376.83619182000007</v>
      </c>
      <c r="K138" s="1993">
        <v>6441.8986334800002</v>
      </c>
      <c r="L138" s="1993">
        <v>2689.9068329199995</v>
      </c>
      <c r="M138" s="1993">
        <v>2623.7887863899996</v>
      </c>
      <c r="N138" s="1993">
        <v>66.118046529999987</v>
      </c>
      <c r="O138" s="1993">
        <v>3751.9918005600007</v>
      </c>
      <c r="P138" s="1993">
        <v>3426.7590505200005</v>
      </c>
      <c r="Q138" s="1993">
        <v>325.23275004000004</v>
      </c>
      <c r="R138" s="1993">
        <v>3098.1073455999999</v>
      </c>
      <c r="S138" s="1993">
        <v>1340.0595577399999</v>
      </c>
      <c r="T138" s="1993">
        <v>1315.0244947199999</v>
      </c>
      <c r="U138" s="1993">
        <v>25.035063019999996</v>
      </c>
      <c r="V138" s="1993">
        <v>1758.04778786</v>
      </c>
      <c r="W138" s="1993">
        <v>1549.0958424200001</v>
      </c>
      <c r="X138" s="1993">
        <v>208.95194544000003</v>
      </c>
      <c r="Y138" s="1993">
        <v>2119.9436414900001</v>
      </c>
      <c r="Z138" s="1993">
        <v>1075.66265423</v>
      </c>
      <c r="AA138" s="1993">
        <v>1035.21243779</v>
      </c>
      <c r="AB138" s="1993">
        <v>40.450216439999998</v>
      </c>
      <c r="AC138" s="1993">
        <v>1044.2809872599998</v>
      </c>
      <c r="AD138" s="1993">
        <v>992.67754547999994</v>
      </c>
      <c r="AE138" s="1993">
        <v>51.603441779999997</v>
      </c>
    </row>
    <row r="139" spans="1:31">
      <c r="A139" s="1992">
        <v>9</v>
      </c>
      <c r="B139" s="1993">
        <v>8605.3062544799996</v>
      </c>
      <c r="C139" s="1993">
        <v>3810.2057651500004</v>
      </c>
      <c r="D139" s="1993">
        <v>4795.1004893299996</v>
      </c>
      <c r="E139" s="1993">
        <v>8129.4050174600006</v>
      </c>
      <c r="F139" s="1993">
        <v>3700.6165205100006</v>
      </c>
      <c r="G139" s="1993">
        <v>4428.7884969500001</v>
      </c>
      <c r="H139" s="1993">
        <v>475.90123702</v>
      </c>
      <c r="I139" s="1993">
        <v>109.58924463999999</v>
      </c>
      <c r="J139" s="1993">
        <v>366.31199237999999</v>
      </c>
      <c r="K139" s="1993">
        <v>6458.8127638100004</v>
      </c>
      <c r="L139" s="1993">
        <v>2722.1014536800003</v>
      </c>
      <c r="M139" s="1993">
        <v>2654.6246591900003</v>
      </c>
      <c r="N139" s="1993">
        <v>67.476794489999989</v>
      </c>
      <c r="O139" s="1993">
        <v>3736.7113101300001</v>
      </c>
      <c r="P139" s="1993">
        <v>3420.1666149300004</v>
      </c>
      <c r="Q139" s="1993">
        <v>316.54469519999998</v>
      </c>
      <c r="R139" s="1993">
        <v>3112.5746047499997</v>
      </c>
      <c r="S139" s="1993">
        <v>1362.02321368</v>
      </c>
      <c r="T139" s="1993">
        <v>1335.9792223300001</v>
      </c>
      <c r="U139" s="1993">
        <v>26.043991349999999</v>
      </c>
      <c r="V139" s="1993">
        <v>1750.5513910699997</v>
      </c>
      <c r="W139" s="1993">
        <v>1549.4154976199998</v>
      </c>
      <c r="X139" s="1993">
        <v>201.13589345000003</v>
      </c>
      <c r="Y139" s="1993">
        <v>2146.49349067</v>
      </c>
      <c r="Z139" s="1993">
        <v>1088.1043114700001</v>
      </c>
      <c r="AA139" s="1993">
        <v>1045.99186132</v>
      </c>
      <c r="AB139" s="1993">
        <v>42.112450150000001</v>
      </c>
      <c r="AC139" s="1993">
        <v>1058.3891791999999</v>
      </c>
      <c r="AD139" s="1993">
        <v>1008.62188202</v>
      </c>
      <c r="AE139" s="1993">
        <v>49.767297180000007</v>
      </c>
    </row>
    <row r="140" spans="1:31">
      <c r="A140" s="1992">
        <v>10</v>
      </c>
      <c r="B140" s="1993">
        <v>8811.10468674</v>
      </c>
      <c r="C140" s="1993">
        <v>3926.7345848600003</v>
      </c>
      <c r="D140" s="1993">
        <v>4884.3701018799993</v>
      </c>
      <c r="E140" s="1993">
        <v>8169.1888384099993</v>
      </c>
      <c r="F140" s="1993">
        <v>3814.8323292300001</v>
      </c>
      <c r="G140" s="1993">
        <v>4354.3565091799992</v>
      </c>
      <c r="H140" s="1993">
        <v>641.91584833000002</v>
      </c>
      <c r="I140" s="1993">
        <v>111.90225563</v>
      </c>
      <c r="J140" s="1993">
        <v>530.0135927</v>
      </c>
      <c r="K140" s="1993">
        <v>6623.8035157799995</v>
      </c>
      <c r="L140" s="1993">
        <v>2830.9366581899999</v>
      </c>
      <c r="M140" s="1993">
        <v>2761.68139114</v>
      </c>
      <c r="N140" s="1993">
        <v>69.25526705</v>
      </c>
      <c r="O140" s="1993">
        <v>3792.8668575899997</v>
      </c>
      <c r="P140" s="1993">
        <v>3311.0618508199996</v>
      </c>
      <c r="Q140" s="1993">
        <v>481.80500676999998</v>
      </c>
      <c r="R140" s="1993">
        <v>3277.0431760699994</v>
      </c>
      <c r="S140" s="1993">
        <v>1451.0521270500001</v>
      </c>
      <c r="T140" s="1993">
        <v>1422.05701546</v>
      </c>
      <c r="U140" s="1993">
        <v>28.995111589999997</v>
      </c>
      <c r="V140" s="1993">
        <v>1825.9910490199998</v>
      </c>
      <c r="W140" s="1993">
        <v>1456.7363489999998</v>
      </c>
      <c r="X140" s="1993">
        <v>369.25470001999997</v>
      </c>
      <c r="Y140" s="1993">
        <v>2187.3011709599996</v>
      </c>
      <c r="Z140" s="1993">
        <v>1095.7979266699999</v>
      </c>
      <c r="AA140" s="1993">
        <v>1053.15093809</v>
      </c>
      <c r="AB140" s="1993">
        <v>42.646988579999999</v>
      </c>
      <c r="AC140" s="1993">
        <v>1091.5032442899999</v>
      </c>
      <c r="AD140" s="1993">
        <v>1043.2946583599999</v>
      </c>
      <c r="AE140" s="1993">
        <v>48.208585930000005</v>
      </c>
    </row>
    <row r="141" spans="1:31">
      <c r="A141" s="1992">
        <v>11</v>
      </c>
      <c r="B141" s="1993">
        <v>8681.5184964199998</v>
      </c>
      <c r="C141" s="1993">
        <v>3988.3930927000001</v>
      </c>
      <c r="D141" s="1993">
        <v>4693.1254037199997</v>
      </c>
      <c r="E141" s="1993">
        <v>8169.9872435899997</v>
      </c>
      <c r="F141" s="1993">
        <v>3872.9535122900002</v>
      </c>
      <c r="G141" s="1993">
        <v>4297.0337312999991</v>
      </c>
      <c r="H141" s="1993">
        <v>511.53125283000003</v>
      </c>
      <c r="I141" s="1993">
        <v>115.43958041</v>
      </c>
      <c r="J141" s="1993">
        <v>396.09167242000001</v>
      </c>
      <c r="K141" s="1993">
        <v>6563.1823620000005</v>
      </c>
      <c r="L141" s="1993">
        <v>2974.1982984200004</v>
      </c>
      <c r="M141" s="1993">
        <v>2904.3470528300004</v>
      </c>
      <c r="N141" s="1993">
        <v>69.851245590000005</v>
      </c>
      <c r="O141" s="1993">
        <v>3588.9840635800001</v>
      </c>
      <c r="P141" s="1993">
        <v>3239.4033373299999</v>
      </c>
      <c r="Q141" s="1993">
        <v>349.58072625</v>
      </c>
      <c r="R141" s="1993">
        <v>3109.2243080200001</v>
      </c>
      <c r="S141" s="1993">
        <v>1511.5276151200001</v>
      </c>
      <c r="T141" s="1993">
        <v>1483.6935592500001</v>
      </c>
      <c r="U141" s="1993">
        <v>27.834055870000004</v>
      </c>
      <c r="V141" s="1993">
        <v>1597.6966929</v>
      </c>
      <c r="W141" s="1993">
        <v>1358.57184736</v>
      </c>
      <c r="X141" s="1993">
        <v>239.12484554</v>
      </c>
      <c r="Y141" s="1993">
        <v>2118.3361344199998</v>
      </c>
      <c r="Z141" s="1993">
        <v>1014.1947942799999</v>
      </c>
      <c r="AA141" s="1993">
        <v>968.60645945999988</v>
      </c>
      <c r="AB141" s="1993">
        <v>45.58833482</v>
      </c>
      <c r="AC141" s="1993">
        <v>1104.1413401399998</v>
      </c>
      <c r="AD141" s="1993">
        <v>1057.6303939699999</v>
      </c>
      <c r="AE141" s="1993">
        <v>46.510946169999997</v>
      </c>
    </row>
    <row r="142" spans="1:31">
      <c r="A142" s="1992">
        <v>12</v>
      </c>
      <c r="B142" s="1993">
        <v>8637.9155303500011</v>
      </c>
      <c r="C142" s="1993">
        <v>4132.7329080199997</v>
      </c>
      <c r="D142" s="1993">
        <v>4505.1826223300004</v>
      </c>
      <c r="E142" s="1993">
        <v>8203.6864089799983</v>
      </c>
      <c r="F142" s="1993">
        <v>4010.6293237299997</v>
      </c>
      <c r="G142" s="1993">
        <v>4193.0570852500005</v>
      </c>
      <c r="H142" s="1993">
        <v>434.22912137000003</v>
      </c>
      <c r="I142" s="1993">
        <v>122.10358429</v>
      </c>
      <c r="J142" s="1993">
        <v>312.12553708000002</v>
      </c>
      <c r="K142" s="1993">
        <v>6550.2151859300002</v>
      </c>
      <c r="L142" s="1993">
        <v>3102.4427130099998</v>
      </c>
      <c r="M142" s="1993">
        <v>3026.6754768799997</v>
      </c>
      <c r="N142" s="1993">
        <v>75.767236130000001</v>
      </c>
      <c r="O142" s="1993">
        <v>3447.7724729199999</v>
      </c>
      <c r="P142" s="1993">
        <v>3180.53726087</v>
      </c>
      <c r="Q142" s="1993">
        <v>267.23521205000003</v>
      </c>
      <c r="R142" s="1993">
        <v>2955.0643476600003</v>
      </c>
      <c r="S142" s="1993">
        <v>1565.5802501900002</v>
      </c>
      <c r="T142" s="1993">
        <v>1532.3001263400001</v>
      </c>
      <c r="U142" s="1993">
        <v>33.280123849999995</v>
      </c>
      <c r="V142" s="1993">
        <v>1389.4840974700001</v>
      </c>
      <c r="W142" s="1993">
        <v>1284.3979682500001</v>
      </c>
      <c r="X142" s="1993">
        <v>105.08612922000002</v>
      </c>
      <c r="Y142" s="1993">
        <v>2087.70034442</v>
      </c>
      <c r="Z142" s="1993">
        <v>1030.2901950099999</v>
      </c>
      <c r="AA142" s="1993">
        <v>983.95384684999988</v>
      </c>
      <c r="AB142" s="1993">
        <v>46.33634816</v>
      </c>
      <c r="AC142" s="1993">
        <v>1057.41014941</v>
      </c>
      <c r="AD142" s="1993">
        <v>1012.51982438</v>
      </c>
      <c r="AE142" s="1993">
        <v>44.89032503</v>
      </c>
    </row>
    <row r="143" spans="1:31">
      <c r="A143" s="1992">
        <v>2020</v>
      </c>
      <c r="B143" s="1993"/>
      <c r="C143" s="1993"/>
      <c r="D143" s="1993"/>
      <c r="E143" s="1993"/>
      <c r="F143" s="1993"/>
      <c r="G143" s="1993"/>
      <c r="H143" s="1993"/>
      <c r="I143" s="1993"/>
      <c r="J143" s="1993"/>
      <c r="K143" s="1993"/>
      <c r="L143" s="1993"/>
      <c r="M143" s="1993"/>
      <c r="N143" s="1993"/>
      <c r="O143" s="1993"/>
      <c r="P143" s="1993"/>
      <c r="Q143" s="1993"/>
      <c r="R143" s="1993"/>
      <c r="S143" s="1993"/>
      <c r="T143" s="1993"/>
      <c r="U143" s="1993"/>
      <c r="V143" s="1993"/>
      <c r="W143" s="1993"/>
      <c r="X143" s="1993"/>
      <c r="Y143" s="1993"/>
      <c r="Z143" s="1993"/>
      <c r="AA143" s="1993"/>
      <c r="AB143" s="1993"/>
      <c r="AC143" s="1993"/>
      <c r="AD143" s="1993"/>
      <c r="AE143" s="1993"/>
    </row>
    <row r="144" spans="1:31">
      <c r="A144" s="1992" t="s">
        <v>18</v>
      </c>
      <c r="B144" s="1993">
        <v>8588.4792337399995</v>
      </c>
      <c r="C144" s="1993">
        <v>4199.855578820001</v>
      </c>
      <c r="D144" s="1993">
        <v>4388.6236549199994</v>
      </c>
      <c r="E144" s="1993">
        <v>8165.4175810900006</v>
      </c>
      <c r="F144" s="1993">
        <v>4079.1517216000007</v>
      </c>
      <c r="G144" s="1993">
        <v>4086.265859489999</v>
      </c>
      <c r="H144" s="1993">
        <v>423.06165265000004</v>
      </c>
      <c r="I144" s="1993">
        <v>120.70385722</v>
      </c>
      <c r="J144" s="1993">
        <v>302.35779543000007</v>
      </c>
      <c r="K144" s="1993">
        <v>6495.3926959499995</v>
      </c>
      <c r="L144" s="1993">
        <v>3136.2450272500005</v>
      </c>
      <c r="M144" s="1993">
        <v>3063.6249981400006</v>
      </c>
      <c r="N144" s="1993">
        <v>72.620029110000004</v>
      </c>
      <c r="O144" s="1993">
        <v>3359.147668699999</v>
      </c>
      <c r="P144" s="1993">
        <v>3098.9805696599992</v>
      </c>
      <c r="Q144" s="1993">
        <v>260.16709904000004</v>
      </c>
      <c r="R144" s="1993">
        <v>2928.8061998600001</v>
      </c>
      <c r="S144" s="1993">
        <v>1566.0216184400006</v>
      </c>
      <c r="T144" s="1993">
        <v>1536.3126568600005</v>
      </c>
      <c r="U144" s="1993">
        <v>29.708961580000004</v>
      </c>
      <c r="V144" s="1993">
        <v>1362.7845814199998</v>
      </c>
      <c r="W144" s="1993">
        <v>1262.9153817299998</v>
      </c>
      <c r="X144" s="1993">
        <v>99.869199690000002</v>
      </c>
      <c r="Y144" s="1993">
        <v>2093.08653779</v>
      </c>
      <c r="Z144" s="1993">
        <v>1063.6105515699999</v>
      </c>
      <c r="AA144" s="1993">
        <v>1015.52672346</v>
      </c>
      <c r="AB144" s="1993">
        <v>48.083828109999992</v>
      </c>
      <c r="AC144" s="1993">
        <v>1029.4759862200001</v>
      </c>
      <c r="AD144" s="1993">
        <v>987.28528983000001</v>
      </c>
      <c r="AE144" s="1993">
        <v>42.190696390000006</v>
      </c>
    </row>
    <row r="145" spans="1:31">
      <c r="A145" s="1992" t="s">
        <v>19</v>
      </c>
      <c r="B145" s="1993">
        <v>8694.4112436699997</v>
      </c>
      <c r="C145" s="1993">
        <v>4122.7364282199997</v>
      </c>
      <c r="D145" s="1993">
        <v>4571.6748154500001</v>
      </c>
      <c r="E145" s="1993">
        <v>8073.1237799899991</v>
      </c>
      <c r="F145" s="1993">
        <v>3997.3625117299998</v>
      </c>
      <c r="G145" s="1993">
        <v>4075.7612682599997</v>
      </c>
      <c r="H145" s="1993">
        <v>621.28746367999997</v>
      </c>
      <c r="I145" s="1993">
        <v>125.37391649</v>
      </c>
      <c r="J145" s="1993">
        <v>495.91354719000003</v>
      </c>
      <c r="K145" s="1993">
        <v>6634.89325207</v>
      </c>
      <c r="L145" s="1993">
        <v>3040.2849309899998</v>
      </c>
      <c r="M145" s="1993">
        <v>2963.5213249899998</v>
      </c>
      <c r="N145" s="1993">
        <v>76.76360600000001</v>
      </c>
      <c r="O145" s="1993">
        <v>3594.6083210799998</v>
      </c>
      <c r="P145" s="1993">
        <v>3138.3232784299998</v>
      </c>
      <c r="Q145" s="1993">
        <v>456.28504265000004</v>
      </c>
      <c r="R145" s="1993">
        <v>3091.7952556299997</v>
      </c>
      <c r="S145" s="1993">
        <v>1491.25870338</v>
      </c>
      <c r="T145" s="1993">
        <v>1457.41656754</v>
      </c>
      <c r="U145" s="1993">
        <v>33.842135839999997</v>
      </c>
      <c r="V145" s="1993">
        <v>1600.5365522499999</v>
      </c>
      <c r="W145" s="1993">
        <v>1274.8607790499998</v>
      </c>
      <c r="X145" s="1993">
        <v>325.67577320000004</v>
      </c>
      <c r="Y145" s="1993">
        <v>2059.5179915999997</v>
      </c>
      <c r="Z145" s="1993">
        <v>1082.4514972300001</v>
      </c>
      <c r="AA145" s="1993">
        <v>1033.84118674</v>
      </c>
      <c r="AB145" s="1993">
        <v>48.610310489999996</v>
      </c>
      <c r="AC145" s="1993">
        <v>977.06649436999987</v>
      </c>
      <c r="AD145" s="1993">
        <v>937.43798982999988</v>
      </c>
      <c r="AE145" s="1993">
        <v>39.628504539999994</v>
      </c>
    </row>
    <row r="146" spans="1:31">
      <c r="A146" s="1992" t="s">
        <v>20</v>
      </c>
      <c r="B146" s="1993">
        <v>8251.70134512</v>
      </c>
      <c r="C146" s="1993">
        <v>3701.7202587899997</v>
      </c>
      <c r="D146" s="1993">
        <v>4549.9810863299999</v>
      </c>
      <c r="E146" s="1993">
        <v>7794.7194418899999</v>
      </c>
      <c r="F146" s="1993">
        <v>3589.8849291299998</v>
      </c>
      <c r="G146" s="1993">
        <v>4204.8345127599996</v>
      </c>
      <c r="H146" s="1993">
        <v>456.98190323</v>
      </c>
      <c r="I146" s="1993">
        <v>111.83532966</v>
      </c>
      <c r="J146" s="1993">
        <v>345.14657356999999</v>
      </c>
      <c r="K146" s="1993">
        <v>6256.21372514</v>
      </c>
      <c r="L146" s="1993">
        <v>2681.9281821599998</v>
      </c>
      <c r="M146" s="1993">
        <v>2617.6641960899997</v>
      </c>
      <c r="N146" s="1993">
        <v>64.263986070000001</v>
      </c>
      <c r="O146" s="1993">
        <v>3574.2855429799997</v>
      </c>
      <c r="P146" s="1993">
        <v>3268.4012945899999</v>
      </c>
      <c r="Q146" s="1993">
        <v>305.88424838999998</v>
      </c>
      <c r="R146" s="1993">
        <v>2816.2959852199992</v>
      </c>
      <c r="S146" s="1993">
        <v>1334.2123969199997</v>
      </c>
      <c r="T146" s="1993">
        <v>1305.5922065599998</v>
      </c>
      <c r="U146" s="1993">
        <v>28.620190359999995</v>
      </c>
      <c r="V146" s="1993">
        <v>1482.0835882999997</v>
      </c>
      <c r="W146" s="1993">
        <v>1313.6111079399998</v>
      </c>
      <c r="X146" s="1993">
        <v>168.47248035999999</v>
      </c>
      <c r="Y146" s="1993">
        <v>1995.4876199800001</v>
      </c>
      <c r="Z146" s="1993">
        <v>1019.79207663</v>
      </c>
      <c r="AA146" s="1993">
        <v>972.22073304000003</v>
      </c>
      <c r="AB146" s="1993">
        <v>47.571343589999998</v>
      </c>
      <c r="AC146" s="1993">
        <v>975.69554334999998</v>
      </c>
      <c r="AD146" s="1993">
        <v>936.43321817000003</v>
      </c>
      <c r="AE146" s="1993">
        <v>39.262325180000005</v>
      </c>
    </row>
    <row r="147" spans="1:31">
      <c r="A147" s="1992" t="s">
        <v>21</v>
      </c>
      <c r="B147" s="1993">
        <v>7758</v>
      </c>
      <c r="C147" s="1993">
        <v>3481.0346676200002</v>
      </c>
      <c r="D147" s="1993">
        <v>4276.9809766500002</v>
      </c>
      <c r="E147" s="1993">
        <v>7386.3852780699999</v>
      </c>
      <c r="F147" s="1993">
        <v>3379.8332385499998</v>
      </c>
      <c r="G147" s="1993">
        <v>4006.5520395200006</v>
      </c>
      <c r="H147" s="1993">
        <v>371.63036620000003</v>
      </c>
      <c r="I147" s="1993">
        <v>101.20142907</v>
      </c>
      <c r="J147" s="1993">
        <v>270.42893713000001</v>
      </c>
      <c r="K147" s="1993">
        <v>5879.497872240001</v>
      </c>
      <c r="L147" s="1993">
        <v>2549.29791828</v>
      </c>
      <c r="M147" s="1993">
        <v>2486.8298943499999</v>
      </c>
      <c r="N147" s="1993">
        <v>62.468023930000001</v>
      </c>
      <c r="O147" s="1993">
        <v>3330.1999539600006</v>
      </c>
      <c r="P147" s="1993">
        <v>3090.3220915400007</v>
      </c>
      <c r="Q147" s="1993">
        <v>239.87786242000001</v>
      </c>
      <c r="R147" s="1993">
        <v>2841.7604314700002</v>
      </c>
      <c r="S147" s="1993">
        <v>1413.1998564199998</v>
      </c>
      <c r="T147" s="1993">
        <v>1381.4982432299998</v>
      </c>
      <c r="U147" s="1993">
        <v>31.701613189999996</v>
      </c>
      <c r="V147" s="1993">
        <v>1428.5605750500006</v>
      </c>
      <c r="W147" s="1993">
        <v>1316.9165594700005</v>
      </c>
      <c r="X147" s="1993">
        <v>111.64401558</v>
      </c>
      <c r="Y147" s="1993">
        <v>1878.5177720300003</v>
      </c>
      <c r="Z147" s="1993">
        <v>931.73674934000019</v>
      </c>
      <c r="AA147" s="1993">
        <v>893.00334420000013</v>
      </c>
      <c r="AB147" s="1993">
        <v>38.733405140000002</v>
      </c>
      <c r="AC147" s="1993">
        <v>946.78102268999999</v>
      </c>
      <c r="AD147" s="1993">
        <v>916.22994798000002</v>
      </c>
      <c r="AE147" s="1993">
        <v>30.551074710000002</v>
      </c>
    </row>
    <row r="148" spans="1:31">
      <c r="A148" s="1992" t="s">
        <v>22</v>
      </c>
      <c r="B148" s="1993">
        <v>7661.3</v>
      </c>
      <c r="C148" s="1993">
        <v>3528.3745984400002</v>
      </c>
      <c r="D148" s="1993">
        <v>4132.9581432599998</v>
      </c>
      <c r="E148" s="1993">
        <v>7302.8858875500009</v>
      </c>
      <c r="F148" s="1993">
        <v>3429.4933878500005</v>
      </c>
      <c r="G148" s="1993">
        <v>3873.3924997000004</v>
      </c>
      <c r="H148" s="1993">
        <v>358.44685414999992</v>
      </c>
      <c r="I148" s="1993">
        <v>98.881210589999995</v>
      </c>
      <c r="J148" s="1993">
        <v>259.56564355999996</v>
      </c>
      <c r="K148" s="1993">
        <v>5775.7523916099999</v>
      </c>
      <c r="L148" s="1993">
        <v>2637.2974618000003</v>
      </c>
      <c r="M148" s="1993">
        <v>2575.0350939600003</v>
      </c>
      <c r="N148" s="1993">
        <v>62.262367839999996</v>
      </c>
      <c r="O148" s="1993">
        <v>3138.4549298100001</v>
      </c>
      <c r="P148" s="1993">
        <v>2905.9981808400003</v>
      </c>
      <c r="Q148" s="1993">
        <v>232.45674896999998</v>
      </c>
      <c r="R148" s="1993">
        <v>2967.0823207000003</v>
      </c>
      <c r="S148" s="1993">
        <v>1618.6165247600002</v>
      </c>
      <c r="T148" s="1993">
        <v>1587.3616263900001</v>
      </c>
      <c r="U148" s="1993">
        <v>31.254898369999999</v>
      </c>
      <c r="V148" s="1993">
        <v>1348.4657959399999</v>
      </c>
      <c r="W148" s="1993">
        <v>1240.9052316899999</v>
      </c>
      <c r="X148" s="1993">
        <v>107.56056425</v>
      </c>
      <c r="Y148" s="1993">
        <v>1885.5803500900001</v>
      </c>
      <c r="Z148" s="1993">
        <v>891.07713664000005</v>
      </c>
      <c r="AA148" s="1993">
        <v>854.45829389000005</v>
      </c>
      <c r="AB148" s="1993">
        <v>36.618842749999999</v>
      </c>
      <c r="AC148" s="1993">
        <v>994.50321344999998</v>
      </c>
      <c r="AD148" s="1993">
        <v>967.39431886</v>
      </c>
      <c r="AE148" s="1993">
        <v>27.108894590000002</v>
      </c>
    </row>
    <row r="149" spans="1:31">
      <c r="A149" s="1992" t="s">
        <v>23</v>
      </c>
      <c r="B149" s="1993">
        <v>7706.4012706499998</v>
      </c>
      <c r="C149" s="1993">
        <v>3544.9701049700002</v>
      </c>
      <c r="D149" s="1993">
        <v>4161.43116568</v>
      </c>
      <c r="E149" s="1993">
        <v>7351.4405171899998</v>
      </c>
      <c r="F149" s="1993">
        <v>3442.5546489100002</v>
      </c>
      <c r="G149" s="1993">
        <v>3908.8858682800001</v>
      </c>
      <c r="H149" s="1993">
        <v>354.96075345999998</v>
      </c>
      <c r="I149" s="1993">
        <v>102.41545606</v>
      </c>
      <c r="J149" s="1993">
        <v>252.54529739999998</v>
      </c>
      <c r="K149" s="1993">
        <v>5906.5677469399998</v>
      </c>
      <c r="L149" s="1993">
        <v>2673.0195739100004</v>
      </c>
      <c r="M149" s="1993">
        <v>2610.5422492400003</v>
      </c>
      <c r="N149" s="1993">
        <v>62.477324670000002</v>
      </c>
      <c r="O149" s="1993">
        <v>3233.5481730299998</v>
      </c>
      <c r="P149" s="1993">
        <v>3008.02274889</v>
      </c>
      <c r="Q149" s="1993">
        <v>225.52542413999998</v>
      </c>
      <c r="R149" s="1993">
        <v>3018.19945057</v>
      </c>
      <c r="S149" s="1993">
        <v>1623.9208389700002</v>
      </c>
      <c r="T149" s="1993">
        <v>1594.2524610100002</v>
      </c>
      <c r="U149" s="1993">
        <v>29.668377959999997</v>
      </c>
      <c r="V149" s="1993">
        <v>1394.2786115999997</v>
      </c>
      <c r="W149" s="1993">
        <v>1294.0891212899999</v>
      </c>
      <c r="X149" s="1993">
        <v>100.18949031</v>
      </c>
      <c r="Y149" s="1993">
        <v>1799.83352371</v>
      </c>
      <c r="Z149" s="1993">
        <v>871.95053105999989</v>
      </c>
      <c r="AA149" s="1993">
        <v>832.01239966999992</v>
      </c>
      <c r="AB149" s="1993">
        <v>39.938131390000002</v>
      </c>
      <c r="AC149" s="1993">
        <v>927.88299265000001</v>
      </c>
      <c r="AD149" s="1993">
        <v>900.86311938999995</v>
      </c>
      <c r="AE149" s="1993">
        <v>27.019873260000001</v>
      </c>
    </row>
    <row r="150" spans="1:31">
      <c r="A150" s="1992" t="s">
        <v>24</v>
      </c>
      <c r="B150" s="1993">
        <v>7774.2386770500016</v>
      </c>
      <c r="C150" s="1993">
        <v>3684.9466921599997</v>
      </c>
      <c r="D150" s="1993">
        <v>4089.2919848900005</v>
      </c>
      <c r="E150" s="1993">
        <v>7459.6928587299999</v>
      </c>
      <c r="F150" s="1993">
        <v>3580.5043689799995</v>
      </c>
      <c r="G150" s="1993">
        <v>3879.1884897500004</v>
      </c>
      <c r="H150" s="1993">
        <v>314.54581832000002</v>
      </c>
      <c r="I150" s="1993">
        <v>104.44232318</v>
      </c>
      <c r="J150" s="1993">
        <v>210.10349514000001</v>
      </c>
      <c r="K150" s="1993">
        <v>5867.864881290001</v>
      </c>
      <c r="L150" s="1993">
        <v>2792.94644582</v>
      </c>
      <c r="M150" s="1993">
        <v>2728.5266656099998</v>
      </c>
      <c r="N150" s="1993">
        <v>64.419780209999999</v>
      </c>
      <c r="O150" s="1993">
        <v>3074.9184354700005</v>
      </c>
      <c r="P150" s="1993">
        <v>2891.5221403100004</v>
      </c>
      <c r="Q150" s="1993">
        <v>183.39629515999999</v>
      </c>
      <c r="R150" s="1993">
        <v>3058.4394158299997</v>
      </c>
      <c r="S150" s="1993">
        <v>1650.7743836099996</v>
      </c>
      <c r="T150" s="1993">
        <v>1620.2130031799995</v>
      </c>
      <c r="U150" s="1993">
        <v>30.561380430000003</v>
      </c>
      <c r="V150" s="1993">
        <v>1407.6650322200001</v>
      </c>
      <c r="W150" s="1993">
        <v>1279.7817993400001</v>
      </c>
      <c r="X150" s="1993">
        <v>127.88323287999999</v>
      </c>
      <c r="Y150" s="1993">
        <v>1906.3737957599999</v>
      </c>
      <c r="Z150" s="1993">
        <v>892.00024633999988</v>
      </c>
      <c r="AA150" s="1993">
        <v>851.97770336999986</v>
      </c>
      <c r="AB150" s="1993">
        <v>40.022542970000003</v>
      </c>
      <c r="AC150" s="1993">
        <v>1014.37354942</v>
      </c>
      <c r="AD150" s="1993">
        <v>987.66634943999998</v>
      </c>
      <c r="AE150" s="1993">
        <v>26.707199980000002</v>
      </c>
    </row>
    <row r="151" spans="1:31">
      <c r="A151" s="1992" t="s">
        <v>25</v>
      </c>
      <c r="B151" s="1993">
        <v>7874.4012779299992</v>
      </c>
      <c r="C151" s="1993">
        <v>3579.0921261900003</v>
      </c>
      <c r="D151" s="1993">
        <v>4295.3091517399989</v>
      </c>
      <c r="E151" s="1993">
        <v>7586.7931606000002</v>
      </c>
      <c r="F151" s="1993">
        <v>3474.9544580000002</v>
      </c>
      <c r="G151" s="1993">
        <v>4111.8387026</v>
      </c>
      <c r="H151" s="1993">
        <v>287.60811733000003</v>
      </c>
      <c r="I151" s="1993">
        <v>104.13766819</v>
      </c>
      <c r="J151" s="1993">
        <v>183.47044914</v>
      </c>
      <c r="K151" s="1993">
        <v>5896.1908831000001</v>
      </c>
      <c r="L151" s="1993">
        <v>2673.4608149900005</v>
      </c>
      <c r="M151" s="1993">
        <v>2608.7319497700005</v>
      </c>
      <c r="N151" s="1993">
        <v>64.728865220000003</v>
      </c>
      <c r="O151" s="1993">
        <v>3222.7300681099996</v>
      </c>
      <c r="P151" s="1993">
        <v>3067.5140804899997</v>
      </c>
      <c r="Q151" s="1993">
        <v>155.21598761999999</v>
      </c>
      <c r="R151" s="1993">
        <v>2902.2796027800005</v>
      </c>
      <c r="S151" s="1993">
        <v>1484.1951500500002</v>
      </c>
      <c r="T151" s="1993">
        <v>1454.2250220000001</v>
      </c>
      <c r="U151" s="1993">
        <v>29.97012805</v>
      </c>
      <c r="V151" s="1993">
        <v>1418.0844527300001</v>
      </c>
      <c r="W151" s="1993">
        <v>1318.2980545600001</v>
      </c>
      <c r="X151" s="1993">
        <v>99.786398169999998</v>
      </c>
      <c r="Y151" s="1993">
        <v>1978.2103948299996</v>
      </c>
      <c r="Z151" s="1993">
        <v>905.63131119999991</v>
      </c>
      <c r="AA151" s="1993">
        <v>866.2225082299999</v>
      </c>
      <c r="AB151" s="1993">
        <v>39.408802970000004</v>
      </c>
      <c r="AC151" s="1993">
        <v>1072.5790836299998</v>
      </c>
      <c r="AD151" s="1993">
        <v>1044.3246221099998</v>
      </c>
      <c r="AE151" s="1993">
        <v>28.25446152</v>
      </c>
    </row>
    <row r="152" spans="1:31">
      <c r="A152" s="1992" t="s">
        <v>26</v>
      </c>
      <c r="B152" s="1993">
        <v>7834.2450797000001</v>
      </c>
      <c r="C152" s="1993">
        <v>3613.5960100500001</v>
      </c>
      <c r="D152" s="1993">
        <v>4220.6490696499995</v>
      </c>
      <c r="E152" s="1993">
        <v>7552.9293717700002</v>
      </c>
      <c r="F152" s="1993">
        <v>3510.56493168</v>
      </c>
      <c r="G152" s="1993">
        <v>4042.3644400899998</v>
      </c>
      <c r="H152" s="1993">
        <v>281.31570792999997</v>
      </c>
      <c r="I152" s="1993">
        <v>103.03107837</v>
      </c>
      <c r="J152" s="1993">
        <v>178.28462955999998</v>
      </c>
      <c r="K152" s="1993">
        <v>5825.2891036500005</v>
      </c>
      <c r="L152" s="1993">
        <v>2716.1366229599998</v>
      </c>
      <c r="M152" s="1993">
        <v>2652.5119075600001</v>
      </c>
      <c r="N152" s="1993">
        <v>63.624715399999999</v>
      </c>
      <c r="O152" s="1993">
        <v>3109.1524806900002</v>
      </c>
      <c r="P152" s="1993">
        <v>2958.27883058</v>
      </c>
      <c r="Q152" s="1993">
        <v>150.87365010999997</v>
      </c>
      <c r="R152" s="1993">
        <v>2922.3527418099998</v>
      </c>
      <c r="S152" s="1993">
        <v>1513.21176397</v>
      </c>
      <c r="T152" s="1993">
        <v>1484.3222505700001</v>
      </c>
      <c r="U152" s="1993">
        <v>28.889513400000002</v>
      </c>
      <c r="V152" s="1993">
        <v>1409.1409778399996</v>
      </c>
      <c r="W152" s="1993">
        <v>1313.5260092099995</v>
      </c>
      <c r="X152" s="1993">
        <v>95.614968629999993</v>
      </c>
      <c r="Y152" s="1993">
        <v>2008.9559760500001</v>
      </c>
      <c r="Z152" s="1993">
        <v>897.45938708999995</v>
      </c>
      <c r="AA152" s="1993">
        <v>858.05302411999992</v>
      </c>
      <c r="AB152" s="1993">
        <v>39.406362970000004</v>
      </c>
      <c r="AC152" s="1993">
        <v>1111.4965889600001</v>
      </c>
      <c r="AD152" s="1993">
        <v>1084.08560951</v>
      </c>
      <c r="AE152" s="1993">
        <v>27.410979449999999</v>
      </c>
    </row>
    <row r="153" spans="1:31">
      <c r="A153" s="1992" t="s">
        <v>27</v>
      </c>
      <c r="B153" s="1993">
        <v>7870.3010247400016</v>
      </c>
      <c r="C153" s="1993">
        <v>3696.9854414500001</v>
      </c>
      <c r="D153" s="1993">
        <v>4173.3155832900011</v>
      </c>
      <c r="E153" s="1993">
        <v>7588.5342399200008</v>
      </c>
      <c r="F153" s="1993">
        <v>3594.8031224400002</v>
      </c>
      <c r="G153" s="1993">
        <v>3993.7311174800006</v>
      </c>
      <c r="H153" s="1993">
        <v>281.76678482000005</v>
      </c>
      <c r="I153" s="1993">
        <v>102.18231901</v>
      </c>
      <c r="J153" s="1993">
        <v>179.58446581000004</v>
      </c>
      <c r="K153" s="1993">
        <v>5868.8527532200005</v>
      </c>
      <c r="L153" s="1993">
        <v>2799.7462315799999</v>
      </c>
      <c r="M153" s="1993">
        <v>2736.6749445400001</v>
      </c>
      <c r="N153" s="1993">
        <v>63.071287040000001</v>
      </c>
      <c r="O153" s="1993">
        <v>3069.1065216400007</v>
      </c>
      <c r="P153" s="1993">
        <v>2917.0242469400005</v>
      </c>
      <c r="Q153" s="1993">
        <v>152.08227470000003</v>
      </c>
      <c r="R153" s="1993">
        <v>2977.6567668899997</v>
      </c>
      <c r="S153" s="1993">
        <v>1591.7539182199998</v>
      </c>
      <c r="T153" s="1993">
        <v>1563.0381559999998</v>
      </c>
      <c r="U153" s="1993">
        <v>28.715762219999998</v>
      </c>
      <c r="V153" s="1993">
        <v>1385.9028486699999</v>
      </c>
      <c r="W153" s="1993">
        <v>1287.62491241</v>
      </c>
      <c r="X153" s="1993">
        <v>98.277936260000004</v>
      </c>
      <c r="Y153" s="1993">
        <v>2001.4482715200002</v>
      </c>
      <c r="Z153" s="1993">
        <v>897.23920987000008</v>
      </c>
      <c r="AA153" s="1993">
        <v>858.12817790000008</v>
      </c>
      <c r="AB153" s="1993">
        <v>39.111031969999999</v>
      </c>
      <c r="AC153" s="1993">
        <v>1104.2090616500002</v>
      </c>
      <c r="AD153" s="1993">
        <v>1076.7068705400002</v>
      </c>
      <c r="AE153" s="1993">
        <v>27.502191109999998</v>
      </c>
    </row>
    <row r="154" spans="1:31">
      <c r="A154" s="1992" t="s">
        <v>28</v>
      </c>
      <c r="B154" s="1993">
        <v>7908.2428459499997</v>
      </c>
      <c r="C154" s="1993">
        <v>3742.1603622399998</v>
      </c>
      <c r="D154" s="1993">
        <v>4166.0824837099999</v>
      </c>
      <c r="E154" s="1993">
        <v>7633.4484345599994</v>
      </c>
      <c r="F154" s="1993">
        <v>3638.5323025799999</v>
      </c>
      <c r="G154" s="1993">
        <v>3994.9161319799996</v>
      </c>
      <c r="H154" s="1993">
        <v>274.79441138999999</v>
      </c>
      <c r="I154" s="1993">
        <v>103.62805966000001</v>
      </c>
      <c r="J154" s="1993">
        <v>171.16635173</v>
      </c>
      <c r="K154" s="1993">
        <v>5842.9364901399995</v>
      </c>
      <c r="L154" s="1993">
        <v>2842.6272447199999</v>
      </c>
      <c r="M154" s="1993">
        <v>2779.2671670300001</v>
      </c>
      <c r="N154" s="1993">
        <v>63.360077689999997</v>
      </c>
      <c r="O154" s="1993">
        <v>3000.3092454199996</v>
      </c>
      <c r="P154" s="1993">
        <v>2855.8955976399998</v>
      </c>
      <c r="Q154" s="1993">
        <v>144.41364777999999</v>
      </c>
      <c r="R154" s="1993">
        <v>3131.1310324100004</v>
      </c>
      <c r="S154" s="1993">
        <v>1659.51513707</v>
      </c>
      <c r="T154" s="1993">
        <v>1629.2460382900001</v>
      </c>
      <c r="U154" s="1993">
        <v>30.269098779999997</v>
      </c>
      <c r="V154" s="1993">
        <v>1471.6158953400002</v>
      </c>
      <c r="W154" s="1993">
        <v>1380.8711405700001</v>
      </c>
      <c r="X154" s="1993">
        <v>90.74475477</v>
      </c>
      <c r="Y154" s="1993">
        <v>2065.3063558100002</v>
      </c>
      <c r="Z154" s="1993">
        <v>899.53311752000002</v>
      </c>
      <c r="AA154" s="1993">
        <v>859.26513554999997</v>
      </c>
      <c r="AB154" s="1993">
        <v>40.267981970000008</v>
      </c>
      <c r="AC154" s="1993">
        <v>1165.7732382900001</v>
      </c>
      <c r="AD154" s="1993">
        <v>1139.02053434</v>
      </c>
      <c r="AE154" s="1993">
        <v>26.752703950000001</v>
      </c>
    </row>
    <row r="155" spans="1:31">
      <c r="A155" s="1992" t="s">
        <v>29</v>
      </c>
      <c r="B155" s="1993">
        <v>8177.8867921900019</v>
      </c>
      <c r="C155" s="1993">
        <v>4027.1134842900005</v>
      </c>
      <c r="D155" s="1993">
        <v>4150.7733079000009</v>
      </c>
      <c r="E155" s="1993">
        <v>7897.1303853200006</v>
      </c>
      <c r="F155" s="1993">
        <v>3911.9272055500005</v>
      </c>
      <c r="G155" s="1993">
        <v>3985.2031797700006</v>
      </c>
      <c r="H155" s="1993">
        <v>280.75640686999998</v>
      </c>
      <c r="I155" s="1993">
        <v>115.18627874000001</v>
      </c>
      <c r="J155" s="1993">
        <v>165.57012812999997</v>
      </c>
      <c r="K155" s="1993">
        <v>6105.7480807800002</v>
      </c>
      <c r="L155" s="1993">
        <v>3109.9550031500003</v>
      </c>
      <c r="M155" s="1993">
        <v>3034.9107738500002</v>
      </c>
      <c r="N155" s="1993">
        <v>75.044229300000012</v>
      </c>
      <c r="O155" s="1993">
        <v>2995.7930776300004</v>
      </c>
      <c r="P155" s="1993">
        <v>2856.7763734100004</v>
      </c>
      <c r="Q155" s="1993">
        <v>139.01670421999998</v>
      </c>
      <c r="R155" s="1993">
        <v>3374.4036623300003</v>
      </c>
      <c r="S155" s="1993">
        <v>1886.8482784300004</v>
      </c>
      <c r="T155" s="1993">
        <v>1846.4228726900003</v>
      </c>
      <c r="U155" s="1993">
        <v>40.425405740000002</v>
      </c>
      <c r="V155" s="1993">
        <v>1487.5553838999999</v>
      </c>
      <c r="W155" s="1993">
        <v>1401.6952288799998</v>
      </c>
      <c r="X155" s="1993">
        <v>85.860155019999993</v>
      </c>
      <c r="Y155" s="1993">
        <v>2072.1387114100003</v>
      </c>
      <c r="Z155" s="1993">
        <v>917.15848114000016</v>
      </c>
      <c r="AA155" s="1993">
        <v>877.01643170000011</v>
      </c>
      <c r="AB155" s="1993">
        <v>40.142049440000001</v>
      </c>
      <c r="AC155" s="1993">
        <v>1154.98023027</v>
      </c>
      <c r="AD155" s="1993">
        <v>1128.42680636</v>
      </c>
      <c r="AE155" s="1993">
        <v>26.553423909999999</v>
      </c>
    </row>
    <row r="156" spans="1:31">
      <c r="A156" s="1994">
        <v>2021</v>
      </c>
      <c r="B156" s="1995"/>
      <c r="C156" s="1995"/>
      <c r="D156" s="1995"/>
      <c r="E156" s="1995"/>
      <c r="F156" s="1995"/>
      <c r="G156" s="1995"/>
      <c r="H156" s="1995"/>
      <c r="I156" s="1995"/>
      <c r="J156" s="1995"/>
      <c r="K156" s="1995"/>
      <c r="L156" s="1995"/>
      <c r="M156" s="1995"/>
      <c r="N156" s="1995"/>
      <c r="O156" s="1995"/>
      <c r="P156" s="1995"/>
      <c r="Q156" s="1995"/>
      <c r="R156" s="1995"/>
      <c r="S156" s="1995"/>
      <c r="T156" s="1995"/>
      <c r="U156" s="1995"/>
      <c r="V156" s="1995"/>
      <c r="W156" s="1995"/>
      <c r="X156" s="1995"/>
      <c r="Y156" s="1995"/>
      <c r="Z156" s="1995"/>
      <c r="AA156" s="1995"/>
      <c r="AB156" s="1995"/>
      <c r="AC156" s="1995"/>
      <c r="AD156" s="1995"/>
      <c r="AE156" s="1995"/>
    </row>
    <row r="157" spans="1:31">
      <c r="A157" s="1994" t="s">
        <v>18</v>
      </c>
      <c r="B157" s="1993">
        <v>8202.9098893299997</v>
      </c>
      <c r="C157" s="1993">
        <v>4047.5098022799998</v>
      </c>
      <c r="D157" s="1993">
        <v>4155.4000870500004</v>
      </c>
      <c r="E157" s="1993">
        <v>7916.9531221899997</v>
      </c>
      <c r="F157" s="1993">
        <v>3931.2972171199999</v>
      </c>
      <c r="G157" s="1993">
        <v>3985.6559050699998</v>
      </c>
      <c r="H157" s="1993">
        <v>285.95676714000001</v>
      </c>
      <c r="I157" s="1993">
        <v>116.21258516</v>
      </c>
      <c r="J157" s="1993">
        <v>169.74418198000001</v>
      </c>
      <c r="K157" s="1993">
        <v>6141.8845454599996</v>
      </c>
      <c r="L157" s="1993">
        <v>3122.2300581</v>
      </c>
      <c r="M157" s="1993">
        <v>3046.2074872100002</v>
      </c>
      <c r="N157" s="1993">
        <v>76.022570889999997</v>
      </c>
      <c r="O157" s="1993">
        <v>3019.6544873600001</v>
      </c>
      <c r="P157" s="1993">
        <v>2876.3006158500002</v>
      </c>
      <c r="Q157" s="1993">
        <v>143.35387151</v>
      </c>
      <c r="R157" s="1993">
        <v>3435.0669021200001</v>
      </c>
      <c r="S157" s="1993">
        <v>1868.6757232</v>
      </c>
      <c r="T157" s="1993">
        <v>1832.4695991000001</v>
      </c>
      <c r="U157" s="1993">
        <v>36.206124099999997</v>
      </c>
      <c r="V157" s="1993">
        <v>1566.3911789199999</v>
      </c>
      <c r="W157" s="1993">
        <v>1477.0549723500001</v>
      </c>
      <c r="X157" s="1993">
        <v>89.336206570000002</v>
      </c>
      <c r="Y157" s="1993">
        <v>2061.0253438700001</v>
      </c>
      <c r="Z157" s="1993">
        <v>925.27974417999997</v>
      </c>
      <c r="AA157" s="1993">
        <v>885.08972990999996</v>
      </c>
      <c r="AB157" s="1993">
        <v>40.190014269999999</v>
      </c>
      <c r="AC157" s="1993">
        <v>1135.7455996900001</v>
      </c>
      <c r="AD157" s="1993">
        <v>1109.35528922</v>
      </c>
      <c r="AE157" s="1993">
        <v>26.390310469999999</v>
      </c>
    </row>
    <row r="158" spans="1:31">
      <c r="A158" s="1994" t="s">
        <v>19</v>
      </c>
      <c r="B158" s="1993">
        <v>8379.9494325300002</v>
      </c>
      <c r="C158" s="1993">
        <v>4179.61345661</v>
      </c>
      <c r="D158" s="1993">
        <v>4200.3359759200002</v>
      </c>
      <c r="E158" s="1993">
        <v>8098.0065849700004</v>
      </c>
      <c r="F158" s="1993">
        <v>4065.72686651</v>
      </c>
      <c r="G158" s="1993">
        <v>4032.2797184599999</v>
      </c>
      <c r="H158" s="1993">
        <v>281.94284756000002</v>
      </c>
      <c r="I158" s="1993">
        <v>113.88659010000001</v>
      </c>
      <c r="J158" s="1993">
        <v>168.05625746000001</v>
      </c>
      <c r="K158" s="1993">
        <v>6310.7346587000002</v>
      </c>
      <c r="L158" s="1993">
        <v>3243.9089990000002</v>
      </c>
      <c r="M158" s="1993">
        <v>3171.84538617</v>
      </c>
      <c r="N158" s="1993">
        <v>72.063612829999997</v>
      </c>
      <c r="O158" s="1993">
        <v>3066.8256597</v>
      </c>
      <c r="P158" s="1993">
        <v>2925.0313744599998</v>
      </c>
      <c r="Q158" s="1993">
        <v>141.79428523999999</v>
      </c>
      <c r="R158" s="1993">
        <v>3578.7500446899999</v>
      </c>
      <c r="S158" s="1993">
        <v>1952.0224437500001</v>
      </c>
      <c r="T158" s="1993">
        <v>1919.8020653399999</v>
      </c>
      <c r="U158" s="1993">
        <v>32.220378410000002</v>
      </c>
      <c r="V158" s="1993">
        <v>1626.72760094</v>
      </c>
      <c r="W158" s="1993">
        <v>1537.3435411299999</v>
      </c>
      <c r="X158" s="1993">
        <v>89.384059809999997</v>
      </c>
      <c r="Y158" s="1993">
        <v>2069.21477383</v>
      </c>
      <c r="Z158" s="1993">
        <v>935.70445760999996</v>
      </c>
      <c r="AA158" s="1993">
        <v>893.88148034000005</v>
      </c>
      <c r="AB158" s="1993">
        <v>41.822977270000003</v>
      </c>
      <c r="AC158" s="1993">
        <v>1133.51031622</v>
      </c>
      <c r="AD158" s="1993">
        <v>1107.2483440000001</v>
      </c>
      <c r="AE158" s="1993">
        <v>26.261972220000001</v>
      </c>
    </row>
    <row r="159" spans="1:31">
      <c r="A159" s="1994" t="s">
        <v>20</v>
      </c>
      <c r="B159" s="1993">
        <v>8147.4812487700001</v>
      </c>
      <c r="C159" s="1993">
        <v>4045.8177111199998</v>
      </c>
      <c r="D159" s="1993">
        <v>4101.6635376499999</v>
      </c>
      <c r="E159" s="1993">
        <v>7868.0425565699998</v>
      </c>
      <c r="F159" s="1993">
        <v>3930.8534901799999</v>
      </c>
      <c r="G159" s="1993">
        <v>3937.1890663899999</v>
      </c>
      <c r="H159" s="1993">
        <v>279.43869219999999</v>
      </c>
      <c r="I159" s="1993">
        <v>114.96422094</v>
      </c>
      <c r="J159" s="1993">
        <v>164.47447126</v>
      </c>
      <c r="K159" s="1993">
        <v>6074.4546684500001</v>
      </c>
      <c r="L159" s="1993">
        <v>3100.1470525300001</v>
      </c>
      <c r="M159" s="1993">
        <v>3027.17852498</v>
      </c>
      <c r="N159" s="1993">
        <v>72.968527550000005</v>
      </c>
      <c r="O159" s="1993">
        <v>2974.30761592</v>
      </c>
      <c r="P159" s="1993">
        <v>2836.94836412</v>
      </c>
      <c r="Q159" s="1993">
        <v>137.35925180000001</v>
      </c>
      <c r="R159" s="1993">
        <v>3326.6817631399999</v>
      </c>
      <c r="S159" s="1993">
        <v>1737.5526218699999</v>
      </c>
      <c r="T159" s="1993">
        <v>1705.25479344</v>
      </c>
      <c r="U159" s="1993">
        <v>32.297828430000003</v>
      </c>
      <c r="V159" s="1993">
        <v>1589.12914127</v>
      </c>
      <c r="W159" s="1993">
        <v>1502.4335048</v>
      </c>
      <c r="X159" s="1993">
        <v>86.695636469999997</v>
      </c>
      <c r="Y159" s="1993">
        <v>2073.02658032</v>
      </c>
      <c r="Z159" s="1993">
        <v>945.67065859000002</v>
      </c>
      <c r="AA159" s="1993">
        <v>903.67496519999997</v>
      </c>
      <c r="AB159" s="1993">
        <v>41.99569339</v>
      </c>
      <c r="AC159" s="1993">
        <v>1127.3559217300001</v>
      </c>
      <c r="AD159" s="1993">
        <v>1100.2407022699999</v>
      </c>
      <c r="AE159" s="1993">
        <v>27.115219459999999</v>
      </c>
    </row>
    <row r="160" spans="1:31">
      <c r="A160" s="1994" t="s">
        <v>21</v>
      </c>
      <c r="B160" s="1993">
        <v>8352.9226073400005</v>
      </c>
      <c r="C160" s="1993">
        <v>4285.2235069199996</v>
      </c>
      <c r="D160" s="1993">
        <v>4067.6991004199999</v>
      </c>
      <c r="E160" s="1993">
        <v>8074.5427841800001</v>
      </c>
      <c r="F160" s="1993">
        <v>4166.9760101600004</v>
      </c>
      <c r="G160" s="1993">
        <v>3907.5667740200001</v>
      </c>
      <c r="H160" s="1993">
        <v>278.37982316</v>
      </c>
      <c r="I160" s="1993">
        <v>118.24749676</v>
      </c>
      <c r="J160" s="1993">
        <v>160.13232640000001</v>
      </c>
      <c r="K160" s="1993">
        <v>6259.2910267999996</v>
      </c>
      <c r="L160" s="1993">
        <v>3317.3896296299999</v>
      </c>
      <c r="M160" s="1993">
        <v>3241.7320842600002</v>
      </c>
      <c r="N160" s="1993">
        <v>75.657545369999994</v>
      </c>
      <c r="O160" s="1993">
        <v>2941.9013971700001</v>
      </c>
      <c r="P160" s="1993">
        <v>2808.40436869</v>
      </c>
      <c r="Q160" s="1993">
        <v>133.49702848000001</v>
      </c>
      <c r="R160" s="1993">
        <v>3438.04072623</v>
      </c>
      <c r="S160" s="1993">
        <v>1862.40869152</v>
      </c>
      <c r="T160" s="1993">
        <v>1828.3675774799999</v>
      </c>
      <c r="U160" s="1993">
        <v>34.041114039999997</v>
      </c>
      <c r="V160" s="1993">
        <v>1575.63203471</v>
      </c>
      <c r="W160" s="1993">
        <v>1492.01292595</v>
      </c>
      <c r="X160" s="1993">
        <v>83.619108760000003</v>
      </c>
      <c r="Y160" s="1993">
        <v>2093.63158054</v>
      </c>
      <c r="Z160" s="1993">
        <v>967.83387729000003</v>
      </c>
      <c r="AA160" s="1993">
        <v>925.24392590000002</v>
      </c>
      <c r="AB160" s="1993">
        <v>42.589951390000003</v>
      </c>
      <c r="AC160" s="1993">
        <v>1125.79770325</v>
      </c>
      <c r="AD160" s="1993">
        <v>1099.16240533</v>
      </c>
      <c r="AE160" s="1993">
        <v>26.635297919999999</v>
      </c>
    </row>
    <row r="161" spans="1:31">
      <c r="A161" s="1994" t="s">
        <v>22</v>
      </c>
      <c r="B161" s="1993">
        <v>8635.1500713999994</v>
      </c>
      <c r="C161" s="1993">
        <v>4741.6438670300004</v>
      </c>
      <c r="D161" s="1993">
        <v>3893.50620437</v>
      </c>
      <c r="E161" s="1993">
        <v>8355.7176927</v>
      </c>
      <c r="F161" s="1993">
        <v>4621.5517271999997</v>
      </c>
      <c r="G161" s="1993">
        <v>3734.1659654999999</v>
      </c>
      <c r="H161" s="1993">
        <v>279.43237870000002</v>
      </c>
      <c r="I161" s="1993">
        <v>120.09213982999999</v>
      </c>
      <c r="J161" s="1993">
        <v>159.34023887000001</v>
      </c>
      <c r="K161" s="1993">
        <v>6500.4225577300003</v>
      </c>
      <c r="L161" s="1993">
        <v>3758.08346248</v>
      </c>
      <c r="M161" s="1993">
        <v>3681.3617859800001</v>
      </c>
      <c r="N161" s="1993">
        <v>76.721676500000001</v>
      </c>
      <c r="O161" s="1993">
        <v>2742.3390952499999</v>
      </c>
      <c r="P161" s="1993">
        <v>2609.64231642</v>
      </c>
      <c r="Q161" s="1993">
        <v>132.69677883</v>
      </c>
      <c r="R161" s="1993">
        <v>3639.25691886</v>
      </c>
      <c r="S161" s="1993">
        <v>2257.2199849100002</v>
      </c>
      <c r="T161" s="1993">
        <v>2223.2501714599998</v>
      </c>
      <c r="U161" s="1993">
        <v>33.969813449999997</v>
      </c>
      <c r="V161" s="1993">
        <v>1382.03693395</v>
      </c>
      <c r="W161" s="1993">
        <v>1298.17477162</v>
      </c>
      <c r="X161" s="1993">
        <v>83.862162330000004</v>
      </c>
      <c r="Y161" s="1993">
        <v>2134.72751367</v>
      </c>
      <c r="Z161" s="1993">
        <v>983.56040455000004</v>
      </c>
      <c r="AA161" s="1993">
        <v>940.18994122000004</v>
      </c>
      <c r="AB161" s="1993">
        <v>43.37046333</v>
      </c>
      <c r="AC161" s="1993">
        <v>1151.1671091200001</v>
      </c>
      <c r="AD161" s="1993">
        <v>1124.52364908</v>
      </c>
      <c r="AE161" s="1993">
        <v>26.643460040000001</v>
      </c>
    </row>
    <row r="162" spans="1:31">
      <c r="A162" s="1994" t="s">
        <v>23</v>
      </c>
      <c r="B162" s="1993">
        <v>8435.4425984400004</v>
      </c>
      <c r="C162" s="1993">
        <v>4581.7992435400001</v>
      </c>
      <c r="D162" s="1993">
        <v>3853.6433548999998</v>
      </c>
      <c r="E162" s="1993">
        <v>8139.9971844399997</v>
      </c>
      <c r="F162" s="1993">
        <v>4449.0094980200001</v>
      </c>
      <c r="G162" s="1993">
        <v>3690.98768642</v>
      </c>
      <c r="H162" s="1993">
        <v>295.44541400000003</v>
      </c>
      <c r="I162" s="1993">
        <v>132.78974552</v>
      </c>
      <c r="J162" s="1993">
        <v>162.65566848</v>
      </c>
      <c r="K162" s="1993">
        <v>6291.30578582</v>
      </c>
      <c r="L162" s="1993">
        <v>3566.5089448600002</v>
      </c>
      <c r="M162" s="1993">
        <v>3482.4114636700001</v>
      </c>
      <c r="N162" s="1993">
        <v>84.097481189999996</v>
      </c>
      <c r="O162" s="1993">
        <v>2724.7968409599998</v>
      </c>
      <c r="P162" s="1993">
        <v>2588.7485390500001</v>
      </c>
      <c r="Q162" s="1993">
        <v>136.04830190999999</v>
      </c>
      <c r="R162" s="1993">
        <v>3413.2464435000002</v>
      </c>
      <c r="S162" s="1993">
        <v>2038.4566502800001</v>
      </c>
      <c r="T162" s="1993">
        <v>1996.9320044999999</v>
      </c>
      <c r="U162" s="1993">
        <v>41.52464578</v>
      </c>
      <c r="V162" s="1993">
        <v>1374.7897932200001</v>
      </c>
      <c r="W162" s="1993">
        <v>1287.4633945</v>
      </c>
      <c r="X162" s="1993">
        <v>87.32639872</v>
      </c>
      <c r="Y162" s="1993">
        <v>2144.13681262</v>
      </c>
      <c r="Z162" s="1993">
        <v>1015.29029868</v>
      </c>
      <c r="AA162" s="1993">
        <v>966.59803435000003</v>
      </c>
      <c r="AB162" s="1993">
        <v>48.69226433</v>
      </c>
      <c r="AC162" s="1993">
        <v>1128.84651394</v>
      </c>
      <c r="AD162" s="1993">
        <v>1102.23914737</v>
      </c>
      <c r="AE162" s="1993">
        <v>26.60736657</v>
      </c>
    </row>
    <row r="163" spans="1:31">
      <c r="A163" s="1994" t="s">
        <v>24</v>
      </c>
      <c r="B163" s="1993">
        <v>8605.9042542200004</v>
      </c>
      <c r="C163" s="1993">
        <v>4761.0766930299997</v>
      </c>
      <c r="D163" s="1993">
        <v>3844.8275611899999</v>
      </c>
      <c r="E163" s="1993">
        <v>8321.22249663</v>
      </c>
      <c r="F163" s="1993">
        <v>4629.4249076799997</v>
      </c>
      <c r="G163" s="1993">
        <v>3691.7975889499999</v>
      </c>
      <c r="H163" s="1993">
        <v>284.68175759000002</v>
      </c>
      <c r="I163" s="1993">
        <v>131.65178535000001</v>
      </c>
      <c r="J163" s="1993">
        <v>153.02997224000001</v>
      </c>
      <c r="K163" s="1993">
        <v>6422.1753865199998</v>
      </c>
      <c r="L163" s="1993">
        <v>3705.1841592300002</v>
      </c>
      <c r="M163" s="1993">
        <v>3628.8730972100002</v>
      </c>
      <c r="N163" s="1993">
        <v>76.311062019999994</v>
      </c>
      <c r="O163" s="1993">
        <v>2716.9912272900001</v>
      </c>
      <c r="P163" s="1993">
        <v>2584.9870099200002</v>
      </c>
      <c r="Q163" s="1993">
        <v>132.00421736999999</v>
      </c>
      <c r="R163" s="1993">
        <v>3501.4101960600001</v>
      </c>
      <c r="S163" s="1993">
        <v>2127.4191736799999</v>
      </c>
      <c r="T163" s="1993">
        <v>2093.52965993</v>
      </c>
      <c r="U163" s="1993">
        <v>33.889513749999999</v>
      </c>
      <c r="V163" s="1993">
        <v>1373.99102238</v>
      </c>
      <c r="W163" s="1993">
        <v>1287.17599028</v>
      </c>
      <c r="X163" s="1993">
        <v>86.815032099999996</v>
      </c>
      <c r="Y163" s="1993">
        <v>2183.7288677000001</v>
      </c>
      <c r="Z163" s="1993">
        <v>1055.8925337999999</v>
      </c>
      <c r="AA163" s="1993">
        <v>1000.55181047</v>
      </c>
      <c r="AB163" s="1993">
        <v>55.340723330000003</v>
      </c>
      <c r="AC163" s="1993">
        <v>1127.8363339</v>
      </c>
      <c r="AD163" s="1993">
        <v>1106.8105790300001</v>
      </c>
      <c r="AE163" s="1993">
        <v>21.02575487</v>
      </c>
    </row>
    <row r="164" spans="1:31">
      <c r="A164" s="1994" t="s">
        <v>25</v>
      </c>
      <c r="B164" s="1993">
        <v>8559.0822393500002</v>
      </c>
      <c r="C164" s="1993">
        <v>4730.9916831399996</v>
      </c>
      <c r="D164" s="1993">
        <v>3828.0905562100002</v>
      </c>
      <c r="E164" s="1993">
        <v>8261.4924521299999</v>
      </c>
      <c r="F164" s="1993">
        <v>4597.4322888400002</v>
      </c>
      <c r="G164" s="1993">
        <v>3664.0601632900002</v>
      </c>
      <c r="H164" s="1993">
        <v>297.58978722000001</v>
      </c>
      <c r="I164" s="1993">
        <v>133.55939430000001</v>
      </c>
      <c r="J164" s="1993">
        <v>164.03039292</v>
      </c>
      <c r="K164" s="1993">
        <v>6323.5981685300003</v>
      </c>
      <c r="L164" s="1993">
        <v>3631.5454062200001</v>
      </c>
      <c r="M164" s="1993">
        <v>3554.6811667799998</v>
      </c>
      <c r="N164" s="1993">
        <v>76.864239440000006</v>
      </c>
      <c r="O164" s="1993">
        <v>2692.0527623100002</v>
      </c>
      <c r="P164" s="1993">
        <v>2546.1328347100002</v>
      </c>
      <c r="Q164" s="1993">
        <v>145.91992759999999</v>
      </c>
      <c r="R164" s="1993">
        <v>3376.6097092800001</v>
      </c>
      <c r="S164" s="1993">
        <v>2027.70204623</v>
      </c>
      <c r="T164" s="1993">
        <v>1993.92368672</v>
      </c>
      <c r="U164" s="1993">
        <v>33.778359510000001</v>
      </c>
      <c r="V164" s="1993">
        <v>1348.9076630500001</v>
      </c>
      <c r="W164" s="1993">
        <v>1249.4033742399999</v>
      </c>
      <c r="X164" s="1993">
        <v>99.504288810000006</v>
      </c>
      <c r="Y164" s="1993">
        <v>2235.4840708199999</v>
      </c>
      <c r="Z164" s="1993">
        <v>1099.4462769199999</v>
      </c>
      <c r="AA164" s="1993">
        <v>1042.7511220599999</v>
      </c>
      <c r="AB164" s="1993">
        <v>56.695154860000002</v>
      </c>
      <c r="AC164" s="1993">
        <v>1136.0377939</v>
      </c>
      <c r="AD164" s="1993">
        <v>1117.92732858</v>
      </c>
      <c r="AE164" s="1993">
        <v>18.110465319999999</v>
      </c>
    </row>
    <row r="165" spans="1:31">
      <c r="A165" s="1994" t="s">
        <v>26</v>
      </c>
      <c r="B165" s="1993">
        <v>8838.1387690800002</v>
      </c>
      <c r="C165" s="1993">
        <v>4985.1133417399997</v>
      </c>
      <c r="D165" s="1993">
        <v>3853.0254273400001</v>
      </c>
      <c r="E165" s="1993">
        <v>8517.3071868499992</v>
      </c>
      <c r="F165" s="1993">
        <v>4848.2476680199998</v>
      </c>
      <c r="G165" s="1993">
        <v>3669.0595188299999</v>
      </c>
      <c r="H165" s="1993">
        <v>320.83158222999998</v>
      </c>
      <c r="I165" s="1993">
        <v>136.86567371999999</v>
      </c>
      <c r="J165" s="1993">
        <v>183.96590850999999</v>
      </c>
      <c r="K165" s="1993">
        <v>6577.4633797200004</v>
      </c>
      <c r="L165" s="1993">
        <v>3841.5036752199999</v>
      </c>
      <c r="M165" s="1993">
        <v>3762.0730803599999</v>
      </c>
      <c r="N165" s="1993">
        <v>79.430594859999999</v>
      </c>
      <c r="O165" s="1993">
        <v>2735.9597045</v>
      </c>
      <c r="P165" s="1993">
        <v>2569.6455630599999</v>
      </c>
      <c r="Q165" s="1993">
        <v>166.31414143999999</v>
      </c>
      <c r="R165" s="1993">
        <v>3586.6666125400002</v>
      </c>
      <c r="S165" s="1993">
        <v>2190.4178669900002</v>
      </c>
      <c r="T165" s="1993">
        <v>2155.3955713199998</v>
      </c>
      <c r="U165" s="1993">
        <v>35.022295669999998</v>
      </c>
      <c r="V165" s="1993">
        <v>1396.24874555</v>
      </c>
      <c r="W165" s="1993">
        <v>1274.75617027</v>
      </c>
      <c r="X165" s="1993">
        <v>121.49257528</v>
      </c>
      <c r="Y165" s="1993">
        <v>2260.6753893599998</v>
      </c>
      <c r="Z165" s="1993">
        <v>1143.60966652</v>
      </c>
      <c r="AA165" s="1993">
        <v>1086.17458766</v>
      </c>
      <c r="AB165" s="1993">
        <v>57.435078859999997</v>
      </c>
      <c r="AC165" s="1993">
        <v>1117.06572284</v>
      </c>
      <c r="AD165" s="1993">
        <v>1099.41395577</v>
      </c>
      <c r="AE165" s="1993">
        <v>17.651767069999998</v>
      </c>
    </row>
    <row r="166" spans="1:31">
      <c r="A166" s="1994" t="s">
        <v>27</v>
      </c>
      <c r="B166" s="1993">
        <v>8887.43293945</v>
      </c>
      <c r="C166" s="1993">
        <v>5043.4021403300003</v>
      </c>
      <c r="D166" s="1993">
        <v>3844.0307991200002</v>
      </c>
      <c r="E166" s="1993">
        <v>8587.7660369700006</v>
      </c>
      <c r="F166" s="1993">
        <v>4907.0254985700003</v>
      </c>
      <c r="G166" s="1993">
        <v>3680.7405383999999</v>
      </c>
      <c r="H166" s="1993">
        <v>299.66690247999998</v>
      </c>
      <c r="I166" s="1993">
        <v>136.37664176000001</v>
      </c>
      <c r="J166" s="1993">
        <v>163.29026071999999</v>
      </c>
      <c r="K166" s="1993">
        <v>6603.07606364</v>
      </c>
      <c r="L166" s="1993">
        <v>3862.6714207099999</v>
      </c>
      <c r="M166" s="1993">
        <v>3782.9607208100001</v>
      </c>
      <c r="N166" s="1993">
        <v>79.710699899999994</v>
      </c>
      <c r="O166" s="1993">
        <v>2740.4046429300001</v>
      </c>
      <c r="P166" s="1993">
        <v>2595.12620526</v>
      </c>
      <c r="Q166" s="1993">
        <v>145.27843766999999</v>
      </c>
      <c r="R166" s="1993">
        <v>3612.9317821599998</v>
      </c>
      <c r="S166" s="1993">
        <v>2184.0029753099998</v>
      </c>
      <c r="T166" s="1993">
        <v>2149.5991926199999</v>
      </c>
      <c r="U166" s="1993">
        <v>34.40378269</v>
      </c>
      <c r="V166" s="1993">
        <v>1428.92880685</v>
      </c>
      <c r="W166" s="1993">
        <v>1327.81208012</v>
      </c>
      <c r="X166" s="1993">
        <v>101.11672673</v>
      </c>
      <c r="Y166" s="1993">
        <v>2284.35687581</v>
      </c>
      <c r="Z166" s="1993">
        <v>1180.7307196199999</v>
      </c>
      <c r="AA166" s="1993">
        <v>1124.06477776</v>
      </c>
      <c r="AB166" s="1993">
        <v>56.665941859999997</v>
      </c>
      <c r="AC166" s="1993">
        <v>1103.6261561900001</v>
      </c>
      <c r="AD166" s="1993">
        <v>1085.6143331400001</v>
      </c>
      <c r="AE166" s="1993">
        <v>18.01182305</v>
      </c>
    </row>
    <row r="167" spans="1:31">
      <c r="A167" s="1994">
        <v>11</v>
      </c>
      <c r="B167" s="1993">
        <v>9051.7110219499991</v>
      </c>
      <c r="C167" s="1993">
        <v>5254.7803552300002</v>
      </c>
      <c r="D167" s="1993">
        <v>3796.9306667199999</v>
      </c>
      <c r="E167" s="1993">
        <v>8757.4162792700008</v>
      </c>
      <c r="F167" s="1993">
        <v>5120.6421594100002</v>
      </c>
      <c r="G167" s="1993">
        <v>3636.7741198600002</v>
      </c>
      <c r="H167" s="1993">
        <v>294.29474268000001</v>
      </c>
      <c r="I167" s="1993">
        <v>134.13819581999999</v>
      </c>
      <c r="J167" s="1993">
        <v>160.15654685999999</v>
      </c>
      <c r="K167" s="1993">
        <v>6753.59731981</v>
      </c>
      <c r="L167" s="1993">
        <v>4038.55277948</v>
      </c>
      <c r="M167" s="1993">
        <v>3959.3488665199998</v>
      </c>
      <c r="N167" s="1993">
        <v>79.203912959999997</v>
      </c>
      <c r="O167" s="1993">
        <v>2715.04454033</v>
      </c>
      <c r="P167" s="1993">
        <v>2571.8813212099999</v>
      </c>
      <c r="Q167" s="1993">
        <v>143.16321912000001</v>
      </c>
      <c r="R167" s="1993">
        <v>3768.8603391800002</v>
      </c>
      <c r="S167" s="1993">
        <v>2358.6125810600001</v>
      </c>
      <c r="T167" s="1993">
        <v>2322.9282862199998</v>
      </c>
      <c r="U167" s="1993">
        <v>35.68429484</v>
      </c>
      <c r="V167" s="1993">
        <v>1410.2477581200001</v>
      </c>
      <c r="W167" s="1993">
        <v>1310.8146338700001</v>
      </c>
      <c r="X167" s="1993">
        <v>99.433124250000006</v>
      </c>
      <c r="Y167" s="1993">
        <v>2298.11370214</v>
      </c>
      <c r="Z167" s="1993">
        <v>1216.2275757499999</v>
      </c>
      <c r="AA167" s="1993">
        <v>1161.29329289</v>
      </c>
      <c r="AB167" s="1993">
        <v>54.934282860000003</v>
      </c>
      <c r="AC167" s="1993">
        <v>1081.8861263900001</v>
      </c>
      <c r="AD167" s="1993">
        <v>1064.89279865</v>
      </c>
      <c r="AE167" s="1993">
        <v>16.993327740000002</v>
      </c>
    </row>
    <row r="168" spans="1:31">
      <c r="A168" s="1994">
        <v>12</v>
      </c>
      <c r="B168" s="1993">
        <v>9241.4627988800003</v>
      </c>
      <c r="C168" s="1993">
        <v>5452.1802261399998</v>
      </c>
      <c r="D168" s="1993">
        <v>3789.28257274</v>
      </c>
      <c r="E168" s="1993">
        <v>8940.1440179199999</v>
      </c>
      <c r="F168" s="1993">
        <v>5312.9808875799999</v>
      </c>
      <c r="G168" s="1993">
        <v>3627.16313034</v>
      </c>
      <c r="H168" s="1993">
        <v>301.31878096000003</v>
      </c>
      <c r="I168" s="1993">
        <v>139.19933856</v>
      </c>
      <c r="J168" s="1993">
        <v>162.1194424</v>
      </c>
      <c r="K168" s="1993">
        <v>6910.3335272200002</v>
      </c>
      <c r="L168" s="1993">
        <v>4176.6579646999999</v>
      </c>
      <c r="M168" s="1993">
        <v>4092.6520239900001</v>
      </c>
      <c r="N168" s="1993">
        <v>84.005940710000004</v>
      </c>
      <c r="O168" s="1993">
        <v>2733.6755625199999</v>
      </c>
      <c r="P168" s="1993">
        <v>2588.3519029300001</v>
      </c>
      <c r="Q168" s="1993">
        <v>145.32365959000001</v>
      </c>
      <c r="R168" s="1993">
        <v>3880.1064687799999</v>
      </c>
      <c r="S168" s="1993">
        <v>2489.5264264500001</v>
      </c>
      <c r="T168" s="1993">
        <v>2449.2419848200002</v>
      </c>
      <c r="U168" s="1993">
        <v>40.284441630000003</v>
      </c>
      <c r="V168" s="1993">
        <v>1390.58004233</v>
      </c>
      <c r="W168" s="1993">
        <v>1303.5227148700001</v>
      </c>
      <c r="X168" s="1993">
        <v>87.057327459999996</v>
      </c>
      <c r="Y168" s="1993">
        <v>2331.1292716600001</v>
      </c>
      <c r="Z168" s="1993">
        <v>1275.52226144</v>
      </c>
      <c r="AA168" s="1993">
        <v>1220.3288635900001</v>
      </c>
      <c r="AB168" s="1993">
        <v>55.193397849999997</v>
      </c>
      <c r="AC168" s="1993">
        <v>1055.6070102199999</v>
      </c>
      <c r="AD168" s="1993">
        <v>1038.8112274099999</v>
      </c>
      <c r="AE168" s="1993">
        <v>16.795782809999999</v>
      </c>
    </row>
    <row r="169" spans="1:31">
      <c r="A169" s="1994">
        <v>2022</v>
      </c>
      <c r="B169" s="1993"/>
      <c r="C169" s="1993"/>
      <c r="D169" s="1993"/>
      <c r="E169" s="1993"/>
      <c r="F169" s="1993"/>
      <c r="G169" s="1993"/>
      <c r="H169" s="1993"/>
      <c r="I169" s="1993"/>
      <c r="J169" s="1993"/>
      <c r="K169" s="1993"/>
      <c r="L169" s="1993"/>
      <c r="M169" s="1993"/>
      <c r="N169" s="1993"/>
      <c r="O169" s="1993"/>
      <c r="P169" s="1993"/>
      <c r="Q169" s="1993"/>
      <c r="R169" s="1993"/>
      <c r="S169" s="1993"/>
      <c r="T169" s="1993"/>
      <c r="U169" s="1993"/>
      <c r="V169" s="1993"/>
      <c r="W169" s="1993"/>
      <c r="X169" s="1993"/>
      <c r="Y169" s="1993"/>
      <c r="Z169" s="1993"/>
      <c r="AA169" s="1993"/>
      <c r="AB169" s="1993"/>
      <c r="AC169" s="1993"/>
      <c r="AD169" s="1993"/>
      <c r="AE169" s="1993"/>
    </row>
    <row r="170" spans="1:31">
      <c r="A170" s="1994" t="s">
        <v>18</v>
      </c>
      <c r="B170" s="1993">
        <v>9635.77302366</v>
      </c>
      <c r="C170" s="1993">
        <v>5848.6432424000004</v>
      </c>
      <c r="D170" s="1993">
        <v>3787.1297812600001</v>
      </c>
      <c r="E170" s="1993">
        <v>9341.6568032100004</v>
      </c>
      <c r="F170" s="1993">
        <v>5715.3797942600004</v>
      </c>
      <c r="G170" s="1993">
        <v>3626.27700895</v>
      </c>
      <c r="H170" s="1993">
        <v>294.11622045000001</v>
      </c>
      <c r="I170" s="1993">
        <v>133.26344814000001</v>
      </c>
      <c r="J170" s="1993">
        <v>160.85277231000001</v>
      </c>
      <c r="K170" s="1993">
        <v>7276.9785544899996</v>
      </c>
      <c r="L170" s="1993">
        <v>4555.9724037400001</v>
      </c>
      <c r="M170" s="1993">
        <v>4478.0677056499999</v>
      </c>
      <c r="N170" s="1993">
        <v>77.904698089999997</v>
      </c>
      <c r="O170" s="1993">
        <v>2721.00615075</v>
      </c>
      <c r="P170" s="1993">
        <v>2577.2879420200002</v>
      </c>
      <c r="Q170" s="1993">
        <v>143.71820872999999</v>
      </c>
      <c r="R170" s="1993">
        <v>4225.2438634500004</v>
      </c>
      <c r="S170" s="1993">
        <v>2845.2499069099999</v>
      </c>
      <c r="T170" s="1993">
        <v>2811.2737275600002</v>
      </c>
      <c r="U170" s="1993">
        <v>33.976179350000002</v>
      </c>
      <c r="V170" s="1993">
        <v>1379.99395654</v>
      </c>
      <c r="W170" s="1993">
        <v>1292.72996625</v>
      </c>
      <c r="X170" s="1993">
        <v>87.263990289999995</v>
      </c>
      <c r="Y170" s="1993">
        <v>2358.79446917</v>
      </c>
      <c r="Z170" s="1993">
        <v>1292.6708386600001</v>
      </c>
      <c r="AA170" s="1993">
        <v>1237.31208861</v>
      </c>
      <c r="AB170" s="1993">
        <v>55.358750049999998</v>
      </c>
      <c r="AC170" s="1993">
        <v>1066.1236305100001</v>
      </c>
      <c r="AD170" s="1993">
        <v>1048.98906693</v>
      </c>
      <c r="AE170" s="1993">
        <v>17.134563579999998</v>
      </c>
    </row>
    <row r="171" spans="1:31">
      <c r="A171" s="1994" t="s">
        <v>19</v>
      </c>
      <c r="B171" s="1993">
        <v>10036.66102424</v>
      </c>
      <c r="C171" s="1993">
        <v>5982.7936873899998</v>
      </c>
      <c r="D171" s="1993">
        <v>4053.8673368499999</v>
      </c>
      <c r="E171" s="1993">
        <v>9484.9655012599997</v>
      </c>
      <c r="F171" s="1993">
        <v>5848.3744376900004</v>
      </c>
      <c r="G171" s="1993">
        <v>3636.5910635700002</v>
      </c>
      <c r="H171" s="1993">
        <v>551.69552297999996</v>
      </c>
      <c r="I171" s="1993">
        <v>134.41924969999999</v>
      </c>
      <c r="J171" s="1993">
        <v>417.27627328</v>
      </c>
      <c r="K171" s="1993">
        <v>7684.9544048199996</v>
      </c>
      <c r="L171" s="1993">
        <v>4675.9455449400002</v>
      </c>
      <c r="M171" s="1993">
        <v>4597.7253658199998</v>
      </c>
      <c r="N171" s="1993">
        <v>78.220179119999997</v>
      </c>
      <c r="O171" s="1993">
        <v>3009.0088598799998</v>
      </c>
      <c r="P171" s="1993">
        <v>2608.1366980299999</v>
      </c>
      <c r="Q171" s="1993">
        <v>400.87216185</v>
      </c>
      <c r="R171" s="1993">
        <v>4585.2542142900002</v>
      </c>
      <c r="S171" s="1993">
        <v>2923.8951665700001</v>
      </c>
      <c r="T171" s="1993">
        <v>2888.8425836199999</v>
      </c>
      <c r="U171" s="1993">
        <v>35.052582950000001</v>
      </c>
      <c r="V171" s="1993">
        <v>1661.35904772</v>
      </c>
      <c r="W171" s="1993">
        <v>1317.0594983799999</v>
      </c>
      <c r="X171" s="1993">
        <v>344.29954934</v>
      </c>
      <c r="Y171" s="1993">
        <v>2351.7066194200002</v>
      </c>
      <c r="Z171" s="1993">
        <v>1306.8481424500001</v>
      </c>
      <c r="AA171" s="1993">
        <v>1250.6490718699999</v>
      </c>
      <c r="AB171" s="1993">
        <v>56.199070579999997</v>
      </c>
      <c r="AC171" s="1993">
        <v>1044.8584769700001</v>
      </c>
      <c r="AD171" s="1993">
        <v>1028.45436554</v>
      </c>
      <c r="AE171" s="1993">
        <v>16.40411143</v>
      </c>
    </row>
    <row r="172" spans="1:31">
      <c r="A172" s="1994" t="s">
        <v>20</v>
      </c>
      <c r="B172" s="1993">
        <v>10372.044511300001</v>
      </c>
      <c r="C172" s="1993">
        <v>5984.902846</v>
      </c>
      <c r="D172" s="1993">
        <v>4387.1416652999997</v>
      </c>
      <c r="E172" s="1993">
        <v>9649.5362059199997</v>
      </c>
      <c r="F172" s="1993">
        <v>5799.1541748099999</v>
      </c>
      <c r="G172" s="1993">
        <v>3850.3820311099998</v>
      </c>
      <c r="H172" s="1993">
        <v>722.50830538000002</v>
      </c>
      <c r="I172" s="1993">
        <v>185.74867119000001</v>
      </c>
      <c r="J172" s="1993">
        <v>536.75963419000004</v>
      </c>
      <c r="K172" s="1993">
        <v>7960.1588202800003</v>
      </c>
      <c r="L172" s="1993">
        <v>4676.9493255199995</v>
      </c>
      <c r="M172" s="1993">
        <v>4546.70126291</v>
      </c>
      <c r="N172" s="1993">
        <v>130.24806261000001</v>
      </c>
      <c r="O172" s="1993">
        <v>3283.2094947599999</v>
      </c>
      <c r="P172" s="1993">
        <v>2762.2598720199999</v>
      </c>
      <c r="Q172" s="1993">
        <v>520.94962274</v>
      </c>
      <c r="R172" s="1993">
        <v>4850.6633906500001</v>
      </c>
      <c r="S172" s="1993">
        <v>2903.2585276899999</v>
      </c>
      <c r="T172" s="1993">
        <v>2822.9967970900002</v>
      </c>
      <c r="U172" s="1993">
        <v>80.261730600000007</v>
      </c>
      <c r="V172" s="1993">
        <v>1947.4048629599999</v>
      </c>
      <c r="W172" s="1993">
        <v>1482.1457714799999</v>
      </c>
      <c r="X172" s="1993">
        <v>465.25909148</v>
      </c>
      <c r="Y172" s="1993">
        <v>2411.8856910200002</v>
      </c>
      <c r="Z172" s="1993">
        <v>1307.95352048</v>
      </c>
      <c r="AA172" s="1993">
        <v>1252.4529118999999</v>
      </c>
      <c r="AB172" s="1993">
        <v>55.500608579999998</v>
      </c>
      <c r="AC172" s="1993">
        <v>1103.93217054</v>
      </c>
      <c r="AD172" s="1993">
        <v>1088.12215909</v>
      </c>
      <c r="AE172" s="1993">
        <v>15.810011449999999</v>
      </c>
    </row>
    <row r="173" spans="1:31">
      <c r="A173" s="1994" t="s">
        <v>21</v>
      </c>
      <c r="B173" s="1993">
        <v>10515.39277742</v>
      </c>
      <c r="C173" s="1993">
        <v>6347.5218666800001</v>
      </c>
      <c r="D173" s="1993">
        <v>4167.87091074</v>
      </c>
      <c r="E173" s="1993">
        <v>9765.1999709800002</v>
      </c>
      <c r="F173" s="1993">
        <v>6139.9205868199997</v>
      </c>
      <c r="G173" s="1993">
        <v>3625.2793841600001</v>
      </c>
      <c r="H173" s="1993">
        <v>750.19280644000003</v>
      </c>
      <c r="I173" s="1993">
        <v>207.60127986000001</v>
      </c>
      <c r="J173" s="1993">
        <v>542.59152658000005</v>
      </c>
      <c r="K173" s="1993">
        <v>8164.2847321500003</v>
      </c>
      <c r="L173" s="1993">
        <v>5031.2561213999998</v>
      </c>
      <c r="M173" s="1993">
        <v>4880.6130578599996</v>
      </c>
      <c r="N173" s="1993">
        <v>150.64306354000001</v>
      </c>
      <c r="O173" s="1993">
        <v>3133.0286107500001</v>
      </c>
      <c r="P173" s="1993">
        <v>2606.2425867900001</v>
      </c>
      <c r="Q173" s="1993">
        <v>526.78602395999997</v>
      </c>
      <c r="R173" s="1993">
        <v>4921.62313739</v>
      </c>
      <c r="S173" s="1993">
        <v>3180.4450775300002</v>
      </c>
      <c r="T173" s="1993">
        <v>3101.9346117499999</v>
      </c>
      <c r="U173" s="1993">
        <v>78.510465780000004</v>
      </c>
      <c r="V173" s="1993">
        <v>1741.1780598600001</v>
      </c>
      <c r="W173" s="1993">
        <v>1272.3418328299999</v>
      </c>
      <c r="X173" s="1993">
        <v>468.83622702999998</v>
      </c>
      <c r="Y173" s="1993">
        <v>2351.1080452699998</v>
      </c>
      <c r="Z173" s="1993">
        <v>1316.2657452799999</v>
      </c>
      <c r="AA173" s="1993">
        <v>1259.3075289599999</v>
      </c>
      <c r="AB173" s="1993">
        <v>56.958216319999998</v>
      </c>
      <c r="AC173" s="1993">
        <v>1034.8422999899999</v>
      </c>
      <c r="AD173" s="1993">
        <v>1019.03679737</v>
      </c>
      <c r="AE173" s="1993">
        <v>15.80550262</v>
      </c>
    </row>
    <row r="174" spans="1:31">
      <c r="A174" s="1994" t="s">
        <v>22</v>
      </c>
      <c r="B174" s="1993">
        <v>10593.24553143</v>
      </c>
      <c r="C174" s="1993">
        <v>6228.5775272800001</v>
      </c>
      <c r="D174" s="1993">
        <v>4364.6680041500003</v>
      </c>
      <c r="E174" s="1993">
        <v>9759.8542854499992</v>
      </c>
      <c r="F174" s="1993">
        <v>6021.7685259099999</v>
      </c>
      <c r="G174" s="1993">
        <v>3738.0857595399998</v>
      </c>
      <c r="H174" s="1993">
        <v>833.39124598000001</v>
      </c>
      <c r="I174" s="1993">
        <v>206.80900137</v>
      </c>
      <c r="J174" s="1993">
        <v>626.58224460999998</v>
      </c>
      <c r="K174" s="1993">
        <v>8218.7746648499997</v>
      </c>
      <c r="L174" s="1993">
        <v>4892.7916956400004</v>
      </c>
      <c r="M174" s="1993">
        <v>4743.7776315900001</v>
      </c>
      <c r="N174" s="1993">
        <v>149.01406405</v>
      </c>
      <c r="O174" s="1993">
        <v>3325.9829692100002</v>
      </c>
      <c r="P174" s="1993">
        <v>2718.4472800600001</v>
      </c>
      <c r="Q174" s="1993">
        <v>607.53568915000005</v>
      </c>
      <c r="R174" s="1993">
        <v>4918.9092595299999</v>
      </c>
      <c r="S174" s="1993">
        <v>2987.3838202400002</v>
      </c>
      <c r="T174" s="1993">
        <v>2911.59805525</v>
      </c>
      <c r="U174" s="1993">
        <v>75.785764990000004</v>
      </c>
      <c r="V174" s="1993">
        <v>1931.5254392899999</v>
      </c>
      <c r="W174" s="1993">
        <v>1382.1583049400001</v>
      </c>
      <c r="X174" s="1993">
        <v>549.36713435000001</v>
      </c>
      <c r="Y174" s="1993">
        <v>2374.4708665799999</v>
      </c>
      <c r="Z174" s="1993">
        <v>1335.78583164</v>
      </c>
      <c r="AA174" s="1993">
        <v>1277.9908943200001</v>
      </c>
      <c r="AB174" s="1993">
        <v>57.794937320000003</v>
      </c>
      <c r="AC174" s="1993">
        <v>1038.6850349399999</v>
      </c>
      <c r="AD174" s="1993">
        <v>1019.63847948</v>
      </c>
      <c r="AE174" s="1993">
        <v>19.04655546</v>
      </c>
    </row>
    <row r="175" spans="1:31">
      <c r="A175" s="1994" t="s">
        <v>23</v>
      </c>
      <c r="B175" s="1993">
        <v>10596.171226</v>
      </c>
      <c r="C175" s="1993">
        <v>6333.8626197699996</v>
      </c>
      <c r="D175" s="1993">
        <v>4262.3086062299999</v>
      </c>
      <c r="E175" s="1993">
        <v>9793.4862938200004</v>
      </c>
      <c r="F175" s="1993">
        <v>6117.8981031499998</v>
      </c>
      <c r="G175" s="1993">
        <v>3675.5881906700001</v>
      </c>
      <c r="H175" s="1993">
        <v>802.68493218000003</v>
      </c>
      <c r="I175" s="1993">
        <v>215.96451662000001</v>
      </c>
      <c r="J175" s="1993">
        <v>586.72041555999999</v>
      </c>
      <c r="K175" s="1993">
        <v>8198.0455238899995</v>
      </c>
      <c r="L175" s="1993">
        <v>4969.7617552199999</v>
      </c>
      <c r="M175" s="1993">
        <v>4812.8019904399998</v>
      </c>
      <c r="N175" s="1993">
        <v>156.95976478</v>
      </c>
      <c r="O175" s="1993">
        <v>3228.28376867</v>
      </c>
      <c r="P175" s="1993">
        <v>2660.5503372200001</v>
      </c>
      <c r="Q175" s="1993">
        <v>567.73343145000001</v>
      </c>
      <c r="R175" s="1993">
        <v>4843.84137895</v>
      </c>
      <c r="S175" s="1993">
        <v>2995.2085680300002</v>
      </c>
      <c r="T175" s="1993">
        <v>2920.5256109400002</v>
      </c>
      <c r="U175" s="1993">
        <v>74.682957090000002</v>
      </c>
      <c r="V175" s="1993">
        <v>1848.6328109200001</v>
      </c>
      <c r="W175" s="1993">
        <v>1339.4392472100001</v>
      </c>
      <c r="X175" s="1993">
        <v>509.19356370999998</v>
      </c>
      <c r="Y175" s="1993">
        <v>2398.12570211</v>
      </c>
      <c r="Z175" s="1993">
        <v>1364.1008645500001</v>
      </c>
      <c r="AA175" s="1993">
        <v>1305.0961127099999</v>
      </c>
      <c r="AB175" s="1993">
        <v>59.004751839999997</v>
      </c>
      <c r="AC175" s="1993">
        <v>1034.0248375599999</v>
      </c>
      <c r="AD175" s="1993">
        <v>1015.0378534499999</v>
      </c>
      <c r="AE175" s="1993">
        <v>18.986984110000002</v>
      </c>
    </row>
    <row r="176" spans="1:31">
      <c r="A176" s="1994" t="s">
        <v>24</v>
      </c>
      <c r="B176" s="1993">
        <v>10817.12822398</v>
      </c>
      <c r="C176" s="1993">
        <v>6502.81593066</v>
      </c>
      <c r="D176" s="1993">
        <v>4314.3122933200002</v>
      </c>
      <c r="E176" s="1993">
        <v>9978.5272559000005</v>
      </c>
      <c r="F176" s="1993">
        <v>6284.0606119800004</v>
      </c>
      <c r="G176" s="1993">
        <v>3694.46664392</v>
      </c>
      <c r="H176" s="1993">
        <v>838.60096808000003</v>
      </c>
      <c r="I176" s="1993">
        <v>218.75531867999999</v>
      </c>
      <c r="J176" s="1993">
        <v>619.84564939999996</v>
      </c>
      <c r="K176" s="1993">
        <v>8377.5930230899994</v>
      </c>
      <c r="L176" s="1993">
        <v>5102.4138333199999</v>
      </c>
      <c r="M176" s="1993">
        <v>4943.4320554799997</v>
      </c>
      <c r="N176" s="1993">
        <v>158.98177784000001</v>
      </c>
      <c r="O176" s="1993">
        <v>3275.17918977</v>
      </c>
      <c r="P176" s="1993">
        <v>2674.2530192200002</v>
      </c>
      <c r="Q176" s="1993">
        <v>600.92617055000005</v>
      </c>
      <c r="R176" s="1993">
        <v>4985.9218147700003</v>
      </c>
      <c r="S176" s="1993">
        <v>3090.6108148200001</v>
      </c>
      <c r="T176" s="1993">
        <v>3016.0694796500002</v>
      </c>
      <c r="U176" s="1993">
        <v>74.541335169999996</v>
      </c>
      <c r="V176" s="1993">
        <v>1895.31099995</v>
      </c>
      <c r="W176" s="1993">
        <v>1353.10420217</v>
      </c>
      <c r="X176" s="1993">
        <v>542.20679777999999</v>
      </c>
      <c r="Y176" s="1993">
        <v>2439.5352008899999</v>
      </c>
      <c r="Z176" s="1993">
        <v>1400.40209734</v>
      </c>
      <c r="AA176" s="1993">
        <v>1340.6285565000001</v>
      </c>
      <c r="AB176" s="1993">
        <v>59.773540840000003</v>
      </c>
      <c r="AC176" s="1993">
        <v>1039.13310355</v>
      </c>
      <c r="AD176" s="1993">
        <v>1020.2136247</v>
      </c>
      <c r="AE176" s="1993">
        <v>18.919478850000001</v>
      </c>
    </row>
    <row r="177" spans="1:31">
      <c r="A177" s="1994" t="s">
        <v>25</v>
      </c>
      <c r="B177" s="1993">
        <v>10858.376694009999</v>
      </c>
      <c r="C177" s="1993">
        <v>6548.1446269099997</v>
      </c>
      <c r="D177" s="1993">
        <v>4310.2320670999998</v>
      </c>
      <c r="E177" s="1993">
        <v>9982.0132904300008</v>
      </c>
      <c r="F177" s="1993">
        <v>6326.0402305099997</v>
      </c>
      <c r="G177" s="1993">
        <v>3655.9730599200002</v>
      </c>
      <c r="H177" s="1993">
        <v>876.36340357999995</v>
      </c>
      <c r="I177" s="1993">
        <v>222.10439640000001</v>
      </c>
      <c r="J177" s="1993">
        <v>654.25900718000003</v>
      </c>
      <c r="K177" s="1993">
        <v>8380.8924488100001</v>
      </c>
      <c r="L177" s="1993">
        <v>5103.7452320399998</v>
      </c>
      <c r="M177" s="1993">
        <v>4941.9929974799998</v>
      </c>
      <c r="N177" s="1993">
        <v>161.75223456000001</v>
      </c>
      <c r="O177" s="1993">
        <v>3277.1472167699999</v>
      </c>
      <c r="P177" s="1993">
        <v>2640.2162405099998</v>
      </c>
      <c r="Q177" s="1993">
        <v>636.93097625999997</v>
      </c>
      <c r="R177" s="1993">
        <v>4962.3723936599999</v>
      </c>
      <c r="S177" s="1993">
        <v>3047.0856493699998</v>
      </c>
      <c r="T177" s="1993">
        <v>2972.4960092000001</v>
      </c>
      <c r="U177" s="1993">
        <v>74.589640169999996</v>
      </c>
      <c r="V177" s="1993">
        <v>1915.2867442899999</v>
      </c>
      <c r="W177" s="1993">
        <v>1340.3506134899999</v>
      </c>
      <c r="X177" s="1993">
        <v>574.9361308</v>
      </c>
      <c r="Y177" s="1993">
        <v>2477.4842451999998</v>
      </c>
      <c r="Z177" s="1993">
        <v>1444.3993948699999</v>
      </c>
      <c r="AA177" s="1993">
        <v>1384.0472330299999</v>
      </c>
      <c r="AB177" s="1993">
        <v>60.352161840000001</v>
      </c>
      <c r="AC177" s="1993">
        <v>1033.0848503300001</v>
      </c>
      <c r="AD177" s="1993">
        <v>1015.75681941</v>
      </c>
      <c r="AE177" s="1993">
        <v>17.32803092</v>
      </c>
    </row>
    <row r="178" spans="1:31">
      <c r="A178" s="1994" t="s">
        <v>26</v>
      </c>
      <c r="B178" s="1993">
        <v>11225.705309770001</v>
      </c>
      <c r="C178" s="1993">
        <v>6823.7452551899996</v>
      </c>
      <c r="D178" s="1993">
        <v>4401.9600545800004</v>
      </c>
      <c r="E178" s="1993">
        <v>10271.42356275</v>
      </c>
      <c r="F178" s="1993">
        <v>6582.1696960199997</v>
      </c>
      <c r="G178" s="1993">
        <v>3689.25386673</v>
      </c>
      <c r="H178" s="1993">
        <v>954.28174702000001</v>
      </c>
      <c r="I178" s="1993">
        <v>241.57555916999999</v>
      </c>
      <c r="J178" s="1993">
        <v>712.70618784999999</v>
      </c>
      <c r="K178" s="1993">
        <v>8729.1537134299997</v>
      </c>
      <c r="L178" s="1993">
        <v>5355.7590316799997</v>
      </c>
      <c r="M178" s="1993">
        <v>5175.2763677900002</v>
      </c>
      <c r="N178" s="1993">
        <v>180.48266389</v>
      </c>
      <c r="O178" s="1993">
        <v>3373.39468175</v>
      </c>
      <c r="P178" s="1993">
        <v>2680.1615864199998</v>
      </c>
      <c r="Q178" s="1993">
        <v>693.23309532999997</v>
      </c>
      <c r="R178" s="1993">
        <v>5247.6083901900001</v>
      </c>
      <c r="S178" s="1993">
        <v>3246.9941658399998</v>
      </c>
      <c r="T178" s="1993">
        <v>3155.9361690699998</v>
      </c>
      <c r="U178" s="1993">
        <v>91.057996770000003</v>
      </c>
      <c r="V178" s="1993">
        <v>2000.6142243500001</v>
      </c>
      <c r="W178" s="1993">
        <v>1377.19612441</v>
      </c>
      <c r="X178" s="1993">
        <v>623.41809994000005</v>
      </c>
      <c r="Y178" s="1993">
        <v>2496.5515963399998</v>
      </c>
      <c r="Z178" s="1993">
        <v>1467.9862235099999</v>
      </c>
      <c r="AA178" s="1993">
        <v>1406.89332823</v>
      </c>
      <c r="AB178" s="1993">
        <v>61.09289528</v>
      </c>
      <c r="AC178" s="1993">
        <v>1028.5653728299999</v>
      </c>
      <c r="AD178" s="1993">
        <v>1009.09228031</v>
      </c>
      <c r="AE178" s="1993">
        <v>19.473092520000002</v>
      </c>
    </row>
    <row r="179" spans="1:31">
      <c r="A179" s="1994">
        <v>10</v>
      </c>
      <c r="B179" s="1993">
        <v>11500.0053315</v>
      </c>
      <c r="C179" s="1993">
        <v>7058.7334582900003</v>
      </c>
      <c r="D179" s="1993">
        <v>4441.2718732100002</v>
      </c>
      <c r="E179" s="1993">
        <v>10468.45933876</v>
      </c>
      <c r="F179" s="1993">
        <v>6769.4571330099998</v>
      </c>
      <c r="G179" s="1993">
        <v>3699.00220575</v>
      </c>
      <c r="H179" s="1993">
        <v>1031.54599274</v>
      </c>
      <c r="I179" s="1993">
        <v>289.27632527999998</v>
      </c>
      <c r="J179" s="1993">
        <v>742.26966746000005</v>
      </c>
      <c r="K179" s="1993">
        <v>8983.8416168700005</v>
      </c>
      <c r="L179" s="1993">
        <v>5576.9079509599997</v>
      </c>
      <c r="M179" s="1993">
        <v>5349.6612679600003</v>
      </c>
      <c r="N179" s="1993">
        <v>227.24668299999999</v>
      </c>
      <c r="O179" s="1993">
        <v>3406.9336659099999</v>
      </c>
      <c r="P179" s="1993">
        <v>2683.9807221000001</v>
      </c>
      <c r="Q179" s="1993">
        <v>722.95294380999997</v>
      </c>
      <c r="R179" s="1993">
        <v>5512.1619237300001</v>
      </c>
      <c r="S179" s="1993">
        <v>3423.0472678699998</v>
      </c>
      <c r="T179" s="1993">
        <v>3288.1556901399999</v>
      </c>
      <c r="U179" s="1993">
        <v>134.89157772999999</v>
      </c>
      <c r="V179" s="1993">
        <v>2089.1146558599999</v>
      </c>
      <c r="W179" s="1993">
        <v>1443.5897386700001</v>
      </c>
      <c r="X179" s="1993">
        <v>645.52491719</v>
      </c>
      <c r="Y179" s="1993">
        <v>2516.16371463</v>
      </c>
      <c r="Z179" s="1993">
        <v>1481.8255073299999</v>
      </c>
      <c r="AA179" s="1993">
        <v>1419.79586505</v>
      </c>
      <c r="AB179" s="1993">
        <v>62.029642279999997</v>
      </c>
      <c r="AC179" s="1993">
        <v>1034.3382073</v>
      </c>
      <c r="AD179" s="1993">
        <v>1015.0214836500001</v>
      </c>
      <c r="AE179" s="1993">
        <v>19.31672365</v>
      </c>
    </row>
    <row r="180" spans="1:31">
      <c r="A180" s="1994">
        <v>11</v>
      </c>
      <c r="B180" s="1993">
        <v>11588.58637651</v>
      </c>
      <c r="C180" s="1993">
        <v>7082.5847234399998</v>
      </c>
      <c r="D180" s="1993">
        <v>4506.0016530700004</v>
      </c>
      <c r="E180" s="1993">
        <v>10523.271259470001</v>
      </c>
      <c r="F180" s="1993">
        <v>6779.2917396100001</v>
      </c>
      <c r="G180" s="1993">
        <v>3743.97951986</v>
      </c>
      <c r="H180" s="1993">
        <v>1065.3151170399999</v>
      </c>
      <c r="I180" s="1993">
        <v>303.29298383000003</v>
      </c>
      <c r="J180" s="1993">
        <v>762.02213320999999</v>
      </c>
      <c r="K180" s="1993">
        <v>9044.6188487799991</v>
      </c>
      <c r="L180" s="1993">
        <v>5585.0776351100003</v>
      </c>
      <c r="M180" s="1993">
        <v>5344.8097267900002</v>
      </c>
      <c r="N180" s="1993">
        <v>240.26790832</v>
      </c>
      <c r="O180" s="1993">
        <v>3459.5412136700002</v>
      </c>
      <c r="P180" s="1993">
        <v>2718.0209945500001</v>
      </c>
      <c r="Q180" s="1993">
        <v>741.52021911999998</v>
      </c>
      <c r="R180" s="1993">
        <v>5516.3958060799996</v>
      </c>
      <c r="S180" s="1993">
        <v>3394.6715733800002</v>
      </c>
      <c r="T180" s="1993">
        <v>3250.73624991</v>
      </c>
      <c r="U180" s="1993">
        <v>143.93532346999999</v>
      </c>
      <c r="V180" s="1993">
        <v>2121.7242326999999</v>
      </c>
      <c r="W180" s="1993">
        <v>1470.5103259299999</v>
      </c>
      <c r="X180" s="1993">
        <v>651.21390676999999</v>
      </c>
      <c r="Y180" s="1993">
        <v>2543.9675277299998</v>
      </c>
      <c r="Z180" s="1993">
        <v>1497.50708833</v>
      </c>
      <c r="AA180" s="1993">
        <v>1434.4820128199999</v>
      </c>
      <c r="AB180" s="1993">
        <v>63.025075510000001</v>
      </c>
      <c r="AC180" s="1993">
        <v>1046.4604394</v>
      </c>
      <c r="AD180" s="1993">
        <v>1025.9585253099999</v>
      </c>
      <c r="AE180" s="1993">
        <v>20.50191409</v>
      </c>
    </row>
    <row r="181" spans="1:31">
      <c r="A181" s="1994">
        <v>12</v>
      </c>
      <c r="B181" s="1993">
        <v>11742.95861156</v>
      </c>
      <c r="C181" s="1993">
        <v>7139.3903813200004</v>
      </c>
      <c r="D181" s="1993">
        <v>4603.56823024</v>
      </c>
      <c r="E181" s="1993">
        <v>10568.709043999999</v>
      </c>
      <c r="F181" s="1993">
        <v>6805.2483170799997</v>
      </c>
      <c r="G181" s="1993">
        <v>3763.4607269200001</v>
      </c>
      <c r="H181" s="1993">
        <v>1174.2495675600001</v>
      </c>
      <c r="I181" s="1993">
        <v>334.14206424000002</v>
      </c>
      <c r="J181" s="1993">
        <v>840.10750331999998</v>
      </c>
      <c r="K181" s="1993">
        <v>9155.2199193899996</v>
      </c>
      <c r="L181" s="1993">
        <v>5608.6388590200004</v>
      </c>
      <c r="M181" s="1993">
        <v>5338.8023142900001</v>
      </c>
      <c r="N181" s="1993">
        <v>269.83654473000001</v>
      </c>
      <c r="O181" s="1993">
        <v>3546.5810603700002</v>
      </c>
      <c r="P181" s="1993">
        <v>2726.9816426299999</v>
      </c>
      <c r="Q181" s="1993">
        <v>819.59941774000004</v>
      </c>
      <c r="R181" s="1993">
        <v>5522.6940547800004</v>
      </c>
      <c r="S181" s="1993">
        <v>3349.2315357100001</v>
      </c>
      <c r="T181" s="1993">
        <v>3214.4074792900001</v>
      </c>
      <c r="U181" s="1993">
        <v>134.82405642000001</v>
      </c>
      <c r="V181" s="1993">
        <v>2173.4625190699999</v>
      </c>
      <c r="W181" s="1993">
        <v>1498.7787496200001</v>
      </c>
      <c r="X181" s="1993">
        <v>674.68376945</v>
      </c>
      <c r="Y181" s="1993">
        <v>2587.7386921699999</v>
      </c>
      <c r="Z181" s="1993">
        <v>1530.7515223</v>
      </c>
      <c r="AA181" s="1993">
        <v>1466.44600279</v>
      </c>
      <c r="AB181" s="1993">
        <v>64.305519509999996</v>
      </c>
      <c r="AC181" s="1993">
        <v>1056.9871698699999</v>
      </c>
      <c r="AD181" s="1993">
        <v>1036.4790842899999</v>
      </c>
      <c r="AE181" s="1993">
        <v>20.508085579999999</v>
      </c>
    </row>
    <row r="182" spans="1:31">
      <c r="A182" s="1994">
        <v>2023</v>
      </c>
      <c r="B182" s="1993"/>
      <c r="C182" s="1993"/>
      <c r="D182" s="1993"/>
      <c r="E182" s="1993"/>
      <c r="F182" s="1993"/>
      <c r="G182" s="1993"/>
      <c r="H182" s="1993"/>
      <c r="I182" s="1993"/>
      <c r="J182" s="1993"/>
      <c r="K182" s="1993"/>
      <c r="L182" s="1993"/>
      <c r="M182" s="1993"/>
      <c r="N182" s="1993"/>
      <c r="O182" s="1993"/>
      <c r="P182" s="1993"/>
      <c r="Q182" s="1993"/>
      <c r="R182" s="1993"/>
      <c r="S182" s="1993"/>
      <c r="T182" s="1993"/>
      <c r="U182" s="1993"/>
      <c r="V182" s="1993"/>
      <c r="W182" s="1993"/>
      <c r="X182" s="1993"/>
      <c r="Y182" s="1993"/>
      <c r="Z182" s="1993"/>
      <c r="AA182" s="1993"/>
      <c r="AB182" s="1993"/>
      <c r="AC182" s="1993"/>
      <c r="AD182" s="1993"/>
      <c r="AE182" s="1993"/>
    </row>
    <row r="183" spans="1:31">
      <c r="A183" s="1994" t="s">
        <v>18</v>
      </c>
      <c r="B183" s="1993">
        <v>11928.49516787</v>
      </c>
      <c r="C183" s="1993">
        <v>7299.5381969500004</v>
      </c>
      <c r="D183" s="1993">
        <v>4628.9569709199995</v>
      </c>
      <c r="E183" s="1993">
        <v>10762.03417033</v>
      </c>
      <c r="F183" s="1993">
        <v>6975.4389354200002</v>
      </c>
      <c r="G183" s="1993">
        <v>3786.5952349099998</v>
      </c>
      <c r="H183" s="1993">
        <v>1166.4609975400001</v>
      </c>
      <c r="I183" s="1993">
        <v>324.09926152999998</v>
      </c>
      <c r="J183" s="1993">
        <v>842.36173600999996</v>
      </c>
      <c r="K183" s="1993">
        <v>9409.8669428499998</v>
      </c>
      <c r="L183" s="1993">
        <v>5733.1894696500003</v>
      </c>
      <c r="M183" s="1993">
        <v>5475.3810606300003</v>
      </c>
      <c r="N183" s="1993">
        <v>257.80840902</v>
      </c>
      <c r="O183" s="1993">
        <v>3676.6774731999999</v>
      </c>
      <c r="P183" s="1993">
        <v>2853.0990793599999</v>
      </c>
      <c r="Q183" s="1993">
        <v>823.57839383999999</v>
      </c>
      <c r="R183" s="1993">
        <v>5717.9894990399998</v>
      </c>
      <c r="S183" s="1993">
        <v>3428.4033533900001</v>
      </c>
      <c r="T183" s="1993">
        <v>3302.0559422900001</v>
      </c>
      <c r="U183" s="1993">
        <v>126.3474111</v>
      </c>
      <c r="V183" s="1993">
        <v>2289.5861456500002</v>
      </c>
      <c r="W183" s="1993">
        <v>1628.12865012</v>
      </c>
      <c r="X183" s="1993">
        <v>661.45749552999996</v>
      </c>
      <c r="Y183" s="1993">
        <v>2518.6282250200002</v>
      </c>
      <c r="Z183" s="1993">
        <v>1566.3487273000001</v>
      </c>
      <c r="AA183" s="1993">
        <v>1500.0578747899999</v>
      </c>
      <c r="AB183" s="1993">
        <v>66.290852509999993</v>
      </c>
      <c r="AC183" s="1993">
        <v>952.27949771999999</v>
      </c>
      <c r="AD183" s="1993">
        <v>933.49615555000003</v>
      </c>
      <c r="AE183" s="1993">
        <v>18.783342170000001</v>
      </c>
    </row>
    <row r="184" spans="1:31">
      <c r="A184" s="1994" t="s">
        <v>19</v>
      </c>
      <c r="B184" s="1993">
        <v>11901.83757354</v>
      </c>
      <c r="C184" s="1993">
        <v>7298.5237890899998</v>
      </c>
      <c r="D184" s="1993">
        <v>4603.3137844499997</v>
      </c>
      <c r="E184" s="1993">
        <v>10741.809598170001</v>
      </c>
      <c r="F184" s="1993">
        <v>6970.07715259</v>
      </c>
      <c r="G184" s="1993">
        <v>3771.7324455799999</v>
      </c>
      <c r="H184" s="1993">
        <v>1160.0279753699999</v>
      </c>
      <c r="I184" s="1993">
        <v>328.44663650000001</v>
      </c>
      <c r="J184" s="1993">
        <v>831.58133886999997</v>
      </c>
      <c r="K184" s="1993">
        <v>9312.9617893699997</v>
      </c>
      <c r="L184" s="1993">
        <v>5707.7524783700001</v>
      </c>
      <c r="M184" s="1993">
        <v>5447.2109943799996</v>
      </c>
      <c r="N184" s="1993">
        <v>260.54148399000002</v>
      </c>
      <c r="O184" s="1993">
        <v>3605.2093110000001</v>
      </c>
      <c r="P184" s="1993">
        <v>2792.9372416299998</v>
      </c>
      <c r="Q184" s="1993">
        <v>812.27206937000005</v>
      </c>
      <c r="R184" s="1993">
        <v>5536.2434969400001</v>
      </c>
      <c r="S184" s="1993">
        <v>3414.4064955099998</v>
      </c>
      <c r="T184" s="1993">
        <v>3265.90246131</v>
      </c>
      <c r="U184" s="1993">
        <v>148.50403420000001</v>
      </c>
      <c r="V184" s="1993">
        <v>2121.8370014299999</v>
      </c>
      <c r="W184" s="1993">
        <v>1557.0415760799999</v>
      </c>
      <c r="X184" s="1993">
        <v>564.79542534999996</v>
      </c>
      <c r="Y184" s="1993">
        <v>2588.8757841699999</v>
      </c>
      <c r="Z184" s="1993">
        <v>1590.77131072</v>
      </c>
      <c r="AA184" s="1993">
        <v>1522.8661582100001</v>
      </c>
      <c r="AB184" s="1993">
        <v>67.905152509999994</v>
      </c>
      <c r="AC184" s="1993">
        <v>998.10447345</v>
      </c>
      <c r="AD184" s="1993">
        <v>978.79520394999997</v>
      </c>
      <c r="AE184" s="1993">
        <v>19.309269499999999</v>
      </c>
    </row>
    <row r="185" spans="1:31">
      <c r="A185" s="1994" t="s">
        <v>20</v>
      </c>
      <c r="B185" s="1993">
        <v>11964.3955489</v>
      </c>
      <c r="C185" s="1993">
        <v>7397.7179352399999</v>
      </c>
      <c r="D185" s="1993">
        <v>4566.6776136600001</v>
      </c>
      <c r="E185" s="1993">
        <v>10797.093831779999</v>
      </c>
      <c r="F185" s="1993">
        <v>7073.0781482599996</v>
      </c>
      <c r="G185" s="1993">
        <v>3724.01568352</v>
      </c>
      <c r="H185" s="1993">
        <v>1167.3017171199999</v>
      </c>
      <c r="I185" s="1993">
        <v>324.63978698</v>
      </c>
      <c r="J185" s="1993">
        <v>842.66193013999998</v>
      </c>
      <c r="K185" s="1993">
        <v>9412.8593387300007</v>
      </c>
      <c r="L185" s="1993">
        <v>5776.2775042900003</v>
      </c>
      <c r="M185" s="1993">
        <v>5520.7554078200001</v>
      </c>
      <c r="N185" s="1993">
        <v>255.52209647000001</v>
      </c>
      <c r="O185" s="1993">
        <v>3636.58183444</v>
      </c>
      <c r="P185" s="1993">
        <v>2812.8119496899999</v>
      </c>
      <c r="Q185" s="1993">
        <v>823.76988474999996</v>
      </c>
      <c r="R185" s="1993">
        <v>5622.1541340699996</v>
      </c>
      <c r="S185" s="1993">
        <v>3479.5931833499999</v>
      </c>
      <c r="T185" s="1993">
        <v>3332.0571330399998</v>
      </c>
      <c r="U185" s="1993">
        <v>147.53605031000001</v>
      </c>
      <c r="V185" s="1993">
        <v>2142.5609507200002</v>
      </c>
      <c r="W185" s="1993">
        <v>1572.71370441</v>
      </c>
      <c r="X185" s="1993">
        <v>569.84724630999995</v>
      </c>
      <c r="Y185" s="1993">
        <v>2551.5362101699998</v>
      </c>
      <c r="Z185" s="1993">
        <v>1621.4404309500001</v>
      </c>
      <c r="AA185" s="1993">
        <v>1552.32274044</v>
      </c>
      <c r="AB185" s="1993">
        <v>69.117690510000003</v>
      </c>
      <c r="AC185" s="1993">
        <v>930.09577922000005</v>
      </c>
      <c r="AD185" s="1993">
        <v>911.20373383000003</v>
      </c>
      <c r="AE185" s="1993">
        <v>18.89204539</v>
      </c>
    </row>
    <row r="186" spans="1:31">
      <c r="A186" s="1994" t="s">
        <v>21</v>
      </c>
      <c r="B186" s="1993">
        <v>12211.631103010001</v>
      </c>
      <c r="C186" s="1993">
        <v>7665.3725144700002</v>
      </c>
      <c r="D186" s="1993">
        <v>4546.2585885400003</v>
      </c>
      <c r="E186" s="1993">
        <v>11017.26131459</v>
      </c>
      <c r="F186" s="1993">
        <v>7338.16996475</v>
      </c>
      <c r="G186" s="1993">
        <v>3679.09134984</v>
      </c>
      <c r="H186" s="1993">
        <v>1194.3697884200001</v>
      </c>
      <c r="I186" s="1993">
        <v>327.20254971999998</v>
      </c>
      <c r="J186" s="1993">
        <v>867.16723869999998</v>
      </c>
      <c r="K186" s="1993">
        <v>9635.6336659299996</v>
      </c>
      <c r="L186" s="1993">
        <v>6018.7516766799999</v>
      </c>
      <c r="M186" s="1993">
        <v>5762.1769974700001</v>
      </c>
      <c r="N186" s="1993">
        <v>256.57467921</v>
      </c>
      <c r="O186" s="1993">
        <v>3616.8819892500001</v>
      </c>
      <c r="P186" s="1993">
        <v>2768.4502593100001</v>
      </c>
      <c r="Q186" s="1993">
        <v>848.43172993999997</v>
      </c>
      <c r="R186" s="1993">
        <v>5819.9236764500001</v>
      </c>
      <c r="S186" s="1993">
        <v>3707.7561475699999</v>
      </c>
      <c r="T186" s="1993">
        <v>3560.4584270300002</v>
      </c>
      <c r="U186" s="1993">
        <v>147.29772054</v>
      </c>
      <c r="V186" s="1993">
        <v>2112.1675288800002</v>
      </c>
      <c r="W186" s="1993">
        <v>1537.3832863800001</v>
      </c>
      <c r="X186" s="1993">
        <v>574.7842425</v>
      </c>
      <c r="Y186" s="1993">
        <v>2575.9974370800001</v>
      </c>
      <c r="Z186" s="1993">
        <v>1646.62083779</v>
      </c>
      <c r="AA186" s="1993">
        <v>1575.9929672799999</v>
      </c>
      <c r="AB186" s="1993">
        <v>70.627870509999994</v>
      </c>
      <c r="AC186" s="1993">
        <v>929.37659928999994</v>
      </c>
      <c r="AD186" s="1993">
        <v>910.64109053000004</v>
      </c>
      <c r="AE186" s="1993">
        <v>18.735508759999998</v>
      </c>
    </row>
    <row r="187" spans="1:31">
      <c r="A187" s="1994" t="s">
        <v>22</v>
      </c>
      <c r="B187" s="1993">
        <v>12400.72389207</v>
      </c>
      <c r="C187" s="1993">
        <v>7686.8349524400001</v>
      </c>
      <c r="D187" s="1993">
        <v>4713.8889396300001</v>
      </c>
      <c r="E187" s="1993">
        <v>11060.41619976</v>
      </c>
      <c r="F187" s="1993">
        <v>7353.7999551299999</v>
      </c>
      <c r="G187" s="1993">
        <v>3706.61624463</v>
      </c>
      <c r="H187" s="1993">
        <v>1340.30769231</v>
      </c>
      <c r="I187" s="1993">
        <v>333.03499730999999</v>
      </c>
      <c r="J187" s="1993">
        <v>1007.272695</v>
      </c>
      <c r="K187" s="1993">
        <v>9812.1660823300008</v>
      </c>
      <c r="L187" s="1993">
        <v>6013.0382952800001</v>
      </c>
      <c r="M187" s="1993">
        <v>5755.6722414799997</v>
      </c>
      <c r="N187" s="1993">
        <v>257.36605379999997</v>
      </c>
      <c r="O187" s="1993">
        <v>3799.1277870499998</v>
      </c>
      <c r="P187" s="1993">
        <v>2810.42015124</v>
      </c>
      <c r="Q187" s="1993">
        <v>988.70763581000006</v>
      </c>
      <c r="R187" s="1993">
        <v>5932.0066010399996</v>
      </c>
      <c r="S187" s="1993">
        <v>3638.1915757400002</v>
      </c>
      <c r="T187" s="1993">
        <v>3495.6773730599998</v>
      </c>
      <c r="U187" s="1993">
        <v>142.51420268000001</v>
      </c>
      <c r="V187" s="1993">
        <v>2293.8150252999999</v>
      </c>
      <c r="W187" s="1993">
        <v>1584.4919637600001</v>
      </c>
      <c r="X187" s="1993">
        <v>709.32306154000003</v>
      </c>
      <c r="Y187" s="1993">
        <v>2588.5578097399998</v>
      </c>
      <c r="Z187" s="1993">
        <v>1673.79665716</v>
      </c>
      <c r="AA187" s="1993">
        <v>1598.12771365</v>
      </c>
      <c r="AB187" s="1993">
        <v>75.668943510000005</v>
      </c>
      <c r="AC187" s="1993">
        <v>914.76115258000004</v>
      </c>
      <c r="AD187" s="1993">
        <v>896.19609338999999</v>
      </c>
      <c r="AE187" s="1993">
        <v>18.565059189999999</v>
      </c>
    </row>
    <row r="188" spans="1:31">
      <c r="A188" s="1994" t="s">
        <v>23</v>
      </c>
      <c r="B188" s="1993">
        <v>12748.80840428</v>
      </c>
      <c r="C188" s="1993">
        <v>8087.4388497199998</v>
      </c>
      <c r="D188" s="1993">
        <v>4661.3695545600003</v>
      </c>
      <c r="E188" s="1993">
        <v>11423.226392</v>
      </c>
      <c r="F188" s="1993">
        <v>7735.4396641699996</v>
      </c>
      <c r="G188" s="1993">
        <v>3687.78672783</v>
      </c>
      <c r="H188" s="1993">
        <v>1325.5820122800001</v>
      </c>
      <c r="I188" s="1993">
        <v>351.99918554999999</v>
      </c>
      <c r="J188" s="1993">
        <v>973.58282672999997</v>
      </c>
      <c r="K188" s="1993">
        <v>10143.298602180001</v>
      </c>
      <c r="L188" s="1993">
        <v>6397.3093472399996</v>
      </c>
      <c r="M188" s="1993">
        <v>6121.9346575899999</v>
      </c>
      <c r="N188" s="1993">
        <v>275.37468964999999</v>
      </c>
      <c r="O188" s="1993">
        <v>3745.9892549400001</v>
      </c>
      <c r="P188" s="1993">
        <v>2790.2217963100002</v>
      </c>
      <c r="Q188" s="1993">
        <v>955.76745862999996</v>
      </c>
      <c r="R188" s="1993">
        <v>6138.2266801300002</v>
      </c>
      <c r="S188" s="1993">
        <v>3919.2530596900001</v>
      </c>
      <c r="T188" s="1993">
        <v>3772.8848483100001</v>
      </c>
      <c r="U188" s="1993">
        <v>146.36821137999999</v>
      </c>
      <c r="V188" s="1993">
        <v>2218.9736204400001</v>
      </c>
      <c r="W188" s="1993">
        <v>1535.14376034</v>
      </c>
      <c r="X188" s="1993">
        <v>683.82986010000002</v>
      </c>
      <c r="Y188" s="1993">
        <v>2605.5098020999999</v>
      </c>
      <c r="Z188" s="1993">
        <v>1690.1295024799999</v>
      </c>
      <c r="AA188" s="1993">
        <v>1613.5050065800001</v>
      </c>
      <c r="AB188" s="1993">
        <v>76.624495899999999</v>
      </c>
      <c r="AC188" s="1993">
        <v>915.38029961999996</v>
      </c>
      <c r="AD188" s="1993">
        <v>897.56493151999996</v>
      </c>
      <c r="AE188" s="1993">
        <v>17.815368100000001</v>
      </c>
    </row>
    <row r="189" spans="1:31">
      <c r="A189" s="1994" t="s">
        <v>24</v>
      </c>
      <c r="B189" s="1993">
        <v>12705.49701117</v>
      </c>
      <c r="C189" s="1993">
        <v>8075.0030183400004</v>
      </c>
      <c r="D189" s="1993">
        <v>4630.49399283</v>
      </c>
      <c r="E189" s="1993">
        <v>11361.73312094</v>
      </c>
      <c r="F189" s="1993">
        <v>7718.0658963699998</v>
      </c>
      <c r="G189" s="1993">
        <v>3643.6672245700001</v>
      </c>
      <c r="H189" s="1993">
        <v>1343.76389023</v>
      </c>
      <c r="I189" s="1993">
        <v>356.93712197000002</v>
      </c>
      <c r="J189" s="1993">
        <v>986.82676825999999</v>
      </c>
      <c r="K189" s="1993">
        <v>10078.5282912</v>
      </c>
      <c r="L189" s="1993">
        <v>6355.0158672600001</v>
      </c>
      <c r="M189" s="1993">
        <v>6078.0139613000001</v>
      </c>
      <c r="N189" s="1993">
        <v>277.00190595999999</v>
      </c>
      <c r="O189" s="1993">
        <v>3723.5124239400002</v>
      </c>
      <c r="P189" s="1993">
        <v>2755.5856157100002</v>
      </c>
      <c r="Q189" s="1993">
        <v>967.92680823000001</v>
      </c>
      <c r="R189" s="1993">
        <v>6045.8216216500005</v>
      </c>
      <c r="S189" s="1993">
        <v>3841.6218606299999</v>
      </c>
      <c r="T189" s="1993">
        <v>3694.6689628700001</v>
      </c>
      <c r="U189" s="1993">
        <v>146.95289776000001</v>
      </c>
      <c r="V189" s="1993">
        <v>2204.1997610200001</v>
      </c>
      <c r="W189" s="1993">
        <v>1507.44404644</v>
      </c>
      <c r="X189" s="1993">
        <v>696.75571458000002</v>
      </c>
      <c r="Y189" s="1993">
        <v>2626.9687199700002</v>
      </c>
      <c r="Z189" s="1993">
        <v>1719.9871510800001</v>
      </c>
      <c r="AA189" s="1993">
        <v>1640.0519350699999</v>
      </c>
      <c r="AB189" s="1993">
        <v>79.935216010000005</v>
      </c>
      <c r="AC189" s="1993">
        <v>906.98156888999995</v>
      </c>
      <c r="AD189" s="1993">
        <v>888.08160885999996</v>
      </c>
      <c r="AE189" s="1993">
        <v>18.899960029999999</v>
      </c>
    </row>
    <row r="190" spans="1:31">
      <c r="A190" s="1994" t="s">
        <v>25</v>
      </c>
      <c r="B190" s="1993">
        <v>12580.12560284</v>
      </c>
      <c r="C190" s="1993">
        <v>8017.8207072300002</v>
      </c>
      <c r="D190" s="1993">
        <v>4562.3048956100001</v>
      </c>
      <c r="E190" s="1993">
        <v>11239.26713287</v>
      </c>
      <c r="F190" s="1993">
        <v>7656.9527244499996</v>
      </c>
      <c r="G190" s="1993">
        <v>3582.3144084199998</v>
      </c>
      <c r="H190" s="1993">
        <v>1340.85846997</v>
      </c>
      <c r="I190" s="1993">
        <v>360.86798277999998</v>
      </c>
      <c r="J190" s="1993">
        <v>979.99048718999995</v>
      </c>
      <c r="K190" s="1993">
        <v>9928.7726578900001</v>
      </c>
      <c r="L190" s="1993">
        <v>6263.1617035600002</v>
      </c>
      <c r="M190" s="1993">
        <v>5983.26840963</v>
      </c>
      <c r="N190" s="1993">
        <v>279.89329393000003</v>
      </c>
      <c r="O190" s="1993">
        <v>3665.6109543299999</v>
      </c>
      <c r="P190" s="1993">
        <v>2704.11073936</v>
      </c>
      <c r="Q190" s="1993">
        <v>961.50021497</v>
      </c>
      <c r="R190" s="1993">
        <v>5874.3278602199998</v>
      </c>
      <c r="S190" s="1993">
        <v>3717.7469765400001</v>
      </c>
      <c r="T190" s="1993">
        <v>3569.67922967</v>
      </c>
      <c r="U190" s="1993">
        <v>148.06774687000001</v>
      </c>
      <c r="V190" s="1993">
        <v>2156.5808836800002</v>
      </c>
      <c r="W190" s="1993">
        <v>1465.39252179</v>
      </c>
      <c r="X190" s="1993">
        <v>691.18836189000001</v>
      </c>
      <c r="Y190" s="1993">
        <v>2651.3529449500002</v>
      </c>
      <c r="Z190" s="1993">
        <v>1754.6590036699999</v>
      </c>
      <c r="AA190" s="1993">
        <v>1673.6843148200001</v>
      </c>
      <c r="AB190" s="1993">
        <v>80.974688850000007</v>
      </c>
      <c r="AC190" s="1993">
        <v>896.69394127999999</v>
      </c>
      <c r="AD190" s="1993">
        <v>878.20366906000004</v>
      </c>
      <c r="AE190" s="1993">
        <v>18.490272220000001</v>
      </c>
    </row>
    <row r="191" spans="1:31">
      <c r="A191" s="1994" t="s">
        <v>26</v>
      </c>
      <c r="B191" s="1993">
        <v>12705.47209046</v>
      </c>
      <c r="C191" s="1993">
        <v>8251.5401611800007</v>
      </c>
      <c r="D191" s="1993">
        <v>4453.9319292800001</v>
      </c>
      <c r="E191" s="1993">
        <v>11404.888261870001</v>
      </c>
      <c r="F191" s="1993">
        <v>7891.4799594699998</v>
      </c>
      <c r="G191" s="1993">
        <v>3513.4083024000001</v>
      </c>
      <c r="H191" s="1993">
        <v>1300.5838285899999</v>
      </c>
      <c r="I191" s="1993">
        <v>360.06020171</v>
      </c>
      <c r="J191" s="1993">
        <v>940.52362688000005</v>
      </c>
      <c r="K191" s="1993">
        <v>10052.585250390001</v>
      </c>
      <c r="L191" s="1993">
        <v>6470.99532628</v>
      </c>
      <c r="M191" s="1993">
        <v>6193.1050994200004</v>
      </c>
      <c r="N191" s="1993">
        <v>277.89022685999998</v>
      </c>
      <c r="O191" s="1993">
        <v>3581.5899241100001</v>
      </c>
      <c r="P191" s="1993">
        <v>2659.44709814</v>
      </c>
      <c r="Q191" s="1993">
        <v>922.14282596999999</v>
      </c>
      <c r="R191" s="1993">
        <v>5946.4646652499996</v>
      </c>
      <c r="S191" s="1993">
        <v>3880.6098629600001</v>
      </c>
      <c r="T191" s="1993">
        <v>3732.0095651900001</v>
      </c>
      <c r="U191" s="1993">
        <v>148.60029777</v>
      </c>
      <c r="V191" s="1993">
        <v>2065.85480229</v>
      </c>
      <c r="W191" s="1993">
        <v>1446.7207384799999</v>
      </c>
      <c r="X191" s="1993">
        <v>619.13406381000004</v>
      </c>
      <c r="Y191" s="1993">
        <v>2652.8868400699998</v>
      </c>
      <c r="Z191" s="1993">
        <v>1780.5448349000001</v>
      </c>
      <c r="AA191" s="1993">
        <v>1698.3748600500001</v>
      </c>
      <c r="AB191" s="1993">
        <v>82.169974850000003</v>
      </c>
      <c r="AC191" s="1993">
        <v>872.34200516999999</v>
      </c>
      <c r="AD191" s="1993">
        <v>853.96120426000004</v>
      </c>
      <c r="AE191" s="1993">
        <v>18.380800910000001</v>
      </c>
    </row>
    <row r="192" spans="1:31">
      <c r="A192" s="1994">
        <v>10</v>
      </c>
      <c r="B192" s="1993" t="s">
        <v>4005</v>
      </c>
      <c r="C192" s="1993">
        <v>8141.6861897899998</v>
      </c>
      <c r="D192" s="1993">
        <v>4422.3934747399999</v>
      </c>
      <c r="E192" s="1993">
        <v>11247.08615239</v>
      </c>
      <c r="F192" s="1993">
        <v>7766.8818144200004</v>
      </c>
      <c r="G192" s="1993">
        <v>3480.2043379699999</v>
      </c>
      <c r="H192" s="1993">
        <v>1316.9935121399999</v>
      </c>
      <c r="I192" s="1993">
        <v>374.80437537</v>
      </c>
      <c r="J192" s="1993">
        <v>942.18913677</v>
      </c>
      <c r="K192" s="1993">
        <v>10101.148677839999</v>
      </c>
      <c r="L192" s="1993">
        <v>6548.6797558899998</v>
      </c>
      <c r="M192" s="1993">
        <v>6256.5528523700004</v>
      </c>
      <c r="N192" s="1993">
        <v>292.12690351999998</v>
      </c>
      <c r="O192" s="1993">
        <v>3552.4689219500001</v>
      </c>
      <c r="P192" s="1993">
        <v>2628.7499069700002</v>
      </c>
      <c r="Q192" s="1993">
        <v>923.71901498</v>
      </c>
      <c r="R192" s="1993">
        <v>5967.5093773600001</v>
      </c>
      <c r="S192" s="1993">
        <v>3891.07964898</v>
      </c>
      <c r="T192" s="1993">
        <v>3743.2878593700002</v>
      </c>
      <c r="U192" s="1993">
        <v>147.79178961</v>
      </c>
      <c r="V192" s="1993">
        <v>2076.4297283800001</v>
      </c>
      <c r="W192" s="1993">
        <v>1473.4157615399999</v>
      </c>
      <c r="X192" s="1993">
        <v>603.01396683999997</v>
      </c>
      <c r="Y192" s="1993">
        <v>2462.9309866899998</v>
      </c>
      <c r="Z192" s="1993">
        <v>1593.0064339</v>
      </c>
      <c r="AA192" s="1993">
        <v>1510.32896205</v>
      </c>
      <c r="AB192" s="1993">
        <v>82.677471850000003</v>
      </c>
      <c r="AC192" s="1993">
        <v>869.92455279000001</v>
      </c>
      <c r="AD192" s="1993">
        <v>851.454431</v>
      </c>
      <c r="AE192" s="1993">
        <v>18.47012179</v>
      </c>
    </row>
    <row r="193" spans="1:31">
      <c r="A193" s="1994">
        <v>11</v>
      </c>
      <c r="B193" s="1993">
        <v>12524.91391736</v>
      </c>
      <c r="C193" s="1993">
        <v>8235.1652755199993</v>
      </c>
      <c r="D193" s="1993">
        <v>4289.7486418400003</v>
      </c>
      <c r="E193" s="1993">
        <v>11293.78532791</v>
      </c>
      <c r="F193" s="1993">
        <v>7854.3874797899998</v>
      </c>
      <c r="G193" s="1993">
        <v>3439.3978481200002</v>
      </c>
      <c r="H193" s="1993">
        <v>1231.1285894499999</v>
      </c>
      <c r="I193" s="1993">
        <v>380.77779572999998</v>
      </c>
      <c r="J193" s="1993">
        <v>850.35079371999996</v>
      </c>
      <c r="K193" s="1993">
        <v>9987.0562074000009</v>
      </c>
      <c r="L193" s="1993">
        <v>6585.7117858700003</v>
      </c>
      <c r="M193" s="1993">
        <v>6293.3344762099996</v>
      </c>
      <c r="N193" s="1993">
        <v>292.37730965999998</v>
      </c>
      <c r="O193" s="1993">
        <v>3401.3444215300001</v>
      </c>
      <c r="P193" s="1993">
        <v>2569.34574922</v>
      </c>
      <c r="Q193" s="1993">
        <v>831.99867230999996</v>
      </c>
      <c r="R193" s="1993">
        <v>5787.0419018299999</v>
      </c>
      <c r="S193" s="1993">
        <v>3855.3848486000002</v>
      </c>
      <c r="T193" s="1993">
        <v>3708.3492796999999</v>
      </c>
      <c r="U193" s="1993">
        <v>147.03556889999999</v>
      </c>
      <c r="V193" s="1993">
        <v>1931.65705323</v>
      </c>
      <c r="W193" s="1993">
        <v>1422.6145963399999</v>
      </c>
      <c r="X193" s="1993">
        <v>509.04245688999998</v>
      </c>
      <c r="Y193" s="1993">
        <v>2537.8577099600002</v>
      </c>
      <c r="Z193" s="1993">
        <v>1649.4534896499999</v>
      </c>
      <c r="AA193" s="1993">
        <v>1561.05300358</v>
      </c>
      <c r="AB193" s="1993">
        <v>88.400486069999999</v>
      </c>
      <c r="AC193" s="1993">
        <v>888.40422031000003</v>
      </c>
      <c r="AD193" s="1993">
        <v>870.05209890000003</v>
      </c>
      <c r="AE193" s="1993">
        <v>18.352121409999999</v>
      </c>
    </row>
    <row r="194" spans="1:31">
      <c r="A194" s="1994">
        <v>12</v>
      </c>
      <c r="B194" s="1993">
        <v>12947.75562296</v>
      </c>
      <c r="C194" s="1993">
        <v>8646.0871932900009</v>
      </c>
      <c r="D194" s="1993">
        <v>4301.6684296699996</v>
      </c>
      <c r="E194" s="1993">
        <v>11705.42095847</v>
      </c>
      <c r="F194" s="1993">
        <v>8252.1207080900003</v>
      </c>
      <c r="G194" s="1993">
        <v>3453.3002503799999</v>
      </c>
      <c r="H194" s="1993">
        <v>1242.33466449</v>
      </c>
      <c r="I194" s="1993">
        <v>393.96648520000002</v>
      </c>
      <c r="J194" s="1993">
        <v>848.36817928999994</v>
      </c>
      <c r="K194" s="1993">
        <v>10361.38380388</v>
      </c>
      <c r="L194" s="1993">
        <v>6945.0721071500002</v>
      </c>
      <c r="M194" s="1993">
        <v>6640.3577820199998</v>
      </c>
      <c r="N194" s="1993">
        <v>304.71432513000002</v>
      </c>
      <c r="O194" s="1993">
        <v>3416.3116967300002</v>
      </c>
      <c r="P194" s="1993">
        <v>2585.3953617000002</v>
      </c>
      <c r="Q194" s="1993">
        <v>830.91633503000003</v>
      </c>
      <c r="R194" s="1993">
        <v>6064.4357277099998</v>
      </c>
      <c r="S194" s="1993">
        <v>4124.6015843100004</v>
      </c>
      <c r="T194" s="1993">
        <v>3971.2963077499999</v>
      </c>
      <c r="U194" s="1993">
        <v>153.30527656000001</v>
      </c>
      <c r="V194" s="1993">
        <v>1939.8341433999999</v>
      </c>
      <c r="W194" s="1993">
        <v>1430.6006972499999</v>
      </c>
      <c r="X194" s="1993">
        <v>509.23344615000002</v>
      </c>
      <c r="Y194" s="1993">
        <v>2586.37181908</v>
      </c>
      <c r="Z194" s="1993">
        <v>1701.01508614</v>
      </c>
      <c r="AA194" s="1993">
        <v>1611.76292607</v>
      </c>
      <c r="AB194" s="1993">
        <v>89.252160070000002</v>
      </c>
      <c r="AC194" s="1993">
        <v>885.35673294000003</v>
      </c>
      <c r="AD194" s="1993">
        <v>867.90488868</v>
      </c>
      <c r="AE194" s="1993">
        <v>17.451844260000001</v>
      </c>
    </row>
    <row r="195" spans="1:31">
      <c r="A195" s="1994">
        <v>2024</v>
      </c>
      <c r="B195" s="1993"/>
      <c r="C195" s="1993"/>
      <c r="D195" s="1993"/>
      <c r="E195" s="1993"/>
      <c r="F195" s="1993"/>
      <c r="G195" s="1993"/>
      <c r="H195" s="1993"/>
      <c r="I195" s="1993"/>
      <c r="J195" s="1993"/>
      <c r="K195" s="1993"/>
      <c r="L195" s="1993"/>
      <c r="M195" s="1993"/>
      <c r="N195" s="1993"/>
      <c r="O195" s="1993"/>
      <c r="P195" s="1993"/>
      <c r="Q195" s="1993"/>
      <c r="R195" s="1993"/>
      <c r="S195" s="1993"/>
      <c r="T195" s="1993"/>
      <c r="U195" s="1993"/>
      <c r="V195" s="1993"/>
      <c r="W195" s="1993"/>
      <c r="X195" s="1993"/>
      <c r="Y195" s="1993"/>
      <c r="Z195" s="1993"/>
      <c r="AA195" s="1993"/>
      <c r="AB195" s="1993"/>
      <c r="AC195" s="1993"/>
      <c r="AD195" s="1993"/>
      <c r="AE195" s="1993"/>
    </row>
    <row r="196" spans="1:31">
      <c r="A196" s="1994" t="s">
        <v>18</v>
      </c>
      <c r="B196" s="1993">
        <v>13116.172725189999</v>
      </c>
      <c r="C196" s="1993">
        <v>8530.9007943899996</v>
      </c>
      <c r="D196" s="1993">
        <v>4585.2719307999996</v>
      </c>
      <c r="E196" s="1993">
        <v>11842.542372039999</v>
      </c>
      <c r="F196" s="1993">
        <v>8135.6342664800004</v>
      </c>
      <c r="G196" s="1993">
        <v>3706.90810556</v>
      </c>
      <c r="H196" s="1993">
        <v>1273.63035315</v>
      </c>
      <c r="I196" s="1993">
        <v>395.26652790999998</v>
      </c>
      <c r="J196" s="1993">
        <v>878.36382523999998</v>
      </c>
      <c r="K196" s="1993">
        <v>10332.0933731</v>
      </c>
      <c r="L196" s="1993">
        <v>6729.9864288799999</v>
      </c>
      <c r="M196" s="1993">
        <v>6430.6439181699998</v>
      </c>
      <c r="N196" s="1993">
        <v>299.34251071</v>
      </c>
      <c r="O196" s="1993">
        <v>3602.1069442200001</v>
      </c>
      <c r="P196" s="1993">
        <v>2741.0417076099998</v>
      </c>
      <c r="Q196" s="1993">
        <v>861.06523661000006</v>
      </c>
      <c r="R196" s="1993">
        <v>6001.7032856200003</v>
      </c>
      <c r="S196" s="1993">
        <v>3900.15271975</v>
      </c>
      <c r="T196" s="1993">
        <v>3751.9322188599999</v>
      </c>
      <c r="U196" s="1993">
        <v>148.22050089000001</v>
      </c>
      <c r="V196" s="1993">
        <v>2101.5505658699999</v>
      </c>
      <c r="W196" s="1993">
        <v>1551.25150461</v>
      </c>
      <c r="X196" s="1993">
        <v>550.29906126000003</v>
      </c>
      <c r="Y196" s="1993">
        <v>2784.0793520900002</v>
      </c>
      <c r="Z196" s="1993">
        <v>1800.9143655099999</v>
      </c>
      <c r="AA196" s="1993">
        <v>1704.9903483099999</v>
      </c>
      <c r="AB196" s="1993">
        <v>95.924017199999994</v>
      </c>
      <c r="AC196" s="1993">
        <v>983.16498658</v>
      </c>
      <c r="AD196" s="1993">
        <v>965.86639794999996</v>
      </c>
      <c r="AE196" s="1993">
        <v>17.298588630000001</v>
      </c>
    </row>
    <row r="197" spans="1:31" ht="15.6" customHeight="1">
      <c r="A197" s="1994" t="s">
        <v>19</v>
      </c>
      <c r="B197" s="1993">
        <v>13267.209236139999</v>
      </c>
      <c r="C197" s="1993">
        <v>8579.4712754499997</v>
      </c>
      <c r="D197" s="1993">
        <v>4687.7379606900004</v>
      </c>
      <c r="E197" s="1993">
        <v>12002.37940299</v>
      </c>
      <c r="F197" s="1993">
        <v>8183.7733318199998</v>
      </c>
      <c r="G197" s="1993">
        <v>3818.6060711700002</v>
      </c>
      <c r="H197" s="1993">
        <v>1264.82983315</v>
      </c>
      <c r="I197" s="1993">
        <v>395.69794363</v>
      </c>
      <c r="J197" s="1993">
        <v>869.13188951999996</v>
      </c>
      <c r="K197" s="1993">
        <v>10393.97454868</v>
      </c>
      <c r="L197" s="1993">
        <v>6683.9130338100003</v>
      </c>
      <c r="M197" s="1993">
        <v>6387.0250511900003</v>
      </c>
      <c r="N197" s="1993">
        <v>296.88798262</v>
      </c>
      <c r="O197" s="1993">
        <v>3710.0615148699999</v>
      </c>
      <c r="P197" s="1993">
        <v>2858.3344321099999</v>
      </c>
      <c r="Q197" s="1993">
        <v>851.72708276000003</v>
      </c>
      <c r="R197" s="1993">
        <v>6091.4328312500002</v>
      </c>
      <c r="S197" s="1993">
        <v>3899.9471199</v>
      </c>
      <c r="T197" s="1993">
        <v>3754.78918479</v>
      </c>
      <c r="U197" s="1993">
        <v>145.15793511000001</v>
      </c>
      <c r="V197" s="1993">
        <v>2191.4857113500002</v>
      </c>
      <c r="W197" s="1993">
        <v>1664.73661569</v>
      </c>
      <c r="X197" s="1993">
        <v>526.74909565999997</v>
      </c>
      <c r="Y197" s="1993">
        <v>2873.2346874599998</v>
      </c>
      <c r="Z197" s="1993">
        <v>1895.55824164</v>
      </c>
      <c r="AA197" s="1993">
        <v>1796.74828063</v>
      </c>
      <c r="AB197" s="1993">
        <v>98.809961009999995</v>
      </c>
      <c r="AC197" s="1993">
        <v>977.67644582000003</v>
      </c>
      <c r="AD197" s="1993">
        <v>960.27163905999998</v>
      </c>
      <c r="AE197" s="1993">
        <v>17.40480676</v>
      </c>
    </row>
    <row r="198" spans="1:31" s="1997" customFormat="1">
      <c r="A198" s="2467" t="s">
        <v>4022</v>
      </c>
      <c r="B198" s="2467"/>
      <c r="C198" s="2467"/>
      <c r="D198" s="2467"/>
      <c r="E198" s="2467"/>
      <c r="F198" s="2467"/>
      <c r="G198" s="2467"/>
      <c r="H198" s="2467"/>
      <c r="I198" s="2467"/>
      <c r="J198" s="1996"/>
      <c r="K198" s="1996"/>
      <c r="L198" s="1996"/>
      <c r="M198" s="1996"/>
      <c r="N198" s="1996"/>
      <c r="O198" s="1996"/>
      <c r="P198" s="1996"/>
      <c r="Q198" s="1996"/>
      <c r="R198" s="1996"/>
      <c r="S198" s="1996"/>
      <c r="T198" s="1996"/>
      <c r="U198" s="1996"/>
      <c r="V198" s="1996"/>
      <c r="W198" s="1996"/>
      <c r="X198" s="1996"/>
      <c r="Y198" s="1996"/>
      <c r="Z198" s="1996"/>
      <c r="AA198" s="1996"/>
      <c r="AB198" s="1996"/>
      <c r="AC198" s="1996"/>
      <c r="AD198" s="1996"/>
      <c r="AE198" s="1996"/>
    </row>
    <row r="199" spans="1:31" s="1997" customFormat="1" ht="27" customHeight="1">
      <c r="A199" s="2468" t="s">
        <v>2779</v>
      </c>
      <c r="B199" s="2468"/>
      <c r="C199" s="2468"/>
      <c r="D199" s="2468"/>
      <c r="E199" s="2468"/>
      <c r="F199" s="2468"/>
      <c r="G199" s="2468"/>
      <c r="H199" s="2468"/>
      <c r="I199" s="2468"/>
      <c r="J199" s="2468"/>
      <c r="K199" s="2468"/>
      <c r="L199" s="2468"/>
      <c r="M199" s="2468"/>
      <c r="N199" s="2468"/>
      <c r="O199" s="2468"/>
      <c r="P199" s="2468"/>
      <c r="Q199" s="2468"/>
      <c r="R199" s="2468"/>
      <c r="S199" s="2468"/>
      <c r="T199" s="2468"/>
      <c r="U199" s="2468"/>
      <c r="V199" s="2468"/>
      <c r="W199" s="2468"/>
      <c r="X199" s="2468"/>
      <c r="Y199" s="2468"/>
      <c r="Z199" s="2468"/>
      <c r="AA199" s="2468"/>
      <c r="AB199" s="2468"/>
      <c r="AC199" s="2468"/>
      <c r="AD199" s="2468"/>
      <c r="AE199" s="2469"/>
    </row>
    <row r="200" spans="1:31" s="1997" customFormat="1">
      <c r="A200" s="2466" t="s">
        <v>2765</v>
      </c>
      <c r="B200" s="2466"/>
      <c r="C200" s="2466"/>
      <c r="D200" s="2466"/>
      <c r="E200" s="2466"/>
      <c r="F200" s="2466"/>
      <c r="G200" s="2466"/>
      <c r="H200" s="2466"/>
      <c r="I200" s="2466"/>
      <c r="J200" s="2466"/>
      <c r="K200" s="2466"/>
      <c r="L200" s="2466"/>
      <c r="M200" s="2466"/>
      <c r="N200" s="2466"/>
      <c r="O200" s="2466"/>
      <c r="P200" s="2466"/>
      <c r="Q200" s="2466"/>
      <c r="R200" s="2466"/>
      <c r="S200" s="2466"/>
      <c r="T200" s="2466"/>
      <c r="U200" s="2466"/>
      <c r="V200" s="2466"/>
      <c r="W200" s="2466"/>
      <c r="X200" s="2466"/>
      <c r="Y200" s="2466"/>
      <c r="Z200" s="2466"/>
      <c r="AA200" s="2466"/>
      <c r="AB200" s="2466"/>
      <c r="AC200" s="2466"/>
      <c r="AD200" s="2466"/>
      <c r="AE200" s="2466"/>
    </row>
    <row r="201" spans="1:31">
      <c r="B201" s="2064"/>
      <c r="C201" s="2064"/>
      <c r="D201" s="2064"/>
    </row>
    <row r="202" spans="1:31" ht="16.2">
      <c r="A202" s="1998"/>
      <c r="B202" s="1999"/>
      <c r="C202" s="2064"/>
      <c r="D202" s="2064"/>
      <c r="E202" s="1999"/>
      <c r="F202" s="1999"/>
      <c r="G202" s="1999"/>
    </row>
    <row r="203" spans="1:31">
      <c r="B203" s="2000"/>
      <c r="C203" s="2000"/>
      <c r="D203" s="2000"/>
      <c r="E203" s="2000"/>
      <c r="F203" s="2000"/>
      <c r="G203" s="2000"/>
      <c r="H203" s="2000"/>
      <c r="I203" s="2000"/>
      <c r="J203" s="2000"/>
      <c r="K203" s="2000"/>
      <c r="L203" s="2000"/>
      <c r="M203" s="2000"/>
      <c r="N203" s="2000"/>
      <c r="O203" s="2000"/>
      <c r="P203" s="2000"/>
      <c r="Q203" s="2000"/>
      <c r="R203" s="2000"/>
      <c r="S203" s="2000"/>
      <c r="T203" s="2000"/>
      <c r="U203" s="2000"/>
      <c r="V203" s="2000"/>
      <c r="W203" s="2000"/>
      <c r="X203" s="2000"/>
      <c r="Y203" s="2000"/>
      <c r="Z203" s="2000"/>
      <c r="AA203" s="2000"/>
      <c r="AB203" s="2000"/>
      <c r="AC203" s="2000"/>
      <c r="AD203" s="2000"/>
      <c r="AE203" s="2000"/>
    </row>
    <row r="277" spans="7:8">
      <c r="G277" s="2001"/>
      <c r="H277" s="2001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00:AE200"/>
    <mergeCell ref="Z10:Z11"/>
    <mergeCell ref="AA10:AB10"/>
    <mergeCell ref="AC10:AC11"/>
    <mergeCell ref="AD10:AE10"/>
    <mergeCell ref="A198:I198"/>
    <mergeCell ref="A199:AE199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291" sqref="G291"/>
      <selection pane="bottomLeft" activeCell="V43" sqref="V43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95" t="s">
        <v>2811</v>
      </c>
      <c r="B2" s="2495"/>
      <c r="C2" s="2495"/>
      <c r="D2" s="2495"/>
      <c r="E2" s="2495"/>
      <c r="F2" s="2495"/>
      <c r="G2" s="2495"/>
      <c r="H2" s="2495"/>
      <c r="I2" s="2495"/>
      <c r="J2" s="2495"/>
      <c r="K2" s="2495"/>
      <c r="L2" s="2495"/>
      <c r="M2" s="2495"/>
      <c r="N2" s="2495"/>
      <c r="O2" s="2495"/>
    </row>
    <row r="3" spans="1:80" ht="39" customHeight="1">
      <c r="A3" s="2349" t="s">
        <v>2812</v>
      </c>
      <c r="B3" s="2349"/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</row>
    <row r="4" spans="1:80" s="793" customFormat="1" ht="21.75" customHeight="1">
      <c r="A4" s="792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</row>
    <row r="5" spans="1:80" s="793" customFormat="1" ht="21.75" customHeight="1">
      <c r="A5" s="2496">
        <v>45351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350" t="s">
        <v>1193</v>
      </c>
      <c r="M5" s="2350"/>
      <c r="N5" s="2350"/>
      <c r="O5" s="2350"/>
    </row>
    <row r="6" spans="1:80" s="46" customFormat="1" ht="24" customHeight="1">
      <c r="A6" s="2428" t="s">
        <v>1194</v>
      </c>
      <c r="B6" s="2429" t="s">
        <v>145</v>
      </c>
      <c r="C6" s="2430" t="s">
        <v>192</v>
      </c>
      <c r="D6" s="2428" t="s">
        <v>183</v>
      </c>
      <c r="E6" s="2431"/>
      <c r="F6" s="2431"/>
      <c r="G6" s="2431"/>
      <c r="H6" s="2428" t="s">
        <v>202</v>
      </c>
      <c r="I6" s="2431"/>
      <c r="J6" s="2431"/>
      <c r="K6" s="2431"/>
      <c r="L6" s="2428" t="s">
        <v>203</v>
      </c>
      <c r="M6" s="2431"/>
      <c r="N6" s="2431"/>
      <c r="O6" s="2431"/>
    </row>
    <row r="7" spans="1:80" s="46" customFormat="1" ht="34.950000000000003" customHeight="1">
      <c r="A7" s="2428"/>
      <c r="B7" s="2429"/>
      <c r="C7" s="2430"/>
      <c r="D7" s="2428" t="s">
        <v>195</v>
      </c>
      <c r="E7" s="2431"/>
      <c r="F7" s="2429" t="s">
        <v>1170</v>
      </c>
      <c r="G7" s="2432"/>
      <c r="H7" s="2428" t="s">
        <v>195</v>
      </c>
      <c r="I7" s="2431"/>
      <c r="J7" s="2429" t="s">
        <v>1170</v>
      </c>
      <c r="K7" s="2432"/>
      <c r="L7" s="2428" t="s">
        <v>195</v>
      </c>
      <c r="M7" s="2431"/>
      <c r="N7" s="2429" t="s">
        <v>1170</v>
      </c>
      <c r="O7" s="2432"/>
      <c r="CA7" s="341" t="s">
        <v>2089</v>
      </c>
      <c r="CB7" s="349" t="s">
        <v>2090</v>
      </c>
    </row>
    <row r="8" spans="1:80" s="46" customFormat="1" ht="27.6">
      <c r="A8" s="2428"/>
      <c r="B8" s="2429"/>
      <c r="C8" s="2430"/>
      <c r="D8" s="658" t="s">
        <v>196</v>
      </c>
      <c r="E8" s="659" t="s">
        <v>2191</v>
      </c>
      <c r="F8" s="658" t="s">
        <v>196</v>
      </c>
      <c r="G8" s="659" t="s">
        <v>192</v>
      </c>
      <c r="H8" s="660" t="s">
        <v>196</v>
      </c>
      <c r="I8" s="659" t="s">
        <v>192</v>
      </c>
      <c r="J8" s="660" t="s">
        <v>196</v>
      </c>
      <c r="K8" s="659" t="s">
        <v>192</v>
      </c>
      <c r="L8" s="660" t="s">
        <v>196</v>
      </c>
      <c r="M8" s="661" t="s">
        <v>192</v>
      </c>
      <c r="N8" s="658" t="s">
        <v>196</v>
      </c>
      <c r="O8" s="661" t="s">
        <v>192</v>
      </c>
      <c r="BW8" s="46" t="e">
        <f>BW10+BW19+#REF!+#REF!</f>
        <v>#REF!</v>
      </c>
      <c r="CA8" s="46" t="e">
        <f>CA10+CA19+#REF!+#REF!</f>
        <v>#REF!</v>
      </c>
      <c r="CB8" s="350" t="e">
        <f>BW8+BX8+BY8+CA8</f>
        <v>#REF!</v>
      </c>
    </row>
    <row r="9" spans="1:80" s="46" customFormat="1" ht="15" customHeight="1">
      <c r="A9" s="2432" t="s">
        <v>1228</v>
      </c>
      <c r="B9" s="2439" t="s">
        <v>105</v>
      </c>
      <c r="C9" s="2439" t="s">
        <v>1196</v>
      </c>
      <c r="D9" s="2432" t="s">
        <v>106</v>
      </c>
      <c r="E9" s="2438"/>
      <c r="F9" s="2438"/>
      <c r="G9" s="2438"/>
      <c r="H9" s="2432" t="s">
        <v>1207</v>
      </c>
      <c r="I9" s="2438"/>
      <c r="J9" s="2438"/>
      <c r="K9" s="2438"/>
      <c r="L9" s="2432" t="s">
        <v>1208</v>
      </c>
      <c r="M9" s="2438"/>
      <c r="N9" s="2438"/>
      <c r="O9" s="2438"/>
      <c r="CB9" s="350"/>
    </row>
    <row r="10" spans="1:80" s="46" customFormat="1" ht="15" customHeight="1">
      <c r="A10" s="2432"/>
      <c r="B10" s="2440"/>
      <c r="C10" s="2440"/>
      <c r="D10" s="2432" t="s">
        <v>1197</v>
      </c>
      <c r="E10" s="2438"/>
      <c r="F10" s="2432" t="s">
        <v>213</v>
      </c>
      <c r="G10" s="2438"/>
      <c r="H10" s="2432" t="s">
        <v>1197</v>
      </c>
      <c r="I10" s="2438"/>
      <c r="J10" s="2432" t="s">
        <v>213</v>
      </c>
      <c r="K10" s="2438"/>
      <c r="L10" s="2432" t="s">
        <v>1197</v>
      </c>
      <c r="M10" s="2438"/>
      <c r="N10" s="2432" t="s">
        <v>213</v>
      </c>
      <c r="O10" s="2438"/>
      <c r="CA10" s="46" t="e">
        <f>CA12+CA17</f>
        <v>#REF!</v>
      </c>
      <c r="CB10" s="350" t="e">
        <f>BW10+BX10+BY10+CA10</f>
        <v>#REF!</v>
      </c>
    </row>
    <row r="11" spans="1:80" s="46" customFormat="1" ht="27.6">
      <c r="A11" s="2432"/>
      <c r="B11" s="2440"/>
      <c r="C11" s="2440"/>
      <c r="D11" s="662" t="s">
        <v>1198</v>
      </c>
      <c r="E11" s="663" t="s">
        <v>1196</v>
      </c>
      <c r="F11" s="662" t="s">
        <v>1198</v>
      </c>
      <c r="G11" s="663" t="s">
        <v>1196</v>
      </c>
      <c r="H11" s="662" t="s">
        <v>1198</v>
      </c>
      <c r="I11" s="663" t="s">
        <v>1196</v>
      </c>
      <c r="J11" s="662" t="s">
        <v>1198</v>
      </c>
      <c r="K11" s="663" t="s">
        <v>1196</v>
      </c>
      <c r="L11" s="662" t="s">
        <v>1198</v>
      </c>
      <c r="M11" s="663" t="s">
        <v>1196</v>
      </c>
      <c r="N11" s="662" t="s">
        <v>1198</v>
      </c>
      <c r="O11" s="663" t="s">
        <v>1196</v>
      </c>
      <c r="CB11" s="350"/>
    </row>
    <row r="12" spans="1:80" s="107" customFormat="1" ht="17.399999999999999">
      <c r="A12" s="812"/>
      <c r="B12" s="813"/>
      <c r="C12" s="813"/>
      <c r="D12" s="814"/>
      <c r="E12" s="813"/>
      <c r="F12" s="814"/>
      <c r="G12" s="815"/>
      <c r="H12" s="814"/>
      <c r="I12" s="815"/>
      <c r="J12" s="814"/>
      <c r="K12" s="815"/>
      <c r="L12" s="814"/>
      <c r="M12" s="815"/>
      <c r="N12" s="814"/>
      <c r="O12" s="813"/>
      <c r="CA12" s="107">
        <f>CA14+CA15</f>
        <v>4361</v>
      </c>
      <c r="CB12" s="355">
        <f>BW12+BX12+BY12+CA12</f>
        <v>4361</v>
      </c>
    </row>
    <row r="13" spans="1:80" s="46" customFormat="1" ht="15.6">
      <c r="A13" s="822" t="s">
        <v>197</v>
      </c>
      <c r="B13" s="829">
        <v>13267209.23763</v>
      </c>
      <c r="C13" s="830">
        <v>3.8125939837498297E-2</v>
      </c>
      <c r="D13" s="829">
        <v>8579471.2752199993</v>
      </c>
      <c r="E13" s="830">
        <v>5.1852786946978403E-2</v>
      </c>
      <c r="F13" s="829">
        <v>4687737.9624100002</v>
      </c>
      <c r="G13" s="830">
        <v>1.30031210930866E-2</v>
      </c>
      <c r="H13" s="829">
        <v>3899947.1184200002</v>
      </c>
      <c r="I13" s="831">
        <v>2.3104740392277598E-3</v>
      </c>
      <c r="J13" s="829">
        <v>2191485.7114800001</v>
      </c>
      <c r="K13" s="831">
        <v>8.3744547837392899E-5</v>
      </c>
      <c r="L13" s="829">
        <v>4679524.1568</v>
      </c>
      <c r="M13" s="831">
        <v>9.3151655931753494E-2</v>
      </c>
      <c r="N13" s="829">
        <v>2496252.2509300001</v>
      </c>
      <c r="O13" s="830">
        <v>2.4345178801558901E-2</v>
      </c>
      <c r="CB13" s="350"/>
    </row>
    <row r="14" spans="1:80" s="46" customFormat="1" ht="15.6">
      <c r="A14" s="764" t="s">
        <v>144</v>
      </c>
      <c r="B14" s="832"/>
      <c r="C14" s="821"/>
      <c r="D14" s="833"/>
      <c r="E14" s="821"/>
      <c r="F14" s="833"/>
      <c r="G14" s="821"/>
      <c r="H14" s="833"/>
      <c r="I14" s="824"/>
      <c r="J14" s="833"/>
      <c r="K14" s="824"/>
      <c r="L14" s="833"/>
      <c r="M14" s="824"/>
      <c r="N14" s="833"/>
      <c r="O14" s="821"/>
      <c r="U14" s="511"/>
      <c r="CA14" s="46">
        <v>3917</v>
      </c>
      <c r="CB14" s="350">
        <f>BW14+BX14+BY14+CA14</f>
        <v>3917</v>
      </c>
    </row>
    <row r="15" spans="1:80" s="46" customFormat="1" ht="15.75" customHeight="1">
      <c r="A15" s="822" t="s">
        <v>2721</v>
      </c>
      <c r="B15" s="823">
        <v>11752923.25189</v>
      </c>
      <c r="C15" s="821">
        <v>3.6797776689223703E-2</v>
      </c>
      <c r="D15" s="823">
        <v>7208744.6645200001</v>
      </c>
      <c r="E15" s="821">
        <v>5.1740729519643501E-2</v>
      </c>
      <c r="F15" s="823">
        <v>4544178.5873699998</v>
      </c>
      <c r="G15" s="821">
        <v>1.3092741711517499E-2</v>
      </c>
      <c r="H15" s="823">
        <v>3269331.3777200002</v>
      </c>
      <c r="I15" s="824">
        <v>1.9870409474320302E-3</v>
      </c>
      <c r="J15" s="823">
        <v>2116499.8579600002</v>
      </c>
      <c r="K15" s="824">
        <v>8.6711548460433906E-5</v>
      </c>
      <c r="L15" s="823">
        <v>3939413.2867999999</v>
      </c>
      <c r="M15" s="824">
        <v>9.3043313781454279E-2</v>
      </c>
      <c r="N15" s="823">
        <v>2427678.7294100001</v>
      </c>
      <c r="O15" s="821">
        <v>2.4431667510001399E-2</v>
      </c>
      <c r="R15" s="47"/>
      <c r="CA15" s="46">
        <v>444</v>
      </c>
      <c r="CB15" s="350">
        <f t="shared" ref="CB15:CB23" si="0">BW15+BX15+BY15+CA15</f>
        <v>444</v>
      </c>
    </row>
    <row r="16" spans="1:80" s="113" customFormat="1" ht="14.25" customHeight="1">
      <c r="A16" s="834"/>
      <c r="B16" s="833"/>
      <c r="C16" s="821"/>
      <c r="D16" s="833"/>
      <c r="E16" s="821"/>
      <c r="F16" s="833"/>
      <c r="G16" s="821"/>
      <c r="H16" s="833"/>
      <c r="I16" s="824"/>
      <c r="J16" s="833"/>
      <c r="K16" s="824"/>
      <c r="L16" s="833"/>
      <c r="M16" s="824"/>
      <c r="N16" s="833"/>
      <c r="O16" s="821"/>
      <c r="P16" s="46"/>
      <c r="CB16" s="356"/>
    </row>
    <row r="17" spans="1:80" ht="15.6">
      <c r="A17" s="822" t="s">
        <v>201</v>
      </c>
      <c r="B17" s="823">
        <v>66547.72</v>
      </c>
      <c r="C17" s="821">
        <v>2.9384084473517699E-2</v>
      </c>
      <c r="D17" s="823">
        <v>63403.02</v>
      </c>
      <c r="E17" s="821">
        <v>3.0610423967186402E-2</v>
      </c>
      <c r="F17" s="823">
        <v>3144.7</v>
      </c>
      <c r="G17" s="821">
        <v>4.6587919356377398E-3</v>
      </c>
      <c r="H17" s="823">
        <v>46313.97</v>
      </c>
      <c r="I17" s="824">
        <v>8.3933644643290096E-3</v>
      </c>
      <c r="J17" s="823">
        <v>2026.05</v>
      </c>
      <c r="K17" s="824">
        <v>0</v>
      </c>
      <c r="L17" s="823">
        <v>17089.05</v>
      </c>
      <c r="M17" s="824">
        <v>9.0822093270251994E-2</v>
      </c>
      <c r="N17" s="823">
        <v>1118.6500000000001</v>
      </c>
      <c r="O17" s="821">
        <v>1.3096592321101301E-2</v>
      </c>
      <c r="P17" s="46"/>
      <c r="CA17" s="102" t="e">
        <f>#REF!+#REF!</f>
        <v>#REF!</v>
      </c>
      <c r="CB17" s="357" t="e">
        <f t="shared" si="0"/>
        <v>#REF!</v>
      </c>
    </row>
    <row r="18" spans="1:80" ht="15.6">
      <c r="A18" s="825"/>
      <c r="B18" s="823"/>
      <c r="C18" s="821"/>
      <c r="D18" s="823"/>
      <c r="E18" s="821"/>
      <c r="F18" s="823"/>
      <c r="G18" s="821"/>
      <c r="H18" s="823"/>
      <c r="I18" s="824"/>
      <c r="J18" s="823"/>
      <c r="K18" s="824"/>
      <c r="L18" s="823"/>
      <c r="M18" s="824"/>
      <c r="N18" s="823"/>
      <c r="O18" s="821"/>
      <c r="P18" s="46"/>
      <c r="CB18" s="357"/>
    </row>
    <row r="19" spans="1:80" ht="15.6">
      <c r="A19" s="822" t="s">
        <v>2722</v>
      </c>
      <c r="B19" s="823">
        <v>431618.58003000001</v>
      </c>
      <c r="C19" s="821">
        <v>5.7048293573143997E-2</v>
      </c>
      <c r="D19" s="823">
        <v>370932.09445999999</v>
      </c>
      <c r="E19" s="821">
        <v>6.4595127997434096E-2</v>
      </c>
      <c r="F19" s="823">
        <v>60686.485569999997</v>
      </c>
      <c r="G19" s="821">
        <v>1.09200152052074E-2</v>
      </c>
      <c r="H19" s="823">
        <v>119117.56445999999</v>
      </c>
      <c r="I19" s="824">
        <v>3.0905601677544601E-3</v>
      </c>
      <c r="J19" s="823">
        <v>31323.690040000001</v>
      </c>
      <c r="K19" s="824">
        <v>0</v>
      </c>
      <c r="L19" s="823">
        <v>251814.53</v>
      </c>
      <c r="M19" s="824">
        <v>9.36890580539574E-2</v>
      </c>
      <c r="N19" s="823">
        <v>29362.795529999999</v>
      </c>
      <c r="O19" s="821">
        <v>2.2569286514219002E-2</v>
      </c>
      <c r="P19" s="46"/>
      <c r="CA19" s="102" t="e">
        <f>#REF!+#REF!</f>
        <v>#REF!</v>
      </c>
      <c r="CB19" s="357" t="e">
        <f t="shared" si="0"/>
        <v>#REF!</v>
      </c>
    </row>
    <row r="20" spans="1:80" ht="15.6">
      <c r="A20" s="825"/>
      <c r="B20" s="823"/>
      <c r="C20" s="821"/>
      <c r="D20" s="823"/>
      <c r="E20" s="821"/>
      <c r="F20" s="823"/>
      <c r="G20" s="821"/>
      <c r="H20" s="823"/>
      <c r="I20" s="824"/>
      <c r="J20" s="823"/>
      <c r="K20" s="824"/>
      <c r="L20" s="823"/>
      <c r="M20" s="824"/>
      <c r="N20" s="823"/>
      <c r="O20" s="821"/>
      <c r="P20" s="46"/>
      <c r="CB20" s="357"/>
    </row>
    <row r="21" spans="1:80" ht="15.6">
      <c r="A21" s="822" t="s">
        <v>198</v>
      </c>
      <c r="B21" s="823">
        <v>38907.75</v>
      </c>
      <c r="C21" s="821">
        <v>4.20271283227635E-2</v>
      </c>
      <c r="D21" s="823">
        <v>36226.800000000003</v>
      </c>
      <c r="E21" s="821">
        <v>4.4453641779014397E-2</v>
      </c>
      <c r="F21" s="823">
        <v>2680.95</v>
      </c>
      <c r="G21" s="821">
        <v>9.2384460732203091E-3</v>
      </c>
      <c r="H21" s="823">
        <v>19480.75</v>
      </c>
      <c r="I21" s="824">
        <v>4.0243830448006401E-3</v>
      </c>
      <c r="J21" s="823">
        <v>1144.32</v>
      </c>
      <c r="K21" s="824">
        <v>0</v>
      </c>
      <c r="L21" s="823">
        <v>16746.05</v>
      </c>
      <c r="M21" s="824">
        <v>9.1485167546973806E-2</v>
      </c>
      <c r="N21" s="823">
        <v>1536.63</v>
      </c>
      <c r="O21" s="821">
        <v>1.6118266596383001E-2</v>
      </c>
      <c r="P21" s="46"/>
      <c r="CB21" s="357"/>
    </row>
    <row r="22" spans="1:80" ht="15.6">
      <c r="A22" s="825"/>
      <c r="B22" s="823"/>
      <c r="C22" s="821"/>
      <c r="D22" s="823"/>
      <c r="E22" s="821"/>
      <c r="F22" s="823"/>
      <c r="G22" s="821"/>
      <c r="H22" s="823"/>
      <c r="I22" s="824"/>
      <c r="J22" s="823"/>
      <c r="K22" s="824"/>
      <c r="L22" s="823"/>
      <c r="M22" s="824"/>
      <c r="N22" s="823"/>
      <c r="O22" s="821"/>
      <c r="P22" s="46"/>
      <c r="CB22" s="357"/>
    </row>
    <row r="23" spans="1:80" ht="15.6">
      <c r="A23" s="822" t="s">
        <v>2723</v>
      </c>
      <c r="B23" s="823">
        <v>210393.55570999999</v>
      </c>
      <c r="C23" s="821">
        <v>5.4822392627122497E-2</v>
      </c>
      <c r="D23" s="823">
        <v>188048.86624</v>
      </c>
      <c r="E23" s="821">
        <v>5.96132136829415E-2</v>
      </c>
      <c r="F23" s="823">
        <v>22344.689470000001</v>
      </c>
      <c r="G23" s="821">
        <v>1.45037088917755E-2</v>
      </c>
      <c r="H23" s="823">
        <v>75376.726240000004</v>
      </c>
      <c r="I23" s="824">
        <v>5.0608431677623801E-3</v>
      </c>
      <c r="J23" s="823">
        <v>8301.9234799999995</v>
      </c>
      <c r="K23" s="824">
        <v>0</v>
      </c>
      <c r="L23" s="823">
        <v>112672.14</v>
      </c>
      <c r="M23" s="824">
        <v>9.6108296656121001E-2</v>
      </c>
      <c r="N23" s="823">
        <v>14042.76599</v>
      </c>
      <c r="O23" s="821">
        <v>2.3078136570870801E-2</v>
      </c>
      <c r="P23" s="46"/>
      <c r="CA23" s="102" t="e">
        <f>#REF!-#REF!</f>
        <v>#REF!</v>
      </c>
      <c r="CB23" s="357" t="e">
        <f t="shared" si="0"/>
        <v>#REF!</v>
      </c>
    </row>
    <row r="24" spans="1:80" ht="15.6">
      <c r="A24" s="825"/>
      <c r="B24" s="823"/>
      <c r="C24" s="821"/>
      <c r="D24" s="823"/>
      <c r="E24" s="821"/>
      <c r="F24" s="823"/>
      <c r="G24" s="821"/>
      <c r="H24" s="823"/>
      <c r="I24" s="824"/>
      <c r="J24" s="823"/>
      <c r="K24" s="824"/>
      <c r="L24" s="823"/>
      <c r="M24" s="824"/>
      <c r="N24" s="823"/>
      <c r="O24" s="821"/>
      <c r="P24" s="46"/>
      <c r="CB24" s="357"/>
    </row>
    <row r="25" spans="1:80" ht="15.6">
      <c r="A25" s="822" t="s">
        <v>2724</v>
      </c>
      <c r="B25" s="823">
        <v>84335.360000000001</v>
      </c>
      <c r="C25" s="821">
        <v>3.8747195434987197E-2</v>
      </c>
      <c r="D25" s="823">
        <v>81333.47</v>
      </c>
      <c r="E25" s="821">
        <v>3.97881219256968E-2</v>
      </c>
      <c r="F25" s="823">
        <v>3001.89</v>
      </c>
      <c r="G25" s="821">
        <v>1.05442421274597E-2</v>
      </c>
      <c r="H25" s="823">
        <v>47532.53</v>
      </c>
      <c r="I25" s="824">
        <v>1.7377320331991601E-3</v>
      </c>
      <c r="J25" s="823">
        <v>1577.16</v>
      </c>
      <c r="K25" s="824">
        <v>0</v>
      </c>
      <c r="L25" s="823">
        <v>33800.94</v>
      </c>
      <c r="M25" s="824">
        <v>9.3296435572501807E-2</v>
      </c>
      <c r="N25" s="823">
        <v>1424.73</v>
      </c>
      <c r="O25" s="821">
        <v>2.2216598934534999E-2</v>
      </c>
      <c r="P25" s="46"/>
      <c r="CB25" s="357"/>
    </row>
    <row r="26" spans="1:80" ht="15.6">
      <c r="A26" s="825"/>
      <c r="B26" s="823"/>
      <c r="C26" s="821"/>
      <c r="D26" s="823"/>
      <c r="E26" s="821"/>
      <c r="F26" s="823"/>
      <c r="G26" s="821"/>
      <c r="H26" s="823"/>
      <c r="I26" s="824"/>
      <c r="J26" s="823"/>
      <c r="K26" s="824"/>
      <c r="L26" s="823"/>
      <c r="M26" s="824"/>
      <c r="N26" s="823"/>
      <c r="O26" s="821"/>
      <c r="P26" s="46"/>
    </row>
    <row r="27" spans="1:80" ht="15.6">
      <c r="A27" s="822" t="s">
        <v>2725</v>
      </c>
      <c r="B27" s="823">
        <v>105587.96</v>
      </c>
      <c r="C27" s="821">
        <v>5.1808523831694403E-2</v>
      </c>
      <c r="D27" s="823">
        <v>99449.16</v>
      </c>
      <c r="E27" s="821">
        <v>5.4560499857414603E-2</v>
      </c>
      <c r="F27" s="823">
        <v>6138.8</v>
      </c>
      <c r="G27" s="821">
        <v>7.2262432397211199E-3</v>
      </c>
      <c r="H27" s="823">
        <v>46394.02</v>
      </c>
      <c r="I27" s="824">
        <v>4.6208390650346702E-3</v>
      </c>
      <c r="J27" s="823">
        <v>3757.01</v>
      </c>
      <c r="K27" s="824">
        <v>0</v>
      </c>
      <c r="L27" s="823">
        <v>53055.14</v>
      </c>
      <c r="M27" s="824">
        <v>9.82301918343821E-2</v>
      </c>
      <c r="N27" s="823">
        <v>2381.79</v>
      </c>
      <c r="O27" s="821">
        <v>1.8624841820647501E-2</v>
      </c>
      <c r="P27" s="46"/>
      <c r="R27" s="479"/>
    </row>
    <row r="28" spans="1:80" ht="15.6">
      <c r="A28" s="825"/>
      <c r="B28" s="823"/>
      <c r="C28" s="821"/>
      <c r="D28" s="823"/>
      <c r="E28" s="821"/>
      <c r="F28" s="823"/>
      <c r="G28" s="821"/>
      <c r="H28" s="823"/>
      <c r="I28" s="824"/>
      <c r="J28" s="823"/>
      <c r="K28" s="824"/>
      <c r="L28" s="823"/>
      <c r="M28" s="824"/>
      <c r="N28" s="823"/>
      <c r="O28" s="821"/>
      <c r="P28" s="46"/>
    </row>
    <row r="29" spans="1:80" ht="15.6">
      <c r="A29" s="822" t="s">
        <v>199</v>
      </c>
      <c r="B29" s="823">
        <v>124754.16</v>
      </c>
      <c r="C29" s="821">
        <v>4.7328881650118899E-2</v>
      </c>
      <c r="D29" s="823">
        <v>114571.48</v>
      </c>
      <c r="E29" s="821">
        <v>5.0843593641279702E-2</v>
      </c>
      <c r="F29" s="823">
        <v>10182.68</v>
      </c>
      <c r="G29" s="821">
        <v>7.7827351934854098E-3</v>
      </c>
      <c r="H29" s="823">
        <v>53801.15</v>
      </c>
      <c r="I29" s="824">
        <v>2.57974968936538E-3</v>
      </c>
      <c r="J29" s="823">
        <v>6080.06</v>
      </c>
      <c r="K29" s="824">
        <v>0</v>
      </c>
      <c r="L29" s="823">
        <v>60770.33</v>
      </c>
      <c r="M29" s="824">
        <v>9.3572509347900498E-2</v>
      </c>
      <c r="N29" s="823">
        <v>4102.62</v>
      </c>
      <c r="O29" s="821">
        <v>1.93167054223886E-2</v>
      </c>
      <c r="P29" s="46"/>
    </row>
    <row r="30" spans="1:80" ht="15.6">
      <c r="A30" s="825"/>
      <c r="B30" s="823"/>
      <c r="C30" s="821"/>
      <c r="D30" s="823"/>
      <c r="E30" s="821"/>
      <c r="F30" s="823"/>
      <c r="G30" s="821"/>
      <c r="H30" s="823"/>
      <c r="I30" s="824"/>
      <c r="J30" s="823"/>
      <c r="K30" s="824"/>
      <c r="L30" s="823"/>
      <c r="M30" s="824"/>
      <c r="N30" s="823"/>
      <c r="O30" s="821"/>
      <c r="P30" s="46"/>
    </row>
    <row r="31" spans="1:80" ht="15.6">
      <c r="A31" s="822" t="s">
        <v>2726</v>
      </c>
      <c r="B31" s="823">
        <v>120023.75</v>
      </c>
      <c r="C31" s="821">
        <v>4.7731805271873297E-2</v>
      </c>
      <c r="D31" s="823">
        <v>112855.58</v>
      </c>
      <c r="E31" s="821">
        <v>5.0275093203189403E-2</v>
      </c>
      <c r="F31" s="823">
        <v>7168.17</v>
      </c>
      <c r="G31" s="821">
        <v>7.6903114741977401E-3</v>
      </c>
      <c r="H31" s="823">
        <v>54363.98</v>
      </c>
      <c r="I31" s="824">
        <v>2.3994968727455101E-3</v>
      </c>
      <c r="J31" s="823">
        <v>4209.3500000000004</v>
      </c>
      <c r="K31" s="824">
        <v>0</v>
      </c>
      <c r="L31" s="823">
        <v>58491.6</v>
      </c>
      <c r="M31" s="824">
        <v>9.4772216916617094E-2</v>
      </c>
      <c r="N31" s="823">
        <v>2958.82</v>
      </c>
      <c r="O31" s="821">
        <v>1.8630893396691901E-2</v>
      </c>
      <c r="P31" s="46"/>
    </row>
    <row r="32" spans="1:80" ht="15.6">
      <c r="A32" s="825"/>
      <c r="B32" s="823"/>
      <c r="C32" s="821"/>
      <c r="D32" s="823"/>
      <c r="E32" s="821"/>
      <c r="F32" s="823"/>
      <c r="G32" s="821"/>
      <c r="H32" s="823"/>
      <c r="I32" s="824"/>
      <c r="J32" s="823"/>
      <c r="K32" s="824"/>
      <c r="L32" s="823"/>
      <c r="M32" s="824"/>
      <c r="N32" s="823"/>
      <c r="O32" s="821"/>
      <c r="P32" s="46"/>
      <c r="Q32" s="479"/>
    </row>
    <row r="33" spans="1:17" ht="15.6">
      <c r="A33" s="822" t="s">
        <v>2727</v>
      </c>
      <c r="B33" s="823">
        <v>112251.31</v>
      </c>
      <c r="C33" s="821">
        <v>4.6292822114948999E-2</v>
      </c>
      <c r="D33" s="823">
        <v>104195.04</v>
      </c>
      <c r="E33" s="821">
        <v>4.9216475246806397E-2</v>
      </c>
      <c r="F33" s="823">
        <v>8056.27</v>
      </c>
      <c r="G33" s="821">
        <v>8.4800185445621807E-3</v>
      </c>
      <c r="H33" s="823">
        <v>50271.42</v>
      </c>
      <c r="I33" s="824">
        <v>5.1142140007184997E-3</v>
      </c>
      <c r="J33" s="823">
        <v>3822.07</v>
      </c>
      <c r="K33" s="824">
        <v>0</v>
      </c>
      <c r="L33" s="823">
        <v>53923.62</v>
      </c>
      <c r="M33" s="824">
        <v>9.0331728600565001E-2</v>
      </c>
      <c r="N33" s="823">
        <v>4234.2</v>
      </c>
      <c r="O33" s="821">
        <v>1.61346462141609E-2</v>
      </c>
      <c r="P33" s="46"/>
    </row>
    <row r="34" spans="1:17" ht="15.6">
      <c r="A34" s="825"/>
      <c r="B34" s="823"/>
      <c r="C34" s="821"/>
      <c r="D34" s="823"/>
      <c r="E34" s="821"/>
      <c r="F34" s="823"/>
      <c r="G34" s="821"/>
      <c r="H34" s="823"/>
      <c r="I34" s="824"/>
      <c r="J34" s="823"/>
      <c r="K34" s="824"/>
      <c r="L34" s="823"/>
      <c r="M34" s="824"/>
      <c r="N34" s="823"/>
      <c r="O34" s="821"/>
      <c r="P34" s="46"/>
    </row>
    <row r="35" spans="1:17" ht="15.6">
      <c r="A35" s="822" t="s">
        <v>2728</v>
      </c>
      <c r="B35" s="823">
        <v>42556.01</v>
      </c>
      <c r="C35" s="821">
        <v>2.91407480400536E-2</v>
      </c>
      <c r="D35" s="823">
        <v>40270.400000000001</v>
      </c>
      <c r="E35" s="821">
        <v>3.0495617525527399E-2</v>
      </c>
      <c r="F35" s="823">
        <v>2285.61</v>
      </c>
      <c r="G35" s="821">
        <v>5.2691618430090901E-3</v>
      </c>
      <c r="H35" s="823">
        <v>26428.2</v>
      </c>
      <c r="I35" s="824">
        <v>2.60279549874755E-3</v>
      </c>
      <c r="J35" s="823">
        <v>1373.61</v>
      </c>
      <c r="K35" s="824">
        <v>0</v>
      </c>
      <c r="L35" s="823">
        <v>13842.2</v>
      </c>
      <c r="M35" s="824">
        <v>8.3749946973746894E-2</v>
      </c>
      <c r="N35" s="823">
        <v>912</v>
      </c>
      <c r="O35" s="821">
        <v>1.32053168859649E-2</v>
      </c>
      <c r="P35" s="46"/>
      <c r="Q35" s="479"/>
    </row>
    <row r="36" spans="1:17" ht="15.6">
      <c r="A36" s="822"/>
      <c r="B36" s="823"/>
      <c r="C36" s="821"/>
      <c r="D36" s="823"/>
      <c r="E36" s="821"/>
      <c r="F36" s="823"/>
      <c r="G36" s="821"/>
      <c r="H36" s="823"/>
      <c r="I36" s="824"/>
      <c r="J36" s="823"/>
      <c r="K36" s="824"/>
      <c r="L36" s="823"/>
      <c r="M36" s="824"/>
      <c r="N36" s="823"/>
      <c r="O36" s="821"/>
      <c r="P36" s="46"/>
      <c r="Q36" s="479"/>
    </row>
    <row r="37" spans="1:17" ht="15.6">
      <c r="A37" s="822" t="s">
        <v>200</v>
      </c>
      <c r="B37" s="823">
        <v>115883.67</v>
      </c>
      <c r="C37" s="821">
        <v>3.8739357926789897E-2</v>
      </c>
      <c r="D37" s="823">
        <v>102161.49</v>
      </c>
      <c r="E37" s="821">
        <v>4.2931403408466302E-2</v>
      </c>
      <c r="F37" s="823">
        <v>13722.18</v>
      </c>
      <c r="G37" s="821">
        <v>7.52962211543647E-3</v>
      </c>
      <c r="H37" s="823">
        <v>57602.97</v>
      </c>
      <c r="I37" s="824">
        <v>4.1436075257925099E-3</v>
      </c>
      <c r="J37" s="823">
        <v>8848.35</v>
      </c>
      <c r="K37" s="824">
        <v>0</v>
      </c>
      <c r="L37" s="823">
        <v>44558.52</v>
      </c>
      <c r="M37" s="824">
        <v>9.30742771528318E-2</v>
      </c>
      <c r="N37" s="823">
        <v>4873.83</v>
      </c>
      <c r="O37" s="821">
        <v>2.1199514550158699E-2</v>
      </c>
      <c r="P37" s="46"/>
      <c r="Q37" s="479"/>
    </row>
    <row r="38" spans="1:17" ht="15.6">
      <c r="A38" s="822"/>
      <c r="B38" s="823"/>
      <c r="C38" s="821"/>
      <c r="D38" s="823"/>
      <c r="E38" s="821"/>
      <c r="F38" s="823"/>
      <c r="G38" s="821"/>
      <c r="H38" s="823"/>
      <c r="I38" s="824"/>
      <c r="J38" s="823"/>
      <c r="K38" s="824"/>
      <c r="L38" s="823"/>
      <c r="M38" s="824"/>
      <c r="N38" s="823"/>
      <c r="O38" s="821"/>
      <c r="P38" s="46"/>
      <c r="Q38" s="479"/>
    </row>
    <row r="39" spans="1:17" ht="15.6">
      <c r="A39" s="822" t="s">
        <v>2729</v>
      </c>
      <c r="B39" s="823" t="s">
        <v>93</v>
      </c>
      <c r="C39" s="823" t="s">
        <v>93</v>
      </c>
      <c r="D39" s="823" t="s">
        <v>93</v>
      </c>
      <c r="E39" s="823" t="s">
        <v>93</v>
      </c>
      <c r="F39" s="823" t="s">
        <v>93</v>
      </c>
      <c r="G39" s="823" t="s">
        <v>93</v>
      </c>
      <c r="H39" s="823" t="s">
        <v>93</v>
      </c>
      <c r="I39" s="823" t="s">
        <v>93</v>
      </c>
      <c r="J39" s="823" t="s">
        <v>93</v>
      </c>
      <c r="K39" s="823" t="s">
        <v>93</v>
      </c>
      <c r="L39" s="823" t="s">
        <v>93</v>
      </c>
      <c r="M39" s="823" t="s">
        <v>93</v>
      </c>
      <c r="N39" s="823" t="s">
        <v>93</v>
      </c>
      <c r="O39" s="823" t="s">
        <v>93</v>
      </c>
      <c r="P39" s="46"/>
      <c r="Q39" s="479" t="s">
        <v>93</v>
      </c>
    </row>
    <row r="40" spans="1:17" ht="15.6">
      <c r="A40" s="822"/>
      <c r="B40" s="823"/>
      <c r="C40" s="821"/>
      <c r="D40" s="823"/>
      <c r="E40" s="821"/>
      <c r="F40" s="823"/>
      <c r="G40" s="821"/>
      <c r="H40" s="823"/>
      <c r="I40" s="824"/>
      <c r="J40" s="823"/>
      <c r="K40" s="824"/>
      <c r="L40" s="823"/>
      <c r="M40" s="824"/>
      <c r="N40" s="823"/>
      <c r="O40" s="821"/>
      <c r="P40" s="46"/>
      <c r="Q40" s="479"/>
    </row>
    <row r="41" spans="1:17" ht="15.6">
      <c r="A41" s="932" t="s">
        <v>2730</v>
      </c>
      <c r="B41" s="905">
        <v>61426.16</v>
      </c>
      <c r="C41" s="827">
        <v>3.7409248746787999E-2</v>
      </c>
      <c r="D41" s="905">
        <v>57279.21</v>
      </c>
      <c r="E41" s="827">
        <v>3.9433263866593099E-2</v>
      </c>
      <c r="F41" s="905">
        <v>4146.95</v>
      </c>
      <c r="G41" s="827">
        <v>9.4528019387742808E-3</v>
      </c>
      <c r="H41" s="905">
        <v>33932.46</v>
      </c>
      <c r="I41" s="836">
        <v>4.9187320931049503E-3</v>
      </c>
      <c r="J41" s="905">
        <v>2522.2600000000002</v>
      </c>
      <c r="K41" s="836">
        <v>0</v>
      </c>
      <c r="L41" s="905">
        <v>23346.75</v>
      </c>
      <c r="M41" s="836">
        <v>8.9597118314112198E-2</v>
      </c>
      <c r="N41" s="905">
        <v>1624.69</v>
      </c>
      <c r="O41" s="827">
        <v>2.4127862546085701E-2</v>
      </c>
      <c r="P41" s="46"/>
    </row>
    <row r="42" spans="1:17" s="892" customFormat="1" ht="40.5" customHeight="1">
      <c r="A42" s="2436" t="s">
        <v>2767</v>
      </c>
      <c r="B42" s="2437"/>
      <c r="C42" s="2437"/>
      <c r="D42" s="2437"/>
      <c r="E42" s="2437"/>
      <c r="F42" s="2437"/>
      <c r="G42" s="2437"/>
      <c r="H42" s="2437"/>
      <c r="I42" s="2437"/>
      <c r="J42" s="2437"/>
      <c r="K42" s="2437"/>
      <c r="L42" s="2437"/>
      <c r="M42" s="2437"/>
      <c r="N42" s="2437"/>
      <c r="O42" s="243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G291" sqref="G291"/>
      <selection pane="bottomLeft" activeCell="G291" sqref="G291"/>
    </sheetView>
  </sheetViews>
  <sheetFormatPr defaultColWidth="9.109375" defaultRowHeight="15.6"/>
  <cols>
    <col min="1" max="1" width="69.21875" style="2032" customWidth="1"/>
    <col min="2" max="2" width="28.33203125" style="2032" customWidth="1"/>
    <col min="3" max="3" width="28.44140625" style="2032" customWidth="1"/>
    <col min="4" max="5" width="19.6640625" style="2032" customWidth="1"/>
    <col min="6" max="6" width="29" style="2032" customWidth="1"/>
    <col min="7" max="7" width="27" style="2032" customWidth="1"/>
    <col min="8" max="8" width="70.109375" style="2032" customWidth="1"/>
    <col min="9" max="16384" width="9.109375" style="2032"/>
  </cols>
  <sheetData>
    <row r="1" spans="1:8" ht="11.25" customHeight="1"/>
    <row r="2" spans="1:8" ht="25.5" customHeight="1">
      <c r="A2" s="2497" t="s">
        <v>2813</v>
      </c>
      <c r="B2" s="2497"/>
      <c r="C2" s="2497"/>
      <c r="D2" s="2497"/>
      <c r="E2" s="2497"/>
      <c r="F2" s="2497"/>
      <c r="G2" s="2497"/>
      <c r="H2" s="2497"/>
    </row>
    <row r="3" spans="1:8" ht="25.5" customHeight="1">
      <c r="A3" s="2498" t="s">
        <v>2814</v>
      </c>
      <c r="B3" s="2498"/>
      <c r="C3" s="2498"/>
      <c r="D3" s="2498"/>
      <c r="E3" s="2498"/>
      <c r="F3" s="2498"/>
      <c r="G3" s="2498"/>
      <c r="H3" s="2498"/>
    </row>
    <row r="4" spans="1:8" ht="13.5" customHeight="1">
      <c r="A4" s="2033"/>
      <c r="B4" s="2033"/>
      <c r="C4" s="2033"/>
      <c r="D4" s="2033"/>
      <c r="E4" s="2033"/>
      <c r="F4" s="2033"/>
      <c r="G4" s="2033"/>
      <c r="H4" s="2033"/>
    </row>
    <row r="5" spans="1:8" ht="13.5" customHeight="1">
      <c r="A5" s="2034"/>
      <c r="B5" s="2034"/>
      <c r="C5" s="2034"/>
      <c r="D5" s="2034"/>
      <c r="E5" s="2034"/>
      <c r="F5" s="2034"/>
      <c r="G5" s="2034"/>
      <c r="H5" s="2034"/>
    </row>
    <row r="6" spans="1:8" s="2035" customFormat="1" ht="29.25" customHeight="1">
      <c r="A6" s="2499" t="s">
        <v>4036</v>
      </c>
      <c r="B6" s="2500" t="s">
        <v>1164</v>
      </c>
      <c r="C6" s="2501"/>
      <c r="D6" s="2500" t="s">
        <v>2838</v>
      </c>
      <c r="E6" s="2500"/>
      <c r="F6" s="2500" t="s">
        <v>216</v>
      </c>
      <c r="G6" s="2501"/>
      <c r="H6" s="2502" t="s">
        <v>4037</v>
      </c>
    </row>
    <row r="7" spans="1:8" s="2035" customFormat="1" ht="37.5" customHeight="1">
      <c r="A7" s="2499"/>
      <c r="B7" s="2501"/>
      <c r="C7" s="2501"/>
      <c r="D7" s="2500"/>
      <c r="E7" s="2500"/>
      <c r="F7" s="2501"/>
      <c r="G7" s="2501"/>
      <c r="H7" s="2502"/>
    </row>
    <row r="8" spans="1:8" s="2035" customFormat="1" ht="3.75" customHeight="1">
      <c r="A8" s="2499"/>
      <c r="B8" s="2503" t="s">
        <v>195</v>
      </c>
      <c r="C8" s="2503" t="s">
        <v>1170</v>
      </c>
      <c r="D8" s="2503" t="s">
        <v>195</v>
      </c>
      <c r="E8" s="2503" t="s">
        <v>1170</v>
      </c>
      <c r="F8" s="2503" t="s">
        <v>195</v>
      </c>
      <c r="G8" s="2503" t="s">
        <v>1170</v>
      </c>
      <c r="H8" s="2502"/>
    </row>
    <row r="9" spans="1:8" s="2035" customFormat="1" ht="28.5" customHeight="1">
      <c r="A9" s="2499"/>
      <c r="B9" s="2504"/>
      <c r="C9" s="2504"/>
      <c r="D9" s="2504"/>
      <c r="E9" s="2504"/>
      <c r="F9" s="2504"/>
      <c r="G9" s="2504"/>
      <c r="H9" s="2502"/>
    </row>
    <row r="10" spans="1:8" ht="27" customHeight="1">
      <c r="A10" s="2499"/>
      <c r="B10" s="2505" t="s">
        <v>1225</v>
      </c>
      <c r="C10" s="2506"/>
      <c r="D10" s="2505" t="s">
        <v>2839</v>
      </c>
      <c r="E10" s="2505"/>
      <c r="F10" s="2505" t="s">
        <v>1209</v>
      </c>
      <c r="G10" s="2505"/>
      <c r="H10" s="2502"/>
    </row>
    <row r="11" spans="1:8" ht="27" customHeight="1">
      <c r="A11" s="2499"/>
      <c r="B11" s="2506"/>
      <c r="C11" s="2506"/>
      <c r="D11" s="2505"/>
      <c r="E11" s="2505"/>
      <c r="F11" s="2505"/>
      <c r="G11" s="2505"/>
      <c r="H11" s="2502"/>
    </row>
    <row r="12" spans="1:8" ht="3" customHeight="1">
      <c r="A12" s="2499"/>
      <c r="B12" s="2509" t="s">
        <v>371</v>
      </c>
      <c r="C12" s="2509" t="s">
        <v>213</v>
      </c>
      <c r="D12" s="2509" t="s">
        <v>371</v>
      </c>
      <c r="E12" s="2509" t="s">
        <v>213</v>
      </c>
      <c r="F12" s="2509" t="s">
        <v>371</v>
      </c>
      <c r="G12" s="2509" t="s">
        <v>213</v>
      </c>
      <c r="H12" s="2502"/>
    </row>
    <row r="13" spans="1:8" ht="28.5" customHeight="1">
      <c r="A13" s="2499"/>
      <c r="B13" s="2509"/>
      <c r="C13" s="2509"/>
      <c r="D13" s="2509"/>
      <c r="E13" s="2509"/>
      <c r="F13" s="2509"/>
      <c r="G13" s="2509"/>
      <c r="H13" s="2502"/>
    </row>
    <row r="14" spans="1:8" ht="15" customHeight="1">
      <c r="A14" s="2036" t="s">
        <v>217</v>
      </c>
      <c r="B14" s="2037"/>
      <c r="C14" s="2037"/>
      <c r="D14" s="2037" t="s">
        <v>93</v>
      </c>
      <c r="E14" s="2037" t="s">
        <v>93</v>
      </c>
      <c r="F14" s="2037"/>
      <c r="G14" s="2037"/>
      <c r="H14" s="2038" t="s">
        <v>217</v>
      </c>
    </row>
    <row r="15" spans="1:8" ht="15" customHeight="1">
      <c r="A15" s="2039" t="s">
        <v>1165</v>
      </c>
      <c r="B15" s="2040">
        <v>15</v>
      </c>
      <c r="C15" s="2040">
        <v>15</v>
      </c>
      <c r="D15" s="2040"/>
      <c r="E15" s="2040"/>
      <c r="F15" s="2040">
        <v>15</v>
      </c>
      <c r="G15" s="2040">
        <v>15</v>
      </c>
      <c r="H15" s="2041" t="s">
        <v>218</v>
      </c>
    </row>
    <row r="16" spans="1:8" ht="15" customHeight="1">
      <c r="A16" s="2042" t="s">
        <v>1166</v>
      </c>
      <c r="B16" s="2040">
        <v>12</v>
      </c>
      <c r="C16" s="2040">
        <v>12</v>
      </c>
      <c r="D16" s="2040" t="s">
        <v>93</v>
      </c>
      <c r="E16" s="2040" t="s">
        <v>93</v>
      </c>
      <c r="F16" s="2040">
        <v>12</v>
      </c>
      <c r="G16" s="2040">
        <v>12</v>
      </c>
      <c r="H16" s="2041" t="s">
        <v>219</v>
      </c>
    </row>
    <row r="17" spans="1:8" ht="15" customHeight="1">
      <c r="A17" s="2039" t="s">
        <v>1167</v>
      </c>
      <c r="B17" s="2040">
        <v>10</v>
      </c>
      <c r="C17" s="2040">
        <v>10</v>
      </c>
      <c r="D17" s="2040"/>
      <c r="E17" s="2040"/>
      <c r="F17" s="2040">
        <v>10</v>
      </c>
      <c r="G17" s="2040">
        <v>10</v>
      </c>
      <c r="H17" s="2041" t="s">
        <v>220</v>
      </c>
    </row>
    <row r="18" spans="1:8" ht="15" customHeight="1">
      <c r="A18" s="2039"/>
      <c r="B18" s="2040"/>
      <c r="C18" s="2040"/>
      <c r="D18" s="2040" t="s">
        <v>93</v>
      </c>
      <c r="E18" s="2040" t="s">
        <v>93</v>
      </c>
      <c r="F18" s="2040"/>
      <c r="G18" s="2040"/>
      <c r="H18" s="2041"/>
    </row>
    <row r="19" spans="1:8" ht="15" customHeight="1">
      <c r="A19" s="2036" t="s">
        <v>221</v>
      </c>
      <c r="B19" s="2040"/>
      <c r="C19" s="2040"/>
      <c r="D19" s="2040"/>
      <c r="E19" s="2040"/>
      <c r="F19" s="2040"/>
      <c r="G19" s="2040"/>
      <c r="H19" s="2038" t="s">
        <v>221</v>
      </c>
    </row>
    <row r="20" spans="1:8" ht="15" customHeight="1">
      <c r="A20" s="2039" t="s">
        <v>1165</v>
      </c>
      <c r="B20" s="2040">
        <v>15</v>
      </c>
      <c r="C20" s="2040">
        <v>15</v>
      </c>
      <c r="D20" s="2040" t="s">
        <v>93</v>
      </c>
      <c r="E20" s="2040" t="s">
        <v>93</v>
      </c>
      <c r="F20" s="2040">
        <v>15</v>
      </c>
      <c r="G20" s="2040">
        <v>15</v>
      </c>
      <c r="H20" s="2041" t="s">
        <v>218</v>
      </c>
    </row>
    <row r="21" spans="1:8" ht="15" customHeight="1">
      <c r="A21" s="2042" t="s">
        <v>1166</v>
      </c>
      <c r="B21" s="2040">
        <v>12</v>
      </c>
      <c r="C21" s="2040">
        <v>12</v>
      </c>
      <c r="D21" s="2040"/>
      <c r="E21" s="2040"/>
      <c r="F21" s="2040">
        <v>12</v>
      </c>
      <c r="G21" s="2040">
        <v>12</v>
      </c>
      <c r="H21" s="2041" t="s">
        <v>219</v>
      </c>
    </row>
    <row r="22" spans="1:8" ht="15" customHeight="1">
      <c r="A22" s="2039" t="s">
        <v>1168</v>
      </c>
      <c r="B22" s="2040">
        <v>10</v>
      </c>
      <c r="C22" s="2040">
        <v>10</v>
      </c>
      <c r="D22" s="2040" t="s">
        <v>93</v>
      </c>
      <c r="E22" s="2040" t="s">
        <v>93</v>
      </c>
      <c r="F22" s="2040">
        <v>10</v>
      </c>
      <c r="G22" s="2040">
        <v>10</v>
      </c>
      <c r="H22" s="2041" t="s">
        <v>222</v>
      </c>
    </row>
    <row r="23" spans="1:8" ht="15" customHeight="1">
      <c r="A23" s="2042" t="s">
        <v>1169</v>
      </c>
      <c r="B23" s="2040">
        <v>8</v>
      </c>
      <c r="C23" s="2040">
        <v>8</v>
      </c>
      <c r="D23" s="2040"/>
      <c r="E23" s="2040"/>
      <c r="F23" s="2040">
        <v>8</v>
      </c>
      <c r="G23" s="2040">
        <v>8</v>
      </c>
      <c r="H23" s="2041" t="s">
        <v>223</v>
      </c>
    </row>
    <row r="24" spans="1:8" ht="15" customHeight="1">
      <c r="A24" s="2043"/>
      <c r="B24" s="2040"/>
      <c r="C24" s="2040"/>
      <c r="D24" s="2040" t="s">
        <v>93</v>
      </c>
      <c r="E24" s="2040" t="s">
        <v>93</v>
      </c>
      <c r="F24" s="2040"/>
      <c r="G24" s="2040"/>
      <c r="H24" s="2044"/>
    </row>
    <row r="25" spans="1:8" ht="15" customHeight="1">
      <c r="A25" s="2043" t="s">
        <v>224</v>
      </c>
      <c r="B25" s="2040">
        <v>12</v>
      </c>
      <c r="C25" s="2040">
        <v>5</v>
      </c>
      <c r="D25" s="2040"/>
      <c r="E25" s="2040"/>
      <c r="F25" s="2040">
        <v>12</v>
      </c>
      <c r="G25" s="2040">
        <v>5</v>
      </c>
      <c r="H25" s="2044" t="s">
        <v>224</v>
      </c>
    </row>
    <row r="26" spans="1:8" ht="15" customHeight="1">
      <c r="A26" s="2043"/>
      <c r="B26" s="2040"/>
      <c r="C26" s="2040"/>
      <c r="D26" s="2040" t="s">
        <v>93</v>
      </c>
      <c r="E26" s="2040" t="s">
        <v>93</v>
      </c>
      <c r="F26" s="2040"/>
      <c r="G26" s="2040"/>
      <c r="H26" s="2044"/>
    </row>
    <row r="27" spans="1:8" ht="15" customHeight="1">
      <c r="A27" s="2042" t="s">
        <v>225</v>
      </c>
      <c r="B27" s="2040">
        <v>12</v>
      </c>
      <c r="C27" s="2040">
        <v>25</v>
      </c>
      <c r="D27" s="2040"/>
      <c r="E27" s="2040"/>
      <c r="F27" s="2040">
        <v>12</v>
      </c>
      <c r="G27" s="2040">
        <v>25</v>
      </c>
      <c r="H27" s="2045" t="s">
        <v>225</v>
      </c>
    </row>
    <row r="28" spans="1:8" ht="15" customHeight="1">
      <c r="A28" s="2042"/>
      <c r="B28" s="2040"/>
      <c r="C28" s="2040"/>
      <c r="D28" s="2040" t="s">
        <v>93</v>
      </c>
      <c r="E28" s="2040" t="s">
        <v>93</v>
      </c>
      <c r="F28" s="2040"/>
      <c r="G28" s="2040"/>
      <c r="H28" s="2045"/>
    </row>
    <row r="29" spans="1:8" ht="15" customHeight="1">
      <c r="A29" s="2039" t="s">
        <v>226</v>
      </c>
      <c r="B29" s="2040">
        <v>12</v>
      </c>
      <c r="C29" s="2040">
        <v>5</v>
      </c>
      <c r="D29" s="2040"/>
      <c r="E29" s="2040"/>
      <c r="F29" s="2040">
        <v>12</v>
      </c>
      <c r="G29" s="2040">
        <v>5</v>
      </c>
      <c r="H29" s="2041" t="s">
        <v>226</v>
      </c>
    </row>
    <row r="30" spans="1:8" ht="15" customHeight="1">
      <c r="A30" s="2039"/>
      <c r="B30" s="2040"/>
      <c r="C30" s="2040"/>
      <c r="D30" s="2040" t="s">
        <v>93</v>
      </c>
      <c r="E30" s="2040" t="s">
        <v>93</v>
      </c>
      <c r="F30" s="2040"/>
      <c r="G30" s="2040"/>
      <c r="H30" s="2041"/>
    </row>
    <row r="31" spans="1:8" ht="15" customHeight="1">
      <c r="A31" s="2039" t="s">
        <v>227</v>
      </c>
      <c r="B31" s="2040">
        <v>18</v>
      </c>
      <c r="C31" s="2040">
        <v>5</v>
      </c>
      <c r="D31" s="2040"/>
      <c r="E31" s="2040"/>
      <c r="F31" s="2040">
        <v>18</v>
      </c>
      <c r="G31" s="2040">
        <v>5</v>
      </c>
      <c r="H31" s="2041" t="s">
        <v>227</v>
      </c>
    </row>
    <row r="32" spans="1:8" ht="15" customHeight="1">
      <c r="A32" s="2039"/>
      <c r="B32" s="2040"/>
      <c r="C32" s="2040"/>
      <c r="D32" s="2040" t="s">
        <v>93</v>
      </c>
      <c r="E32" s="2040" t="s">
        <v>93</v>
      </c>
      <c r="F32" s="2040"/>
      <c r="G32" s="2040"/>
      <c r="H32" s="2041"/>
    </row>
    <row r="33" spans="1:8" ht="15" customHeight="1">
      <c r="A33" s="2039" t="s">
        <v>228</v>
      </c>
      <c r="B33" s="2040">
        <v>12</v>
      </c>
      <c r="C33" s="2040">
        <v>12</v>
      </c>
      <c r="D33" s="2040"/>
      <c r="E33" s="2040"/>
      <c r="F33" s="2040">
        <v>12</v>
      </c>
      <c r="G33" s="2040">
        <v>12</v>
      </c>
      <c r="H33" s="2041" t="s">
        <v>228</v>
      </c>
    </row>
    <row r="34" spans="1:8" ht="15" customHeight="1">
      <c r="A34" s="2043"/>
      <c r="B34" s="2040"/>
      <c r="C34" s="2040"/>
      <c r="D34" s="2040" t="s">
        <v>93</v>
      </c>
      <c r="E34" s="2040" t="s">
        <v>93</v>
      </c>
      <c r="F34" s="2040"/>
      <c r="G34" s="2040"/>
      <c r="H34" s="2044"/>
    </row>
    <row r="35" spans="1:8" ht="15" customHeight="1">
      <c r="A35" s="2039" t="s">
        <v>229</v>
      </c>
      <c r="B35" s="2040">
        <v>15</v>
      </c>
      <c r="C35" s="2040">
        <v>15</v>
      </c>
      <c r="D35" s="2040"/>
      <c r="E35" s="2040"/>
      <c r="F35" s="2040">
        <v>15</v>
      </c>
      <c r="G35" s="2040">
        <v>15</v>
      </c>
      <c r="H35" s="2041" t="s">
        <v>229</v>
      </c>
    </row>
    <row r="36" spans="1:8" ht="15" customHeight="1">
      <c r="A36" s="2043"/>
      <c r="B36" s="2040"/>
      <c r="C36" s="2040"/>
      <c r="D36" s="2040" t="s">
        <v>93</v>
      </c>
      <c r="E36" s="2040" t="s">
        <v>93</v>
      </c>
      <c r="F36" s="2040"/>
      <c r="G36" s="2040"/>
      <c r="H36" s="2044"/>
    </row>
    <row r="37" spans="1:8" ht="15" customHeight="1">
      <c r="A37" s="2042" t="s">
        <v>230</v>
      </c>
      <c r="B37" s="2040">
        <v>12</v>
      </c>
      <c r="C37" s="2040">
        <v>12</v>
      </c>
      <c r="D37" s="2040"/>
      <c r="E37" s="2040"/>
      <c r="F37" s="2040">
        <v>12</v>
      </c>
      <c r="G37" s="2040">
        <v>12</v>
      </c>
      <c r="H37" s="2045" t="s">
        <v>230</v>
      </c>
    </row>
    <row r="38" spans="1:8" ht="15" customHeight="1">
      <c r="A38" s="2043"/>
      <c r="B38" s="2040"/>
      <c r="C38" s="2040"/>
      <c r="D38" s="2040" t="s">
        <v>93</v>
      </c>
      <c r="E38" s="2040" t="s">
        <v>93</v>
      </c>
      <c r="F38" s="2040"/>
      <c r="G38" s="2040"/>
      <c r="H38" s="2044"/>
    </row>
    <row r="39" spans="1:8" ht="15" customHeight="1">
      <c r="A39" s="2043" t="s">
        <v>231</v>
      </c>
      <c r="B39" s="2040">
        <v>10</v>
      </c>
      <c r="C39" s="2040">
        <v>10</v>
      </c>
      <c r="D39" s="2040"/>
      <c r="E39" s="2040"/>
      <c r="F39" s="2040">
        <v>10</v>
      </c>
      <c r="G39" s="2040">
        <v>10</v>
      </c>
      <c r="H39" s="2044" t="s">
        <v>231</v>
      </c>
    </row>
    <row r="40" spans="1:8" ht="15" customHeight="1">
      <c r="A40" s="2043"/>
      <c r="B40" s="2040"/>
      <c r="C40" s="2040"/>
      <c r="D40" s="2040" t="s">
        <v>93</v>
      </c>
      <c r="E40" s="2040" t="s">
        <v>93</v>
      </c>
      <c r="F40" s="2040"/>
      <c r="G40" s="2040"/>
      <c r="H40" s="2044"/>
    </row>
    <row r="41" spans="1:8" ht="15" customHeight="1">
      <c r="A41" s="2043" t="s">
        <v>232</v>
      </c>
      <c r="B41" s="2046"/>
      <c r="C41" s="2046"/>
      <c r="D41" s="2046"/>
      <c r="E41" s="2046"/>
      <c r="F41" s="2046"/>
      <c r="G41" s="2046"/>
      <c r="H41" s="2044" t="s">
        <v>232</v>
      </c>
    </row>
    <row r="42" spans="1:8" ht="15" customHeight="1">
      <c r="A42" s="2043" t="s">
        <v>233</v>
      </c>
      <c r="B42" s="2040">
        <v>10</v>
      </c>
      <c r="C42" s="2040">
        <v>10</v>
      </c>
      <c r="D42" s="2040" t="s">
        <v>93</v>
      </c>
      <c r="E42" s="2040" t="s">
        <v>93</v>
      </c>
      <c r="F42" s="2040">
        <v>10</v>
      </c>
      <c r="G42" s="2040">
        <v>10</v>
      </c>
      <c r="H42" s="2041" t="s">
        <v>234</v>
      </c>
    </row>
    <row r="43" spans="1:8" ht="15" customHeight="1">
      <c r="A43" s="2043"/>
      <c r="B43" s="2040"/>
      <c r="C43" s="2040"/>
      <c r="D43" s="2040"/>
      <c r="E43" s="2040"/>
      <c r="F43" s="2040"/>
      <c r="G43" s="2040"/>
      <c r="H43" s="2041"/>
    </row>
    <row r="44" spans="1:8" ht="15" customHeight="1">
      <c r="A44" s="2043" t="s">
        <v>235</v>
      </c>
      <c r="B44" s="2040">
        <v>10</v>
      </c>
      <c r="C44" s="2040">
        <v>10</v>
      </c>
      <c r="D44" s="2040" t="s">
        <v>93</v>
      </c>
      <c r="E44" s="2040" t="s">
        <v>93</v>
      </c>
      <c r="F44" s="2040">
        <v>10</v>
      </c>
      <c r="G44" s="2040">
        <v>10</v>
      </c>
      <c r="H44" s="2044" t="s">
        <v>235</v>
      </c>
    </row>
    <row r="45" spans="1:8">
      <c r="A45" s="2043"/>
      <c r="B45" s="2046"/>
      <c r="C45" s="2046"/>
      <c r="D45" s="2046"/>
      <c r="E45" s="2046"/>
      <c r="F45" s="2046"/>
      <c r="G45" s="2046"/>
      <c r="H45" s="2044"/>
    </row>
    <row r="46" spans="1:8" ht="15" customHeight="1">
      <c r="A46" s="2043" t="s">
        <v>236</v>
      </c>
      <c r="B46" s="2040">
        <v>12</v>
      </c>
      <c r="C46" s="2040">
        <v>12</v>
      </c>
      <c r="D46" s="2040">
        <v>5</v>
      </c>
      <c r="E46" s="2040">
        <v>5</v>
      </c>
      <c r="F46" s="2040">
        <v>12</v>
      </c>
      <c r="G46" s="2040">
        <v>12</v>
      </c>
      <c r="H46" s="2041" t="s">
        <v>237</v>
      </c>
    </row>
    <row r="47" spans="1:8">
      <c r="A47" s="2043"/>
      <c r="B47" s="2046"/>
      <c r="C47" s="2046"/>
      <c r="D47" s="2046"/>
      <c r="E47" s="2046"/>
      <c r="F47" s="2046"/>
      <c r="G47" s="2046"/>
      <c r="H47" s="2044"/>
    </row>
    <row r="48" spans="1:8" ht="18" customHeight="1">
      <c r="A48" s="2047" t="s">
        <v>238</v>
      </c>
      <c r="B48" s="2040">
        <v>9</v>
      </c>
      <c r="C48" s="2040">
        <v>9</v>
      </c>
      <c r="D48" s="2040">
        <v>0</v>
      </c>
      <c r="E48" s="2040">
        <v>0</v>
      </c>
      <c r="F48" s="2040">
        <v>9</v>
      </c>
      <c r="G48" s="2040">
        <v>9</v>
      </c>
      <c r="H48" s="2048" t="s">
        <v>239</v>
      </c>
    </row>
    <row r="49" spans="1:8">
      <c r="A49" s="2043"/>
      <c r="B49" s="2046"/>
      <c r="C49" s="2046"/>
      <c r="D49" s="2046"/>
      <c r="E49" s="2046"/>
      <c r="F49" s="2046"/>
      <c r="G49" s="2046"/>
      <c r="H49" s="2044"/>
    </row>
    <row r="50" spans="1:8" ht="19.2" customHeight="1">
      <c r="A50" s="2043" t="s">
        <v>240</v>
      </c>
      <c r="B50" s="2040">
        <v>6</v>
      </c>
      <c r="C50" s="2040">
        <v>6</v>
      </c>
      <c r="D50" s="2040">
        <v>0</v>
      </c>
      <c r="E50" s="2040">
        <v>0</v>
      </c>
      <c r="F50" s="2040">
        <v>6</v>
      </c>
      <c r="G50" s="2040">
        <v>6</v>
      </c>
      <c r="H50" s="2044" t="s">
        <v>240</v>
      </c>
    </row>
    <row r="51" spans="1:8">
      <c r="A51" s="2043"/>
      <c r="B51" s="2046"/>
      <c r="C51" s="2046"/>
      <c r="D51" s="2046"/>
      <c r="E51" s="2046"/>
      <c r="F51" s="2046"/>
      <c r="G51" s="2046"/>
      <c r="H51" s="2044"/>
    </row>
    <row r="52" spans="1:8">
      <c r="A52" s="2043" t="s">
        <v>241</v>
      </c>
      <c r="B52" s="2040">
        <v>3</v>
      </c>
      <c r="C52" s="2040">
        <v>3</v>
      </c>
      <c r="D52" s="2040">
        <v>0</v>
      </c>
      <c r="E52" s="2040">
        <v>0</v>
      </c>
      <c r="F52" s="2040">
        <v>3</v>
      </c>
      <c r="G52" s="2040">
        <v>3</v>
      </c>
      <c r="H52" s="2044" t="s">
        <v>241</v>
      </c>
    </row>
    <row r="53" spans="1:8" ht="12" customHeight="1">
      <c r="A53" s="2043"/>
      <c r="B53" s="2040"/>
      <c r="C53" s="2040"/>
      <c r="D53" s="2040"/>
      <c r="E53" s="2040"/>
      <c r="F53" s="2040"/>
      <c r="G53" s="2040"/>
      <c r="H53" s="2041"/>
    </row>
    <row r="54" spans="1:8">
      <c r="A54" s="2043" t="s">
        <v>1072</v>
      </c>
      <c r="B54" s="2040">
        <v>0.5</v>
      </c>
      <c r="C54" s="2040">
        <v>0.5</v>
      </c>
      <c r="D54" s="2040">
        <v>0</v>
      </c>
      <c r="E54" s="2040">
        <v>0</v>
      </c>
      <c r="F54" s="2040">
        <v>0.5</v>
      </c>
      <c r="G54" s="2040">
        <v>0.5</v>
      </c>
      <c r="H54" s="2044" t="s">
        <v>1072</v>
      </c>
    </row>
    <row r="55" spans="1:8" ht="12" customHeight="1">
      <c r="A55" s="2043"/>
      <c r="B55" s="2040"/>
      <c r="C55" s="2040"/>
      <c r="D55" s="2040"/>
      <c r="E55" s="2040"/>
      <c r="F55" s="2040"/>
      <c r="G55" s="2040"/>
      <c r="H55" s="2044"/>
    </row>
    <row r="56" spans="1:8">
      <c r="A56" s="2043" t="s">
        <v>1253</v>
      </c>
      <c r="B56" s="2040">
        <v>0.5</v>
      </c>
      <c r="C56" s="2040">
        <v>0.5</v>
      </c>
      <c r="D56" s="2040">
        <v>0.5</v>
      </c>
      <c r="E56" s="2040">
        <v>0.5</v>
      </c>
      <c r="F56" s="2040">
        <v>0.5</v>
      </c>
      <c r="G56" s="2040">
        <v>0.5</v>
      </c>
      <c r="H56" s="2044" t="s">
        <v>1253</v>
      </c>
    </row>
    <row r="57" spans="1:8">
      <c r="A57" s="2043"/>
      <c r="B57" s="2040"/>
      <c r="C57" s="2040"/>
      <c r="D57" s="2040"/>
      <c r="E57" s="2040"/>
      <c r="F57" s="2040"/>
      <c r="G57" s="2040"/>
      <c r="H57" s="2044"/>
    </row>
    <row r="58" spans="1:8">
      <c r="A58" s="2043" t="s">
        <v>1276</v>
      </c>
      <c r="B58" s="2040">
        <v>2</v>
      </c>
      <c r="C58" s="2040">
        <v>2</v>
      </c>
      <c r="D58" s="2040">
        <v>2</v>
      </c>
      <c r="E58" s="2040">
        <v>2</v>
      </c>
      <c r="F58" s="2040">
        <v>2</v>
      </c>
      <c r="G58" s="2040">
        <v>2</v>
      </c>
      <c r="H58" s="2044" t="s">
        <v>1276</v>
      </c>
    </row>
    <row r="59" spans="1:8">
      <c r="B59" s="2040"/>
      <c r="C59" s="2040"/>
      <c r="D59" s="2040"/>
      <c r="E59" s="2040"/>
      <c r="F59" s="2040"/>
      <c r="G59" s="2040"/>
    </row>
    <row r="60" spans="1:8">
      <c r="A60" s="2049" t="s">
        <v>1446</v>
      </c>
      <c r="B60" s="2040">
        <v>2</v>
      </c>
      <c r="C60" s="2040">
        <v>3</v>
      </c>
      <c r="D60" s="2040">
        <v>2</v>
      </c>
      <c r="E60" s="2040">
        <v>3</v>
      </c>
      <c r="F60" s="2040">
        <v>2</v>
      </c>
      <c r="G60" s="2040">
        <v>3</v>
      </c>
      <c r="H60" s="2044" t="s">
        <v>1446</v>
      </c>
    </row>
    <row r="61" spans="1:8">
      <c r="B61" s="2040"/>
      <c r="C61" s="2040"/>
      <c r="D61" s="2040"/>
      <c r="E61" s="2040"/>
      <c r="F61" s="2040"/>
      <c r="G61" s="2040"/>
      <c r="H61" s="2044"/>
    </row>
    <row r="62" spans="1:8">
      <c r="A62" s="2049" t="s">
        <v>1740</v>
      </c>
      <c r="B62" s="2040">
        <v>3</v>
      </c>
      <c r="C62" s="2040">
        <v>3</v>
      </c>
      <c r="D62" s="2040">
        <v>3</v>
      </c>
      <c r="E62" s="2040">
        <v>3</v>
      </c>
      <c r="F62" s="2040">
        <v>3</v>
      </c>
      <c r="G62" s="2040">
        <v>3</v>
      </c>
      <c r="H62" s="2050" t="s">
        <v>1740</v>
      </c>
    </row>
    <row r="63" spans="1:8">
      <c r="B63" s="2040"/>
      <c r="C63" s="2040"/>
      <c r="D63" s="2040"/>
      <c r="E63" s="2040"/>
      <c r="F63" s="2040"/>
      <c r="G63" s="2040"/>
      <c r="H63" s="2050"/>
    </row>
    <row r="64" spans="1:8">
      <c r="A64" s="2049" t="s">
        <v>2963</v>
      </c>
      <c r="B64" s="2040">
        <v>2</v>
      </c>
      <c r="C64" s="2040">
        <v>2</v>
      </c>
      <c r="D64" s="2040">
        <v>2</v>
      </c>
      <c r="E64" s="2040">
        <v>2</v>
      </c>
      <c r="F64" s="2040">
        <v>2</v>
      </c>
      <c r="G64" s="2040">
        <v>2</v>
      </c>
      <c r="H64" s="2050" t="s">
        <v>2963</v>
      </c>
    </row>
    <row r="65" spans="1:8">
      <c r="B65" s="2040"/>
      <c r="C65" s="2040"/>
      <c r="D65" s="2040"/>
      <c r="E65" s="2040"/>
      <c r="F65" s="2040"/>
      <c r="G65" s="2040"/>
      <c r="H65" s="2050"/>
    </row>
    <row r="66" spans="1:8">
      <c r="A66" s="2043" t="s">
        <v>1892</v>
      </c>
      <c r="B66" s="2040">
        <v>0.5</v>
      </c>
      <c r="C66" s="2040">
        <v>0.5</v>
      </c>
      <c r="D66" s="2040">
        <v>0.5</v>
      </c>
      <c r="E66" s="2040">
        <v>0.5</v>
      </c>
      <c r="F66" s="2040">
        <v>0.5</v>
      </c>
      <c r="G66" s="2040">
        <v>0.5</v>
      </c>
      <c r="H66" s="2044" t="s">
        <v>1892</v>
      </c>
    </row>
    <row r="67" spans="1:8">
      <c r="B67" s="2040"/>
      <c r="C67" s="2040"/>
      <c r="D67" s="2040"/>
      <c r="E67" s="2040"/>
      <c r="F67" s="2040"/>
      <c r="G67" s="2040"/>
      <c r="H67" s="2051"/>
    </row>
    <row r="68" spans="1:8">
      <c r="A68" s="2049" t="s">
        <v>2961</v>
      </c>
      <c r="B68" s="2040">
        <v>0.5</v>
      </c>
      <c r="C68" s="2040">
        <v>1</v>
      </c>
      <c r="D68" s="2040">
        <v>0</v>
      </c>
      <c r="E68" s="2040">
        <v>0</v>
      </c>
      <c r="F68" s="2040">
        <v>0.5</v>
      </c>
      <c r="G68" s="2040">
        <v>1</v>
      </c>
      <c r="H68" s="2050" t="s">
        <v>2962</v>
      </c>
    </row>
    <row r="69" spans="1:8">
      <c r="A69" s="2049"/>
      <c r="B69" s="2040"/>
      <c r="C69" s="2040"/>
      <c r="D69" s="2040"/>
      <c r="E69" s="2040"/>
      <c r="F69" s="2040"/>
      <c r="G69" s="2040"/>
      <c r="H69" s="2050"/>
    </row>
    <row r="70" spans="1:8">
      <c r="A70" s="2049" t="s">
        <v>3621</v>
      </c>
      <c r="B70" s="2052">
        <v>4</v>
      </c>
      <c r="C70" s="2052">
        <v>5</v>
      </c>
      <c r="D70" s="2052">
        <v>0</v>
      </c>
      <c r="E70" s="2052">
        <v>0</v>
      </c>
      <c r="F70" s="2052">
        <v>4</v>
      </c>
      <c r="G70" s="2052">
        <v>5</v>
      </c>
      <c r="H70" s="2050" t="s">
        <v>3621</v>
      </c>
    </row>
    <row r="71" spans="1:8">
      <c r="A71" s="2053"/>
      <c r="B71" s="2040"/>
      <c r="C71" s="2040"/>
      <c r="D71" s="2040"/>
      <c r="E71" s="2040"/>
      <c r="F71" s="2040"/>
      <c r="G71" s="2040"/>
      <c r="H71" s="2054"/>
    </row>
    <row r="72" spans="1:8">
      <c r="A72" s="2053" t="s">
        <v>4038</v>
      </c>
      <c r="B72" s="2040"/>
      <c r="C72" s="2040"/>
      <c r="D72" s="2040"/>
      <c r="E72" s="2040"/>
      <c r="F72" s="2040"/>
      <c r="G72" s="2040"/>
      <c r="H72" s="2054" t="s">
        <v>4038</v>
      </c>
    </row>
    <row r="73" spans="1:8" ht="36.75" customHeight="1">
      <c r="A73" s="2055" t="s">
        <v>4039</v>
      </c>
      <c r="B73" s="2040">
        <v>5</v>
      </c>
      <c r="C73" s="2040">
        <v>6</v>
      </c>
      <c r="D73" s="2040">
        <v>0</v>
      </c>
      <c r="E73" s="2040">
        <v>0</v>
      </c>
      <c r="F73" s="2040">
        <v>5</v>
      </c>
      <c r="G73" s="2040">
        <v>6</v>
      </c>
      <c r="H73" s="2056" t="s">
        <v>4040</v>
      </c>
    </row>
    <row r="74" spans="1:8" ht="33" customHeight="1">
      <c r="A74" s="2055" t="s">
        <v>4041</v>
      </c>
      <c r="B74" s="2040">
        <v>10</v>
      </c>
      <c r="C74" s="2040">
        <v>12</v>
      </c>
      <c r="D74" s="2040">
        <v>0</v>
      </c>
      <c r="E74" s="2040">
        <v>0</v>
      </c>
      <c r="F74" s="2040">
        <v>5</v>
      </c>
      <c r="G74" s="2040">
        <v>6</v>
      </c>
      <c r="H74" s="2057" t="s">
        <v>4042</v>
      </c>
    </row>
    <row r="75" spans="1:8" ht="20.25" customHeight="1">
      <c r="A75" s="2055"/>
      <c r="B75" s="2040"/>
      <c r="C75" s="2040"/>
      <c r="D75" s="2040"/>
      <c r="E75" s="2040"/>
      <c r="F75" s="2040"/>
      <c r="G75" s="2040"/>
      <c r="H75" s="2056"/>
    </row>
    <row r="76" spans="1:8" ht="20.25" customHeight="1">
      <c r="A76" s="2055" t="s">
        <v>4043</v>
      </c>
      <c r="B76" s="2040"/>
      <c r="C76" s="2040"/>
      <c r="D76" s="2040"/>
      <c r="E76" s="2040"/>
      <c r="F76" s="2040"/>
      <c r="G76" s="2040"/>
      <c r="H76" s="2056" t="s">
        <v>4043</v>
      </c>
    </row>
    <row r="77" spans="1:8" ht="37.5" customHeight="1">
      <c r="A77" s="2055" t="s">
        <v>4044</v>
      </c>
      <c r="B77" s="2040">
        <v>5</v>
      </c>
      <c r="C77" s="2040">
        <v>6</v>
      </c>
      <c r="D77" s="2040">
        <v>0</v>
      </c>
      <c r="E77" s="2040">
        <v>0</v>
      </c>
      <c r="F77" s="2040">
        <v>5</v>
      </c>
      <c r="G77" s="2040">
        <v>6</v>
      </c>
      <c r="H77" s="2056" t="s">
        <v>4045</v>
      </c>
    </row>
    <row r="78" spans="1:8" ht="49.5" customHeight="1">
      <c r="A78" s="2055" t="s">
        <v>4046</v>
      </c>
      <c r="B78" s="2040">
        <v>10</v>
      </c>
      <c r="C78" s="2040">
        <v>12</v>
      </c>
      <c r="D78" s="2040">
        <v>0</v>
      </c>
      <c r="E78" s="2040">
        <v>0</v>
      </c>
      <c r="F78" s="2040">
        <v>10</v>
      </c>
      <c r="G78" s="2040">
        <v>12</v>
      </c>
      <c r="H78" s="2057" t="s">
        <v>4047</v>
      </c>
    </row>
    <row r="79" spans="1:8" ht="54" customHeight="1">
      <c r="A79" s="2055"/>
      <c r="B79" s="2040"/>
      <c r="C79" s="2040"/>
      <c r="D79" s="2040"/>
      <c r="E79" s="2040"/>
      <c r="F79" s="2040"/>
      <c r="G79" s="2040"/>
    </row>
    <row r="80" spans="1:8" ht="28.5" customHeight="1">
      <c r="A80" s="2055" t="s">
        <v>4048</v>
      </c>
      <c r="B80" s="2040"/>
      <c r="C80" s="2040"/>
      <c r="D80" s="2040"/>
      <c r="E80" s="2040"/>
      <c r="F80" s="2040"/>
      <c r="G80" s="2040"/>
      <c r="H80" s="2060" t="s">
        <v>4049</v>
      </c>
    </row>
    <row r="81" spans="1:10" ht="78">
      <c r="A81" s="2055" t="s">
        <v>4050</v>
      </c>
      <c r="B81" s="2040">
        <v>5</v>
      </c>
      <c r="C81" s="2040">
        <v>6</v>
      </c>
      <c r="D81" s="2040">
        <v>0</v>
      </c>
      <c r="E81" s="2040">
        <v>0</v>
      </c>
      <c r="F81" s="2040">
        <v>5</v>
      </c>
      <c r="G81" s="2040">
        <v>6</v>
      </c>
      <c r="H81" s="2061" t="s">
        <v>4051</v>
      </c>
    </row>
    <row r="82" spans="1:10" ht="78">
      <c r="A82" s="2055" t="s">
        <v>4052</v>
      </c>
      <c r="B82" s="2040">
        <v>10</v>
      </c>
      <c r="C82" s="2040">
        <v>12</v>
      </c>
      <c r="D82" s="2040">
        <v>0</v>
      </c>
      <c r="E82" s="2040">
        <v>0</v>
      </c>
      <c r="F82" s="2040">
        <v>10</v>
      </c>
      <c r="G82" s="2040">
        <v>12</v>
      </c>
      <c r="H82" s="2061" t="s">
        <v>4053</v>
      </c>
    </row>
    <row r="83" spans="1:10" ht="78">
      <c r="A83" s="2055" t="s">
        <v>4054</v>
      </c>
      <c r="B83" s="2040">
        <v>10</v>
      </c>
      <c r="C83" s="2040">
        <v>12</v>
      </c>
      <c r="D83" s="2040">
        <v>0</v>
      </c>
      <c r="E83" s="2040">
        <v>0</v>
      </c>
      <c r="F83" s="2040">
        <v>10</v>
      </c>
      <c r="G83" s="2040">
        <v>12</v>
      </c>
      <c r="H83" s="2061" t="s">
        <v>4055</v>
      </c>
    </row>
    <row r="84" spans="1:10" ht="78">
      <c r="A84" s="2055" t="s">
        <v>4056</v>
      </c>
      <c r="B84" s="2040">
        <v>12.5</v>
      </c>
      <c r="C84" s="2040">
        <v>15</v>
      </c>
      <c r="D84" s="2040">
        <v>0</v>
      </c>
      <c r="E84" s="2040">
        <v>0</v>
      </c>
      <c r="F84" s="2040">
        <v>12.5</v>
      </c>
      <c r="G84" s="2040">
        <v>15</v>
      </c>
      <c r="H84" s="2061" t="s">
        <v>4057</v>
      </c>
    </row>
    <row r="85" spans="1:10" ht="78">
      <c r="A85" s="2055" t="s">
        <v>4058</v>
      </c>
      <c r="B85" s="2040">
        <v>10</v>
      </c>
      <c r="C85" s="2040">
        <v>12</v>
      </c>
      <c r="D85" s="2040">
        <v>0</v>
      </c>
      <c r="E85" s="2040">
        <v>0</v>
      </c>
      <c r="F85" s="2040">
        <v>10</v>
      </c>
      <c r="G85" s="2040">
        <v>12</v>
      </c>
      <c r="H85" s="2061" t="s">
        <v>4059</v>
      </c>
    </row>
    <row r="86" spans="1:10" ht="78">
      <c r="A86" s="2055" t="s">
        <v>4060</v>
      </c>
      <c r="B86" s="2040">
        <v>20</v>
      </c>
      <c r="C86" s="2040">
        <v>20</v>
      </c>
      <c r="D86" s="2040">
        <v>0</v>
      </c>
      <c r="E86" s="2040">
        <v>0</v>
      </c>
      <c r="F86" s="2040">
        <v>20</v>
      </c>
      <c r="G86" s="2040">
        <v>20</v>
      </c>
      <c r="H86" s="2061" t="s">
        <v>4061</v>
      </c>
    </row>
    <row r="87" spans="1:10" ht="78">
      <c r="A87" s="2055" t="s">
        <v>4062</v>
      </c>
      <c r="B87" s="2040">
        <v>20</v>
      </c>
      <c r="C87" s="2040">
        <v>20</v>
      </c>
      <c r="D87" s="2040">
        <v>0</v>
      </c>
      <c r="E87" s="2040">
        <v>0</v>
      </c>
      <c r="F87" s="2040">
        <v>20</v>
      </c>
      <c r="G87" s="2040">
        <v>20</v>
      </c>
      <c r="H87" s="2061" t="s">
        <v>4063</v>
      </c>
    </row>
    <row r="88" spans="1:10" ht="78">
      <c r="A88" s="2058" t="s">
        <v>4064</v>
      </c>
      <c r="B88" s="2052">
        <v>25</v>
      </c>
      <c r="C88" s="2052">
        <v>25</v>
      </c>
      <c r="D88" s="2052">
        <v>0</v>
      </c>
      <c r="E88" s="2052">
        <v>0</v>
      </c>
      <c r="F88" s="2052">
        <v>25</v>
      </c>
      <c r="G88" s="2052">
        <v>25</v>
      </c>
      <c r="H88" s="2061" t="s">
        <v>4065</v>
      </c>
    </row>
    <row r="89" spans="1:10" s="2059" customFormat="1" ht="38.4" customHeight="1">
      <c r="A89" s="2507" t="s">
        <v>2768</v>
      </c>
      <c r="B89" s="2508"/>
      <c r="C89" s="2508"/>
      <c r="D89" s="2508"/>
      <c r="E89" s="2508"/>
      <c r="F89" s="2508"/>
      <c r="G89" s="2508"/>
      <c r="H89" s="2508"/>
    </row>
    <row r="90" spans="1:10">
      <c r="J90" s="2032" t="s">
        <v>4066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9"/>
  <sheetViews>
    <sheetView showGridLines="0" view="pageBreakPreview" topLeftCell="G1" zoomScale="85" zoomScaleSheetLayoutView="85" workbookViewId="0">
      <pane ySplit="88" topLeftCell="A251" activePane="bottomLeft" state="frozen"/>
      <selection activeCell="G291" sqref="G291"/>
      <selection pane="bottomLeft" activeCell="Z282" sqref="Z282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14" t="s">
        <v>3758</v>
      </c>
      <c r="B2" s="2514"/>
      <c r="C2" s="2514"/>
      <c r="D2" s="2514"/>
      <c r="E2" s="2514"/>
      <c r="F2" s="2514"/>
      <c r="G2" s="2514"/>
      <c r="H2" s="2514"/>
      <c r="I2" s="2514"/>
      <c r="J2" s="2514"/>
      <c r="K2" s="2514"/>
      <c r="L2" s="2514"/>
      <c r="M2" s="2514"/>
      <c r="N2" s="2514"/>
      <c r="O2" s="2514"/>
      <c r="P2" s="2514"/>
      <c r="Q2" s="2514"/>
      <c r="R2" s="2514"/>
      <c r="S2" s="2514"/>
      <c r="T2" s="2514"/>
      <c r="U2" s="2514"/>
      <c r="V2" s="2514"/>
      <c r="W2" s="2514"/>
      <c r="X2" s="2514"/>
      <c r="Y2" s="2514"/>
      <c r="Z2" s="2514"/>
      <c r="AA2" s="2514"/>
      <c r="AB2" s="2514"/>
      <c r="AC2" s="2514"/>
      <c r="AD2" s="2514"/>
      <c r="AE2" s="2514"/>
      <c r="AF2" s="2514"/>
      <c r="AG2" s="2514"/>
      <c r="AH2" s="2514"/>
      <c r="AI2" s="2514"/>
      <c r="AJ2" s="2514"/>
      <c r="AK2" s="2514"/>
      <c r="AL2" s="2514"/>
      <c r="AM2" s="2514"/>
      <c r="AN2" s="2514"/>
      <c r="AO2" s="2514"/>
      <c r="AP2" s="2514"/>
      <c r="AQ2" s="2514"/>
      <c r="AR2" s="2514"/>
      <c r="AS2" s="2514"/>
      <c r="AT2" s="2514"/>
    </row>
    <row r="3" spans="1:46" ht="33" customHeight="1">
      <c r="A3" s="2515" t="s">
        <v>2815</v>
      </c>
      <c r="B3" s="2515"/>
      <c r="C3" s="2515"/>
      <c r="D3" s="2515"/>
      <c r="E3" s="2515"/>
      <c r="F3" s="2515"/>
      <c r="G3" s="2515"/>
      <c r="H3" s="2515"/>
      <c r="I3" s="2515"/>
      <c r="J3" s="2515"/>
      <c r="K3" s="2515"/>
      <c r="L3" s="2515"/>
      <c r="M3" s="2515"/>
      <c r="N3" s="2515"/>
      <c r="O3" s="2515"/>
      <c r="P3" s="2515"/>
      <c r="Q3" s="2515"/>
      <c r="R3" s="2515"/>
      <c r="S3" s="2515"/>
      <c r="T3" s="2515"/>
      <c r="U3" s="2515"/>
      <c r="V3" s="2515"/>
      <c r="W3" s="2515"/>
      <c r="X3" s="2515"/>
      <c r="Y3" s="2515"/>
      <c r="Z3" s="2515"/>
      <c r="AA3" s="2515"/>
      <c r="AB3" s="2515"/>
      <c r="AC3" s="2515"/>
      <c r="AD3" s="2515"/>
      <c r="AE3" s="2515"/>
      <c r="AF3" s="2515"/>
      <c r="AG3" s="2515"/>
      <c r="AH3" s="2515"/>
      <c r="AI3" s="2515"/>
      <c r="AJ3" s="2515"/>
      <c r="AK3" s="2515"/>
      <c r="AL3" s="2515"/>
      <c r="AM3" s="2515"/>
      <c r="AN3" s="2515"/>
      <c r="AO3" s="2515"/>
      <c r="AP3" s="2515"/>
      <c r="AQ3" s="2515"/>
      <c r="AR3" s="2515"/>
      <c r="AS3" s="2515"/>
      <c r="AT3" s="2515"/>
    </row>
    <row r="4" spans="1:46" ht="1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1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</row>
    <row r="6" spans="1:46" s="155" customFormat="1" ht="38.4" customHeight="1">
      <c r="A6" s="664" t="s">
        <v>182</v>
      </c>
      <c r="B6" s="664" t="s">
        <v>242</v>
      </c>
      <c r="C6" s="664" t="s">
        <v>243</v>
      </c>
      <c r="D6" s="664" t="s">
        <v>244</v>
      </c>
      <c r="E6" s="664" t="s">
        <v>245</v>
      </c>
      <c r="F6" s="664" t="s">
        <v>246</v>
      </c>
      <c r="G6" s="664" t="s">
        <v>247</v>
      </c>
      <c r="H6" s="664" t="s">
        <v>248</v>
      </c>
      <c r="I6" s="664" t="s">
        <v>249</v>
      </c>
      <c r="J6" s="664" t="s">
        <v>250</v>
      </c>
      <c r="K6" s="664" t="s">
        <v>251</v>
      </c>
      <c r="L6" s="664" t="s">
        <v>252</v>
      </c>
      <c r="M6" s="664" t="s">
        <v>253</v>
      </c>
      <c r="N6" s="664" t="s">
        <v>254</v>
      </c>
      <c r="O6" s="664" t="s">
        <v>255</v>
      </c>
      <c r="P6" s="664" t="s">
        <v>256</v>
      </c>
      <c r="Q6" s="664" t="s">
        <v>257</v>
      </c>
      <c r="R6" s="664" t="s">
        <v>258</v>
      </c>
      <c r="S6" s="664" t="s">
        <v>259</v>
      </c>
      <c r="T6" s="664" t="s">
        <v>260</v>
      </c>
      <c r="U6" s="664" t="s">
        <v>261</v>
      </c>
      <c r="V6" s="664" t="s">
        <v>262</v>
      </c>
      <c r="W6" s="664" t="s">
        <v>263</v>
      </c>
      <c r="X6" s="664" t="s">
        <v>264</v>
      </c>
      <c r="Y6" s="664" t="s">
        <v>265</v>
      </c>
      <c r="Z6" s="664" t="s">
        <v>266</v>
      </c>
      <c r="AA6" s="664" t="s">
        <v>267</v>
      </c>
      <c r="AB6" s="664" t="s">
        <v>268</v>
      </c>
      <c r="AC6" s="664" t="s">
        <v>269</v>
      </c>
      <c r="AD6" s="664" t="s">
        <v>270</v>
      </c>
      <c r="AE6" s="664" t="s">
        <v>271</v>
      </c>
      <c r="AF6" s="664" t="s">
        <v>272</v>
      </c>
      <c r="AG6" s="664" t="s">
        <v>1073</v>
      </c>
      <c r="AH6" s="664" t="s">
        <v>1074</v>
      </c>
      <c r="AI6" s="664" t="s">
        <v>1075</v>
      </c>
      <c r="AJ6" s="664" t="s">
        <v>1076</v>
      </c>
      <c r="AK6" s="664" t="s">
        <v>1077</v>
      </c>
      <c r="AL6" s="664" t="s">
        <v>1078</v>
      </c>
      <c r="AM6" s="664" t="s">
        <v>1079</v>
      </c>
      <c r="AN6" s="664" t="s">
        <v>1080</v>
      </c>
      <c r="AO6" s="665" t="s">
        <v>1081</v>
      </c>
      <c r="AP6" s="664" t="s">
        <v>2699</v>
      </c>
      <c r="AQ6" s="664" t="s">
        <v>2700</v>
      </c>
      <c r="AR6" s="664" t="s">
        <v>2701</v>
      </c>
      <c r="AS6" s="665" t="s">
        <v>2702</v>
      </c>
      <c r="AT6" s="664" t="s">
        <v>182</v>
      </c>
    </row>
    <row r="7" spans="1:46" ht="39.6">
      <c r="A7" s="666" t="s">
        <v>304</v>
      </c>
      <c r="B7" s="666" t="s">
        <v>273</v>
      </c>
      <c r="C7" s="666" t="s">
        <v>274</v>
      </c>
      <c r="D7" s="667" t="s">
        <v>275</v>
      </c>
      <c r="E7" s="667" t="s">
        <v>276</v>
      </c>
      <c r="F7" s="667" t="s">
        <v>277</v>
      </c>
      <c r="G7" s="667" t="s">
        <v>278</v>
      </c>
      <c r="H7" s="667" t="s">
        <v>279</v>
      </c>
      <c r="I7" s="667" t="s">
        <v>280</v>
      </c>
      <c r="J7" s="667" t="s">
        <v>281</v>
      </c>
      <c r="K7" s="667" t="s">
        <v>282</v>
      </c>
      <c r="L7" s="667" t="s">
        <v>283</v>
      </c>
      <c r="M7" s="667" t="s">
        <v>284</v>
      </c>
      <c r="N7" s="667" t="s">
        <v>285</v>
      </c>
      <c r="O7" s="667" t="s">
        <v>286</v>
      </c>
      <c r="P7" s="667" t="s">
        <v>287</v>
      </c>
      <c r="Q7" s="667" t="s">
        <v>288</v>
      </c>
      <c r="R7" s="667" t="s">
        <v>289</v>
      </c>
      <c r="S7" s="667" t="s">
        <v>290</v>
      </c>
      <c r="T7" s="667" t="s">
        <v>291</v>
      </c>
      <c r="U7" s="667" t="s">
        <v>292</v>
      </c>
      <c r="V7" s="667" t="s">
        <v>293</v>
      </c>
      <c r="W7" s="667" t="s">
        <v>294</v>
      </c>
      <c r="X7" s="667" t="s">
        <v>295</v>
      </c>
      <c r="Y7" s="667" t="s">
        <v>296</v>
      </c>
      <c r="Z7" s="667" t="s">
        <v>297</v>
      </c>
      <c r="AA7" s="667" t="s">
        <v>298</v>
      </c>
      <c r="AB7" s="667" t="s">
        <v>299</v>
      </c>
      <c r="AC7" s="667" t="s">
        <v>300</v>
      </c>
      <c r="AD7" s="667" t="s">
        <v>301</v>
      </c>
      <c r="AE7" s="667" t="s">
        <v>302</v>
      </c>
      <c r="AF7" s="667" t="s">
        <v>303</v>
      </c>
      <c r="AG7" s="667" t="s">
        <v>1082</v>
      </c>
      <c r="AH7" s="667" t="s">
        <v>1083</v>
      </c>
      <c r="AI7" s="667" t="s">
        <v>1084</v>
      </c>
      <c r="AJ7" s="667" t="s">
        <v>1085</v>
      </c>
      <c r="AK7" s="667" t="s">
        <v>1086</v>
      </c>
      <c r="AL7" s="667" t="s">
        <v>1087</v>
      </c>
      <c r="AM7" s="667" t="s">
        <v>1088</v>
      </c>
      <c r="AN7" s="667" t="s">
        <v>1089</v>
      </c>
      <c r="AO7" s="668" t="s">
        <v>1090</v>
      </c>
      <c r="AP7" s="667" t="s">
        <v>2703</v>
      </c>
      <c r="AQ7" s="667" t="s">
        <v>2704</v>
      </c>
      <c r="AR7" s="667" t="s">
        <v>2705</v>
      </c>
      <c r="AS7" s="668" t="s">
        <v>2706</v>
      </c>
      <c r="AT7" s="669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7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75" t="s">
        <v>18</v>
      </c>
    </row>
    <row r="156" spans="1:46" ht="14.1" customHeight="1">
      <c r="A156" s="107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75" t="s">
        <v>19</v>
      </c>
    </row>
    <row r="157" spans="1:46" ht="12.75" customHeight="1">
      <c r="A157" s="107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75" t="s">
        <v>20</v>
      </c>
    </row>
    <row r="158" spans="1:46" ht="12.75" customHeight="1">
      <c r="A158" s="107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75" t="s">
        <v>21</v>
      </c>
    </row>
    <row r="159" spans="1:46" ht="12.75" customHeight="1">
      <c r="A159" s="107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75" t="s">
        <v>22</v>
      </c>
    </row>
    <row r="160" spans="1:46" ht="12.75" customHeight="1">
      <c r="A160" s="107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75" t="s">
        <v>23</v>
      </c>
    </row>
    <row r="161" spans="1:46" ht="12.75" customHeight="1">
      <c r="A161" s="107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75" t="s">
        <v>24</v>
      </c>
    </row>
    <row r="162" spans="1:46" ht="12.75" customHeight="1">
      <c r="A162" s="107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75" t="s">
        <v>25</v>
      </c>
    </row>
    <row r="163" spans="1:46" ht="14.1" customHeight="1">
      <c r="A163" s="107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75" t="s">
        <v>26</v>
      </c>
    </row>
    <row r="164" spans="1:46" ht="14.1" customHeight="1">
      <c r="A164" s="107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75" t="s">
        <v>27</v>
      </c>
    </row>
    <row r="165" spans="1:46" ht="14.1" customHeight="1">
      <c r="A165" s="107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75" t="s">
        <v>28</v>
      </c>
    </row>
    <row r="166" spans="1:46" ht="14.1" customHeight="1">
      <c r="A166" s="107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75" t="s">
        <v>29</v>
      </c>
    </row>
    <row r="167" spans="1:46" ht="14.1" customHeight="1">
      <c r="A167" s="236" t="s">
        <v>1879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1879</v>
      </c>
    </row>
    <row r="168" spans="1:46" ht="14.1" customHeight="1">
      <c r="A168" s="107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75" t="s">
        <v>18</v>
      </c>
    </row>
    <row r="169" spans="1:46" ht="14.1" customHeight="1">
      <c r="A169" s="107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75" t="s">
        <v>19</v>
      </c>
    </row>
    <row r="170" spans="1:46" ht="14.1" customHeight="1">
      <c r="A170" s="107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75" t="s">
        <v>20</v>
      </c>
    </row>
    <row r="171" spans="1:46" ht="14.1" customHeight="1">
      <c r="A171" s="107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75" t="s">
        <v>21</v>
      </c>
    </row>
    <row r="172" spans="1:46" ht="14.1" customHeight="1">
      <c r="A172" s="107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75" t="s">
        <v>22</v>
      </c>
    </row>
    <row r="173" spans="1:46" ht="14.1" customHeight="1">
      <c r="A173" s="107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75" t="s">
        <v>23</v>
      </c>
    </row>
    <row r="174" spans="1:46" ht="14.1" customHeight="1">
      <c r="A174" s="107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75" t="s">
        <v>24</v>
      </c>
    </row>
    <row r="175" spans="1:46" ht="14.1" customHeight="1">
      <c r="A175" s="107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75" t="s">
        <v>25</v>
      </c>
    </row>
    <row r="176" spans="1:46" ht="14.1" customHeight="1">
      <c r="A176" s="107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75" t="s">
        <v>26</v>
      </c>
    </row>
    <row r="177" spans="1:46" ht="14.1" customHeight="1">
      <c r="A177" s="107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75" t="s">
        <v>27</v>
      </c>
    </row>
    <row r="178" spans="1:46" ht="14.1" customHeight="1">
      <c r="A178" s="107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75" t="s">
        <v>28</v>
      </c>
    </row>
    <row r="179" spans="1:46" ht="14.1" customHeight="1">
      <c r="A179" s="107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75" t="s">
        <v>29</v>
      </c>
    </row>
    <row r="180" spans="1:46" ht="13.5" customHeight="1">
      <c r="A180" s="236" t="s">
        <v>1942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1942</v>
      </c>
    </row>
    <row r="181" spans="1:46" ht="14.1" customHeight="1">
      <c r="A181" s="107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75" t="s">
        <v>18</v>
      </c>
    </row>
    <row r="182" spans="1:46" ht="14.1" customHeight="1">
      <c r="A182" s="107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75" t="s">
        <v>19</v>
      </c>
    </row>
    <row r="183" spans="1:46" ht="14.1" customHeight="1">
      <c r="A183" s="107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75" t="s">
        <v>20</v>
      </c>
    </row>
    <row r="184" spans="1:46" ht="14.1" customHeight="1">
      <c r="A184" s="107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75" t="s">
        <v>21</v>
      </c>
    </row>
    <row r="185" spans="1:46" ht="14.1" customHeight="1">
      <c r="A185" s="107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75" t="s">
        <v>22</v>
      </c>
    </row>
    <row r="186" spans="1:46" ht="14.1" customHeight="1">
      <c r="A186" s="107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75" t="s">
        <v>23</v>
      </c>
    </row>
    <row r="187" spans="1:46" ht="14.1" customHeight="1">
      <c r="A187" s="107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75" t="s">
        <v>24</v>
      </c>
    </row>
    <row r="188" spans="1:46" ht="14.1" customHeight="1">
      <c r="A188" s="107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75" t="s">
        <v>25</v>
      </c>
    </row>
    <row r="189" spans="1:46" ht="14.1" customHeight="1">
      <c r="A189" s="107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75" t="s">
        <v>26</v>
      </c>
    </row>
    <row r="190" spans="1:46" ht="14.1" customHeight="1">
      <c r="A190" s="107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75" t="s">
        <v>27</v>
      </c>
    </row>
    <row r="191" spans="1:46" ht="14.1" customHeight="1">
      <c r="A191" s="107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75" t="s">
        <v>28</v>
      </c>
    </row>
    <row r="192" spans="1:46" ht="14.1" customHeight="1">
      <c r="A192" s="107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75" t="s">
        <v>29</v>
      </c>
    </row>
    <row r="193" spans="1:46" ht="14.1" customHeight="1">
      <c r="A193" s="236" t="s">
        <v>2078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2078</v>
      </c>
    </row>
    <row r="194" spans="1:46" ht="14.1" customHeight="1">
      <c r="A194" s="107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75" t="s">
        <v>18</v>
      </c>
    </row>
    <row r="195" spans="1:46" ht="14.1" customHeight="1">
      <c r="A195" s="107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75" t="s">
        <v>19</v>
      </c>
    </row>
    <row r="196" spans="1:46" ht="14.1" customHeight="1">
      <c r="A196" s="107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75" t="s">
        <v>20</v>
      </c>
    </row>
    <row r="197" spans="1:46" ht="14.1" customHeight="1">
      <c r="A197" s="107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75" t="s">
        <v>21</v>
      </c>
    </row>
    <row r="198" spans="1:46" ht="14.1" customHeight="1">
      <c r="A198" s="107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75" t="s">
        <v>22</v>
      </c>
    </row>
    <row r="199" spans="1:46" ht="14.1" customHeight="1">
      <c r="A199" s="107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75" t="s">
        <v>23</v>
      </c>
    </row>
    <row r="200" spans="1:46" ht="14.1" customHeight="1">
      <c r="A200" s="107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75" t="s">
        <v>24</v>
      </c>
    </row>
    <row r="201" spans="1:46" ht="14.1" customHeight="1">
      <c r="A201" s="107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75" t="s">
        <v>25</v>
      </c>
    </row>
    <row r="202" spans="1:46" ht="14.1" customHeight="1">
      <c r="A202" s="107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75" t="s">
        <v>26</v>
      </c>
    </row>
    <row r="203" spans="1:46" ht="14.1" customHeight="1">
      <c r="A203" s="107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75" t="s">
        <v>27</v>
      </c>
    </row>
    <row r="204" spans="1:46" ht="14.1" customHeight="1">
      <c r="A204" s="107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75" t="s">
        <v>28</v>
      </c>
    </row>
    <row r="205" spans="1:46" ht="14.1" customHeight="1">
      <c r="A205" s="107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75" t="s">
        <v>29</v>
      </c>
    </row>
    <row r="206" spans="1:46" ht="14.1" customHeight="1">
      <c r="A206" s="236" t="s">
        <v>2171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2171</v>
      </c>
    </row>
    <row r="207" spans="1:46" ht="14.1" customHeight="1">
      <c r="A207" s="107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75" t="s">
        <v>18</v>
      </c>
    </row>
    <row r="208" spans="1:46" ht="14.1" customHeight="1">
      <c r="A208" s="107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75" t="s">
        <v>19</v>
      </c>
    </row>
    <row r="209" spans="1:46" ht="14.1" customHeight="1">
      <c r="A209" s="107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75" t="s">
        <v>20</v>
      </c>
    </row>
    <row r="210" spans="1:46" ht="14.1" customHeight="1">
      <c r="A210" s="107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75" t="s">
        <v>21</v>
      </c>
    </row>
    <row r="211" spans="1:46" ht="14.1" customHeight="1">
      <c r="A211" s="107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75" t="s">
        <v>22</v>
      </c>
    </row>
    <row r="212" spans="1:46" ht="14.1" customHeight="1">
      <c r="A212" s="107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75" t="s">
        <v>23</v>
      </c>
    </row>
    <row r="213" spans="1:46" ht="14.1" customHeight="1">
      <c r="A213" s="107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75" t="s">
        <v>24</v>
      </c>
    </row>
    <row r="214" spans="1:46" ht="14.1" customHeight="1">
      <c r="A214" s="107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75" t="s">
        <v>25</v>
      </c>
    </row>
    <row r="215" spans="1:46" ht="14.1" customHeight="1">
      <c r="A215" s="107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75" t="s">
        <v>26</v>
      </c>
    </row>
    <row r="216" spans="1:46" ht="14.1" customHeight="1">
      <c r="A216" s="107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75" t="s">
        <v>27</v>
      </c>
    </row>
    <row r="217" spans="1:46" ht="14.1" customHeight="1">
      <c r="A217" s="107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75" t="s">
        <v>28</v>
      </c>
    </row>
    <row r="218" spans="1:46" ht="14.1" customHeight="1">
      <c r="A218" s="107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75" t="s">
        <v>29</v>
      </c>
    </row>
    <row r="219" spans="1:46" s="282" customFormat="1" ht="14.1" customHeight="1">
      <c r="A219" s="94" t="s">
        <v>2407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12">
        <v>2020</v>
      </c>
    </row>
    <row r="220" spans="1:46" ht="14.1" customHeight="1">
      <c r="A220" s="107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75" t="s">
        <v>18</v>
      </c>
    </row>
    <row r="221" spans="1:46" ht="14.1" customHeight="1">
      <c r="A221" s="107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75" t="s">
        <v>19</v>
      </c>
    </row>
    <row r="222" spans="1:46" ht="14.1" customHeight="1">
      <c r="A222" s="107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75" t="s">
        <v>20</v>
      </c>
    </row>
    <row r="223" spans="1:46" ht="14.1" customHeight="1">
      <c r="A223" s="107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75" t="s">
        <v>21</v>
      </c>
    </row>
    <row r="224" spans="1:46" ht="14.1" customHeight="1">
      <c r="A224" s="107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75" t="s">
        <v>22</v>
      </c>
    </row>
    <row r="225" spans="1:46" ht="14.1" customHeight="1">
      <c r="A225" s="107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75" t="s">
        <v>23</v>
      </c>
    </row>
    <row r="226" spans="1:46" ht="14.1" customHeight="1">
      <c r="A226" s="107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75" t="s">
        <v>24</v>
      </c>
    </row>
    <row r="227" spans="1:46" ht="14.1" customHeight="1">
      <c r="A227" s="107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75" t="s">
        <v>25</v>
      </c>
    </row>
    <row r="228" spans="1:46" ht="14.1" customHeight="1">
      <c r="A228" s="107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75" t="s">
        <v>26</v>
      </c>
    </row>
    <row r="229" spans="1:46" ht="14.1" customHeight="1">
      <c r="A229" s="107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75" t="s">
        <v>27</v>
      </c>
    </row>
    <row r="230" spans="1:46" ht="14.1" customHeight="1">
      <c r="A230" s="107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75" t="s">
        <v>28</v>
      </c>
    </row>
    <row r="231" spans="1:46" ht="14.1" customHeight="1">
      <c r="A231" s="107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75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7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75" t="s">
        <v>18</v>
      </c>
    </row>
    <row r="234" spans="1:46" ht="14.1" customHeight="1">
      <c r="A234" s="107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75" t="s">
        <v>19</v>
      </c>
    </row>
    <row r="235" spans="1:46" ht="14.1" customHeight="1">
      <c r="A235" s="107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75" t="s">
        <v>20</v>
      </c>
    </row>
    <row r="236" spans="1:46" ht="14.1" customHeight="1">
      <c r="A236" s="107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75" t="s">
        <v>21</v>
      </c>
    </row>
    <row r="237" spans="1:46" ht="14.1" customHeight="1">
      <c r="A237" s="107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75" t="s">
        <v>22</v>
      </c>
    </row>
    <row r="238" spans="1:46" ht="14.1" customHeight="1">
      <c r="A238" s="107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75" t="s">
        <v>23</v>
      </c>
    </row>
    <row r="239" spans="1:46" ht="14.1" customHeight="1">
      <c r="A239" s="107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75" t="s">
        <v>24</v>
      </c>
    </row>
    <row r="240" spans="1:46" ht="14.1" customHeight="1">
      <c r="A240" s="107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75" t="s">
        <v>25</v>
      </c>
    </row>
    <row r="241" spans="1:46" ht="14.1" customHeight="1">
      <c r="A241" s="107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75" t="s">
        <v>26</v>
      </c>
    </row>
    <row r="242" spans="1:46" ht="14.1" customHeight="1">
      <c r="A242" s="107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75" t="s">
        <v>27</v>
      </c>
    </row>
    <row r="243" spans="1:46" ht="14.1" customHeight="1">
      <c r="A243" s="107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75" t="s">
        <v>28</v>
      </c>
    </row>
    <row r="244" spans="1:46" ht="14.1" customHeight="1">
      <c r="A244" s="107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75" t="s">
        <v>29</v>
      </c>
    </row>
    <row r="245" spans="1:46" ht="14.1" customHeight="1">
      <c r="A245" s="1073" t="s">
        <v>2892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2892</v>
      </c>
    </row>
    <row r="246" spans="1:46" ht="14.1" customHeight="1">
      <c r="A246" s="107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75" t="s">
        <v>18</v>
      </c>
    </row>
    <row r="247" spans="1:46" ht="13.5" customHeight="1">
      <c r="A247" s="107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75" t="s">
        <v>19</v>
      </c>
    </row>
    <row r="248" spans="1:46" ht="13.5" customHeight="1">
      <c r="A248" s="107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75" t="s">
        <v>20</v>
      </c>
    </row>
    <row r="249" spans="1:46" ht="13.5" customHeight="1">
      <c r="A249" s="107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75" t="s">
        <v>21</v>
      </c>
    </row>
    <row r="250" spans="1:46" ht="13.5" customHeight="1">
      <c r="A250" s="107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75" t="s">
        <v>22</v>
      </c>
    </row>
    <row r="251" spans="1:46" ht="13.5" customHeight="1">
      <c r="A251" s="107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75" t="s">
        <v>23</v>
      </c>
    </row>
    <row r="252" spans="1:46" ht="13.5" customHeight="1">
      <c r="A252" s="107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75" t="s">
        <v>24</v>
      </c>
    </row>
    <row r="253" spans="1:46" ht="13.5" customHeight="1">
      <c r="A253" s="107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75" t="s">
        <v>25</v>
      </c>
    </row>
    <row r="254" spans="1:46" ht="13.5" customHeight="1">
      <c r="A254" s="107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75" t="s">
        <v>26</v>
      </c>
    </row>
    <row r="255" spans="1:46" ht="13.5" customHeight="1">
      <c r="A255" s="107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75" t="s">
        <v>27</v>
      </c>
    </row>
    <row r="256" spans="1:46" ht="13.5" customHeight="1">
      <c r="A256" s="107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75" t="s">
        <v>28</v>
      </c>
    </row>
    <row r="257" spans="1:46" ht="13.5" customHeight="1">
      <c r="A257" s="107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75" t="s">
        <v>29</v>
      </c>
    </row>
    <row r="258" spans="1:46" ht="14.1" customHeight="1">
      <c r="A258" s="1073" t="s">
        <v>3605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3605</v>
      </c>
    </row>
    <row r="259" spans="1:46" ht="13.5" customHeight="1">
      <c r="A259" s="107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7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7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7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7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7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7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7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7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7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73" t="s">
        <v>27</v>
      </c>
    </row>
    <row r="269" spans="1:46" ht="13.5" customHeight="1">
      <c r="A269" s="107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73" t="s">
        <v>28</v>
      </c>
    </row>
    <row r="270" spans="1:46" ht="13.5" customHeight="1">
      <c r="A270" s="107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73" t="s">
        <v>29</v>
      </c>
    </row>
    <row r="271" spans="1:46" ht="13.5" customHeight="1">
      <c r="A271" s="1073" t="s">
        <v>4086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73" t="s">
        <v>4086</v>
      </c>
    </row>
    <row r="272" spans="1:46" ht="13.5" customHeight="1">
      <c r="A272" s="107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73" t="s">
        <v>18</v>
      </c>
    </row>
    <row r="273" spans="1:49" ht="13.5" customHeight="1">
      <c r="A273" s="107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73" t="s">
        <v>19</v>
      </c>
    </row>
    <row r="274" spans="1:49" s="897" customFormat="1" ht="18.75" customHeight="1">
      <c r="A274" s="2510" t="s">
        <v>2769</v>
      </c>
      <c r="B274" s="2510"/>
      <c r="C274" s="2510"/>
      <c r="D274" s="2510"/>
      <c r="E274" s="2510"/>
      <c r="F274" s="2510"/>
      <c r="G274" s="2510"/>
      <c r="H274" s="2510"/>
      <c r="I274" s="2510"/>
      <c r="J274" s="2510"/>
      <c r="K274" s="2510"/>
      <c r="L274" s="2510"/>
      <c r="M274" s="2510"/>
      <c r="N274" s="2510"/>
      <c r="O274" s="2510"/>
      <c r="P274" s="2510"/>
      <c r="Q274" s="2510"/>
      <c r="R274" s="2510"/>
      <c r="S274" s="2510"/>
      <c r="T274" s="2510"/>
      <c r="U274" s="2510"/>
      <c r="V274" s="2510"/>
      <c r="W274" s="2510"/>
      <c r="X274" s="2510"/>
      <c r="Y274" s="2510"/>
      <c r="Z274" s="2510"/>
      <c r="AA274" s="2510"/>
      <c r="AB274" s="2510"/>
      <c r="AC274" s="2510"/>
      <c r="AD274" s="2510"/>
      <c r="AE274" s="2510"/>
      <c r="AF274" s="2510"/>
      <c r="AG274" s="2510"/>
      <c r="AH274" s="2510"/>
      <c r="AI274" s="2510"/>
      <c r="AJ274" s="2510"/>
      <c r="AK274" s="2510"/>
      <c r="AL274" s="2510"/>
      <c r="AM274" s="2510"/>
      <c r="AN274" s="2510"/>
      <c r="AO274" s="2510"/>
      <c r="AP274" s="2510"/>
      <c r="AQ274" s="2510"/>
      <c r="AR274" s="2510"/>
      <c r="AS274" s="2510"/>
      <c r="AT274" s="2511"/>
    </row>
    <row r="275" spans="1:49" s="897" customFormat="1" ht="16.5" customHeight="1">
      <c r="A275" s="2512" t="s">
        <v>2770</v>
      </c>
      <c r="B275" s="2512"/>
      <c r="C275" s="2512"/>
      <c r="D275" s="2512"/>
      <c r="E275" s="2512"/>
      <c r="F275" s="2512"/>
      <c r="G275" s="2512"/>
      <c r="H275" s="2512"/>
      <c r="I275" s="2512"/>
      <c r="J275" s="2512"/>
      <c r="K275" s="2512"/>
      <c r="L275" s="2512"/>
      <c r="M275" s="2512"/>
      <c r="N275" s="2512"/>
      <c r="O275" s="2512"/>
      <c r="P275" s="2512"/>
      <c r="Q275" s="2512"/>
      <c r="R275" s="2512"/>
      <c r="S275" s="2512"/>
      <c r="T275" s="2512"/>
      <c r="U275" s="2512"/>
      <c r="V275" s="2512"/>
      <c r="W275" s="2512"/>
      <c r="X275" s="2512"/>
      <c r="Y275" s="2512"/>
      <c r="Z275" s="2512"/>
      <c r="AA275" s="2512"/>
      <c r="AB275" s="2512"/>
      <c r="AC275" s="2512"/>
      <c r="AD275" s="2512"/>
      <c r="AE275" s="2512"/>
      <c r="AF275" s="2512"/>
      <c r="AG275" s="2512"/>
      <c r="AH275" s="2512"/>
      <c r="AI275" s="2512"/>
      <c r="AJ275" s="2512"/>
      <c r="AK275" s="2512"/>
      <c r="AL275" s="2512"/>
      <c r="AM275" s="2512"/>
      <c r="AN275" s="2512"/>
      <c r="AO275" s="2512"/>
      <c r="AP275" s="2512"/>
      <c r="AQ275" s="2512"/>
      <c r="AR275" s="2512"/>
      <c r="AS275" s="2512"/>
      <c r="AT275" s="2512"/>
    </row>
    <row r="276" spans="1:49" s="897" customFormat="1" ht="18.75" customHeight="1">
      <c r="A276" s="2513" t="s">
        <v>2757</v>
      </c>
      <c r="B276" s="2513"/>
      <c r="C276" s="2513"/>
      <c r="D276" s="2513"/>
      <c r="E276" s="2513"/>
      <c r="F276" s="2513"/>
      <c r="G276" s="2513"/>
      <c r="H276" s="2513"/>
      <c r="I276" s="2513"/>
      <c r="J276" s="2513"/>
      <c r="K276" s="2513"/>
      <c r="L276" s="2513"/>
      <c r="M276" s="2513"/>
      <c r="N276" s="2513"/>
      <c r="O276" s="2513"/>
      <c r="P276" s="2513"/>
      <c r="Q276" s="2513"/>
      <c r="R276" s="2513"/>
      <c r="S276" s="2513"/>
      <c r="T276" s="2513"/>
      <c r="U276" s="2513"/>
      <c r="V276" s="2513"/>
      <c r="W276" s="2513"/>
      <c r="X276" s="2513"/>
      <c r="Y276" s="2513"/>
      <c r="Z276" s="2513"/>
      <c r="AA276" s="2513"/>
      <c r="AB276" s="2513"/>
      <c r="AC276" s="2513"/>
      <c r="AD276" s="2513"/>
      <c r="AE276" s="2513"/>
      <c r="AF276" s="2513"/>
      <c r="AG276" s="2513"/>
      <c r="AH276" s="2513"/>
      <c r="AI276" s="2513"/>
      <c r="AJ276" s="2513"/>
      <c r="AK276" s="2513"/>
      <c r="AL276" s="2513"/>
      <c r="AM276" s="2513"/>
      <c r="AN276" s="2513"/>
      <c r="AO276" s="2513"/>
      <c r="AP276" s="2513"/>
      <c r="AQ276" s="2513"/>
      <c r="AR276" s="2513"/>
      <c r="AS276" s="2513"/>
      <c r="AT276" s="2513"/>
    </row>
    <row r="277" spans="1:49" ht="14.1" customHeight="1">
      <c r="B277" s="157"/>
      <c r="C277" s="2106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</row>
    <row r="278" spans="1:49" ht="14.1" customHeight="1">
      <c r="C278" s="2106"/>
      <c r="AS278" s="155"/>
    </row>
    <row r="279" spans="1:49" ht="14.1" customHeight="1">
      <c r="AT279" s="153"/>
    </row>
  </sheetData>
  <mergeCells count="5">
    <mergeCell ref="A274:AT274"/>
    <mergeCell ref="A275:AT275"/>
    <mergeCell ref="A276:AT276"/>
    <mergeCell ref="A2:AT2"/>
    <mergeCell ref="A3:AT3"/>
  </mergeCells>
  <pageMargins left="0.17" right="0.17" top="0.33" bottom="0.75" header="0.17" footer="0.3"/>
  <pageSetup scale="26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1"/>
  <sheetViews>
    <sheetView showGridLines="0" view="pageBreakPreview" zoomScaleSheetLayoutView="100" workbookViewId="0">
      <pane ySplit="7" topLeftCell="A50" activePane="bottomLeft" state="frozen"/>
      <selection activeCell="G291" sqref="G291"/>
      <selection pane="bottomLeft" activeCell="P76" sqref="P76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85" customFormat="1" ht="18.75" customHeight="1">
      <c r="A2" s="2229" t="s">
        <v>3589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  <c r="P2" s="2229"/>
    </row>
    <row r="3" spans="1:16" s="585" customFormat="1" ht="24" customHeight="1">
      <c r="A3" s="2230" t="s">
        <v>3590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</row>
    <row r="4" spans="1:16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16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16" s="88" customFormat="1" ht="43.5" customHeight="1">
      <c r="A6" s="1534" t="s">
        <v>182</v>
      </c>
      <c r="B6" s="1508" t="s">
        <v>242</v>
      </c>
      <c r="C6" s="1508" t="s">
        <v>3559</v>
      </c>
      <c r="D6" s="1508" t="s">
        <v>3560</v>
      </c>
      <c r="E6" s="1508" t="s">
        <v>3561</v>
      </c>
      <c r="F6" s="1508" t="s">
        <v>269</v>
      </c>
      <c r="G6" s="1508" t="s">
        <v>272</v>
      </c>
      <c r="H6" s="1508" t="s">
        <v>3562</v>
      </c>
      <c r="I6" s="1508" t="s">
        <v>3563</v>
      </c>
      <c r="J6" s="1508" t="s">
        <v>3564</v>
      </c>
      <c r="K6" s="1508" t="s">
        <v>3565</v>
      </c>
      <c r="L6" s="1508" t="s">
        <v>3566</v>
      </c>
      <c r="M6" s="1508" t="s">
        <v>246</v>
      </c>
      <c r="N6" s="1508" t="s">
        <v>3591</v>
      </c>
      <c r="O6" s="1508" t="s">
        <v>3592</v>
      </c>
      <c r="P6" s="1508" t="s">
        <v>252</v>
      </c>
    </row>
    <row r="7" spans="1:16" ht="39" customHeight="1">
      <c r="A7" s="1535" t="s">
        <v>304</v>
      </c>
      <c r="B7" s="1536" t="s">
        <v>3570</v>
      </c>
      <c r="C7" s="1536" t="s">
        <v>3571</v>
      </c>
      <c r="D7" s="1536" t="s">
        <v>3593</v>
      </c>
      <c r="E7" s="1536" t="s">
        <v>3573</v>
      </c>
      <c r="F7" s="1536" t="s">
        <v>3574</v>
      </c>
      <c r="G7" s="1536" t="s">
        <v>3575</v>
      </c>
      <c r="H7" s="1536" t="s">
        <v>3576</v>
      </c>
      <c r="I7" s="1536" t="s">
        <v>3577</v>
      </c>
      <c r="J7" s="1536" t="s">
        <v>3578</v>
      </c>
      <c r="K7" s="1536" t="s">
        <v>3579</v>
      </c>
      <c r="L7" s="1536" t="s">
        <v>3580</v>
      </c>
      <c r="M7" s="1536" t="s">
        <v>3581</v>
      </c>
      <c r="N7" s="1536" t="s">
        <v>3582</v>
      </c>
      <c r="O7" s="1536" t="s">
        <v>3583</v>
      </c>
      <c r="P7" s="1536" t="s">
        <v>3584</v>
      </c>
    </row>
    <row r="8" spans="1:16" s="95" customFormat="1">
      <c r="A8" s="384" t="s">
        <v>2407</v>
      </c>
      <c r="B8" s="718"/>
      <c r="C8" s="1537"/>
      <c r="D8" s="1537"/>
      <c r="E8" s="1537"/>
      <c r="F8" s="1537"/>
      <c r="G8" s="1537"/>
      <c r="H8" s="1537"/>
      <c r="I8" s="1537"/>
      <c r="J8" s="1537"/>
      <c r="K8" s="1537"/>
      <c r="L8" s="1537"/>
      <c r="M8" s="1537"/>
      <c r="N8" s="1537"/>
      <c r="O8" s="1537"/>
      <c r="P8" s="718"/>
    </row>
    <row r="9" spans="1:16">
      <c r="A9" s="40" t="s">
        <v>18</v>
      </c>
      <c r="B9" s="568">
        <v>0</v>
      </c>
      <c r="C9" s="568">
        <v>-8.8768861249093334E-3</v>
      </c>
      <c r="D9" s="568">
        <v>-0.26997972981772023</v>
      </c>
      <c r="E9" s="568">
        <v>-1.1742508324084469</v>
      </c>
      <c r="F9" s="568">
        <v>1.6825775656324566</v>
      </c>
      <c r="G9" s="568">
        <v>-2.2568511552928641</v>
      </c>
      <c r="H9" s="568">
        <v>0.61029536977532928</v>
      </c>
      <c r="I9" s="568">
        <v>0</v>
      </c>
      <c r="J9" s="568">
        <v>1.7505470459518762</v>
      </c>
      <c r="K9" s="568">
        <v>-0.23290751043832358</v>
      </c>
      <c r="L9" s="568">
        <v>0.45362537664748004</v>
      </c>
      <c r="M9" s="568">
        <v>1.3136704244473236</v>
      </c>
      <c r="N9" s="568">
        <v>-0.42382877317564294</v>
      </c>
      <c r="O9" s="568">
        <v>0.81490882372588658</v>
      </c>
      <c r="P9" s="568">
        <v>1.3710697927903652</v>
      </c>
    </row>
    <row r="10" spans="1:16">
      <c r="A10" s="40" t="s">
        <v>19</v>
      </c>
      <c r="B10" s="568">
        <v>0</v>
      </c>
      <c r="C10" s="568">
        <v>-1.8428957156015287</v>
      </c>
      <c r="D10" s="568">
        <v>-1.0788961553906518</v>
      </c>
      <c r="E10" s="568">
        <v>-3.4075165524896107</v>
      </c>
      <c r="F10" s="568">
        <v>-1.6118014978191155</v>
      </c>
      <c r="G10" s="568">
        <v>-3.8543731895471325</v>
      </c>
      <c r="H10" s="568">
        <v>1.6986134575631695</v>
      </c>
      <c r="I10" s="568">
        <v>0</v>
      </c>
      <c r="J10" s="568">
        <v>1.7505470459518762</v>
      </c>
      <c r="K10" s="568">
        <v>-0.74886809850913494</v>
      </c>
      <c r="L10" s="568">
        <v>1.2425588454561165</v>
      </c>
      <c r="M10" s="568">
        <v>0.3105756825711552</v>
      </c>
      <c r="N10" s="568">
        <v>-3.7460452184214006</v>
      </c>
      <c r="O10" s="568">
        <v>-1.7788413922088466</v>
      </c>
      <c r="P10" s="568">
        <v>0.74614839146404677</v>
      </c>
    </row>
    <row r="11" spans="1:16">
      <c r="A11" s="40" t="s">
        <v>20</v>
      </c>
      <c r="B11" s="568">
        <v>0</v>
      </c>
      <c r="C11" s="568">
        <v>-0.2681843865815523</v>
      </c>
      <c r="D11" s="568">
        <v>-5.6859235809786952</v>
      </c>
      <c r="E11" s="568">
        <v>-7.5937846836848593</v>
      </c>
      <c r="F11" s="568">
        <v>-15.441527446300682</v>
      </c>
      <c r="G11" s="568">
        <v>-10.303600214938186</v>
      </c>
      <c r="H11" s="568">
        <v>-4.9576199029899328</v>
      </c>
      <c r="I11" s="568">
        <v>0</v>
      </c>
      <c r="J11" s="568">
        <v>-7.2939460247994532</v>
      </c>
      <c r="K11" s="568">
        <v>1.3435696598597531</v>
      </c>
      <c r="L11" s="568">
        <v>-3.0144988692332788</v>
      </c>
      <c r="M11" s="568">
        <v>-0.11180173825081852</v>
      </c>
      <c r="N11" s="568">
        <v>-12.334616814806836</v>
      </c>
      <c r="O11" s="568">
        <v>-3.8006813172132894</v>
      </c>
      <c r="P11" s="568">
        <v>2.615783167159961</v>
      </c>
    </row>
    <row r="12" spans="1:16">
      <c r="A12" s="40" t="s">
        <v>21</v>
      </c>
      <c r="B12" s="568">
        <v>0</v>
      </c>
      <c r="C12" s="568">
        <v>-2.2236087614866307</v>
      </c>
      <c r="D12" s="568">
        <v>-5.3399849239614525</v>
      </c>
      <c r="E12" s="568">
        <v>-14.387014428412897</v>
      </c>
      <c r="F12" s="568">
        <v>-16.211217183770842</v>
      </c>
      <c r="G12" s="568">
        <v>-13.259597587915721</v>
      </c>
      <c r="H12" s="568">
        <v>-8.8247648449358849</v>
      </c>
      <c r="I12" s="568">
        <v>0</v>
      </c>
      <c r="J12" s="568">
        <v>-11.439338682227074</v>
      </c>
      <c r="K12" s="568">
        <v>1.277137143982003</v>
      </c>
      <c r="L12" s="568">
        <v>-2.7024555989987391</v>
      </c>
      <c r="M12" s="568">
        <v>-0.85044742878183399</v>
      </c>
      <c r="N12" s="568">
        <v>-15.745039004242273</v>
      </c>
      <c r="O12" s="568">
        <v>-4.1164770407973776</v>
      </c>
      <c r="P12" s="568">
        <v>1.3520510054386961</v>
      </c>
    </row>
    <row r="13" spans="1:16">
      <c r="A13" s="40" t="s">
        <v>22</v>
      </c>
      <c r="B13" s="568">
        <v>0</v>
      </c>
      <c r="C13" s="568">
        <v>-2.0080540670649469</v>
      </c>
      <c r="D13" s="568">
        <v>-6.2025889696063103</v>
      </c>
      <c r="E13" s="568">
        <v>-15.560488346281971</v>
      </c>
      <c r="F13" s="568">
        <v>-13.77088305489255</v>
      </c>
      <c r="G13" s="568">
        <v>-11.808167651800076</v>
      </c>
      <c r="H13" s="568">
        <v>-9.5345605159220241</v>
      </c>
      <c r="I13" s="568">
        <v>0</v>
      </c>
      <c r="J13" s="568">
        <v>-8.5339168490152417</v>
      </c>
      <c r="K13" s="568">
        <v>1.9422082698743282</v>
      </c>
      <c r="L13" s="568">
        <v>-1.2415357328885221</v>
      </c>
      <c r="M13" s="568">
        <v>-1.1832350631547257</v>
      </c>
      <c r="N13" s="568">
        <v>-12.997948828673245</v>
      </c>
      <c r="O13" s="568">
        <v>-4.5087168525816423</v>
      </c>
      <c r="P13" s="568">
        <v>1.3652839006618649</v>
      </c>
    </row>
    <row r="14" spans="1:16">
      <c r="A14" s="40" t="s">
        <v>23</v>
      </c>
      <c r="B14" s="568">
        <v>0</v>
      </c>
      <c r="C14" s="568">
        <v>1.341075571321511</v>
      </c>
      <c r="D14" s="568">
        <v>-4.5054398648846927</v>
      </c>
      <c r="E14" s="568">
        <v>-14.205808361080301</v>
      </c>
      <c r="F14" s="568">
        <v>-9.3922036595067908</v>
      </c>
      <c r="G14" s="568">
        <v>-11.533673652158299</v>
      </c>
      <c r="H14" s="568">
        <v>-4.8030959718307997</v>
      </c>
      <c r="I14" s="568">
        <v>0</v>
      </c>
      <c r="J14" s="568">
        <v>-4.5805981035740899</v>
      </c>
      <c r="K14" s="568">
        <v>1.523589483245118</v>
      </c>
      <c r="L14" s="568">
        <v>0.53720761053270394</v>
      </c>
      <c r="M14" s="568">
        <v>-1.0209894453835204</v>
      </c>
      <c r="N14" s="568">
        <v>-11.553052566763014</v>
      </c>
      <c r="O14" s="568">
        <v>-2.8763758080437469</v>
      </c>
      <c r="P14" s="568">
        <v>3.3817419641424067</v>
      </c>
    </row>
    <row r="15" spans="1:16">
      <c r="A15" s="40" t="s">
        <v>24</v>
      </c>
      <c r="B15" s="568">
        <v>0</v>
      </c>
      <c r="C15" s="568">
        <v>2.8300195803622614</v>
      </c>
      <c r="D15" s="568">
        <v>-3.6772801784817375</v>
      </c>
      <c r="E15" s="568">
        <v>-14.811320754717016</v>
      </c>
      <c r="F15" s="568">
        <v>-11.789976133651521</v>
      </c>
      <c r="G15" s="568">
        <v>-13.567974207415375</v>
      </c>
      <c r="H15" s="568">
        <v>-5.5701125558247355</v>
      </c>
      <c r="I15" s="568">
        <v>0</v>
      </c>
      <c r="J15" s="568">
        <v>-6.7833698030634082</v>
      </c>
      <c r="K15" s="568">
        <v>2.2010174162600009</v>
      </c>
      <c r="L15" s="568">
        <v>1.1577996531875385</v>
      </c>
      <c r="M15" s="568">
        <v>-2.6619461488195384E-3</v>
      </c>
      <c r="N15" s="568">
        <v>-12.582916501733308</v>
      </c>
      <c r="O15" s="568">
        <v>-2.2376594749849801</v>
      </c>
      <c r="P15" s="568">
        <v>5.0882255228766695</v>
      </c>
    </row>
    <row r="16" spans="1:16">
      <c r="A16" s="40" t="s">
        <v>25</v>
      </c>
      <c r="B16" s="568">
        <v>0</v>
      </c>
      <c r="C16" s="568">
        <v>6.4217442739816732</v>
      </c>
      <c r="D16" s="568">
        <v>9.0571977956017236E-2</v>
      </c>
      <c r="E16" s="568">
        <v>-19.375138734739181</v>
      </c>
      <c r="F16" s="568">
        <v>-14.618138424820955</v>
      </c>
      <c r="G16" s="568">
        <v>-14.203833064660543</v>
      </c>
      <c r="H16" s="568">
        <v>-5.8629005235026739</v>
      </c>
      <c r="I16" s="568">
        <v>0</v>
      </c>
      <c r="J16" s="568">
        <v>-7.7315827862873334</v>
      </c>
      <c r="K16" s="568">
        <v>3.0284192749614505</v>
      </c>
      <c r="L16" s="568">
        <v>2.198236926951779</v>
      </c>
      <c r="M16" s="568">
        <v>1.1539536555175545</v>
      </c>
      <c r="N16" s="568">
        <v>-15.597698529793973</v>
      </c>
      <c r="O16" s="568">
        <v>-1.1377552156390891</v>
      </c>
      <c r="P16" s="568">
        <v>8.0500423676617316</v>
      </c>
    </row>
    <row r="17" spans="1:16">
      <c r="A17" s="40" t="s">
        <v>26</v>
      </c>
      <c r="B17" s="568">
        <v>0</v>
      </c>
      <c r="C17" s="568">
        <v>6.1320903416633712</v>
      </c>
      <c r="D17" s="568">
        <v>-1.1189690420349336</v>
      </c>
      <c r="E17" s="568">
        <v>-22.291268960414371</v>
      </c>
      <c r="F17" s="568">
        <v>-17.012728719172614</v>
      </c>
      <c r="G17" s="568">
        <v>-15.679592811511128</v>
      </c>
      <c r="H17" s="568">
        <v>-8.6879656637900382</v>
      </c>
      <c r="I17" s="568">
        <v>0</v>
      </c>
      <c r="J17" s="568">
        <v>-9.5550692924871896</v>
      </c>
      <c r="K17" s="568">
        <v>3.4138425249605291</v>
      </c>
      <c r="L17" s="568">
        <v>1.5952931971578153</v>
      </c>
      <c r="M17" s="568">
        <v>2.9509891348231179</v>
      </c>
      <c r="N17" s="568">
        <v>-19.319341652638983</v>
      </c>
      <c r="O17" s="568">
        <v>-0.35245919889564448</v>
      </c>
      <c r="P17" s="568">
        <v>7.5903998984668988</v>
      </c>
    </row>
    <row r="18" spans="1:16">
      <c r="A18" s="40" t="s">
        <v>27</v>
      </c>
      <c r="B18" s="568">
        <v>0</v>
      </c>
      <c r="C18" s="568">
        <v>5.8095805500596498</v>
      </c>
      <c r="D18" s="568">
        <v>-1.1392392243219263</v>
      </c>
      <c r="E18" s="568">
        <v>-26.250832408435102</v>
      </c>
      <c r="F18" s="568">
        <v>-18.914081145584731</v>
      </c>
      <c r="G18" s="568">
        <v>-16.689056063048497</v>
      </c>
      <c r="H18" s="568">
        <v>-10.079486714677273</v>
      </c>
      <c r="I18" s="568">
        <v>0</v>
      </c>
      <c r="J18" s="568">
        <v>-9.7738876732311724</v>
      </c>
      <c r="K18" s="568">
        <v>3.7909634372507384</v>
      </c>
      <c r="L18" s="568">
        <v>2.278016971391267</v>
      </c>
      <c r="M18" s="568">
        <v>4.2977120572851248</v>
      </c>
      <c r="N18" s="568">
        <v>-18.463740648777886</v>
      </c>
      <c r="O18" s="568">
        <v>2.5070692227194371</v>
      </c>
      <c r="P18" s="568">
        <v>7.708861373757415</v>
      </c>
    </row>
    <row r="19" spans="1:16">
      <c r="A19" s="40" t="s">
        <v>28</v>
      </c>
      <c r="B19" s="568">
        <v>0</v>
      </c>
      <c r="C19" s="568">
        <v>6.4134477996418298</v>
      </c>
      <c r="D19" s="568">
        <v>0.60723254379458069</v>
      </c>
      <c r="E19" s="568">
        <v>-26.589752127265996</v>
      </c>
      <c r="F19" s="568">
        <v>-18.258154335719979</v>
      </c>
      <c r="G19" s="568">
        <v>-16.665174040241183</v>
      </c>
      <c r="H19" s="568">
        <v>-12.579646933233718</v>
      </c>
      <c r="I19" s="568">
        <v>0</v>
      </c>
      <c r="J19" s="568">
        <v>-10.459518599562344</v>
      </c>
      <c r="K19" s="568">
        <v>4.7379617829995482</v>
      </c>
      <c r="L19" s="568">
        <v>3.3394651879885942</v>
      </c>
      <c r="M19" s="568">
        <v>6.1610299956965235</v>
      </c>
      <c r="N19" s="568">
        <v>-18.321131596168456</v>
      </c>
      <c r="O19" s="568">
        <v>5.1417184334157326</v>
      </c>
      <c r="P19" s="568">
        <v>8.0249203973227878</v>
      </c>
    </row>
    <row r="20" spans="1:16">
      <c r="A20" s="40" t="s">
        <v>29</v>
      </c>
      <c r="B20" s="568">
        <v>0</v>
      </c>
      <c r="C20" s="568">
        <v>9.5126077389375894</v>
      </c>
      <c r="D20" s="568">
        <v>2.5076573832800761</v>
      </c>
      <c r="E20" s="568">
        <v>-24.280799112097668</v>
      </c>
      <c r="F20" s="568">
        <v>-15.059665871121709</v>
      </c>
      <c r="G20" s="568">
        <v>-16.138276912054465</v>
      </c>
      <c r="H20" s="568">
        <v>-11.829073350801721</v>
      </c>
      <c r="I20" s="568">
        <v>0</v>
      </c>
      <c r="J20" s="568">
        <v>-8.3150984682713016</v>
      </c>
      <c r="K20" s="568">
        <v>5.2172111190542836</v>
      </c>
      <c r="L20" s="568">
        <v>6.9850395933195557</v>
      </c>
      <c r="M20" s="568">
        <v>7.2591271478577681</v>
      </c>
      <c r="N20" s="568">
        <v>-17.646070987321153</v>
      </c>
      <c r="O20" s="568">
        <v>7.2317591788569047</v>
      </c>
      <c r="P20" s="568">
        <v>10.684676344659948</v>
      </c>
    </row>
    <row r="21" spans="1:16" s="95" customFormat="1">
      <c r="A21" s="717" t="s">
        <v>2583</v>
      </c>
      <c r="B21" s="521"/>
      <c r="C21" s="521"/>
      <c r="D21" s="521"/>
      <c r="E21" s="521"/>
      <c r="F21" s="521"/>
      <c r="G21" s="521"/>
      <c r="H21" s="521"/>
      <c r="I21" s="521"/>
      <c r="J21" s="521"/>
      <c r="K21" s="521"/>
      <c r="L21" s="521"/>
      <c r="M21" s="521"/>
      <c r="N21" s="521"/>
      <c r="O21" s="521"/>
      <c r="P21" s="521"/>
    </row>
    <row r="22" spans="1:16">
      <c r="A22" s="40" t="s">
        <v>18</v>
      </c>
      <c r="B22" s="568">
        <v>0</v>
      </c>
      <c r="C22" s="568">
        <v>9.1190385260134121E-2</v>
      </c>
      <c r="D22" s="568">
        <v>1.3825079922934407</v>
      </c>
      <c r="E22" s="568">
        <v>4.5116749483313612</v>
      </c>
      <c r="F22" s="568">
        <v>-0.29502669289115602</v>
      </c>
      <c r="G22" s="568">
        <v>-0.17086715079032899</v>
      </c>
      <c r="H22" s="568">
        <v>-0.3370527509360528</v>
      </c>
      <c r="I22" s="568">
        <v>0</v>
      </c>
      <c r="J22" s="568">
        <v>-0.15910898965806552</v>
      </c>
      <c r="K22" s="568">
        <v>4.3917262241293997E-2</v>
      </c>
      <c r="L22" s="568">
        <v>0.76604975933834396</v>
      </c>
      <c r="M22" s="568">
        <v>0.97410252273934361</v>
      </c>
      <c r="N22" s="568">
        <v>-0.28645226442938565</v>
      </c>
      <c r="O22" s="568">
        <v>-0.45887751500215757</v>
      </c>
      <c r="P22" s="568">
        <v>0.25833301013626908</v>
      </c>
    </row>
    <row r="23" spans="1:16">
      <c r="A23" s="40" t="s">
        <v>19</v>
      </c>
      <c r="B23" s="568">
        <v>0</v>
      </c>
      <c r="C23" s="568">
        <v>-0.6511372075700308</v>
      </c>
      <c r="D23" s="568">
        <v>3.0956514462749993</v>
      </c>
      <c r="E23" s="568">
        <v>8.7409252430579443</v>
      </c>
      <c r="F23" s="568">
        <v>-0.42247019628302951</v>
      </c>
      <c r="G23" s="568">
        <v>1.0427472996887417</v>
      </c>
      <c r="H23" s="568">
        <v>-0.71658198071669688</v>
      </c>
      <c r="I23" s="568">
        <v>0</v>
      </c>
      <c r="J23" s="568">
        <v>0.49721559268101601</v>
      </c>
      <c r="K23" s="568">
        <v>-1.4985112863987808</v>
      </c>
      <c r="L23" s="568">
        <v>-0.73235184583565172</v>
      </c>
      <c r="M23" s="568">
        <v>1.1976408814608419</v>
      </c>
      <c r="N23" s="568">
        <v>-1.6983914283494244</v>
      </c>
      <c r="O23" s="568">
        <v>-1.6327674733853854</v>
      </c>
      <c r="P23" s="568">
        <v>-0.99575884839943285</v>
      </c>
    </row>
    <row r="24" spans="1:16">
      <c r="A24" s="40" t="s">
        <v>20</v>
      </c>
      <c r="B24" s="568">
        <v>0</v>
      </c>
      <c r="C24" s="568">
        <v>-2.001200283703426</v>
      </c>
      <c r="D24" s="568">
        <v>3.4299465768989421</v>
      </c>
      <c r="E24" s="568">
        <v>2.8612051654133523</v>
      </c>
      <c r="F24" s="568">
        <v>-0.16858668165214397</v>
      </c>
      <c r="G24" s="568">
        <v>1.4149935924817783</v>
      </c>
      <c r="H24" s="568">
        <v>-1.4080207340398232</v>
      </c>
      <c r="I24" s="568">
        <v>0</v>
      </c>
      <c r="J24" s="568">
        <v>-0.15910898965793763</v>
      </c>
      <c r="K24" s="568">
        <v>-4.4641995537375863</v>
      </c>
      <c r="L24" s="568">
        <v>-1.7761507694393828</v>
      </c>
      <c r="M24" s="568">
        <v>0.5819797237768114</v>
      </c>
      <c r="N24" s="568">
        <v>-1.7245397343276352</v>
      </c>
      <c r="O24" s="568">
        <v>-3.2349826623201352</v>
      </c>
      <c r="P24" s="568">
        <v>-4.1736294607551514</v>
      </c>
    </row>
    <row r="25" spans="1:16">
      <c r="A25" s="40" t="s">
        <v>21</v>
      </c>
      <c r="B25" s="568">
        <v>0</v>
      </c>
      <c r="C25" s="568">
        <v>-1.8773476328171341</v>
      </c>
      <c r="D25" s="568">
        <v>2.8809095335887918</v>
      </c>
      <c r="E25" s="568">
        <v>-5.4712731288080079</v>
      </c>
      <c r="F25" s="568">
        <v>-2.778402172894971</v>
      </c>
      <c r="G25" s="568">
        <v>0.80076178271389153</v>
      </c>
      <c r="H25" s="568">
        <v>-4.3257802781567705</v>
      </c>
      <c r="I25" s="568">
        <v>0</v>
      </c>
      <c r="J25" s="568">
        <v>-2.7499337045876757</v>
      </c>
      <c r="K25" s="568">
        <v>-4.868244930969837</v>
      </c>
      <c r="L25" s="568">
        <v>-1.0391694040259836</v>
      </c>
      <c r="M25" s="568">
        <v>0.2007768002283683</v>
      </c>
      <c r="N25" s="568">
        <v>-1.97962790336355</v>
      </c>
      <c r="O25" s="568">
        <v>-2.2108483350982624</v>
      </c>
      <c r="P25" s="568">
        <v>-3.8433161954449844</v>
      </c>
    </row>
    <row r="26" spans="1:16">
      <c r="A26" s="40" t="s">
        <v>22</v>
      </c>
      <c r="B26" s="568">
        <v>0</v>
      </c>
      <c r="C26" s="568">
        <v>-0.12034013234294605</v>
      </c>
      <c r="D26" s="568">
        <v>4.5118173028745048</v>
      </c>
      <c r="E26" s="568">
        <v>-7.4256482417953151</v>
      </c>
      <c r="F26" s="568">
        <v>9.8342230963794464E-2</v>
      </c>
      <c r="G26" s="568">
        <v>1.9169158479283084</v>
      </c>
      <c r="H26" s="568">
        <v>-2.7500015575450334</v>
      </c>
      <c r="I26" s="568">
        <v>0</v>
      </c>
      <c r="J26" s="568">
        <v>-1.3524264120922851</v>
      </c>
      <c r="K26" s="568">
        <v>-4.7442459524236256</v>
      </c>
      <c r="L26" s="568">
        <v>-0.1707126173263589</v>
      </c>
      <c r="M26" s="568">
        <v>1.6826535297256555</v>
      </c>
      <c r="N26" s="568">
        <v>1.1691136487221598</v>
      </c>
      <c r="O26" s="568">
        <v>-2.4771080334710973</v>
      </c>
      <c r="P26" s="568">
        <v>-1.4690582142983288</v>
      </c>
    </row>
    <row r="27" spans="1:16">
      <c r="A27" s="40" t="s">
        <v>23</v>
      </c>
      <c r="B27" s="568">
        <v>0</v>
      </c>
      <c r="C27" s="568">
        <v>-1.0073705733043283</v>
      </c>
      <c r="D27" s="568">
        <v>4.3945311305419779</v>
      </c>
      <c r="E27" s="568">
        <v>-10.455955713859993</v>
      </c>
      <c r="F27" s="568">
        <v>2.0413037370047533</v>
      </c>
      <c r="G27" s="568">
        <v>3.2284992168589071</v>
      </c>
      <c r="H27" s="568">
        <v>3.8805508310022248</v>
      </c>
      <c r="I27" s="568">
        <v>0</v>
      </c>
      <c r="J27" s="568">
        <v>-1.3524264120922851</v>
      </c>
      <c r="K27" s="568">
        <v>-5.7317081976920008</v>
      </c>
      <c r="L27" s="568">
        <v>-0.13104401756019968</v>
      </c>
      <c r="M27" s="568">
        <v>1.801034906374511</v>
      </c>
      <c r="N27" s="568">
        <v>1.5809090085191428</v>
      </c>
      <c r="O27" s="568">
        <v>-2.4575901663171749</v>
      </c>
      <c r="P27" s="568">
        <v>-2.0742016042951548</v>
      </c>
    </row>
    <row r="28" spans="1:16">
      <c r="A28" s="40" t="s">
        <v>24</v>
      </c>
      <c r="B28" s="568">
        <v>0</v>
      </c>
      <c r="C28" s="568">
        <v>-2.8640016211623589</v>
      </c>
      <c r="D28" s="568">
        <v>2.7290241991828168</v>
      </c>
      <c r="E28" s="568">
        <v>-10.198906527124308</v>
      </c>
      <c r="F28" s="568">
        <v>0.19668446192748945</v>
      </c>
      <c r="G28" s="568">
        <v>3.460059803502773</v>
      </c>
      <c r="H28" s="568">
        <v>5.0047037860805119</v>
      </c>
      <c r="I28" s="568">
        <v>0</v>
      </c>
      <c r="J28" s="568">
        <v>-1.3524264120922851</v>
      </c>
      <c r="K28" s="568">
        <v>-5.9219375587123011</v>
      </c>
      <c r="L28" s="568">
        <v>-0.72229309569151212</v>
      </c>
      <c r="M28" s="568">
        <v>1.0088475808753827</v>
      </c>
      <c r="N28" s="568">
        <v>0.86615396566460845</v>
      </c>
      <c r="O28" s="568">
        <v>-4.3063889869396519</v>
      </c>
      <c r="P28" s="568">
        <v>-3.2340527424274654</v>
      </c>
    </row>
    <row r="29" spans="1:16">
      <c r="A29" s="40" t="s">
        <v>25</v>
      </c>
      <c r="B29" s="568">
        <v>0</v>
      </c>
      <c r="C29" s="568">
        <v>-3.3124712594405707</v>
      </c>
      <c r="D29" s="568">
        <v>2.626835757485992</v>
      </c>
      <c r="E29" s="568">
        <v>-8.9925684886328838</v>
      </c>
      <c r="F29" s="568">
        <v>0.54790671536950697</v>
      </c>
      <c r="G29" s="568">
        <v>5.1366937206322092</v>
      </c>
      <c r="H29" s="568">
        <v>5.458883925511941</v>
      </c>
      <c r="I29" s="568">
        <v>0</v>
      </c>
      <c r="J29" s="568">
        <v>-1.3524264120922851</v>
      </c>
      <c r="K29" s="568">
        <v>-5.5400740094490999</v>
      </c>
      <c r="L29" s="568">
        <v>0.68531563345474922</v>
      </c>
      <c r="M29" s="568">
        <v>0.9517664139377473</v>
      </c>
      <c r="N29" s="568">
        <v>1.9891439446904684</v>
      </c>
      <c r="O29" s="568">
        <v>-5.8055272938684794</v>
      </c>
      <c r="P29" s="568">
        <v>-2.8256437668729859</v>
      </c>
    </row>
    <row r="30" spans="1:16">
      <c r="A30" s="40" t="s">
        <v>26</v>
      </c>
      <c r="B30" s="568">
        <v>0</v>
      </c>
      <c r="C30" s="568">
        <v>-3.1944745381375981</v>
      </c>
      <c r="D30" s="568">
        <v>2.3396636532367836</v>
      </c>
      <c r="E30" s="568">
        <v>-9.4411464364413007</v>
      </c>
      <c r="F30" s="568">
        <v>1.6057881427366567</v>
      </c>
      <c r="G30" s="568">
        <v>5.3196639612701517</v>
      </c>
      <c r="H30" s="568">
        <v>5.4565372242886099</v>
      </c>
      <c r="I30" s="568">
        <v>0</v>
      </c>
      <c r="J30" s="568">
        <v>-1.3524264120922851</v>
      </c>
      <c r="K30" s="568">
        <v>-5.7492094564565832</v>
      </c>
      <c r="L30" s="568">
        <v>1.2884591286055525</v>
      </c>
      <c r="M30" s="568">
        <v>1.2791558605399729</v>
      </c>
      <c r="N30" s="568">
        <v>2.2883004479660656</v>
      </c>
      <c r="O30" s="568">
        <v>-6.5985617685125675</v>
      </c>
      <c r="P30" s="568">
        <v>-3.6023346649062233</v>
      </c>
    </row>
    <row r="31" spans="1:16">
      <c r="A31" s="40" t="s">
        <v>27</v>
      </c>
      <c r="B31" s="568">
        <v>0</v>
      </c>
      <c r="C31" s="568">
        <v>-4.6681683203043178</v>
      </c>
      <c r="D31" s="568">
        <v>1.7511767902385316</v>
      </c>
      <c r="E31" s="568">
        <v>-15.971153423332368</v>
      </c>
      <c r="F31" s="568">
        <v>3.6808092160719212</v>
      </c>
      <c r="G31" s="568">
        <v>6.6958564715933164</v>
      </c>
      <c r="H31" s="568">
        <v>4.6601748188574987</v>
      </c>
      <c r="I31" s="568">
        <v>0</v>
      </c>
      <c r="J31" s="568">
        <v>-1.3524264120922851</v>
      </c>
      <c r="K31" s="568">
        <v>-8.1831842181447172</v>
      </c>
      <c r="L31" s="568">
        <v>1.0698812407171232</v>
      </c>
      <c r="M31" s="568">
        <v>1.8265973420030832</v>
      </c>
      <c r="N31" s="568">
        <v>3.983143012506801</v>
      </c>
      <c r="O31" s="568">
        <v>-7.4562405265670861</v>
      </c>
      <c r="P31" s="568">
        <v>-3.7657263592413557</v>
      </c>
    </row>
    <row r="32" spans="1:16">
      <c r="A32" s="40" t="s">
        <v>28</v>
      </c>
      <c r="B32" s="568">
        <v>0</v>
      </c>
      <c r="C32" s="568">
        <v>-6.2955295927089168</v>
      </c>
      <c r="D32" s="568">
        <v>4.2978426100390266E-2</v>
      </c>
      <c r="E32" s="568">
        <v>-26.886778163766891</v>
      </c>
      <c r="F32" s="568">
        <v>1.6928912615903329</v>
      </c>
      <c r="G32" s="568">
        <v>6.3238644453936956</v>
      </c>
      <c r="H32" s="568">
        <v>4.7026646480882874</v>
      </c>
      <c r="I32" s="568">
        <v>0</v>
      </c>
      <c r="J32" s="568">
        <v>-2.4211084592946293</v>
      </c>
      <c r="K32" s="568">
        <v>-9.0893043413756089</v>
      </c>
      <c r="L32" s="568">
        <v>4.1287390890807529</v>
      </c>
      <c r="M32" s="568">
        <v>2.3190671779154144</v>
      </c>
      <c r="N32" s="568">
        <v>3.2967095212201656</v>
      </c>
      <c r="O32" s="568">
        <v>-7.6498965276191768</v>
      </c>
      <c r="P32" s="568">
        <v>-3.6594871898640235</v>
      </c>
    </row>
    <row r="33" spans="1:16">
      <c r="A33" s="40" t="s">
        <v>29</v>
      </c>
      <c r="B33" s="568">
        <v>0</v>
      </c>
      <c r="C33" s="568">
        <v>-7.1111353592667115</v>
      </c>
      <c r="D33" s="568">
        <v>-1.0114397419882408</v>
      </c>
      <c r="E33" s="568">
        <v>-42.089911027073001</v>
      </c>
      <c r="F33" s="568">
        <v>0.33717336330431635</v>
      </c>
      <c r="G33" s="568">
        <v>3.4760785988893588</v>
      </c>
      <c r="H33" s="568">
        <v>5.9915643359562409</v>
      </c>
      <c r="I33" s="568">
        <v>0</v>
      </c>
      <c r="J33" s="568">
        <v>-3.8186157517900199</v>
      </c>
      <c r="K33" s="568">
        <v>-8.8212646202141372</v>
      </c>
      <c r="L33" s="568">
        <v>3.6632339255889974</v>
      </c>
      <c r="M33" s="568">
        <v>2.6939829004678302</v>
      </c>
      <c r="N33" s="568">
        <v>1.1239610036510896</v>
      </c>
      <c r="O33" s="568">
        <v>-7.5206079607981593</v>
      </c>
      <c r="P33" s="568">
        <v>-3.4770409066611734</v>
      </c>
    </row>
    <row r="34" spans="1:16">
      <c r="A34" s="40" t="s">
        <v>2892</v>
      </c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</row>
    <row r="35" spans="1:16">
      <c r="A35" s="40" t="s">
        <v>18</v>
      </c>
      <c r="B35" s="568">
        <v>0</v>
      </c>
      <c r="C35" s="568">
        <v>0.12871373528263064</v>
      </c>
      <c r="D35" s="568">
        <v>1.8693081278543957</v>
      </c>
      <c r="E35" s="568">
        <v>-1.0478890351321013</v>
      </c>
      <c r="F35" s="568">
        <v>-3.3183982077849521</v>
      </c>
      <c r="G35" s="568">
        <v>-2.8587646421383965</v>
      </c>
      <c r="H35" s="568">
        <v>0.58897523012358022</v>
      </c>
      <c r="I35" s="568">
        <v>0</v>
      </c>
      <c r="J35" s="568">
        <v>0</v>
      </c>
      <c r="K35" s="568">
        <v>-0.86245439877660601</v>
      </c>
      <c r="L35" s="568">
        <v>-5.1722600398264262E-2</v>
      </c>
      <c r="M35" s="568">
        <v>0.16312622344669592</v>
      </c>
      <c r="N35" s="568">
        <v>-1.9348674639793302</v>
      </c>
      <c r="O35" s="568">
        <v>-0.99463391634299114</v>
      </c>
      <c r="P35" s="568">
        <v>0.22029548595160975</v>
      </c>
    </row>
    <row r="36" spans="1:16">
      <c r="A36" s="40" t="s">
        <v>19</v>
      </c>
      <c r="B36" s="568">
        <v>0</v>
      </c>
      <c r="C36" s="568">
        <v>0.30588391262904224</v>
      </c>
      <c r="D36" s="568">
        <v>1.7220621746101017</v>
      </c>
      <c r="E36" s="568">
        <v>-2.0699243552843143</v>
      </c>
      <c r="F36" s="568">
        <v>-5.6711805416650094</v>
      </c>
      <c r="G36" s="568">
        <v>-4.8596418803859933</v>
      </c>
      <c r="H36" s="568">
        <v>2.9804380282849081</v>
      </c>
      <c r="I36" s="568">
        <v>0</v>
      </c>
      <c r="J36" s="568">
        <v>-0.18315018315013276</v>
      </c>
      <c r="K36" s="568">
        <v>-1.2297172330737709</v>
      </c>
      <c r="L36" s="568">
        <v>-2.5098200749934847</v>
      </c>
      <c r="M36" s="568">
        <v>0.35430325251249428</v>
      </c>
      <c r="N36" s="568">
        <v>-2.9228090077991595</v>
      </c>
      <c r="O36" s="568">
        <v>-1.319389427564289</v>
      </c>
      <c r="P36" s="568">
        <v>-0.23349150251404183</v>
      </c>
    </row>
    <row r="37" spans="1:16">
      <c r="A37" s="40" t="s">
        <v>20</v>
      </c>
      <c r="B37" s="568">
        <v>0</v>
      </c>
      <c r="C37" s="568">
        <v>-2.4222347523728729</v>
      </c>
      <c r="D37" s="568">
        <v>-1.0498639012503759</v>
      </c>
      <c r="E37" s="568">
        <v>-8.4109547433431402</v>
      </c>
      <c r="F37" s="568">
        <v>-32.525903108373015</v>
      </c>
      <c r="G37" s="568">
        <v>-9.6547809484493285</v>
      </c>
      <c r="H37" s="568">
        <v>-4.3168004890492711</v>
      </c>
      <c r="I37" s="568">
        <v>0</v>
      </c>
      <c r="J37" s="568">
        <v>-12.90322580645163</v>
      </c>
      <c r="K37" s="568">
        <v>-3.3787563636520872</v>
      </c>
      <c r="L37" s="568">
        <v>-3.367319639725352</v>
      </c>
      <c r="M37" s="568">
        <v>0.40237801783517568</v>
      </c>
      <c r="N37" s="568">
        <v>-7.9300759063389279</v>
      </c>
      <c r="O37" s="568">
        <v>-2.900828487393099</v>
      </c>
      <c r="P37" s="568">
        <v>-0.99788090067835356</v>
      </c>
    </row>
    <row r="38" spans="1:16">
      <c r="A38" s="40" t="s">
        <v>21</v>
      </c>
      <c r="B38" s="568">
        <v>0</v>
      </c>
      <c r="C38" s="568">
        <v>-4.1984842992737157</v>
      </c>
      <c r="D38" s="568">
        <v>-2.5117645688875996</v>
      </c>
      <c r="E38" s="568">
        <v>-9.2603185852654093</v>
      </c>
      <c r="F38" s="568">
        <v>-8.2269205638010163</v>
      </c>
      <c r="G38" s="568">
        <v>-8.1629599050518777</v>
      </c>
      <c r="H38" s="568">
        <v>1.1849844624964589</v>
      </c>
      <c r="I38" s="568">
        <v>0</v>
      </c>
      <c r="J38" s="568">
        <v>-4.1880341880342229</v>
      </c>
      <c r="K38" s="568">
        <v>-9.725813082322361</v>
      </c>
      <c r="L38" s="568">
        <v>-3.1533743547060453</v>
      </c>
      <c r="M38" s="568">
        <v>-0.83206457381760401</v>
      </c>
      <c r="N38" s="568">
        <v>-7.9300759063389279</v>
      </c>
      <c r="O38" s="568">
        <v>-4.0885516064572585</v>
      </c>
      <c r="P38" s="568">
        <v>-2.3926547207464637</v>
      </c>
    </row>
    <row r="39" spans="1:16">
      <c r="A39" s="40" t="s">
        <v>22</v>
      </c>
      <c r="B39" s="568">
        <v>0</v>
      </c>
      <c r="C39" s="568">
        <v>-6.52529971672908</v>
      </c>
      <c r="D39" s="568">
        <v>-6.4786997258063366</v>
      </c>
      <c r="E39" s="568">
        <v>-14.197124632985734</v>
      </c>
      <c r="F39" s="568">
        <v>14.015681881825785</v>
      </c>
      <c r="G39" s="568">
        <v>-8.2305588523659168</v>
      </c>
      <c r="H39" s="568">
        <v>4.6718314660898272</v>
      </c>
      <c r="I39" s="568">
        <v>0</v>
      </c>
      <c r="J39" s="568">
        <v>0.99255583126556246</v>
      </c>
      <c r="K39" s="568">
        <v>-11.65857778180964</v>
      </c>
      <c r="L39" s="568">
        <v>-7.1377188549686394</v>
      </c>
      <c r="M39" s="568">
        <v>-5.0629546388263975</v>
      </c>
      <c r="N39" s="568">
        <v>-7.9300759063389279</v>
      </c>
      <c r="O39" s="568">
        <v>-6.6840297267562931</v>
      </c>
      <c r="P39" s="568">
        <v>-5.9490263149159262</v>
      </c>
    </row>
    <row r="40" spans="1:16">
      <c r="A40" s="40" t="s">
        <v>23</v>
      </c>
      <c r="B40" s="568">
        <v>0</v>
      </c>
      <c r="C40" s="568">
        <v>-6.4059724068182078</v>
      </c>
      <c r="D40" s="568">
        <v>-7.1323254373720317</v>
      </c>
      <c r="E40" s="568">
        <v>-21.610728628800913</v>
      </c>
      <c r="F40" s="568">
        <v>27.770465789228012</v>
      </c>
      <c r="G40" s="568">
        <v>-7.7683747011369491</v>
      </c>
      <c r="H40" s="568">
        <v>5.1403273652077814</v>
      </c>
      <c r="I40" s="568">
        <v>0</v>
      </c>
      <c r="J40" s="568">
        <v>-2.1367521367521363</v>
      </c>
      <c r="K40" s="568">
        <v>-14.853186919837611</v>
      </c>
      <c r="L40" s="568">
        <v>-7.9531325862290885</v>
      </c>
      <c r="M40" s="568">
        <v>-4.865108710537541</v>
      </c>
      <c r="N40" s="568">
        <v>-7.9300759063389279</v>
      </c>
      <c r="O40" s="568">
        <v>-7.3041603987516623</v>
      </c>
      <c r="P40" s="568">
        <v>-5.0042713914603496</v>
      </c>
    </row>
    <row r="41" spans="1:16">
      <c r="A41" s="40" t="s">
        <v>24</v>
      </c>
      <c r="B41" s="568">
        <v>0</v>
      </c>
      <c r="C41" s="568">
        <v>-9.775531300763916</v>
      </c>
      <c r="D41" s="568">
        <v>-9.7520564528203124</v>
      </c>
      <c r="E41" s="568">
        <v>-23.36235699098917</v>
      </c>
      <c r="F41" s="568">
        <v>24.488938672640685</v>
      </c>
      <c r="G41" s="568">
        <v>-13.638474637494184</v>
      </c>
      <c r="H41" s="568">
        <v>8.9780515617836016</v>
      </c>
      <c r="I41" s="568">
        <v>0</v>
      </c>
      <c r="J41" s="568">
        <v>-8.6021505376343725</v>
      </c>
      <c r="K41" s="568">
        <v>-16.537611694648419</v>
      </c>
      <c r="L41" s="568">
        <v>-9.5377664159804993</v>
      </c>
      <c r="M41" s="568">
        <v>-5.4266656999927392</v>
      </c>
      <c r="N41" s="568">
        <v>-4.5063687386872147</v>
      </c>
      <c r="O41" s="568">
        <v>-9.450144816902025</v>
      </c>
      <c r="P41" s="568">
        <v>-4.8922718386898936</v>
      </c>
    </row>
    <row r="42" spans="1:16">
      <c r="A42" s="40" t="s">
        <v>25</v>
      </c>
      <c r="B42" s="568">
        <v>0</v>
      </c>
      <c r="C42" s="568">
        <v>-10.381509525152026</v>
      </c>
      <c r="D42" s="568">
        <v>-9.8361824478953963</v>
      </c>
      <c r="E42" s="568">
        <v>-25.979548445884348</v>
      </c>
      <c r="F42" s="568">
        <v>21.492579109493064</v>
      </c>
      <c r="G42" s="568">
        <v>-25.749522679188814</v>
      </c>
      <c r="H42" s="568">
        <v>11.630791295863062</v>
      </c>
      <c r="I42" s="568">
        <v>0</v>
      </c>
      <c r="J42" s="568">
        <v>-7.6095947063688669</v>
      </c>
      <c r="K42" s="568">
        <v>-15.69222063108424</v>
      </c>
      <c r="L42" s="568">
        <v>-4.8286317291400138</v>
      </c>
      <c r="M42" s="568">
        <v>-6.3135890185842811</v>
      </c>
      <c r="N42" s="568">
        <v>0.24341880998450449</v>
      </c>
      <c r="O42" s="568">
        <v>-10.229237297649249</v>
      </c>
      <c r="P42" s="568">
        <v>-3.7272039593789827</v>
      </c>
    </row>
    <row r="43" spans="1:16">
      <c r="A43" s="40" t="s">
        <v>26</v>
      </c>
      <c r="B43" s="568">
        <v>0</v>
      </c>
      <c r="C43" s="568">
        <v>-12.264052787734798</v>
      </c>
      <c r="D43" s="568">
        <v>-14.647219778449212</v>
      </c>
      <c r="E43" s="568">
        <v>-27.095440585872922</v>
      </c>
      <c r="F43" s="568">
        <v>22.706524782973929</v>
      </c>
      <c r="G43" s="568">
        <v>-26.143247845606041</v>
      </c>
      <c r="H43" s="568">
        <v>8.8047290439635049</v>
      </c>
      <c r="I43" s="568">
        <v>0</v>
      </c>
      <c r="J43" s="568">
        <v>-8.1196581196580837</v>
      </c>
      <c r="K43" s="568">
        <v>-20.312223035790538</v>
      </c>
      <c r="L43" s="568">
        <v>-8.9624763433508576</v>
      </c>
      <c r="M43" s="568">
        <v>-9.1616117676438193</v>
      </c>
      <c r="N43" s="568">
        <v>0.23655315124138099</v>
      </c>
      <c r="O43" s="568">
        <v>-15.018373410569026</v>
      </c>
      <c r="P43" s="568">
        <v>-5.3573730855169117</v>
      </c>
    </row>
    <row r="44" spans="1:16">
      <c r="A44" s="40" t="s">
        <v>27</v>
      </c>
      <c r="B44" s="568">
        <v>0</v>
      </c>
      <c r="C44" s="568">
        <v>-13.021064078295552</v>
      </c>
      <c r="D44" s="568">
        <v>-15.191301086936406</v>
      </c>
      <c r="E44" s="568">
        <v>-28.204414295838802</v>
      </c>
      <c r="F44" s="568">
        <v>19.686362363483553</v>
      </c>
      <c r="G44" s="568">
        <v>-26.286186077712955</v>
      </c>
      <c r="H44" s="568">
        <v>11.379800853485065</v>
      </c>
      <c r="I44" s="568">
        <v>0</v>
      </c>
      <c r="J44" s="568">
        <v>-7.8577336641852185</v>
      </c>
      <c r="K44" s="568">
        <v>-22.525330413127122</v>
      </c>
      <c r="L44" s="568">
        <v>-11.459231295145784</v>
      </c>
      <c r="M44" s="568">
        <v>-11.397085478141051</v>
      </c>
      <c r="N44" s="568">
        <v>-0.16612013462456332</v>
      </c>
      <c r="O44" s="568">
        <v>-17.038999528503112</v>
      </c>
      <c r="P44" s="568">
        <v>-7.3544800694602941</v>
      </c>
    </row>
    <row r="45" spans="1:16">
      <c r="A45" s="40" t="s">
        <v>28</v>
      </c>
      <c r="B45" s="568">
        <v>0</v>
      </c>
      <c r="C45" s="568">
        <v>-9.8183016275770427</v>
      </c>
      <c r="D45" s="568">
        <v>-11.824935230113155</v>
      </c>
      <c r="E45" s="568">
        <v>-28.267186392629341</v>
      </c>
      <c r="F45" s="568">
        <v>20.652011574722337</v>
      </c>
      <c r="G45" s="568">
        <v>-26.233895797856761</v>
      </c>
      <c r="H45" s="568">
        <v>13.683916626500391</v>
      </c>
      <c r="I45" s="568">
        <v>0</v>
      </c>
      <c r="J45" s="568">
        <v>-5.6410256410256494</v>
      </c>
      <c r="K45" s="568">
        <v>-19.937484835590837</v>
      </c>
      <c r="L45" s="568">
        <v>-9.9460182515382769</v>
      </c>
      <c r="M45" s="568">
        <v>-11.183128317906821</v>
      </c>
      <c r="N45" s="568">
        <v>0.18842952457316642</v>
      </c>
      <c r="O45" s="568">
        <v>-12.921035496980167</v>
      </c>
      <c r="P45" s="568">
        <v>-4.6632646940816045</v>
      </c>
    </row>
    <row r="46" spans="1:16">
      <c r="A46" s="40" t="s">
        <v>29</v>
      </c>
      <c r="B46" s="568">
        <v>0</v>
      </c>
      <c r="C46" s="568">
        <v>-6.376448239290113</v>
      </c>
      <c r="D46" s="568">
        <v>-8.5152617387845453</v>
      </c>
      <c r="E46" s="568">
        <v>-28.495494583375489</v>
      </c>
      <c r="F46" s="568">
        <v>12.251470176421094</v>
      </c>
      <c r="G46" s="568">
        <v>-26.399711027400755</v>
      </c>
      <c r="H46" s="568">
        <v>15.412694120828107</v>
      </c>
      <c r="I46" s="568">
        <v>0</v>
      </c>
      <c r="J46" s="568">
        <v>-6.947890818858582</v>
      </c>
      <c r="K46" s="568">
        <v>-15.633038936803018</v>
      </c>
      <c r="L46" s="568">
        <v>-9.1905710293986544</v>
      </c>
      <c r="M46" s="568">
        <v>-8.8112327509122821</v>
      </c>
      <c r="N46" s="568">
        <v>0.22661475012368726</v>
      </c>
      <c r="O46" s="568">
        <v>-8.4959249197332554</v>
      </c>
      <c r="P46" s="568">
        <v>-1.2527667960021773</v>
      </c>
    </row>
    <row r="47" spans="1:16">
      <c r="A47" s="40" t="s">
        <v>3605</v>
      </c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</row>
    <row r="48" spans="1:16">
      <c r="A48" s="40" t="s">
        <v>18</v>
      </c>
      <c r="B48" s="568">
        <v>0</v>
      </c>
      <c r="C48" s="568">
        <v>1.7037133961523807</v>
      </c>
      <c r="D48" s="568">
        <v>0.32543184400466885</v>
      </c>
      <c r="E48" s="568">
        <v>-0.65132743362839562</v>
      </c>
      <c r="F48" s="568">
        <v>-6.2866408881127569</v>
      </c>
      <c r="G48" s="568">
        <v>0.20332328402157884</v>
      </c>
      <c r="H48" s="568">
        <v>0.45175123633158876</v>
      </c>
      <c r="I48" s="568">
        <v>0</v>
      </c>
      <c r="J48" s="568">
        <v>1.8666666666666458</v>
      </c>
      <c r="K48" s="568">
        <v>3.311546506299166</v>
      </c>
      <c r="L48" s="568">
        <v>0.20295130478056933</v>
      </c>
      <c r="M48" s="568">
        <v>2.6422494898365159</v>
      </c>
      <c r="N48" s="568">
        <v>1.0059639290062705E-2</v>
      </c>
      <c r="O48" s="568">
        <v>3.9798797693534311</v>
      </c>
      <c r="P48" s="568">
        <v>0.88475378687358841</v>
      </c>
    </row>
    <row r="49" spans="1:16383">
      <c r="A49" s="40" t="s">
        <v>19</v>
      </c>
      <c r="B49" s="568">
        <v>0</v>
      </c>
      <c r="C49" s="568">
        <v>1.2210991595253233</v>
      </c>
      <c r="D49" s="568">
        <v>-0.73040144832313558</v>
      </c>
      <c r="E49" s="568">
        <v>-1.0194690265486486</v>
      </c>
      <c r="F49" s="568">
        <v>-10.276822466544289</v>
      </c>
      <c r="G49" s="568">
        <v>0.23512384691657928</v>
      </c>
      <c r="H49" s="568">
        <v>1.49782200462883</v>
      </c>
      <c r="I49" s="568">
        <v>0</v>
      </c>
      <c r="J49" s="568">
        <v>3.8253968253968225</v>
      </c>
      <c r="K49" s="568">
        <v>1.6979150551473197</v>
      </c>
      <c r="L49" s="568">
        <v>-2.1564511392395218</v>
      </c>
      <c r="M49" s="568">
        <v>2.1583040233823567</v>
      </c>
      <c r="N49" s="568">
        <v>1.1188782475684889E-2</v>
      </c>
      <c r="O49" s="568">
        <v>1.4425924952240479</v>
      </c>
      <c r="P49" s="568">
        <v>0.84103673420284508</v>
      </c>
    </row>
    <row r="50" spans="1:16383">
      <c r="A50" s="40" t="s">
        <v>20</v>
      </c>
      <c r="B50" s="568">
        <v>0</v>
      </c>
      <c r="C50" s="568">
        <v>0.81394661040800997</v>
      </c>
      <c r="D50" s="568">
        <v>-0.55999837907515371</v>
      </c>
      <c r="E50" s="568">
        <v>-1.7274336283186358</v>
      </c>
      <c r="F50" s="568">
        <v>-13.608581763752014</v>
      </c>
      <c r="G50" s="568">
        <v>7.011147724881539E-3</v>
      </c>
      <c r="H50" s="568">
        <v>3.8126378299642596</v>
      </c>
      <c r="I50" s="568">
        <v>0</v>
      </c>
      <c r="J50" s="568">
        <v>4.2666666666666231</v>
      </c>
      <c r="K50" s="568">
        <v>0.5258536160756222</v>
      </c>
      <c r="L50" s="568">
        <v>-4.9984942322548136</v>
      </c>
      <c r="M50" s="568">
        <v>1.2866721437468414</v>
      </c>
      <c r="N50" s="568">
        <v>1.2454791501980367E-2</v>
      </c>
      <c r="O50" s="568">
        <v>-0.90541037909464706</v>
      </c>
      <c r="P50" s="568">
        <v>0.52437716942472434</v>
      </c>
    </row>
    <row r="51" spans="1:16383">
      <c r="A51" s="40" t="s">
        <v>21</v>
      </c>
      <c r="B51" s="568">
        <v>0</v>
      </c>
      <c r="C51" s="568">
        <v>3.5331843218933727</v>
      </c>
      <c r="D51" s="568">
        <v>2.2086971972026959</v>
      </c>
      <c r="E51" s="568">
        <v>-3.5177581120943984</v>
      </c>
      <c r="F51" s="568">
        <v>-18.823333749116443</v>
      </c>
      <c r="G51" s="568">
        <v>6.5904788613920573E-2</v>
      </c>
      <c r="H51" s="568">
        <v>6.3725954560039071</v>
      </c>
      <c r="I51" s="568">
        <v>0</v>
      </c>
      <c r="J51" s="568">
        <v>3.608888888888842</v>
      </c>
      <c r="K51" s="568">
        <v>1.1285883620965507</v>
      </c>
      <c r="L51" s="568">
        <v>-4.9842876409201864</v>
      </c>
      <c r="M51" s="568">
        <v>1.4519562893664926</v>
      </c>
      <c r="N51" s="568">
        <v>8.9259339097509383E-3</v>
      </c>
      <c r="O51" s="568">
        <v>-2.0520181572813385</v>
      </c>
      <c r="P51" s="568">
        <v>3.6453943620608555</v>
      </c>
    </row>
    <row r="52" spans="1:16383">
      <c r="A52" s="40" t="s">
        <v>22</v>
      </c>
      <c r="B52" s="568">
        <v>0</v>
      </c>
      <c r="C52" s="568">
        <v>2.768780729128423</v>
      </c>
      <c r="D52" s="568">
        <v>2.5286428338754661</v>
      </c>
      <c r="E52" s="568">
        <v>-5.4548672566371863</v>
      </c>
      <c r="F52" s="568">
        <v>-17.101160034925769</v>
      </c>
      <c r="G52" s="568">
        <v>0</v>
      </c>
      <c r="H52" s="568">
        <v>5.9990730696165286</v>
      </c>
      <c r="I52" s="568">
        <v>0</v>
      </c>
      <c r="J52" s="568">
        <v>4.7999999999999829</v>
      </c>
      <c r="K52" s="568">
        <v>-1.4370089323431046</v>
      </c>
      <c r="L52" s="568">
        <v>-5.8089900881201402</v>
      </c>
      <c r="M52" s="568">
        <v>-4.6378501576853637E-2</v>
      </c>
      <c r="N52" s="568">
        <v>1.437091327152018E-2</v>
      </c>
      <c r="O52" s="568">
        <v>-2.5542878174457258</v>
      </c>
      <c r="P52" s="568">
        <v>4.0097869585062824</v>
      </c>
    </row>
    <row r="53" spans="1:16383">
      <c r="A53" s="40" t="s">
        <v>23</v>
      </c>
      <c r="B53" s="568">
        <v>0</v>
      </c>
      <c r="C53" s="568">
        <v>2.33370795311221</v>
      </c>
      <c r="D53" s="568">
        <v>3.7424090580607583</v>
      </c>
      <c r="E53" s="568">
        <v>-20.186430678466081</v>
      </c>
      <c r="F53" s="568">
        <v>-20.859839507712749</v>
      </c>
      <c r="G53" s="568">
        <v>-1.3788590525606992E-2</v>
      </c>
      <c r="H53" s="568">
        <v>2.6112783320685793</v>
      </c>
      <c r="I53" s="568">
        <v>0</v>
      </c>
      <c r="J53" s="568">
        <v>4.7111111111110944</v>
      </c>
      <c r="K53" s="568">
        <v>-4.2949149562770117</v>
      </c>
      <c r="L53" s="568">
        <v>-5.1777678848109474</v>
      </c>
      <c r="M53" s="568">
        <v>-2.2532884566118412</v>
      </c>
      <c r="N53" s="568">
        <v>1.2390920776340408E-2</v>
      </c>
      <c r="O53" s="568">
        <v>-0.19351408825090743</v>
      </c>
      <c r="P53" s="568">
        <v>3.5523427723583154</v>
      </c>
    </row>
    <row r="54" spans="1:16383">
      <c r="A54" s="40" t="s">
        <v>24</v>
      </c>
      <c r="B54" s="568">
        <v>0</v>
      </c>
      <c r="C54" s="568">
        <v>4.350787508133223</v>
      </c>
      <c r="D54" s="568">
        <v>5.7237351720440302</v>
      </c>
      <c r="E54" s="568">
        <v>-29.292035398230126</v>
      </c>
      <c r="F54" s="568">
        <v>-27.117375576899079</v>
      </c>
      <c r="G54" s="568">
        <v>1.4022295449763078E-2</v>
      </c>
      <c r="H54" s="568">
        <v>3.4199656730176713</v>
      </c>
      <c r="I54" s="568">
        <v>0</v>
      </c>
      <c r="J54" s="568">
        <v>4.8888888888888715</v>
      </c>
      <c r="K54" s="568">
        <v>-4.2477912356024206</v>
      </c>
      <c r="L54" s="568">
        <v>-5.7919683657837311</v>
      </c>
      <c r="M54" s="568">
        <v>-2.7972861951077448</v>
      </c>
      <c r="N54" s="568">
        <v>4.5507892026535046E-2</v>
      </c>
      <c r="O54" s="568">
        <v>0.6870322659796102</v>
      </c>
      <c r="P54" s="568">
        <v>6.554360787061114</v>
      </c>
    </row>
    <row r="55" spans="1:16383">
      <c r="A55" s="40" t="s">
        <v>25</v>
      </c>
      <c r="B55" s="568">
        <v>0</v>
      </c>
      <c r="C55" s="568">
        <v>3.0611275517611745</v>
      </c>
      <c r="D55" s="568">
        <v>4.3398705442099299</v>
      </c>
      <c r="E55" s="568">
        <v>-30.633628318584087</v>
      </c>
      <c r="F55" s="568">
        <v>-30.89684420606207</v>
      </c>
      <c r="G55" s="568">
        <v>4.9078034074170773E-2</v>
      </c>
      <c r="H55" s="568">
        <v>2.5128980834950596</v>
      </c>
      <c r="I55" s="568">
        <v>0</v>
      </c>
      <c r="J55" s="568">
        <v>3.3777777777777231</v>
      </c>
      <c r="K55" s="568">
        <v>-6.7813099233748915</v>
      </c>
      <c r="L55" s="568">
        <v>-7.7979128749688869</v>
      </c>
      <c r="M55" s="568">
        <v>-3.6758275249781605</v>
      </c>
      <c r="N55" s="568">
        <v>8.1435175205371024E-3</v>
      </c>
      <c r="O55" s="568">
        <v>-2.2132253711201599</v>
      </c>
      <c r="P55" s="568">
        <v>6.1495784106631106</v>
      </c>
    </row>
    <row r="56" spans="1:16383">
      <c r="A56" s="40" t="s">
        <v>26</v>
      </c>
      <c r="B56" s="568">
        <v>0</v>
      </c>
      <c r="C56" s="568">
        <v>0.99031664632249772</v>
      </c>
      <c r="D56" s="568">
        <v>2.0157551821540238</v>
      </c>
      <c r="E56" s="568">
        <v>-30.867256637168168</v>
      </c>
      <c r="F56" s="568">
        <v>-32.009064072179939</v>
      </c>
      <c r="G56" s="568">
        <v>2.9680525368675603E-2</v>
      </c>
      <c r="H56" s="568">
        <v>1.5913493288243217</v>
      </c>
      <c r="I56" s="568">
        <v>0</v>
      </c>
      <c r="J56" s="568">
        <v>-6.5185185185100636E-2</v>
      </c>
      <c r="K56" s="568">
        <v>-8.5432950250424824</v>
      </c>
      <c r="L56" s="568">
        <v>-9.6345785377903752</v>
      </c>
      <c r="M56" s="568">
        <v>-4.2633768849548233</v>
      </c>
      <c r="N56" s="568">
        <v>1.2885918900138904E-2</v>
      </c>
      <c r="O56" s="568">
        <v>-2.9242219768535591</v>
      </c>
      <c r="P56" s="568">
        <v>3.9325928835201296</v>
      </c>
    </row>
    <row r="57" spans="1:16383">
      <c r="A57" s="40" t="s">
        <v>27</v>
      </c>
      <c r="B57" s="568">
        <v>0</v>
      </c>
      <c r="C57" s="568">
        <v>-0.23731894124199471</v>
      </c>
      <c r="D57" s="568">
        <v>-3.3665363172872276E-2</v>
      </c>
      <c r="E57" s="568">
        <v>-33.058407079646031</v>
      </c>
      <c r="F57" s="568">
        <v>-32.393663465136569</v>
      </c>
      <c r="G57" s="568">
        <v>0.92547149968442</v>
      </c>
      <c r="H57" s="568">
        <v>-0.11713955395293851</v>
      </c>
      <c r="I57" s="568">
        <v>0</v>
      </c>
      <c r="J57" s="568">
        <v>-1.5999999999999375</v>
      </c>
      <c r="K57" s="568">
        <v>-9.7792387667273886</v>
      </c>
      <c r="L57" s="568">
        <v>-13.098215337881129</v>
      </c>
      <c r="M57" s="568">
        <v>-4.4324596507035778</v>
      </c>
      <c r="N57" s="568">
        <v>-21.850015568489439</v>
      </c>
      <c r="O57" s="568">
        <v>-4.3135811556864212</v>
      </c>
      <c r="P57" s="568">
        <v>3.1429016244369734</v>
      </c>
    </row>
    <row r="58" spans="1:16383">
      <c r="A58" s="40" t="s">
        <v>28</v>
      </c>
      <c r="B58" s="568">
        <v>0</v>
      </c>
      <c r="C58" s="568">
        <v>2.0679191036370383</v>
      </c>
      <c r="D58" s="568">
        <v>1.9985224646163147</v>
      </c>
      <c r="E58" s="568">
        <v>-34.865250737463171</v>
      </c>
      <c r="F58" s="568">
        <v>-27.459149307721077</v>
      </c>
      <c r="G58" s="568">
        <v>2.1089532356445773</v>
      </c>
      <c r="H58" s="568">
        <v>-0.62428591558142443</v>
      </c>
      <c r="I58" s="568">
        <v>0</v>
      </c>
      <c r="J58" s="568">
        <v>1.5881481481481217</v>
      </c>
      <c r="K58" s="568">
        <v>-9.8948719458547174</v>
      </c>
      <c r="L58" s="568">
        <v>-9.5513685028303996</v>
      </c>
      <c r="M58" s="568">
        <v>-3.3884133252060451</v>
      </c>
      <c r="N58" s="568">
        <v>-23.366370466176519</v>
      </c>
      <c r="O58" s="568">
        <v>-1.0428986218460068</v>
      </c>
      <c r="P58" s="568">
        <v>4.5260024319967016</v>
      </c>
    </row>
    <row r="59" spans="1:16383">
      <c r="A59" s="40" t="s">
        <v>29</v>
      </c>
      <c r="B59" s="568">
        <v>0</v>
      </c>
      <c r="C59" s="568">
        <v>3.1814002176021745</v>
      </c>
      <c r="D59" s="568">
        <v>4.0435841766558838</v>
      </c>
      <c r="E59" s="568">
        <v>-35.886725663716817</v>
      </c>
      <c r="F59" s="568">
        <v>-27.691156292877579</v>
      </c>
      <c r="G59" s="568">
        <v>-0.42768001121791599</v>
      </c>
      <c r="H59" s="568">
        <v>1.1204652986791075E-2</v>
      </c>
      <c r="I59" s="568">
        <v>0</v>
      </c>
      <c r="J59" s="568">
        <v>1.9555555555555344</v>
      </c>
      <c r="K59" s="568">
        <v>-6.160218943530964</v>
      </c>
      <c r="L59" s="568">
        <v>-6.0139054377855814</v>
      </c>
      <c r="M59" s="568">
        <v>-2.1917154745183467</v>
      </c>
      <c r="N59" s="568">
        <v>-23.398241958276486</v>
      </c>
      <c r="O59" s="568">
        <v>-0.73365231259967345</v>
      </c>
      <c r="P59" s="568">
        <v>7.8398278967238895</v>
      </c>
    </row>
    <row r="60" spans="1:16383">
      <c r="A60" s="40" t="s">
        <v>4086</v>
      </c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</row>
    <row r="61" spans="1:16383">
      <c r="A61" s="40" t="s">
        <v>18</v>
      </c>
      <c r="B61" s="568">
        <v>0</v>
      </c>
      <c r="C61" s="568">
        <v>4.4297904274827715E-2</v>
      </c>
      <c r="D61" s="568">
        <v>0.40491166993481897</v>
      </c>
      <c r="E61" s="568">
        <v>-3.0753091872791742</v>
      </c>
      <c r="F61" s="568">
        <v>1.7250301880282279</v>
      </c>
      <c r="G61" s="568">
        <v>-2.0419659202929381</v>
      </c>
      <c r="H61" s="568">
        <v>0.39873910851508754</v>
      </c>
      <c r="I61" s="568">
        <v>0</v>
      </c>
      <c r="J61" s="568">
        <v>1.8308631211857289</v>
      </c>
      <c r="K61" s="568">
        <v>-1.2236011796770043</v>
      </c>
      <c r="L61" s="568">
        <v>-0.91390359431595414</v>
      </c>
      <c r="M61" s="568">
        <v>-0.30482848317345201</v>
      </c>
      <c r="N61" s="568">
        <v>0.47839409667945176</v>
      </c>
      <c r="O61" s="568">
        <v>-1.4311844967371741</v>
      </c>
      <c r="P61" s="568">
        <v>0.9375676722073365</v>
      </c>
    </row>
    <row r="62" spans="1:16383">
      <c r="A62" s="711" t="s">
        <v>19</v>
      </c>
      <c r="B62" s="1430">
        <v>0</v>
      </c>
      <c r="C62" s="1430">
        <v>-1.1657027953865082</v>
      </c>
      <c r="D62" s="1430">
        <v>-0.25285865200835644</v>
      </c>
      <c r="E62" s="1430">
        <v>-5.4975935177288164</v>
      </c>
      <c r="F62" s="1430">
        <v>-0.79291904849726791</v>
      </c>
      <c r="G62" s="1430">
        <v>-2.3088054620767053</v>
      </c>
      <c r="H62" s="1430">
        <v>1.1518602996013669</v>
      </c>
      <c r="I62" s="1430">
        <v>0</v>
      </c>
      <c r="J62" s="1430">
        <v>2.5163094128611334</v>
      </c>
      <c r="K62" s="1430">
        <v>-3.7417463483644156</v>
      </c>
      <c r="L62" s="1430">
        <v>0.65446623303004969</v>
      </c>
      <c r="M62" s="1430">
        <v>-0.74139893148853275</v>
      </c>
      <c r="N62" s="1430">
        <v>0.70977424801455413</v>
      </c>
      <c r="O62" s="1430">
        <v>-2.1532972390609473</v>
      </c>
      <c r="P62" s="1430">
        <v>-1.2424475836680386</v>
      </c>
    </row>
    <row r="63" spans="1:16383" s="1538" customFormat="1" ht="16.5" customHeight="1">
      <c r="A63" s="2231" t="s">
        <v>3594</v>
      </c>
      <c r="B63" s="2232"/>
      <c r="C63" s="2232"/>
      <c r="D63" s="2232"/>
      <c r="E63" s="2232"/>
      <c r="F63" s="2232"/>
      <c r="G63" s="2232"/>
      <c r="H63" s="2232"/>
      <c r="I63" s="2232"/>
      <c r="J63" s="2232"/>
      <c r="K63" s="2232"/>
      <c r="L63" s="2232"/>
      <c r="M63" s="2232"/>
      <c r="N63" s="2232"/>
      <c r="O63" s="2232"/>
      <c r="P63" s="2232"/>
    </row>
    <row r="64" spans="1:16383" ht="16.5" customHeight="1">
      <c r="A64" s="2227" t="s">
        <v>3588</v>
      </c>
      <c r="B64" s="2228"/>
      <c r="C64" s="2228"/>
      <c r="D64" s="2228"/>
      <c r="E64" s="2228"/>
      <c r="F64" s="2228"/>
      <c r="G64" s="2228"/>
      <c r="H64" s="2228"/>
      <c r="I64" s="2228"/>
      <c r="J64" s="2228"/>
      <c r="K64" s="2228"/>
      <c r="L64" s="2228"/>
      <c r="M64" s="2228"/>
      <c r="N64" s="2228"/>
      <c r="O64" s="2228"/>
      <c r="P64" s="2228"/>
      <c r="Q64" s="2228"/>
      <c r="R64" s="2228"/>
      <c r="S64" s="2228"/>
      <c r="T64" s="2228"/>
      <c r="U64" s="2228"/>
      <c r="V64" s="2228"/>
      <c r="W64" s="2228"/>
      <c r="X64" s="2228"/>
      <c r="Y64" s="2228"/>
      <c r="Z64" s="2228"/>
      <c r="AA64" s="2228"/>
      <c r="AB64" s="2228"/>
      <c r="AC64" s="2228"/>
      <c r="AD64" s="2228"/>
      <c r="AE64" s="2228"/>
      <c r="AF64" s="2227"/>
      <c r="AG64" s="2228"/>
      <c r="AH64" s="2228"/>
      <c r="AI64" s="2228"/>
      <c r="AJ64" s="2228"/>
      <c r="AK64" s="2228"/>
      <c r="AL64" s="2228"/>
      <c r="AM64" s="2228"/>
      <c r="AN64" s="2228"/>
      <c r="AO64" s="2228"/>
      <c r="AP64" s="2228"/>
      <c r="AQ64" s="2228"/>
      <c r="AR64" s="2228"/>
      <c r="AS64" s="2228"/>
      <c r="AT64" s="2228"/>
      <c r="AU64" s="2228"/>
      <c r="AV64" s="2227"/>
      <c r="AW64" s="2228"/>
      <c r="AX64" s="2228"/>
      <c r="AY64" s="2228"/>
      <c r="AZ64" s="2228"/>
      <c r="BA64" s="2228"/>
      <c r="BB64" s="2228"/>
      <c r="BC64" s="2228"/>
      <c r="BD64" s="2228"/>
      <c r="BE64" s="2228"/>
      <c r="BF64" s="2228"/>
      <c r="BG64" s="2228"/>
      <c r="BH64" s="2228"/>
      <c r="BI64" s="2228"/>
      <c r="BJ64" s="2228"/>
      <c r="BK64" s="2228"/>
      <c r="BL64" s="2227"/>
      <c r="BM64" s="2228"/>
      <c r="BN64" s="2228"/>
      <c r="BO64" s="2228"/>
      <c r="BP64" s="2228"/>
      <c r="BQ64" s="2228"/>
      <c r="BR64" s="2228"/>
      <c r="BS64" s="2228"/>
      <c r="BT64" s="2228"/>
      <c r="BU64" s="2228"/>
      <c r="BV64" s="2228"/>
      <c r="BW64" s="2228"/>
      <c r="BX64" s="2228"/>
      <c r="BY64" s="2228"/>
      <c r="BZ64" s="2228"/>
      <c r="CA64" s="2228"/>
      <c r="CB64" s="2227"/>
      <c r="CC64" s="2228"/>
      <c r="CD64" s="2228"/>
      <c r="CE64" s="2228"/>
      <c r="CF64" s="2228"/>
      <c r="CG64" s="2228"/>
      <c r="CH64" s="2228"/>
      <c r="CI64" s="2228"/>
      <c r="CJ64" s="2228"/>
      <c r="CK64" s="2228"/>
      <c r="CL64" s="2228"/>
      <c r="CM64" s="2228"/>
      <c r="CN64" s="2228"/>
      <c r="CO64" s="2228"/>
      <c r="CP64" s="2228"/>
      <c r="CQ64" s="2228"/>
      <c r="CR64" s="2227"/>
      <c r="CS64" s="2228"/>
      <c r="CT64" s="2228"/>
      <c r="CU64" s="2228"/>
      <c r="CV64" s="2228"/>
      <c r="CW64" s="2228"/>
      <c r="CX64" s="2228"/>
      <c r="CY64" s="2228"/>
      <c r="CZ64" s="2228"/>
      <c r="DA64" s="2228"/>
      <c r="DB64" s="2228"/>
      <c r="DC64" s="2228"/>
      <c r="DD64" s="2228"/>
      <c r="DE64" s="2228"/>
      <c r="DF64" s="2228"/>
      <c r="DG64" s="2228"/>
      <c r="DH64" s="2227"/>
      <c r="DI64" s="2228"/>
      <c r="DJ64" s="2228"/>
      <c r="DK64" s="2228"/>
      <c r="DL64" s="2228"/>
      <c r="DM64" s="2228"/>
      <c r="DN64" s="2228"/>
      <c r="DO64" s="2228"/>
      <c r="DP64" s="2228"/>
      <c r="DQ64" s="2228"/>
      <c r="DR64" s="2228"/>
      <c r="DS64" s="2228"/>
      <c r="DT64" s="2228"/>
      <c r="DU64" s="2228"/>
      <c r="DV64" s="2228"/>
      <c r="DW64" s="2228"/>
      <c r="DX64" s="2227"/>
      <c r="DY64" s="2228"/>
      <c r="DZ64" s="2228"/>
      <c r="EA64" s="2228"/>
      <c r="EB64" s="2228"/>
      <c r="EC64" s="2228"/>
      <c r="ED64" s="2228"/>
      <c r="EE64" s="2228"/>
      <c r="EF64" s="2228"/>
      <c r="EG64" s="2228"/>
      <c r="EH64" s="2228"/>
      <c r="EI64" s="2228"/>
      <c r="EJ64" s="2228"/>
      <c r="EK64" s="2228"/>
      <c r="EL64" s="2228"/>
      <c r="EM64" s="2228"/>
      <c r="EN64" s="2227"/>
      <c r="EO64" s="2228"/>
      <c r="EP64" s="2228"/>
      <c r="EQ64" s="2228"/>
      <c r="ER64" s="2228"/>
      <c r="ES64" s="2228"/>
      <c r="ET64" s="2228"/>
      <c r="EU64" s="2228"/>
      <c r="EV64" s="2228"/>
      <c r="EW64" s="2228"/>
      <c r="EX64" s="2228"/>
      <c r="EY64" s="2228"/>
      <c r="EZ64" s="2228"/>
      <c r="FA64" s="2228"/>
      <c r="FB64" s="2228"/>
      <c r="FC64" s="2228"/>
      <c r="FD64" s="2227"/>
      <c r="FE64" s="2228"/>
      <c r="FF64" s="2228"/>
      <c r="FG64" s="2228"/>
      <c r="FH64" s="2228"/>
      <c r="FI64" s="2228"/>
      <c r="FJ64" s="2228"/>
      <c r="FK64" s="2228"/>
      <c r="FL64" s="2228"/>
      <c r="FM64" s="2228"/>
      <c r="FN64" s="2228"/>
      <c r="FO64" s="2228"/>
      <c r="FP64" s="2228"/>
      <c r="FQ64" s="2228"/>
      <c r="FR64" s="2228"/>
      <c r="FS64" s="2228"/>
      <c r="FT64" s="2227"/>
      <c r="FU64" s="2228"/>
      <c r="FV64" s="2228"/>
      <c r="FW64" s="2228"/>
      <c r="FX64" s="2228"/>
      <c r="FY64" s="2228"/>
      <c r="FZ64" s="2228"/>
      <c r="GA64" s="2228"/>
      <c r="GB64" s="2228"/>
      <c r="GC64" s="2228"/>
      <c r="GD64" s="2228"/>
      <c r="GE64" s="2228"/>
      <c r="GF64" s="2228"/>
      <c r="GG64" s="2228"/>
      <c r="GH64" s="2228"/>
      <c r="GI64" s="2228"/>
      <c r="GJ64" s="2227"/>
      <c r="GK64" s="2228"/>
      <c r="GL64" s="2228"/>
      <c r="GM64" s="2228"/>
      <c r="GN64" s="2228"/>
      <c r="GO64" s="2228"/>
      <c r="GP64" s="2228"/>
      <c r="GQ64" s="2228"/>
      <c r="GR64" s="2228"/>
      <c r="GS64" s="2228"/>
      <c r="GT64" s="2228"/>
      <c r="GU64" s="2228"/>
      <c r="GV64" s="2228"/>
      <c r="GW64" s="2228"/>
      <c r="GX64" s="2228"/>
      <c r="GY64" s="2228"/>
      <c r="GZ64" s="2227"/>
      <c r="HA64" s="2228"/>
      <c r="HB64" s="2228"/>
      <c r="HC64" s="2228"/>
      <c r="HD64" s="2228"/>
      <c r="HE64" s="2228"/>
      <c r="HF64" s="2228"/>
      <c r="HG64" s="2228"/>
      <c r="HH64" s="2228"/>
      <c r="HI64" s="2228"/>
      <c r="HJ64" s="2228"/>
      <c r="HK64" s="2228"/>
      <c r="HL64" s="2228"/>
      <c r="HM64" s="2228"/>
      <c r="HN64" s="2228"/>
      <c r="HO64" s="2228"/>
      <c r="HP64" s="2227"/>
      <c r="HQ64" s="2228"/>
      <c r="HR64" s="2228"/>
      <c r="HS64" s="2228"/>
      <c r="HT64" s="2228"/>
      <c r="HU64" s="2228"/>
      <c r="HV64" s="2228"/>
      <c r="HW64" s="2228"/>
      <c r="HX64" s="2228"/>
      <c r="HY64" s="2228"/>
      <c r="HZ64" s="2228"/>
      <c r="IA64" s="2228"/>
      <c r="IB64" s="2228"/>
      <c r="IC64" s="2228"/>
      <c r="ID64" s="2228"/>
      <c r="IE64" s="2228"/>
      <c r="IF64" s="2227"/>
      <c r="IG64" s="2228"/>
      <c r="IH64" s="2228"/>
      <c r="II64" s="2228"/>
      <c r="IJ64" s="2228"/>
      <c r="IK64" s="2228"/>
      <c r="IL64" s="2228"/>
      <c r="IM64" s="2228"/>
      <c r="IN64" s="2228"/>
      <c r="IO64" s="2228"/>
      <c r="IP64" s="2228"/>
      <c r="IQ64" s="2228"/>
      <c r="IR64" s="2228"/>
      <c r="IS64" s="2228"/>
      <c r="IT64" s="2228"/>
      <c r="IU64" s="2228"/>
      <c r="IV64" s="2227"/>
      <c r="IW64" s="2228"/>
      <c r="IX64" s="2228"/>
      <c r="IY64" s="2228"/>
      <c r="IZ64" s="2228"/>
      <c r="JA64" s="2228"/>
      <c r="JB64" s="2228"/>
      <c r="JC64" s="2228"/>
      <c r="JD64" s="2228"/>
      <c r="JE64" s="2228"/>
      <c r="JF64" s="2228"/>
      <c r="JG64" s="2228"/>
      <c r="JH64" s="2228"/>
      <c r="JI64" s="2228"/>
      <c r="JJ64" s="2228"/>
      <c r="JK64" s="2228"/>
      <c r="JL64" s="2227"/>
      <c r="JM64" s="2228"/>
      <c r="JN64" s="2228"/>
      <c r="JO64" s="2228"/>
      <c r="JP64" s="2228"/>
      <c r="JQ64" s="2228"/>
      <c r="JR64" s="2228"/>
      <c r="JS64" s="2228"/>
      <c r="JT64" s="2228"/>
      <c r="JU64" s="2228"/>
      <c r="JV64" s="2228"/>
      <c r="JW64" s="2228"/>
      <c r="JX64" s="2228"/>
      <c r="JY64" s="2228"/>
      <c r="JZ64" s="2228"/>
      <c r="KA64" s="2228"/>
      <c r="KB64" s="2227"/>
      <c r="KC64" s="2228"/>
      <c r="KD64" s="2228"/>
      <c r="KE64" s="2228"/>
      <c r="KF64" s="2228"/>
      <c r="KG64" s="2228"/>
      <c r="KH64" s="2228"/>
      <c r="KI64" s="2228"/>
      <c r="KJ64" s="2228"/>
      <c r="KK64" s="2228"/>
      <c r="KL64" s="2228"/>
      <c r="KM64" s="2228"/>
      <c r="KN64" s="2228"/>
      <c r="KO64" s="2228"/>
      <c r="KP64" s="2228"/>
      <c r="KQ64" s="2228"/>
      <c r="KR64" s="2227"/>
      <c r="KS64" s="2228"/>
      <c r="KT64" s="2228"/>
      <c r="KU64" s="2228"/>
      <c r="KV64" s="2228"/>
      <c r="KW64" s="2228"/>
      <c r="KX64" s="2228"/>
      <c r="KY64" s="2228"/>
      <c r="KZ64" s="2228"/>
      <c r="LA64" s="2228"/>
      <c r="LB64" s="2228"/>
      <c r="LC64" s="2228"/>
      <c r="LD64" s="2228"/>
      <c r="LE64" s="2228"/>
      <c r="LF64" s="2228"/>
      <c r="LG64" s="2228"/>
      <c r="LH64" s="2227"/>
      <c r="LI64" s="2228"/>
      <c r="LJ64" s="2228"/>
      <c r="LK64" s="2228"/>
      <c r="LL64" s="2228"/>
      <c r="LM64" s="2228"/>
      <c r="LN64" s="2228"/>
      <c r="LO64" s="2228"/>
      <c r="LP64" s="2228"/>
      <c r="LQ64" s="2228"/>
      <c r="LR64" s="2228"/>
      <c r="LS64" s="2228"/>
      <c r="LT64" s="2228"/>
      <c r="LU64" s="2228"/>
      <c r="LV64" s="2228"/>
      <c r="LW64" s="2228"/>
      <c r="LX64" s="2227"/>
      <c r="LY64" s="2228"/>
      <c r="LZ64" s="2228"/>
      <c r="MA64" s="2228"/>
      <c r="MB64" s="2228"/>
      <c r="MC64" s="2228"/>
      <c r="MD64" s="2228"/>
      <c r="ME64" s="2228"/>
      <c r="MF64" s="2228"/>
      <c r="MG64" s="2228"/>
      <c r="MH64" s="2228"/>
      <c r="MI64" s="2228"/>
      <c r="MJ64" s="2228"/>
      <c r="MK64" s="2228"/>
      <c r="ML64" s="2228"/>
      <c r="MM64" s="2228"/>
      <c r="MN64" s="2227"/>
      <c r="MO64" s="2228"/>
      <c r="MP64" s="2228"/>
      <c r="MQ64" s="2228"/>
      <c r="MR64" s="2228"/>
      <c r="MS64" s="2228"/>
      <c r="MT64" s="2228"/>
      <c r="MU64" s="2228"/>
      <c r="MV64" s="2228"/>
      <c r="MW64" s="2228"/>
      <c r="MX64" s="2228"/>
      <c r="MY64" s="2228"/>
      <c r="MZ64" s="2228"/>
      <c r="NA64" s="2228"/>
      <c r="NB64" s="2228"/>
      <c r="NC64" s="2228"/>
      <c r="ND64" s="2227"/>
      <c r="NE64" s="2228"/>
      <c r="NF64" s="2228"/>
      <c r="NG64" s="2228"/>
      <c r="NH64" s="2228"/>
      <c r="NI64" s="2228"/>
      <c r="NJ64" s="2228"/>
      <c r="NK64" s="2228"/>
      <c r="NL64" s="2228"/>
      <c r="NM64" s="2228"/>
      <c r="NN64" s="2228"/>
      <c r="NO64" s="2228"/>
      <c r="NP64" s="2228"/>
      <c r="NQ64" s="2228"/>
      <c r="NR64" s="2228"/>
      <c r="NS64" s="2228"/>
      <c r="NT64" s="2227"/>
      <c r="NU64" s="2228"/>
      <c r="NV64" s="2228"/>
      <c r="NW64" s="2228"/>
      <c r="NX64" s="2228"/>
      <c r="NY64" s="2228"/>
      <c r="NZ64" s="2228"/>
      <c r="OA64" s="2228"/>
      <c r="OB64" s="2228"/>
      <c r="OC64" s="2228"/>
      <c r="OD64" s="2228"/>
      <c r="OE64" s="2228"/>
      <c r="OF64" s="2228"/>
      <c r="OG64" s="2228"/>
      <c r="OH64" s="2228"/>
      <c r="OI64" s="2228"/>
      <c r="OJ64" s="2227"/>
      <c r="OK64" s="2228"/>
      <c r="OL64" s="2228"/>
      <c r="OM64" s="2228"/>
      <c r="ON64" s="2228"/>
      <c r="OO64" s="2228"/>
      <c r="OP64" s="2228"/>
      <c r="OQ64" s="2228"/>
      <c r="OR64" s="2228"/>
      <c r="OS64" s="2228"/>
      <c r="OT64" s="2228"/>
      <c r="OU64" s="2228"/>
      <c r="OV64" s="2228"/>
      <c r="OW64" s="2228"/>
      <c r="OX64" s="2228"/>
      <c r="OY64" s="2228"/>
      <c r="OZ64" s="2227"/>
      <c r="PA64" s="2228"/>
      <c r="PB64" s="2228"/>
      <c r="PC64" s="2228"/>
      <c r="PD64" s="2228"/>
      <c r="PE64" s="2228"/>
      <c r="PF64" s="2228"/>
      <c r="PG64" s="2228"/>
      <c r="PH64" s="2228"/>
      <c r="PI64" s="2228"/>
      <c r="PJ64" s="2228"/>
      <c r="PK64" s="2228"/>
      <c r="PL64" s="2228"/>
      <c r="PM64" s="2228"/>
      <c r="PN64" s="2228"/>
      <c r="PO64" s="2228"/>
      <c r="PP64" s="2227"/>
      <c r="PQ64" s="2228"/>
      <c r="PR64" s="2228"/>
      <c r="PS64" s="2228"/>
      <c r="PT64" s="2228"/>
      <c r="PU64" s="2228"/>
      <c r="PV64" s="2228"/>
      <c r="PW64" s="2228"/>
      <c r="PX64" s="2228"/>
      <c r="PY64" s="2228"/>
      <c r="PZ64" s="2228"/>
      <c r="QA64" s="2228"/>
      <c r="QB64" s="2228"/>
      <c r="QC64" s="2228"/>
      <c r="QD64" s="2228"/>
      <c r="QE64" s="2228"/>
      <c r="QF64" s="2227"/>
      <c r="QG64" s="2228"/>
      <c r="QH64" s="2228"/>
      <c r="QI64" s="2228"/>
      <c r="QJ64" s="2228"/>
      <c r="QK64" s="2228"/>
      <c r="QL64" s="2228"/>
      <c r="QM64" s="2228"/>
      <c r="QN64" s="2228"/>
      <c r="QO64" s="2228"/>
      <c r="QP64" s="2228"/>
      <c r="QQ64" s="2228"/>
      <c r="QR64" s="2228"/>
      <c r="QS64" s="2228"/>
      <c r="QT64" s="2228"/>
      <c r="QU64" s="2228"/>
      <c r="QV64" s="2227"/>
      <c r="QW64" s="2228"/>
      <c r="QX64" s="2228"/>
      <c r="QY64" s="2228"/>
      <c r="QZ64" s="2228"/>
      <c r="RA64" s="2228"/>
      <c r="RB64" s="2228"/>
      <c r="RC64" s="2228"/>
      <c r="RD64" s="2228"/>
      <c r="RE64" s="2228"/>
      <c r="RF64" s="2228"/>
      <c r="RG64" s="2228"/>
      <c r="RH64" s="2228"/>
      <c r="RI64" s="2228"/>
      <c r="RJ64" s="2228"/>
      <c r="RK64" s="2228"/>
      <c r="RL64" s="2227"/>
      <c r="RM64" s="2228"/>
      <c r="RN64" s="2228"/>
      <c r="RO64" s="2228"/>
      <c r="RP64" s="2228"/>
      <c r="RQ64" s="2228"/>
      <c r="RR64" s="2228"/>
      <c r="RS64" s="2228"/>
      <c r="RT64" s="2228"/>
      <c r="RU64" s="2228"/>
      <c r="RV64" s="2228"/>
      <c r="RW64" s="2228"/>
      <c r="RX64" s="2228"/>
      <c r="RY64" s="2228"/>
      <c r="RZ64" s="2228"/>
      <c r="SA64" s="2228"/>
      <c r="SB64" s="2227"/>
      <c r="SC64" s="2228"/>
      <c r="SD64" s="2228"/>
      <c r="SE64" s="2228"/>
      <c r="SF64" s="2228"/>
      <c r="SG64" s="2228"/>
      <c r="SH64" s="2228"/>
      <c r="SI64" s="2228"/>
      <c r="SJ64" s="2228"/>
      <c r="SK64" s="2228"/>
      <c r="SL64" s="2228"/>
      <c r="SM64" s="2228"/>
      <c r="SN64" s="2228"/>
      <c r="SO64" s="2228"/>
      <c r="SP64" s="2228"/>
      <c r="SQ64" s="2228"/>
      <c r="SR64" s="2227"/>
      <c r="SS64" s="2228"/>
      <c r="ST64" s="2228"/>
      <c r="SU64" s="2228"/>
      <c r="SV64" s="2228"/>
      <c r="SW64" s="2228"/>
      <c r="SX64" s="2228"/>
      <c r="SY64" s="2228"/>
      <c r="SZ64" s="2228"/>
      <c r="TA64" s="2228"/>
      <c r="TB64" s="2228"/>
      <c r="TC64" s="2228"/>
      <c r="TD64" s="2228"/>
      <c r="TE64" s="2228"/>
      <c r="TF64" s="2228"/>
      <c r="TG64" s="2228"/>
      <c r="TH64" s="2227"/>
      <c r="TI64" s="2228"/>
      <c r="TJ64" s="2228"/>
      <c r="TK64" s="2228"/>
      <c r="TL64" s="2228"/>
      <c r="TM64" s="2228"/>
      <c r="TN64" s="2228"/>
      <c r="TO64" s="2228"/>
      <c r="TP64" s="2228"/>
      <c r="TQ64" s="2228"/>
      <c r="TR64" s="2228"/>
      <c r="TS64" s="2228"/>
      <c r="TT64" s="2228"/>
      <c r="TU64" s="2228"/>
      <c r="TV64" s="2228"/>
      <c r="TW64" s="2228"/>
      <c r="TX64" s="2227"/>
      <c r="TY64" s="2228"/>
      <c r="TZ64" s="2228"/>
      <c r="UA64" s="2228"/>
      <c r="UB64" s="2228"/>
      <c r="UC64" s="2228"/>
      <c r="UD64" s="2228"/>
      <c r="UE64" s="2228"/>
      <c r="UF64" s="2228"/>
      <c r="UG64" s="2228"/>
      <c r="UH64" s="2228"/>
      <c r="UI64" s="2228"/>
      <c r="UJ64" s="2228"/>
      <c r="UK64" s="2228"/>
      <c r="UL64" s="2228"/>
      <c r="UM64" s="2228"/>
      <c r="UN64" s="2227"/>
      <c r="UO64" s="2228"/>
      <c r="UP64" s="2228"/>
      <c r="UQ64" s="2228"/>
      <c r="UR64" s="2228"/>
      <c r="US64" s="2228"/>
      <c r="UT64" s="2228"/>
      <c r="UU64" s="2228"/>
      <c r="UV64" s="2228"/>
      <c r="UW64" s="2228"/>
      <c r="UX64" s="2228"/>
      <c r="UY64" s="2228"/>
      <c r="UZ64" s="2228"/>
      <c r="VA64" s="2228"/>
      <c r="VB64" s="2228"/>
      <c r="VC64" s="2228"/>
      <c r="VD64" s="2227"/>
      <c r="VE64" s="2228"/>
      <c r="VF64" s="2228"/>
      <c r="VG64" s="2228"/>
      <c r="VH64" s="2228"/>
      <c r="VI64" s="2228"/>
      <c r="VJ64" s="2228"/>
      <c r="VK64" s="2228"/>
      <c r="VL64" s="2228"/>
      <c r="VM64" s="2228"/>
      <c r="VN64" s="2228"/>
      <c r="VO64" s="2228"/>
      <c r="VP64" s="2228"/>
      <c r="VQ64" s="2228"/>
      <c r="VR64" s="2228"/>
      <c r="VS64" s="2228"/>
      <c r="VT64" s="2227"/>
      <c r="VU64" s="2228"/>
      <c r="VV64" s="2228"/>
      <c r="VW64" s="2228"/>
      <c r="VX64" s="2228"/>
      <c r="VY64" s="2228"/>
      <c r="VZ64" s="2228"/>
      <c r="WA64" s="2228"/>
      <c r="WB64" s="2228"/>
      <c r="WC64" s="2228"/>
      <c r="WD64" s="2228"/>
      <c r="WE64" s="2228"/>
      <c r="WF64" s="2228"/>
      <c r="WG64" s="2228"/>
      <c r="WH64" s="2228"/>
      <c r="WI64" s="2228"/>
      <c r="WJ64" s="2227"/>
      <c r="WK64" s="2228"/>
      <c r="WL64" s="2228"/>
      <c r="WM64" s="2228"/>
      <c r="WN64" s="2228"/>
      <c r="WO64" s="2228"/>
      <c r="WP64" s="2228"/>
      <c r="WQ64" s="2228"/>
      <c r="WR64" s="2228"/>
      <c r="WS64" s="2228"/>
      <c r="WT64" s="2228"/>
      <c r="WU64" s="2228"/>
      <c r="WV64" s="2228"/>
      <c r="WW64" s="2228"/>
      <c r="WX64" s="2228"/>
      <c r="WY64" s="2228"/>
      <c r="WZ64" s="2227"/>
      <c r="XA64" s="2228"/>
      <c r="XB64" s="2228"/>
      <c r="XC64" s="2228"/>
      <c r="XD64" s="2228"/>
      <c r="XE64" s="2228"/>
      <c r="XF64" s="2228"/>
      <c r="XG64" s="2228"/>
      <c r="XH64" s="2228"/>
      <c r="XI64" s="2228"/>
      <c r="XJ64" s="2228"/>
      <c r="XK64" s="2228"/>
      <c r="XL64" s="2228"/>
      <c r="XM64" s="2228"/>
      <c r="XN64" s="2228"/>
      <c r="XO64" s="2228"/>
      <c r="XP64" s="2227"/>
      <c r="XQ64" s="2228"/>
      <c r="XR64" s="2228"/>
      <c r="XS64" s="2228"/>
      <c r="XT64" s="2228"/>
      <c r="XU64" s="2228"/>
      <c r="XV64" s="2228"/>
      <c r="XW64" s="2228"/>
      <c r="XX64" s="2228"/>
      <c r="XY64" s="2228"/>
      <c r="XZ64" s="2228"/>
      <c r="YA64" s="2228"/>
      <c r="YB64" s="2228"/>
      <c r="YC64" s="2228"/>
      <c r="YD64" s="2228"/>
      <c r="YE64" s="2228"/>
      <c r="YF64" s="2227"/>
      <c r="YG64" s="2228"/>
      <c r="YH64" s="2228"/>
      <c r="YI64" s="2228"/>
      <c r="YJ64" s="2228"/>
      <c r="YK64" s="2228"/>
      <c r="YL64" s="2228"/>
      <c r="YM64" s="2228"/>
      <c r="YN64" s="2228"/>
      <c r="YO64" s="2228"/>
      <c r="YP64" s="2228"/>
      <c r="YQ64" s="2228"/>
      <c r="YR64" s="2228"/>
      <c r="YS64" s="2228"/>
      <c r="YT64" s="2228"/>
      <c r="YU64" s="2228"/>
      <c r="YV64" s="2227"/>
      <c r="YW64" s="2228"/>
      <c r="YX64" s="2228"/>
      <c r="YY64" s="2228"/>
      <c r="YZ64" s="2228"/>
      <c r="ZA64" s="2228"/>
      <c r="ZB64" s="2228"/>
      <c r="ZC64" s="2228"/>
      <c r="ZD64" s="2228"/>
      <c r="ZE64" s="2228"/>
      <c r="ZF64" s="2228"/>
      <c r="ZG64" s="2228"/>
      <c r="ZH64" s="2228"/>
      <c r="ZI64" s="2228"/>
      <c r="ZJ64" s="2228"/>
      <c r="ZK64" s="2228"/>
      <c r="ZL64" s="2227"/>
      <c r="ZM64" s="2228"/>
      <c r="ZN64" s="2228"/>
      <c r="ZO64" s="2228"/>
      <c r="ZP64" s="2228"/>
      <c r="ZQ64" s="2228"/>
      <c r="ZR64" s="2228"/>
      <c r="ZS64" s="2228"/>
      <c r="ZT64" s="2228"/>
      <c r="ZU64" s="2228"/>
      <c r="ZV64" s="2228"/>
      <c r="ZW64" s="2228"/>
      <c r="ZX64" s="2228"/>
      <c r="ZY64" s="2228"/>
      <c r="ZZ64" s="2228"/>
      <c r="AAA64" s="2228"/>
      <c r="AAB64" s="2227"/>
      <c r="AAC64" s="2228"/>
      <c r="AAD64" s="2228"/>
      <c r="AAE64" s="2228"/>
      <c r="AAF64" s="2228"/>
      <c r="AAG64" s="2228"/>
      <c r="AAH64" s="2228"/>
      <c r="AAI64" s="2228"/>
      <c r="AAJ64" s="2228"/>
      <c r="AAK64" s="2228"/>
      <c r="AAL64" s="2228"/>
      <c r="AAM64" s="2228"/>
      <c r="AAN64" s="2228"/>
      <c r="AAO64" s="2228"/>
      <c r="AAP64" s="2228"/>
      <c r="AAQ64" s="2228"/>
      <c r="AAR64" s="2227"/>
      <c r="AAS64" s="2228"/>
      <c r="AAT64" s="2228"/>
      <c r="AAU64" s="2228"/>
      <c r="AAV64" s="2228"/>
      <c r="AAW64" s="2228"/>
      <c r="AAX64" s="2228"/>
      <c r="AAY64" s="2228"/>
      <c r="AAZ64" s="2228"/>
      <c r="ABA64" s="2228"/>
      <c r="ABB64" s="2228"/>
      <c r="ABC64" s="2228"/>
      <c r="ABD64" s="2228"/>
      <c r="ABE64" s="2228"/>
      <c r="ABF64" s="2228"/>
      <c r="ABG64" s="2228"/>
      <c r="ABH64" s="2227"/>
      <c r="ABI64" s="2228"/>
      <c r="ABJ64" s="2228"/>
      <c r="ABK64" s="2228"/>
      <c r="ABL64" s="2228"/>
      <c r="ABM64" s="2228"/>
      <c r="ABN64" s="2228"/>
      <c r="ABO64" s="2228"/>
      <c r="ABP64" s="2228"/>
      <c r="ABQ64" s="2228"/>
      <c r="ABR64" s="2228"/>
      <c r="ABS64" s="2228"/>
      <c r="ABT64" s="2228"/>
      <c r="ABU64" s="2228"/>
      <c r="ABV64" s="2228"/>
      <c r="ABW64" s="2228"/>
      <c r="ABX64" s="2227"/>
      <c r="ABY64" s="2228"/>
      <c r="ABZ64" s="2228"/>
      <c r="ACA64" s="2228"/>
      <c r="ACB64" s="2228"/>
      <c r="ACC64" s="2228"/>
      <c r="ACD64" s="2228"/>
      <c r="ACE64" s="2228"/>
      <c r="ACF64" s="2228"/>
      <c r="ACG64" s="2228"/>
      <c r="ACH64" s="2228"/>
      <c r="ACI64" s="2228"/>
      <c r="ACJ64" s="2228"/>
      <c r="ACK64" s="2228"/>
      <c r="ACL64" s="2228"/>
      <c r="ACM64" s="2228"/>
      <c r="ACN64" s="2227"/>
      <c r="ACO64" s="2228"/>
      <c r="ACP64" s="2228"/>
      <c r="ACQ64" s="2228"/>
      <c r="ACR64" s="2228"/>
      <c r="ACS64" s="2228"/>
      <c r="ACT64" s="2228"/>
      <c r="ACU64" s="2228"/>
      <c r="ACV64" s="2228"/>
      <c r="ACW64" s="2228"/>
      <c r="ACX64" s="2228"/>
      <c r="ACY64" s="2228"/>
      <c r="ACZ64" s="2228"/>
      <c r="ADA64" s="2228"/>
      <c r="ADB64" s="2228"/>
      <c r="ADC64" s="2228"/>
      <c r="ADD64" s="2227"/>
      <c r="ADE64" s="2228"/>
      <c r="ADF64" s="2228"/>
      <c r="ADG64" s="2228"/>
      <c r="ADH64" s="2228"/>
      <c r="ADI64" s="2228"/>
      <c r="ADJ64" s="2228"/>
      <c r="ADK64" s="2228"/>
      <c r="ADL64" s="2228"/>
      <c r="ADM64" s="2228"/>
      <c r="ADN64" s="2228"/>
      <c r="ADO64" s="2228"/>
      <c r="ADP64" s="2228"/>
      <c r="ADQ64" s="2228"/>
      <c r="ADR64" s="2228"/>
      <c r="ADS64" s="2228"/>
      <c r="ADT64" s="2227"/>
      <c r="ADU64" s="2228"/>
      <c r="ADV64" s="2228"/>
      <c r="ADW64" s="2228"/>
      <c r="ADX64" s="2228"/>
      <c r="ADY64" s="2228"/>
      <c r="ADZ64" s="2228"/>
      <c r="AEA64" s="2228"/>
      <c r="AEB64" s="2228"/>
      <c r="AEC64" s="2228"/>
      <c r="AED64" s="2228"/>
      <c r="AEE64" s="2228"/>
      <c r="AEF64" s="2228"/>
      <c r="AEG64" s="2228"/>
      <c r="AEH64" s="2228"/>
      <c r="AEI64" s="2228"/>
      <c r="AEJ64" s="2227"/>
      <c r="AEK64" s="2228"/>
      <c r="AEL64" s="2228"/>
      <c r="AEM64" s="2228"/>
      <c r="AEN64" s="2228"/>
      <c r="AEO64" s="2228"/>
      <c r="AEP64" s="2228"/>
      <c r="AEQ64" s="2228"/>
      <c r="AER64" s="2228"/>
      <c r="AES64" s="2228"/>
      <c r="AET64" s="2228"/>
      <c r="AEU64" s="2228"/>
      <c r="AEV64" s="2228"/>
      <c r="AEW64" s="2228"/>
      <c r="AEX64" s="2228"/>
      <c r="AEY64" s="2228"/>
      <c r="AEZ64" s="2227"/>
      <c r="AFA64" s="2228"/>
      <c r="AFB64" s="2228"/>
      <c r="AFC64" s="2228"/>
      <c r="AFD64" s="2228"/>
      <c r="AFE64" s="2228"/>
      <c r="AFF64" s="2228"/>
      <c r="AFG64" s="2228"/>
      <c r="AFH64" s="2228"/>
      <c r="AFI64" s="2228"/>
      <c r="AFJ64" s="2228"/>
      <c r="AFK64" s="2228"/>
      <c r="AFL64" s="2228"/>
      <c r="AFM64" s="2228"/>
      <c r="AFN64" s="2228"/>
      <c r="AFO64" s="2228"/>
      <c r="AFP64" s="2227"/>
      <c r="AFQ64" s="2228"/>
      <c r="AFR64" s="2228"/>
      <c r="AFS64" s="2228"/>
      <c r="AFT64" s="2228"/>
      <c r="AFU64" s="2228"/>
      <c r="AFV64" s="2228"/>
      <c r="AFW64" s="2228"/>
      <c r="AFX64" s="2228"/>
      <c r="AFY64" s="2228"/>
      <c r="AFZ64" s="2228"/>
      <c r="AGA64" s="2228"/>
      <c r="AGB64" s="2228"/>
      <c r="AGC64" s="2228"/>
      <c r="AGD64" s="2228"/>
      <c r="AGE64" s="2228"/>
      <c r="AGF64" s="2227"/>
      <c r="AGG64" s="2228"/>
      <c r="AGH64" s="2228"/>
      <c r="AGI64" s="2228"/>
      <c r="AGJ64" s="2228"/>
      <c r="AGK64" s="2228"/>
      <c r="AGL64" s="2228"/>
      <c r="AGM64" s="2228"/>
      <c r="AGN64" s="2228"/>
      <c r="AGO64" s="2228"/>
      <c r="AGP64" s="2228"/>
      <c r="AGQ64" s="2228"/>
      <c r="AGR64" s="2228"/>
      <c r="AGS64" s="2228"/>
      <c r="AGT64" s="2228"/>
      <c r="AGU64" s="2228"/>
      <c r="AGV64" s="2227"/>
      <c r="AGW64" s="2228"/>
      <c r="AGX64" s="2228"/>
      <c r="AGY64" s="2228"/>
      <c r="AGZ64" s="2228"/>
      <c r="AHA64" s="2228"/>
      <c r="AHB64" s="2228"/>
      <c r="AHC64" s="2228"/>
      <c r="AHD64" s="2228"/>
      <c r="AHE64" s="2228"/>
      <c r="AHF64" s="2228"/>
      <c r="AHG64" s="2228"/>
      <c r="AHH64" s="2228"/>
      <c r="AHI64" s="2228"/>
      <c r="AHJ64" s="2228"/>
      <c r="AHK64" s="2228"/>
      <c r="AHL64" s="2227"/>
      <c r="AHM64" s="2228"/>
      <c r="AHN64" s="2228"/>
      <c r="AHO64" s="2228"/>
      <c r="AHP64" s="2228"/>
      <c r="AHQ64" s="2228"/>
      <c r="AHR64" s="2228"/>
      <c r="AHS64" s="2228"/>
      <c r="AHT64" s="2228"/>
      <c r="AHU64" s="2228"/>
      <c r="AHV64" s="2228"/>
      <c r="AHW64" s="2228"/>
      <c r="AHX64" s="2228"/>
      <c r="AHY64" s="2228"/>
      <c r="AHZ64" s="2228"/>
      <c r="AIA64" s="2228"/>
      <c r="AIB64" s="2227"/>
      <c r="AIC64" s="2228"/>
      <c r="AID64" s="2228"/>
      <c r="AIE64" s="2228"/>
      <c r="AIF64" s="2228"/>
      <c r="AIG64" s="2228"/>
      <c r="AIH64" s="2228"/>
      <c r="AII64" s="2228"/>
      <c r="AIJ64" s="2228"/>
      <c r="AIK64" s="2228"/>
      <c r="AIL64" s="2228"/>
      <c r="AIM64" s="2228"/>
      <c r="AIN64" s="2228"/>
      <c r="AIO64" s="2228"/>
      <c r="AIP64" s="2228"/>
      <c r="AIQ64" s="2228"/>
      <c r="AIR64" s="2227"/>
      <c r="AIS64" s="2228"/>
      <c r="AIT64" s="2228"/>
      <c r="AIU64" s="2228"/>
      <c r="AIV64" s="2228"/>
      <c r="AIW64" s="2228"/>
      <c r="AIX64" s="2228"/>
      <c r="AIY64" s="2228"/>
      <c r="AIZ64" s="2228"/>
      <c r="AJA64" s="2228"/>
      <c r="AJB64" s="2228"/>
      <c r="AJC64" s="2228"/>
      <c r="AJD64" s="2228"/>
      <c r="AJE64" s="2228"/>
      <c r="AJF64" s="2228"/>
      <c r="AJG64" s="2228"/>
      <c r="AJH64" s="2227"/>
      <c r="AJI64" s="2228"/>
      <c r="AJJ64" s="2228"/>
      <c r="AJK64" s="2228"/>
      <c r="AJL64" s="2228"/>
      <c r="AJM64" s="2228"/>
      <c r="AJN64" s="2228"/>
      <c r="AJO64" s="2228"/>
      <c r="AJP64" s="2228"/>
      <c r="AJQ64" s="2228"/>
      <c r="AJR64" s="2228"/>
      <c r="AJS64" s="2228"/>
      <c r="AJT64" s="2228"/>
      <c r="AJU64" s="2228"/>
      <c r="AJV64" s="2228"/>
      <c r="AJW64" s="2228"/>
      <c r="AJX64" s="2227"/>
      <c r="AJY64" s="2228"/>
      <c r="AJZ64" s="2228"/>
      <c r="AKA64" s="2228"/>
      <c r="AKB64" s="2228"/>
      <c r="AKC64" s="2228"/>
      <c r="AKD64" s="2228"/>
      <c r="AKE64" s="2228"/>
      <c r="AKF64" s="2228"/>
      <c r="AKG64" s="2228"/>
      <c r="AKH64" s="2228"/>
      <c r="AKI64" s="2228"/>
      <c r="AKJ64" s="2228"/>
      <c r="AKK64" s="2228"/>
      <c r="AKL64" s="2228"/>
      <c r="AKM64" s="2228"/>
      <c r="AKN64" s="2227"/>
      <c r="AKO64" s="2228"/>
      <c r="AKP64" s="2228"/>
      <c r="AKQ64" s="2228"/>
      <c r="AKR64" s="2228"/>
      <c r="AKS64" s="2228"/>
      <c r="AKT64" s="2228"/>
      <c r="AKU64" s="2228"/>
      <c r="AKV64" s="2228"/>
      <c r="AKW64" s="2228"/>
      <c r="AKX64" s="2228"/>
      <c r="AKY64" s="2228"/>
      <c r="AKZ64" s="2228"/>
      <c r="ALA64" s="2228"/>
      <c r="ALB64" s="2228"/>
      <c r="ALC64" s="2228"/>
      <c r="ALD64" s="2227"/>
      <c r="ALE64" s="2228"/>
      <c r="ALF64" s="2228"/>
      <c r="ALG64" s="2228"/>
      <c r="ALH64" s="2228"/>
      <c r="ALI64" s="2228"/>
      <c r="ALJ64" s="2228"/>
      <c r="ALK64" s="2228"/>
      <c r="ALL64" s="2228"/>
      <c r="ALM64" s="2228"/>
      <c r="ALN64" s="2228"/>
      <c r="ALO64" s="2228"/>
      <c r="ALP64" s="2228"/>
      <c r="ALQ64" s="2228"/>
      <c r="ALR64" s="2228"/>
      <c r="ALS64" s="2228"/>
      <c r="ALT64" s="2227"/>
      <c r="ALU64" s="2228"/>
      <c r="ALV64" s="2228"/>
      <c r="ALW64" s="2228"/>
      <c r="ALX64" s="2228"/>
      <c r="ALY64" s="2228"/>
      <c r="ALZ64" s="2228"/>
      <c r="AMA64" s="2228"/>
      <c r="AMB64" s="2228"/>
      <c r="AMC64" s="2228"/>
      <c r="AMD64" s="2228"/>
      <c r="AME64" s="2228"/>
      <c r="AMF64" s="2228"/>
      <c r="AMG64" s="2228"/>
      <c r="AMH64" s="2228"/>
      <c r="AMI64" s="2228"/>
      <c r="AMJ64" s="2227"/>
      <c r="AMK64" s="2228"/>
      <c r="AML64" s="2228"/>
      <c r="AMM64" s="2228"/>
      <c r="AMN64" s="2228"/>
      <c r="AMO64" s="2228"/>
      <c r="AMP64" s="2228"/>
      <c r="AMQ64" s="2228"/>
      <c r="AMR64" s="2228"/>
      <c r="AMS64" s="2228"/>
      <c r="AMT64" s="2228"/>
      <c r="AMU64" s="2228"/>
      <c r="AMV64" s="2228"/>
      <c r="AMW64" s="2228"/>
      <c r="AMX64" s="2228"/>
      <c r="AMY64" s="2228"/>
      <c r="AMZ64" s="2227"/>
      <c r="ANA64" s="2228"/>
      <c r="ANB64" s="2228"/>
      <c r="ANC64" s="2228"/>
      <c r="AND64" s="2228"/>
      <c r="ANE64" s="2228"/>
      <c r="ANF64" s="2228"/>
      <c r="ANG64" s="2228"/>
      <c r="ANH64" s="2228"/>
      <c r="ANI64" s="2228"/>
      <c r="ANJ64" s="2228"/>
      <c r="ANK64" s="2228"/>
      <c r="ANL64" s="2228"/>
      <c r="ANM64" s="2228"/>
      <c r="ANN64" s="2228"/>
      <c r="ANO64" s="2228"/>
      <c r="ANP64" s="2227"/>
      <c r="ANQ64" s="2228"/>
      <c r="ANR64" s="2228"/>
      <c r="ANS64" s="2228"/>
      <c r="ANT64" s="2228"/>
      <c r="ANU64" s="2228"/>
      <c r="ANV64" s="2228"/>
      <c r="ANW64" s="2228"/>
      <c r="ANX64" s="2228"/>
      <c r="ANY64" s="2228"/>
      <c r="ANZ64" s="2228"/>
      <c r="AOA64" s="2228"/>
      <c r="AOB64" s="2228"/>
      <c r="AOC64" s="2228"/>
      <c r="AOD64" s="2228"/>
      <c r="AOE64" s="2228"/>
      <c r="AOF64" s="2227"/>
      <c r="AOG64" s="2228"/>
      <c r="AOH64" s="2228"/>
      <c r="AOI64" s="2228"/>
      <c r="AOJ64" s="2228"/>
      <c r="AOK64" s="2228"/>
      <c r="AOL64" s="2228"/>
      <c r="AOM64" s="2228"/>
      <c r="AON64" s="2228"/>
      <c r="AOO64" s="2228"/>
      <c r="AOP64" s="2228"/>
      <c r="AOQ64" s="2228"/>
      <c r="AOR64" s="2228"/>
      <c r="AOS64" s="2228"/>
      <c r="AOT64" s="2228"/>
      <c r="AOU64" s="2228"/>
      <c r="AOV64" s="2227"/>
      <c r="AOW64" s="2228"/>
      <c r="AOX64" s="2228"/>
      <c r="AOY64" s="2228"/>
      <c r="AOZ64" s="2228"/>
      <c r="APA64" s="2228"/>
      <c r="APB64" s="2228"/>
      <c r="APC64" s="2228"/>
      <c r="APD64" s="2228"/>
      <c r="APE64" s="2228"/>
      <c r="APF64" s="2228"/>
      <c r="APG64" s="2228"/>
      <c r="APH64" s="2228"/>
      <c r="API64" s="2228"/>
      <c r="APJ64" s="2228"/>
      <c r="APK64" s="2228"/>
      <c r="APL64" s="2227"/>
      <c r="APM64" s="2228"/>
      <c r="APN64" s="2228"/>
      <c r="APO64" s="2228"/>
      <c r="APP64" s="2228"/>
      <c r="APQ64" s="2228"/>
      <c r="APR64" s="2228"/>
      <c r="APS64" s="2228"/>
      <c r="APT64" s="2228"/>
      <c r="APU64" s="2228"/>
      <c r="APV64" s="2228"/>
      <c r="APW64" s="2228"/>
      <c r="APX64" s="2228"/>
      <c r="APY64" s="2228"/>
      <c r="APZ64" s="2228"/>
      <c r="AQA64" s="2228"/>
      <c r="AQB64" s="2227"/>
      <c r="AQC64" s="2228"/>
      <c r="AQD64" s="2228"/>
      <c r="AQE64" s="2228"/>
      <c r="AQF64" s="2228"/>
      <c r="AQG64" s="2228"/>
      <c r="AQH64" s="2228"/>
      <c r="AQI64" s="2228"/>
      <c r="AQJ64" s="2228"/>
      <c r="AQK64" s="2228"/>
      <c r="AQL64" s="2228"/>
      <c r="AQM64" s="2228"/>
      <c r="AQN64" s="2228"/>
      <c r="AQO64" s="2228"/>
      <c r="AQP64" s="2228"/>
      <c r="AQQ64" s="2228"/>
      <c r="AQR64" s="2227"/>
      <c r="AQS64" s="2228"/>
      <c r="AQT64" s="2228"/>
      <c r="AQU64" s="2228"/>
      <c r="AQV64" s="2228"/>
      <c r="AQW64" s="2228"/>
      <c r="AQX64" s="2228"/>
      <c r="AQY64" s="2228"/>
      <c r="AQZ64" s="2228"/>
      <c r="ARA64" s="2228"/>
      <c r="ARB64" s="2228"/>
      <c r="ARC64" s="2228"/>
      <c r="ARD64" s="2228"/>
      <c r="ARE64" s="2228"/>
      <c r="ARF64" s="2228"/>
      <c r="ARG64" s="2228"/>
      <c r="ARH64" s="2227"/>
      <c r="ARI64" s="2228"/>
      <c r="ARJ64" s="2228"/>
      <c r="ARK64" s="2228"/>
      <c r="ARL64" s="2228"/>
      <c r="ARM64" s="2228"/>
      <c r="ARN64" s="2228"/>
      <c r="ARO64" s="2228"/>
      <c r="ARP64" s="2228"/>
      <c r="ARQ64" s="2228"/>
      <c r="ARR64" s="2228"/>
      <c r="ARS64" s="2228"/>
      <c r="ART64" s="2228"/>
      <c r="ARU64" s="2228"/>
      <c r="ARV64" s="2228"/>
      <c r="ARW64" s="2228"/>
      <c r="ARX64" s="2227"/>
      <c r="ARY64" s="2228"/>
      <c r="ARZ64" s="2228"/>
      <c r="ASA64" s="2228"/>
      <c r="ASB64" s="2228"/>
      <c r="ASC64" s="2228"/>
      <c r="ASD64" s="2228"/>
      <c r="ASE64" s="2228"/>
      <c r="ASF64" s="2228"/>
      <c r="ASG64" s="2228"/>
      <c r="ASH64" s="2228"/>
      <c r="ASI64" s="2228"/>
      <c r="ASJ64" s="2228"/>
      <c r="ASK64" s="2228"/>
      <c r="ASL64" s="2228"/>
      <c r="ASM64" s="2228"/>
      <c r="ASN64" s="2227"/>
      <c r="ASO64" s="2228"/>
      <c r="ASP64" s="2228"/>
      <c r="ASQ64" s="2228"/>
      <c r="ASR64" s="2228"/>
      <c r="ASS64" s="2228"/>
      <c r="AST64" s="2228"/>
      <c r="ASU64" s="2228"/>
      <c r="ASV64" s="2228"/>
      <c r="ASW64" s="2228"/>
      <c r="ASX64" s="2228"/>
      <c r="ASY64" s="2228"/>
      <c r="ASZ64" s="2228"/>
      <c r="ATA64" s="2228"/>
      <c r="ATB64" s="2228"/>
      <c r="ATC64" s="2228"/>
      <c r="ATD64" s="2227"/>
      <c r="ATE64" s="2228"/>
      <c r="ATF64" s="2228"/>
      <c r="ATG64" s="2228"/>
      <c r="ATH64" s="2228"/>
      <c r="ATI64" s="2228"/>
      <c r="ATJ64" s="2228"/>
      <c r="ATK64" s="2228"/>
      <c r="ATL64" s="2228"/>
      <c r="ATM64" s="2228"/>
      <c r="ATN64" s="2228"/>
      <c r="ATO64" s="2228"/>
      <c r="ATP64" s="2228"/>
      <c r="ATQ64" s="2228"/>
      <c r="ATR64" s="2228"/>
      <c r="ATS64" s="2228"/>
      <c r="ATT64" s="2227"/>
      <c r="ATU64" s="2228"/>
      <c r="ATV64" s="2228"/>
      <c r="ATW64" s="2228"/>
      <c r="ATX64" s="2228"/>
      <c r="ATY64" s="2228"/>
      <c r="ATZ64" s="2228"/>
      <c r="AUA64" s="2228"/>
      <c r="AUB64" s="2228"/>
      <c r="AUC64" s="2228"/>
      <c r="AUD64" s="2228"/>
      <c r="AUE64" s="2228"/>
      <c r="AUF64" s="2228"/>
      <c r="AUG64" s="2228"/>
      <c r="AUH64" s="2228"/>
      <c r="AUI64" s="2228"/>
      <c r="AUJ64" s="2227"/>
      <c r="AUK64" s="2228"/>
      <c r="AUL64" s="2228"/>
      <c r="AUM64" s="2228"/>
      <c r="AUN64" s="2228"/>
      <c r="AUO64" s="2228"/>
      <c r="AUP64" s="2228"/>
      <c r="AUQ64" s="2228"/>
      <c r="AUR64" s="2228"/>
      <c r="AUS64" s="2228"/>
      <c r="AUT64" s="2228"/>
      <c r="AUU64" s="2228"/>
      <c r="AUV64" s="2228"/>
      <c r="AUW64" s="2228"/>
      <c r="AUX64" s="2228"/>
      <c r="AUY64" s="2228"/>
      <c r="AUZ64" s="2227"/>
      <c r="AVA64" s="2228"/>
      <c r="AVB64" s="2228"/>
      <c r="AVC64" s="2228"/>
      <c r="AVD64" s="2228"/>
      <c r="AVE64" s="2228"/>
      <c r="AVF64" s="2228"/>
      <c r="AVG64" s="2228"/>
      <c r="AVH64" s="2228"/>
      <c r="AVI64" s="2228"/>
      <c r="AVJ64" s="2228"/>
      <c r="AVK64" s="2228"/>
      <c r="AVL64" s="2228"/>
      <c r="AVM64" s="2228"/>
      <c r="AVN64" s="2228"/>
      <c r="AVO64" s="2228"/>
      <c r="AVP64" s="2227"/>
      <c r="AVQ64" s="2228"/>
      <c r="AVR64" s="2228"/>
      <c r="AVS64" s="2228"/>
      <c r="AVT64" s="2228"/>
      <c r="AVU64" s="2228"/>
      <c r="AVV64" s="2228"/>
      <c r="AVW64" s="2228"/>
      <c r="AVX64" s="2228"/>
      <c r="AVY64" s="2228"/>
      <c r="AVZ64" s="2228"/>
      <c r="AWA64" s="2228"/>
      <c r="AWB64" s="2228"/>
      <c r="AWC64" s="2228"/>
      <c r="AWD64" s="2228"/>
      <c r="AWE64" s="2228"/>
      <c r="AWF64" s="2227"/>
      <c r="AWG64" s="2228"/>
      <c r="AWH64" s="2228"/>
      <c r="AWI64" s="2228"/>
      <c r="AWJ64" s="2228"/>
      <c r="AWK64" s="2228"/>
      <c r="AWL64" s="2228"/>
      <c r="AWM64" s="2228"/>
      <c r="AWN64" s="2228"/>
      <c r="AWO64" s="2228"/>
      <c r="AWP64" s="2228"/>
      <c r="AWQ64" s="2228"/>
      <c r="AWR64" s="2228"/>
      <c r="AWS64" s="2228"/>
      <c r="AWT64" s="2228"/>
      <c r="AWU64" s="2228"/>
      <c r="AWV64" s="2227"/>
      <c r="AWW64" s="2228"/>
      <c r="AWX64" s="2228"/>
      <c r="AWY64" s="2228"/>
      <c r="AWZ64" s="2228"/>
      <c r="AXA64" s="2228"/>
      <c r="AXB64" s="2228"/>
      <c r="AXC64" s="2228"/>
      <c r="AXD64" s="2228"/>
      <c r="AXE64" s="2228"/>
      <c r="AXF64" s="2228"/>
      <c r="AXG64" s="2228"/>
      <c r="AXH64" s="2228"/>
      <c r="AXI64" s="2228"/>
      <c r="AXJ64" s="2228"/>
      <c r="AXK64" s="2228"/>
      <c r="AXL64" s="2227"/>
      <c r="AXM64" s="2228"/>
      <c r="AXN64" s="2228"/>
      <c r="AXO64" s="2228"/>
      <c r="AXP64" s="2228"/>
      <c r="AXQ64" s="2228"/>
      <c r="AXR64" s="2228"/>
      <c r="AXS64" s="2228"/>
      <c r="AXT64" s="2228"/>
      <c r="AXU64" s="2228"/>
      <c r="AXV64" s="2228"/>
      <c r="AXW64" s="2228"/>
      <c r="AXX64" s="2228"/>
      <c r="AXY64" s="2228"/>
      <c r="AXZ64" s="2228"/>
      <c r="AYA64" s="2228"/>
      <c r="AYB64" s="2227"/>
      <c r="AYC64" s="2228"/>
      <c r="AYD64" s="2228"/>
      <c r="AYE64" s="2228"/>
      <c r="AYF64" s="2228"/>
      <c r="AYG64" s="2228"/>
      <c r="AYH64" s="2228"/>
      <c r="AYI64" s="2228"/>
      <c r="AYJ64" s="2228"/>
      <c r="AYK64" s="2228"/>
      <c r="AYL64" s="2228"/>
      <c r="AYM64" s="2228"/>
      <c r="AYN64" s="2228"/>
      <c r="AYO64" s="2228"/>
      <c r="AYP64" s="2228"/>
      <c r="AYQ64" s="2228"/>
      <c r="AYR64" s="2227"/>
      <c r="AYS64" s="2228"/>
      <c r="AYT64" s="2228"/>
      <c r="AYU64" s="2228"/>
      <c r="AYV64" s="2228"/>
      <c r="AYW64" s="2228"/>
      <c r="AYX64" s="2228"/>
      <c r="AYY64" s="2228"/>
      <c r="AYZ64" s="2228"/>
      <c r="AZA64" s="2228"/>
      <c r="AZB64" s="2228"/>
      <c r="AZC64" s="2228"/>
      <c r="AZD64" s="2228"/>
      <c r="AZE64" s="2228"/>
      <c r="AZF64" s="2228"/>
      <c r="AZG64" s="2228"/>
      <c r="AZH64" s="2227"/>
      <c r="AZI64" s="2228"/>
      <c r="AZJ64" s="2228"/>
      <c r="AZK64" s="2228"/>
      <c r="AZL64" s="2228"/>
      <c r="AZM64" s="2228"/>
      <c r="AZN64" s="2228"/>
      <c r="AZO64" s="2228"/>
      <c r="AZP64" s="2228"/>
      <c r="AZQ64" s="2228"/>
      <c r="AZR64" s="2228"/>
      <c r="AZS64" s="2228"/>
      <c r="AZT64" s="2228"/>
      <c r="AZU64" s="2228"/>
      <c r="AZV64" s="2228"/>
      <c r="AZW64" s="2228"/>
      <c r="AZX64" s="2227"/>
      <c r="AZY64" s="2228"/>
      <c r="AZZ64" s="2228"/>
      <c r="BAA64" s="2228"/>
      <c r="BAB64" s="2228"/>
      <c r="BAC64" s="2228"/>
      <c r="BAD64" s="2228"/>
      <c r="BAE64" s="2228"/>
      <c r="BAF64" s="2228"/>
      <c r="BAG64" s="2228"/>
      <c r="BAH64" s="2228"/>
      <c r="BAI64" s="2228"/>
      <c r="BAJ64" s="2228"/>
      <c r="BAK64" s="2228"/>
      <c r="BAL64" s="2228"/>
      <c r="BAM64" s="2228"/>
      <c r="BAN64" s="2227"/>
      <c r="BAO64" s="2228"/>
      <c r="BAP64" s="2228"/>
      <c r="BAQ64" s="2228"/>
      <c r="BAR64" s="2228"/>
      <c r="BAS64" s="2228"/>
      <c r="BAT64" s="2228"/>
      <c r="BAU64" s="2228"/>
      <c r="BAV64" s="2228"/>
      <c r="BAW64" s="2228"/>
      <c r="BAX64" s="2228"/>
      <c r="BAY64" s="2228"/>
      <c r="BAZ64" s="2228"/>
      <c r="BBA64" s="2228"/>
      <c r="BBB64" s="2228"/>
      <c r="BBC64" s="2228"/>
      <c r="BBD64" s="2227"/>
      <c r="BBE64" s="2228"/>
      <c r="BBF64" s="2228"/>
      <c r="BBG64" s="2228"/>
      <c r="BBH64" s="2228"/>
      <c r="BBI64" s="2228"/>
      <c r="BBJ64" s="2228"/>
      <c r="BBK64" s="2228"/>
      <c r="BBL64" s="2228"/>
      <c r="BBM64" s="2228"/>
      <c r="BBN64" s="2228"/>
      <c r="BBO64" s="2228"/>
      <c r="BBP64" s="2228"/>
      <c r="BBQ64" s="2228"/>
      <c r="BBR64" s="2228"/>
      <c r="BBS64" s="2228"/>
      <c r="BBT64" s="2227"/>
      <c r="BBU64" s="2228"/>
      <c r="BBV64" s="2228"/>
      <c r="BBW64" s="2228"/>
      <c r="BBX64" s="2228"/>
      <c r="BBY64" s="2228"/>
      <c r="BBZ64" s="2228"/>
      <c r="BCA64" s="2228"/>
      <c r="BCB64" s="2228"/>
      <c r="BCC64" s="2228"/>
      <c r="BCD64" s="2228"/>
      <c r="BCE64" s="2228"/>
      <c r="BCF64" s="2228"/>
      <c r="BCG64" s="2228"/>
      <c r="BCH64" s="2228"/>
      <c r="BCI64" s="2228"/>
      <c r="BCJ64" s="2227"/>
      <c r="BCK64" s="2228"/>
      <c r="BCL64" s="2228"/>
      <c r="BCM64" s="2228"/>
      <c r="BCN64" s="2228"/>
      <c r="BCO64" s="2228"/>
      <c r="BCP64" s="2228"/>
      <c r="BCQ64" s="2228"/>
      <c r="BCR64" s="2228"/>
      <c r="BCS64" s="2228"/>
      <c r="BCT64" s="2228"/>
      <c r="BCU64" s="2228"/>
      <c r="BCV64" s="2228"/>
      <c r="BCW64" s="2228"/>
      <c r="BCX64" s="2228"/>
      <c r="BCY64" s="2228"/>
      <c r="BCZ64" s="2227"/>
      <c r="BDA64" s="2228"/>
      <c r="BDB64" s="2228"/>
      <c r="BDC64" s="2228"/>
      <c r="BDD64" s="2228"/>
      <c r="BDE64" s="2228"/>
      <c r="BDF64" s="2228"/>
      <c r="BDG64" s="2228"/>
      <c r="BDH64" s="2228"/>
      <c r="BDI64" s="2228"/>
      <c r="BDJ64" s="2228"/>
      <c r="BDK64" s="2228"/>
      <c r="BDL64" s="2228"/>
      <c r="BDM64" s="2228"/>
      <c r="BDN64" s="2228"/>
      <c r="BDO64" s="2228"/>
      <c r="BDP64" s="2227"/>
      <c r="BDQ64" s="2228"/>
      <c r="BDR64" s="2228"/>
      <c r="BDS64" s="2228"/>
      <c r="BDT64" s="2228"/>
      <c r="BDU64" s="2228"/>
      <c r="BDV64" s="2228"/>
      <c r="BDW64" s="2228"/>
      <c r="BDX64" s="2228"/>
      <c r="BDY64" s="2228"/>
      <c r="BDZ64" s="2228"/>
      <c r="BEA64" s="2228"/>
      <c r="BEB64" s="2228"/>
      <c r="BEC64" s="2228"/>
      <c r="BED64" s="2228"/>
      <c r="BEE64" s="2228"/>
      <c r="BEF64" s="2227"/>
      <c r="BEG64" s="2228"/>
      <c r="BEH64" s="2228"/>
      <c r="BEI64" s="2228"/>
      <c r="BEJ64" s="2228"/>
      <c r="BEK64" s="2228"/>
      <c r="BEL64" s="2228"/>
      <c r="BEM64" s="2228"/>
      <c r="BEN64" s="2228"/>
      <c r="BEO64" s="2228"/>
      <c r="BEP64" s="2228"/>
      <c r="BEQ64" s="2228"/>
      <c r="BER64" s="2228"/>
      <c r="BES64" s="2228"/>
      <c r="BET64" s="2228"/>
      <c r="BEU64" s="2228"/>
      <c r="BEV64" s="2227"/>
      <c r="BEW64" s="2228"/>
      <c r="BEX64" s="2228"/>
      <c r="BEY64" s="2228"/>
      <c r="BEZ64" s="2228"/>
      <c r="BFA64" s="2228"/>
      <c r="BFB64" s="2228"/>
      <c r="BFC64" s="2228"/>
      <c r="BFD64" s="2228"/>
      <c r="BFE64" s="2228"/>
      <c r="BFF64" s="2228"/>
      <c r="BFG64" s="2228"/>
      <c r="BFH64" s="2228"/>
      <c r="BFI64" s="2228"/>
      <c r="BFJ64" s="2228"/>
      <c r="BFK64" s="2228"/>
      <c r="BFL64" s="2227"/>
      <c r="BFM64" s="2228"/>
      <c r="BFN64" s="2228"/>
      <c r="BFO64" s="2228"/>
      <c r="BFP64" s="2228"/>
      <c r="BFQ64" s="2228"/>
      <c r="BFR64" s="2228"/>
      <c r="BFS64" s="2228"/>
      <c r="BFT64" s="2228"/>
      <c r="BFU64" s="2228"/>
      <c r="BFV64" s="2228"/>
      <c r="BFW64" s="2228"/>
      <c r="BFX64" s="2228"/>
      <c r="BFY64" s="2228"/>
      <c r="BFZ64" s="2228"/>
      <c r="BGA64" s="2228"/>
      <c r="BGB64" s="2227"/>
      <c r="BGC64" s="2228"/>
      <c r="BGD64" s="2228"/>
      <c r="BGE64" s="2228"/>
      <c r="BGF64" s="2228"/>
      <c r="BGG64" s="2228"/>
      <c r="BGH64" s="2228"/>
      <c r="BGI64" s="2228"/>
      <c r="BGJ64" s="2228"/>
      <c r="BGK64" s="2228"/>
      <c r="BGL64" s="2228"/>
      <c r="BGM64" s="2228"/>
      <c r="BGN64" s="2228"/>
      <c r="BGO64" s="2228"/>
      <c r="BGP64" s="2228"/>
      <c r="BGQ64" s="2228"/>
      <c r="BGR64" s="2227"/>
      <c r="BGS64" s="2228"/>
      <c r="BGT64" s="2228"/>
      <c r="BGU64" s="2228"/>
      <c r="BGV64" s="2228"/>
      <c r="BGW64" s="2228"/>
      <c r="BGX64" s="2228"/>
      <c r="BGY64" s="2228"/>
      <c r="BGZ64" s="2228"/>
      <c r="BHA64" s="2228"/>
      <c r="BHB64" s="2228"/>
      <c r="BHC64" s="2228"/>
      <c r="BHD64" s="2228"/>
      <c r="BHE64" s="2228"/>
      <c r="BHF64" s="2228"/>
      <c r="BHG64" s="2228"/>
      <c r="BHH64" s="2227"/>
      <c r="BHI64" s="2228"/>
      <c r="BHJ64" s="2228"/>
      <c r="BHK64" s="2228"/>
      <c r="BHL64" s="2228"/>
      <c r="BHM64" s="2228"/>
      <c r="BHN64" s="2228"/>
      <c r="BHO64" s="2228"/>
      <c r="BHP64" s="2228"/>
      <c r="BHQ64" s="2228"/>
      <c r="BHR64" s="2228"/>
      <c r="BHS64" s="2228"/>
      <c r="BHT64" s="2228"/>
      <c r="BHU64" s="2228"/>
      <c r="BHV64" s="2228"/>
      <c r="BHW64" s="2228"/>
      <c r="BHX64" s="2227"/>
      <c r="BHY64" s="2228"/>
      <c r="BHZ64" s="2228"/>
      <c r="BIA64" s="2228"/>
      <c r="BIB64" s="2228"/>
      <c r="BIC64" s="2228"/>
      <c r="BID64" s="2228"/>
      <c r="BIE64" s="2228"/>
      <c r="BIF64" s="2228"/>
      <c r="BIG64" s="2228"/>
      <c r="BIH64" s="2228"/>
      <c r="BII64" s="2228"/>
      <c r="BIJ64" s="2228"/>
      <c r="BIK64" s="2228"/>
      <c r="BIL64" s="2228"/>
      <c r="BIM64" s="2228"/>
      <c r="BIN64" s="2227"/>
      <c r="BIO64" s="2228"/>
      <c r="BIP64" s="2228"/>
      <c r="BIQ64" s="2228"/>
      <c r="BIR64" s="2228"/>
      <c r="BIS64" s="2228"/>
      <c r="BIT64" s="2228"/>
      <c r="BIU64" s="2228"/>
      <c r="BIV64" s="2228"/>
      <c r="BIW64" s="2228"/>
      <c r="BIX64" s="2228"/>
      <c r="BIY64" s="2228"/>
      <c r="BIZ64" s="2228"/>
      <c r="BJA64" s="2228"/>
      <c r="BJB64" s="2228"/>
      <c r="BJC64" s="2228"/>
      <c r="BJD64" s="2227"/>
      <c r="BJE64" s="2228"/>
      <c r="BJF64" s="2228"/>
      <c r="BJG64" s="2228"/>
      <c r="BJH64" s="2228"/>
      <c r="BJI64" s="2228"/>
      <c r="BJJ64" s="2228"/>
      <c r="BJK64" s="2228"/>
      <c r="BJL64" s="2228"/>
      <c r="BJM64" s="2228"/>
      <c r="BJN64" s="2228"/>
      <c r="BJO64" s="2228"/>
      <c r="BJP64" s="2228"/>
      <c r="BJQ64" s="2228"/>
      <c r="BJR64" s="2228"/>
      <c r="BJS64" s="2228"/>
      <c r="BJT64" s="2227"/>
      <c r="BJU64" s="2228"/>
      <c r="BJV64" s="2228"/>
      <c r="BJW64" s="2228"/>
      <c r="BJX64" s="2228"/>
      <c r="BJY64" s="2228"/>
      <c r="BJZ64" s="2228"/>
      <c r="BKA64" s="2228"/>
      <c r="BKB64" s="2228"/>
      <c r="BKC64" s="2228"/>
      <c r="BKD64" s="2228"/>
      <c r="BKE64" s="2228"/>
      <c r="BKF64" s="2228"/>
      <c r="BKG64" s="2228"/>
      <c r="BKH64" s="2228"/>
      <c r="BKI64" s="2228"/>
      <c r="BKJ64" s="2227"/>
      <c r="BKK64" s="2228"/>
      <c r="BKL64" s="2228"/>
      <c r="BKM64" s="2228"/>
      <c r="BKN64" s="2228"/>
      <c r="BKO64" s="2228"/>
      <c r="BKP64" s="2228"/>
      <c r="BKQ64" s="2228"/>
      <c r="BKR64" s="2228"/>
      <c r="BKS64" s="2228"/>
      <c r="BKT64" s="2228"/>
      <c r="BKU64" s="2228"/>
      <c r="BKV64" s="2228"/>
      <c r="BKW64" s="2228"/>
      <c r="BKX64" s="2228"/>
      <c r="BKY64" s="2228"/>
      <c r="BKZ64" s="2227"/>
      <c r="BLA64" s="2228"/>
      <c r="BLB64" s="2228"/>
      <c r="BLC64" s="2228"/>
      <c r="BLD64" s="2228"/>
      <c r="BLE64" s="2228"/>
      <c r="BLF64" s="2228"/>
      <c r="BLG64" s="2228"/>
      <c r="BLH64" s="2228"/>
      <c r="BLI64" s="2228"/>
      <c r="BLJ64" s="2228"/>
      <c r="BLK64" s="2228"/>
      <c r="BLL64" s="2228"/>
      <c r="BLM64" s="2228"/>
      <c r="BLN64" s="2228"/>
      <c r="BLO64" s="2228"/>
      <c r="BLP64" s="2227"/>
      <c r="BLQ64" s="2228"/>
      <c r="BLR64" s="2228"/>
      <c r="BLS64" s="2228"/>
      <c r="BLT64" s="2228"/>
      <c r="BLU64" s="2228"/>
      <c r="BLV64" s="2228"/>
      <c r="BLW64" s="2228"/>
      <c r="BLX64" s="2228"/>
      <c r="BLY64" s="2228"/>
      <c r="BLZ64" s="2228"/>
      <c r="BMA64" s="2228"/>
      <c r="BMB64" s="2228"/>
      <c r="BMC64" s="2228"/>
      <c r="BMD64" s="2228"/>
      <c r="BME64" s="2228"/>
      <c r="BMF64" s="2227"/>
      <c r="BMG64" s="2228"/>
      <c r="BMH64" s="2228"/>
      <c r="BMI64" s="2228"/>
      <c r="BMJ64" s="2228"/>
      <c r="BMK64" s="2228"/>
      <c r="BML64" s="2228"/>
      <c r="BMM64" s="2228"/>
      <c r="BMN64" s="2228"/>
      <c r="BMO64" s="2228"/>
      <c r="BMP64" s="2228"/>
      <c r="BMQ64" s="2228"/>
      <c r="BMR64" s="2228"/>
      <c r="BMS64" s="2228"/>
      <c r="BMT64" s="2228"/>
      <c r="BMU64" s="2228"/>
      <c r="BMV64" s="2227"/>
      <c r="BMW64" s="2228"/>
      <c r="BMX64" s="2228"/>
      <c r="BMY64" s="2228"/>
      <c r="BMZ64" s="2228"/>
      <c r="BNA64" s="2228"/>
      <c r="BNB64" s="2228"/>
      <c r="BNC64" s="2228"/>
      <c r="BND64" s="2228"/>
      <c r="BNE64" s="2228"/>
      <c r="BNF64" s="2228"/>
      <c r="BNG64" s="2228"/>
      <c r="BNH64" s="2228"/>
      <c r="BNI64" s="2228"/>
      <c r="BNJ64" s="2228"/>
      <c r="BNK64" s="2228"/>
      <c r="BNL64" s="2227"/>
      <c r="BNM64" s="2228"/>
      <c r="BNN64" s="2228"/>
      <c r="BNO64" s="2228"/>
      <c r="BNP64" s="2228"/>
      <c r="BNQ64" s="2228"/>
      <c r="BNR64" s="2228"/>
      <c r="BNS64" s="2228"/>
      <c r="BNT64" s="2228"/>
      <c r="BNU64" s="2228"/>
      <c r="BNV64" s="2228"/>
      <c r="BNW64" s="2228"/>
      <c r="BNX64" s="2228"/>
      <c r="BNY64" s="2228"/>
      <c r="BNZ64" s="2228"/>
      <c r="BOA64" s="2228"/>
      <c r="BOB64" s="2227"/>
      <c r="BOC64" s="2228"/>
      <c r="BOD64" s="2228"/>
      <c r="BOE64" s="2228"/>
      <c r="BOF64" s="2228"/>
      <c r="BOG64" s="2228"/>
      <c r="BOH64" s="2228"/>
      <c r="BOI64" s="2228"/>
      <c r="BOJ64" s="2228"/>
      <c r="BOK64" s="2228"/>
      <c r="BOL64" s="2228"/>
      <c r="BOM64" s="2228"/>
      <c r="BON64" s="2228"/>
      <c r="BOO64" s="2228"/>
      <c r="BOP64" s="2228"/>
      <c r="BOQ64" s="2228"/>
      <c r="BOR64" s="2227"/>
      <c r="BOS64" s="2228"/>
      <c r="BOT64" s="2228"/>
      <c r="BOU64" s="2228"/>
      <c r="BOV64" s="2228"/>
      <c r="BOW64" s="2228"/>
      <c r="BOX64" s="2228"/>
      <c r="BOY64" s="2228"/>
      <c r="BOZ64" s="2228"/>
      <c r="BPA64" s="2228"/>
      <c r="BPB64" s="2228"/>
      <c r="BPC64" s="2228"/>
      <c r="BPD64" s="2228"/>
      <c r="BPE64" s="2228"/>
      <c r="BPF64" s="2228"/>
      <c r="BPG64" s="2228"/>
      <c r="BPH64" s="2227"/>
      <c r="BPI64" s="2228"/>
      <c r="BPJ64" s="2228"/>
      <c r="BPK64" s="2228"/>
      <c r="BPL64" s="2228"/>
      <c r="BPM64" s="2228"/>
      <c r="BPN64" s="2228"/>
      <c r="BPO64" s="2228"/>
      <c r="BPP64" s="2228"/>
      <c r="BPQ64" s="2228"/>
      <c r="BPR64" s="2228"/>
      <c r="BPS64" s="2228"/>
      <c r="BPT64" s="2228"/>
      <c r="BPU64" s="2228"/>
      <c r="BPV64" s="2228"/>
      <c r="BPW64" s="2228"/>
      <c r="BPX64" s="2227"/>
      <c r="BPY64" s="2228"/>
      <c r="BPZ64" s="2228"/>
      <c r="BQA64" s="2228"/>
      <c r="BQB64" s="2228"/>
      <c r="BQC64" s="2228"/>
      <c r="BQD64" s="2228"/>
      <c r="BQE64" s="2228"/>
      <c r="BQF64" s="2228"/>
      <c r="BQG64" s="2228"/>
      <c r="BQH64" s="2228"/>
      <c r="BQI64" s="2228"/>
      <c r="BQJ64" s="2228"/>
      <c r="BQK64" s="2228"/>
      <c r="BQL64" s="2228"/>
      <c r="BQM64" s="2228"/>
      <c r="BQN64" s="2227"/>
      <c r="BQO64" s="2228"/>
      <c r="BQP64" s="2228"/>
      <c r="BQQ64" s="2228"/>
      <c r="BQR64" s="2228"/>
      <c r="BQS64" s="2228"/>
      <c r="BQT64" s="2228"/>
      <c r="BQU64" s="2228"/>
      <c r="BQV64" s="2228"/>
      <c r="BQW64" s="2228"/>
      <c r="BQX64" s="2228"/>
      <c r="BQY64" s="2228"/>
      <c r="BQZ64" s="2228"/>
      <c r="BRA64" s="2228"/>
      <c r="BRB64" s="2228"/>
      <c r="BRC64" s="2228"/>
      <c r="BRD64" s="2227"/>
      <c r="BRE64" s="2228"/>
      <c r="BRF64" s="2228"/>
      <c r="BRG64" s="2228"/>
      <c r="BRH64" s="2228"/>
      <c r="BRI64" s="2228"/>
      <c r="BRJ64" s="2228"/>
      <c r="BRK64" s="2228"/>
      <c r="BRL64" s="2228"/>
      <c r="BRM64" s="2228"/>
      <c r="BRN64" s="2228"/>
      <c r="BRO64" s="2228"/>
      <c r="BRP64" s="2228"/>
      <c r="BRQ64" s="2228"/>
      <c r="BRR64" s="2228"/>
      <c r="BRS64" s="2228"/>
      <c r="BRT64" s="2227"/>
      <c r="BRU64" s="2228"/>
      <c r="BRV64" s="2228"/>
      <c r="BRW64" s="2228"/>
      <c r="BRX64" s="2228"/>
      <c r="BRY64" s="2228"/>
      <c r="BRZ64" s="2228"/>
      <c r="BSA64" s="2228"/>
      <c r="BSB64" s="2228"/>
      <c r="BSC64" s="2228"/>
      <c r="BSD64" s="2228"/>
      <c r="BSE64" s="2228"/>
      <c r="BSF64" s="2228"/>
      <c r="BSG64" s="2228"/>
      <c r="BSH64" s="2228"/>
      <c r="BSI64" s="2228"/>
      <c r="BSJ64" s="2227"/>
      <c r="BSK64" s="2228"/>
      <c r="BSL64" s="2228"/>
      <c r="BSM64" s="2228"/>
      <c r="BSN64" s="2228"/>
      <c r="BSO64" s="2228"/>
      <c r="BSP64" s="2228"/>
      <c r="BSQ64" s="2228"/>
      <c r="BSR64" s="2228"/>
      <c r="BSS64" s="2228"/>
      <c r="BST64" s="2228"/>
      <c r="BSU64" s="2228"/>
      <c r="BSV64" s="2228"/>
      <c r="BSW64" s="2228"/>
      <c r="BSX64" s="2228"/>
      <c r="BSY64" s="2228"/>
      <c r="BSZ64" s="2227"/>
      <c r="BTA64" s="2228"/>
      <c r="BTB64" s="2228"/>
      <c r="BTC64" s="2228"/>
      <c r="BTD64" s="2228"/>
      <c r="BTE64" s="2228"/>
      <c r="BTF64" s="2228"/>
      <c r="BTG64" s="2228"/>
      <c r="BTH64" s="2228"/>
      <c r="BTI64" s="2228"/>
      <c r="BTJ64" s="2228"/>
      <c r="BTK64" s="2228"/>
      <c r="BTL64" s="2228"/>
      <c r="BTM64" s="2228"/>
      <c r="BTN64" s="2228"/>
      <c r="BTO64" s="2228"/>
      <c r="BTP64" s="2227"/>
      <c r="BTQ64" s="2228"/>
      <c r="BTR64" s="2228"/>
      <c r="BTS64" s="2228"/>
      <c r="BTT64" s="2228"/>
      <c r="BTU64" s="2228"/>
      <c r="BTV64" s="2228"/>
      <c r="BTW64" s="2228"/>
      <c r="BTX64" s="2228"/>
      <c r="BTY64" s="2228"/>
      <c r="BTZ64" s="2228"/>
      <c r="BUA64" s="2228"/>
      <c r="BUB64" s="2228"/>
      <c r="BUC64" s="2228"/>
      <c r="BUD64" s="2228"/>
      <c r="BUE64" s="2228"/>
      <c r="BUF64" s="2227"/>
      <c r="BUG64" s="2228"/>
      <c r="BUH64" s="2228"/>
      <c r="BUI64" s="2228"/>
      <c r="BUJ64" s="2228"/>
      <c r="BUK64" s="2228"/>
      <c r="BUL64" s="2228"/>
      <c r="BUM64" s="2228"/>
      <c r="BUN64" s="2228"/>
      <c r="BUO64" s="2228"/>
      <c r="BUP64" s="2228"/>
      <c r="BUQ64" s="2228"/>
      <c r="BUR64" s="2228"/>
      <c r="BUS64" s="2228"/>
      <c r="BUT64" s="2228"/>
      <c r="BUU64" s="2228"/>
      <c r="BUV64" s="2227"/>
      <c r="BUW64" s="2228"/>
      <c r="BUX64" s="2228"/>
      <c r="BUY64" s="2228"/>
      <c r="BUZ64" s="2228"/>
      <c r="BVA64" s="2228"/>
      <c r="BVB64" s="2228"/>
      <c r="BVC64" s="2228"/>
      <c r="BVD64" s="2228"/>
      <c r="BVE64" s="2228"/>
      <c r="BVF64" s="2228"/>
      <c r="BVG64" s="2228"/>
      <c r="BVH64" s="2228"/>
      <c r="BVI64" s="2228"/>
      <c r="BVJ64" s="2228"/>
      <c r="BVK64" s="2228"/>
      <c r="BVL64" s="2227"/>
      <c r="BVM64" s="2228"/>
      <c r="BVN64" s="2228"/>
      <c r="BVO64" s="2228"/>
      <c r="BVP64" s="2228"/>
      <c r="BVQ64" s="2228"/>
      <c r="BVR64" s="2228"/>
      <c r="BVS64" s="2228"/>
      <c r="BVT64" s="2228"/>
      <c r="BVU64" s="2228"/>
      <c r="BVV64" s="2228"/>
      <c r="BVW64" s="2228"/>
      <c r="BVX64" s="2228"/>
      <c r="BVY64" s="2228"/>
      <c r="BVZ64" s="2228"/>
      <c r="BWA64" s="2228"/>
      <c r="BWB64" s="2227"/>
      <c r="BWC64" s="2228"/>
      <c r="BWD64" s="2228"/>
      <c r="BWE64" s="2228"/>
      <c r="BWF64" s="2228"/>
      <c r="BWG64" s="2228"/>
      <c r="BWH64" s="2228"/>
      <c r="BWI64" s="2228"/>
      <c r="BWJ64" s="2228"/>
      <c r="BWK64" s="2228"/>
      <c r="BWL64" s="2228"/>
      <c r="BWM64" s="2228"/>
      <c r="BWN64" s="2228"/>
      <c r="BWO64" s="2228"/>
      <c r="BWP64" s="2228"/>
      <c r="BWQ64" s="2228"/>
      <c r="BWR64" s="2227"/>
      <c r="BWS64" s="2228"/>
      <c r="BWT64" s="2228"/>
      <c r="BWU64" s="2228"/>
      <c r="BWV64" s="2228"/>
      <c r="BWW64" s="2228"/>
      <c r="BWX64" s="2228"/>
      <c r="BWY64" s="2228"/>
      <c r="BWZ64" s="2228"/>
      <c r="BXA64" s="2228"/>
      <c r="BXB64" s="2228"/>
      <c r="BXC64" s="2228"/>
      <c r="BXD64" s="2228"/>
      <c r="BXE64" s="2228"/>
      <c r="BXF64" s="2228"/>
      <c r="BXG64" s="2228"/>
      <c r="BXH64" s="2227"/>
      <c r="BXI64" s="2228"/>
      <c r="BXJ64" s="2228"/>
      <c r="BXK64" s="2228"/>
      <c r="BXL64" s="2228"/>
      <c r="BXM64" s="2228"/>
      <c r="BXN64" s="2228"/>
      <c r="BXO64" s="2228"/>
      <c r="BXP64" s="2228"/>
      <c r="BXQ64" s="2228"/>
      <c r="BXR64" s="2228"/>
      <c r="BXS64" s="2228"/>
      <c r="BXT64" s="2228"/>
      <c r="BXU64" s="2228"/>
      <c r="BXV64" s="2228"/>
      <c r="BXW64" s="2228"/>
      <c r="BXX64" s="2227"/>
      <c r="BXY64" s="2228"/>
      <c r="BXZ64" s="2228"/>
      <c r="BYA64" s="2228"/>
      <c r="BYB64" s="2228"/>
      <c r="BYC64" s="2228"/>
      <c r="BYD64" s="2228"/>
      <c r="BYE64" s="2228"/>
      <c r="BYF64" s="2228"/>
      <c r="BYG64" s="2228"/>
      <c r="BYH64" s="2228"/>
      <c r="BYI64" s="2228"/>
      <c r="BYJ64" s="2228"/>
      <c r="BYK64" s="2228"/>
      <c r="BYL64" s="2228"/>
      <c r="BYM64" s="2228"/>
      <c r="BYN64" s="2227"/>
      <c r="BYO64" s="2228"/>
      <c r="BYP64" s="2228"/>
      <c r="BYQ64" s="2228"/>
      <c r="BYR64" s="2228"/>
      <c r="BYS64" s="2228"/>
      <c r="BYT64" s="2228"/>
      <c r="BYU64" s="2228"/>
      <c r="BYV64" s="2228"/>
      <c r="BYW64" s="2228"/>
      <c r="BYX64" s="2228"/>
      <c r="BYY64" s="2228"/>
      <c r="BYZ64" s="2228"/>
      <c r="BZA64" s="2228"/>
      <c r="BZB64" s="2228"/>
      <c r="BZC64" s="2228"/>
      <c r="BZD64" s="2227"/>
      <c r="BZE64" s="2228"/>
      <c r="BZF64" s="2228"/>
      <c r="BZG64" s="2228"/>
      <c r="BZH64" s="2228"/>
      <c r="BZI64" s="2228"/>
      <c r="BZJ64" s="2228"/>
      <c r="BZK64" s="2228"/>
      <c r="BZL64" s="2228"/>
      <c r="BZM64" s="2228"/>
      <c r="BZN64" s="2228"/>
      <c r="BZO64" s="2228"/>
      <c r="BZP64" s="2228"/>
      <c r="BZQ64" s="2228"/>
      <c r="BZR64" s="2228"/>
      <c r="BZS64" s="2228"/>
      <c r="BZT64" s="2227"/>
      <c r="BZU64" s="2228"/>
      <c r="BZV64" s="2228"/>
      <c r="BZW64" s="2228"/>
      <c r="BZX64" s="2228"/>
      <c r="BZY64" s="2228"/>
      <c r="BZZ64" s="2228"/>
      <c r="CAA64" s="2228"/>
      <c r="CAB64" s="2228"/>
      <c r="CAC64" s="2228"/>
      <c r="CAD64" s="2228"/>
      <c r="CAE64" s="2228"/>
      <c r="CAF64" s="2228"/>
      <c r="CAG64" s="2228"/>
      <c r="CAH64" s="2228"/>
      <c r="CAI64" s="2228"/>
      <c r="CAJ64" s="2227"/>
      <c r="CAK64" s="2228"/>
      <c r="CAL64" s="2228"/>
      <c r="CAM64" s="2228"/>
      <c r="CAN64" s="2228"/>
      <c r="CAO64" s="2228"/>
      <c r="CAP64" s="2228"/>
      <c r="CAQ64" s="2228"/>
      <c r="CAR64" s="2228"/>
      <c r="CAS64" s="2228"/>
      <c r="CAT64" s="2228"/>
      <c r="CAU64" s="2228"/>
      <c r="CAV64" s="2228"/>
      <c r="CAW64" s="2228"/>
      <c r="CAX64" s="2228"/>
      <c r="CAY64" s="2228"/>
      <c r="CAZ64" s="2227"/>
      <c r="CBA64" s="2228"/>
      <c r="CBB64" s="2228"/>
      <c r="CBC64" s="2228"/>
      <c r="CBD64" s="2228"/>
      <c r="CBE64" s="2228"/>
      <c r="CBF64" s="2228"/>
      <c r="CBG64" s="2228"/>
      <c r="CBH64" s="2228"/>
      <c r="CBI64" s="2228"/>
      <c r="CBJ64" s="2228"/>
      <c r="CBK64" s="2228"/>
      <c r="CBL64" s="2228"/>
      <c r="CBM64" s="2228"/>
      <c r="CBN64" s="2228"/>
      <c r="CBO64" s="2228"/>
      <c r="CBP64" s="2227"/>
      <c r="CBQ64" s="2228"/>
      <c r="CBR64" s="2228"/>
      <c r="CBS64" s="2228"/>
      <c r="CBT64" s="2228"/>
      <c r="CBU64" s="2228"/>
      <c r="CBV64" s="2228"/>
      <c r="CBW64" s="2228"/>
      <c r="CBX64" s="2228"/>
      <c r="CBY64" s="2228"/>
      <c r="CBZ64" s="2228"/>
      <c r="CCA64" s="2228"/>
      <c r="CCB64" s="2228"/>
      <c r="CCC64" s="2228"/>
      <c r="CCD64" s="2228"/>
      <c r="CCE64" s="2228"/>
      <c r="CCF64" s="2227"/>
      <c r="CCG64" s="2228"/>
      <c r="CCH64" s="2228"/>
      <c r="CCI64" s="2228"/>
      <c r="CCJ64" s="2228"/>
      <c r="CCK64" s="2228"/>
      <c r="CCL64" s="2228"/>
      <c r="CCM64" s="2228"/>
      <c r="CCN64" s="2228"/>
      <c r="CCO64" s="2228"/>
      <c r="CCP64" s="2228"/>
      <c r="CCQ64" s="2228"/>
      <c r="CCR64" s="2228"/>
      <c r="CCS64" s="2228"/>
      <c r="CCT64" s="2228"/>
      <c r="CCU64" s="2228"/>
      <c r="CCV64" s="2227"/>
      <c r="CCW64" s="2228"/>
      <c r="CCX64" s="2228"/>
      <c r="CCY64" s="2228"/>
      <c r="CCZ64" s="2228"/>
      <c r="CDA64" s="2228"/>
      <c r="CDB64" s="2228"/>
      <c r="CDC64" s="2228"/>
      <c r="CDD64" s="2228"/>
      <c r="CDE64" s="2228"/>
      <c r="CDF64" s="2228"/>
      <c r="CDG64" s="2228"/>
      <c r="CDH64" s="2228"/>
      <c r="CDI64" s="2228"/>
      <c r="CDJ64" s="2228"/>
      <c r="CDK64" s="2228"/>
      <c r="CDL64" s="2227"/>
      <c r="CDM64" s="2228"/>
      <c r="CDN64" s="2228"/>
      <c r="CDO64" s="2228"/>
      <c r="CDP64" s="2228"/>
      <c r="CDQ64" s="2228"/>
      <c r="CDR64" s="2228"/>
      <c r="CDS64" s="2228"/>
      <c r="CDT64" s="2228"/>
      <c r="CDU64" s="2228"/>
      <c r="CDV64" s="2228"/>
      <c r="CDW64" s="2228"/>
      <c r="CDX64" s="2228"/>
      <c r="CDY64" s="2228"/>
      <c r="CDZ64" s="2228"/>
      <c r="CEA64" s="2228"/>
      <c r="CEB64" s="2227"/>
      <c r="CEC64" s="2228"/>
      <c r="CED64" s="2228"/>
      <c r="CEE64" s="2228"/>
      <c r="CEF64" s="2228"/>
      <c r="CEG64" s="2228"/>
      <c r="CEH64" s="2228"/>
      <c r="CEI64" s="2228"/>
      <c r="CEJ64" s="2228"/>
      <c r="CEK64" s="2228"/>
      <c r="CEL64" s="2228"/>
      <c r="CEM64" s="2228"/>
      <c r="CEN64" s="2228"/>
      <c r="CEO64" s="2228"/>
      <c r="CEP64" s="2228"/>
      <c r="CEQ64" s="2228"/>
      <c r="CER64" s="2227"/>
      <c r="CES64" s="2228"/>
      <c r="CET64" s="2228"/>
      <c r="CEU64" s="2228"/>
      <c r="CEV64" s="2228"/>
      <c r="CEW64" s="2228"/>
      <c r="CEX64" s="2228"/>
      <c r="CEY64" s="2228"/>
      <c r="CEZ64" s="2228"/>
      <c r="CFA64" s="2228"/>
      <c r="CFB64" s="2228"/>
      <c r="CFC64" s="2228"/>
      <c r="CFD64" s="2228"/>
      <c r="CFE64" s="2228"/>
      <c r="CFF64" s="2228"/>
      <c r="CFG64" s="2228"/>
      <c r="CFH64" s="2227"/>
      <c r="CFI64" s="2228"/>
      <c r="CFJ64" s="2228"/>
      <c r="CFK64" s="2228"/>
      <c r="CFL64" s="2228"/>
      <c r="CFM64" s="2228"/>
      <c r="CFN64" s="2228"/>
      <c r="CFO64" s="2228"/>
      <c r="CFP64" s="2228"/>
      <c r="CFQ64" s="2228"/>
      <c r="CFR64" s="2228"/>
      <c r="CFS64" s="2228"/>
      <c r="CFT64" s="2228"/>
      <c r="CFU64" s="2228"/>
      <c r="CFV64" s="2228"/>
      <c r="CFW64" s="2228"/>
      <c r="CFX64" s="2227"/>
      <c r="CFY64" s="2228"/>
      <c r="CFZ64" s="2228"/>
      <c r="CGA64" s="2228"/>
      <c r="CGB64" s="2228"/>
      <c r="CGC64" s="2228"/>
      <c r="CGD64" s="2228"/>
      <c r="CGE64" s="2228"/>
      <c r="CGF64" s="2228"/>
      <c r="CGG64" s="2228"/>
      <c r="CGH64" s="2228"/>
      <c r="CGI64" s="2228"/>
      <c r="CGJ64" s="2228"/>
      <c r="CGK64" s="2228"/>
      <c r="CGL64" s="2228"/>
      <c r="CGM64" s="2228"/>
      <c r="CGN64" s="2227"/>
      <c r="CGO64" s="2228"/>
      <c r="CGP64" s="2228"/>
      <c r="CGQ64" s="2228"/>
      <c r="CGR64" s="2228"/>
      <c r="CGS64" s="2228"/>
      <c r="CGT64" s="2228"/>
      <c r="CGU64" s="2228"/>
      <c r="CGV64" s="2228"/>
      <c r="CGW64" s="2228"/>
      <c r="CGX64" s="2228"/>
      <c r="CGY64" s="2228"/>
      <c r="CGZ64" s="2228"/>
      <c r="CHA64" s="2228"/>
      <c r="CHB64" s="2228"/>
      <c r="CHC64" s="2228"/>
      <c r="CHD64" s="2227"/>
      <c r="CHE64" s="2228"/>
      <c r="CHF64" s="2228"/>
      <c r="CHG64" s="2228"/>
      <c r="CHH64" s="2228"/>
      <c r="CHI64" s="2228"/>
      <c r="CHJ64" s="2228"/>
      <c r="CHK64" s="2228"/>
      <c r="CHL64" s="2228"/>
      <c r="CHM64" s="2228"/>
      <c r="CHN64" s="2228"/>
      <c r="CHO64" s="2228"/>
      <c r="CHP64" s="2228"/>
      <c r="CHQ64" s="2228"/>
      <c r="CHR64" s="2228"/>
      <c r="CHS64" s="2228"/>
      <c r="CHT64" s="2227"/>
      <c r="CHU64" s="2228"/>
      <c r="CHV64" s="2228"/>
      <c r="CHW64" s="2228"/>
      <c r="CHX64" s="2228"/>
      <c r="CHY64" s="2228"/>
      <c r="CHZ64" s="2228"/>
      <c r="CIA64" s="2228"/>
      <c r="CIB64" s="2228"/>
      <c r="CIC64" s="2228"/>
      <c r="CID64" s="2228"/>
      <c r="CIE64" s="2228"/>
      <c r="CIF64" s="2228"/>
      <c r="CIG64" s="2228"/>
      <c r="CIH64" s="2228"/>
      <c r="CII64" s="2228"/>
      <c r="CIJ64" s="2227"/>
      <c r="CIK64" s="2228"/>
      <c r="CIL64" s="2228"/>
      <c r="CIM64" s="2228"/>
      <c r="CIN64" s="2228"/>
      <c r="CIO64" s="2228"/>
      <c r="CIP64" s="2228"/>
      <c r="CIQ64" s="2228"/>
      <c r="CIR64" s="2228"/>
      <c r="CIS64" s="2228"/>
      <c r="CIT64" s="2228"/>
      <c r="CIU64" s="2228"/>
      <c r="CIV64" s="2228"/>
      <c r="CIW64" s="2228"/>
      <c r="CIX64" s="2228"/>
      <c r="CIY64" s="2228"/>
      <c r="CIZ64" s="2227"/>
      <c r="CJA64" s="2228"/>
      <c r="CJB64" s="2228"/>
      <c r="CJC64" s="2228"/>
      <c r="CJD64" s="2228"/>
      <c r="CJE64" s="2228"/>
      <c r="CJF64" s="2228"/>
      <c r="CJG64" s="2228"/>
      <c r="CJH64" s="2228"/>
      <c r="CJI64" s="2228"/>
      <c r="CJJ64" s="2228"/>
      <c r="CJK64" s="2228"/>
      <c r="CJL64" s="2228"/>
      <c r="CJM64" s="2228"/>
      <c r="CJN64" s="2228"/>
      <c r="CJO64" s="2228"/>
      <c r="CJP64" s="2227"/>
      <c r="CJQ64" s="2228"/>
      <c r="CJR64" s="2228"/>
      <c r="CJS64" s="2228"/>
      <c r="CJT64" s="2228"/>
      <c r="CJU64" s="2228"/>
      <c r="CJV64" s="2228"/>
      <c r="CJW64" s="2228"/>
      <c r="CJX64" s="2228"/>
      <c r="CJY64" s="2228"/>
      <c r="CJZ64" s="2228"/>
      <c r="CKA64" s="2228"/>
      <c r="CKB64" s="2228"/>
      <c r="CKC64" s="2228"/>
      <c r="CKD64" s="2228"/>
      <c r="CKE64" s="2228"/>
      <c r="CKF64" s="2227"/>
      <c r="CKG64" s="2228"/>
      <c r="CKH64" s="2228"/>
      <c r="CKI64" s="2228"/>
      <c r="CKJ64" s="2228"/>
      <c r="CKK64" s="2228"/>
      <c r="CKL64" s="2228"/>
      <c r="CKM64" s="2228"/>
      <c r="CKN64" s="2228"/>
      <c r="CKO64" s="2228"/>
      <c r="CKP64" s="2228"/>
      <c r="CKQ64" s="2228"/>
      <c r="CKR64" s="2228"/>
      <c r="CKS64" s="2228"/>
      <c r="CKT64" s="2228"/>
      <c r="CKU64" s="2228"/>
      <c r="CKV64" s="2227"/>
      <c r="CKW64" s="2228"/>
      <c r="CKX64" s="2228"/>
      <c r="CKY64" s="2228"/>
      <c r="CKZ64" s="2228"/>
      <c r="CLA64" s="2228"/>
      <c r="CLB64" s="2228"/>
      <c r="CLC64" s="2228"/>
      <c r="CLD64" s="2228"/>
      <c r="CLE64" s="2228"/>
      <c r="CLF64" s="2228"/>
      <c r="CLG64" s="2228"/>
      <c r="CLH64" s="2228"/>
      <c r="CLI64" s="2228"/>
      <c r="CLJ64" s="2228"/>
      <c r="CLK64" s="2228"/>
      <c r="CLL64" s="2227"/>
      <c r="CLM64" s="2228"/>
      <c r="CLN64" s="2228"/>
      <c r="CLO64" s="2228"/>
      <c r="CLP64" s="2228"/>
      <c r="CLQ64" s="2228"/>
      <c r="CLR64" s="2228"/>
      <c r="CLS64" s="2228"/>
      <c r="CLT64" s="2228"/>
      <c r="CLU64" s="2228"/>
      <c r="CLV64" s="2228"/>
      <c r="CLW64" s="2228"/>
      <c r="CLX64" s="2228"/>
      <c r="CLY64" s="2228"/>
      <c r="CLZ64" s="2228"/>
      <c r="CMA64" s="2228"/>
      <c r="CMB64" s="2227"/>
      <c r="CMC64" s="2228"/>
      <c r="CMD64" s="2228"/>
      <c r="CME64" s="2228"/>
      <c r="CMF64" s="2228"/>
      <c r="CMG64" s="2228"/>
      <c r="CMH64" s="2228"/>
      <c r="CMI64" s="2228"/>
      <c r="CMJ64" s="2228"/>
      <c r="CMK64" s="2228"/>
      <c r="CML64" s="2228"/>
      <c r="CMM64" s="2228"/>
      <c r="CMN64" s="2228"/>
      <c r="CMO64" s="2228"/>
      <c r="CMP64" s="2228"/>
      <c r="CMQ64" s="2228"/>
      <c r="CMR64" s="2227"/>
      <c r="CMS64" s="2228"/>
      <c r="CMT64" s="2228"/>
      <c r="CMU64" s="2228"/>
      <c r="CMV64" s="2228"/>
      <c r="CMW64" s="2228"/>
      <c r="CMX64" s="2228"/>
      <c r="CMY64" s="2228"/>
      <c r="CMZ64" s="2228"/>
      <c r="CNA64" s="2228"/>
      <c r="CNB64" s="2228"/>
      <c r="CNC64" s="2228"/>
      <c r="CND64" s="2228"/>
      <c r="CNE64" s="2228"/>
      <c r="CNF64" s="2228"/>
      <c r="CNG64" s="2228"/>
      <c r="CNH64" s="2227"/>
      <c r="CNI64" s="2228"/>
      <c r="CNJ64" s="2228"/>
      <c r="CNK64" s="2228"/>
      <c r="CNL64" s="2228"/>
      <c r="CNM64" s="2228"/>
      <c r="CNN64" s="2228"/>
      <c r="CNO64" s="2228"/>
      <c r="CNP64" s="2228"/>
      <c r="CNQ64" s="2228"/>
      <c r="CNR64" s="2228"/>
      <c r="CNS64" s="2228"/>
      <c r="CNT64" s="2228"/>
      <c r="CNU64" s="2228"/>
      <c r="CNV64" s="2228"/>
      <c r="CNW64" s="2228"/>
      <c r="CNX64" s="2227"/>
      <c r="CNY64" s="2228"/>
      <c r="CNZ64" s="2228"/>
      <c r="COA64" s="2228"/>
      <c r="COB64" s="2228"/>
      <c r="COC64" s="2228"/>
      <c r="COD64" s="2228"/>
      <c r="COE64" s="2228"/>
      <c r="COF64" s="2228"/>
      <c r="COG64" s="2228"/>
      <c r="COH64" s="2228"/>
      <c r="COI64" s="2228"/>
      <c r="COJ64" s="2228"/>
      <c r="COK64" s="2228"/>
      <c r="COL64" s="2228"/>
      <c r="COM64" s="2228"/>
      <c r="CON64" s="2227"/>
      <c r="COO64" s="2228"/>
      <c r="COP64" s="2228"/>
      <c r="COQ64" s="2228"/>
      <c r="COR64" s="2228"/>
      <c r="COS64" s="2228"/>
      <c r="COT64" s="2228"/>
      <c r="COU64" s="2228"/>
      <c r="COV64" s="2228"/>
      <c r="COW64" s="2228"/>
      <c r="COX64" s="2228"/>
      <c r="COY64" s="2228"/>
      <c r="COZ64" s="2228"/>
      <c r="CPA64" s="2228"/>
      <c r="CPB64" s="2228"/>
      <c r="CPC64" s="2228"/>
      <c r="CPD64" s="2227"/>
      <c r="CPE64" s="2228"/>
      <c r="CPF64" s="2228"/>
      <c r="CPG64" s="2228"/>
      <c r="CPH64" s="2228"/>
      <c r="CPI64" s="2228"/>
      <c r="CPJ64" s="2228"/>
      <c r="CPK64" s="2228"/>
      <c r="CPL64" s="2228"/>
      <c r="CPM64" s="2228"/>
      <c r="CPN64" s="2228"/>
      <c r="CPO64" s="2228"/>
      <c r="CPP64" s="2228"/>
      <c r="CPQ64" s="2228"/>
      <c r="CPR64" s="2228"/>
      <c r="CPS64" s="2228"/>
      <c r="CPT64" s="2227"/>
      <c r="CPU64" s="2228"/>
      <c r="CPV64" s="2228"/>
      <c r="CPW64" s="2228"/>
      <c r="CPX64" s="2228"/>
      <c r="CPY64" s="2228"/>
      <c r="CPZ64" s="2228"/>
      <c r="CQA64" s="2228"/>
      <c r="CQB64" s="2228"/>
      <c r="CQC64" s="2228"/>
      <c r="CQD64" s="2228"/>
      <c r="CQE64" s="2228"/>
      <c r="CQF64" s="2228"/>
      <c r="CQG64" s="2228"/>
      <c r="CQH64" s="2228"/>
      <c r="CQI64" s="2228"/>
      <c r="CQJ64" s="2227"/>
      <c r="CQK64" s="2228"/>
      <c r="CQL64" s="2228"/>
      <c r="CQM64" s="2228"/>
      <c r="CQN64" s="2228"/>
      <c r="CQO64" s="2228"/>
      <c r="CQP64" s="2228"/>
      <c r="CQQ64" s="2228"/>
      <c r="CQR64" s="2228"/>
      <c r="CQS64" s="2228"/>
      <c r="CQT64" s="2228"/>
      <c r="CQU64" s="2228"/>
      <c r="CQV64" s="2228"/>
      <c r="CQW64" s="2228"/>
      <c r="CQX64" s="2228"/>
      <c r="CQY64" s="2228"/>
      <c r="CQZ64" s="2227"/>
      <c r="CRA64" s="2228"/>
      <c r="CRB64" s="2228"/>
      <c r="CRC64" s="2228"/>
      <c r="CRD64" s="2228"/>
      <c r="CRE64" s="2228"/>
      <c r="CRF64" s="2228"/>
      <c r="CRG64" s="2228"/>
      <c r="CRH64" s="2228"/>
      <c r="CRI64" s="2228"/>
      <c r="CRJ64" s="2228"/>
      <c r="CRK64" s="2228"/>
      <c r="CRL64" s="2228"/>
      <c r="CRM64" s="2228"/>
      <c r="CRN64" s="2228"/>
      <c r="CRO64" s="2228"/>
      <c r="CRP64" s="2227"/>
      <c r="CRQ64" s="2228"/>
      <c r="CRR64" s="2228"/>
      <c r="CRS64" s="2228"/>
      <c r="CRT64" s="2228"/>
      <c r="CRU64" s="2228"/>
      <c r="CRV64" s="2228"/>
      <c r="CRW64" s="2228"/>
      <c r="CRX64" s="2228"/>
      <c r="CRY64" s="2228"/>
      <c r="CRZ64" s="2228"/>
      <c r="CSA64" s="2228"/>
      <c r="CSB64" s="2228"/>
      <c r="CSC64" s="2228"/>
      <c r="CSD64" s="2228"/>
      <c r="CSE64" s="2228"/>
      <c r="CSF64" s="2227"/>
      <c r="CSG64" s="2228"/>
      <c r="CSH64" s="2228"/>
      <c r="CSI64" s="2228"/>
      <c r="CSJ64" s="2228"/>
      <c r="CSK64" s="2228"/>
      <c r="CSL64" s="2228"/>
      <c r="CSM64" s="2228"/>
      <c r="CSN64" s="2228"/>
      <c r="CSO64" s="2228"/>
      <c r="CSP64" s="2228"/>
      <c r="CSQ64" s="2228"/>
      <c r="CSR64" s="2228"/>
      <c r="CSS64" s="2228"/>
      <c r="CST64" s="2228"/>
      <c r="CSU64" s="2228"/>
      <c r="CSV64" s="2227"/>
      <c r="CSW64" s="2228"/>
      <c r="CSX64" s="2228"/>
      <c r="CSY64" s="2228"/>
      <c r="CSZ64" s="2228"/>
      <c r="CTA64" s="2228"/>
      <c r="CTB64" s="2228"/>
      <c r="CTC64" s="2228"/>
      <c r="CTD64" s="2228"/>
      <c r="CTE64" s="2228"/>
      <c r="CTF64" s="2228"/>
      <c r="CTG64" s="2228"/>
      <c r="CTH64" s="2228"/>
      <c r="CTI64" s="2228"/>
      <c r="CTJ64" s="2228"/>
      <c r="CTK64" s="2228"/>
      <c r="CTL64" s="2227"/>
      <c r="CTM64" s="2228"/>
      <c r="CTN64" s="2228"/>
      <c r="CTO64" s="2228"/>
      <c r="CTP64" s="2228"/>
      <c r="CTQ64" s="2228"/>
      <c r="CTR64" s="2228"/>
      <c r="CTS64" s="2228"/>
      <c r="CTT64" s="2228"/>
      <c r="CTU64" s="2228"/>
      <c r="CTV64" s="2228"/>
      <c r="CTW64" s="2228"/>
      <c r="CTX64" s="2228"/>
      <c r="CTY64" s="2228"/>
      <c r="CTZ64" s="2228"/>
      <c r="CUA64" s="2228"/>
      <c r="CUB64" s="2227"/>
      <c r="CUC64" s="2228"/>
      <c r="CUD64" s="2228"/>
      <c r="CUE64" s="2228"/>
      <c r="CUF64" s="2228"/>
      <c r="CUG64" s="2228"/>
      <c r="CUH64" s="2228"/>
      <c r="CUI64" s="2228"/>
      <c r="CUJ64" s="2228"/>
      <c r="CUK64" s="2228"/>
      <c r="CUL64" s="2228"/>
      <c r="CUM64" s="2228"/>
      <c r="CUN64" s="2228"/>
      <c r="CUO64" s="2228"/>
      <c r="CUP64" s="2228"/>
      <c r="CUQ64" s="2228"/>
      <c r="CUR64" s="2227"/>
      <c r="CUS64" s="2228"/>
      <c r="CUT64" s="2228"/>
      <c r="CUU64" s="2228"/>
      <c r="CUV64" s="2228"/>
      <c r="CUW64" s="2228"/>
      <c r="CUX64" s="2228"/>
      <c r="CUY64" s="2228"/>
      <c r="CUZ64" s="2228"/>
      <c r="CVA64" s="2228"/>
      <c r="CVB64" s="2228"/>
      <c r="CVC64" s="2228"/>
      <c r="CVD64" s="2228"/>
      <c r="CVE64" s="2228"/>
      <c r="CVF64" s="2228"/>
      <c r="CVG64" s="2228"/>
      <c r="CVH64" s="2227"/>
      <c r="CVI64" s="2228"/>
      <c r="CVJ64" s="2228"/>
      <c r="CVK64" s="2228"/>
      <c r="CVL64" s="2228"/>
      <c r="CVM64" s="2228"/>
      <c r="CVN64" s="2228"/>
      <c r="CVO64" s="2228"/>
      <c r="CVP64" s="2228"/>
      <c r="CVQ64" s="2228"/>
      <c r="CVR64" s="2228"/>
      <c r="CVS64" s="2228"/>
      <c r="CVT64" s="2228"/>
      <c r="CVU64" s="2228"/>
      <c r="CVV64" s="2228"/>
      <c r="CVW64" s="2228"/>
      <c r="CVX64" s="2227"/>
      <c r="CVY64" s="2228"/>
      <c r="CVZ64" s="2228"/>
      <c r="CWA64" s="2228"/>
      <c r="CWB64" s="2228"/>
      <c r="CWC64" s="2228"/>
      <c r="CWD64" s="2228"/>
      <c r="CWE64" s="2228"/>
      <c r="CWF64" s="2228"/>
      <c r="CWG64" s="2228"/>
      <c r="CWH64" s="2228"/>
      <c r="CWI64" s="2228"/>
      <c r="CWJ64" s="2228"/>
      <c r="CWK64" s="2228"/>
      <c r="CWL64" s="2228"/>
      <c r="CWM64" s="2228"/>
      <c r="CWN64" s="2227"/>
      <c r="CWO64" s="2228"/>
      <c r="CWP64" s="2228"/>
      <c r="CWQ64" s="2228"/>
      <c r="CWR64" s="2228"/>
      <c r="CWS64" s="2228"/>
      <c r="CWT64" s="2228"/>
      <c r="CWU64" s="2228"/>
      <c r="CWV64" s="2228"/>
      <c r="CWW64" s="2228"/>
      <c r="CWX64" s="2228"/>
      <c r="CWY64" s="2228"/>
      <c r="CWZ64" s="2228"/>
      <c r="CXA64" s="2228"/>
      <c r="CXB64" s="2228"/>
      <c r="CXC64" s="2228"/>
      <c r="CXD64" s="2227"/>
      <c r="CXE64" s="2228"/>
      <c r="CXF64" s="2228"/>
      <c r="CXG64" s="2228"/>
      <c r="CXH64" s="2228"/>
      <c r="CXI64" s="2228"/>
      <c r="CXJ64" s="2228"/>
      <c r="CXK64" s="2228"/>
      <c r="CXL64" s="2228"/>
      <c r="CXM64" s="2228"/>
      <c r="CXN64" s="2228"/>
      <c r="CXO64" s="2228"/>
      <c r="CXP64" s="2228"/>
      <c r="CXQ64" s="2228"/>
      <c r="CXR64" s="2228"/>
      <c r="CXS64" s="2228"/>
      <c r="CXT64" s="2227"/>
      <c r="CXU64" s="2228"/>
      <c r="CXV64" s="2228"/>
      <c r="CXW64" s="2228"/>
      <c r="CXX64" s="2228"/>
      <c r="CXY64" s="2228"/>
      <c r="CXZ64" s="2228"/>
      <c r="CYA64" s="2228"/>
      <c r="CYB64" s="2228"/>
      <c r="CYC64" s="2228"/>
      <c r="CYD64" s="2228"/>
      <c r="CYE64" s="2228"/>
      <c r="CYF64" s="2228"/>
      <c r="CYG64" s="2228"/>
      <c r="CYH64" s="2228"/>
      <c r="CYI64" s="2228"/>
      <c r="CYJ64" s="2227"/>
      <c r="CYK64" s="2228"/>
      <c r="CYL64" s="2228"/>
      <c r="CYM64" s="2228"/>
      <c r="CYN64" s="2228"/>
      <c r="CYO64" s="2228"/>
      <c r="CYP64" s="2228"/>
      <c r="CYQ64" s="2228"/>
      <c r="CYR64" s="2228"/>
      <c r="CYS64" s="2228"/>
      <c r="CYT64" s="2228"/>
      <c r="CYU64" s="2228"/>
      <c r="CYV64" s="2228"/>
      <c r="CYW64" s="2228"/>
      <c r="CYX64" s="2228"/>
      <c r="CYY64" s="2228"/>
      <c r="CYZ64" s="2227"/>
      <c r="CZA64" s="2228"/>
      <c r="CZB64" s="2228"/>
      <c r="CZC64" s="2228"/>
      <c r="CZD64" s="2228"/>
      <c r="CZE64" s="2228"/>
      <c r="CZF64" s="2228"/>
      <c r="CZG64" s="2228"/>
      <c r="CZH64" s="2228"/>
      <c r="CZI64" s="2228"/>
      <c r="CZJ64" s="2228"/>
      <c r="CZK64" s="2228"/>
      <c r="CZL64" s="2228"/>
      <c r="CZM64" s="2228"/>
      <c r="CZN64" s="2228"/>
      <c r="CZO64" s="2228"/>
      <c r="CZP64" s="2227"/>
      <c r="CZQ64" s="2228"/>
      <c r="CZR64" s="2228"/>
      <c r="CZS64" s="2228"/>
      <c r="CZT64" s="2228"/>
      <c r="CZU64" s="2228"/>
      <c r="CZV64" s="2228"/>
      <c r="CZW64" s="2228"/>
      <c r="CZX64" s="2228"/>
      <c r="CZY64" s="2228"/>
      <c r="CZZ64" s="2228"/>
      <c r="DAA64" s="2228"/>
      <c r="DAB64" s="2228"/>
      <c r="DAC64" s="2228"/>
      <c r="DAD64" s="2228"/>
      <c r="DAE64" s="2228"/>
      <c r="DAF64" s="2227"/>
      <c r="DAG64" s="2228"/>
      <c r="DAH64" s="2228"/>
      <c r="DAI64" s="2228"/>
      <c r="DAJ64" s="2228"/>
      <c r="DAK64" s="2228"/>
      <c r="DAL64" s="2228"/>
      <c r="DAM64" s="2228"/>
      <c r="DAN64" s="2228"/>
      <c r="DAO64" s="2228"/>
      <c r="DAP64" s="2228"/>
      <c r="DAQ64" s="2228"/>
      <c r="DAR64" s="2228"/>
      <c r="DAS64" s="2228"/>
      <c r="DAT64" s="2228"/>
      <c r="DAU64" s="2228"/>
      <c r="DAV64" s="2227"/>
      <c r="DAW64" s="2228"/>
      <c r="DAX64" s="2228"/>
      <c r="DAY64" s="2228"/>
      <c r="DAZ64" s="2228"/>
      <c r="DBA64" s="2228"/>
      <c r="DBB64" s="2228"/>
      <c r="DBC64" s="2228"/>
      <c r="DBD64" s="2228"/>
      <c r="DBE64" s="2228"/>
      <c r="DBF64" s="2228"/>
      <c r="DBG64" s="2228"/>
      <c r="DBH64" s="2228"/>
      <c r="DBI64" s="2228"/>
      <c r="DBJ64" s="2228"/>
      <c r="DBK64" s="2228"/>
      <c r="DBL64" s="2227"/>
      <c r="DBM64" s="2228"/>
      <c r="DBN64" s="2228"/>
      <c r="DBO64" s="2228"/>
      <c r="DBP64" s="2228"/>
      <c r="DBQ64" s="2228"/>
      <c r="DBR64" s="2228"/>
      <c r="DBS64" s="2228"/>
      <c r="DBT64" s="2228"/>
      <c r="DBU64" s="2228"/>
      <c r="DBV64" s="2228"/>
      <c r="DBW64" s="2228"/>
      <c r="DBX64" s="2228"/>
      <c r="DBY64" s="2228"/>
      <c r="DBZ64" s="2228"/>
      <c r="DCA64" s="2228"/>
      <c r="DCB64" s="2227"/>
      <c r="DCC64" s="2228"/>
      <c r="DCD64" s="2228"/>
      <c r="DCE64" s="2228"/>
      <c r="DCF64" s="2228"/>
      <c r="DCG64" s="2228"/>
      <c r="DCH64" s="2228"/>
      <c r="DCI64" s="2228"/>
      <c r="DCJ64" s="2228"/>
      <c r="DCK64" s="2228"/>
      <c r="DCL64" s="2228"/>
      <c r="DCM64" s="2228"/>
      <c r="DCN64" s="2228"/>
      <c r="DCO64" s="2228"/>
      <c r="DCP64" s="2228"/>
      <c r="DCQ64" s="2228"/>
      <c r="DCR64" s="2227"/>
      <c r="DCS64" s="2228"/>
      <c r="DCT64" s="2228"/>
      <c r="DCU64" s="2228"/>
      <c r="DCV64" s="2228"/>
      <c r="DCW64" s="2228"/>
      <c r="DCX64" s="2228"/>
      <c r="DCY64" s="2228"/>
      <c r="DCZ64" s="2228"/>
      <c r="DDA64" s="2228"/>
      <c r="DDB64" s="2228"/>
      <c r="DDC64" s="2228"/>
      <c r="DDD64" s="2228"/>
      <c r="DDE64" s="2228"/>
      <c r="DDF64" s="2228"/>
      <c r="DDG64" s="2228"/>
      <c r="DDH64" s="2227"/>
      <c r="DDI64" s="2228"/>
      <c r="DDJ64" s="2228"/>
      <c r="DDK64" s="2228"/>
      <c r="DDL64" s="2228"/>
      <c r="DDM64" s="2228"/>
      <c r="DDN64" s="2228"/>
      <c r="DDO64" s="2228"/>
      <c r="DDP64" s="2228"/>
      <c r="DDQ64" s="2228"/>
      <c r="DDR64" s="2228"/>
      <c r="DDS64" s="2228"/>
      <c r="DDT64" s="2228"/>
      <c r="DDU64" s="2228"/>
      <c r="DDV64" s="2228"/>
      <c r="DDW64" s="2228"/>
      <c r="DDX64" s="2227"/>
      <c r="DDY64" s="2228"/>
      <c r="DDZ64" s="2228"/>
      <c r="DEA64" s="2228"/>
      <c r="DEB64" s="2228"/>
      <c r="DEC64" s="2228"/>
      <c r="DED64" s="2228"/>
      <c r="DEE64" s="2228"/>
      <c r="DEF64" s="2228"/>
      <c r="DEG64" s="2228"/>
      <c r="DEH64" s="2228"/>
      <c r="DEI64" s="2228"/>
      <c r="DEJ64" s="2228"/>
      <c r="DEK64" s="2228"/>
      <c r="DEL64" s="2228"/>
      <c r="DEM64" s="2228"/>
      <c r="DEN64" s="2227"/>
      <c r="DEO64" s="2228"/>
      <c r="DEP64" s="2228"/>
      <c r="DEQ64" s="2228"/>
      <c r="DER64" s="2228"/>
      <c r="DES64" s="2228"/>
      <c r="DET64" s="2228"/>
      <c r="DEU64" s="2228"/>
      <c r="DEV64" s="2228"/>
      <c r="DEW64" s="2228"/>
      <c r="DEX64" s="2228"/>
      <c r="DEY64" s="2228"/>
      <c r="DEZ64" s="2228"/>
      <c r="DFA64" s="2228"/>
      <c r="DFB64" s="2228"/>
      <c r="DFC64" s="2228"/>
      <c r="DFD64" s="2227"/>
      <c r="DFE64" s="2228"/>
      <c r="DFF64" s="2228"/>
      <c r="DFG64" s="2228"/>
      <c r="DFH64" s="2228"/>
      <c r="DFI64" s="2228"/>
      <c r="DFJ64" s="2228"/>
      <c r="DFK64" s="2228"/>
      <c r="DFL64" s="2228"/>
      <c r="DFM64" s="2228"/>
      <c r="DFN64" s="2228"/>
      <c r="DFO64" s="2228"/>
      <c r="DFP64" s="2228"/>
      <c r="DFQ64" s="2228"/>
      <c r="DFR64" s="2228"/>
      <c r="DFS64" s="2228"/>
      <c r="DFT64" s="2227"/>
      <c r="DFU64" s="2228"/>
      <c r="DFV64" s="2228"/>
      <c r="DFW64" s="2228"/>
      <c r="DFX64" s="2228"/>
      <c r="DFY64" s="2228"/>
      <c r="DFZ64" s="2228"/>
      <c r="DGA64" s="2228"/>
      <c r="DGB64" s="2228"/>
      <c r="DGC64" s="2228"/>
      <c r="DGD64" s="2228"/>
      <c r="DGE64" s="2228"/>
      <c r="DGF64" s="2228"/>
      <c r="DGG64" s="2228"/>
      <c r="DGH64" s="2228"/>
      <c r="DGI64" s="2228"/>
      <c r="DGJ64" s="2227"/>
      <c r="DGK64" s="2228"/>
      <c r="DGL64" s="2228"/>
      <c r="DGM64" s="2228"/>
      <c r="DGN64" s="2228"/>
      <c r="DGO64" s="2228"/>
      <c r="DGP64" s="2228"/>
      <c r="DGQ64" s="2228"/>
      <c r="DGR64" s="2228"/>
      <c r="DGS64" s="2228"/>
      <c r="DGT64" s="2228"/>
      <c r="DGU64" s="2228"/>
      <c r="DGV64" s="2228"/>
      <c r="DGW64" s="2228"/>
      <c r="DGX64" s="2228"/>
      <c r="DGY64" s="2228"/>
      <c r="DGZ64" s="2227"/>
      <c r="DHA64" s="2228"/>
      <c r="DHB64" s="2228"/>
      <c r="DHC64" s="2228"/>
      <c r="DHD64" s="2228"/>
      <c r="DHE64" s="2228"/>
      <c r="DHF64" s="2228"/>
      <c r="DHG64" s="2228"/>
      <c r="DHH64" s="2228"/>
      <c r="DHI64" s="2228"/>
      <c r="DHJ64" s="2228"/>
      <c r="DHK64" s="2228"/>
      <c r="DHL64" s="2228"/>
      <c r="DHM64" s="2228"/>
      <c r="DHN64" s="2228"/>
      <c r="DHO64" s="2228"/>
      <c r="DHP64" s="2227"/>
      <c r="DHQ64" s="2228"/>
      <c r="DHR64" s="2228"/>
      <c r="DHS64" s="2228"/>
      <c r="DHT64" s="2228"/>
      <c r="DHU64" s="2228"/>
      <c r="DHV64" s="2228"/>
      <c r="DHW64" s="2228"/>
      <c r="DHX64" s="2228"/>
      <c r="DHY64" s="2228"/>
      <c r="DHZ64" s="2228"/>
      <c r="DIA64" s="2228"/>
      <c r="DIB64" s="2228"/>
      <c r="DIC64" s="2228"/>
      <c r="DID64" s="2228"/>
      <c r="DIE64" s="2228"/>
      <c r="DIF64" s="2227"/>
      <c r="DIG64" s="2228"/>
      <c r="DIH64" s="2228"/>
      <c r="DII64" s="2228"/>
      <c r="DIJ64" s="2228"/>
      <c r="DIK64" s="2228"/>
      <c r="DIL64" s="2228"/>
      <c r="DIM64" s="2228"/>
      <c r="DIN64" s="2228"/>
      <c r="DIO64" s="2228"/>
      <c r="DIP64" s="2228"/>
      <c r="DIQ64" s="2228"/>
      <c r="DIR64" s="2228"/>
      <c r="DIS64" s="2228"/>
      <c r="DIT64" s="2228"/>
      <c r="DIU64" s="2228"/>
      <c r="DIV64" s="2227"/>
      <c r="DIW64" s="2228"/>
      <c r="DIX64" s="2228"/>
      <c r="DIY64" s="2228"/>
      <c r="DIZ64" s="2228"/>
      <c r="DJA64" s="2228"/>
      <c r="DJB64" s="2228"/>
      <c r="DJC64" s="2228"/>
      <c r="DJD64" s="2228"/>
      <c r="DJE64" s="2228"/>
      <c r="DJF64" s="2228"/>
      <c r="DJG64" s="2228"/>
      <c r="DJH64" s="2228"/>
      <c r="DJI64" s="2228"/>
      <c r="DJJ64" s="2228"/>
      <c r="DJK64" s="2228"/>
      <c r="DJL64" s="2227"/>
      <c r="DJM64" s="2228"/>
      <c r="DJN64" s="2228"/>
      <c r="DJO64" s="2228"/>
      <c r="DJP64" s="2228"/>
      <c r="DJQ64" s="2228"/>
      <c r="DJR64" s="2228"/>
      <c r="DJS64" s="2228"/>
      <c r="DJT64" s="2228"/>
      <c r="DJU64" s="2228"/>
      <c r="DJV64" s="2228"/>
      <c r="DJW64" s="2228"/>
      <c r="DJX64" s="2228"/>
      <c r="DJY64" s="2228"/>
      <c r="DJZ64" s="2228"/>
      <c r="DKA64" s="2228"/>
      <c r="DKB64" s="2227"/>
      <c r="DKC64" s="2228"/>
      <c r="DKD64" s="2228"/>
      <c r="DKE64" s="2228"/>
      <c r="DKF64" s="2228"/>
      <c r="DKG64" s="2228"/>
      <c r="DKH64" s="2228"/>
      <c r="DKI64" s="2228"/>
      <c r="DKJ64" s="2228"/>
      <c r="DKK64" s="2228"/>
      <c r="DKL64" s="2228"/>
      <c r="DKM64" s="2228"/>
      <c r="DKN64" s="2228"/>
      <c r="DKO64" s="2228"/>
      <c r="DKP64" s="2228"/>
      <c r="DKQ64" s="2228"/>
      <c r="DKR64" s="2227"/>
      <c r="DKS64" s="2228"/>
      <c r="DKT64" s="2228"/>
      <c r="DKU64" s="2228"/>
      <c r="DKV64" s="2228"/>
      <c r="DKW64" s="2228"/>
      <c r="DKX64" s="2228"/>
      <c r="DKY64" s="2228"/>
      <c r="DKZ64" s="2228"/>
      <c r="DLA64" s="2228"/>
      <c r="DLB64" s="2228"/>
      <c r="DLC64" s="2228"/>
      <c r="DLD64" s="2228"/>
      <c r="DLE64" s="2228"/>
      <c r="DLF64" s="2228"/>
      <c r="DLG64" s="2228"/>
      <c r="DLH64" s="2227"/>
      <c r="DLI64" s="2228"/>
      <c r="DLJ64" s="2228"/>
      <c r="DLK64" s="2228"/>
      <c r="DLL64" s="2228"/>
      <c r="DLM64" s="2228"/>
      <c r="DLN64" s="2228"/>
      <c r="DLO64" s="2228"/>
      <c r="DLP64" s="2228"/>
      <c r="DLQ64" s="2228"/>
      <c r="DLR64" s="2228"/>
      <c r="DLS64" s="2228"/>
      <c r="DLT64" s="2228"/>
      <c r="DLU64" s="2228"/>
      <c r="DLV64" s="2228"/>
      <c r="DLW64" s="2228"/>
      <c r="DLX64" s="2227"/>
      <c r="DLY64" s="2228"/>
      <c r="DLZ64" s="2228"/>
      <c r="DMA64" s="2228"/>
      <c r="DMB64" s="2228"/>
      <c r="DMC64" s="2228"/>
      <c r="DMD64" s="2228"/>
      <c r="DME64" s="2228"/>
      <c r="DMF64" s="2228"/>
      <c r="DMG64" s="2228"/>
      <c r="DMH64" s="2228"/>
      <c r="DMI64" s="2228"/>
      <c r="DMJ64" s="2228"/>
      <c r="DMK64" s="2228"/>
      <c r="DML64" s="2228"/>
      <c r="DMM64" s="2228"/>
      <c r="DMN64" s="2227"/>
      <c r="DMO64" s="2228"/>
      <c r="DMP64" s="2228"/>
      <c r="DMQ64" s="2228"/>
      <c r="DMR64" s="2228"/>
      <c r="DMS64" s="2228"/>
      <c r="DMT64" s="2228"/>
      <c r="DMU64" s="2228"/>
      <c r="DMV64" s="2228"/>
      <c r="DMW64" s="2228"/>
      <c r="DMX64" s="2228"/>
      <c r="DMY64" s="2228"/>
      <c r="DMZ64" s="2228"/>
      <c r="DNA64" s="2228"/>
      <c r="DNB64" s="2228"/>
      <c r="DNC64" s="2228"/>
      <c r="DND64" s="2227"/>
      <c r="DNE64" s="2228"/>
      <c r="DNF64" s="2228"/>
      <c r="DNG64" s="2228"/>
      <c r="DNH64" s="2228"/>
      <c r="DNI64" s="2228"/>
      <c r="DNJ64" s="2228"/>
      <c r="DNK64" s="2228"/>
      <c r="DNL64" s="2228"/>
      <c r="DNM64" s="2228"/>
      <c r="DNN64" s="2228"/>
      <c r="DNO64" s="2228"/>
      <c r="DNP64" s="2228"/>
      <c r="DNQ64" s="2228"/>
      <c r="DNR64" s="2228"/>
      <c r="DNS64" s="2228"/>
      <c r="DNT64" s="2227"/>
      <c r="DNU64" s="2228"/>
      <c r="DNV64" s="2228"/>
      <c r="DNW64" s="2228"/>
      <c r="DNX64" s="2228"/>
      <c r="DNY64" s="2228"/>
      <c r="DNZ64" s="2228"/>
      <c r="DOA64" s="2228"/>
      <c r="DOB64" s="2228"/>
      <c r="DOC64" s="2228"/>
      <c r="DOD64" s="2228"/>
      <c r="DOE64" s="2228"/>
      <c r="DOF64" s="2228"/>
      <c r="DOG64" s="2228"/>
      <c r="DOH64" s="2228"/>
      <c r="DOI64" s="2228"/>
      <c r="DOJ64" s="2227"/>
      <c r="DOK64" s="2228"/>
      <c r="DOL64" s="2228"/>
      <c r="DOM64" s="2228"/>
      <c r="DON64" s="2228"/>
      <c r="DOO64" s="2228"/>
      <c r="DOP64" s="2228"/>
      <c r="DOQ64" s="2228"/>
      <c r="DOR64" s="2228"/>
      <c r="DOS64" s="2228"/>
      <c r="DOT64" s="2228"/>
      <c r="DOU64" s="2228"/>
      <c r="DOV64" s="2228"/>
      <c r="DOW64" s="2228"/>
      <c r="DOX64" s="2228"/>
      <c r="DOY64" s="2228"/>
      <c r="DOZ64" s="2227"/>
      <c r="DPA64" s="2228"/>
      <c r="DPB64" s="2228"/>
      <c r="DPC64" s="2228"/>
      <c r="DPD64" s="2228"/>
      <c r="DPE64" s="2228"/>
      <c r="DPF64" s="2228"/>
      <c r="DPG64" s="2228"/>
      <c r="DPH64" s="2228"/>
      <c r="DPI64" s="2228"/>
      <c r="DPJ64" s="2228"/>
      <c r="DPK64" s="2228"/>
      <c r="DPL64" s="2228"/>
      <c r="DPM64" s="2228"/>
      <c r="DPN64" s="2228"/>
      <c r="DPO64" s="2228"/>
      <c r="DPP64" s="2227"/>
      <c r="DPQ64" s="2228"/>
      <c r="DPR64" s="2228"/>
      <c r="DPS64" s="2228"/>
      <c r="DPT64" s="2228"/>
      <c r="DPU64" s="2228"/>
      <c r="DPV64" s="2228"/>
      <c r="DPW64" s="2228"/>
      <c r="DPX64" s="2228"/>
      <c r="DPY64" s="2228"/>
      <c r="DPZ64" s="2228"/>
      <c r="DQA64" s="2228"/>
      <c r="DQB64" s="2228"/>
      <c r="DQC64" s="2228"/>
      <c r="DQD64" s="2228"/>
      <c r="DQE64" s="2228"/>
      <c r="DQF64" s="2227"/>
      <c r="DQG64" s="2228"/>
      <c r="DQH64" s="2228"/>
      <c r="DQI64" s="2228"/>
      <c r="DQJ64" s="2228"/>
      <c r="DQK64" s="2228"/>
      <c r="DQL64" s="2228"/>
      <c r="DQM64" s="2228"/>
      <c r="DQN64" s="2228"/>
      <c r="DQO64" s="2228"/>
      <c r="DQP64" s="2228"/>
      <c r="DQQ64" s="2228"/>
      <c r="DQR64" s="2228"/>
      <c r="DQS64" s="2228"/>
      <c r="DQT64" s="2228"/>
      <c r="DQU64" s="2228"/>
      <c r="DQV64" s="2227"/>
      <c r="DQW64" s="2228"/>
      <c r="DQX64" s="2228"/>
      <c r="DQY64" s="2228"/>
      <c r="DQZ64" s="2228"/>
      <c r="DRA64" s="2228"/>
      <c r="DRB64" s="2228"/>
      <c r="DRC64" s="2228"/>
      <c r="DRD64" s="2228"/>
      <c r="DRE64" s="2228"/>
      <c r="DRF64" s="2228"/>
      <c r="DRG64" s="2228"/>
      <c r="DRH64" s="2228"/>
      <c r="DRI64" s="2228"/>
      <c r="DRJ64" s="2228"/>
      <c r="DRK64" s="2228"/>
      <c r="DRL64" s="2227"/>
      <c r="DRM64" s="2228"/>
      <c r="DRN64" s="2228"/>
      <c r="DRO64" s="2228"/>
      <c r="DRP64" s="2228"/>
      <c r="DRQ64" s="2228"/>
      <c r="DRR64" s="2228"/>
      <c r="DRS64" s="2228"/>
      <c r="DRT64" s="2228"/>
      <c r="DRU64" s="2228"/>
      <c r="DRV64" s="2228"/>
      <c r="DRW64" s="2228"/>
      <c r="DRX64" s="2228"/>
      <c r="DRY64" s="2228"/>
      <c r="DRZ64" s="2228"/>
      <c r="DSA64" s="2228"/>
      <c r="DSB64" s="2227"/>
      <c r="DSC64" s="2228"/>
      <c r="DSD64" s="2228"/>
      <c r="DSE64" s="2228"/>
      <c r="DSF64" s="2228"/>
      <c r="DSG64" s="2228"/>
      <c r="DSH64" s="2228"/>
      <c r="DSI64" s="2228"/>
      <c r="DSJ64" s="2228"/>
      <c r="DSK64" s="2228"/>
      <c r="DSL64" s="2228"/>
      <c r="DSM64" s="2228"/>
      <c r="DSN64" s="2228"/>
      <c r="DSO64" s="2228"/>
      <c r="DSP64" s="2228"/>
      <c r="DSQ64" s="2228"/>
      <c r="DSR64" s="2227"/>
      <c r="DSS64" s="2228"/>
      <c r="DST64" s="2228"/>
      <c r="DSU64" s="2228"/>
      <c r="DSV64" s="2228"/>
      <c r="DSW64" s="2228"/>
      <c r="DSX64" s="2228"/>
      <c r="DSY64" s="2228"/>
      <c r="DSZ64" s="2228"/>
      <c r="DTA64" s="2228"/>
      <c r="DTB64" s="2228"/>
      <c r="DTC64" s="2228"/>
      <c r="DTD64" s="2228"/>
      <c r="DTE64" s="2228"/>
      <c r="DTF64" s="2228"/>
      <c r="DTG64" s="2228"/>
      <c r="DTH64" s="2227"/>
      <c r="DTI64" s="2228"/>
      <c r="DTJ64" s="2228"/>
      <c r="DTK64" s="2228"/>
      <c r="DTL64" s="2228"/>
      <c r="DTM64" s="2228"/>
      <c r="DTN64" s="2228"/>
      <c r="DTO64" s="2228"/>
      <c r="DTP64" s="2228"/>
      <c r="DTQ64" s="2228"/>
      <c r="DTR64" s="2228"/>
      <c r="DTS64" s="2228"/>
      <c r="DTT64" s="2228"/>
      <c r="DTU64" s="2228"/>
      <c r="DTV64" s="2228"/>
      <c r="DTW64" s="2228"/>
      <c r="DTX64" s="2227"/>
      <c r="DTY64" s="2228"/>
      <c r="DTZ64" s="2228"/>
      <c r="DUA64" s="2228"/>
      <c r="DUB64" s="2228"/>
      <c r="DUC64" s="2228"/>
      <c r="DUD64" s="2228"/>
      <c r="DUE64" s="2228"/>
      <c r="DUF64" s="2228"/>
      <c r="DUG64" s="2228"/>
      <c r="DUH64" s="2228"/>
      <c r="DUI64" s="2228"/>
      <c r="DUJ64" s="2228"/>
      <c r="DUK64" s="2228"/>
      <c r="DUL64" s="2228"/>
      <c r="DUM64" s="2228"/>
      <c r="DUN64" s="2227"/>
      <c r="DUO64" s="2228"/>
      <c r="DUP64" s="2228"/>
      <c r="DUQ64" s="2228"/>
      <c r="DUR64" s="2228"/>
      <c r="DUS64" s="2228"/>
      <c r="DUT64" s="2228"/>
      <c r="DUU64" s="2228"/>
      <c r="DUV64" s="2228"/>
      <c r="DUW64" s="2228"/>
      <c r="DUX64" s="2228"/>
      <c r="DUY64" s="2228"/>
      <c r="DUZ64" s="2228"/>
      <c r="DVA64" s="2228"/>
      <c r="DVB64" s="2228"/>
      <c r="DVC64" s="2228"/>
      <c r="DVD64" s="2227"/>
      <c r="DVE64" s="2228"/>
      <c r="DVF64" s="2228"/>
      <c r="DVG64" s="2228"/>
      <c r="DVH64" s="2228"/>
      <c r="DVI64" s="2228"/>
      <c r="DVJ64" s="2228"/>
      <c r="DVK64" s="2228"/>
      <c r="DVL64" s="2228"/>
      <c r="DVM64" s="2228"/>
      <c r="DVN64" s="2228"/>
      <c r="DVO64" s="2228"/>
      <c r="DVP64" s="2228"/>
      <c r="DVQ64" s="2228"/>
      <c r="DVR64" s="2228"/>
      <c r="DVS64" s="2228"/>
      <c r="DVT64" s="2227"/>
      <c r="DVU64" s="2228"/>
      <c r="DVV64" s="2228"/>
      <c r="DVW64" s="2228"/>
      <c r="DVX64" s="2228"/>
      <c r="DVY64" s="2228"/>
      <c r="DVZ64" s="2228"/>
      <c r="DWA64" s="2228"/>
      <c r="DWB64" s="2228"/>
      <c r="DWC64" s="2228"/>
      <c r="DWD64" s="2228"/>
      <c r="DWE64" s="2228"/>
      <c r="DWF64" s="2228"/>
      <c r="DWG64" s="2228"/>
      <c r="DWH64" s="2228"/>
      <c r="DWI64" s="2228"/>
      <c r="DWJ64" s="2227"/>
      <c r="DWK64" s="2228"/>
      <c r="DWL64" s="2228"/>
      <c r="DWM64" s="2228"/>
      <c r="DWN64" s="2228"/>
      <c r="DWO64" s="2228"/>
      <c r="DWP64" s="2228"/>
      <c r="DWQ64" s="2228"/>
      <c r="DWR64" s="2228"/>
      <c r="DWS64" s="2228"/>
      <c r="DWT64" s="2228"/>
      <c r="DWU64" s="2228"/>
      <c r="DWV64" s="2228"/>
      <c r="DWW64" s="2228"/>
      <c r="DWX64" s="2228"/>
      <c r="DWY64" s="2228"/>
      <c r="DWZ64" s="2227"/>
      <c r="DXA64" s="2228"/>
      <c r="DXB64" s="2228"/>
      <c r="DXC64" s="2228"/>
      <c r="DXD64" s="2228"/>
      <c r="DXE64" s="2228"/>
      <c r="DXF64" s="2228"/>
      <c r="DXG64" s="2228"/>
      <c r="DXH64" s="2228"/>
      <c r="DXI64" s="2228"/>
      <c r="DXJ64" s="2228"/>
      <c r="DXK64" s="2228"/>
      <c r="DXL64" s="2228"/>
      <c r="DXM64" s="2228"/>
      <c r="DXN64" s="2228"/>
      <c r="DXO64" s="2228"/>
      <c r="DXP64" s="2227"/>
      <c r="DXQ64" s="2228"/>
      <c r="DXR64" s="2228"/>
      <c r="DXS64" s="2228"/>
      <c r="DXT64" s="2228"/>
      <c r="DXU64" s="2228"/>
      <c r="DXV64" s="2228"/>
      <c r="DXW64" s="2228"/>
      <c r="DXX64" s="2228"/>
      <c r="DXY64" s="2228"/>
      <c r="DXZ64" s="2228"/>
      <c r="DYA64" s="2228"/>
      <c r="DYB64" s="2228"/>
      <c r="DYC64" s="2228"/>
      <c r="DYD64" s="2228"/>
      <c r="DYE64" s="2228"/>
      <c r="DYF64" s="2227"/>
      <c r="DYG64" s="2228"/>
      <c r="DYH64" s="2228"/>
      <c r="DYI64" s="2228"/>
      <c r="DYJ64" s="2228"/>
      <c r="DYK64" s="2228"/>
      <c r="DYL64" s="2228"/>
      <c r="DYM64" s="2228"/>
      <c r="DYN64" s="2228"/>
      <c r="DYO64" s="2228"/>
      <c r="DYP64" s="2228"/>
      <c r="DYQ64" s="2228"/>
      <c r="DYR64" s="2228"/>
      <c r="DYS64" s="2228"/>
      <c r="DYT64" s="2228"/>
      <c r="DYU64" s="2228"/>
      <c r="DYV64" s="2227"/>
      <c r="DYW64" s="2228"/>
      <c r="DYX64" s="2228"/>
      <c r="DYY64" s="2228"/>
      <c r="DYZ64" s="2228"/>
      <c r="DZA64" s="2228"/>
      <c r="DZB64" s="2228"/>
      <c r="DZC64" s="2228"/>
      <c r="DZD64" s="2228"/>
      <c r="DZE64" s="2228"/>
      <c r="DZF64" s="2228"/>
      <c r="DZG64" s="2228"/>
      <c r="DZH64" s="2228"/>
      <c r="DZI64" s="2228"/>
      <c r="DZJ64" s="2228"/>
      <c r="DZK64" s="2228"/>
      <c r="DZL64" s="2227"/>
      <c r="DZM64" s="2228"/>
      <c r="DZN64" s="2228"/>
      <c r="DZO64" s="2228"/>
      <c r="DZP64" s="2228"/>
      <c r="DZQ64" s="2228"/>
      <c r="DZR64" s="2228"/>
      <c r="DZS64" s="2228"/>
      <c r="DZT64" s="2228"/>
      <c r="DZU64" s="2228"/>
      <c r="DZV64" s="2228"/>
      <c r="DZW64" s="2228"/>
      <c r="DZX64" s="2228"/>
      <c r="DZY64" s="2228"/>
      <c r="DZZ64" s="2228"/>
      <c r="EAA64" s="2228"/>
      <c r="EAB64" s="2227"/>
      <c r="EAC64" s="2228"/>
      <c r="EAD64" s="2228"/>
      <c r="EAE64" s="2228"/>
      <c r="EAF64" s="2228"/>
      <c r="EAG64" s="2228"/>
      <c r="EAH64" s="2228"/>
      <c r="EAI64" s="2228"/>
      <c r="EAJ64" s="2228"/>
      <c r="EAK64" s="2228"/>
      <c r="EAL64" s="2228"/>
      <c r="EAM64" s="2228"/>
      <c r="EAN64" s="2228"/>
      <c r="EAO64" s="2228"/>
      <c r="EAP64" s="2228"/>
      <c r="EAQ64" s="2228"/>
      <c r="EAR64" s="2227"/>
      <c r="EAS64" s="2228"/>
      <c r="EAT64" s="2228"/>
      <c r="EAU64" s="2228"/>
      <c r="EAV64" s="2228"/>
      <c r="EAW64" s="2228"/>
      <c r="EAX64" s="2228"/>
      <c r="EAY64" s="2228"/>
      <c r="EAZ64" s="2228"/>
      <c r="EBA64" s="2228"/>
      <c r="EBB64" s="2228"/>
      <c r="EBC64" s="2228"/>
      <c r="EBD64" s="2228"/>
      <c r="EBE64" s="2228"/>
      <c r="EBF64" s="2228"/>
      <c r="EBG64" s="2228"/>
      <c r="EBH64" s="2227"/>
      <c r="EBI64" s="2228"/>
      <c r="EBJ64" s="2228"/>
      <c r="EBK64" s="2228"/>
      <c r="EBL64" s="2228"/>
      <c r="EBM64" s="2228"/>
      <c r="EBN64" s="2228"/>
      <c r="EBO64" s="2228"/>
      <c r="EBP64" s="2228"/>
      <c r="EBQ64" s="2228"/>
      <c r="EBR64" s="2228"/>
      <c r="EBS64" s="2228"/>
      <c r="EBT64" s="2228"/>
      <c r="EBU64" s="2228"/>
      <c r="EBV64" s="2228"/>
      <c r="EBW64" s="2228"/>
      <c r="EBX64" s="2227"/>
      <c r="EBY64" s="2228"/>
      <c r="EBZ64" s="2228"/>
      <c r="ECA64" s="2228"/>
      <c r="ECB64" s="2228"/>
      <c r="ECC64" s="2228"/>
      <c r="ECD64" s="2228"/>
      <c r="ECE64" s="2228"/>
      <c r="ECF64" s="2228"/>
      <c r="ECG64" s="2228"/>
      <c r="ECH64" s="2228"/>
      <c r="ECI64" s="2228"/>
      <c r="ECJ64" s="2228"/>
      <c r="ECK64" s="2228"/>
      <c r="ECL64" s="2228"/>
      <c r="ECM64" s="2228"/>
      <c r="ECN64" s="2227"/>
      <c r="ECO64" s="2228"/>
      <c r="ECP64" s="2228"/>
      <c r="ECQ64" s="2228"/>
      <c r="ECR64" s="2228"/>
      <c r="ECS64" s="2228"/>
      <c r="ECT64" s="2228"/>
      <c r="ECU64" s="2228"/>
      <c r="ECV64" s="2228"/>
      <c r="ECW64" s="2228"/>
      <c r="ECX64" s="2228"/>
      <c r="ECY64" s="2228"/>
      <c r="ECZ64" s="2228"/>
      <c r="EDA64" s="2228"/>
      <c r="EDB64" s="2228"/>
      <c r="EDC64" s="2228"/>
      <c r="EDD64" s="2227"/>
      <c r="EDE64" s="2228"/>
      <c r="EDF64" s="2228"/>
      <c r="EDG64" s="2228"/>
      <c r="EDH64" s="2228"/>
      <c r="EDI64" s="2228"/>
      <c r="EDJ64" s="2228"/>
      <c r="EDK64" s="2228"/>
      <c r="EDL64" s="2228"/>
      <c r="EDM64" s="2228"/>
      <c r="EDN64" s="2228"/>
      <c r="EDO64" s="2228"/>
      <c r="EDP64" s="2228"/>
      <c r="EDQ64" s="2228"/>
      <c r="EDR64" s="2228"/>
      <c r="EDS64" s="2228"/>
      <c r="EDT64" s="2227"/>
      <c r="EDU64" s="2228"/>
      <c r="EDV64" s="2228"/>
      <c r="EDW64" s="2228"/>
      <c r="EDX64" s="2228"/>
      <c r="EDY64" s="2228"/>
      <c r="EDZ64" s="2228"/>
      <c r="EEA64" s="2228"/>
      <c r="EEB64" s="2228"/>
      <c r="EEC64" s="2228"/>
      <c r="EED64" s="2228"/>
      <c r="EEE64" s="2228"/>
      <c r="EEF64" s="2228"/>
      <c r="EEG64" s="2228"/>
      <c r="EEH64" s="2228"/>
      <c r="EEI64" s="2228"/>
      <c r="EEJ64" s="2227"/>
      <c r="EEK64" s="2228"/>
      <c r="EEL64" s="2228"/>
      <c r="EEM64" s="2228"/>
      <c r="EEN64" s="2228"/>
      <c r="EEO64" s="2228"/>
      <c r="EEP64" s="2228"/>
      <c r="EEQ64" s="2228"/>
      <c r="EER64" s="2228"/>
      <c r="EES64" s="2228"/>
      <c r="EET64" s="2228"/>
      <c r="EEU64" s="2228"/>
      <c r="EEV64" s="2228"/>
      <c r="EEW64" s="2228"/>
      <c r="EEX64" s="2228"/>
      <c r="EEY64" s="2228"/>
      <c r="EEZ64" s="2227"/>
      <c r="EFA64" s="2228"/>
      <c r="EFB64" s="2228"/>
      <c r="EFC64" s="2228"/>
      <c r="EFD64" s="2228"/>
      <c r="EFE64" s="2228"/>
      <c r="EFF64" s="2228"/>
      <c r="EFG64" s="2228"/>
      <c r="EFH64" s="2228"/>
      <c r="EFI64" s="2228"/>
      <c r="EFJ64" s="2228"/>
      <c r="EFK64" s="2228"/>
      <c r="EFL64" s="2228"/>
      <c r="EFM64" s="2228"/>
      <c r="EFN64" s="2228"/>
      <c r="EFO64" s="2228"/>
      <c r="EFP64" s="2227"/>
      <c r="EFQ64" s="2228"/>
      <c r="EFR64" s="2228"/>
      <c r="EFS64" s="2228"/>
      <c r="EFT64" s="2228"/>
      <c r="EFU64" s="2228"/>
      <c r="EFV64" s="2228"/>
      <c r="EFW64" s="2228"/>
      <c r="EFX64" s="2228"/>
      <c r="EFY64" s="2228"/>
      <c r="EFZ64" s="2228"/>
      <c r="EGA64" s="2228"/>
      <c r="EGB64" s="2228"/>
      <c r="EGC64" s="2228"/>
      <c r="EGD64" s="2228"/>
      <c r="EGE64" s="2228"/>
      <c r="EGF64" s="2227"/>
      <c r="EGG64" s="2228"/>
      <c r="EGH64" s="2228"/>
      <c r="EGI64" s="2228"/>
      <c r="EGJ64" s="2228"/>
      <c r="EGK64" s="2228"/>
      <c r="EGL64" s="2228"/>
      <c r="EGM64" s="2228"/>
      <c r="EGN64" s="2228"/>
      <c r="EGO64" s="2228"/>
      <c r="EGP64" s="2228"/>
      <c r="EGQ64" s="2228"/>
      <c r="EGR64" s="2228"/>
      <c r="EGS64" s="2228"/>
      <c r="EGT64" s="2228"/>
      <c r="EGU64" s="2228"/>
      <c r="EGV64" s="2227"/>
      <c r="EGW64" s="2228"/>
      <c r="EGX64" s="2228"/>
      <c r="EGY64" s="2228"/>
      <c r="EGZ64" s="2228"/>
      <c r="EHA64" s="2228"/>
      <c r="EHB64" s="2228"/>
      <c r="EHC64" s="2228"/>
      <c r="EHD64" s="2228"/>
      <c r="EHE64" s="2228"/>
      <c r="EHF64" s="2228"/>
      <c r="EHG64" s="2228"/>
      <c r="EHH64" s="2228"/>
      <c r="EHI64" s="2228"/>
      <c r="EHJ64" s="2228"/>
      <c r="EHK64" s="2228"/>
      <c r="EHL64" s="2227"/>
      <c r="EHM64" s="2228"/>
      <c r="EHN64" s="2228"/>
      <c r="EHO64" s="2228"/>
      <c r="EHP64" s="2228"/>
      <c r="EHQ64" s="2228"/>
      <c r="EHR64" s="2228"/>
      <c r="EHS64" s="2228"/>
      <c r="EHT64" s="2228"/>
      <c r="EHU64" s="2228"/>
      <c r="EHV64" s="2228"/>
      <c r="EHW64" s="2228"/>
      <c r="EHX64" s="2228"/>
      <c r="EHY64" s="2228"/>
      <c r="EHZ64" s="2228"/>
      <c r="EIA64" s="2228"/>
      <c r="EIB64" s="2227"/>
      <c r="EIC64" s="2228"/>
      <c r="EID64" s="2228"/>
      <c r="EIE64" s="2228"/>
      <c r="EIF64" s="2228"/>
      <c r="EIG64" s="2228"/>
      <c r="EIH64" s="2228"/>
      <c r="EII64" s="2228"/>
      <c r="EIJ64" s="2228"/>
      <c r="EIK64" s="2228"/>
      <c r="EIL64" s="2228"/>
      <c r="EIM64" s="2228"/>
      <c r="EIN64" s="2228"/>
      <c r="EIO64" s="2228"/>
      <c r="EIP64" s="2228"/>
      <c r="EIQ64" s="2228"/>
      <c r="EIR64" s="2227"/>
      <c r="EIS64" s="2228"/>
      <c r="EIT64" s="2228"/>
      <c r="EIU64" s="2228"/>
      <c r="EIV64" s="2228"/>
      <c r="EIW64" s="2228"/>
      <c r="EIX64" s="2228"/>
      <c r="EIY64" s="2228"/>
      <c r="EIZ64" s="2228"/>
      <c r="EJA64" s="2228"/>
      <c r="EJB64" s="2228"/>
      <c r="EJC64" s="2228"/>
      <c r="EJD64" s="2228"/>
      <c r="EJE64" s="2228"/>
      <c r="EJF64" s="2228"/>
      <c r="EJG64" s="2228"/>
      <c r="EJH64" s="2227"/>
      <c r="EJI64" s="2228"/>
      <c r="EJJ64" s="2228"/>
      <c r="EJK64" s="2228"/>
      <c r="EJL64" s="2228"/>
      <c r="EJM64" s="2228"/>
      <c r="EJN64" s="2228"/>
      <c r="EJO64" s="2228"/>
      <c r="EJP64" s="2228"/>
      <c r="EJQ64" s="2228"/>
      <c r="EJR64" s="2228"/>
      <c r="EJS64" s="2228"/>
      <c r="EJT64" s="2228"/>
      <c r="EJU64" s="2228"/>
      <c r="EJV64" s="2228"/>
      <c r="EJW64" s="2228"/>
      <c r="EJX64" s="2227"/>
      <c r="EJY64" s="2228"/>
      <c r="EJZ64" s="2228"/>
      <c r="EKA64" s="2228"/>
      <c r="EKB64" s="2228"/>
      <c r="EKC64" s="2228"/>
      <c r="EKD64" s="2228"/>
      <c r="EKE64" s="2228"/>
      <c r="EKF64" s="2228"/>
      <c r="EKG64" s="2228"/>
      <c r="EKH64" s="2228"/>
      <c r="EKI64" s="2228"/>
      <c r="EKJ64" s="2228"/>
      <c r="EKK64" s="2228"/>
      <c r="EKL64" s="2228"/>
      <c r="EKM64" s="2228"/>
      <c r="EKN64" s="2227"/>
      <c r="EKO64" s="2228"/>
      <c r="EKP64" s="2228"/>
      <c r="EKQ64" s="2228"/>
      <c r="EKR64" s="2228"/>
      <c r="EKS64" s="2228"/>
      <c r="EKT64" s="2228"/>
      <c r="EKU64" s="2228"/>
      <c r="EKV64" s="2228"/>
      <c r="EKW64" s="2228"/>
      <c r="EKX64" s="2228"/>
      <c r="EKY64" s="2228"/>
      <c r="EKZ64" s="2228"/>
      <c r="ELA64" s="2228"/>
      <c r="ELB64" s="2228"/>
      <c r="ELC64" s="2228"/>
      <c r="ELD64" s="2227"/>
      <c r="ELE64" s="2228"/>
      <c r="ELF64" s="2228"/>
      <c r="ELG64" s="2228"/>
      <c r="ELH64" s="2228"/>
      <c r="ELI64" s="2228"/>
      <c r="ELJ64" s="2228"/>
      <c r="ELK64" s="2228"/>
      <c r="ELL64" s="2228"/>
      <c r="ELM64" s="2228"/>
      <c r="ELN64" s="2228"/>
      <c r="ELO64" s="2228"/>
      <c r="ELP64" s="2228"/>
      <c r="ELQ64" s="2228"/>
      <c r="ELR64" s="2228"/>
      <c r="ELS64" s="2228"/>
      <c r="ELT64" s="2227"/>
      <c r="ELU64" s="2228"/>
      <c r="ELV64" s="2228"/>
      <c r="ELW64" s="2228"/>
      <c r="ELX64" s="2228"/>
      <c r="ELY64" s="2228"/>
      <c r="ELZ64" s="2228"/>
      <c r="EMA64" s="2228"/>
      <c r="EMB64" s="2228"/>
      <c r="EMC64" s="2228"/>
      <c r="EMD64" s="2228"/>
      <c r="EME64" s="2228"/>
      <c r="EMF64" s="2228"/>
      <c r="EMG64" s="2228"/>
      <c r="EMH64" s="2228"/>
      <c r="EMI64" s="2228"/>
      <c r="EMJ64" s="2227"/>
      <c r="EMK64" s="2228"/>
      <c r="EML64" s="2228"/>
      <c r="EMM64" s="2228"/>
      <c r="EMN64" s="2228"/>
      <c r="EMO64" s="2228"/>
      <c r="EMP64" s="2228"/>
      <c r="EMQ64" s="2228"/>
      <c r="EMR64" s="2228"/>
      <c r="EMS64" s="2228"/>
      <c r="EMT64" s="2228"/>
      <c r="EMU64" s="2228"/>
      <c r="EMV64" s="2228"/>
      <c r="EMW64" s="2228"/>
      <c r="EMX64" s="2228"/>
      <c r="EMY64" s="2228"/>
      <c r="EMZ64" s="2227"/>
      <c r="ENA64" s="2228"/>
      <c r="ENB64" s="2228"/>
      <c r="ENC64" s="2228"/>
      <c r="END64" s="2228"/>
      <c r="ENE64" s="2228"/>
      <c r="ENF64" s="2228"/>
      <c r="ENG64" s="2228"/>
      <c r="ENH64" s="2228"/>
      <c r="ENI64" s="2228"/>
      <c r="ENJ64" s="2228"/>
      <c r="ENK64" s="2228"/>
      <c r="ENL64" s="2228"/>
      <c r="ENM64" s="2228"/>
      <c r="ENN64" s="2228"/>
      <c r="ENO64" s="2228"/>
      <c r="ENP64" s="2227"/>
      <c r="ENQ64" s="2228"/>
      <c r="ENR64" s="2228"/>
      <c r="ENS64" s="2228"/>
      <c r="ENT64" s="2228"/>
      <c r="ENU64" s="2228"/>
      <c r="ENV64" s="2228"/>
      <c r="ENW64" s="2228"/>
      <c r="ENX64" s="2228"/>
      <c r="ENY64" s="2228"/>
      <c r="ENZ64" s="2228"/>
      <c r="EOA64" s="2228"/>
      <c r="EOB64" s="2228"/>
      <c r="EOC64" s="2228"/>
      <c r="EOD64" s="2228"/>
      <c r="EOE64" s="2228"/>
      <c r="EOF64" s="2227"/>
      <c r="EOG64" s="2228"/>
      <c r="EOH64" s="2228"/>
      <c r="EOI64" s="2228"/>
      <c r="EOJ64" s="2228"/>
      <c r="EOK64" s="2228"/>
      <c r="EOL64" s="2228"/>
      <c r="EOM64" s="2228"/>
      <c r="EON64" s="2228"/>
      <c r="EOO64" s="2228"/>
      <c r="EOP64" s="2228"/>
      <c r="EOQ64" s="2228"/>
      <c r="EOR64" s="2228"/>
      <c r="EOS64" s="2228"/>
      <c r="EOT64" s="2228"/>
      <c r="EOU64" s="2228"/>
      <c r="EOV64" s="2227"/>
      <c r="EOW64" s="2228"/>
      <c r="EOX64" s="2228"/>
      <c r="EOY64" s="2228"/>
      <c r="EOZ64" s="2228"/>
      <c r="EPA64" s="2228"/>
      <c r="EPB64" s="2228"/>
      <c r="EPC64" s="2228"/>
      <c r="EPD64" s="2228"/>
      <c r="EPE64" s="2228"/>
      <c r="EPF64" s="2228"/>
      <c r="EPG64" s="2228"/>
      <c r="EPH64" s="2228"/>
      <c r="EPI64" s="2228"/>
      <c r="EPJ64" s="2228"/>
      <c r="EPK64" s="2228"/>
      <c r="EPL64" s="2227"/>
      <c r="EPM64" s="2228"/>
      <c r="EPN64" s="2228"/>
      <c r="EPO64" s="2228"/>
      <c r="EPP64" s="2228"/>
      <c r="EPQ64" s="2228"/>
      <c r="EPR64" s="2228"/>
      <c r="EPS64" s="2228"/>
      <c r="EPT64" s="2228"/>
      <c r="EPU64" s="2228"/>
      <c r="EPV64" s="2228"/>
      <c r="EPW64" s="2228"/>
      <c r="EPX64" s="2228"/>
      <c r="EPY64" s="2228"/>
      <c r="EPZ64" s="2228"/>
      <c r="EQA64" s="2228"/>
      <c r="EQB64" s="2227"/>
      <c r="EQC64" s="2228"/>
      <c r="EQD64" s="2228"/>
      <c r="EQE64" s="2228"/>
      <c r="EQF64" s="2228"/>
      <c r="EQG64" s="2228"/>
      <c r="EQH64" s="2228"/>
      <c r="EQI64" s="2228"/>
      <c r="EQJ64" s="2228"/>
      <c r="EQK64" s="2228"/>
      <c r="EQL64" s="2228"/>
      <c r="EQM64" s="2228"/>
      <c r="EQN64" s="2228"/>
      <c r="EQO64" s="2228"/>
      <c r="EQP64" s="2228"/>
      <c r="EQQ64" s="2228"/>
      <c r="EQR64" s="2227"/>
      <c r="EQS64" s="2228"/>
      <c r="EQT64" s="2228"/>
      <c r="EQU64" s="2228"/>
      <c r="EQV64" s="2228"/>
      <c r="EQW64" s="2228"/>
      <c r="EQX64" s="2228"/>
      <c r="EQY64" s="2228"/>
      <c r="EQZ64" s="2228"/>
      <c r="ERA64" s="2228"/>
      <c r="ERB64" s="2228"/>
      <c r="ERC64" s="2228"/>
      <c r="ERD64" s="2228"/>
      <c r="ERE64" s="2228"/>
      <c r="ERF64" s="2228"/>
      <c r="ERG64" s="2228"/>
      <c r="ERH64" s="2227"/>
      <c r="ERI64" s="2228"/>
      <c r="ERJ64" s="2228"/>
      <c r="ERK64" s="2228"/>
      <c r="ERL64" s="2228"/>
      <c r="ERM64" s="2228"/>
      <c r="ERN64" s="2228"/>
      <c r="ERO64" s="2228"/>
      <c r="ERP64" s="2228"/>
      <c r="ERQ64" s="2228"/>
      <c r="ERR64" s="2228"/>
      <c r="ERS64" s="2228"/>
      <c r="ERT64" s="2228"/>
      <c r="ERU64" s="2228"/>
      <c r="ERV64" s="2228"/>
      <c r="ERW64" s="2228"/>
      <c r="ERX64" s="2227"/>
      <c r="ERY64" s="2228"/>
      <c r="ERZ64" s="2228"/>
      <c r="ESA64" s="2228"/>
      <c r="ESB64" s="2228"/>
      <c r="ESC64" s="2228"/>
      <c r="ESD64" s="2228"/>
      <c r="ESE64" s="2228"/>
      <c r="ESF64" s="2228"/>
      <c r="ESG64" s="2228"/>
      <c r="ESH64" s="2228"/>
      <c r="ESI64" s="2228"/>
      <c r="ESJ64" s="2228"/>
      <c r="ESK64" s="2228"/>
      <c r="ESL64" s="2228"/>
      <c r="ESM64" s="2228"/>
      <c r="ESN64" s="2227"/>
      <c r="ESO64" s="2228"/>
      <c r="ESP64" s="2228"/>
      <c r="ESQ64" s="2228"/>
      <c r="ESR64" s="2228"/>
      <c r="ESS64" s="2228"/>
      <c r="EST64" s="2228"/>
      <c r="ESU64" s="2228"/>
      <c r="ESV64" s="2228"/>
      <c r="ESW64" s="2228"/>
      <c r="ESX64" s="2228"/>
      <c r="ESY64" s="2228"/>
      <c r="ESZ64" s="2228"/>
      <c r="ETA64" s="2228"/>
      <c r="ETB64" s="2228"/>
      <c r="ETC64" s="2228"/>
      <c r="ETD64" s="2227"/>
      <c r="ETE64" s="2228"/>
      <c r="ETF64" s="2228"/>
      <c r="ETG64" s="2228"/>
      <c r="ETH64" s="2228"/>
      <c r="ETI64" s="2228"/>
      <c r="ETJ64" s="2228"/>
      <c r="ETK64" s="2228"/>
      <c r="ETL64" s="2228"/>
      <c r="ETM64" s="2228"/>
      <c r="ETN64" s="2228"/>
      <c r="ETO64" s="2228"/>
      <c r="ETP64" s="2228"/>
      <c r="ETQ64" s="2228"/>
      <c r="ETR64" s="2228"/>
      <c r="ETS64" s="2228"/>
      <c r="ETT64" s="2227"/>
      <c r="ETU64" s="2228"/>
      <c r="ETV64" s="2228"/>
      <c r="ETW64" s="2228"/>
      <c r="ETX64" s="2228"/>
      <c r="ETY64" s="2228"/>
      <c r="ETZ64" s="2228"/>
      <c r="EUA64" s="2228"/>
      <c r="EUB64" s="2228"/>
      <c r="EUC64" s="2228"/>
      <c r="EUD64" s="2228"/>
      <c r="EUE64" s="2228"/>
      <c r="EUF64" s="2228"/>
      <c r="EUG64" s="2228"/>
      <c r="EUH64" s="2228"/>
      <c r="EUI64" s="2228"/>
      <c r="EUJ64" s="2227"/>
      <c r="EUK64" s="2228"/>
      <c r="EUL64" s="2228"/>
      <c r="EUM64" s="2228"/>
      <c r="EUN64" s="2228"/>
      <c r="EUO64" s="2228"/>
      <c r="EUP64" s="2228"/>
      <c r="EUQ64" s="2228"/>
      <c r="EUR64" s="2228"/>
      <c r="EUS64" s="2228"/>
      <c r="EUT64" s="2228"/>
      <c r="EUU64" s="2228"/>
      <c r="EUV64" s="2228"/>
      <c r="EUW64" s="2228"/>
      <c r="EUX64" s="2228"/>
      <c r="EUY64" s="2228"/>
      <c r="EUZ64" s="2227"/>
      <c r="EVA64" s="2228"/>
      <c r="EVB64" s="2228"/>
      <c r="EVC64" s="2228"/>
      <c r="EVD64" s="2228"/>
      <c r="EVE64" s="2228"/>
      <c r="EVF64" s="2228"/>
      <c r="EVG64" s="2228"/>
      <c r="EVH64" s="2228"/>
      <c r="EVI64" s="2228"/>
      <c r="EVJ64" s="2228"/>
      <c r="EVK64" s="2228"/>
      <c r="EVL64" s="2228"/>
      <c r="EVM64" s="2228"/>
      <c r="EVN64" s="2228"/>
      <c r="EVO64" s="2228"/>
      <c r="EVP64" s="2227"/>
      <c r="EVQ64" s="2228"/>
      <c r="EVR64" s="2228"/>
      <c r="EVS64" s="2228"/>
      <c r="EVT64" s="2228"/>
      <c r="EVU64" s="2228"/>
      <c r="EVV64" s="2228"/>
      <c r="EVW64" s="2228"/>
      <c r="EVX64" s="2228"/>
      <c r="EVY64" s="2228"/>
      <c r="EVZ64" s="2228"/>
      <c r="EWA64" s="2228"/>
      <c r="EWB64" s="2228"/>
      <c r="EWC64" s="2228"/>
      <c r="EWD64" s="2228"/>
      <c r="EWE64" s="2228"/>
      <c r="EWF64" s="2227"/>
      <c r="EWG64" s="2228"/>
      <c r="EWH64" s="2228"/>
      <c r="EWI64" s="2228"/>
      <c r="EWJ64" s="2228"/>
      <c r="EWK64" s="2228"/>
      <c r="EWL64" s="2228"/>
      <c r="EWM64" s="2228"/>
      <c r="EWN64" s="2228"/>
      <c r="EWO64" s="2228"/>
      <c r="EWP64" s="2228"/>
      <c r="EWQ64" s="2228"/>
      <c r="EWR64" s="2228"/>
      <c r="EWS64" s="2228"/>
      <c r="EWT64" s="2228"/>
      <c r="EWU64" s="2228"/>
      <c r="EWV64" s="2227"/>
      <c r="EWW64" s="2228"/>
      <c r="EWX64" s="2228"/>
      <c r="EWY64" s="2228"/>
      <c r="EWZ64" s="2228"/>
      <c r="EXA64" s="2228"/>
      <c r="EXB64" s="2228"/>
      <c r="EXC64" s="2228"/>
      <c r="EXD64" s="2228"/>
      <c r="EXE64" s="2228"/>
      <c r="EXF64" s="2228"/>
      <c r="EXG64" s="2228"/>
      <c r="EXH64" s="2228"/>
      <c r="EXI64" s="2228"/>
      <c r="EXJ64" s="2228"/>
      <c r="EXK64" s="2228"/>
      <c r="EXL64" s="2227"/>
      <c r="EXM64" s="2228"/>
      <c r="EXN64" s="2228"/>
      <c r="EXO64" s="2228"/>
      <c r="EXP64" s="2228"/>
      <c r="EXQ64" s="2228"/>
      <c r="EXR64" s="2228"/>
      <c r="EXS64" s="2228"/>
      <c r="EXT64" s="2228"/>
      <c r="EXU64" s="2228"/>
      <c r="EXV64" s="2228"/>
      <c r="EXW64" s="2228"/>
      <c r="EXX64" s="2228"/>
      <c r="EXY64" s="2228"/>
      <c r="EXZ64" s="2228"/>
      <c r="EYA64" s="2228"/>
      <c r="EYB64" s="2227"/>
      <c r="EYC64" s="2228"/>
      <c r="EYD64" s="2228"/>
      <c r="EYE64" s="2228"/>
      <c r="EYF64" s="2228"/>
      <c r="EYG64" s="2228"/>
      <c r="EYH64" s="2228"/>
      <c r="EYI64" s="2228"/>
      <c r="EYJ64" s="2228"/>
      <c r="EYK64" s="2228"/>
      <c r="EYL64" s="2228"/>
      <c r="EYM64" s="2228"/>
      <c r="EYN64" s="2228"/>
      <c r="EYO64" s="2228"/>
      <c r="EYP64" s="2228"/>
      <c r="EYQ64" s="2228"/>
      <c r="EYR64" s="2227"/>
      <c r="EYS64" s="2228"/>
      <c r="EYT64" s="2228"/>
      <c r="EYU64" s="2228"/>
      <c r="EYV64" s="2228"/>
      <c r="EYW64" s="2228"/>
      <c r="EYX64" s="2228"/>
      <c r="EYY64" s="2228"/>
      <c r="EYZ64" s="2228"/>
      <c r="EZA64" s="2228"/>
      <c r="EZB64" s="2228"/>
      <c r="EZC64" s="2228"/>
      <c r="EZD64" s="2228"/>
      <c r="EZE64" s="2228"/>
      <c r="EZF64" s="2228"/>
      <c r="EZG64" s="2228"/>
      <c r="EZH64" s="2227"/>
      <c r="EZI64" s="2228"/>
      <c r="EZJ64" s="2228"/>
      <c r="EZK64" s="2228"/>
      <c r="EZL64" s="2228"/>
      <c r="EZM64" s="2228"/>
      <c r="EZN64" s="2228"/>
      <c r="EZO64" s="2228"/>
      <c r="EZP64" s="2228"/>
      <c r="EZQ64" s="2228"/>
      <c r="EZR64" s="2228"/>
      <c r="EZS64" s="2228"/>
      <c r="EZT64" s="2228"/>
      <c r="EZU64" s="2228"/>
      <c r="EZV64" s="2228"/>
      <c r="EZW64" s="2228"/>
      <c r="EZX64" s="2227"/>
      <c r="EZY64" s="2228"/>
      <c r="EZZ64" s="2228"/>
      <c r="FAA64" s="2228"/>
      <c r="FAB64" s="2228"/>
      <c r="FAC64" s="2228"/>
      <c r="FAD64" s="2228"/>
      <c r="FAE64" s="2228"/>
      <c r="FAF64" s="2228"/>
      <c r="FAG64" s="2228"/>
      <c r="FAH64" s="2228"/>
      <c r="FAI64" s="2228"/>
      <c r="FAJ64" s="2228"/>
      <c r="FAK64" s="2228"/>
      <c r="FAL64" s="2228"/>
      <c r="FAM64" s="2228"/>
      <c r="FAN64" s="2227"/>
      <c r="FAO64" s="2228"/>
      <c r="FAP64" s="2228"/>
      <c r="FAQ64" s="2228"/>
      <c r="FAR64" s="2228"/>
      <c r="FAS64" s="2228"/>
      <c r="FAT64" s="2228"/>
      <c r="FAU64" s="2228"/>
      <c r="FAV64" s="2228"/>
      <c r="FAW64" s="2228"/>
      <c r="FAX64" s="2228"/>
      <c r="FAY64" s="2228"/>
      <c r="FAZ64" s="2228"/>
      <c r="FBA64" s="2228"/>
      <c r="FBB64" s="2228"/>
      <c r="FBC64" s="2228"/>
      <c r="FBD64" s="2227"/>
      <c r="FBE64" s="2228"/>
      <c r="FBF64" s="2228"/>
      <c r="FBG64" s="2228"/>
      <c r="FBH64" s="2228"/>
      <c r="FBI64" s="2228"/>
      <c r="FBJ64" s="2228"/>
      <c r="FBK64" s="2228"/>
      <c r="FBL64" s="2228"/>
      <c r="FBM64" s="2228"/>
      <c r="FBN64" s="2228"/>
      <c r="FBO64" s="2228"/>
      <c r="FBP64" s="2228"/>
      <c r="FBQ64" s="2228"/>
      <c r="FBR64" s="2228"/>
      <c r="FBS64" s="2228"/>
      <c r="FBT64" s="2227"/>
      <c r="FBU64" s="2228"/>
      <c r="FBV64" s="2228"/>
      <c r="FBW64" s="2228"/>
      <c r="FBX64" s="2228"/>
      <c r="FBY64" s="2228"/>
      <c r="FBZ64" s="2228"/>
      <c r="FCA64" s="2228"/>
      <c r="FCB64" s="2228"/>
      <c r="FCC64" s="2228"/>
      <c r="FCD64" s="2228"/>
      <c r="FCE64" s="2228"/>
      <c r="FCF64" s="2228"/>
      <c r="FCG64" s="2228"/>
      <c r="FCH64" s="2228"/>
      <c r="FCI64" s="2228"/>
      <c r="FCJ64" s="2227"/>
      <c r="FCK64" s="2228"/>
      <c r="FCL64" s="2228"/>
      <c r="FCM64" s="2228"/>
      <c r="FCN64" s="2228"/>
      <c r="FCO64" s="2228"/>
      <c r="FCP64" s="2228"/>
      <c r="FCQ64" s="2228"/>
      <c r="FCR64" s="2228"/>
      <c r="FCS64" s="2228"/>
      <c r="FCT64" s="2228"/>
      <c r="FCU64" s="2228"/>
      <c r="FCV64" s="2228"/>
      <c r="FCW64" s="2228"/>
      <c r="FCX64" s="2228"/>
      <c r="FCY64" s="2228"/>
      <c r="FCZ64" s="2227"/>
      <c r="FDA64" s="2228"/>
      <c r="FDB64" s="2228"/>
      <c r="FDC64" s="2228"/>
      <c r="FDD64" s="2228"/>
      <c r="FDE64" s="2228"/>
      <c r="FDF64" s="2228"/>
      <c r="FDG64" s="2228"/>
      <c r="FDH64" s="2228"/>
      <c r="FDI64" s="2228"/>
      <c r="FDJ64" s="2228"/>
      <c r="FDK64" s="2228"/>
      <c r="FDL64" s="2228"/>
      <c r="FDM64" s="2228"/>
      <c r="FDN64" s="2228"/>
      <c r="FDO64" s="2228"/>
      <c r="FDP64" s="2227"/>
      <c r="FDQ64" s="2228"/>
      <c r="FDR64" s="2228"/>
      <c r="FDS64" s="2228"/>
      <c r="FDT64" s="2228"/>
      <c r="FDU64" s="2228"/>
      <c r="FDV64" s="2228"/>
      <c r="FDW64" s="2228"/>
      <c r="FDX64" s="2228"/>
      <c r="FDY64" s="2228"/>
      <c r="FDZ64" s="2228"/>
      <c r="FEA64" s="2228"/>
      <c r="FEB64" s="2228"/>
      <c r="FEC64" s="2228"/>
      <c r="FED64" s="2228"/>
      <c r="FEE64" s="2228"/>
      <c r="FEF64" s="2227"/>
      <c r="FEG64" s="2228"/>
      <c r="FEH64" s="2228"/>
      <c r="FEI64" s="2228"/>
      <c r="FEJ64" s="2228"/>
      <c r="FEK64" s="2228"/>
      <c r="FEL64" s="2228"/>
      <c r="FEM64" s="2228"/>
      <c r="FEN64" s="2228"/>
      <c r="FEO64" s="2228"/>
      <c r="FEP64" s="2228"/>
      <c r="FEQ64" s="2228"/>
      <c r="FER64" s="2228"/>
      <c r="FES64" s="2228"/>
      <c r="FET64" s="2228"/>
      <c r="FEU64" s="2228"/>
      <c r="FEV64" s="2227"/>
      <c r="FEW64" s="2228"/>
      <c r="FEX64" s="2228"/>
      <c r="FEY64" s="2228"/>
      <c r="FEZ64" s="2228"/>
      <c r="FFA64" s="2228"/>
      <c r="FFB64" s="2228"/>
      <c r="FFC64" s="2228"/>
      <c r="FFD64" s="2228"/>
      <c r="FFE64" s="2228"/>
      <c r="FFF64" s="2228"/>
      <c r="FFG64" s="2228"/>
      <c r="FFH64" s="2228"/>
      <c r="FFI64" s="2228"/>
      <c r="FFJ64" s="2228"/>
      <c r="FFK64" s="2228"/>
      <c r="FFL64" s="2227"/>
      <c r="FFM64" s="2228"/>
      <c r="FFN64" s="2228"/>
      <c r="FFO64" s="2228"/>
      <c r="FFP64" s="2228"/>
      <c r="FFQ64" s="2228"/>
      <c r="FFR64" s="2228"/>
      <c r="FFS64" s="2228"/>
      <c r="FFT64" s="2228"/>
      <c r="FFU64" s="2228"/>
      <c r="FFV64" s="2228"/>
      <c r="FFW64" s="2228"/>
      <c r="FFX64" s="2228"/>
      <c r="FFY64" s="2228"/>
      <c r="FFZ64" s="2228"/>
      <c r="FGA64" s="2228"/>
      <c r="FGB64" s="2227"/>
      <c r="FGC64" s="2228"/>
      <c r="FGD64" s="2228"/>
      <c r="FGE64" s="2228"/>
      <c r="FGF64" s="2228"/>
      <c r="FGG64" s="2228"/>
      <c r="FGH64" s="2228"/>
      <c r="FGI64" s="2228"/>
      <c r="FGJ64" s="2228"/>
      <c r="FGK64" s="2228"/>
      <c r="FGL64" s="2228"/>
      <c r="FGM64" s="2228"/>
      <c r="FGN64" s="2228"/>
      <c r="FGO64" s="2228"/>
      <c r="FGP64" s="2228"/>
      <c r="FGQ64" s="2228"/>
      <c r="FGR64" s="2227"/>
      <c r="FGS64" s="2228"/>
      <c r="FGT64" s="2228"/>
      <c r="FGU64" s="2228"/>
      <c r="FGV64" s="2228"/>
      <c r="FGW64" s="2228"/>
      <c r="FGX64" s="2228"/>
      <c r="FGY64" s="2228"/>
      <c r="FGZ64" s="2228"/>
      <c r="FHA64" s="2228"/>
      <c r="FHB64" s="2228"/>
      <c r="FHC64" s="2228"/>
      <c r="FHD64" s="2228"/>
      <c r="FHE64" s="2228"/>
      <c r="FHF64" s="2228"/>
      <c r="FHG64" s="2228"/>
      <c r="FHH64" s="2227"/>
      <c r="FHI64" s="2228"/>
      <c r="FHJ64" s="2228"/>
      <c r="FHK64" s="2228"/>
      <c r="FHL64" s="2228"/>
      <c r="FHM64" s="2228"/>
      <c r="FHN64" s="2228"/>
      <c r="FHO64" s="2228"/>
      <c r="FHP64" s="2228"/>
      <c r="FHQ64" s="2228"/>
      <c r="FHR64" s="2228"/>
      <c r="FHS64" s="2228"/>
      <c r="FHT64" s="2228"/>
      <c r="FHU64" s="2228"/>
      <c r="FHV64" s="2228"/>
      <c r="FHW64" s="2228"/>
      <c r="FHX64" s="2227"/>
      <c r="FHY64" s="2228"/>
      <c r="FHZ64" s="2228"/>
      <c r="FIA64" s="2228"/>
      <c r="FIB64" s="2228"/>
      <c r="FIC64" s="2228"/>
      <c r="FID64" s="2228"/>
      <c r="FIE64" s="2228"/>
      <c r="FIF64" s="2228"/>
      <c r="FIG64" s="2228"/>
      <c r="FIH64" s="2228"/>
      <c r="FII64" s="2228"/>
      <c r="FIJ64" s="2228"/>
      <c r="FIK64" s="2228"/>
      <c r="FIL64" s="2228"/>
      <c r="FIM64" s="2228"/>
      <c r="FIN64" s="2227"/>
      <c r="FIO64" s="2228"/>
      <c r="FIP64" s="2228"/>
      <c r="FIQ64" s="2228"/>
      <c r="FIR64" s="2228"/>
      <c r="FIS64" s="2228"/>
      <c r="FIT64" s="2228"/>
      <c r="FIU64" s="2228"/>
      <c r="FIV64" s="2228"/>
      <c r="FIW64" s="2228"/>
      <c r="FIX64" s="2228"/>
      <c r="FIY64" s="2228"/>
      <c r="FIZ64" s="2228"/>
      <c r="FJA64" s="2228"/>
      <c r="FJB64" s="2228"/>
      <c r="FJC64" s="2228"/>
      <c r="FJD64" s="2227"/>
      <c r="FJE64" s="2228"/>
      <c r="FJF64" s="2228"/>
      <c r="FJG64" s="2228"/>
      <c r="FJH64" s="2228"/>
      <c r="FJI64" s="2228"/>
      <c r="FJJ64" s="2228"/>
      <c r="FJK64" s="2228"/>
      <c r="FJL64" s="2228"/>
      <c r="FJM64" s="2228"/>
      <c r="FJN64" s="2228"/>
      <c r="FJO64" s="2228"/>
      <c r="FJP64" s="2228"/>
      <c r="FJQ64" s="2228"/>
      <c r="FJR64" s="2228"/>
      <c r="FJS64" s="2228"/>
      <c r="FJT64" s="2227"/>
      <c r="FJU64" s="2228"/>
      <c r="FJV64" s="2228"/>
      <c r="FJW64" s="2228"/>
      <c r="FJX64" s="2228"/>
      <c r="FJY64" s="2228"/>
      <c r="FJZ64" s="2228"/>
      <c r="FKA64" s="2228"/>
      <c r="FKB64" s="2228"/>
      <c r="FKC64" s="2228"/>
      <c r="FKD64" s="2228"/>
      <c r="FKE64" s="2228"/>
      <c r="FKF64" s="2228"/>
      <c r="FKG64" s="2228"/>
      <c r="FKH64" s="2228"/>
      <c r="FKI64" s="2228"/>
      <c r="FKJ64" s="2227"/>
      <c r="FKK64" s="2228"/>
      <c r="FKL64" s="2228"/>
      <c r="FKM64" s="2228"/>
      <c r="FKN64" s="2228"/>
      <c r="FKO64" s="2228"/>
      <c r="FKP64" s="2228"/>
      <c r="FKQ64" s="2228"/>
      <c r="FKR64" s="2228"/>
      <c r="FKS64" s="2228"/>
      <c r="FKT64" s="2228"/>
      <c r="FKU64" s="2228"/>
      <c r="FKV64" s="2228"/>
      <c r="FKW64" s="2228"/>
      <c r="FKX64" s="2228"/>
      <c r="FKY64" s="2228"/>
      <c r="FKZ64" s="2227"/>
      <c r="FLA64" s="2228"/>
      <c r="FLB64" s="2228"/>
      <c r="FLC64" s="2228"/>
      <c r="FLD64" s="2228"/>
      <c r="FLE64" s="2228"/>
      <c r="FLF64" s="2228"/>
      <c r="FLG64" s="2228"/>
      <c r="FLH64" s="2228"/>
      <c r="FLI64" s="2228"/>
      <c r="FLJ64" s="2228"/>
      <c r="FLK64" s="2228"/>
      <c r="FLL64" s="2228"/>
      <c r="FLM64" s="2228"/>
      <c r="FLN64" s="2228"/>
      <c r="FLO64" s="2228"/>
      <c r="FLP64" s="2227"/>
      <c r="FLQ64" s="2228"/>
      <c r="FLR64" s="2228"/>
      <c r="FLS64" s="2228"/>
      <c r="FLT64" s="2228"/>
      <c r="FLU64" s="2228"/>
      <c r="FLV64" s="2228"/>
      <c r="FLW64" s="2228"/>
      <c r="FLX64" s="2228"/>
      <c r="FLY64" s="2228"/>
      <c r="FLZ64" s="2228"/>
      <c r="FMA64" s="2228"/>
      <c r="FMB64" s="2228"/>
      <c r="FMC64" s="2228"/>
      <c r="FMD64" s="2228"/>
      <c r="FME64" s="2228"/>
      <c r="FMF64" s="2227"/>
      <c r="FMG64" s="2228"/>
      <c r="FMH64" s="2228"/>
      <c r="FMI64" s="2228"/>
      <c r="FMJ64" s="2228"/>
      <c r="FMK64" s="2228"/>
      <c r="FML64" s="2228"/>
      <c r="FMM64" s="2228"/>
      <c r="FMN64" s="2228"/>
      <c r="FMO64" s="2228"/>
      <c r="FMP64" s="2228"/>
      <c r="FMQ64" s="2228"/>
      <c r="FMR64" s="2228"/>
      <c r="FMS64" s="2228"/>
      <c r="FMT64" s="2228"/>
      <c r="FMU64" s="2228"/>
      <c r="FMV64" s="2227"/>
      <c r="FMW64" s="2228"/>
      <c r="FMX64" s="2228"/>
      <c r="FMY64" s="2228"/>
      <c r="FMZ64" s="2228"/>
      <c r="FNA64" s="2228"/>
      <c r="FNB64" s="2228"/>
      <c r="FNC64" s="2228"/>
      <c r="FND64" s="2228"/>
      <c r="FNE64" s="2228"/>
      <c r="FNF64" s="2228"/>
      <c r="FNG64" s="2228"/>
      <c r="FNH64" s="2228"/>
      <c r="FNI64" s="2228"/>
      <c r="FNJ64" s="2228"/>
      <c r="FNK64" s="2228"/>
      <c r="FNL64" s="2227"/>
      <c r="FNM64" s="2228"/>
      <c r="FNN64" s="2228"/>
      <c r="FNO64" s="2228"/>
      <c r="FNP64" s="2228"/>
      <c r="FNQ64" s="2228"/>
      <c r="FNR64" s="2228"/>
      <c r="FNS64" s="2228"/>
      <c r="FNT64" s="2228"/>
      <c r="FNU64" s="2228"/>
      <c r="FNV64" s="2228"/>
      <c r="FNW64" s="2228"/>
      <c r="FNX64" s="2228"/>
      <c r="FNY64" s="2228"/>
      <c r="FNZ64" s="2228"/>
      <c r="FOA64" s="2228"/>
      <c r="FOB64" s="2227"/>
      <c r="FOC64" s="2228"/>
      <c r="FOD64" s="2228"/>
      <c r="FOE64" s="2228"/>
      <c r="FOF64" s="2228"/>
      <c r="FOG64" s="2228"/>
      <c r="FOH64" s="2228"/>
      <c r="FOI64" s="2228"/>
      <c r="FOJ64" s="2228"/>
      <c r="FOK64" s="2228"/>
      <c r="FOL64" s="2228"/>
      <c r="FOM64" s="2228"/>
      <c r="FON64" s="2228"/>
      <c r="FOO64" s="2228"/>
      <c r="FOP64" s="2228"/>
      <c r="FOQ64" s="2228"/>
      <c r="FOR64" s="2227"/>
      <c r="FOS64" s="2228"/>
      <c r="FOT64" s="2228"/>
      <c r="FOU64" s="2228"/>
      <c r="FOV64" s="2228"/>
      <c r="FOW64" s="2228"/>
      <c r="FOX64" s="2228"/>
      <c r="FOY64" s="2228"/>
      <c r="FOZ64" s="2228"/>
      <c r="FPA64" s="2228"/>
      <c r="FPB64" s="2228"/>
      <c r="FPC64" s="2228"/>
      <c r="FPD64" s="2228"/>
      <c r="FPE64" s="2228"/>
      <c r="FPF64" s="2228"/>
      <c r="FPG64" s="2228"/>
      <c r="FPH64" s="2227"/>
      <c r="FPI64" s="2228"/>
      <c r="FPJ64" s="2228"/>
      <c r="FPK64" s="2228"/>
      <c r="FPL64" s="2228"/>
      <c r="FPM64" s="2228"/>
      <c r="FPN64" s="2228"/>
      <c r="FPO64" s="2228"/>
      <c r="FPP64" s="2228"/>
      <c r="FPQ64" s="2228"/>
      <c r="FPR64" s="2228"/>
      <c r="FPS64" s="2228"/>
      <c r="FPT64" s="2228"/>
      <c r="FPU64" s="2228"/>
      <c r="FPV64" s="2228"/>
      <c r="FPW64" s="2228"/>
      <c r="FPX64" s="2227"/>
      <c r="FPY64" s="2228"/>
      <c r="FPZ64" s="2228"/>
      <c r="FQA64" s="2228"/>
      <c r="FQB64" s="2228"/>
      <c r="FQC64" s="2228"/>
      <c r="FQD64" s="2228"/>
      <c r="FQE64" s="2228"/>
      <c r="FQF64" s="2228"/>
      <c r="FQG64" s="2228"/>
      <c r="FQH64" s="2228"/>
      <c r="FQI64" s="2228"/>
      <c r="FQJ64" s="2228"/>
      <c r="FQK64" s="2228"/>
      <c r="FQL64" s="2228"/>
      <c r="FQM64" s="2228"/>
      <c r="FQN64" s="2227"/>
      <c r="FQO64" s="2228"/>
      <c r="FQP64" s="2228"/>
      <c r="FQQ64" s="2228"/>
      <c r="FQR64" s="2228"/>
      <c r="FQS64" s="2228"/>
      <c r="FQT64" s="2228"/>
      <c r="FQU64" s="2228"/>
      <c r="FQV64" s="2228"/>
      <c r="FQW64" s="2228"/>
      <c r="FQX64" s="2228"/>
      <c r="FQY64" s="2228"/>
      <c r="FQZ64" s="2228"/>
      <c r="FRA64" s="2228"/>
      <c r="FRB64" s="2228"/>
      <c r="FRC64" s="2228"/>
      <c r="FRD64" s="2227"/>
      <c r="FRE64" s="2228"/>
      <c r="FRF64" s="2228"/>
      <c r="FRG64" s="2228"/>
      <c r="FRH64" s="2228"/>
      <c r="FRI64" s="2228"/>
      <c r="FRJ64" s="2228"/>
      <c r="FRK64" s="2228"/>
      <c r="FRL64" s="2228"/>
      <c r="FRM64" s="2228"/>
      <c r="FRN64" s="2228"/>
      <c r="FRO64" s="2228"/>
      <c r="FRP64" s="2228"/>
      <c r="FRQ64" s="2228"/>
      <c r="FRR64" s="2228"/>
      <c r="FRS64" s="2228"/>
      <c r="FRT64" s="2227"/>
      <c r="FRU64" s="2228"/>
      <c r="FRV64" s="2228"/>
      <c r="FRW64" s="2228"/>
      <c r="FRX64" s="2228"/>
      <c r="FRY64" s="2228"/>
      <c r="FRZ64" s="2228"/>
      <c r="FSA64" s="2228"/>
      <c r="FSB64" s="2228"/>
      <c r="FSC64" s="2228"/>
      <c r="FSD64" s="2228"/>
      <c r="FSE64" s="2228"/>
      <c r="FSF64" s="2228"/>
      <c r="FSG64" s="2228"/>
      <c r="FSH64" s="2228"/>
      <c r="FSI64" s="2228"/>
      <c r="FSJ64" s="2227"/>
      <c r="FSK64" s="2228"/>
      <c r="FSL64" s="2228"/>
      <c r="FSM64" s="2228"/>
      <c r="FSN64" s="2228"/>
      <c r="FSO64" s="2228"/>
      <c r="FSP64" s="2228"/>
      <c r="FSQ64" s="2228"/>
      <c r="FSR64" s="2228"/>
      <c r="FSS64" s="2228"/>
      <c r="FST64" s="2228"/>
      <c r="FSU64" s="2228"/>
      <c r="FSV64" s="2228"/>
      <c r="FSW64" s="2228"/>
      <c r="FSX64" s="2228"/>
      <c r="FSY64" s="2228"/>
      <c r="FSZ64" s="2227"/>
      <c r="FTA64" s="2228"/>
      <c r="FTB64" s="2228"/>
      <c r="FTC64" s="2228"/>
      <c r="FTD64" s="2228"/>
      <c r="FTE64" s="2228"/>
      <c r="FTF64" s="2228"/>
      <c r="FTG64" s="2228"/>
      <c r="FTH64" s="2228"/>
      <c r="FTI64" s="2228"/>
      <c r="FTJ64" s="2228"/>
      <c r="FTK64" s="2228"/>
      <c r="FTL64" s="2228"/>
      <c r="FTM64" s="2228"/>
      <c r="FTN64" s="2228"/>
      <c r="FTO64" s="2228"/>
      <c r="FTP64" s="2227"/>
      <c r="FTQ64" s="2228"/>
      <c r="FTR64" s="2228"/>
      <c r="FTS64" s="2228"/>
      <c r="FTT64" s="2228"/>
      <c r="FTU64" s="2228"/>
      <c r="FTV64" s="2228"/>
      <c r="FTW64" s="2228"/>
      <c r="FTX64" s="2228"/>
      <c r="FTY64" s="2228"/>
      <c r="FTZ64" s="2228"/>
      <c r="FUA64" s="2228"/>
      <c r="FUB64" s="2228"/>
      <c r="FUC64" s="2228"/>
      <c r="FUD64" s="2228"/>
      <c r="FUE64" s="2228"/>
      <c r="FUF64" s="2227"/>
      <c r="FUG64" s="2228"/>
      <c r="FUH64" s="2228"/>
      <c r="FUI64" s="2228"/>
      <c r="FUJ64" s="2228"/>
      <c r="FUK64" s="2228"/>
      <c r="FUL64" s="2228"/>
      <c r="FUM64" s="2228"/>
      <c r="FUN64" s="2228"/>
      <c r="FUO64" s="2228"/>
      <c r="FUP64" s="2228"/>
      <c r="FUQ64" s="2228"/>
      <c r="FUR64" s="2228"/>
      <c r="FUS64" s="2228"/>
      <c r="FUT64" s="2228"/>
      <c r="FUU64" s="2228"/>
      <c r="FUV64" s="2227"/>
      <c r="FUW64" s="2228"/>
      <c r="FUX64" s="2228"/>
      <c r="FUY64" s="2228"/>
      <c r="FUZ64" s="2228"/>
      <c r="FVA64" s="2228"/>
      <c r="FVB64" s="2228"/>
      <c r="FVC64" s="2228"/>
      <c r="FVD64" s="2228"/>
      <c r="FVE64" s="2228"/>
      <c r="FVF64" s="2228"/>
      <c r="FVG64" s="2228"/>
      <c r="FVH64" s="2228"/>
      <c r="FVI64" s="2228"/>
      <c r="FVJ64" s="2228"/>
      <c r="FVK64" s="2228"/>
      <c r="FVL64" s="2227"/>
      <c r="FVM64" s="2228"/>
      <c r="FVN64" s="2228"/>
      <c r="FVO64" s="2228"/>
      <c r="FVP64" s="2228"/>
      <c r="FVQ64" s="2228"/>
      <c r="FVR64" s="2228"/>
      <c r="FVS64" s="2228"/>
      <c r="FVT64" s="2228"/>
      <c r="FVU64" s="2228"/>
      <c r="FVV64" s="2228"/>
      <c r="FVW64" s="2228"/>
      <c r="FVX64" s="2228"/>
      <c r="FVY64" s="2228"/>
      <c r="FVZ64" s="2228"/>
      <c r="FWA64" s="2228"/>
      <c r="FWB64" s="2227"/>
      <c r="FWC64" s="2228"/>
      <c r="FWD64" s="2228"/>
      <c r="FWE64" s="2228"/>
      <c r="FWF64" s="2228"/>
      <c r="FWG64" s="2228"/>
      <c r="FWH64" s="2228"/>
      <c r="FWI64" s="2228"/>
      <c r="FWJ64" s="2228"/>
      <c r="FWK64" s="2228"/>
      <c r="FWL64" s="2228"/>
      <c r="FWM64" s="2228"/>
      <c r="FWN64" s="2228"/>
      <c r="FWO64" s="2228"/>
      <c r="FWP64" s="2228"/>
      <c r="FWQ64" s="2228"/>
      <c r="FWR64" s="2227"/>
      <c r="FWS64" s="2228"/>
      <c r="FWT64" s="2228"/>
      <c r="FWU64" s="2228"/>
      <c r="FWV64" s="2228"/>
      <c r="FWW64" s="2228"/>
      <c r="FWX64" s="2228"/>
      <c r="FWY64" s="2228"/>
      <c r="FWZ64" s="2228"/>
      <c r="FXA64" s="2228"/>
      <c r="FXB64" s="2228"/>
      <c r="FXC64" s="2228"/>
      <c r="FXD64" s="2228"/>
      <c r="FXE64" s="2228"/>
      <c r="FXF64" s="2228"/>
      <c r="FXG64" s="2228"/>
      <c r="FXH64" s="2227"/>
      <c r="FXI64" s="2228"/>
      <c r="FXJ64" s="2228"/>
      <c r="FXK64" s="2228"/>
      <c r="FXL64" s="2228"/>
      <c r="FXM64" s="2228"/>
      <c r="FXN64" s="2228"/>
      <c r="FXO64" s="2228"/>
      <c r="FXP64" s="2228"/>
      <c r="FXQ64" s="2228"/>
      <c r="FXR64" s="2228"/>
      <c r="FXS64" s="2228"/>
      <c r="FXT64" s="2228"/>
      <c r="FXU64" s="2228"/>
      <c r="FXV64" s="2228"/>
      <c r="FXW64" s="2228"/>
      <c r="FXX64" s="2227"/>
      <c r="FXY64" s="2228"/>
      <c r="FXZ64" s="2228"/>
      <c r="FYA64" s="2228"/>
      <c r="FYB64" s="2228"/>
      <c r="FYC64" s="2228"/>
      <c r="FYD64" s="2228"/>
      <c r="FYE64" s="2228"/>
      <c r="FYF64" s="2228"/>
      <c r="FYG64" s="2228"/>
      <c r="FYH64" s="2228"/>
      <c r="FYI64" s="2228"/>
      <c r="FYJ64" s="2228"/>
      <c r="FYK64" s="2228"/>
      <c r="FYL64" s="2228"/>
      <c r="FYM64" s="2228"/>
      <c r="FYN64" s="2227"/>
      <c r="FYO64" s="2228"/>
      <c r="FYP64" s="2228"/>
      <c r="FYQ64" s="2228"/>
      <c r="FYR64" s="2228"/>
      <c r="FYS64" s="2228"/>
      <c r="FYT64" s="2228"/>
      <c r="FYU64" s="2228"/>
      <c r="FYV64" s="2228"/>
      <c r="FYW64" s="2228"/>
      <c r="FYX64" s="2228"/>
      <c r="FYY64" s="2228"/>
      <c r="FYZ64" s="2228"/>
      <c r="FZA64" s="2228"/>
      <c r="FZB64" s="2228"/>
      <c r="FZC64" s="2228"/>
      <c r="FZD64" s="2227"/>
      <c r="FZE64" s="2228"/>
      <c r="FZF64" s="2228"/>
      <c r="FZG64" s="2228"/>
      <c r="FZH64" s="2228"/>
      <c r="FZI64" s="2228"/>
      <c r="FZJ64" s="2228"/>
      <c r="FZK64" s="2228"/>
      <c r="FZL64" s="2228"/>
      <c r="FZM64" s="2228"/>
      <c r="FZN64" s="2228"/>
      <c r="FZO64" s="2228"/>
      <c r="FZP64" s="2228"/>
      <c r="FZQ64" s="2228"/>
      <c r="FZR64" s="2228"/>
      <c r="FZS64" s="2228"/>
      <c r="FZT64" s="2227"/>
      <c r="FZU64" s="2228"/>
      <c r="FZV64" s="2228"/>
      <c r="FZW64" s="2228"/>
      <c r="FZX64" s="2228"/>
      <c r="FZY64" s="2228"/>
      <c r="FZZ64" s="2228"/>
      <c r="GAA64" s="2228"/>
      <c r="GAB64" s="2228"/>
      <c r="GAC64" s="2228"/>
      <c r="GAD64" s="2228"/>
      <c r="GAE64" s="2228"/>
      <c r="GAF64" s="2228"/>
      <c r="GAG64" s="2228"/>
      <c r="GAH64" s="2228"/>
      <c r="GAI64" s="2228"/>
      <c r="GAJ64" s="2227"/>
      <c r="GAK64" s="2228"/>
      <c r="GAL64" s="2228"/>
      <c r="GAM64" s="2228"/>
      <c r="GAN64" s="2228"/>
      <c r="GAO64" s="2228"/>
      <c r="GAP64" s="2228"/>
      <c r="GAQ64" s="2228"/>
      <c r="GAR64" s="2228"/>
      <c r="GAS64" s="2228"/>
      <c r="GAT64" s="2228"/>
      <c r="GAU64" s="2228"/>
      <c r="GAV64" s="2228"/>
      <c r="GAW64" s="2228"/>
      <c r="GAX64" s="2228"/>
      <c r="GAY64" s="2228"/>
      <c r="GAZ64" s="2227"/>
      <c r="GBA64" s="2228"/>
      <c r="GBB64" s="2228"/>
      <c r="GBC64" s="2228"/>
      <c r="GBD64" s="2228"/>
      <c r="GBE64" s="2228"/>
      <c r="GBF64" s="2228"/>
      <c r="GBG64" s="2228"/>
      <c r="GBH64" s="2228"/>
      <c r="GBI64" s="2228"/>
      <c r="GBJ64" s="2228"/>
      <c r="GBK64" s="2228"/>
      <c r="GBL64" s="2228"/>
      <c r="GBM64" s="2228"/>
      <c r="GBN64" s="2228"/>
      <c r="GBO64" s="2228"/>
      <c r="GBP64" s="2227"/>
      <c r="GBQ64" s="2228"/>
      <c r="GBR64" s="2228"/>
      <c r="GBS64" s="2228"/>
      <c r="GBT64" s="2228"/>
      <c r="GBU64" s="2228"/>
      <c r="GBV64" s="2228"/>
      <c r="GBW64" s="2228"/>
      <c r="GBX64" s="2228"/>
      <c r="GBY64" s="2228"/>
      <c r="GBZ64" s="2228"/>
      <c r="GCA64" s="2228"/>
      <c r="GCB64" s="2228"/>
      <c r="GCC64" s="2228"/>
      <c r="GCD64" s="2228"/>
      <c r="GCE64" s="2228"/>
      <c r="GCF64" s="2227"/>
      <c r="GCG64" s="2228"/>
      <c r="GCH64" s="2228"/>
      <c r="GCI64" s="2228"/>
      <c r="GCJ64" s="2228"/>
      <c r="GCK64" s="2228"/>
      <c r="GCL64" s="2228"/>
      <c r="GCM64" s="2228"/>
      <c r="GCN64" s="2228"/>
      <c r="GCO64" s="2228"/>
      <c r="GCP64" s="2228"/>
      <c r="GCQ64" s="2228"/>
      <c r="GCR64" s="2228"/>
      <c r="GCS64" s="2228"/>
      <c r="GCT64" s="2228"/>
      <c r="GCU64" s="2228"/>
      <c r="GCV64" s="2227"/>
      <c r="GCW64" s="2228"/>
      <c r="GCX64" s="2228"/>
      <c r="GCY64" s="2228"/>
      <c r="GCZ64" s="2228"/>
      <c r="GDA64" s="2228"/>
      <c r="GDB64" s="2228"/>
      <c r="GDC64" s="2228"/>
      <c r="GDD64" s="2228"/>
      <c r="GDE64" s="2228"/>
      <c r="GDF64" s="2228"/>
      <c r="GDG64" s="2228"/>
      <c r="GDH64" s="2228"/>
      <c r="GDI64" s="2228"/>
      <c r="GDJ64" s="2228"/>
      <c r="GDK64" s="2228"/>
      <c r="GDL64" s="2227"/>
      <c r="GDM64" s="2228"/>
      <c r="GDN64" s="2228"/>
      <c r="GDO64" s="2228"/>
      <c r="GDP64" s="2228"/>
      <c r="GDQ64" s="2228"/>
      <c r="GDR64" s="2228"/>
      <c r="GDS64" s="2228"/>
      <c r="GDT64" s="2228"/>
      <c r="GDU64" s="2228"/>
      <c r="GDV64" s="2228"/>
      <c r="GDW64" s="2228"/>
      <c r="GDX64" s="2228"/>
      <c r="GDY64" s="2228"/>
      <c r="GDZ64" s="2228"/>
      <c r="GEA64" s="2228"/>
      <c r="GEB64" s="2227"/>
      <c r="GEC64" s="2228"/>
      <c r="GED64" s="2228"/>
      <c r="GEE64" s="2228"/>
      <c r="GEF64" s="2228"/>
      <c r="GEG64" s="2228"/>
      <c r="GEH64" s="2228"/>
      <c r="GEI64" s="2228"/>
      <c r="GEJ64" s="2228"/>
      <c r="GEK64" s="2228"/>
      <c r="GEL64" s="2228"/>
      <c r="GEM64" s="2228"/>
      <c r="GEN64" s="2228"/>
      <c r="GEO64" s="2228"/>
      <c r="GEP64" s="2228"/>
      <c r="GEQ64" s="2228"/>
      <c r="GER64" s="2227"/>
      <c r="GES64" s="2228"/>
      <c r="GET64" s="2228"/>
      <c r="GEU64" s="2228"/>
      <c r="GEV64" s="2228"/>
      <c r="GEW64" s="2228"/>
      <c r="GEX64" s="2228"/>
      <c r="GEY64" s="2228"/>
      <c r="GEZ64" s="2228"/>
      <c r="GFA64" s="2228"/>
      <c r="GFB64" s="2228"/>
      <c r="GFC64" s="2228"/>
      <c r="GFD64" s="2228"/>
      <c r="GFE64" s="2228"/>
      <c r="GFF64" s="2228"/>
      <c r="GFG64" s="2228"/>
      <c r="GFH64" s="2227"/>
      <c r="GFI64" s="2228"/>
      <c r="GFJ64" s="2228"/>
      <c r="GFK64" s="2228"/>
      <c r="GFL64" s="2228"/>
      <c r="GFM64" s="2228"/>
      <c r="GFN64" s="2228"/>
      <c r="GFO64" s="2228"/>
      <c r="GFP64" s="2228"/>
      <c r="GFQ64" s="2228"/>
      <c r="GFR64" s="2228"/>
      <c r="GFS64" s="2228"/>
      <c r="GFT64" s="2228"/>
      <c r="GFU64" s="2228"/>
      <c r="GFV64" s="2228"/>
      <c r="GFW64" s="2228"/>
      <c r="GFX64" s="2227"/>
      <c r="GFY64" s="2228"/>
      <c r="GFZ64" s="2228"/>
      <c r="GGA64" s="2228"/>
      <c r="GGB64" s="2228"/>
      <c r="GGC64" s="2228"/>
      <c r="GGD64" s="2228"/>
      <c r="GGE64" s="2228"/>
      <c r="GGF64" s="2228"/>
      <c r="GGG64" s="2228"/>
      <c r="GGH64" s="2228"/>
      <c r="GGI64" s="2228"/>
      <c r="GGJ64" s="2228"/>
      <c r="GGK64" s="2228"/>
      <c r="GGL64" s="2228"/>
      <c r="GGM64" s="2228"/>
      <c r="GGN64" s="2227"/>
      <c r="GGO64" s="2228"/>
      <c r="GGP64" s="2228"/>
      <c r="GGQ64" s="2228"/>
      <c r="GGR64" s="2228"/>
      <c r="GGS64" s="2228"/>
      <c r="GGT64" s="2228"/>
      <c r="GGU64" s="2228"/>
      <c r="GGV64" s="2228"/>
      <c r="GGW64" s="2228"/>
      <c r="GGX64" s="2228"/>
      <c r="GGY64" s="2228"/>
      <c r="GGZ64" s="2228"/>
      <c r="GHA64" s="2228"/>
      <c r="GHB64" s="2228"/>
      <c r="GHC64" s="2228"/>
      <c r="GHD64" s="2227"/>
      <c r="GHE64" s="2228"/>
      <c r="GHF64" s="2228"/>
      <c r="GHG64" s="2228"/>
      <c r="GHH64" s="2228"/>
      <c r="GHI64" s="2228"/>
      <c r="GHJ64" s="2228"/>
      <c r="GHK64" s="2228"/>
      <c r="GHL64" s="2228"/>
      <c r="GHM64" s="2228"/>
      <c r="GHN64" s="2228"/>
      <c r="GHO64" s="2228"/>
      <c r="GHP64" s="2228"/>
      <c r="GHQ64" s="2228"/>
      <c r="GHR64" s="2228"/>
      <c r="GHS64" s="2228"/>
      <c r="GHT64" s="2227"/>
      <c r="GHU64" s="2228"/>
      <c r="GHV64" s="2228"/>
      <c r="GHW64" s="2228"/>
      <c r="GHX64" s="2228"/>
      <c r="GHY64" s="2228"/>
      <c r="GHZ64" s="2228"/>
      <c r="GIA64" s="2228"/>
      <c r="GIB64" s="2228"/>
      <c r="GIC64" s="2228"/>
      <c r="GID64" s="2228"/>
      <c r="GIE64" s="2228"/>
      <c r="GIF64" s="2228"/>
      <c r="GIG64" s="2228"/>
      <c r="GIH64" s="2228"/>
      <c r="GII64" s="2228"/>
      <c r="GIJ64" s="2227"/>
      <c r="GIK64" s="2228"/>
      <c r="GIL64" s="2228"/>
      <c r="GIM64" s="2228"/>
      <c r="GIN64" s="2228"/>
      <c r="GIO64" s="2228"/>
      <c r="GIP64" s="2228"/>
      <c r="GIQ64" s="2228"/>
      <c r="GIR64" s="2228"/>
      <c r="GIS64" s="2228"/>
      <c r="GIT64" s="2228"/>
      <c r="GIU64" s="2228"/>
      <c r="GIV64" s="2228"/>
      <c r="GIW64" s="2228"/>
      <c r="GIX64" s="2228"/>
      <c r="GIY64" s="2228"/>
      <c r="GIZ64" s="2227"/>
      <c r="GJA64" s="2228"/>
      <c r="GJB64" s="2228"/>
      <c r="GJC64" s="2228"/>
      <c r="GJD64" s="2228"/>
      <c r="GJE64" s="2228"/>
      <c r="GJF64" s="2228"/>
      <c r="GJG64" s="2228"/>
      <c r="GJH64" s="2228"/>
      <c r="GJI64" s="2228"/>
      <c r="GJJ64" s="2228"/>
      <c r="GJK64" s="2228"/>
      <c r="GJL64" s="2228"/>
      <c r="GJM64" s="2228"/>
      <c r="GJN64" s="2228"/>
      <c r="GJO64" s="2228"/>
      <c r="GJP64" s="2227"/>
      <c r="GJQ64" s="2228"/>
      <c r="GJR64" s="2228"/>
      <c r="GJS64" s="2228"/>
      <c r="GJT64" s="2228"/>
      <c r="GJU64" s="2228"/>
      <c r="GJV64" s="2228"/>
      <c r="GJW64" s="2228"/>
      <c r="GJX64" s="2228"/>
      <c r="GJY64" s="2228"/>
      <c r="GJZ64" s="2228"/>
      <c r="GKA64" s="2228"/>
      <c r="GKB64" s="2228"/>
      <c r="GKC64" s="2228"/>
      <c r="GKD64" s="2228"/>
      <c r="GKE64" s="2228"/>
      <c r="GKF64" s="2227"/>
      <c r="GKG64" s="2228"/>
      <c r="GKH64" s="2228"/>
      <c r="GKI64" s="2228"/>
      <c r="GKJ64" s="2228"/>
      <c r="GKK64" s="2228"/>
      <c r="GKL64" s="2228"/>
      <c r="GKM64" s="2228"/>
      <c r="GKN64" s="2228"/>
      <c r="GKO64" s="2228"/>
      <c r="GKP64" s="2228"/>
      <c r="GKQ64" s="2228"/>
      <c r="GKR64" s="2228"/>
      <c r="GKS64" s="2228"/>
      <c r="GKT64" s="2228"/>
      <c r="GKU64" s="2228"/>
      <c r="GKV64" s="2227"/>
      <c r="GKW64" s="2228"/>
      <c r="GKX64" s="2228"/>
      <c r="GKY64" s="2228"/>
      <c r="GKZ64" s="2228"/>
      <c r="GLA64" s="2228"/>
      <c r="GLB64" s="2228"/>
      <c r="GLC64" s="2228"/>
      <c r="GLD64" s="2228"/>
      <c r="GLE64" s="2228"/>
      <c r="GLF64" s="2228"/>
      <c r="GLG64" s="2228"/>
      <c r="GLH64" s="2228"/>
      <c r="GLI64" s="2228"/>
      <c r="GLJ64" s="2228"/>
      <c r="GLK64" s="2228"/>
      <c r="GLL64" s="2227"/>
      <c r="GLM64" s="2228"/>
      <c r="GLN64" s="2228"/>
      <c r="GLO64" s="2228"/>
      <c r="GLP64" s="2228"/>
      <c r="GLQ64" s="2228"/>
      <c r="GLR64" s="2228"/>
      <c r="GLS64" s="2228"/>
      <c r="GLT64" s="2228"/>
      <c r="GLU64" s="2228"/>
      <c r="GLV64" s="2228"/>
      <c r="GLW64" s="2228"/>
      <c r="GLX64" s="2228"/>
      <c r="GLY64" s="2228"/>
      <c r="GLZ64" s="2228"/>
      <c r="GMA64" s="2228"/>
      <c r="GMB64" s="2227"/>
      <c r="GMC64" s="2228"/>
      <c r="GMD64" s="2228"/>
      <c r="GME64" s="2228"/>
      <c r="GMF64" s="2228"/>
      <c r="GMG64" s="2228"/>
      <c r="GMH64" s="2228"/>
      <c r="GMI64" s="2228"/>
      <c r="GMJ64" s="2228"/>
      <c r="GMK64" s="2228"/>
      <c r="GML64" s="2228"/>
      <c r="GMM64" s="2228"/>
      <c r="GMN64" s="2228"/>
      <c r="GMO64" s="2228"/>
      <c r="GMP64" s="2228"/>
      <c r="GMQ64" s="2228"/>
      <c r="GMR64" s="2227"/>
      <c r="GMS64" s="2228"/>
      <c r="GMT64" s="2228"/>
      <c r="GMU64" s="2228"/>
      <c r="GMV64" s="2228"/>
      <c r="GMW64" s="2228"/>
      <c r="GMX64" s="2228"/>
      <c r="GMY64" s="2228"/>
      <c r="GMZ64" s="2228"/>
      <c r="GNA64" s="2228"/>
      <c r="GNB64" s="2228"/>
      <c r="GNC64" s="2228"/>
      <c r="GND64" s="2228"/>
      <c r="GNE64" s="2228"/>
      <c r="GNF64" s="2228"/>
      <c r="GNG64" s="2228"/>
      <c r="GNH64" s="2227"/>
      <c r="GNI64" s="2228"/>
      <c r="GNJ64" s="2228"/>
      <c r="GNK64" s="2228"/>
      <c r="GNL64" s="2228"/>
      <c r="GNM64" s="2228"/>
      <c r="GNN64" s="2228"/>
      <c r="GNO64" s="2228"/>
      <c r="GNP64" s="2228"/>
      <c r="GNQ64" s="2228"/>
      <c r="GNR64" s="2228"/>
      <c r="GNS64" s="2228"/>
      <c r="GNT64" s="2228"/>
      <c r="GNU64" s="2228"/>
      <c r="GNV64" s="2228"/>
      <c r="GNW64" s="2228"/>
      <c r="GNX64" s="2227"/>
      <c r="GNY64" s="2228"/>
      <c r="GNZ64" s="2228"/>
      <c r="GOA64" s="2228"/>
      <c r="GOB64" s="2228"/>
      <c r="GOC64" s="2228"/>
      <c r="GOD64" s="2228"/>
      <c r="GOE64" s="2228"/>
      <c r="GOF64" s="2228"/>
      <c r="GOG64" s="2228"/>
      <c r="GOH64" s="2228"/>
      <c r="GOI64" s="2228"/>
      <c r="GOJ64" s="2228"/>
      <c r="GOK64" s="2228"/>
      <c r="GOL64" s="2228"/>
      <c r="GOM64" s="2228"/>
      <c r="GON64" s="2227"/>
      <c r="GOO64" s="2228"/>
      <c r="GOP64" s="2228"/>
      <c r="GOQ64" s="2228"/>
      <c r="GOR64" s="2228"/>
      <c r="GOS64" s="2228"/>
      <c r="GOT64" s="2228"/>
      <c r="GOU64" s="2228"/>
      <c r="GOV64" s="2228"/>
      <c r="GOW64" s="2228"/>
      <c r="GOX64" s="2228"/>
      <c r="GOY64" s="2228"/>
      <c r="GOZ64" s="2228"/>
      <c r="GPA64" s="2228"/>
      <c r="GPB64" s="2228"/>
      <c r="GPC64" s="2228"/>
      <c r="GPD64" s="2227"/>
      <c r="GPE64" s="2228"/>
      <c r="GPF64" s="2228"/>
      <c r="GPG64" s="2228"/>
      <c r="GPH64" s="2228"/>
      <c r="GPI64" s="2228"/>
      <c r="GPJ64" s="2228"/>
      <c r="GPK64" s="2228"/>
      <c r="GPL64" s="2228"/>
      <c r="GPM64" s="2228"/>
      <c r="GPN64" s="2228"/>
      <c r="GPO64" s="2228"/>
      <c r="GPP64" s="2228"/>
      <c r="GPQ64" s="2228"/>
      <c r="GPR64" s="2228"/>
      <c r="GPS64" s="2228"/>
      <c r="GPT64" s="2227"/>
      <c r="GPU64" s="2228"/>
      <c r="GPV64" s="2228"/>
      <c r="GPW64" s="2228"/>
      <c r="GPX64" s="2228"/>
      <c r="GPY64" s="2228"/>
      <c r="GPZ64" s="2228"/>
      <c r="GQA64" s="2228"/>
      <c r="GQB64" s="2228"/>
      <c r="GQC64" s="2228"/>
      <c r="GQD64" s="2228"/>
      <c r="GQE64" s="2228"/>
      <c r="GQF64" s="2228"/>
      <c r="GQG64" s="2228"/>
      <c r="GQH64" s="2228"/>
      <c r="GQI64" s="2228"/>
      <c r="GQJ64" s="2227"/>
      <c r="GQK64" s="2228"/>
      <c r="GQL64" s="2228"/>
      <c r="GQM64" s="2228"/>
      <c r="GQN64" s="2228"/>
      <c r="GQO64" s="2228"/>
      <c r="GQP64" s="2228"/>
      <c r="GQQ64" s="2228"/>
      <c r="GQR64" s="2228"/>
      <c r="GQS64" s="2228"/>
      <c r="GQT64" s="2228"/>
      <c r="GQU64" s="2228"/>
      <c r="GQV64" s="2228"/>
      <c r="GQW64" s="2228"/>
      <c r="GQX64" s="2228"/>
      <c r="GQY64" s="2228"/>
      <c r="GQZ64" s="2227"/>
      <c r="GRA64" s="2228"/>
      <c r="GRB64" s="2228"/>
      <c r="GRC64" s="2228"/>
      <c r="GRD64" s="2228"/>
      <c r="GRE64" s="2228"/>
      <c r="GRF64" s="2228"/>
      <c r="GRG64" s="2228"/>
      <c r="GRH64" s="2228"/>
      <c r="GRI64" s="2228"/>
      <c r="GRJ64" s="2228"/>
      <c r="GRK64" s="2228"/>
      <c r="GRL64" s="2228"/>
      <c r="GRM64" s="2228"/>
      <c r="GRN64" s="2228"/>
      <c r="GRO64" s="2228"/>
      <c r="GRP64" s="2227"/>
      <c r="GRQ64" s="2228"/>
      <c r="GRR64" s="2228"/>
      <c r="GRS64" s="2228"/>
      <c r="GRT64" s="2228"/>
      <c r="GRU64" s="2228"/>
      <c r="GRV64" s="2228"/>
      <c r="GRW64" s="2228"/>
      <c r="GRX64" s="2228"/>
      <c r="GRY64" s="2228"/>
      <c r="GRZ64" s="2228"/>
      <c r="GSA64" s="2228"/>
      <c r="GSB64" s="2228"/>
      <c r="GSC64" s="2228"/>
      <c r="GSD64" s="2228"/>
      <c r="GSE64" s="2228"/>
      <c r="GSF64" s="2227"/>
      <c r="GSG64" s="2228"/>
      <c r="GSH64" s="2228"/>
      <c r="GSI64" s="2228"/>
      <c r="GSJ64" s="2228"/>
      <c r="GSK64" s="2228"/>
      <c r="GSL64" s="2228"/>
      <c r="GSM64" s="2228"/>
      <c r="GSN64" s="2228"/>
      <c r="GSO64" s="2228"/>
      <c r="GSP64" s="2228"/>
      <c r="GSQ64" s="2228"/>
      <c r="GSR64" s="2228"/>
      <c r="GSS64" s="2228"/>
      <c r="GST64" s="2228"/>
      <c r="GSU64" s="2228"/>
      <c r="GSV64" s="2227"/>
      <c r="GSW64" s="2228"/>
      <c r="GSX64" s="2228"/>
      <c r="GSY64" s="2228"/>
      <c r="GSZ64" s="2228"/>
      <c r="GTA64" s="2228"/>
      <c r="GTB64" s="2228"/>
      <c r="GTC64" s="2228"/>
      <c r="GTD64" s="2228"/>
      <c r="GTE64" s="2228"/>
      <c r="GTF64" s="2228"/>
      <c r="GTG64" s="2228"/>
      <c r="GTH64" s="2228"/>
      <c r="GTI64" s="2228"/>
      <c r="GTJ64" s="2228"/>
      <c r="GTK64" s="2228"/>
      <c r="GTL64" s="2227"/>
      <c r="GTM64" s="2228"/>
      <c r="GTN64" s="2228"/>
      <c r="GTO64" s="2228"/>
      <c r="GTP64" s="2228"/>
      <c r="GTQ64" s="2228"/>
      <c r="GTR64" s="2228"/>
      <c r="GTS64" s="2228"/>
      <c r="GTT64" s="2228"/>
      <c r="GTU64" s="2228"/>
      <c r="GTV64" s="2228"/>
      <c r="GTW64" s="2228"/>
      <c r="GTX64" s="2228"/>
      <c r="GTY64" s="2228"/>
      <c r="GTZ64" s="2228"/>
      <c r="GUA64" s="2228"/>
      <c r="GUB64" s="2227"/>
      <c r="GUC64" s="2228"/>
      <c r="GUD64" s="2228"/>
      <c r="GUE64" s="2228"/>
      <c r="GUF64" s="2228"/>
      <c r="GUG64" s="2228"/>
      <c r="GUH64" s="2228"/>
      <c r="GUI64" s="2228"/>
      <c r="GUJ64" s="2228"/>
      <c r="GUK64" s="2228"/>
      <c r="GUL64" s="2228"/>
      <c r="GUM64" s="2228"/>
      <c r="GUN64" s="2228"/>
      <c r="GUO64" s="2228"/>
      <c r="GUP64" s="2228"/>
      <c r="GUQ64" s="2228"/>
      <c r="GUR64" s="2227"/>
      <c r="GUS64" s="2228"/>
      <c r="GUT64" s="2228"/>
      <c r="GUU64" s="2228"/>
      <c r="GUV64" s="2228"/>
      <c r="GUW64" s="2228"/>
      <c r="GUX64" s="2228"/>
      <c r="GUY64" s="2228"/>
      <c r="GUZ64" s="2228"/>
      <c r="GVA64" s="2228"/>
      <c r="GVB64" s="2228"/>
      <c r="GVC64" s="2228"/>
      <c r="GVD64" s="2228"/>
      <c r="GVE64" s="2228"/>
      <c r="GVF64" s="2228"/>
      <c r="GVG64" s="2228"/>
      <c r="GVH64" s="2227"/>
      <c r="GVI64" s="2228"/>
      <c r="GVJ64" s="2228"/>
      <c r="GVK64" s="2228"/>
      <c r="GVL64" s="2228"/>
      <c r="GVM64" s="2228"/>
      <c r="GVN64" s="2228"/>
      <c r="GVO64" s="2228"/>
      <c r="GVP64" s="2228"/>
      <c r="GVQ64" s="2228"/>
      <c r="GVR64" s="2228"/>
      <c r="GVS64" s="2228"/>
      <c r="GVT64" s="2228"/>
      <c r="GVU64" s="2228"/>
      <c r="GVV64" s="2228"/>
      <c r="GVW64" s="2228"/>
      <c r="GVX64" s="2227"/>
      <c r="GVY64" s="2228"/>
      <c r="GVZ64" s="2228"/>
      <c r="GWA64" s="2228"/>
      <c r="GWB64" s="2228"/>
      <c r="GWC64" s="2228"/>
      <c r="GWD64" s="2228"/>
      <c r="GWE64" s="2228"/>
      <c r="GWF64" s="2228"/>
      <c r="GWG64" s="2228"/>
      <c r="GWH64" s="2228"/>
      <c r="GWI64" s="2228"/>
      <c r="GWJ64" s="2228"/>
      <c r="GWK64" s="2228"/>
      <c r="GWL64" s="2228"/>
      <c r="GWM64" s="2228"/>
      <c r="GWN64" s="2227"/>
      <c r="GWO64" s="2228"/>
      <c r="GWP64" s="2228"/>
      <c r="GWQ64" s="2228"/>
      <c r="GWR64" s="2228"/>
      <c r="GWS64" s="2228"/>
      <c r="GWT64" s="2228"/>
      <c r="GWU64" s="2228"/>
      <c r="GWV64" s="2228"/>
      <c r="GWW64" s="2228"/>
      <c r="GWX64" s="2228"/>
      <c r="GWY64" s="2228"/>
      <c r="GWZ64" s="2228"/>
      <c r="GXA64" s="2228"/>
      <c r="GXB64" s="2228"/>
      <c r="GXC64" s="2228"/>
      <c r="GXD64" s="2227"/>
      <c r="GXE64" s="2228"/>
      <c r="GXF64" s="2228"/>
      <c r="GXG64" s="2228"/>
      <c r="GXH64" s="2228"/>
      <c r="GXI64" s="2228"/>
      <c r="GXJ64" s="2228"/>
      <c r="GXK64" s="2228"/>
      <c r="GXL64" s="2228"/>
      <c r="GXM64" s="2228"/>
      <c r="GXN64" s="2228"/>
      <c r="GXO64" s="2228"/>
      <c r="GXP64" s="2228"/>
      <c r="GXQ64" s="2228"/>
      <c r="GXR64" s="2228"/>
      <c r="GXS64" s="2228"/>
      <c r="GXT64" s="2227"/>
      <c r="GXU64" s="2228"/>
      <c r="GXV64" s="2228"/>
      <c r="GXW64" s="2228"/>
      <c r="GXX64" s="2228"/>
      <c r="GXY64" s="2228"/>
      <c r="GXZ64" s="2228"/>
      <c r="GYA64" s="2228"/>
      <c r="GYB64" s="2228"/>
      <c r="GYC64" s="2228"/>
      <c r="GYD64" s="2228"/>
      <c r="GYE64" s="2228"/>
      <c r="GYF64" s="2228"/>
      <c r="GYG64" s="2228"/>
      <c r="GYH64" s="2228"/>
      <c r="GYI64" s="2228"/>
      <c r="GYJ64" s="2227"/>
      <c r="GYK64" s="2228"/>
      <c r="GYL64" s="2228"/>
      <c r="GYM64" s="2228"/>
      <c r="GYN64" s="2228"/>
      <c r="GYO64" s="2228"/>
      <c r="GYP64" s="2228"/>
      <c r="GYQ64" s="2228"/>
      <c r="GYR64" s="2228"/>
      <c r="GYS64" s="2228"/>
      <c r="GYT64" s="2228"/>
      <c r="GYU64" s="2228"/>
      <c r="GYV64" s="2228"/>
      <c r="GYW64" s="2228"/>
      <c r="GYX64" s="2228"/>
      <c r="GYY64" s="2228"/>
      <c r="GYZ64" s="2227"/>
      <c r="GZA64" s="2228"/>
      <c r="GZB64" s="2228"/>
      <c r="GZC64" s="2228"/>
      <c r="GZD64" s="2228"/>
      <c r="GZE64" s="2228"/>
      <c r="GZF64" s="2228"/>
      <c r="GZG64" s="2228"/>
      <c r="GZH64" s="2228"/>
      <c r="GZI64" s="2228"/>
      <c r="GZJ64" s="2228"/>
      <c r="GZK64" s="2228"/>
      <c r="GZL64" s="2228"/>
      <c r="GZM64" s="2228"/>
      <c r="GZN64" s="2228"/>
      <c r="GZO64" s="2228"/>
      <c r="GZP64" s="2227"/>
      <c r="GZQ64" s="2228"/>
      <c r="GZR64" s="2228"/>
      <c r="GZS64" s="2228"/>
      <c r="GZT64" s="2228"/>
      <c r="GZU64" s="2228"/>
      <c r="GZV64" s="2228"/>
      <c r="GZW64" s="2228"/>
      <c r="GZX64" s="2228"/>
      <c r="GZY64" s="2228"/>
      <c r="GZZ64" s="2228"/>
      <c r="HAA64" s="2228"/>
      <c r="HAB64" s="2228"/>
      <c r="HAC64" s="2228"/>
      <c r="HAD64" s="2228"/>
      <c r="HAE64" s="2228"/>
      <c r="HAF64" s="2227"/>
      <c r="HAG64" s="2228"/>
      <c r="HAH64" s="2228"/>
      <c r="HAI64" s="2228"/>
      <c r="HAJ64" s="2228"/>
      <c r="HAK64" s="2228"/>
      <c r="HAL64" s="2228"/>
      <c r="HAM64" s="2228"/>
      <c r="HAN64" s="2228"/>
      <c r="HAO64" s="2228"/>
      <c r="HAP64" s="2228"/>
      <c r="HAQ64" s="2228"/>
      <c r="HAR64" s="2228"/>
      <c r="HAS64" s="2228"/>
      <c r="HAT64" s="2228"/>
      <c r="HAU64" s="2228"/>
      <c r="HAV64" s="2227"/>
      <c r="HAW64" s="2228"/>
      <c r="HAX64" s="2228"/>
      <c r="HAY64" s="2228"/>
      <c r="HAZ64" s="2228"/>
      <c r="HBA64" s="2228"/>
      <c r="HBB64" s="2228"/>
      <c r="HBC64" s="2228"/>
      <c r="HBD64" s="2228"/>
      <c r="HBE64" s="2228"/>
      <c r="HBF64" s="2228"/>
      <c r="HBG64" s="2228"/>
      <c r="HBH64" s="2228"/>
      <c r="HBI64" s="2228"/>
      <c r="HBJ64" s="2228"/>
      <c r="HBK64" s="2228"/>
      <c r="HBL64" s="2227"/>
      <c r="HBM64" s="2228"/>
      <c r="HBN64" s="2228"/>
      <c r="HBO64" s="2228"/>
      <c r="HBP64" s="2228"/>
      <c r="HBQ64" s="2228"/>
      <c r="HBR64" s="2228"/>
      <c r="HBS64" s="2228"/>
      <c r="HBT64" s="2228"/>
      <c r="HBU64" s="2228"/>
      <c r="HBV64" s="2228"/>
      <c r="HBW64" s="2228"/>
      <c r="HBX64" s="2228"/>
      <c r="HBY64" s="2228"/>
      <c r="HBZ64" s="2228"/>
      <c r="HCA64" s="2228"/>
      <c r="HCB64" s="2227"/>
      <c r="HCC64" s="2228"/>
      <c r="HCD64" s="2228"/>
      <c r="HCE64" s="2228"/>
      <c r="HCF64" s="2228"/>
      <c r="HCG64" s="2228"/>
      <c r="HCH64" s="2228"/>
      <c r="HCI64" s="2228"/>
      <c r="HCJ64" s="2228"/>
      <c r="HCK64" s="2228"/>
      <c r="HCL64" s="2228"/>
      <c r="HCM64" s="2228"/>
      <c r="HCN64" s="2228"/>
      <c r="HCO64" s="2228"/>
      <c r="HCP64" s="2228"/>
      <c r="HCQ64" s="2228"/>
      <c r="HCR64" s="2227"/>
      <c r="HCS64" s="2228"/>
      <c r="HCT64" s="2228"/>
      <c r="HCU64" s="2228"/>
      <c r="HCV64" s="2228"/>
      <c r="HCW64" s="2228"/>
      <c r="HCX64" s="2228"/>
      <c r="HCY64" s="2228"/>
      <c r="HCZ64" s="2228"/>
      <c r="HDA64" s="2228"/>
      <c r="HDB64" s="2228"/>
      <c r="HDC64" s="2228"/>
      <c r="HDD64" s="2228"/>
      <c r="HDE64" s="2228"/>
      <c r="HDF64" s="2228"/>
      <c r="HDG64" s="2228"/>
      <c r="HDH64" s="2227"/>
      <c r="HDI64" s="2228"/>
      <c r="HDJ64" s="2228"/>
      <c r="HDK64" s="2228"/>
      <c r="HDL64" s="2228"/>
      <c r="HDM64" s="2228"/>
      <c r="HDN64" s="2228"/>
      <c r="HDO64" s="2228"/>
      <c r="HDP64" s="2228"/>
      <c r="HDQ64" s="2228"/>
      <c r="HDR64" s="2228"/>
      <c r="HDS64" s="2228"/>
      <c r="HDT64" s="2228"/>
      <c r="HDU64" s="2228"/>
      <c r="HDV64" s="2228"/>
      <c r="HDW64" s="2228"/>
      <c r="HDX64" s="2227"/>
      <c r="HDY64" s="2228"/>
      <c r="HDZ64" s="2228"/>
      <c r="HEA64" s="2228"/>
      <c r="HEB64" s="2228"/>
      <c r="HEC64" s="2228"/>
      <c r="HED64" s="2228"/>
      <c r="HEE64" s="2228"/>
      <c r="HEF64" s="2228"/>
      <c r="HEG64" s="2228"/>
      <c r="HEH64" s="2228"/>
      <c r="HEI64" s="2228"/>
      <c r="HEJ64" s="2228"/>
      <c r="HEK64" s="2228"/>
      <c r="HEL64" s="2228"/>
      <c r="HEM64" s="2228"/>
      <c r="HEN64" s="2227"/>
      <c r="HEO64" s="2228"/>
      <c r="HEP64" s="2228"/>
      <c r="HEQ64" s="2228"/>
      <c r="HER64" s="2228"/>
      <c r="HES64" s="2228"/>
      <c r="HET64" s="2228"/>
      <c r="HEU64" s="2228"/>
      <c r="HEV64" s="2228"/>
      <c r="HEW64" s="2228"/>
      <c r="HEX64" s="2228"/>
      <c r="HEY64" s="2228"/>
      <c r="HEZ64" s="2228"/>
      <c r="HFA64" s="2228"/>
      <c r="HFB64" s="2228"/>
      <c r="HFC64" s="2228"/>
      <c r="HFD64" s="2227"/>
      <c r="HFE64" s="2228"/>
      <c r="HFF64" s="2228"/>
      <c r="HFG64" s="2228"/>
      <c r="HFH64" s="2228"/>
      <c r="HFI64" s="2228"/>
      <c r="HFJ64" s="2228"/>
      <c r="HFK64" s="2228"/>
      <c r="HFL64" s="2228"/>
      <c r="HFM64" s="2228"/>
      <c r="HFN64" s="2228"/>
      <c r="HFO64" s="2228"/>
      <c r="HFP64" s="2228"/>
      <c r="HFQ64" s="2228"/>
      <c r="HFR64" s="2228"/>
      <c r="HFS64" s="2228"/>
      <c r="HFT64" s="2227"/>
      <c r="HFU64" s="2228"/>
      <c r="HFV64" s="2228"/>
      <c r="HFW64" s="2228"/>
      <c r="HFX64" s="2228"/>
      <c r="HFY64" s="2228"/>
      <c r="HFZ64" s="2228"/>
      <c r="HGA64" s="2228"/>
      <c r="HGB64" s="2228"/>
      <c r="HGC64" s="2228"/>
      <c r="HGD64" s="2228"/>
      <c r="HGE64" s="2228"/>
      <c r="HGF64" s="2228"/>
      <c r="HGG64" s="2228"/>
      <c r="HGH64" s="2228"/>
      <c r="HGI64" s="2228"/>
      <c r="HGJ64" s="2227"/>
      <c r="HGK64" s="2228"/>
      <c r="HGL64" s="2228"/>
      <c r="HGM64" s="2228"/>
      <c r="HGN64" s="2228"/>
      <c r="HGO64" s="2228"/>
      <c r="HGP64" s="2228"/>
      <c r="HGQ64" s="2228"/>
      <c r="HGR64" s="2228"/>
      <c r="HGS64" s="2228"/>
      <c r="HGT64" s="2228"/>
      <c r="HGU64" s="2228"/>
      <c r="HGV64" s="2228"/>
      <c r="HGW64" s="2228"/>
      <c r="HGX64" s="2228"/>
      <c r="HGY64" s="2228"/>
      <c r="HGZ64" s="2227"/>
      <c r="HHA64" s="2228"/>
      <c r="HHB64" s="2228"/>
      <c r="HHC64" s="2228"/>
      <c r="HHD64" s="2228"/>
      <c r="HHE64" s="2228"/>
      <c r="HHF64" s="2228"/>
      <c r="HHG64" s="2228"/>
      <c r="HHH64" s="2228"/>
      <c r="HHI64" s="2228"/>
      <c r="HHJ64" s="2228"/>
      <c r="HHK64" s="2228"/>
      <c r="HHL64" s="2228"/>
      <c r="HHM64" s="2228"/>
      <c r="HHN64" s="2228"/>
      <c r="HHO64" s="2228"/>
      <c r="HHP64" s="2227"/>
      <c r="HHQ64" s="2228"/>
      <c r="HHR64" s="2228"/>
      <c r="HHS64" s="2228"/>
      <c r="HHT64" s="2228"/>
      <c r="HHU64" s="2228"/>
      <c r="HHV64" s="2228"/>
      <c r="HHW64" s="2228"/>
      <c r="HHX64" s="2228"/>
      <c r="HHY64" s="2228"/>
      <c r="HHZ64" s="2228"/>
      <c r="HIA64" s="2228"/>
      <c r="HIB64" s="2228"/>
      <c r="HIC64" s="2228"/>
      <c r="HID64" s="2228"/>
      <c r="HIE64" s="2228"/>
      <c r="HIF64" s="2227"/>
      <c r="HIG64" s="2228"/>
      <c r="HIH64" s="2228"/>
      <c r="HII64" s="2228"/>
      <c r="HIJ64" s="2228"/>
      <c r="HIK64" s="2228"/>
      <c r="HIL64" s="2228"/>
      <c r="HIM64" s="2228"/>
      <c r="HIN64" s="2228"/>
      <c r="HIO64" s="2228"/>
      <c r="HIP64" s="2228"/>
      <c r="HIQ64" s="2228"/>
      <c r="HIR64" s="2228"/>
      <c r="HIS64" s="2228"/>
      <c r="HIT64" s="2228"/>
      <c r="HIU64" s="2228"/>
      <c r="HIV64" s="2227"/>
      <c r="HIW64" s="2228"/>
      <c r="HIX64" s="2228"/>
      <c r="HIY64" s="2228"/>
      <c r="HIZ64" s="2228"/>
      <c r="HJA64" s="2228"/>
      <c r="HJB64" s="2228"/>
      <c r="HJC64" s="2228"/>
      <c r="HJD64" s="2228"/>
      <c r="HJE64" s="2228"/>
      <c r="HJF64" s="2228"/>
      <c r="HJG64" s="2228"/>
      <c r="HJH64" s="2228"/>
      <c r="HJI64" s="2228"/>
      <c r="HJJ64" s="2228"/>
      <c r="HJK64" s="2228"/>
      <c r="HJL64" s="2227"/>
      <c r="HJM64" s="2228"/>
      <c r="HJN64" s="2228"/>
      <c r="HJO64" s="2228"/>
      <c r="HJP64" s="2228"/>
      <c r="HJQ64" s="2228"/>
      <c r="HJR64" s="2228"/>
      <c r="HJS64" s="2228"/>
      <c r="HJT64" s="2228"/>
      <c r="HJU64" s="2228"/>
      <c r="HJV64" s="2228"/>
      <c r="HJW64" s="2228"/>
      <c r="HJX64" s="2228"/>
      <c r="HJY64" s="2228"/>
      <c r="HJZ64" s="2228"/>
      <c r="HKA64" s="2228"/>
      <c r="HKB64" s="2227"/>
      <c r="HKC64" s="2228"/>
      <c r="HKD64" s="2228"/>
      <c r="HKE64" s="2228"/>
      <c r="HKF64" s="2228"/>
      <c r="HKG64" s="2228"/>
      <c r="HKH64" s="2228"/>
      <c r="HKI64" s="2228"/>
      <c r="HKJ64" s="2228"/>
      <c r="HKK64" s="2228"/>
      <c r="HKL64" s="2228"/>
      <c r="HKM64" s="2228"/>
      <c r="HKN64" s="2228"/>
      <c r="HKO64" s="2228"/>
      <c r="HKP64" s="2228"/>
      <c r="HKQ64" s="2228"/>
      <c r="HKR64" s="2227"/>
      <c r="HKS64" s="2228"/>
      <c r="HKT64" s="2228"/>
      <c r="HKU64" s="2228"/>
      <c r="HKV64" s="2228"/>
      <c r="HKW64" s="2228"/>
      <c r="HKX64" s="2228"/>
      <c r="HKY64" s="2228"/>
      <c r="HKZ64" s="2228"/>
      <c r="HLA64" s="2228"/>
      <c r="HLB64" s="2228"/>
      <c r="HLC64" s="2228"/>
      <c r="HLD64" s="2228"/>
      <c r="HLE64" s="2228"/>
      <c r="HLF64" s="2228"/>
      <c r="HLG64" s="2228"/>
      <c r="HLH64" s="2227"/>
      <c r="HLI64" s="2228"/>
      <c r="HLJ64" s="2228"/>
      <c r="HLK64" s="2228"/>
      <c r="HLL64" s="2228"/>
      <c r="HLM64" s="2228"/>
      <c r="HLN64" s="2228"/>
      <c r="HLO64" s="2228"/>
      <c r="HLP64" s="2228"/>
      <c r="HLQ64" s="2228"/>
      <c r="HLR64" s="2228"/>
      <c r="HLS64" s="2228"/>
      <c r="HLT64" s="2228"/>
      <c r="HLU64" s="2228"/>
      <c r="HLV64" s="2228"/>
      <c r="HLW64" s="2228"/>
      <c r="HLX64" s="2227"/>
      <c r="HLY64" s="2228"/>
      <c r="HLZ64" s="2228"/>
      <c r="HMA64" s="2228"/>
      <c r="HMB64" s="2228"/>
      <c r="HMC64" s="2228"/>
      <c r="HMD64" s="2228"/>
      <c r="HME64" s="2228"/>
      <c r="HMF64" s="2228"/>
      <c r="HMG64" s="2228"/>
      <c r="HMH64" s="2228"/>
      <c r="HMI64" s="2228"/>
      <c r="HMJ64" s="2228"/>
      <c r="HMK64" s="2228"/>
      <c r="HML64" s="2228"/>
      <c r="HMM64" s="2228"/>
      <c r="HMN64" s="2227"/>
      <c r="HMO64" s="2228"/>
      <c r="HMP64" s="2228"/>
      <c r="HMQ64" s="2228"/>
      <c r="HMR64" s="2228"/>
      <c r="HMS64" s="2228"/>
      <c r="HMT64" s="2228"/>
      <c r="HMU64" s="2228"/>
      <c r="HMV64" s="2228"/>
      <c r="HMW64" s="2228"/>
      <c r="HMX64" s="2228"/>
      <c r="HMY64" s="2228"/>
      <c r="HMZ64" s="2228"/>
      <c r="HNA64" s="2228"/>
      <c r="HNB64" s="2228"/>
      <c r="HNC64" s="2228"/>
      <c r="HND64" s="2227"/>
      <c r="HNE64" s="2228"/>
      <c r="HNF64" s="2228"/>
      <c r="HNG64" s="2228"/>
      <c r="HNH64" s="2228"/>
      <c r="HNI64" s="2228"/>
      <c r="HNJ64" s="2228"/>
      <c r="HNK64" s="2228"/>
      <c r="HNL64" s="2228"/>
      <c r="HNM64" s="2228"/>
      <c r="HNN64" s="2228"/>
      <c r="HNO64" s="2228"/>
      <c r="HNP64" s="2228"/>
      <c r="HNQ64" s="2228"/>
      <c r="HNR64" s="2228"/>
      <c r="HNS64" s="2228"/>
      <c r="HNT64" s="2227"/>
      <c r="HNU64" s="2228"/>
      <c r="HNV64" s="2228"/>
      <c r="HNW64" s="2228"/>
      <c r="HNX64" s="2228"/>
      <c r="HNY64" s="2228"/>
      <c r="HNZ64" s="2228"/>
      <c r="HOA64" s="2228"/>
      <c r="HOB64" s="2228"/>
      <c r="HOC64" s="2228"/>
      <c r="HOD64" s="2228"/>
      <c r="HOE64" s="2228"/>
      <c r="HOF64" s="2228"/>
      <c r="HOG64" s="2228"/>
      <c r="HOH64" s="2228"/>
      <c r="HOI64" s="2228"/>
      <c r="HOJ64" s="2227"/>
      <c r="HOK64" s="2228"/>
      <c r="HOL64" s="2228"/>
      <c r="HOM64" s="2228"/>
      <c r="HON64" s="2228"/>
      <c r="HOO64" s="2228"/>
      <c r="HOP64" s="2228"/>
      <c r="HOQ64" s="2228"/>
      <c r="HOR64" s="2228"/>
      <c r="HOS64" s="2228"/>
      <c r="HOT64" s="2228"/>
      <c r="HOU64" s="2228"/>
      <c r="HOV64" s="2228"/>
      <c r="HOW64" s="2228"/>
      <c r="HOX64" s="2228"/>
      <c r="HOY64" s="2228"/>
      <c r="HOZ64" s="2227"/>
      <c r="HPA64" s="2228"/>
      <c r="HPB64" s="2228"/>
      <c r="HPC64" s="2228"/>
      <c r="HPD64" s="2228"/>
      <c r="HPE64" s="2228"/>
      <c r="HPF64" s="2228"/>
      <c r="HPG64" s="2228"/>
      <c r="HPH64" s="2228"/>
      <c r="HPI64" s="2228"/>
      <c r="HPJ64" s="2228"/>
      <c r="HPK64" s="2228"/>
      <c r="HPL64" s="2228"/>
      <c r="HPM64" s="2228"/>
      <c r="HPN64" s="2228"/>
      <c r="HPO64" s="2228"/>
      <c r="HPP64" s="2227"/>
      <c r="HPQ64" s="2228"/>
      <c r="HPR64" s="2228"/>
      <c r="HPS64" s="2228"/>
      <c r="HPT64" s="2228"/>
      <c r="HPU64" s="2228"/>
      <c r="HPV64" s="2228"/>
      <c r="HPW64" s="2228"/>
      <c r="HPX64" s="2228"/>
      <c r="HPY64" s="2228"/>
      <c r="HPZ64" s="2228"/>
      <c r="HQA64" s="2228"/>
      <c r="HQB64" s="2228"/>
      <c r="HQC64" s="2228"/>
      <c r="HQD64" s="2228"/>
      <c r="HQE64" s="2228"/>
      <c r="HQF64" s="2227"/>
      <c r="HQG64" s="2228"/>
      <c r="HQH64" s="2228"/>
      <c r="HQI64" s="2228"/>
      <c r="HQJ64" s="2228"/>
      <c r="HQK64" s="2228"/>
      <c r="HQL64" s="2228"/>
      <c r="HQM64" s="2228"/>
      <c r="HQN64" s="2228"/>
      <c r="HQO64" s="2228"/>
      <c r="HQP64" s="2228"/>
      <c r="HQQ64" s="2228"/>
      <c r="HQR64" s="2228"/>
      <c r="HQS64" s="2228"/>
      <c r="HQT64" s="2228"/>
      <c r="HQU64" s="2228"/>
      <c r="HQV64" s="2227"/>
      <c r="HQW64" s="2228"/>
      <c r="HQX64" s="2228"/>
      <c r="HQY64" s="2228"/>
      <c r="HQZ64" s="2228"/>
      <c r="HRA64" s="2228"/>
      <c r="HRB64" s="2228"/>
      <c r="HRC64" s="2228"/>
      <c r="HRD64" s="2228"/>
      <c r="HRE64" s="2228"/>
      <c r="HRF64" s="2228"/>
      <c r="HRG64" s="2228"/>
      <c r="HRH64" s="2228"/>
      <c r="HRI64" s="2228"/>
      <c r="HRJ64" s="2228"/>
      <c r="HRK64" s="2228"/>
      <c r="HRL64" s="2227"/>
      <c r="HRM64" s="2228"/>
      <c r="HRN64" s="2228"/>
      <c r="HRO64" s="2228"/>
      <c r="HRP64" s="2228"/>
      <c r="HRQ64" s="2228"/>
      <c r="HRR64" s="2228"/>
      <c r="HRS64" s="2228"/>
      <c r="HRT64" s="2228"/>
      <c r="HRU64" s="2228"/>
      <c r="HRV64" s="2228"/>
      <c r="HRW64" s="2228"/>
      <c r="HRX64" s="2228"/>
      <c r="HRY64" s="2228"/>
      <c r="HRZ64" s="2228"/>
      <c r="HSA64" s="2228"/>
      <c r="HSB64" s="2227"/>
      <c r="HSC64" s="2228"/>
      <c r="HSD64" s="2228"/>
      <c r="HSE64" s="2228"/>
      <c r="HSF64" s="2228"/>
      <c r="HSG64" s="2228"/>
      <c r="HSH64" s="2228"/>
      <c r="HSI64" s="2228"/>
      <c r="HSJ64" s="2228"/>
      <c r="HSK64" s="2228"/>
      <c r="HSL64" s="2228"/>
      <c r="HSM64" s="2228"/>
      <c r="HSN64" s="2228"/>
      <c r="HSO64" s="2228"/>
      <c r="HSP64" s="2228"/>
      <c r="HSQ64" s="2228"/>
      <c r="HSR64" s="2227"/>
      <c r="HSS64" s="2228"/>
      <c r="HST64" s="2228"/>
      <c r="HSU64" s="2228"/>
      <c r="HSV64" s="2228"/>
      <c r="HSW64" s="2228"/>
      <c r="HSX64" s="2228"/>
      <c r="HSY64" s="2228"/>
      <c r="HSZ64" s="2228"/>
      <c r="HTA64" s="2228"/>
      <c r="HTB64" s="2228"/>
      <c r="HTC64" s="2228"/>
      <c r="HTD64" s="2228"/>
      <c r="HTE64" s="2228"/>
      <c r="HTF64" s="2228"/>
      <c r="HTG64" s="2228"/>
      <c r="HTH64" s="2227"/>
      <c r="HTI64" s="2228"/>
      <c r="HTJ64" s="2228"/>
      <c r="HTK64" s="2228"/>
      <c r="HTL64" s="2228"/>
      <c r="HTM64" s="2228"/>
      <c r="HTN64" s="2228"/>
      <c r="HTO64" s="2228"/>
      <c r="HTP64" s="2228"/>
      <c r="HTQ64" s="2228"/>
      <c r="HTR64" s="2228"/>
      <c r="HTS64" s="2228"/>
      <c r="HTT64" s="2228"/>
      <c r="HTU64" s="2228"/>
      <c r="HTV64" s="2228"/>
      <c r="HTW64" s="2228"/>
      <c r="HTX64" s="2227"/>
      <c r="HTY64" s="2228"/>
      <c r="HTZ64" s="2228"/>
      <c r="HUA64" s="2228"/>
      <c r="HUB64" s="2228"/>
      <c r="HUC64" s="2228"/>
      <c r="HUD64" s="2228"/>
      <c r="HUE64" s="2228"/>
      <c r="HUF64" s="2228"/>
      <c r="HUG64" s="2228"/>
      <c r="HUH64" s="2228"/>
      <c r="HUI64" s="2228"/>
      <c r="HUJ64" s="2228"/>
      <c r="HUK64" s="2228"/>
      <c r="HUL64" s="2228"/>
      <c r="HUM64" s="2228"/>
      <c r="HUN64" s="2227"/>
      <c r="HUO64" s="2228"/>
      <c r="HUP64" s="2228"/>
      <c r="HUQ64" s="2228"/>
      <c r="HUR64" s="2228"/>
      <c r="HUS64" s="2228"/>
      <c r="HUT64" s="2228"/>
      <c r="HUU64" s="2228"/>
      <c r="HUV64" s="2228"/>
      <c r="HUW64" s="2228"/>
      <c r="HUX64" s="2228"/>
      <c r="HUY64" s="2228"/>
      <c r="HUZ64" s="2228"/>
      <c r="HVA64" s="2228"/>
      <c r="HVB64" s="2228"/>
      <c r="HVC64" s="2228"/>
      <c r="HVD64" s="2227"/>
      <c r="HVE64" s="2228"/>
      <c r="HVF64" s="2228"/>
      <c r="HVG64" s="2228"/>
      <c r="HVH64" s="2228"/>
      <c r="HVI64" s="2228"/>
      <c r="HVJ64" s="2228"/>
      <c r="HVK64" s="2228"/>
      <c r="HVL64" s="2228"/>
      <c r="HVM64" s="2228"/>
      <c r="HVN64" s="2228"/>
      <c r="HVO64" s="2228"/>
      <c r="HVP64" s="2228"/>
      <c r="HVQ64" s="2228"/>
      <c r="HVR64" s="2228"/>
      <c r="HVS64" s="2228"/>
      <c r="HVT64" s="2227"/>
      <c r="HVU64" s="2228"/>
      <c r="HVV64" s="2228"/>
      <c r="HVW64" s="2228"/>
      <c r="HVX64" s="2228"/>
      <c r="HVY64" s="2228"/>
      <c r="HVZ64" s="2228"/>
      <c r="HWA64" s="2228"/>
      <c r="HWB64" s="2228"/>
      <c r="HWC64" s="2228"/>
      <c r="HWD64" s="2228"/>
      <c r="HWE64" s="2228"/>
      <c r="HWF64" s="2228"/>
      <c r="HWG64" s="2228"/>
      <c r="HWH64" s="2228"/>
      <c r="HWI64" s="2228"/>
      <c r="HWJ64" s="2227"/>
      <c r="HWK64" s="2228"/>
      <c r="HWL64" s="2228"/>
      <c r="HWM64" s="2228"/>
      <c r="HWN64" s="2228"/>
      <c r="HWO64" s="2228"/>
      <c r="HWP64" s="2228"/>
      <c r="HWQ64" s="2228"/>
      <c r="HWR64" s="2228"/>
      <c r="HWS64" s="2228"/>
      <c r="HWT64" s="2228"/>
      <c r="HWU64" s="2228"/>
      <c r="HWV64" s="2228"/>
      <c r="HWW64" s="2228"/>
      <c r="HWX64" s="2228"/>
      <c r="HWY64" s="2228"/>
      <c r="HWZ64" s="2227"/>
      <c r="HXA64" s="2228"/>
      <c r="HXB64" s="2228"/>
      <c r="HXC64" s="2228"/>
      <c r="HXD64" s="2228"/>
      <c r="HXE64" s="2228"/>
      <c r="HXF64" s="2228"/>
      <c r="HXG64" s="2228"/>
      <c r="HXH64" s="2228"/>
      <c r="HXI64" s="2228"/>
      <c r="HXJ64" s="2228"/>
      <c r="HXK64" s="2228"/>
      <c r="HXL64" s="2228"/>
      <c r="HXM64" s="2228"/>
      <c r="HXN64" s="2228"/>
      <c r="HXO64" s="2228"/>
      <c r="HXP64" s="2227"/>
      <c r="HXQ64" s="2228"/>
      <c r="HXR64" s="2228"/>
      <c r="HXS64" s="2228"/>
      <c r="HXT64" s="2228"/>
      <c r="HXU64" s="2228"/>
      <c r="HXV64" s="2228"/>
      <c r="HXW64" s="2228"/>
      <c r="HXX64" s="2228"/>
      <c r="HXY64" s="2228"/>
      <c r="HXZ64" s="2228"/>
      <c r="HYA64" s="2228"/>
      <c r="HYB64" s="2228"/>
      <c r="HYC64" s="2228"/>
      <c r="HYD64" s="2228"/>
      <c r="HYE64" s="2228"/>
      <c r="HYF64" s="2227"/>
      <c r="HYG64" s="2228"/>
      <c r="HYH64" s="2228"/>
      <c r="HYI64" s="2228"/>
      <c r="HYJ64" s="2228"/>
      <c r="HYK64" s="2228"/>
      <c r="HYL64" s="2228"/>
      <c r="HYM64" s="2228"/>
      <c r="HYN64" s="2228"/>
      <c r="HYO64" s="2228"/>
      <c r="HYP64" s="2228"/>
      <c r="HYQ64" s="2228"/>
      <c r="HYR64" s="2228"/>
      <c r="HYS64" s="2228"/>
      <c r="HYT64" s="2228"/>
      <c r="HYU64" s="2228"/>
      <c r="HYV64" s="2227"/>
      <c r="HYW64" s="2228"/>
      <c r="HYX64" s="2228"/>
      <c r="HYY64" s="2228"/>
      <c r="HYZ64" s="2228"/>
      <c r="HZA64" s="2228"/>
      <c r="HZB64" s="2228"/>
      <c r="HZC64" s="2228"/>
      <c r="HZD64" s="2228"/>
      <c r="HZE64" s="2228"/>
      <c r="HZF64" s="2228"/>
      <c r="HZG64" s="2228"/>
      <c r="HZH64" s="2228"/>
      <c r="HZI64" s="2228"/>
      <c r="HZJ64" s="2228"/>
      <c r="HZK64" s="2228"/>
      <c r="HZL64" s="2227"/>
      <c r="HZM64" s="2228"/>
      <c r="HZN64" s="2228"/>
      <c r="HZO64" s="2228"/>
      <c r="HZP64" s="2228"/>
      <c r="HZQ64" s="2228"/>
      <c r="HZR64" s="2228"/>
      <c r="HZS64" s="2228"/>
      <c r="HZT64" s="2228"/>
      <c r="HZU64" s="2228"/>
      <c r="HZV64" s="2228"/>
      <c r="HZW64" s="2228"/>
      <c r="HZX64" s="2228"/>
      <c r="HZY64" s="2228"/>
      <c r="HZZ64" s="2228"/>
      <c r="IAA64" s="2228"/>
      <c r="IAB64" s="2227"/>
      <c r="IAC64" s="2228"/>
      <c r="IAD64" s="2228"/>
      <c r="IAE64" s="2228"/>
      <c r="IAF64" s="2228"/>
      <c r="IAG64" s="2228"/>
      <c r="IAH64" s="2228"/>
      <c r="IAI64" s="2228"/>
      <c r="IAJ64" s="2228"/>
      <c r="IAK64" s="2228"/>
      <c r="IAL64" s="2228"/>
      <c r="IAM64" s="2228"/>
      <c r="IAN64" s="2228"/>
      <c r="IAO64" s="2228"/>
      <c r="IAP64" s="2228"/>
      <c r="IAQ64" s="2228"/>
      <c r="IAR64" s="2227"/>
      <c r="IAS64" s="2228"/>
      <c r="IAT64" s="2228"/>
      <c r="IAU64" s="2228"/>
      <c r="IAV64" s="2228"/>
      <c r="IAW64" s="2228"/>
      <c r="IAX64" s="2228"/>
      <c r="IAY64" s="2228"/>
      <c r="IAZ64" s="2228"/>
      <c r="IBA64" s="2228"/>
      <c r="IBB64" s="2228"/>
      <c r="IBC64" s="2228"/>
      <c r="IBD64" s="2228"/>
      <c r="IBE64" s="2228"/>
      <c r="IBF64" s="2228"/>
      <c r="IBG64" s="2228"/>
      <c r="IBH64" s="2227"/>
      <c r="IBI64" s="2228"/>
      <c r="IBJ64" s="2228"/>
      <c r="IBK64" s="2228"/>
      <c r="IBL64" s="2228"/>
      <c r="IBM64" s="2228"/>
      <c r="IBN64" s="2228"/>
      <c r="IBO64" s="2228"/>
      <c r="IBP64" s="2228"/>
      <c r="IBQ64" s="2228"/>
      <c r="IBR64" s="2228"/>
      <c r="IBS64" s="2228"/>
      <c r="IBT64" s="2228"/>
      <c r="IBU64" s="2228"/>
      <c r="IBV64" s="2228"/>
      <c r="IBW64" s="2228"/>
      <c r="IBX64" s="2227"/>
      <c r="IBY64" s="2228"/>
      <c r="IBZ64" s="2228"/>
      <c r="ICA64" s="2228"/>
      <c r="ICB64" s="2228"/>
      <c r="ICC64" s="2228"/>
      <c r="ICD64" s="2228"/>
      <c r="ICE64" s="2228"/>
      <c r="ICF64" s="2228"/>
      <c r="ICG64" s="2228"/>
      <c r="ICH64" s="2228"/>
      <c r="ICI64" s="2228"/>
      <c r="ICJ64" s="2228"/>
      <c r="ICK64" s="2228"/>
      <c r="ICL64" s="2228"/>
      <c r="ICM64" s="2228"/>
      <c r="ICN64" s="2227"/>
      <c r="ICO64" s="2228"/>
      <c r="ICP64" s="2228"/>
      <c r="ICQ64" s="2228"/>
      <c r="ICR64" s="2228"/>
      <c r="ICS64" s="2228"/>
      <c r="ICT64" s="2228"/>
      <c r="ICU64" s="2228"/>
      <c r="ICV64" s="2228"/>
      <c r="ICW64" s="2228"/>
      <c r="ICX64" s="2228"/>
      <c r="ICY64" s="2228"/>
      <c r="ICZ64" s="2228"/>
      <c r="IDA64" s="2228"/>
      <c r="IDB64" s="2228"/>
      <c r="IDC64" s="2228"/>
      <c r="IDD64" s="2227"/>
      <c r="IDE64" s="2228"/>
      <c r="IDF64" s="2228"/>
      <c r="IDG64" s="2228"/>
      <c r="IDH64" s="2228"/>
      <c r="IDI64" s="2228"/>
      <c r="IDJ64" s="2228"/>
      <c r="IDK64" s="2228"/>
      <c r="IDL64" s="2228"/>
      <c r="IDM64" s="2228"/>
      <c r="IDN64" s="2228"/>
      <c r="IDO64" s="2228"/>
      <c r="IDP64" s="2228"/>
      <c r="IDQ64" s="2228"/>
      <c r="IDR64" s="2228"/>
      <c r="IDS64" s="2228"/>
      <c r="IDT64" s="2227"/>
      <c r="IDU64" s="2228"/>
      <c r="IDV64" s="2228"/>
      <c r="IDW64" s="2228"/>
      <c r="IDX64" s="2228"/>
      <c r="IDY64" s="2228"/>
      <c r="IDZ64" s="2228"/>
      <c r="IEA64" s="2228"/>
      <c r="IEB64" s="2228"/>
      <c r="IEC64" s="2228"/>
      <c r="IED64" s="2228"/>
      <c r="IEE64" s="2228"/>
      <c r="IEF64" s="2228"/>
      <c r="IEG64" s="2228"/>
      <c r="IEH64" s="2228"/>
      <c r="IEI64" s="2228"/>
      <c r="IEJ64" s="2227"/>
      <c r="IEK64" s="2228"/>
      <c r="IEL64" s="2228"/>
      <c r="IEM64" s="2228"/>
      <c r="IEN64" s="2228"/>
      <c r="IEO64" s="2228"/>
      <c r="IEP64" s="2228"/>
      <c r="IEQ64" s="2228"/>
      <c r="IER64" s="2228"/>
      <c r="IES64" s="2228"/>
      <c r="IET64" s="2228"/>
      <c r="IEU64" s="2228"/>
      <c r="IEV64" s="2228"/>
      <c r="IEW64" s="2228"/>
      <c r="IEX64" s="2228"/>
      <c r="IEY64" s="2228"/>
      <c r="IEZ64" s="2227"/>
      <c r="IFA64" s="2228"/>
      <c r="IFB64" s="2228"/>
      <c r="IFC64" s="2228"/>
      <c r="IFD64" s="2228"/>
      <c r="IFE64" s="2228"/>
      <c r="IFF64" s="2228"/>
      <c r="IFG64" s="2228"/>
      <c r="IFH64" s="2228"/>
      <c r="IFI64" s="2228"/>
      <c r="IFJ64" s="2228"/>
      <c r="IFK64" s="2228"/>
      <c r="IFL64" s="2228"/>
      <c r="IFM64" s="2228"/>
      <c r="IFN64" s="2228"/>
      <c r="IFO64" s="2228"/>
      <c r="IFP64" s="2227"/>
      <c r="IFQ64" s="2228"/>
      <c r="IFR64" s="2228"/>
      <c r="IFS64" s="2228"/>
      <c r="IFT64" s="2228"/>
      <c r="IFU64" s="2228"/>
      <c r="IFV64" s="2228"/>
      <c r="IFW64" s="2228"/>
      <c r="IFX64" s="2228"/>
      <c r="IFY64" s="2228"/>
      <c r="IFZ64" s="2228"/>
      <c r="IGA64" s="2228"/>
      <c r="IGB64" s="2228"/>
      <c r="IGC64" s="2228"/>
      <c r="IGD64" s="2228"/>
      <c r="IGE64" s="2228"/>
      <c r="IGF64" s="2227"/>
      <c r="IGG64" s="2228"/>
      <c r="IGH64" s="2228"/>
      <c r="IGI64" s="2228"/>
      <c r="IGJ64" s="2228"/>
      <c r="IGK64" s="2228"/>
      <c r="IGL64" s="2228"/>
      <c r="IGM64" s="2228"/>
      <c r="IGN64" s="2228"/>
      <c r="IGO64" s="2228"/>
      <c r="IGP64" s="2228"/>
      <c r="IGQ64" s="2228"/>
      <c r="IGR64" s="2228"/>
      <c r="IGS64" s="2228"/>
      <c r="IGT64" s="2228"/>
      <c r="IGU64" s="2228"/>
      <c r="IGV64" s="2227"/>
      <c r="IGW64" s="2228"/>
      <c r="IGX64" s="2228"/>
      <c r="IGY64" s="2228"/>
      <c r="IGZ64" s="2228"/>
      <c r="IHA64" s="2228"/>
      <c r="IHB64" s="2228"/>
      <c r="IHC64" s="2228"/>
      <c r="IHD64" s="2228"/>
      <c r="IHE64" s="2228"/>
      <c r="IHF64" s="2228"/>
      <c r="IHG64" s="2228"/>
      <c r="IHH64" s="2228"/>
      <c r="IHI64" s="2228"/>
      <c r="IHJ64" s="2228"/>
      <c r="IHK64" s="2228"/>
      <c r="IHL64" s="2227"/>
      <c r="IHM64" s="2228"/>
      <c r="IHN64" s="2228"/>
      <c r="IHO64" s="2228"/>
      <c r="IHP64" s="2228"/>
      <c r="IHQ64" s="2228"/>
      <c r="IHR64" s="2228"/>
      <c r="IHS64" s="2228"/>
      <c r="IHT64" s="2228"/>
      <c r="IHU64" s="2228"/>
      <c r="IHV64" s="2228"/>
      <c r="IHW64" s="2228"/>
      <c r="IHX64" s="2228"/>
      <c r="IHY64" s="2228"/>
      <c r="IHZ64" s="2228"/>
      <c r="IIA64" s="2228"/>
      <c r="IIB64" s="2227"/>
      <c r="IIC64" s="2228"/>
      <c r="IID64" s="2228"/>
      <c r="IIE64" s="2228"/>
      <c r="IIF64" s="2228"/>
      <c r="IIG64" s="2228"/>
      <c r="IIH64" s="2228"/>
      <c r="III64" s="2228"/>
      <c r="IIJ64" s="2228"/>
      <c r="IIK64" s="2228"/>
      <c r="IIL64" s="2228"/>
      <c r="IIM64" s="2228"/>
      <c r="IIN64" s="2228"/>
      <c r="IIO64" s="2228"/>
      <c r="IIP64" s="2228"/>
      <c r="IIQ64" s="2228"/>
      <c r="IIR64" s="2227"/>
      <c r="IIS64" s="2228"/>
      <c r="IIT64" s="2228"/>
      <c r="IIU64" s="2228"/>
      <c r="IIV64" s="2228"/>
      <c r="IIW64" s="2228"/>
      <c r="IIX64" s="2228"/>
      <c r="IIY64" s="2228"/>
      <c r="IIZ64" s="2228"/>
      <c r="IJA64" s="2228"/>
      <c r="IJB64" s="2228"/>
      <c r="IJC64" s="2228"/>
      <c r="IJD64" s="2228"/>
      <c r="IJE64" s="2228"/>
      <c r="IJF64" s="2228"/>
      <c r="IJG64" s="2228"/>
      <c r="IJH64" s="2227"/>
      <c r="IJI64" s="2228"/>
      <c r="IJJ64" s="2228"/>
      <c r="IJK64" s="2228"/>
      <c r="IJL64" s="2228"/>
      <c r="IJM64" s="2228"/>
      <c r="IJN64" s="2228"/>
      <c r="IJO64" s="2228"/>
      <c r="IJP64" s="2228"/>
      <c r="IJQ64" s="2228"/>
      <c r="IJR64" s="2228"/>
      <c r="IJS64" s="2228"/>
      <c r="IJT64" s="2228"/>
      <c r="IJU64" s="2228"/>
      <c r="IJV64" s="2228"/>
      <c r="IJW64" s="2228"/>
      <c r="IJX64" s="2227"/>
      <c r="IJY64" s="2228"/>
      <c r="IJZ64" s="2228"/>
      <c r="IKA64" s="2228"/>
      <c r="IKB64" s="2228"/>
      <c r="IKC64" s="2228"/>
      <c r="IKD64" s="2228"/>
      <c r="IKE64" s="2228"/>
      <c r="IKF64" s="2228"/>
      <c r="IKG64" s="2228"/>
      <c r="IKH64" s="2228"/>
      <c r="IKI64" s="2228"/>
      <c r="IKJ64" s="2228"/>
      <c r="IKK64" s="2228"/>
      <c r="IKL64" s="2228"/>
      <c r="IKM64" s="2228"/>
      <c r="IKN64" s="2227"/>
      <c r="IKO64" s="2228"/>
      <c r="IKP64" s="2228"/>
      <c r="IKQ64" s="2228"/>
      <c r="IKR64" s="2228"/>
      <c r="IKS64" s="2228"/>
      <c r="IKT64" s="2228"/>
      <c r="IKU64" s="2228"/>
      <c r="IKV64" s="2228"/>
      <c r="IKW64" s="2228"/>
      <c r="IKX64" s="2228"/>
      <c r="IKY64" s="2228"/>
      <c r="IKZ64" s="2228"/>
      <c r="ILA64" s="2228"/>
      <c r="ILB64" s="2228"/>
      <c r="ILC64" s="2228"/>
      <c r="ILD64" s="2227"/>
      <c r="ILE64" s="2228"/>
      <c r="ILF64" s="2228"/>
      <c r="ILG64" s="2228"/>
      <c r="ILH64" s="2228"/>
      <c r="ILI64" s="2228"/>
      <c r="ILJ64" s="2228"/>
      <c r="ILK64" s="2228"/>
      <c r="ILL64" s="2228"/>
      <c r="ILM64" s="2228"/>
      <c r="ILN64" s="2228"/>
      <c r="ILO64" s="2228"/>
      <c r="ILP64" s="2228"/>
      <c r="ILQ64" s="2228"/>
      <c r="ILR64" s="2228"/>
      <c r="ILS64" s="2228"/>
      <c r="ILT64" s="2227"/>
      <c r="ILU64" s="2228"/>
      <c r="ILV64" s="2228"/>
      <c r="ILW64" s="2228"/>
      <c r="ILX64" s="2228"/>
      <c r="ILY64" s="2228"/>
      <c r="ILZ64" s="2228"/>
      <c r="IMA64" s="2228"/>
      <c r="IMB64" s="2228"/>
      <c r="IMC64" s="2228"/>
      <c r="IMD64" s="2228"/>
      <c r="IME64" s="2228"/>
      <c r="IMF64" s="2228"/>
      <c r="IMG64" s="2228"/>
      <c r="IMH64" s="2228"/>
      <c r="IMI64" s="2228"/>
      <c r="IMJ64" s="2227"/>
      <c r="IMK64" s="2228"/>
      <c r="IML64" s="2228"/>
      <c r="IMM64" s="2228"/>
      <c r="IMN64" s="2228"/>
      <c r="IMO64" s="2228"/>
      <c r="IMP64" s="2228"/>
      <c r="IMQ64" s="2228"/>
      <c r="IMR64" s="2228"/>
      <c r="IMS64" s="2228"/>
      <c r="IMT64" s="2228"/>
      <c r="IMU64" s="2228"/>
      <c r="IMV64" s="2228"/>
      <c r="IMW64" s="2228"/>
      <c r="IMX64" s="2228"/>
      <c r="IMY64" s="2228"/>
      <c r="IMZ64" s="2227"/>
      <c r="INA64" s="2228"/>
      <c r="INB64" s="2228"/>
      <c r="INC64" s="2228"/>
      <c r="IND64" s="2228"/>
      <c r="INE64" s="2228"/>
      <c r="INF64" s="2228"/>
      <c r="ING64" s="2228"/>
      <c r="INH64" s="2228"/>
      <c r="INI64" s="2228"/>
      <c r="INJ64" s="2228"/>
      <c r="INK64" s="2228"/>
      <c r="INL64" s="2228"/>
      <c r="INM64" s="2228"/>
      <c r="INN64" s="2228"/>
      <c r="INO64" s="2228"/>
      <c r="INP64" s="2227"/>
      <c r="INQ64" s="2228"/>
      <c r="INR64" s="2228"/>
      <c r="INS64" s="2228"/>
      <c r="INT64" s="2228"/>
      <c r="INU64" s="2228"/>
      <c r="INV64" s="2228"/>
      <c r="INW64" s="2228"/>
      <c r="INX64" s="2228"/>
      <c r="INY64" s="2228"/>
      <c r="INZ64" s="2228"/>
      <c r="IOA64" s="2228"/>
      <c r="IOB64" s="2228"/>
      <c r="IOC64" s="2228"/>
      <c r="IOD64" s="2228"/>
      <c r="IOE64" s="2228"/>
      <c r="IOF64" s="2227"/>
      <c r="IOG64" s="2228"/>
      <c r="IOH64" s="2228"/>
      <c r="IOI64" s="2228"/>
      <c r="IOJ64" s="2228"/>
      <c r="IOK64" s="2228"/>
      <c r="IOL64" s="2228"/>
      <c r="IOM64" s="2228"/>
      <c r="ION64" s="2228"/>
      <c r="IOO64" s="2228"/>
      <c r="IOP64" s="2228"/>
      <c r="IOQ64" s="2228"/>
      <c r="IOR64" s="2228"/>
      <c r="IOS64" s="2228"/>
      <c r="IOT64" s="2228"/>
      <c r="IOU64" s="2228"/>
      <c r="IOV64" s="2227"/>
      <c r="IOW64" s="2228"/>
      <c r="IOX64" s="2228"/>
      <c r="IOY64" s="2228"/>
      <c r="IOZ64" s="2228"/>
      <c r="IPA64" s="2228"/>
      <c r="IPB64" s="2228"/>
      <c r="IPC64" s="2228"/>
      <c r="IPD64" s="2228"/>
      <c r="IPE64" s="2228"/>
      <c r="IPF64" s="2228"/>
      <c r="IPG64" s="2228"/>
      <c r="IPH64" s="2228"/>
      <c r="IPI64" s="2228"/>
      <c r="IPJ64" s="2228"/>
      <c r="IPK64" s="2228"/>
      <c r="IPL64" s="2227"/>
      <c r="IPM64" s="2228"/>
      <c r="IPN64" s="2228"/>
      <c r="IPO64" s="2228"/>
      <c r="IPP64" s="2228"/>
      <c r="IPQ64" s="2228"/>
      <c r="IPR64" s="2228"/>
      <c r="IPS64" s="2228"/>
      <c r="IPT64" s="2228"/>
      <c r="IPU64" s="2228"/>
      <c r="IPV64" s="2228"/>
      <c r="IPW64" s="2228"/>
      <c r="IPX64" s="2228"/>
      <c r="IPY64" s="2228"/>
      <c r="IPZ64" s="2228"/>
      <c r="IQA64" s="2228"/>
      <c r="IQB64" s="2227"/>
      <c r="IQC64" s="2228"/>
      <c r="IQD64" s="2228"/>
      <c r="IQE64" s="2228"/>
      <c r="IQF64" s="2228"/>
      <c r="IQG64" s="2228"/>
      <c r="IQH64" s="2228"/>
      <c r="IQI64" s="2228"/>
      <c r="IQJ64" s="2228"/>
      <c r="IQK64" s="2228"/>
      <c r="IQL64" s="2228"/>
      <c r="IQM64" s="2228"/>
      <c r="IQN64" s="2228"/>
      <c r="IQO64" s="2228"/>
      <c r="IQP64" s="2228"/>
      <c r="IQQ64" s="2228"/>
      <c r="IQR64" s="2227"/>
      <c r="IQS64" s="2228"/>
      <c r="IQT64" s="2228"/>
      <c r="IQU64" s="2228"/>
      <c r="IQV64" s="2228"/>
      <c r="IQW64" s="2228"/>
      <c r="IQX64" s="2228"/>
      <c r="IQY64" s="2228"/>
      <c r="IQZ64" s="2228"/>
      <c r="IRA64" s="2228"/>
      <c r="IRB64" s="2228"/>
      <c r="IRC64" s="2228"/>
      <c r="IRD64" s="2228"/>
      <c r="IRE64" s="2228"/>
      <c r="IRF64" s="2228"/>
      <c r="IRG64" s="2228"/>
      <c r="IRH64" s="2227"/>
      <c r="IRI64" s="2228"/>
      <c r="IRJ64" s="2228"/>
      <c r="IRK64" s="2228"/>
      <c r="IRL64" s="2228"/>
      <c r="IRM64" s="2228"/>
      <c r="IRN64" s="2228"/>
      <c r="IRO64" s="2228"/>
      <c r="IRP64" s="2228"/>
      <c r="IRQ64" s="2228"/>
      <c r="IRR64" s="2228"/>
      <c r="IRS64" s="2228"/>
      <c r="IRT64" s="2228"/>
      <c r="IRU64" s="2228"/>
      <c r="IRV64" s="2228"/>
      <c r="IRW64" s="2228"/>
      <c r="IRX64" s="2227"/>
      <c r="IRY64" s="2228"/>
      <c r="IRZ64" s="2228"/>
      <c r="ISA64" s="2228"/>
      <c r="ISB64" s="2228"/>
      <c r="ISC64" s="2228"/>
      <c r="ISD64" s="2228"/>
      <c r="ISE64" s="2228"/>
      <c r="ISF64" s="2228"/>
      <c r="ISG64" s="2228"/>
      <c r="ISH64" s="2228"/>
      <c r="ISI64" s="2228"/>
      <c r="ISJ64" s="2228"/>
      <c r="ISK64" s="2228"/>
      <c r="ISL64" s="2228"/>
      <c r="ISM64" s="2228"/>
      <c r="ISN64" s="2227"/>
      <c r="ISO64" s="2228"/>
      <c r="ISP64" s="2228"/>
      <c r="ISQ64" s="2228"/>
      <c r="ISR64" s="2228"/>
      <c r="ISS64" s="2228"/>
      <c r="IST64" s="2228"/>
      <c r="ISU64" s="2228"/>
      <c r="ISV64" s="2228"/>
      <c r="ISW64" s="2228"/>
      <c r="ISX64" s="2228"/>
      <c r="ISY64" s="2228"/>
      <c r="ISZ64" s="2228"/>
      <c r="ITA64" s="2228"/>
      <c r="ITB64" s="2228"/>
      <c r="ITC64" s="2228"/>
      <c r="ITD64" s="2227"/>
      <c r="ITE64" s="2228"/>
      <c r="ITF64" s="2228"/>
      <c r="ITG64" s="2228"/>
      <c r="ITH64" s="2228"/>
      <c r="ITI64" s="2228"/>
      <c r="ITJ64" s="2228"/>
      <c r="ITK64" s="2228"/>
      <c r="ITL64" s="2228"/>
      <c r="ITM64" s="2228"/>
      <c r="ITN64" s="2228"/>
      <c r="ITO64" s="2228"/>
      <c r="ITP64" s="2228"/>
      <c r="ITQ64" s="2228"/>
      <c r="ITR64" s="2228"/>
      <c r="ITS64" s="2228"/>
      <c r="ITT64" s="2227"/>
      <c r="ITU64" s="2228"/>
      <c r="ITV64" s="2228"/>
      <c r="ITW64" s="2228"/>
      <c r="ITX64" s="2228"/>
      <c r="ITY64" s="2228"/>
      <c r="ITZ64" s="2228"/>
      <c r="IUA64" s="2228"/>
      <c r="IUB64" s="2228"/>
      <c r="IUC64" s="2228"/>
      <c r="IUD64" s="2228"/>
      <c r="IUE64" s="2228"/>
      <c r="IUF64" s="2228"/>
      <c r="IUG64" s="2228"/>
      <c r="IUH64" s="2228"/>
      <c r="IUI64" s="2228"/>
      <c r="IUJ64" s="2227"/>
      <c r="IUK64" s="2228"/>
      <c r="IUL64" s="2228"/>
      <c r="IUM64" s="2228"/>
      <c r="IUN64" s="2228"/>
      <c r="IUO64" s="2228"/>
      <c r="IUP64" s="2228"/>
      <c r="IUQ64" s="2228"/>
      <c r="IUR64" s="2228"/>
      <c r="IUS64" s="2228"/>
      <c r="IUT64" s="2228"/>
      <c r="IUU64" s="2228"/>
      <c r="IUV64" s="2228"/>
      <c r="IUW64" s="2228"/>
      <c r="IUX64" s="2228"/>
      <c r="IUY64" s="2228"/>
      <c r="IUZ64" s="2227"/>
      <c r="IVA64" s="2228"/>
      <c r="IVB64" s="2228"/>
      <c r="IVC64" s="2228"/>
      <c r="IVD64" s="2228"/>
      <c r="IVE64" s="2228"/>
      <c r="IVF64" s="2228"/>
      <c r="IVG64" s="2228"/>
      <c r="IVH64" s="2228"/>
      <c r="IVI64" s="2228"/>
      <c r="IVJ64" s="2228"/>
      <c r="IVK64" s="2228"/>
      <c r="IVL64" s="2228"/>
      <c r="IVM64" s="2228"/>
      <c r="IVN64" s="2228"/>
      <c r="IVO64" s="2228"/>
      <c r="IVP64" s="2227"/>
      <c r="IVQ64" s="2228"/>
      <c r="IVR64" s="2228"/>
      <c r="IVS64" s="2228"/>
      <c r="IVT64" s="2228"/>
      <c r="IVU64" s="2228"/>
      <c r="IVV64" s="2228"/>
      <c r="IVW64" s="2228"/>
      <c r="IVX64" s="2228"/>
      <c r="IVY64" s="2228"/>
      <c r="IVZ64" s="2228"/>
      <c r="IWA64" s="2228"/>
      <c r="IWB64" s="2228"/>
      <c r="IWC64" s="2228"/>
      <c r="IWD64" s="2228"/>
      <c r="IWE64" s="2228"/>
      <c r="IWF64" s="2227"/>
      <c r="IWG64" s="2228"/>
      <c r="IWH64" s="2228"/>
      <c r="IWI64" s="2228"/>
      <c r="IWJ64" s="2228"/>
      <c r="IWK64" s="2228"/>
      <c r="IWL64" s="2228"/>
      <c r="IWM64" s="2228"/>
      <c r="IWN64" s="2228"/>
      <c r="IWO64" s="2228"/>
      <c r="IWP64" s="2228"/>
      <c r="IWQ64" s="2228"/>
      <c r="IWR64" s="2228"/>
      <c r="IWS64" s="2228"/>
      <c r="IWT64" s="2228"/>
      <c r="IWU64" s="2228"/>
      <c r="IWV64" s="2227"/>
      <c r="IWW64" s="2228"/>
      <c r="IWX64" s="2228"/>
      <c r="IWY64" s="2228"/>
      <c r="IWZ64" s="2228"/>
      <c r="IXA64" s="2228"/>
      <c r="IXB64" s="2228"/>
      <c r="IXC64" s="2228"/>
      <c r="IXD64" s="2228"/>
      <c r="IXE64" s="2228"/>
      <c r="IXF64" s="2228"/>
      <c r="IXG64" s="2228"/>
      <c r="IXH64" s="2228"/>
      <c r="IXI64" s="2228"/>
      <c r="IXJ64" s="2228"/>
      <c r="IXK64" s="2228"/>
      <c r="IXL64" s="2227"/>
      <c r="IXM64" s="2228"/>
      <c r="IXN64" s="2228"/>
      <c r="IXO64" s="2228"/>
      <c r="IXP64" s="2228"/>
      <c r="IXQ64" s="2228"/>
      <c r="IXR64" s="2228"/>
      <c r="IXS64" s="2228"/>
      <c r="IXT64" s="2228"/>
      <c r="IXU64" s="2228"/>
      <c r="IXV64" s="2228"/>
      <c r="IXW64" s="2228"/>
      <c r="IXX64" s="2228"/>
      <c r="IXY64" s="2228"/>
      <c r="IXZ64" s="2228"/>
      <c r="IYA64" s="2228"/>
      <c r="IYB64" s="2227"/>
      <c r="IYC64" s="2228"/>
      <c r="IYD64" s="2228"/>
      <c r="IYE64" s="2228"/>
      <c r="IYF64" s="2228"/>
      <c r="IYG64" s="2228"/>
      <c r="IYH64" s="2228"/>
      <c r="IYI64" s="2228"/>
      <c r="IYJ64" s="2228"/>
      <c r="IYK64" s="2228"/>
      <c r="IYL64" s="2228"/>
      <c r="IYM64" s="2228"/>
      <c r="IYN64" s="2228"/>
      <c r="IYO64" s="2228"/>
      <c r="IYP64" s="2228"/>
      <c r="IYQ64" s="2228"/>
      <c r="IYR64" s="2227"/>
      <c r="IYS64" s="2228"/>
      <c r="IYT64" s="2228"/>
      <c r="IYU64" s="2228"/>
      <c r="IYV64" s="2228"/>
      <c r="IYW64" s="2228"/>
      <c r="IYX64" s="2228"/>
      <c r="IYY64" s="2228"/>
      <c r="IYZ64" s="2228"/>
      <c r="IZA64" s="2228"/>
      <c r="IZB64" s="2228"/>
      <c r="IZC64" s="2228"/>
      <c r="IZD64" s="2228"/>
      <c r="IZE64" s="2228"/>
      <c r="IZF64" s="2228"/>
      <c r="IZG64" s="2228"/>
      <c r="IZH64" s="2227"/>
      <c r="IZI64" s="2228"/>
      <c r="IZJ64" s="2228"/>
      <c r="IZK64" s="2228"/>
      <c r="IZL64" s="2228"/>
      <c r="IZM64" s="2228"/>
      <c r="IZN64" s="2228"/>
      <c r="IZO64" s="2228"/>
      <c r="IZP64" s="2228"/>
      <c r="IZQ64" s="2228"/>
      <c r="IZR64" s="2228"/>
      <c r="IZS64" s="2228"/>
      <c r="IZT64" s="2228"/>
      <c r="IZU64" s="2228"/>
      <c r="IZV64" s="2228"/>
      <c r="IZW64" s="2228"/>
      <c r="IZX64" s="2227"/>
      <c r="IZY64" s="2228"/>
      <c r="IZZ64" s="2228"/>
      <c r="JAA64" s="2228"/>
      <c r="JAB64" s="2228"/>
      <c r="JAC64" s="2228"/>
      <c r="JAD64" s="2228"/>
      <c r="JAE64" s="2228"/>
      <c r="JAF64" s="2228"/>
      <c r="JAG64" s="2228"/>
      <c r="JAH64" s="2228"/>
      <c r="JAI64" s="2228"/>
      <c r="JAJ64" s="2228"/>
      <c r="JAK64" s="2228"/>
      <c r="JAL64" s="2228"/>
      <c r="JAM64" s="2228"/>
      <c r="JAN64" s="2227"/>
      <c r="JAO64" s="2228"/>
      <c r="JAP64" s="2228"/>
      <c r="JAQ64" s="2228"/>
      <c r="JAR64" s="2228"/>
      <c r="JAS64" s="2228"/>
      <c r="JAT64" s="2228"/>
      <c r="JAU64" s="2228"/>
      <c r="JAV64" s="2228"/>
      <c r="JAW64" s="2228"/>
      <c r="JAX64" s="2228"/>
      <c r="JAY64" s="2228"/>
      <c r="JAZ64" s="2228"/>
      <c r="JBA64" s="2228"/>
      <c r="JBB64" s="2228"/>
      <c r="JBC64" s="2228"/>
      <c r="JBD64" s="2227"/>
      <c r="JBE64" s="2228"/>
      <c r="JBF64" s="2228"/>
      <c r="JBG64" s="2228"/>
      <c r="JBH64" s="2228"/>
      <c r="JBI64" s="2228"/>
      <c r="JBJ64" s="2228"/>
      <c r="JBK64" s="2228"/>
      <c r="JBL64" s="2228"/>
      <c r="JBM64" s="2228"/>
      <c r="JBN64" s="2228"/>
      <c r="JBO64" s="2228"/>
      <c r="JBP64" s="2228"/>
      <c r="JBQ64" s="2228"/>
      <c r="JBR64" s="2228"/>
      <c r="JBS64" s="2228"/>
      <c r="JBT64" s="2227"/>
      <c r="JBU64" s="2228"/>
      <c r="JBV64" s="2228"/>
      <c r="JBW64" s="2228"/>
      <c r="JBX64" s="2228"/>
      <c r="JBY64" s="2228"/>
      <c r="JBZ64" s="2228"/>
      <c r="JCA64" s="2228"/>
      <c r="JCB64" s="2228"/>
      <c r="JCC64" s="2228"/>
      <c r="JCD64" s="2228"/>
      <c r="JCE64" s="2228"/>
      <c r="JCF64" s="2228"/>
      <c r="JCG64" s="2228"/>
      <c r="JCH64" s="2228"/>
      <c r="JCI64" s="2228"/>
      <c r="JCJ64" s="2227"/>
      <c r="JCK64" s="2228"/>
      <c r="JCL64" s="2228"/>
      <c r="JCM64" s="2228"/>
      <c r="JCN64" s="2228"/>
      <c r="JCO64" s="2228"/>
      <c r="JCP64" s="2228"/>
      <c r="JCQ64" s="2228"/>
      <c r="JCR64" s="2228"/>
      <c r="JCS64" s="2228"/>
      <c r="JCT64" s="2228"/>
      <c r="JCU64" s="2228"/>
      <c r="JCV64" s="2228"/>
      <c r="JCW64" s="2228"/>
      <c r="JCX64" s="2228"/>
      <c r="JCY64" s="2228"/>
      <c r="JCZ64" s="2227"/>
      <c r="JDA64" s="2228"/>
      <c r="JDB64" s="2228"/>
      <c r="JDC64" s="2228"/>
      <c r="JDD64" s="2228"/>
      <c r="JDE64" s="2228"/>
      <c r="JDF64" s="2228"/>
      <c r="JDG64" s="2228"/>
      <c r="JDH64" s="2228"/>
      <c r="JDI64" s="2228"/>
      <c r="JDJ64" s="2228"/>
      <c r="JDK64" s="2228"/>
      <c r="JDL64" s="2228"/>
      <c r="JDM64" s="2228"/>
      <c r="JDN64" s="2228"/>
      <c r="JDO64" s="2228"/>
      <c r="JDP64" s="2227"/>
      <c r="JDQ64" s="2228"/>
      <c r="JDR64" s="2228"/>
      <c r="JDS64" s="2228"/>
      <c r="JDT64" s="2228"/>
      <c r="JDU64" s="2228"/>
      <c r="JDV64" s="2228"/>
      <c r="JDW64" s="2228"/>
      <c r="JDX64" s="2228"/>
      <c r="JDY64" s="2228"/>
      <c r="JDZ64" s="2228"/>
      <c r="JEA64" s="2228"/>
      <c r="JEB64" s="2228"/>
      <c r="JEC64" s="2228"/>
      <c r="JED64" s="2228"/>
      <c r="JEE64" s="2228"/>
      <c r="JEF64" s="2227"/>
      <c r="JEG64" s="2228"/>
      <c r="JEH64" s="2228"/>
      <c r="JEI64" s="2228"/>
      <c r="JEJ64" s="2228"/>
      <c r="JEK64" s="2228"/>
      <c r="JEL64" s="2228"/>
      <c r="JEM64" s="2228"/>
      <c r="JEN64" s="2228"/>
      <c r="JEO64" s="2228"/>
      <c r="JEP64" s="2228"/>
      <c r="JEQ64" s="2228"/>
      <c r="JER64" s="2228"/>
      <c r="JES64" s="2228"/>
      <c r="JET64" s="2228"/>
      <c r="JEU64" s="2228"/>
      <c r="JEV64" s="2227"/>
      <c r="JEW64" s="2228"/>
      <c r="JEX64" s="2228"/>
      <c r="JEY64" s="2228"/>
      <c r="JEZ64" s="2228"/>
      <c r="JFA64" s="2228"/>
      <c r="JFB64" s="2228"/>
      <c r="JFC64" s="2228"/>
      <c r="JFD64" s="2228"/>
      <c r="JFE64" s="2228"/>
      <c r="JFF64" s="2228"/>
      <c r="JFG64" s="2228"/>
      <c r="JFH64" s="2228"/>
      <c r="JFI64" s="2228"/>
      <c r="JFJ64" s="2228"/>
      <c r="JFK64" s="2228"/>
      <c r="JFL64" s="2227"/>
      <c r="JFM64" s="2228"/>
      <c r="JFN64" s="2228"/>
      <c r="JFO64" s="2228"/>
      <c r="JFP64" s="2228"/>
      <c r="JFQ64" s="2228"/>
      <c r="JFR64" s="2228"/>
      <c r="JFS64" s="2228"/>
      <c r="JFT64" s="2228"/>
      <c r="JFU64" s="2228"/>
      <c r="JFV64" s="2228"/>
      <c r="JFW64" s="2228"/>
      <c r="JFX64" s="2228"/>
      <c r="JFY64" s="2228"/>
      <c r="JFZ64" s="2228"/>
      <c r="JGA64" s="2228"/>
      <c r="JGB64" s="2227"/>
      <c r="JGC64" s="2228"/>
      <c r="JGD64" s="2228"/>
      <c r="JGE64" s="2228"/>
      <c r="JGF64" s="2228"/>
      <c r="JGG64" s="2228"/>
      <c r="JGH64" s="2228"/>
      <c r="JGI64" s="2228"/>
      <c r="JGJ64" s="2228"/>
      <c r="JGK64" s="2228"/>
      <c r="JGL64" s="2228"/>
      <c r="JGM64" s="2228"/>
      <c r="JGN64" s="2228"/>
      <c r="JGO64" s="2228"/>
      <c r="JGP64" s="2228"/>
      <c r="JGQ64" s="2228"/>
      <c r="JGR64" s="2227"/>
      <c r="JGS64" s="2228"/>
      <c r="JGT64" s="2228"/>
      <c r="JGU64" s="2228"/>
      <c r="JGV64" s="2228"/>
      <c r="JGW64" s="2228"/>
      <c r="JGX64" s="2228"/>
      <c r="JGY64" s="2228"/>
      <c r="JGZ64" s="2228"/>
      <c r="JHA64" s="2228"/>
      <c r="JHB64" s="2228"/>
      <c r="JHC64" s="2228"/>
      <c r="JHD64" s="2228"/>
      <c r="JHE64" s="2228"/>
      <c r="JHF64" s="2228"/>
      <c r="JHG64" s="2228"/>
      <c r="JHH64" s="2227"/>
      <c r="JHI64" s="2228"/>
      <c r="JHJ64" s="2228"/>
      <c r="JHK64" s="2228"/>
      <c r="JHL64" s="2228"/>
      <c r="JHM64" s="2228"/>
      <c r="JHN64" s="2228"/>
      <c r="JHO64" s="2228"/>
      <c r="JHP64" s="2228"/>
      <c r="JHQ64" s="2228"/>
      <c r="JHR64" s="2228"/>
      <c r="JHS64" s="2228"/>
      <c r="JHT64" s="2228"/>
      <c r="JHU64" s="2228"/>
      <c r="JHV64" s="2228"/>
      <c r="JHW64" s="2228"/>
      <c r="JHX64" s="2227"/>
      <c r="JHY64" s="2228"/>
      <c r="JHZ64" s="2228"/>
      <c r="JIA64" s="2228"/>
      <c r="JIB64" s="2228"/>
      <c r="JIC64" s="2228"/>
      <c r="JID64" s="2228"/>
      <c r="JIE64" s="2228"/>
      <c r="JIF64" s="2228"/>
      <c r="JIG64" s="2228"/>
      <c r="JIH64" s="2228"/>
      <c r="JII64" s="2228"/>
      <c r="JIJ64" s="2228"/>
      <c r="JIK64" s="2228"/>
      <c r="JIL64" s="2228"/>
      <c r="JIM64" s="2228"/>
      <c r="JIN64" s="2227"/>
      <c r="JIO64" s="2228"/>
      <c r="JIP64" s="2228"/>
      <c r="JIQ64" s="2228"/>
      <c r="JIR64" s="2228"/>
      <c r="JIS64" s="2228"/>
      <c r="JIT64" s="2228"/>
      <c r="JIU64" s="2228"/>
      <c r="JIV64" s="2228"/>
      <c r="JIW64" s="2228"/>
      <c r="JIX64" s="2228"/>
      <c r="JIY64" s="2228"/>
      <c r="JIZ64" s="2228"/>
      <c r="JJA64" s="2228"/>
      <c r="JJB64" s="2228"/>
      <c r="JJC64" s="2228"/>
      <c r="JJD64" s="2227"/>
      <c r="JJE64" s="2228"/>
      <c r="JJF64" s="2228"/>
      <c r="JJG64" s="2228"/>
      <c r="JJH64" s="2228"/>
      <c r="JJI64" s="2228"/>
      <c r="JJJ64" s="2228"/>
      <c r="JJK64" s="2228"/>
      <c r="JJL64" s="2228"/>
      <c r="JJM64" s="2228"/>
      <c r="JJN64" s="2228"/>
      <c r="JJO64" s="2228"/>
      <c r="JJP64" s="2228"/>
      <c r="JJQ64" s="2228"/>
      <c r="JJR64" s="2228"/>
      <c r="JJS64" s="2228"/>
      <c r="JJT64" s="2227"/>
      <c r="JJU64" s="2228"/>
      <c r="JJV64" s="2228"/>
      <c r="JJW64" s="2228"/>
      <c r="JJX64" s="2228"/>
      <c r="JJY64" s="2228"/>
      <c r="JJZ64" s="2228"/>
      <c r="JKA64" s="2228"/>
      <c r="JKB64" s="2228"/>
      <c r="JKC64" s="2228"/>
      <c r="JKD64" s="2228"/>
      <c r="JKE64" s="2228"/>
      <c r="JKF64" s="2228"/>
      <c r="JKG64" s="2228"/>
      <c r="JKH64" s="2228"/>
      <c r="JKI64" s="2228"/>
      <c r="JKJ64" s="2227"/>
      <c r="JKK64" s="2228"/>
      <c r="JKL64" s="2228"/>
      <c r="JKM64" s="2228"/>
      <c r="JKN64" s="2228"/>
      <c r="JKO64" s="2228"/>
      <c r="JKP64" s="2228"/>
      <c r="JKQ64" s="2228"/>
      <c r="JKR64" s="2228"/>
      <c r="JKS64" s="2228"/>
      <c r="JKT64" s="2228"/>
      <c r="JKU64" s="2228"/>
      <c r="JKV64" s="2228"/>
      <c r="JKW64" s="2228"/>
      <c r="JKX64" s="2228"/>
      <c r="JKY64" s="2228"/>
      <c r="JKZ64" s="2227"/>
      <c r="JLA64" s="2228"/>
      <c r="JLB64" s="2228"/>
      <c r="JLC64" s="2228"/>
      <c r="JLD64" s="2228"/>
      <c r="JLE64" s="2228"/>
      <c r="JLF64" s="2228"/>
      <c r="JLG64" s="2228"/>
      <c r="JLH64" s="2228"/>
      <c r="JLI64" s="2228"/>
      <c r="JLJ64" s="2228"/>
      <c r="JLK64" s="2228"/>
      <c r="JLL64" s="2228"/>
      <c r="JLM64" s="2228"/>
      <c r="JLN64" s="2228"/>
      <c r="JLO64" s="2228"/>
      <c r="JLP64" s="2227"/>
      <c r="JLQ64" s="2228"/>
      <c r="JLR64" s="2228"/>
      <c r="JLS64" s="2228"/>
      <c r="JLT64" s="2228"/>
      <c r="JLU64" s="2228"/>
      <c r="JLV64" s="2228"/>
      <c r="JLW64" s="2228"/>
      <c r="JLX64" s="2228"/>
      <c r="JLY64" s="2228"/>
      <c r="JLZ64" s="2228"/>
      <c r="JMA64" s="2228"/>
      <c r="JMB64" s="2228"/>
      <c r="JMC64" s="2228"/>
      <c r="JMD64" s="2228"/>
      <c r="JME64" s="2228"/>
      <c r="JMF64" s="2227"/>
      <c r="JMG64" s="2228"/>
      <c r="JMH64" s="2228"/>
      <c r="JMI64" s="2228"/>
      <c r="JMJ64" s="2228"/>
      <c r="JMK64" s="2228"/>
      <c r="JML64" s="2228"/>
      <c r="JMM64" s="2228"/>
      <c r="JMN64" s="2228"/>
      <c r="JMO64" s="2228"/>
      <c r="JMP64" s="2228"/>
      <c r="JMQ64" s="2228"/>
      <c r="JMR64" s="2228"/>
      <c r="JMS64" s="2228"/>
      <c r="JMT64" s="2228"/>
      <c r="JMU64" s="2228"/>
      <c r="JMV64" s="2227"/>
      <c r="JMW64" s="2228"/>
      <c r="JMX64" s="2228"/>
      <c r="JMY64" s="2228"/>
      <c r="JMZ64" s="2228"/>
      <c r="JNA64" s="2228"/>
      <c r="JNB64" s="2228"/>
      <c r="JNC64" s="2228"/>
      <c r="JND64" s="2228"/>
      <c r="JNE64" s="2228"/>
      <c r="JNF64" s="2228"/>
      <c r="JNG64" s="2228"/>
      <c r="JNH64" s="2228"/>
      <c r="JNI64" s="2228"/>
      <c r="JNJ64" s="2228"/>
      <c r="JNK64" s="2228"/>
      <c r="JNL64" s="2227"/>
      <c r="JNM64" s="2228"/>
      <c r="JNN64" s="2228"/>
      <c r="JNO64" s="2228"/>
      <c r="JNP64" s="2228"/>
      <c r="JNQ64" s="2228"/>
      <c r="JNR64" s="2228"/>
      <c r="JNS64" s="2228"/>
      <c r="JNT64" s="2228"/>
      <c r="JNU64" s="2228"/>
      <c r="JNV64" s="2228"/>
      <c r="JNW64" s="2228"/>
      <c r="JNX64" s="2228"/>
      <c r="JNY64" s="2228"/>
      <c r="JNZ64" s="2228"/>
      <c r="JOA64" s="2228"/>
      <c r="JOB64" s="2227"/>
      <c r="JOC64" s="2228"/>
      <c r="JOD64" s="2228"/>
      <c r="JOE64" s="2228"/>
      <c r="JOF64" s="2228"/>
      <c r="JOG64" s="2228"/>
      <c r="JOH64" s="2228"/>
      <c r="JOI64" s="2228"/>
      <c r="JOJ64" s="2228"/>
      <c r="JOK64" s="2228"/>
      <c r="JOL64" s="2228"/>
      <c r="JOM64" s="2228"/>
      <c r="JON64" s="2228"/>
      <c r="JOO64" s="2228"/>
      <c r="JOP64" s="2228"/>
      <c r="JOQ64" s="2228"/>
      <c r="JOR64" s="2227"/>
      <c r="JOS64" s="2228"/>
      <c r="JOT64" s="2228"/>
      <c r="JOU64" s="2228"/>
      <c r="JOV64" s="2228"/>
      <c r="JOW64" s="2228"/>
      <c r="JOX64" s="2228"/>
      <c r="JOY64" s="2228"/>
      <c r="JOZ64" s="2228"/>
      <c r="JPA64" s="2228"/>
      <c r="JPB64" s="2228"/>
      <c r="JPC64" s="2228"/>
      <c r="JPD64" s="2228"/>
      <c r="JPE64" s="2228"/>
      <c r="JPF64" s="2228"/>
      <c r="JPG64" s="2228"/>
      <c r="JPH64" s="2227"/>
      <c r="JPI64" s="2228"/>
      <c r="JPJ64" s="2228"/>
      <c r="JPK64" s="2228"/>
      <c r="JPL64" s="2228"/>
      <c r="JPM64" s="2228"/>
      <c r="JPN64" s="2228"/>
      <c r="JPO64" s="2228"/>
      <c r="JPP64" s="2228"/>
      <c r="JPQ64" s="2228"/>
      <c r="JPR64" s="2228"/>
      <c r="JPS64" s="2228"/>
      <c r="JPT64" s="2228"/>
      <c r="JPU64" s="2228"/>
      <c r="JPV64" s="2228"/>
      <c r="JPW64" s="2228"/>
      <c r="JPX64" s="2227"/>
      <c r="JPY64" s="2228"/>
      <c r="JPZ64" s="2228"/>
      <c r="JQA64" s="2228"/>
      <c r="JQB64" s="2228"/>
      <c r="JQC64" s="2228"/>
      <c r="JQD64" s="2228"/>
      <c r="JQE64" s="2228"/>
      <c r="JQF64" s="2228"/>
      <c r="JQG64" s="2228"/>
      <c r="JQH64" s="2228"/>
      <c r="JQI64" s="2228"/>
      <c r="JQJ64" s="2228"/>
      <c r="JQK64" s="2228"/>
      <c r="JQL64" s="2228"/>
      <c r="JQM64" s="2228"/>
      <c r="JQN64" s="2227"/>
      <c r="JQO64" s="2228"/>
      <c r="JQP64" s="2228"/>
      <c r="JQQ64" s="2228"/>
      <c r="JQR64" s="2228"/>
      <c r="JQS64" s="2228"/>
      <c r="JQT64" s="2228"/>
      <c r="JQU64" s="2228"/>
      <c r="JQV64" s="2228"/>
      <c r="JQW64" s="2228"/>
      <c r="JQX64" s="2228"/>
      <c r="JQY64" s="2228"/>
      <c r="JQZ64" s="2228"/>
      <c r="JRA64" s="2228"/>
      <c r="JRB64" s="2228"/>
      <c r="JRC64" s="2228"/>
      <c r="JRD64" s="2227"/>
      <c r="JRE64" s="2228"/>
      <c r="JRF64" s="2228"/>
      <c r="JRG64" s="2228"/>
      <c r="JRH64" s="2228"/>
      <c r="JRI64" s="2228"/>
      <c r="JRJ64" s="2228"/>
      <c r="JRK64" s="2228"/>
      <c r="JRL64" s="2228"/>
      <c r="JRM64" s="2228"/>
      <c r="JRN64" s="2228"/>
      <c r="JRO64" s="2228"/>
      <c r="JRP64" s="2228"/>
      <c r="JRQ64" s="2228"/>
      <c r="JRR64" s="2228"/>
      <c r="JRS64" s="2228"/>
      <c r="JRT64" s="2227"/>
      <c r="JRU64" s="2228"/>
      <c r="JRV64" s="2228"/>
      <c r="JRW64" s="2228"/>
      <c r="JRX64" s="2228"/>
      <c r="JRY64" s="2228"/>
      <c r="JRZ64" s="2228"/>
      <c r="JSA64" s="2228"/>
      <c r="JSB64" s="2228"/>
      <c r="JSC64" s="2228"/>
      <c r="JSD64" s="2228"/>
      <c r="JSE64" s="2228"/>
      <c r="JSF64" s="2228"/>
      <c r="JSG64" s="2228"/>
      <c r="JSH64" s="2228"/>
      <c r="JSI64" s="2228"/>
      <c r="JSJ64" s="2227"/>
      <c r="JSK64" s="2228"/>
      <c r="JSL64" s="2228"/>
      <c r="JSM64" s="2228"/>
      <c r="JSN64" s="2228"/>
      <c r="JSO64" s="2228"/>
      <c r="JSP64" s="2228"/>
      <c r="JSQ64" s="2228"/>
      <c r="JSR64" s="2228"/>
      <c r="JSS64" s="2228"/>
      <c r="JST64" s="2228"/>
      <c r="JSU64" s="2228"/>
      <c r="JSV64" s="2228"/>
      <c r="JSW64" s="2228"/>
      <c r="JSX64" s="2228"/>
      <c r="JSY64" s="2228"/>
      <c r="JSZ64" s="2227"/>
      <c r="JTA64" s="2228"/>
      <c r="JTB64" s="2228"/>
      <c r="JTC64" s="2228"/>
      <c r="JTD64" s="2228"/>
      <c r="JTE64" s="2228"/>
      <c r="JTF64" s="2228"/>
      <c r="JTG64" s="2228"/>
      <c r="JTH64" s="2228"/>
      <c r="JTI64" s="2228"/>
      <c r="JTJ64" s="2228"/>
      <c r="JTK64" s="2228"/>
      <c r="JTL64" s="2228"/>
      <c r="JTM64" s="2228"/>
      <c r="JTN64" s="2228"/>
      <c r="JTO64" s="2228"/>
      <c r="JTP64" s="2227"/>
      <c r="JTQ64" s="2228"/>
      <c r="JTR64" s="2228"/>
      <c r="JTS64" s="2228"/>
      <c r="JTT64" s="2228"/>
      <c r="JTU64" s="2228"/>
      <c r="JTV64" s="2228"/>
      <c r="JTW64" s="2228"/>
      <c r="JTX64" s="2228"/>
      <c r="JTY64" s="2228"/>
      <c r="JTZ64" s="2228"/>
      <c r="JUA64" s="2228"/>
      <c r="JUB64" s="2228"/>
      <c r="JUC64" s="2228"/>
      <c r="JUD64" s="2228"/>
      <c r="JUE64" s="2228"/>
      <c r="JUF64" s="2227"/>
      <c r="JUG64" s="2228"/>
      <c r="JUH64" s="2228"/>
      <c r="JUI64" s="2228"/>
      <c r="JUJ64" s="2228"/>
      <c r="JUK64" s="2228"/>
      <c r="JUL64" s="2228"/>
      <c r="JUM64" s="2228"/>
      <c r="JUN64" s="2228"/>
      <c r="JUO64" s="2228"/>
      <c r="JUP64" s="2228"/>
      <c r="JUQ64" s="2228"/>
      <c r="JUR64" s="2228"/>
      <c r="JUS64" s="2228"/>
      <c r="JUT64" s="2228"/>
      <c r="JUU64" s="2228"/>
      <c r="JUV64" s="2227"/>
      <c r="JUW64" s="2228"/>
      <c r="JUX64" s="2228"/>
      <c r="JUY64" s="2228"/>
      <c r="JUZ64" s="2228"/>
      <c r="JVA64" s="2228"/>
      <c r="JVB64" s="2228"/>
      <c r="JVC64" s="2228"/>
      <c r="JVD64" s="2228"/>
      <c r="JVE64" s="2228"/>
      <c r="JVF64" s="2228"/>
      <c r="JVG64" s="2228"/>
      <c r="JVH64" s="2228"/>
      <c r="JVI64" s="2228"/>
      <c r="JVJ64" s="2228"/>
      <c r="JVK64" s="2228"/>
      <c r="JVL64" s="2227"/>
      <c r="JVM64" s="2228"/>
      <c r="JVN64" s="2228"/>
      <c r="JVO64" s="2228"/>
      <c r="JVP64" s="2228"/>
      <c r="JVQ64" s="2228"/>
      <c r="JVR64" s="2228"/>
      <c r="JVS64" s="2228"/>
      <c r="JVT64" s="2228"/>
      <c r="JVU64" s="2228"/>
      <c r="JVV64" s="2228"/>
      <c r="JVW64" s="2228"/>
      <c r="JVX64" s="2228"/>
      <c r="JVY64" s="2228"/>
      <c r="JVZ64" s="2228"/>
      <c r="JWA64" s="2228"/>
      <c r="JWB64" s="2227"/>
      <c r="JWC64" s="2228"/>
      <c r="JWD64" s="2228"/>
      <c r="JWE64" s="2228"/>
      <c r="JWF64" s="2228"/>
      <c r="JWG64" s="2228"/>
      <c r="JWH64" s="2228"/>
      <c r="JWI64" s="2228"/>
      <c r="JWJ64" s="2228"/>
      <c r="JWK64" s="2228"/>
      <c r="JWL64" s="2228"/>
      <c r="JWM64" s="2228"/>
      <c r="JWN64" s="2228"/>
      <c r="JWO64" s="2228"/>
      <c r="JWP64" s="2228"/>
      <c r="JWQ64" s="2228"/>
      <c r="JWR64" s="2227"/>
      <c r="JWS64" s="2228"/>
      <c r="JWT64" s="2228"/>
      <c r="JWU64" s="2228"/>
      <c r="JWV64" s="2228"/>
      <c r="JWW64" s="2228"/>
      <c r="JWX64" s="2228"/>
      <c r="JWY64" s="2228"/>
      <c r="JWZ64" s="2228"/>
      <c r="JXA64" s="2228"/>
      <c r="JXB64" s="2228"/>
      <c r="JXC64" s="2228"/>
      <c r="JXD64" s="2228"/>
      <c r="JXE64" s="2228"/>
      <c r="JXF64" s="2228"/>
      <c r="JXG64" s="2228"/>
      <c r="JXH64" s="2227"/>
      <c r="JXI64" s="2228"/>
      <c r="JXJ64" s="2228"/>
      <c r="JXK64" s="2228"/>
      <c r="JXL64" s="2228"/>
      <c r="JXM64" s="2228"/>
      <c r="JXN64" s="2228"/>
      <c r="JXO64" s="2228"/>
      <c r="JXP64" s="2228"/>
      <c r="JXQ64" s="2228"/>
      <c r="JXR64" s="2228"/>
      <c r="JXS64" s="2228"/>
      <c r="JXT64" s="2228"/>
      <c r="JXU64" s="2228"/>
      <c r="JXV64" s="2228"/>
      <c r="JXW64" s="2228"/>
      <c r="JXX64" s="2227"/>
      <c r="JXY64" s="2228"/>
      <c r="JXZ64" s="2228"/>
      <c r="JYA64" s="2228"/>
      <c r="JYB64" s="2228"/>
      <c r="JYC64" s="2228"/>
      <c r="JYD64" s="2228"/>
      <c r="JYE64" s="2228"/>
      <c r="JYF64" s="2228"/>
      <c r="JYG64" s="2228"/>
      <c r="JYH64" s="2228"/>
      <c r="JYI64" s="2228"/>
      <c r="JYJ64" s="2228"/>
      <c r="JYK64" s="2228"/>
      <c r="JYL64" s="2228"/>
      <c r="JYM64" s="2228"/>
      <c r="JYN64" s="2227"/>
      <c r="JYO64" s="2228"/>
      <c r="JYP64" s="2228"/>
      <c r="JYQ64" s="2228"/>
      <c r="JYR64" s="2228"/>
      <c r="JYS64" s="2228"/>
      <c r="JYT64" s="2228"/>
      <c r="JYU64" s="2228"/>
      <c r="JYV64" s="2228"/>
      <c r="JYW64" s="2228"/>
      <c r="JYX64" s="2228"/>
      <c r="JYY64" s="2228"/>
      <c r="JYZ64" s="2228"/>
      <c r="JZA64" s="2228"/>
      <c r="JZB64" s="2228"/>
      <c r="JZC64" s="2228"/>
      <c r="JZD64" s="2227"/>
      <c r="JZE64" s="2228"/>
      <c r="JZF64" s="2228"/>
      <c r="JZG64" s="2228"/>
      <c r="JZH64" s="2228"/>
      <c r="JZI64" s="2228"/>
      <c r="JZJ64" s="2228"/>
      <c r="JZK64" s="2228"/>
      <c r="JZL64" s="2228"/>
      <c r="JZM64" s="2228"/>
      <c r="JZN64" s="2228"/>
      <c r="JZO64" s="2228"/>
      <c r="JZP64" s="2228"/>
      <c r="JZQ64" s="2228"/>
      <c r="JZR64" s="2228"/>
      <c r="JZS64" s="2228"/>
      <c r="JZT64" s="2227"/>
      <c r="JZU64" s="2228"/>
      <c r="JZV64" s="2228"/>
      <c r="JZW64" s="2228"/>
      <c r="JZX64" s="2228"/>
      <c r="JZY64" s="2228"/>
      <c r="JZZ64" s="2228"/>
      <c r="KAA64" s="2228"/>
      <c r="KAB64" s="2228"/>
      <c r="KAC64" s="2228"/>
      <c r="KAD64" s="2228"/>
      <c r="KAE64" s="2228"/>
      <c r="KAF64" s="2228"/>
      <c r="KAG64" s="2228"/>
      <c r="KAH64" s="2228"/>
      <c r="KAI64" s="2228"/>
      <c r="KAJ64" s="2227"/>
      <c r="KAK64" s="2228"/>
      <c r="KAL64" s="2228"/>
      <c r="KAM64" s="2228"/>
      <c r="KAN64" s="2228"/>
      <c r="KAO64" s="2228"/>
      <c r="KAP64" s="2228"/>
      <c r="KAQ64" s="2228"/>
      <c r="KAR64" s="2228"/>
      <c r="KAS64" s="2228"/>
      <c r="KAT64" s="2228"/>
      <c r="KAU64" s="2228"/>
      <c r="KAV64" s="2228"/>
      <c r="KAW64" s="2228"/>
      <c r="KAX64" s="2228"/>
      <c r="KAY64" s="2228"/>
      <c r="KAZ64" s="2227"/>
      <c r="KBA64" s="2228"/>
      <c r="KBB64" s="2228"/>
      <c r="KBC64" s="2228"/>
      <c r="KBD64" s="2228"/>
      <c r="KBE64" s="2228"/>
      <c r="KBF64" s="2228"/>
      <c r="KBG64" s="2228"/>
      <c r="KBH64" s="2228"/>
      <c r="KBI64" s="2228"/>
      <c r="KBJ64" s="2228"/>
      <c r="KBK64" s="2228"/>
      <c r="KBL64" s="2228"/>
      <c r="KBM64" s="2228"/>
      <c r="KBN64" s="2228"/>
      <c r="KBO64" s="2228"/>
      <c r="KBP64" s="2227"/>
      <c r="KBQ64" s="2228"/>
      <c r="KBR64" s="2228"/>
      <c r="KBS64" s="2228"/>
      <c r="KBT64" s="2228"/>
      <c r="KBU64" s="2228"/>
      <c r="KBV64" s="2228"/>
      <c r="KBW64" s="2228"/>
      <c r="KBX64" s="2228"/>
      <c r="KBY64" s="2228"/>
      <c r="KBZ64" s="2228"/>
      <c r="KCA64" s="2228"/>
      <c r="KCB64" s="2228"/>
      <c r="KCC64" s="2228"/>
      <c r="KCD64" s="2228"/>
      <c r="KCE64" s="2228"/>
      <c r="KCF64" s="2227"/>
      <c r="KCG64" s="2228"/>
      <c r="KCH64" s="2228"/>
      <c r="KCI64" s="2228"/>
      <c r="KCJ64" s="2228"/>
      <c r="KCK64" s="2228"/>
      <c r="KCL64" s="2228"/>
      <c r="KCM64" s="2228"/>
      <c r="KCN64" s="2228"/>
      <c r="KCO64" s="2228"/>
      <c r="KCP64" s="2228"/>
      <c r="KCQ64" s="2228"/>
      <c r="KCR64" s="2228"/>
      <c r="KCS64" s="2228"/>
      <c r="KCT64" s="2228"/>
      <c r="KCU64" s="2228"/>
      <c r="KCV64" s="2227"/>
      <c r="KCW64" s="2228"/>
      <c r="KCX64" s="2228"/>
      <c r="KCY64" s="2228"/>
      <c r="KCZ64" s="2228"/>
      <c r="KDA64" s="2228"/>
      <c r="KDB64" s="2228"/>
      <c r="KDC64" s="2228"/>
      <c r="KDD64" s="2228"/>
      <c r="KDE64" s="2228"/>
      <c r="KDF64" s="2228"/>
      <c r="KDG64" s="2228"/>
      <c r="KDH64" s="2228"/>
      <c r="KDI64" s="2228"/>
      <c r="KDJ64" s="2228"/>
      <c r="KDK64" s="2228"/>
      <c r="KDL64" s="2227"/>
      <c r="KDM64" s="2228"/>
      <c r="KDN64" s="2228"/>
      <c r="KDO64" s="2228"/>
      <c r="KDP64" s="2228"/>
      <c r="KDQ64" s="2228"/>
      <c r="KDR64" s="2228"/>
      <c r="KDS64" s="2228"/>
      <c r="KDT64" s="2228"/>
      <c r="KDU64" s="2228"/>
      <c r="KDV64" s="2228"/>
      <c r="KDW64" s="2228"/>
      <c r="KDX64" s="2228"/>
      <c r="KDY64" s="2228"/>
      <c r="KDZ64" s="2228"/>
      <c r="KEA64" s="2228"/>
      <c r="KEB64" s="2227"/>
      <c r="KEC64" s="2228"/>
      <c r="KED64" s="2228"/>
      <c r="KEE64" s="2228"/>
      <c r="KEF64" s="2228"/>
      <c r="KEG64" s="2228"/>
      <c r="KEH64" s="2228"/>
      <c r="KEI64" s="2228"/>
      <c r="KEJ64" s="2228"/>
      <c r="KEK64" s="2228"/>
      <c r="KEL64" s="2228"/>
      <c r="KEM64" s="2228"/>
      <c r="KEN64" s="2228"/>
      <c r="KEO64" s="2228"/>
      <c r="KEP64" s="2228"/>
      <c r="KEQ64" s="2228"/>
      <c r="KER64" s="2227"/>
      <c r="KES64" s="2228"/>
      <c r="KET64" s="2228"/>
      <c r="KEU64" s="2228"/>
      <c r="KEV64" s="2228"/>
      <c r="KEW64" s="2228"/>
      <c r="KEX64" s="2228"/>
      <c r="KEY64" s="2228"/>
      <c r="KEZ64" s="2228"/>
      <c r="KFA64" s="2228"/>
      <c r="KFB64" s="2228"/>
      <c r="KFC64" s="2228"/>
      <c r="KFD64" s="2228"/>
      <c r="KFE64" s="2228"/>
      <c r="KFF64" s="2228"/>
      <c r="KFG64" s="2228"/>
      <c r="KFH64" s="2227"/>
      <c r="KFI64" s="2228"/>
      <c r="KFJ64" s="2228"/>
      <c r="KFK64" s="2228"/>
      <c r="KFL64" s="2228"/>
      <c r="KFM64" s="2228"/>
      <c r="KFN64" s="2228"/>
      <c r="KFO64" s="2228"/>
      <c r="KFP64" s="2228"/>
      <c r="KFQ64" s="2228"/>
      <c r="KFR64" s="2228"/>
      <c r="KFS64" s="2228"/>
      <c r="KFT64" s="2228"/>
      <c r="KFU64" s="2228"/>
      <c r="KFV64" s="2228"/>
      <c r="KFW64" s="2228"/>
      <c r="KFX64" s="2227"/>
      <c r="KFY64" s="2228"/>
      <c r="KFZ64" s="2228"/>
      <c r="KGA64" s="2228"/>
      <c r="KGB64" s="2228"/>
      <c r="KGC64" s="2228"/>
      <c r="KGD64" s="2228"/>
      <c r="KGE64" s="2228"/>
      <c r="KGF64" s="2228"/>
      <c r="KGG64" s="2228"/>
      <c r="KGH64" s="2228"/>
      <c r="KGI64" s="2228"/>
      <c r="KGJ64" s="2228"/>
      <c r="KGK64" s="2228"/>
      <c r="KGL64" s="2228"/>
      <c r="KGM64" s="2228"/>
      <c r="KGN64" s="2227"/>
      <c r="KGO64" s="2228"/>
      <c r="KGP64" s="2228"/>
      <c r="KGQ64" s="2228"/>
      <c r="KGR64" s="2228"/>
      <c r="KGS64" s="2228"/>
      <c r="KGT64" s="2228"/>
      <c r="KGU64" s="2228"/>
      <c r="KGV64" s="2228"/>
      <c r="KGW64" s="2228"/>
      <c r="KGX64" s="2228"/>
      <c r="KGY64" s="2228"/>
      <c r="KGZ64" s="2228"/>
      <c r="KHA64" s="2228"/>
      <c r="KHB64" s="2228"/>
      <c r="KHC64" s="2228"/>
      <c r="KHD64" s="2227"/>
      <c r="KHE64" s="2228"/>
      <c r="KHF64" s="2228"/>
      <c r="KHG64" s="2228"/>
      <c r="KHH64" s="2228"/>
      <c r="KHI64" s="2228"/>
      <c r="KHJ64" s="2228"/>
      <c r="KHK64" s="2228"/>
      <c r="KHL64" s="2228"/>
      <c r="KHM64" s="2228"/>
      <c r="KHN64" s="2228"/>
      <c r="KHO64" s="2228"/>
      <c r="KHP64" s="2228"/>
      <c r="KHQ64" s="2228"/>
      <c r="KHR64" s="2228"/>
      <c r="KHS64" s="2228"/>
      <c r="KHT64" s="2227"/>
      <c r="KHU64" s="2228"/>
      <c r="KHV64" s="2228"/>
      <c r="KHW64" s="2228"/>
      <c r="KHX64" s="2228"/>
      <c r="KHY64" s="2228"/>
      <c r="KHZ64" s="2228"/>
      <c r="KIA64" s="2228"/>
      <c r="KIB64" s="2228"/>
      <c r="KIC64" s="2228"/>
      <c r="KID64" s="2228"/>
      <c r="KIE64" s="2228"/>
      <c r="KIF64" s="2228"/>
      <c r="KIG64" s="2228"/>
      <c r="KIH64" s="2228"/>
      <c r="KII64" s="2228"/>
      <c r="KIJ64" s="2227"/>
      <c r="KIK64" s="2228"/>
      <c r="KIL64" s="2228"/>
      <c r="KIM64" s="2228"/>
      <c r="KIN64" s="2228"/>
      <c r="KIO64" s="2228"/>
      <c r="KIP64" s="2228"/>
      <c r="KIQ64" s="2228"/>
      <c r="KIR64" s="2228"/>
      <c r="KIS64" s="2228"/>
      <c r="KIT64" s="2228"/>
      <c r="KIU64" s="2228"/>
      <c r="KIV64" s="2228"/>
      <c r="KIW64" s="2228"/>
      <c r="KIX64" s="2228"/>
      <c r="KIY64" s="2228"/>
      <c r="KIZ64" s="2227"/>
      <c r="KJA64" s="2228"/>
      <c r="KJB64" s="2228"/>
      <c r="KJC64" s="2228"/>
      <c r="KJD64" s="2228"/>
      <c r="KJE64" s="2228"/>
      <c r="KJF64" s="2228"/>
      <c r="KJG64" s="2228"/>
      <c r="KJH64" s="2228"/>
      <c r="KJI64" s="2228"/>
      <c r="KJJ64" s="2228"/>
      <c r="KJK64" s="2228"/>
      <c r="KJL64" s="2228"/>
      <c r="KJM64" s="2228"/>
      <c r="KJN64" s="2228"/>
      <c r="KJO64" s="2228"/>
      <c r="KJP64" s="2227"/>
      <c r="KJQ64" s="2228"/>
      <c r="KJR64" s="2228"/>
      <c r="KJS64" s="2228"/>
      <c r="KJT64" s="2228"/>
      <c r="KJU64" s="2228"/>
      <c r="KJV64" s="2228"/>
      <c r="KJW64" s="2228"/>
      <c r="KJX64" s="2228"/>
      <c r="KJY64" s="2228"/>
      <c r="KJZ64" s="2228"/>
      <c r="KKA64" s="2228"/>
      <c r="KKB64" s="2228"/>
      <c r="KKC64" s="2228"/>
      <c r="KKD64" s="2228"/>
      <c r="KKE64" s="2228"/>
      <c r="KKF64" s="2227"/>
      <c r="KKG64" s="2228"/>
      <c r="KKH64" s="2228"/>
      <c r="KKI64" s="2228"/>
      <c r="KKJ64" s="2228"/>
      <c r="KKK64" s="2228"/>
      <c r="KKL64" s="2228"/>
      <c r="KKM64" s="2228"/>
      <c r="KKN64" s="2228"/>
      <c r="KKO64" s="2228"/>
      <c r="KKP64" s="2228"/>
      <c r="KKQ64" s="2228"/>
      <c r="KKR64" s="2228"/>
      <c r="KKS64" s="2228"/>
      <c r="KKT64" s="2228"/>
      <c r="KKU64" s="2228"/>
      <c r="KKV64" s="2227"/>
      <c r="KKW64" s="2228"/>
      <c r="KKX64" s="2228"/>
      <c r="KKY64" s="2228"/>
      <c r="KKZ64" s="2228"/>
      <c r="KLA64" s="2228"/>
      <c r="KLB64" s="2228"/>
      <c r="KLC64" s="2228"/>
      <c r="KLD64" s="2228"/>
      <c r="KLE64" s="2228"/>
      <c r="KLF64" s="2228"/>
      <c r="KLG64" s="2228"/>
      <c r="KLH64" s="2228"/>
      <c r="KLI64" s="2228"/>
      <c r="KLJ64" s="2228"/>
      <c r="KLK64" s="2228"/>
      <c r="KLL64" s="2227"/>
      <c r="KLM64" s="2228"/>
      <c r="KLN64" s="2228"/>
      <c r="KLO64" s="2228"/>
      <c r="KLP64" s="2228"/>
      <c r="KLQ64" s="2228"/>
      <c r="KLR64" s="2228"/>
      <c r="KLS64" s="2228"/>
      <c r="KLT64" s="2228"/>
      <c r="KLU64" s="2228"/>
      <c r="KLV64" s="2228"/>
      <c r="KLW64" s="2228"/>
      <c r="KLX64" s="2228"/>
      <c r="KLY64" s="2228"/>
      <c r="KLZ64" s="2228"/>
      <c r="KMA64" s="2228"/>
      <c r="KMB64" s="2227"/>
      <c r="KMC64" s="2228"/>
      <c r="KMD64" s="2228"/>
      <c r="KME64" s="2228"/>
      <c r="KMF64" s="2228"/>
      <c r="KMG64" s="2228"/>
      <c r="KMH64" s="2228"/>
      <c r="KMI64" s="2228"/>
      <c r="KMJ64" s="2228"/>
      <c r="KMK64" s="2228"/>
      <c r="KML64" s="2228"/>
      <c r="KMM64" s="2228"/>
      <c r="KMN64" s="2228"/>
      <c r="KMO64" s="2228"/>
      <c r="KMP64" s="2228"/>
      <c r="KMQ64" s="2228"/>
      <c r="KMR64" s="2227"/>
      <c r="KMS64" s="2228"/>
      <c r="KMT64" s="2228"/>
      <c r="KMU64" s="2228"/>
      <c r="KMV64" s="2228"/>
      <c r="KMW64" s="2228"/>
      <c r="KMX64" s="2228"/>
      <c r="KMY64" s="2228"/>
      <c r="KMZ64" s="2228"/>
      <c r="KNA64" s="2228"/>
      <c r="KNB64" s="2228"/>
      <c r="KNC64" s="2228"/>
      <c r="KND64" s="2228"/>
      <c r="KNE64" s="2228"/>
      <c r="KNF64" s="2228"/>
      <c r="KNG64" s="2228"/>
      <c r="KNH64" s="2227"/>
      <c r="KNI64" s="2228"/>
      <c r="KNJ64" s="2228"/>
      <c r="KNK64" s="2228"/>
      <c r="KNL64" s="2228"/>
      <c r="KNM64" s="2228"/>
      <c r="KNN64" s="2228"/>
      <c r="KNO64" s="2228"/>
      <c r="KNP64" s="2228"/>
      <c r="KNQ64" s="2228"/>
      <c r="KNR64" s="2228"/>
      <c r="KNS64" s="2228"/>
      <c r="KNT64" s="2228"/>
      <c r="KNU64" s="2228"/>
      <c r="KNV64" s="2228"/>
      <c r="KNW64" s="2228"/>
      <c r="KNX64" s="2227"/>
      <c r="KNY64" s="2228"/>
      <c r="KNZ64" s="2228"/>
      <c r="KOA64" s="2228"/>
      <c r="KOB64" s="2228"/>
      <c r="KOC64" s="2228"/>
      <c r="KOD64" s="2228"/>
      <c r="KOE64" s="2228"/>
      <c r="KOF64" s="2228"/>
      <c r="KOG64" s="2228"/>
      <c r="KOH64" s="2228"/>
      <c r="KOI64" s="2228"/>
      <c r="KOJ64" s="2228"/>
      <c r="KOK64" s="2228"/>
      <c r="KOL64" s="2228"/>
      <c r="KOM64" s="2228"/>
      <c r="KON64" s="2227"/>
      <c r="KOO64" s="2228"/>
      <c r="KOP64" s="2228"/>
      <c r="KOQ64" s="2228"/>
      <c r="KOR64" s="2228"/>
      <c r="KOS64" s="2228"/>
      <c r="KOT64" s="2228"/>
      <c r="KOU64" s="2228"/>
      <c r="KOV64" s="2228"/>
      <c r="KOW64" s="2228"/>
      <c r="KOX64" s="2228"/>
      <c r="KOY64" s="2228"/>
      <c r="KOZ64" s="2228"/>
      <c r="KPA64" s="2228"/>
      <c r="KPB64" s="2228"/>
      <c r="KPC64" s="2228"/>
      <c r="KPD64" s="2227"/>
      <c r="KPE64" s="2228"/>
      <c r="KPF64" s="2228"/>
      <c r="KPG64" s="2228"/>
      <c r="KPH64" s="2228"/>
      <c r="KPI64" s="2228"/>
      <c r="KPJ64" s="2228"/>
      <c r="KPK64" s="2228"/>
      <c r="KPL64" s="2228"/>
      <c r="KPM64" s="2228"/>
      <c r="KPN64" s="2228"/>
      <c r="KPO64" s="2228"/>
      <c r="KPP64" s="2228"/>
      <c r="KPQ64" s="2228"/>
      <c r="KPR64" s="2228"/>
      <c r="KPS64" s="2228"/>
      <c r="KPT64" s="2227"/>
      <c r="KPU64" s="2228"/>
      <c r="KPV64" s="2228"/>
      <c r="KPW64" s="2228"/>
      <c r="KPX64" s="2228"/>
      <c r="KPY64" s="2228"/>
      <c r="KPZ64" s="2228"/>
      <c r="KQA64" s="2228"/>
      <c r="KQB64" s="2228"/>
      <c r="KQC64" s="2228"/>
      <c r="KQD64" s="2228"/>
      <c r="KQE64" s="2228"/>
      <c r="KQF64" s="2228"/>
      <c r="KQG64" s="2228"/>
      <c r="KQH64" s="2228"/>
      <c r="KQI64" s="2228"/>
      <c r="KQJ64" s="2227"/>
      <c r="KQK64" s="2228"/>
      <c r="KQL64" s="2228"/>
      <c r="KQM64" s="2228"/>
      <c r="KQN64" s="2228"/>
      <c r="KQO64" s="2228"/>
      <c r="KQP64" s="2228"/>
      <c r="KQQ64" s="2228"/>
      <c r="KQR64" s="2228"/>
      <c r="KQS64" s="2228"/>
      <c r="KQT64" s="2228"/>
      <c r="KQU64" s="2228"/>
      <c r="KQV64" s="2228"/>
      <c r="KQW64" s="2228"/>
      <c r="KQX64" s="2228"/>
      <c r="KQY64" s="2228"/>
      <c r="KQZ64" s="2227"/>
      <c r="KRA64" s="2228"/>
      <c r="KRB64" s="2228"/>
      <c r="KRC64" s="2228"/>
      <c r="KRD64" s="2228"/>
      <c r="KRE64" s="2228"/>
      <c r="KRF64" s="2228"/>
      <c r="KRG64" s="2228"/>
      <c r="KRH64" s="2228"/>
      <c r="KRI64" s="2228"/>
      <c r="KRJ64" s="2228"/>
      <c r="KRK64" s="2228"/>
      <c r="KRL64" s="2228"/>
      <c r="KRM64" s="2228"/>
      <c r="KRN64" s="2228"/>
      <c r="KRO64" s="2228"/>
      <c r="KRP64" s="2227"/>
      <c r="KRQ64" s="2228"/>
      <c r="KRR64" s="2228"/>
      <c r="KRS64" s="2228"/>
      <c r="KRT64" s="2228"/>
      <c r="KRU64" s="2228"/>
      <c r="KRV64" s="2228"/>
      <c r="KRW64" s="2228"/>
      <c r="KRX64" s="2228"/>
      <c r="KRY64" s="2228"/>
      <c r="KRZ64" s="2228"/>
      <c r="KSA64" s="2228"/>
      <c r="KSB64" s="2228"/>
      <c r="KSC64" s="2228"/>
      <c r="KSD64" s="2228"/>
      <c r="KSE64" s="2228"/>
      <c r="KSF64" s="2227"/>
      <c r="KSG64" s="2228"/>
      <c r="KSH64" s="2228"/>
      <c r="KSI64" s="2228"/>
      <c r="KSJ64" s="2228"/>
      <c r="KSK64" s="2228"/>
      <c r="KSL64" s="2228"/>
      <c r="KSM64" s="2228"/>
      <c r="KSN64" s="2228"/>
      <c r="KSO64" s="2228"/>
      <c r="KSP64" s="2228"/>
      <c r="KSQ64" s="2228"/>
      <c r="KSR64" s="2228"/>
      <c r="KSS64" s="2228"/>
      <c r="KST64" s="2228"/>
      <c r="KSU64" s="2228"/>
      <c r="KSV64" s="2227"/>
      <c r="KSW64" s="2228"/>
      <c r="KSX64" s="2228"/>
      <c r="KSY64" s="2228"/>
      <c r="KSZ64" s="2228"/>
      <c r="KTA64" s="2228"/>
      <c r="KTB64" s="2228"/>
      <c r="KTC64" s="2228"/>
      <c r="KTD64" s="2228"/>
      <c r="KTE64" s="2228"/>
      <c r="KTF64" s="2228"/>
      <c r="KTG64" s="2228"/>
      <c r="KTH64" s="2228"/>
      <c r="KTI64" s="2228"/>
      <c r="KTJ64" s="2228"/>
      <c r="KTK64" s="2228"/>
      <c r="KTL64" s="2227"/>
      <c r="KTM64" s="2228"/>
      <c r="KTN64" s="2228"/>
      <c r="KTO64" s="2228"/>
      <c r="KTP64" s="2228"/>
      <c r="KTQ64" s="2228"/>
      <c r="KTR64" s="2228"/>
      <c r="KTS64" s="2228"/>
      <c r="KTT64" s="2228"/>
      <c r="KTU64" s="2228"/>
      <c r="KTV64" s="2228"/>
      <c r="KTW64" s="2228"/>
      <c r="KTX64" s="2228"/>
      <c r="KTY64" s="2228"/>
      <c r="KTZ64" s="2228"/>
      <c r="KUA64" s="2228"/>
      <c r="KUB64" s="2227"/>
      <c r="KUC64" s="2228"/>
      <c r="KUD64" s="2228"/>
      <c r="KUE64" s="2228"/>
      <c r="KUF64" s="2228"/>
      <c r="KUG64" s="2228"/>
      <c r="KUH64" s="2228"/>
      <c r="KUI64" s="2228"/>
      <c r="KUJ64" s="2228"/>
      <c r="KUK64" s="2228"/>
      <c r="KUL64" s="2228"/>
      <c r="KUM64" s="2228"/>
      <c r="KUN64" s="2228"/>
      <c r="KUO64" s="2228"/>
      <c r="KUP64" s="2228"/>
      <c r="KUQ64" s="2228"/>
      <c r="KUR64" s="2227"/>
      <c r="KUS64" s="2228"/>
      <c r="KUT64" s="2228"/>
      <c r="KUU64" s="2228"/>
      <c r="KUV64" s="2228"/>
      <c r="KUW64" s="2228"/>
      <c r="KUX64" s="2228"/>
      <c r="KUY64" s="2228"/>
      <c r="KUZ64" s="2228"/>
      <c r="KVA64" s="2228"/>
      <c r="KVB64" s="2228"/>
      <c r="KVC64" s="2228"/>
      <c r="KVD64" s="2228"/>
      <c r="KVE64" s="2228"/>
      <c r="KVF64" s="2228"/>
      <c r="KVG64" s="2228"/>
      <c r="KVH64" s="2227"/>
      <c r="KVI64" s="2228"/>
      <c r="KVJ64" s="2228"/>
      <c r="KVK64" s="2228"/>
      <c r="KVL64" s="2228"/>
      <c r="KVM64" s="2228"/>
      <c r="KVN64" s="2228"/>
      <c r="KVO64" s="2228"/>
      <c r="KVP64" s="2228"/>
      <c r="KVQ64" s="2228"/>
      <c r="KVR64" s="2228"/>
      <c r="KVS64" s="2228"/>
      <c r="KVT64" s="2228"/>
      <c r="KVU64" s="2228"/>
      <c r="KVV64" s="2228"/>
      <c r="KVW64" s="2228"/>
      <c r="KVX64" s="2227"/>
      <c r="KVY64" s="2228"/>
      <c r="KVZ64" s="2228"/>
      <c r="KWA64" s="2228"/>
      <c r="KWB64" s="2228"/>
      <c r="KWC64" s="2228"/>
      <c r="KWD64" s="2228"/>
      <c r="KWE64" s="2228"/>
      <c r="KWF64" s="2228"/>
      <c r="KWG64" s="2228"/>
      <c r="KWH64" s="2228"/>
      <c r="KWI64" s="2228"/>
      <c r="KWJ64" s="2228"/>
      <c r="KWK64" s="2228"/>
      <c r="KWL64" s="2228"/>
      <c r="KWM64" s="2228"/>
      <c r="KWN64" s="2227"/>
      <c r="KWO64" s="2228"/>
      <c r="KWP64" s="2228"/>
      <c r="KWQ64" s="2228"/>
      <c r="KWR64" s="2228"/>
      <c r="KWS64" s="2228"/>
      <c r="KWT64" s="2228"/>
      <c r="KWU64" s="2228"/>
      <c r="KWV64" s="2228"/>
      <c r="KWW64" s="2228"/>
      <c r="KWX64" s="2228"/>
      <c r="KWY64" s="2228"/>
      <c r="KWZ64" s="2228"/>
      <c r="KXA64" s="2228"/>
      <c r="KXB64" s="2228"/>
      <c r="KXC64" s="2228"/>
      <c r="KXD64" s="2227"/>
      <c r="KXE64" s="2228"/>
      <c r="KXF64" s="2228"/>
      <c r="KXG64" s="2228"/>
      <c r="KXH64" s="2228"/>
      <c r="KXI64" s="2228"/>
      <c r="KXJ64" s="2228"/>
      <c r="KXK64" s="2228"/>
      <c r="KXL64" s="2228"/>
      <c r="KXM64" s="2228"/>
      <c r="KXN64" s="2228"/>
      <c r="KXO64" s="2228"/>
      <c r="KXP64" s="2228"/>
      <c r="KXQ64" s="2228"/>
      <c r="KXR64" s="2228"/>
      <c r="KXS64" s="2228"/>
      <c r="KXT64" s="2227"/>
      <c r="KXU64" s="2228"/>
      <c r="KXV64" s="2228"/>
      <c r="KXW64" s="2228"/>
      <c r="KXX64" s="2228"/>
      <c r="KXY64" s="2228"/>
      <c r="KXZ64" s="2228"/>
      <c r="KYA64" s="2228"/>
      <c r="KYB64" s="2228"/>
      <c r="KYC64" s="2228"/>
      <c r="KYD64" s="2228"/>
      <c r="KYE64" s="2228"/>
      <c r="KYF64" s="2228"/>
      <c r="KYG64" s="2228"/>
      <c r="KYH64" s="2228"/>
      <c r="KYI64" s="2228"/>
      <c r="KYJ64" s="2227"/>
      <c r="KYK64" s="2228"/>
      <c r="KYL64" s="2228"/>
      <c r="KYM64" s="2228"/>
      <c r="KYN64" s="2228"/>
      <c r="KYO64" s="2228"/>
      <c r="KYP64" s="2228"/>
      <c r="KYQ64" s="2228"/>
      <c r="KYR64" s="2228"/>
      <c r="KYS64" s="2228"/>
      <c r="KYT64" s="2228"/>
      <c r="KYU64" s="2228"/>
      <c r="KYV64" s="2228"/>
      <c r="KYW64" s="2228"/>
      <c r="KYX64" s="2228"/>
      <c r="KYY64" s="2228"/>
      <c r="KYZ64" s="2227"/>
      <c r="KZA64" s="2228"/>
      <c r="KZB64" s="2228"/>
      <c r="KZC64" s="2228"/>
      <c r="KZD64" s="2228"/>
      <c r="KZE64" s="2228"/>
      <c r="KZF64" s="2228"/>
      <c r="KZG64" s="2228"/>
      <c r="KZH64" s="2228"/>
      <c r="KZI64" s="2228"/>
      <c r="KZJ64" s="2228"/>
      <c r="KZK64" s="2228"/>
      <c r="KZL64" s="2228"/>
      <c r="KZM64" s="2228"/>
      <c r="KZN64" s="2228"/>
      <c r="KZO64" s="2228"/>
      <c r="KZP64" s="2227"/>
      <c r="KZQ64" s="2228"/>
      <c r="KZR64" s="2228"/>
      <c r="KZS64" s="2228"/>
      <c r="KZT64" s="2228"/>
      <c r="KZU64" s="2228"/>
      <c r="KZV64" s="2228"/>
      <c r="KZW64" s="2228"/>
      <c r="KZX64" s="2228"/>
      <c r="KZY64" s="2228"/>
      <c r="KZZ64" s="2228"/>
      <c r="LAA64" s="2228"/>
      <c r="LAB64" s="2228"/>
      <c r="LAC64" s="2228"/>
      <c r="LAD64" s="2228"/>
      <c r="LAE64" s="2228"/>
      <c r="LAF64" s="2227"/>
      <c r="LAG64" s="2228"/>
      <c r="LAH64" s="2228"/>
      <c r="LAI64" s="2228"/>
      <c r="LAJ64" s="2228"/>
      <c r="LAK64" s="2228"/>
      <c r="LAL64" s="2228"/>
      <c r="LAM64" s="2228"/>
      <c r="LAN64" s="2228"/>
      <c r="LAO64" s="2228"/>
      <c r="LAP64" s="2228"/>
      <c r="LAQ64" s="2228"/>
      <c r="LAR64" s="2228"/>
      <c r="LAS64" s="2228"/>
      <c r="LAT64" s="2228"/>
      <c r="LAU64" s="2228"/>
      <c r="LAV64" s="2227"/>
      <c r="LAW64" s="2228"/>
      <c r="LAX64" s="2228"/>
      <c r="LAY64" s="2228"/>
      <c r="LAZ64" s="2228"/>
      <c r="LBA64" s="2228"/>
      <c r="LBB64" s="2228"/>
      <c r="LBC64" s="2228"/>
      <c r="LBD64" s="2228"/>
      <c r="LBE64" s="2228"/>
      <c r="LBF64" s="2228"/>
      <c r="LBG64" s="2228"/>
      <c r="LBH64" s="2228"/>
      <c r="LBI64" s="2228"/>
      <c r="LBJ64" s="2228"/>
      <c r="LBK64" s="2228"/>
      <c r="LBL64" s="2227"/>
      <c r="LBM64" s="2228"/>
      <c r="LBN64" s="2228"/>
      <c r="LBO64" s="2228"/>
      <c r="LBP64" s="2228"/>
      <c r="LBQ64" s="2228"/>
      <c r="LBR64" s="2228"/>
      <c r="LBS64" s="2228"/>
      <c r="LBT64" s="2228"/>
      <c r="LBU64" s="2228"/>
      <c r="LBV64" s="2228"/>
      <c r="LBW64" s="2228"/>
      <c r="LBX64" s="2228"/>
      <c r="LBY64" s="2228"/>
      <c r="LBZ64" s="2228"/>
      <c r="LCA64" s="2228"/>
      <c r="LCB64" s="2227"/>
      <c r="LCC64" s="2228"/>
      <c r="LCD64" s="2228"/>
      <c r="LCE64" s="2228"/>
      <c r="LCF64" s="2228"/>
      <c r="LCG64" s="2228"/>
      <c r="LCH64" s="2228"/>
      <c r="LCI64" s="2228"/>
      <c r="LCJ64" s="2228"/>
      <c r="LCK64" s="2228"/>
      <c r="LCL64" s="2228"/>
      <c r="LCM64" s="2228"/>
      <c r="LCN64" s="2228"/>
      <c r="LCO64" s="2228"/>
      <c r="LCP64" s="2228"/>
      <c r="LCQ64" s="2228"/>
      <c r="LCR64" s="2227"/>
      <c r="LCS64" s="2228"/>
      <c r="LCT64" s="2228"/>
      <c r="LCU64" s="2228"/>
      <c r="LCV64" s="2228"/>
      <c r="LCW64" s="2228"/>
      <c r="LCX64" s="2228"/>
      <c r="LCY64" s="2228"/>
      <c r="LCZ64" s="2228"/>
      <c r="LDA64" s="2228"/>
      <c r="LDB64" s="2228"/>
      <c r="LDC64" s="2228"/>
      <c r="LDD64" s="2228"/>
      <c r="LDE64" s="2228"/>
      <c r="LDF64" s="2228"/>
      <c r="LDG64" s="2228"/>
      <c r="LDH64" s="2227"/>
      <c r="LDI64" s="2228"/>
      <c r="LDJ64" s="2228"/>
      <c r="LDK64" s="2228"/>
      <c r="LDL64" s="2228"/>
      <c r="LDM64" s="2228"/>
      <c r="LDN64" s="2228"/>
      <c r="LDO64" s="2228"/>
      <c r="LDP64" s="2228"/>
      <c r="LDQ64" s="2228"/>
      <c r="LDR64" s="2228"/>
      <c r="LDS64" s="2228"/>
      <c r="LDT64" s="2228"/>
      <c r="LDU64" s="2228"/>
      <c r="LDV64" s="2228"/>
      <c r="LDW64" s="2228"/>
      <c r="LDX64" s="2227"/>
      <c r="LDY64" s="2228"/>
      <c r="LDZ64" s="2228"/>
      <c r="LEA64" s="2228"/>
      <c r="LEB64" s="2228"/>
      <c r="LEC64" s="2228"/>
      <c r="LED64" s="2228"/>
      <c r="LEE64" s="2228"/>
      <c r="LEF64" s="2228"/>
      <c r="LEG64" s="2228"/>
      <c r="LEH64" s="2228"/>
      <c r="LEI64" s="2228"/>
      <c r="LEJ64" s="2228"/>
      <c r="LEK64" s="2228"/>
      <c r="LEL64" s="2228"/>
      <c r="LEM64" s="2228"/>
      <c r="LEN64" s="2227"/>
      <c r="LEO64" s="2228"/>
      <c r="LEP64" s="2228"/>
      <c r="LEQ64" s="2228"/>
      <c r="LER64" s="2228"/>
      <c r="LES64" s="2228"/>
      <c r="LET64" s="2228"/>
      <c r="LEU64" s="2228"/>
      <c r="LEV64" s="2228"/>
      <c r="LEW64" s="2228"/>
      <c r="LEX64" s="2228"/>
      <c r="LEY64" s="2228"/>
      <c r="LEZ64" s="2228"/>
      <c r="LFA64" s="2228"/>
      <c r="LFB64" s="2228"/>
      <c r="LFC64" s="2228"/>
      <c r="LFD64" s="2227"/>
      <c r="LFE64" s="2228"/>
      <c r="LFF64" s="2228"/>
      <c r="LFG64" s="2228"/>
      <c r="LFH64" s="2228"/>
      <c r="LFI64" s="2228"/>
      <c r="LFJ64" s="2228"/>
      <c r="LFK64" s="2228"/>
      <c r="LFL64" s="2228"/>
      <c r="LFM64" s="2228"/>
      <c r="LFN64" s="2228"/>
      <c r="LFO64" s="2228"/>
      <c r="LFP64" s="2228"/>
      <c r="LFQ64" s="2228"/>
      <c r="LFR64" s="2228"/>
      <c r="LFS64" s="2228"/>
      <c r="LFT64" s="2227"/>
      <c r="LFU64" s="2228"/>
      <c r="LFV64" s="2228"/>
      <c r="LFW64" s="2228"/>
      <c r="LFX64" s="2228"/>
      <c r="LFY64" s="2228"/>
      <c r="LFZ64" s="2228"/>
      <c r="LGA64" s="2228"/>
      <c r="LGB64" s="2228"/>
      <c r="LGC64" s="2228"/>
      <c r="LGD64" s="2228"/>
      <c r="LGE64" s="2228"/>
      <c r="LGF64" s="2228"/>
      <c r="LGG64" s="2228"/>
      <c r="LGH64" s="2228"/>
      <c r="LGI64" s="2228"/>
      <c r="LGJ64" s="2227"/>
      <c r="LGK64" s="2228"/>
      <c r="LGL64" s="2228"/>
      <c r="LGM64" s="2228"/>
      <c r="LGN64" s="2228"/>
      <c r="LGO64" s="2228"/>
      <c r="LGP64" s="2228"/>
      <c r="LGQ64" s="2228"/>
      <c r="LGR64" s="2228"/>
      <c r="LGS64" s="2228"/>
      <c r="LGT64" s="2228"/>
      <c r="LGU64" s="2228"/>
      <c r="LGV64" s="2228"/>
      <c r="LGW64" s="2228"/>
      <c r="LGX64" s="2228"/>
      <c r="LGY64" s="2228"/>
      <c r="LGZ64" s="2227"/>
      <c r="LHA64" s="2228"/>
      <c r="LHB64" s="2228"/>
      <c r="LHC64" s="2228"/>
      <c r="LHD64" s="2228"/>
      <c r="LHE64" s="2228"/>
      <c r="LHF64" s="2228"/>
      <c r="LHG64" s="2228"/>
      <c r="LHH64" s="2228"/>
      <c r="LHI64" s="2228"/>
      <c r="LHJ64" s="2228"/>
      <c r="LHK64" s="2228"/>
      <c r="LHL64" s="2228"/>
      <c r="LHM64" s="2228"/>
      <c r="LHN64" s="2228"/>
      <c r="LHO64" s="2228"/>
      <c r="LHP64" s="2227"/>
      <c r="LHQ64" s="2228"/>
      <c r="LHR64" s="2228"/>
      <c r="LHS64" s="2228"/>
      <c r="LHT64" s="2228"/>
      <c r="LHU64" s="2228"/>
      <c r="LHV64" s="2228"/>
      <c r="LHW64" s="2228"/>
      <c r="LHX64" s="2228"/>
      <c r="LHY64" s="2228"/>
      <c r="LHZ64" s="2228"/>
      <c r="LIA64" s="2228"/>
      <c r="LIB64" s="2228"/>
      <c r="LIC64" s="2228"/>
      <c r="LID64" s="2228"/>
      <c r="LIE64" s="2228"/>
      <c r="LIF64" s="2227"/>
      <c r="LIG64" s="2228"/>
      <c r="LIH64" s="2228"/>
      <c r="LII64" s="2228"/>
      <c r="LIJ64" s="2228"/>
      <c r="LIK64" s="2228"/>
      <c r="LIL64" s="2228"/>
      <c r="LIM64" s="2228"/>
      <c r="LIN64" s="2228"/>
      <c r="LIO64" s="2228"/>
      <c r="LIP64" s="2228"/>
      <c r="LIQ64" s="2228"/>
      <c r="LIR64" s="2228"/>
      <c r="LIS64" s="2228"/>
      <c r="LIT64" s="2228"/>
      <c r="LIU64" s="2228"/>
      <c r="LIV64" s="2227"/>
      <c r="LIW64" s="2228"/>
      <c r="LIX64" s="2228"/>
      <c r="LIY64" s="2228"/>
      <c r="LIZ64" s="2228"/>
      <c r="LJA64" s="2228"/>
      <c r="LJB64" s="2228"/>
      <c r="LJC64" s="2228"/>
      <c r="LJD64" s="2228"/>
      <c r="LJE64" s="2228"/>
      <c r="LJF64" s="2228"/>
      <c r="LJG64" s="2228"/>
      <c r="LJH64" s="2228"/>
      <c r="LJI64" s="2228"/>
      <c r="LJJ64" s="2228"/>
      <c r="LJK64" s="2228"/>
      <c r="LJL64" s="2227"/>
      <c r="LJM64" s="2228"/>
      <c r="LJN64" s="2228"/>
      <c r="LJO64" s="2228"/>
      <c r="LJP64" s="2228"/>
      <c r="LJQ64" s="2228"/>
      <c r="LJR64" s="2228"/>
      <c r="LJS64" s="2228"/>
      <c r="LJT64" s="2228"/>
      <c r="LJU64" s="2228"/>
      <c r="LJV64" s="2228"/>
      <c r="LJW64" s="2228"/>
      <c r="LJX64" s="2228"/>
      <c r="LJY64" s="2228"/>
      <c r="LJZ64" s="2228"/>
      <c r="LKA64" s="2228"/>
      <c r="LKB64" s="2227"/>
      <c r="LKC64" s="2228"/>
      <c r="LKD64" s="2228"/>
      <c r="LKE64" s="2228"/>
      <c r="LKF64" s="2228"/>
      <c r="LKG64" s="2228"/>
      <c r="LKH64" s="2228"/>
      <c r="LKI64" s="2228"/>
      <c r="LKJ64" s="2228"/>
      <c r="LKK64" s="2228"/>
      <c r="LKL64" s="2228"/>
      <c r="LKM64" s="2228"/>
      <c r="LKN64" s="2228"/>
      <c r="LKO64" s="2228"/>
      <c r="LKP64" s="2228"/>
      <c r="LKQ64" s="2228"/>
      <c r="LKR64" s="2227"/>
      <c r="LKS64" s="2228"/>
      <c r="LKT64" s="2228"/>
      <c r="LKU64" s="2228"/>
      <c r="LKV64" s="2228"/>
      <c r="LKW64" s="2228"/>
      <c r="LKX64" s="2228"/>
      <c r="LKY64" s="2228"/>
      <c r="LKZ64" s="2228"/>
      <c r="LLA64" s="2228"/>
      <c r="LLB64" s="2228"/>
      <c r="LLC64" s="2228"/>
      <c r="LLD64" s="2228"/>
      <c r="LLE64" s="2228"/>
      <c r="LLF64" s="2228"/>
      <c r="LLG64" s="2228"/>
      <c r="LLH64" s="2227"/>
      <c r="LLI64" s="2228"/>
      <c r="LLJ64" s="2228"/>
      <c r="LLK64" s="2228"/>
      <c r="LLL64" s="2228"/>
      <c r="LLM64" s="2228"/>
      <c r="LLN64" s="2228"/>
      <c r="LLO64" s="2228"/>
      <c r="LLP64" s="2228"/>
      <c r="LLQ64" s="2228"/>
      <c r="LLR64" s="2228"/>
      <c r="LLS64" s="2228"/>
      <c r="LLT64" s="2228"/>
      <c r="LLU64" s="2228"/>
      <c r="LLV64" s="2228"/>
      <c r="LLW64" s="2228"/>
      <c r="LLX64" s="2227"/>
      <c r="LLY64" s="2228"/>
      <c r="LLZ64" s="2228"/>
      <c r="LMA64" s="2228"/>
      <c r="LMB64" s="2228"/>
      <c r="LMC64" s="2228"/>
      <c r="LMD64" s="2228"/>
      <c r="LME64" s="2228"/>
      <c r="LMF64" s="2228"/>
      <c r="LMG64" s="2228"/>
      <c r="LMH64" s="2228"/>
      <c r="LMI64" s="2228"/>
      <c r="LMJ64" s="2228"/>
      <c r="LMK64" s="2228"/>
      <c r="LML64" s="2228"/>
      <c r="LMM64" s="2228"/>
      <c r="LMN64" s="2227"/>
      <c r="LMO64" s="2228"/>
      <c r="LMP64" s="2228"/>
      <c r="LMQ64" s="2228"/>
      <c r="LMR64" s="2228"/>
      <c r="LMS64" s="2228"/>
      <c r="LMT64" s="2228"/>
      <c r="LMU64" s="2228"/>
      <c r="LMV64" s="2228"/>
      <c r="LMW64" s="2228"/>
      <c r="LMX64" s="2228"/>
      <c r="LMY64" s="2228"/>
      <c r="LMZ64" s="2228"/>
      <c r="LNA64" s="2228"/>
      <c r="LNB64" s="2228"/>
      <c r="LNC64" s="2228"/>
      <c r="LND64" s="2227"/>
      <c r="LNE64" s="2228"/>
      <c r="LNF64" s="2228"/>
      <c r="LNG64" s="2228"/>
      <c r="LNH64" s="2228"/>
      <c r="LNI64" s="2228"/>
      <c r="LNJ64" s="2228"/>
      <c r="LNK64" s="2228"/>
      <c r="LNL64" s="2228"/>
      <c r="LNM64" s="2228"/>
      <c r="LNN64" s="2228"/>
      <c r="LNO64" s="2228"/>
      <c r="LNP64" s="2228"/>
      <c r="LNQ64" s="2228"/>
      <c r="LNR64" s="2228"/>
      <c r="LNS64" s="2228"/>
      <c r="LNT64" s="2227"/>
      <c r="LNU64" s="2228"/>
      <c r="LNV64" s="2228"/>
      <c r="LNW64" s="2228"/>
      <c r="LNX64" s="2228"/>
      <c r="LNY64" s="2228"/>
      <c r="LNZ64" s="2228"/>
      <c r="LOA64" s="2228"/>
      <c r="LOB64" s="2228"/>
      <c r="LOC64" s="2228"/>
      <c r="LOD64" s="2228"/>
      <c r="LOE64" s="2228"/>
      <c r="LOF64" s="2228"/>
      <c r="LOG64" s="2228"/>
      <c r="LOH64" s="2228"/>
      <c r="LOI64" s="2228"/>
      <c r="LOJ64" s="2227"/>
      <c r="LOK64" s="2228"/>
      <c r="LOL64" s="2228"/>
      <c r="LOM64" s="2228"/>
      <c r="LON64" s="2228"/>
      <c r="LOO64" s="2228"/>
      <c r="LOP64" s="2228"/>
      <c r="LOQ64" s="2228"/>
      <c r="LOR64" s="2228"/>
      <c r="LOS64" s="2228"/>
      <c r="LOT64" s="2228"/>
      <c r="LOU64" s="2228"/>
      <c r="LOV64" s="2228"/>
      <c r="LOW64" s="2228"/>
      <c r="LOX64" s="2228"/>
      <c r="LOY64" s="2228"/>
      <c r="LOZ64" s="2227"/>
      <c r="LPA64" s="2228"/>
      <c r="LPB64" s="2228"/>
      <c r="LPC64" s="2228"/>
      <c r="LPD64" s="2228"/>
      <c r="LPE64" s="2228"/>
      <c r="LPF64" s="2228"/>
      <c r="LPG64" s="2228"/>
      <c r="LPH64" s="2228"/>
      <c r="LPI64" s="2228"/>
      <c r="LPJ64" s="2228"/>
      <c r="LPK64" s="2228"/>
      <c r="LPL64" s="2228"/>
      <c r="LPM64" s="2228"/>
      <c r="LPN64" s="2228"/>
      <c r="LPO64" s="2228"/>
      <c r="LPP64" s="2227"/>
      <c r="LPQ64" s="2228"/>
      <c r="LPR64" s="2228"/>
      <c r="LPS64" s="2228"/>
      <c r="LPT64" s="2228"/>
      <c r="LPU64" s="2228"/>
      <c r="LPV64" s="2228"/>
      <c r="LPW64" s="2228"/>
      <c r="LPX64" s="2228"/>
      <c r="LPY64" s="2228"/>
      <c r="LPZ64" s="2228"/>
      <c r="LQA64" s="2228"/>
      <c r="LQB64" s="2228"/>
      <c r="LQC64" s="2228"/>
      <c r="LQD64" s="2228"/>
      <c r="LQE64" s="2228"/>
      <c r="LQF64" s="2227"/>
      <c r="LQG64" s="2228"/>
      <c r="LQH64" s="2228"/>
      <c r="LQI64" s="2228"/>
      <c r="LQJ64" s="2228"/>
      <c r="LQK64" s="2228"/>
      <c r="LQL64" s="2228"/>
      <c r="LQM64" s="2228"/>
      <c r="LQN64" s="2228"/>
      <c r="LQO64" s="2228"/>
      <c r="LQP64" s="2228"/>
      <c r="LQQ64" s="2228"/>
      <c r="LQR64" s="2228"/>
      <c r="LQS64" s="2228"/>
      <c r="LQT64" s="2228"/>
      <c r="LQU64" s="2228"/>
      <c r="LQV64" s="2227"/>
      <c r="LQW64" s="2228"/>
      <c r="LQX64" s="2228"/>
      <c r="LQY64" s="2228"/>
      <c r="LQZ64" s="2228"/>
      <c r="LRA64" s="2228"/>
      <c r="LRB64" s="2228"/>
      <c r="LRC64" s="2228"/>
      <c r="LRD64" s="2228"/>
      <c r="LRE64" s="2228"/>
      <c r="LRF64" s="2228"/>
      <c r="LRG64" s="2228"/>
      <c r="LRH64" s="2228"/>
      <c r="LRI64" s="2228"/>
      <c r="LRJ64" s="2228"/>
      <c r="LRK64" s="2228"/>
      <c r="LRL64" s="2227"/>
      <c r="LRM64" s="2228"/>
      <c r="LRN64" s="2228"/>
      <c r="LRO64" s="2228"/>
      <c r="LRP64" s="2228"/>
      <c r="LRQ64" s="2228"/>
      <c r="LRR64" s="2228"/>
      <c r="LRS64" s="2228"/>
      <c r="LRT64" s="2228"/>
      <c r="LRU64" s="2228"/>
      <c r="LRV64" s="2228"/>
      <c r="LRW64" s="2228"/>
      <c r="LRX64" s="2228"/>
      <c r="LRY64" s="2228"/>
      <c r="LRZ64" s="2228"/>
      <c r="LSA64" s="2228"/>
      <c r="LSB64" s="2227"/>
      <c r="LSC64" s="2228"/>
      <c r="LSD64" s="2228"/>
      <c r="LSE64" s="2228"/>
      <c r="LSF64" s="2228"/>
      <c r="LSG64" s="2228"/>
      <c r="LSH64" s="2228"/>
      <c r="LSI64" s="2228"/>
      <c r="LSJ64" s="2228"/>
      <c r="LSK64" s="2228"/>
      <c r="LSL64" s="2228"/>
      <c r="LSM64" s="2228"/>
      <c r="LSN64" s="2228"/>
      <c r="LSO64" s="2228"/>
      <c r="LSP64" s="2228"/>
      <c r="LSQ64" s="2228"/>
      <c r="LSR64" s="2227"/>
      <c r="LSS64" s="2228"/>
      <c r="LST64" s="2228"/>
      <c r="LSU64" s="2228"/>
      <c r="LSV64" s="2228"/>
      <c r="LSW64" s="2228"/>
      <c r="LSX64" s="2228"/>
      <c r="LSY64" s="2228"/>
      <c r="LSZ64" s="2228"/>
      <c r="LTA64" s="2228"/>
      <c r="LTB64" s="2228"/>
      <c r="LTC64" s="2228"/>
      <c r="LTD64" s="2228"/>
      <c r="LTE64" s="2228"/>
      <c r="LTF64" s="2228"/>
      <c r="LTG64" s="2228"/>
      <c r="LTH64" s="2227"/>
      <c r="LTI64" s="2228"/>
      <c r="LTJ64" s="2228"/>
      <c r="LTK64" s="2228"/>
      <c r="LTL64" s="2228"/>
      <c r="LTM64" s="2228"/>
      <c r="LTN64" s="2228"/>
      <c r="LTO64" s="2228"/>
      <c r="LTP64" s="2228"/>
      <c r="LTQ64" s="2228"/>
      <c r="LTR64" s="2228"/>
      <c r="LTS64" s="2228"/>
      <c r="LTT64" s="2228"/>
      <c r="LTU64" s="2228"/>
      <c r="LTV64" s="2228"/>
      <c r="LTW64" s="2228"/>
      <c r="LTX64" s="2227"/>
      <c r="LTY64" s="2228"/>
      <c r="LTZ64" s="2228"/>
      <c r="LUA64" s="2228"/>
      <c r="LUB64" s="2228"/>
      <c r="LUC64" s="2228"/>
      <c r="LUD64" s="2228"/>
      <c r="LUE64" s="2228"/>
      <c r="LUF64" s="2228"/>
      <c r="LUG64" s="2228"/>
      <c r="LUH64" s="2228"/>
      <c r="LUI64" s="2228"/>
      <c r="LUJ64" s="2228"/>
      <c r="LUK64" s="2228"/>
      <c r="LUL64" s="2228"/>
      <c r="LUM64" s="2228"/>
      <c r="LUN64" s="2227"/>
      <c r="LUO64" s="2228"/>
      <c r="LUP64" s="2228"/>
      <c r="LUQ64" s="2228"/>
      <c r="LUR64" s="2228"/>
      <c r="LUS64" s="2228"/>
      <c r="LUT64" s="2228"/>
      <c r="LUU64" s="2228"/>
      <c r="LUV64" s="2228"/>
      <c r="LUW64" s="2228"/>
      <c r="LUX64" s="2228"/>
      <c r="LUY64" s="2228"/>
      <c r="LUZ64" s="2228"/>
      <c r="LVA64" s="2228"/>
      <c r="LVB64" s="2228"/>
      <c r="LVC64" s="2228"/>
      <c r="LVD64" s="2227"/>
      <c r="LVE64" s="2228"/>
      <c r="LVF64" s="2228"/>
      <c r="LVG64" s="2228"/>
      <c r="LVH64" s="2228"/>
      <c r="LVI64" s="2228"/>
      <c r="LVJ64" s="2228"/>
      <c r="LVK64" s="2228"/>
      <c r="LVL64" s="2228"/>
      <c r="LVM64" s="2228"/>
      <c r="LVN64" s="2228"/>
      <c r="LVO64" s="2228"/>
      <c r="LVP64" s="2228"/>
      <c r="LVQ64" s="2228"/>
      <c r="LVR64" s="2228"/>
      <c r="LVS64" s="2228"/>
      <c r="LVT64" s="2227"/>
      <c r="LVU64" s="2228"/>
      <c r="LVV64" s="2228"/>
      <c r="LVW64" s="2228"/>
      <c r="LVX64" s="2228"/>
      <c r="LVY64" s="2228"/>
      <c r="LVZ64" s="2228"/>
      <c r="LWA64" s="2228"/>
      <c r="LWB64" s="2228"/>
      <c r="LWC64" s="2228"/>
      <c r="LWD64" s="2228"/>
      <c r="LWE64" s="2228"/>
      <c r="LWF64" s="2228"/>
      <c r="LWG64" s="2228"/>
      <c r="LWH64" s="2228"/>
      <c r="LWI64" s="2228"/>
      <c r="LWJ64" s="2227"/>
      <c r="LWK64" s="2228"/>
      <c r="LWL64" s="2228"/>
      <c r="LWM64" s="2228"/>
      <c r="LWN64" s="2228"/>
      <c r="LWO64" s="2228"/>
      <c r="LWP64" s="2228"/>
      <c r="LWQ64" s="2228"/>
      <c r="LWR64" s="2228"/>
      <c r="LWS64" s="2228"/>
      <c r="LWT64" s="2228"/>
      <c r="LWU64" s="2228"/>
      <c r="LWV64" s="2228"/>
      <c r="LWW64" s="2228"/>
      <c r="LWX64" s="2228"/>
      <c r="LWY64" s="2228"/>
      <c r="LWZ64" s="2227"/>
      <c r="LXA64" s="2228"/>
      <c r="LXB64" s="2228"/>
      <c r="LXC64" s="2228"/>
      <c r="LXD64" s="2228"/>
      <c r="LXE64" s="2228"/>
      <c r="LXF64" s="2228"/>
      <c r="LXG64" s="2228"/>
      <c r="LXH64" s="2228"/>
      <c r="LXI64" s="2228"/>
      <c r="LXJ64" s="2228"/>
      <c r="LXK64" s="2228"/>
      <c r="LXL64" s="2228"/>
      <c r="LXM64" s="2228"/>
      <c r="LXN64" s="2228"/>
      <c r="LXO64" s="2228"/>
      <c r="LXP64" s="2227"/>
      <c r="LXQ64" s="2228"/>
      <c r="LXR64" s="2228"/>
      <c r="LXS64" s="2228"/>
      <c r="LXT64" s="2228"/>
      <c r="LXU64" s="2228"/>
      <c r="LXV64" s="2228"/>
      <c r="LXW64" s="2228"/>
      <c r="LXX64" s="2228"/>
      <c r="LXY64" s="2228"/>
      <c r="LXZ64" s="2228"/>
      <c r="LYA64" s="2228"/>
      <c r="LYB64" s="2228"/>
      <c r="LYC64" s="2228"/>
      <c r="LYD64" s="2228"/>
      <c r="LYE64" s="2228"/>
      <c r="LYF64" s="2227"/>
      <c r="LYG64" s="2228"/>
      <c r="LYH64" s="2228"/>
      <c r="LYI64" s="2228"/>
      <c r="LYJ64" s="2228"/>
      <c r="LYK64" s="2228"/>
      <c r="LYL64" s="2228"/>
      <c r="LYM64" s="2228"/>
      <c r="LYN64" s="2228"/>
      <c r="LYO64" s="2228"/>
      <c r="LYP64" s="2228"/>
      <c r="LYQ64" s="2228"/>
      <c r="LYR64" s="2228"/>
      <c r="LYS64" s="2228"/>
      <c r="LYT64" s="2228"/>
      <c r="LYU64" s="2228"/>
      <c r="LYV64" s="2227"/>
      <c r="LYW64" s="2228"/>
      <c r="LYX64" s="2228"/>
      <c r="LYY64" s="2228"/>
      <c r="LYZ64" s="2228"/>
      <c r="LZA64" s="2228"/>
      <c r="LZB64" s="2228"/>
      <c r="LZC64" s="2228"/>
      <c r="LZD64" s="2228"/>
      <c r="LZE64" s="2228"/>
      <c r="LZF64" s="2228"/>
      <c r="LZG64" s="2228"/>
      <c r="LZH64" s="2228"/>
      <c r="LZI64" s="2228"/>
      <c r="LZJ64" s="2228"/>
      <c r="LZK64" s="2228"/>
      <c r="LZL64" s="2227"/>
      <c r="LZM64" s="2228"/>
      <c r="LZN64" s="2228"/>
      <c r="LZO64" s="2228"/>
      <c r="LZP64" s="2228"/>
      <c r="LZQ64" s="2228"/>
      <c r="LZR64" s="2228"/>
      <c r="LZS64" s="2228"/>
      <c r="LZT64" s="2228"/>
      <c r="LZU64" s="2228"/>
      <c r="LZV64" s="2228"/>
      <c r="LZW64" s="2228"/>
      <c r="LZX64" s="2228"/>
      <c r="LZY64" s="2228"/>
      <c r="LZZ64" s="2228"/>
      <c r="MAA64" s="2228"/>
      <c r="MAB64" s="2227"/>
      <c r="MAC64" s="2228"/>
      <c r="MAD64" s="2228"/>
      <c r="MAE64" s="2228"/>
      <c r="MAF64" s="2228"/>
      <c r="MAG64" s="2228"/>
      <c r="MAH64" s="2228"/>
      <c r="MAI64" s="2228"/>
      <c r="MAJ64" s="2228"/>
      <c r="MAK64" s="2228"/>
      <c r="MAL64" s="2228"/>
      <c r="MAM64" s="2228"/>
      <c r="MAN64" s="2228"/>
      <c r="MAO64" s="2228"/>
      <c r="MAP64" s="2228"/>
      <c r="MAQ64" s="2228"/>
      <c r="MAR64" s="2227"/>
      <c r="MAS64" s="2228"/>
      <c r="MAT64" s="2228"/>
      <c r="MAU64" s="2228"/>
      <c r="MAV64" s="2228"/>
      <c r="MAW64" s="2228"/>
      <c r="MAX64" s="2228"/>
      <c r="MAY64" s="2228"/>
      <c r="MAZ64" s="2228"/>
      <c r="MBA64" s="2228"/>
      <c r="MBB64" s="2228"/>
      <c r="MBC64" s="2228"/>
      <c r="MBD64" s="2228"/>
      <c r="MBE64" s="2228"/>
      <c r="MBF64" s="2228"/>
      <c r="MBG64" s="2228"/>
      <c r="MBH64" s="2227"/>
      <c r="MBI64" s="2228"/>
      <c r="MBJ64" s="2228"/>
      <c r="MBK64" s="2228"/>
      <c r="MBL64" s="2228"/>
      <c r="MBM64" s="2228"/>
      <c r="MBN64" s="2228"/>
      <c r="MBO64" s="2228"/>
      <c r="MBP64" s="2228"/>
      <c r="MBQ64" s="2228"/>
      <c r="MBR64" s="2228"/>
      <c r="MBS64" s="2228"/>
      <c r="MBT64" s="2228"/>
      <c r="MBU64" s="2228"/>
      <c r="MBV64" s="2228"/>
      <c r="MBW64" s="2228"/>
      <c r="MBX64" s="2227"/>
      <c r="MBY64" s="2228"/>
      <c r="MBZ64" s="2228"/>
      <c r="MCA64" s="2228"/>
      <c r="MCB64" s="2228"/>
      <c r="MCC64" s="2228"/>
      <c r="MCD64" s="2228"/>
      <c r="MCE64" s="2228"/>
      <c r="MCF64" s="2228"/>
      <c r="MCG64" s="2228"/>
      <c r="MCH64" s="2228"/>
      <c r="MCI64" s="2228"/>
      <c r="MCJ64" s="2228"/>
      <c r="MCK64" s="2228"/>
      <c r="MCL64" s="2228"/>
      <c r="MCM64" s="2228"/>
      <c r="MCN64" s="2227"/>
      <c r="MCO64" s="2228"/>
      <c r="MCP64" s="2228"/>
      <c r="MCQ64" s="2228"/>
      <c r="MCR64" s="2228"/>
      <c r="MCS64" s="2228"/>
      <c r="MCT64" s="2228"/>
      <c r="MCU64" s="2228"/>
      <c r="MCV64" s="2228"/>
      <c r="MCW64" s="2228"/>
      <c r="MCX64" s="2228"/>
      <c r="MCY64" s="2228"/>
      <c r="MCZ64" s="2228"/>
      <c r="MDA64" s="2228"/>
      <c r="MDB64" s="2228"/>
      <c r="MDC64" s="2228"/>
      <c r="MDD64" s="2227"/>
      <c r="MDE64" s="2228"/>
      <c r="MDF64" s="2228"/>
      <c r="MDG64" s="2228"/>
      <c r="MDH64" s="2228"/>
      <c r="MDI64" s="2228"/>
      <c r="MDJ64" s="2228"/>
      <c r="MDK64" s="2228"/>
      <c r="MDL64" s="2228"/>
      <c r="MDM64" s="2228"/>
      <c r="MDN64" s="2228"/>
      <c r="MDO64" s="2228"/>
      <c r="MDP64" s="2228"/>
      <c r="MDQ64" s="2228"/>
      <c r="MDR64" s="2228"/>
      <c r="MDS64" s="2228"/>
      <c r="MDT64" s="2227"/>
      <c r="MDU64" s="2228"/>
      <c r="MDV64" s="2228"/>
      <c r="MDW64" s="2228"/>
      <c r="MDX64" s="2228"/>
      <c r="MDY64" s="2228"/>
      <c r="MDZ64" s="2228"/>
      <c r="MEA64" s="2228"/>
      <c r="MEB64" s="2228"/>
      <c r="MEC64" s="2228"/>
      <c r="MED64" s="2228"/>
      <c r="MEE64" s="2228"/>
      <c r="MEF64" s="2228"/>
      <c r="MEG64" s="2228"/>
      <c r="MEH64" s="2228"/>
      <c r="MEI64" s="2228"/>
      <c r="MEJ64" s="2227"/>
      <c r="MEK64" s="2228"/>
      <c r="MEL64" s="2228"/>
      <c r="MEM64" s="2228"/>
      <c r="MEN64" s="2228"/>
      <c r="MEO64" s="2228"/>
      <c r="MEP64" s="2228"/>
      <c r="MEQ64" s="2228"/>
      <c r="MER64" s="2228"/>
      <c r="MES64" s="2228"/>
      <c r="MET64" s="2228"/>
      <c r="MEU64" s="2228"/>
      <c r="MEV64" s="2228"/>
      <c r="MEW64" s="2228"/>
      <c r="MEX64" s="2228"/>
      <c r="MEY64" s="2228"/>
      <c r="MEZ64" s="2227"/>
      <c r="MFA64" s="2228"/>
      <c r="MFB64" s="2228"/>
      <c r="MFC64" s="2228"/>
      <c r="MFD64" s="2228"/>
      <c r="MFE64" s="2228"/>
      <c r="MFF64" s="2228"/>
      <c r="MFG64" s="2228"/>
      <c r="MFH64" s="2228"/>
      <c r="MFI64" s="2228"/>
      <c r="MFJ64" s="2228"/>
      <c r="MFK64" s="2228"/>
      <c r="MFL64" s="2228"/>
      <c r="MFM64" s="2228"/>
      <c r="MFN64" s="2228"/>
      <c r="MFO64" s="2228"/>
      <c r="MFP64" s="2227"/>
      <c r="MFQ64" s="2228"/>
      <c r="MFR64" s="2228"/>
      <c r="MFS64" s="2228"/>
      <c r="MFT64" s="2228"/>
      <c r="MFU64" s="2228"/>
      <c r="MFV64" s="2228"/>
      <c r="MFW64" s="2228"/>
      <c r="MFX64" s="2228"/>
      <c r="MFY64" s="2228"/>
      <c r="MFZ64" s="2228"/>
      <c r="MGA64" s="2228"/>
      <c r="MGB64" s="2228"/>
      <c r="MGC64" s="2228"/>
      <c r="MGD64" s="2228"/>
      <c r="MGE64" s="2228"/>
      <c r="MGF64" s="2227"/>
      <c r="MGG64" s="2228"/>
      <c r="MGH64" s="2228"/>
      <c r="MGI64" s="2228"/>
      <c r="MGJ64" s="2228"/>
      <c r="MGK64" s="2228"/>
      <c r="MGL64" s="2228"/>
      <c r="MGM64" s="2228"/>
      <c r="MGN64" s="2228"/>
      <c r="MGO64" s="2228"/>
      <c r="MGP64" s="2228"/>
      <c r="MGQ64" s="2228"/>
      <c r="MGR64" s="2228"/>
      <c r="MGS64" s="2228"/>
      <c r="MGT64" s="2228"/>
      <c r="MGU64" s="2228"/>
      <c r="MGV64" s="2227"/>
      <c r="MGW64" s="2228"/>
      <c r="MGX64" s="2228"/>
      <c r="MGY64" s="2228"/>
      <c r="MGZ64" s="2228"/>
      <c r="MHA64" s="2228"/>
      <c r="MHB64" s="2228"/>
      <c r="MHC64" s="2228"/>
      <c r="MHD64" s="2228"/>
      <c r="MHE64" s="2228"/>
      <c r="MHF64" s="2228"/>
      <c r="MHG64" s="2228"/>
      <c r="MHH64" s="2228"/>
      <c r="MHI64" s="2228"/>
      <c r="MHJ64" s="2228"/>
      <c r="MHK64" s="2228"/>
      <c r="MHL64" s="2227"/>
      <c r="MHM64" s="2228"/>
      <c r="MHN64" s="2228"/>
      <c r="MHO64" s="2228"/>
      <c r="MHP64" s="2228"/>
      <c r="MHQ64" s="2228"/>
      <c r="MHR64" s="2228"/>
      <c r="MHS64" s="2228"/>
      <c r="MHT64" s="2228"/>
      <c r="MHU64" s="2228"/>
      <c r="MHV64" s="2228"/>
      <c r="MHW64" s="2228"/>
      <c r="MHX64" s="2228"/>
      <c r="MHY64" s="2228"/>
      <c r="MHZ64" s="2228"/>
      <c r="MIA64" s="2228"/>
      <c r="MIB64" s="2227"/>
      <c r="MIC64" s="2228"/>
      <c r="MID64" s="2228"/>
      <c r="MIE64" s="2228"/>
      <c r="MIF64" s="2228"/>
      <c r="MIG64" s="2228"/>
      <c r="MIH64" s="2228"/>
      <c r="MII64" s="2228"/>
      <c r="MIJ64" s="2228"/>
      <c r="MIK64" s="2228"/>
      <c r="MIL64" s="2228"/>
      <c r="MIM64" s="2228"/>
      <c r="MIN64" s="2228"/>
      <c r="MIO64" s="2228"/>
      <c r="MIP64" s="2228"/>
      <c r="MIQ64" s="2228"/>
      <c r="MIR64" s="2227"/>
      <c r="MIS64" s="2228"/>
      <c r="MIT64" s="2228"/>
      <c r="MIU64" s="2228"/>
      <c r="MIV64" s="2228"/>
      <c r="MIW64" s="2228"/>
      <c r="MIX64" s="2228"/>
      <c r="MIY64" s="2228"/>
      <c r="MIZ64" s="2228"/>
      <c r="MJA64" s="2228"/>
      <c r="MJB64" s="2228"/>
      <c r="MJC64" s="2228"/>
      <c r="MJD64" s="2228"/>
      <c r="MJE64" s="2228"/>
      <c r="MJF64" s="2228"/>
      <c r="MJG64" s="2228"/>
      <c r="MJH64" s="2227"/>
      <c r="MJI64" s="2228"/>
      <c r="MJJ64" s="2228"/>
      <c r="MJK64" s="2228"/>
      <c r="MJL64" s="2228"/>
      <c r="MJM64" s="2228"/>
      <c r="MJN64" s="2228"/>
      <c r="MJO64" s="2228"/>
      <c r="MJP64" s="2228"/>
      <c r="MJQ64" s="2228"/>
      <c r="MJR64" s="2228"/>
      <c r="MJS64" s="2228"/>
      <c r="MJT64" s="2228"/>
      <c r="MJU64" s="2228"/>
      <c r="MJV64" s="2228"/>
      <c r="MJW64" s="2228"/>
      <c r="MJX64" s="2227"/>
      <c r="MJY64" s="2228"/>
      <c r="MJZ64" s="2228"/>
      <c r="MKA64" s="2228"/>
      <c r="MKB64" s="2228"/>
      <c r="MKC64" s="2228"/>
      <c r="MKD64" s="2228"/>
      <c r="MKE64" s="2228"/>
      <c r="MKF64" s="2228"/>
      <c r="MKG64" s="2228"/>
      <c r="MKH64" s="2228"/>
      <c r="MKI64" s="2228"/>
      <c r="MKJ64" s="2228"/>
      <c r="MKK64" s="2228"/>
      <c r="MKL64" s="2228"/>
      <c r="MKM64" s="2228"/>
      <c r="MKN64" s="2227"/>
      <c r="MKO64" s="2228"/>
      <c r="MKP64" s="2228"/>
      <c r="MKQ64" s="2228"/>
      <c r="MKR64" s="2228"/>
      <c r="MKS64" s="2228"/>
      <c r="MKT64" s="2228"/>
      <c r="MKU64" s="2228"/>
      <c r="MKV64" s="2228"/>
      <c r="MKW64" s="2228"/>
      <c r="MKX64" s="2228"/>
      <c r="MKY64" s="2228"/>
      <c r="MKZ64" s="2228"/>
      <c r="MLA64" s="2228"/>
      <c r="MLB64" s="2228"/>
      <c r="MLC64" s="2228"/>
      <c r="MLD64" s="2227"/>
      <c r="MLE64" s="2228"/>
      <c r="MLF64" s="2228"/>
      <c r="MLG64" s="2228"/>
      <c r="MLH64" s="2228"/>
      <c r="MLI64" s="2228"/>
      <c r="MLJ64" s="2228"/>
      <c r="MLK64" s="2228"/>
      <c r="MLL64" s="2228"/>
      <c r="MLM64" s="2228"/>
      <c r="MLN64" s="2228"/>
      <c r="MLO64" s="2228"/>
      <c r="MLP64" s="2228"/>
      <c r="MLQ64" s="2228"/>
      <c r="MLR64" s="2228"/>
      <c r="MLS64" s="2228"/>
      <c r="MLT64" s="2227"/>
      <c r="MLU64" s="2228"/>
      <c r="MLV64" s="2228"/>
      <c r="MLW64" s="2228"/>
      <c r="MLX64" s="2228"/>
      <c r="MLY64" s="2228"/>
      <c r="MLZ64" s="2228"/>
      <c r="MMA64" s="2228"/>
      <c r="MMB64" s="2228"/>
      <c r="MMC64" s="2228"/>
      <c r="MMD64" s="2228"/>
      <c r="MME64" s="2228"/>
      <c r="MMF64" s="2228"/>
      <c r="MMG64" s="2228"/>
      <c r="MMH64" s="2228"/>
      <c r="MMI64" s="2228"/>
      <c r="MMJ64" s="2227"/>
      <c r="MMK64" s="2228"/>
      <c r="MML64" s="2228"/>
      <c r="MMM64" s="2228"/>
      <c r="MMN64" s="2228"/>
      <c r="MMO64" s="2228"/>
      <c r="MMP64" s="2228"/>
      <c r="MMQ64" s="2228"/>
      <c r="MMR64" s="2228"/>
      <c r="MMS64" s="2228"/>
      <c r="MMT64" s="2228"/>
      <c r="MMU64" s="2228"/>
      <c r="MMV64" s="2228"/>
      <c r="MMW64" s="2228"/>
      <c r="MMX64" s="2228"/>
      <c r="MMY64" s="2228"/>
      <c r="MMZ64" s="2227"/>
      <c r="MNA64" s="2228"/>
      <c r="MNB64" s="2228"/>
      <c r="MNC64" s="2228"/>
      <c r="MND64" s="2228"/>
      <c r="MNE64" s="2228"/>
      <c r="MNF64" s="2228"/>
      <c r="MNG64" s="2228"/>
      <c r="MNH64" s="2228"/>
      <c r="MNI64" s="2228"/>
      <c r="MNJ64" s="2228"/>
      <c r="MNK64" s="2228"/>
      <c r="MNL64" s="2228"/>
      <c r="MNM64" s="2228"/>
      <c r="MNN64" s="2228"/>
      <c r="MNO64" s="2228"/>
      <c r="MNP64" s="2227"/>
      <c r="MNQ64" s="2228"/>
      <c r="MNR64" s="2228"/>
      <c r="MNS64" s="2228"/>
      <c r="MNT64" s="2228"/>
      <c r="MNU64" s="2228"/>
      <c r="MNV64" s="2228"/>
      <c r="MNW64" s="2228"/>
      <c r="MNX64" s="2228"/>
      <c r="MNY64" s="2228"/>
      <c r="MNZ64" s="2228"/>
      <c r="MOA64" s="2228"/>
      <c r="MOB64" s="2228"/>
      <c r="MOC64" s="2228"/>
      <c r="MOD64" s="2228"/>
      <c r="MOE64" s="2228"/>
      <c r="MOF64" s="2227"/>
      <c r="MOG64" s="2228"/>
      <c r="MOH64" s="2228"/>
      <c r="MOI64" s="2228"/>
      <c r="MOJ64" s="2228"/>
      <c r="MOK64" s="2228"/>
      <c r="MOL64" s="2228"/>
      <c r="MOM64" s="2228"/>
      <c r="MON64" s="2228"/>
      <c r="MOO64" s="2228"/>
      <c r="MOP64" s="2228"/>
      <c r="MOQ64" s="2228"/>
      <c r="MOR64" s="2228"/>
      <c r="MOS64" s="2228"/>
      <c r="MOT64" s="2228"/>
      <c r="MOU64" s="2228"/>
      <c r="MOV64" s="2227"/>
      <c r="MOW64" s="2228"/>
      <c r="MOX64" s="2228"/>
      <c r="MOY64" s="2228"/>
      <c r="MOZ64" s="2228"/>
      <c r="MPA64" s="2228"/>
      <c r="MPB64" s="2228"/>
      <c r="MPC64" s="2228"/>
      <c r="MPD64" s="2228"/>
      <c r="MPE64" s="2228"/>
      <c r="MPF64" s="2228"/>
      <c r="MPG64" s="2228"/>
      <c r="MPH64" s="2228"/>
      <c r="MPI64" s="2228"/>
      <c r="MPJ64" s="2228"/>
      <c r="MPK64" s="2228"/>
      <c r="MPL64" s="2227"/>
      <c r="MPM64" s="2228"/>
      <c r="MPN64" s="2228"/>
      <c r="MPO64" s="2228"/>
      <c r="MPP64" s="2228"/>
      <c r="MPQ64" s="2228"/>
      <c r="MPR64" s="2228"/>
      <c r="MPS64" s="2228"/>
      <c r="MPT64" s="2228"/>
      <c r="MPU64" s="2228"/>
      <c r="MPV64" s="2228"/>
      <c r="MPW64" s="2228"/>
      <c r="MPX64" s="2228"/>
      <c r="MPY64" s="2228"/>
      <c r="MPZ64" s="2228"/>
      <c r="MQA64" s="2228"/>
      <c r="MQB64" s="2227"/>
      <c r="MQC64" s="2228"/>
      <c r="MQD64" s="2228"/>
      <c r="MQE64" s="2228"/>
      <c r="MQF64" s="2228"/>
      <c r="MQG64" s="2228"/>
      <c r="MQH64" s="2228"/>
      <c r="MQI64" s="2228"/>
      <c r="MQJ64" s="2228"/>
      <c r="MQK64" s="2228"/>
      <c r="MQL64" s="2228"/>
      <c r="MQM64" s="2228"/>
      <c r="MQN64" s="2228"/>
      <c r="MQO64" s="2228"/>
      <c r="MQP64" s="2228"/>
      <c r="MQQ64" s="2228"/>
      <c r="MQR64" s="2227"/>
      <c r="MQS64" s="2228"/>
      <c r="MQT64" s="2228"/>
      <c r="MQU64" s="2228"/>
      <c r="MQV64" s="2228"/>
      <c r="MQW64" s="2228"/>
      <c r="MQX64" s="2228"/>
      <c r="MQY64" s="2228"/>
      <c r="MQZ64" s="2228"/>
      <c r="MRA64" s="2228"/>
      <c r="MRB64" s="2228"/>
      <c r="MRC64" s="2228"/>
      <c r="MRD64" s="2228"/>
      <c r="MRE64" s="2228"/>
      <c r="MRF64" s="2228"/>
      <c r="MRG64" s="2228"/>
      <c r="MRH64" s="2227"/>
      <c r="MRI64" s="2228"/>
      <c r="MRJ64" s="2228"/>
      <c r="MRK64" s="2228"/>
      <c r="MRL64" s="2228"/>
      <c r="MRM64" s="2228"/>
      <c r="MRN64" s="2228"/>
      <c r="MRO64" s="2228"/>
      <c r="MRP64" s="2228"/>
      <c r="MRQ64" s="2228"/>
      <c r="MRR64" s="2228"/>
      <c r="MRS64" s="2228"/>
      <c r="MRT64" s="2228"/>
      <c r="MRU64" s="2228"/>
      <c r="MRV64" s="2228"/>
      <c r="MRW64" s="2228"/>
      <c r="MRX64" s="2227"/>
      <c r="MRY64" s="2228"/>
      <c r="MRZ64" s="2228"/>
      <c r="MSA64" s="2228"/>
      <c r="MSB64" s="2228"/>
      <c r="MSC64" s="2228"/>
      <c r="MSD64" s="2228"/>
      <c r="MSE64" s="2228"/>
      <c r="MSF64" s="2228"/>
      <c r="MSG64" s="2228"/>
      <c r="MSH64" s="2228"/>
      <c r="MSI64" s="2228"/>
      <c r="MSJ64" s="2228"/>
      <c r="MSK64" s="2228"/>
      <c r="MSL64" s="2228"/>
      <c r="MSM64" s="2228"/>
      <c r="MSN64" s="2227"/>
      <c r="MSO64" s="2228"/>
      <c r="MSP64" s="2228"/>
      <c r="MSQ64" s="2228"/>
      <c r="MSR64" s="2228"/>
      <c r="MSS64" s="2228"/>
      <c r="MST64" s="2228"/>
      <c r="MSU64" s="2228"/>
      <c r="MSV64" s="2228"/>
      <c r="MSW64" s="2228"/>
      <c r="MSX64" s="2228"/>
      <c r="MSY64" s="2228"/>
      <c r="MSZ64" s="2228"/>
      <c r="MTA64" s="2228"/>
      <c r="MTB64" s="2228"/>
      <c r="MTC64" s="2228"/>
      <c r="MTD64" s="2227"/>
      <c r="MTE64" s="2228"/>
      <c r="MTF64" s="2228"/>
      <c r="MTG64" s="2228"/>
      <c r="MTH64" s="2228"/>
      <c r="MTI64" s="2228"/>
      <c r="MTJ64" s="2228"/>
      <c r="MTK64" s="2228"/>
      <c r="MTL64" s="2228"/>
      <c r="MTM64" s="2228"/>
      <c r="MTN64" s="2228"/>
      <c r="MTO64" s="2228"/>
      <c r="MTP64" s="2228"/>
      <c r="MTQ64" s="2228"/>
      <c r="MTR64" s="2228"/>
      <c r="MTS64" s="2228"/>
      <c r="MTT64" s="2227"/>
      <c r="MTU64" s="2228"/>
      <c r="MTV64" s="2228"/>
      <c r="MTW64" s="2228"/>
      <c r="MTX64" s="2228"/>
      <c r="MTY64" s="2228"/>
      <c r="MTZ64" s="2228"/>
      <c r="MUA64" s="2228"/>
      <c r="MUB64" s="2228"/>
      <c r="MUC64" s="2228"/>
      <c r="MUD64" s="2228"/>
      <c r="MUE64" s="2228"/>
      <c r="MUF64" s="2228"/>
      <c r="MUG64" s="2228"/>
      <c r="MUH64" s="2228"/>
      <c r="MUI64" s="2228"/>
      <c r="MUJ64" s="2227"/>
      <c r="MUK64" s="2228"/>
      <c r="MUL64" s="2228"/>
      <c r="MUM64" s="2228"/>
      <c r="MUN64" s="2228"/>
      <c r="MUO64" s="2228"/>
      <c r="MUP64" s="2228"/>
      <c r="MUQ64" s="2228"/>
      <c r="MUR64" s="2228"/>
      <c r="MUS64" s="2228"/>
      <c r="MUT64" s="2228"/>
      <c r="MUU64" s="2228"/>
      <c r="MUV64" s="2228"/>
      <c r="MUW64" s="2228"/>
      <c r="MUX64" s="2228"/>
      <c r="MUY64" s="2228"/>
      <c r="MUZ64" s="2227"/>
      <c r="MVA64" s="2228"/>
      <c r="MVB64" s="2228"/>
      <c r="MVC64" s="2228"/>
      <c r="MVD64" s="2228"/>
      <c r="MVE64" s="2228"/>
      <c r="MVF64" s="2228"/>
      <c r="MVG64" s="2228"/>
      <c r="MVH64" s="2228"/>
      <c r="MVI64" s="2228"/>
      <c r="MVJ64" s="2228"/>
      <c r="MVK64" s="2228"/>
      <c r="MVL64" s="2228"/>
      <c r="MVM64" s="2228"/>
      <c r="MVN64" s="2228"/>
      <c r="MVO64" s="2228"/>
      <c r="MVP64" s="2227"/>
      <c r="MVQ64" s="2228"/>
      <c r="MVR64" s="2228"/>
      <c r="MVS64" s="2228"/>
      <c r="MVT64" s="2228"/>
      <c r="MVU64" s="2228"/>
      <c r="MVV64" s="2228"/>
      <c r="MVW64" s="2228"/>
      <c r="MVX64" s="2228"/>
      <c r="MVY64" s="2228"/>
      <c r="MVZ64" s="2228"/>
      <c r="MWA64" s="2228"/>
      <c r="MWB64" s="2228"/>
      <c r="MWC64" s="2228"/>
      <c r="MWD64" s="2228"/>
      <c r="MWE64" s="2228"/>
      <c r="MWF64" s="2227"/>
      <c r="MWG64" s="2228"/>
      <c r="MWH64" s="2228"/>
      <c r="MWI64" s="2228"/>
      <c r="MWJ64" s="2228"/>
      <c r="MWK64" s="2228"/>
      <c r="MWL64" s="2228"/>
      <c r="MWM64" s="2228"/>
      <c r="MWN64" s="2228"/>
      <c r="MWO64" s="2228"/>
      <c r="MWP64" s="2228"/>
      <c r="MWQ64" s="2228"/>
      <c r="MWR64" s="2228"/>
      <c r="MWS64" s="2228"/>
      <c r="MWT64" s="2228"/>
      <c r="MWU64" s="2228"/>
      <c r="MWV64" s="2227"/>
      <c r="MWW64" s="2228"/>
      <c r="MWX64" s="2228"/>
      <c r="MWY64" s="2228"/>
      <c r="MWZ64" s="2228"/>
      <c r="MXA64" s="2228"/>
      <c r="MXB64" s="2228"/>
      <c r="MXC64" s="2228"/>
      <c r="MXD64" s="2228"/>
      <c r="MXE64" s="2228"/>
      <c r="MXF64" s="2228"/>
      <c r="MXG64" s="2228"/>
      <c r="MXH64" s="2228"/>
      <c r="MXI64" s="2228"/>
      <c r="MXJ64" s="2228"/>
      <c r="MXK64" s="2228"/>
      <c r="MXL64" s="2227"/>
      <c r="MXM64" s="2228"/>
      <c r="MXN64" s="2228"/>
      <c r="MXO64" s="2228"/>
      <c r="MXP64" s="2228"/>
      <c r="MXQ64" s="2228"/>
      <c r="MXR64" s="2228"/>
      <c r="MXS64" s="2228"/>
      <c r="MXT64" s="2228"/>
      <c r="MXU64" s="2228"/>
      <c r="MXV64" s="2228"/>
      <c r="MXW64" s="2228"/>
      <c r="MXX64" s="2228"/>
      <c r="MXY64" s="2228"/>
      <c r="MXZ64" s="2228"/>
      <c r="MYA64" s="2228"/>
      <c r="MYB64" s="2227"/>
      <c r="MYC64" s="2228"/>
      <c r="MYD64" s="2228"/>
      <c r="MYE64" s="2228"/>
      <c r="MYF64" s="2228"/>
      <c r="MYG64" s="2228"/>
      <c r="MYH64" s="2228"/>
      <c r="MYI64" s="2228"/>
      <c r="MYJ64" s="2228"/>
      <c r="MYK64" s="2228"/>
      <c r="MYL64" s="2228"/>
      <c r="MYM64" s="2228"/>
      <c r="MYN64" s="2228"/>
      <c r="MYO64" s="2228"/>
      <c r="MYP64" s="2228"/>
      <c r="MYQ64" s="2228"/>
      <c r="MYR64" s="2227"/>
      <c r="MYS64" s="2228"/>
      <c r="MYT64" s="2228"/>
      <c r="MYU64" s="2228"/>
      <c r="MYV64" s="2228"/>
      <c r="MYW64" s="2228"/>
      <c r="MYX64" s="2228"/>
      <c r="MYY64" s="2228"/>
      <c r="MYZ64" s="2228"/>
      <c r="MZA64" s="2228"/>
      <c r="MZB64" s="2228"/>
      <c r="MZC64" s="2228"/>
      <c r="MZD64" s="2228"/>
      <c r="MZE64" s="2228"/>
      <c r="MZF64" s="2228"/>
      <c r="MZG64" s="2228"/>
      <c r="MZH64" s="2227"/>
      <c r="MZI64" s="2228"/>
      <c r="MZJ64" s="2228"/>
      <c r="MZK64" s="2228"/>
      <c r="MZL64" s="2228"/>
      <c r="MZM64" s="2228"/>
      <c r="MZN64" s="2228"/>
      <c r="MZO64" s="2228"/>
      <c r="MZP64" s="2228"/>
      <c r="MZQ64" s="2228"/>
      <c r="MZR64" s="2228"/>
      <c r="MZS64" s="2228"/>
      <c r="MZT64" s="2228"/>
      <c r="MZU64" s="2228"/>
      <c r="MZV64" s="2228"/>
      <c r="MZW64" s="2228"/>
      <c r="MZX64" s="2227"/>
      <c r="MZY64" s="2228"/>
      <c r="MZZ64" s="2228"/>
      <c r="NAA64" s="2228"/>
      <c r="NAB64" s="2228"/>
      <c r="NAC64" s="2228"/>
      <c r="NAD64" s="2228"/>
      <c r="NAE64" s="2228"/>
      <c r="NAF64" s="2228"/>
      <c r="NAG64" s="2228"/>
      <c r="NAH64" s="2228"/>
      <c r="NAI64" s="2228"/>
      <c r="NAJ64" s="2228"/>
      <c r="NAK64" s="2228"/>
      <c r="NAL64" s="2228"/>
      <c r="NAM64" s="2228"/>
      <c r="NAN64" s="2227"/>
      <c r="NAO64" s="2228"/>
      <c r="NAP64" s="2228"/>
      <c r="NAQ64" s="2228"/>
      <c r="NAR64" s="2228"/>
      <c r="NAS64" s="2228"/>
      <c r="NAT64" s="2228"/>
      <c r="NAU64" s="2228"/>
      <c r="NAV64" s="2228"/>
      <c r="NAW64" s="2228"/>
      <c r="NAX64" s="2228"/>
      <c r="NAY64" s="2228"/>
      <c r="NAZ64" s="2228"/>
      <c r="NBA64" s="2228"/>
      <c r="NBB64" s="2228"/>
      <c r="NBC64" s="2228"/>
      <c r="NBD64" s="2227"/>
      <c r="NBE64" s="2228"/>
      <c r="NBF64" s="2228"/>
      <c r="NBG64" s="2228"/>
      <c r="NBH64" s="2228"/>
      <c r="NBI64" s="2228"/>
      <c r="NBJ64" s="2228"/>
      <c r="NBK64" s="2228"/>
      <c r="NBL64" s="2228"/>
      <c r="NBM64" s="2228"/>
      <c r="NBN64" s="2228"/>
      <c r="NBO64" s="2228"/>
      <c r="NBP64" s="2228"/>
      <c r="NBQ64" s="2228"/>
      <c r="NBR64" s="2228"/>
      <c r="NBS64" s="2228"/>
      <c r="NBT64" s="2227"/>
      <c r="NBU64" s="2228"/>
      <c r="NBV64" s="2228"/>
      <c r="NBW64" s="2228"/>
      <c r="NBX64" s="2228"/>
      <c r="NBY64" s="2228"/>
      <c r="NBZ64" s="2228"/>
      <c r="NCA64" s="2228"/>
      <c r="NCB64" s="2228"/>
      <c r="NCC64" s="2228"/>
      <c r="NCD64" s="2228"/>
      <c r="NCE64" s="2228"/>
      <c r="NCF64" s="2228"/>
      <c r="NCG64" s="2228"/>
      <c r="NCH64" s="2228"/>
      <c r="NCI64" s="2228"/>
      <c r="NCJ64" s="2227"/>
      <c r="NCK64" s="2228"/>
      <c r="NCL64" s="2228"/>
      <c r="NCM64" s="2228"/>
      <c r="NCN64" s="2228"/>
      <c r="NCO64" s="2228"/>
      <c r="NCP64" s="2228"/>
      <c r="NCQ64" s="2228"/>
      <c r="NCR64" s="2228"/>
      <c r="NCS64" s="2228"/>
      <c r="NCT64" s="2228"/>
      <c r="NCU64" s="2228"/>
      <c r="NCV64" s="2228"/>
      <c r="NCW64" s="2228"/>
      <c r="NCX64" s="2228"/>
      <c r="NCY64" s="2228"/>
      <c r="NCZ64" s="2227"/>
      <c r="NDA64" s="2228"/>
      <c r="NDB64" s="2228"/>
      <c r="NDC64" s="2228"/>
      <c r="NDD64" s="2228"/>
      <c r="NDE64" s="2228"/>
      <c r="NDF64" s="2228"/>
      <c r="NDG64" s="2228"/>
      <c r="NDH64" s="2228"/>
      <c r="NDI64" s="2228"/>
      <c r="NDJ64" s="2228"/>
      <c r="NDK64" s="2228"/>
      <c r="NDL64" s="2228"/>
      <c r="NDM64" s="2228"/>
      <c r="NDN64" s="2228"/>
      <c r="NDO64" s="2228"/>
      <c r="NDP64" s="2227"/>
      <c r="NDQ64" s="2228"/>
      <c r="NDR64" s="2228"/>
      <c r="NDS64" s="2228"/>
      <c r="NDT64" s="2228"/>
      <c r="NDU64" s="2228"/>
      <c r="NDV64" s="2228"/>
      <c r="NDW64" s="2228"/>
      <c r="NDX64" s="2228"/>
      <c r="NDY64" s="2228"/>
      <c r="NDZ64" s="2228"/>
      <c r="NEA64" s="2228"/>
      <c r="NEB64" s="2228"/>
      <c r="NEC64" s="2228"/>
      <c r="NED64" s="2228"/>
      <c r="NEE64" s="2228"/>
      <c r="NEF64" s="2227"/>
      <c r="NEG64" s="2228"/>
      <c r="NEH64" s="2228"/>
      <c r="NEI64" s="2228"/>
      <c r="NEJ64" s="2228"/>
      <c r="NEK64" s="2228"/>
      <c r="NEL64" s="2228"/>
      <c r="NEM64" s="2228"/>
      <c r="NEN64" s="2228"/>
      <c r="NEO64" s="2228"/>
      <c r="NEP64" s="2228"/>
      <c r="NEQ64" s="2228"/>
      <c r="NER64" s="2228"/>
      <c r="NES64" s="2228"/>
      <c r="NET64" s="2228"/>
      <c r="NEU64" s="2228"/>
      <c r="NEV64" s="2227"/>
      <c r="NEW64" s="2228"/>
      <c r="NEX64" s="2228"/>
      <c r="NEY64" s="2228"/>
      <c r="NEZ64" s="2228"/>
      <c r="NFA64" s="2228"/>
      <c r="NFB64" s="2228"/>
      <c r="NFC64" s="2228"/>
      <c r="NFD64" s="2228"/>
      <c r="NFE64" s="2228"/>
      <c r="NFF64" s="2228"/>
      <c r="NFG64" s="2228"/>
      <c r="NFH64" s="2228"/>
      <c r="NFI64" s="2228"/>
      <c r="NFJ64" s="2228"/>
      <c r="NFK64" s="2228"/>
      <c r="NFL64" s="2227"/>
      <c r="NFM64" s="2228"/>
      <c r="NFN64" s="2228"/>
      <c r="NFO64" s="2228"/>
      <c r="NFP64" s="2228"/>
      <c r="NFQ64" s="2228"/>
      <c r="NFR64" s="2228"/>
      <c r="NFS64" s="2228"/>
      <c r="NFT64" s="2228"/>
      <c r="NFU64" s="2228"/>
      <c r="NFV64" s="2228"/>
      <c r="NFW64" s="2228"/>
      <c r="NFX64" s="2228"/>
      <c r="NFY64" s="2228"/>
      <c r="NFZ64" s="2228"/>
      <c r="NGA64" s="2228"/>
      <c r="NGB64" s="2227"/>
      <c r="NGC64" s="2228"/>
      <c r="NGD64" s="2228"/>
      <c r="NGE64" s="2228"/>
      <c r="NGF64" s="2228"/>
      <c r="NGG64" s="2228"/>
      <c r="NGH64" s="2228"/>
      <c r="NGI64" s="2228"/>
      <c r="NGJ64" s="2228"/>
      <c r="NGK64" s="2228"/>
      <c r="NGL64" s="2228"/>
      <c r="NGM64" s="2228"/>
      <c r="NGN64" s="2228"/>
      <c r="NGO64" s="2228"/>
      <c r="NGP64" s="2228"/>
      <c r="NGQ64" s="2228"/>
      <c r="NGR64" s="2227"/>
      <c r="NGS64" s="2228"/>
      <c r="NGT64" s="2228"/>
      <c r="NGU64" s="2228"/>
      <c r="NGV64" s="2228"/>
      <c r="NGW64" s="2228"/>
      <c r="NGX64" s="2228"/>
      <c r="NGY64" s="2228"/>
      <c r="NGZ64" s="2228"/>
      <c r="NHA64" s="2228"/>
      <c r="NHB64" s="2228"/>
      <c r="NHC64" s="2228"/>
      <c r="NHD64" s="2228"/>
      <c r="NHE64" s="2228"/>
      <c r="NHF64" s="2228"/>
      <c r="NHG64" s="2228"/>
      <c r="NHH64" s="2227"/>
      <c r="NHI64" s="2228"/>
      <c r="NHJ64" s="2228"/>
      <c r="NHK64" s="2228"/>
      <c r="NHL64" s="2228"/>
      <c r="NHM64" s="2228"/>
      <c r="NHN64" s="2228"/>
      <c r="NHO64" s="2228"/>
      <c r="NHP64" s="2228"/>
      <c r="NHQ64" s="2228"/>
      <c r="NHR64" s="2228"/>
      <c r="NHS64" s="2228"/>
      <c r="NHT64" s="2228"/>
      <c r="NHU64" s="2228"/>
      <c r="NHV64" s="2228"/>
      <c r="NHW64" s="2228"/>
      <c r="NHX64" s="2227"/>
      <c r="NHY64" s="2228"/>
      <c r="NHZ64" s="2228"/>
      <c r="NIA64" s="2228"/>
      <c r="NIB64" s="2228"/>
      <c r="NIC64" s="2228"/>
      <c r="NID64" s="2228"/>
      <c r="NIE64" s="2228"/>
      <c r="NIF64" s="2228"/>
      <c r="NIG64" s="2228"/>
      <c r="NIH64" s="2228"/>
      <c r="NII64" s="2228"/>
      <c r="NIJ64" s="2228"/>
      <c r="NIK64" s="2228"/>
      <c r="NIL64" s="2228"/>
      <c r="NIM64" s="2228"/>
      <c r="NIN64" s="2227"/>
      <c r="NIO64" s="2228"/>
      <c r="NIP64" s="2228"/>
      <c r="NIQ64" s="2228"/>
      <c r="NIR64" s="2228"/>
      <c r="NIS64" s="2228"/>
      <c r="NIT64" s="2228"/>
      <c r="NIU64" s="2228"/>
      <c r="NIV64" s="2228"/>
      <c r="NIW64" s="2228"/>
      <c r="NIX64" s="2228"/>
      <c r="NIY64" s="2228"/>
      <c r="NIZ64" s="2228"/>
      <c r="NJA64" s="2228"/>
      <c r="NJB64" s="2228"/>
      <c r="NJC64" s="2228"/>
      <c r="NJD64" s="2227"/>
      <c r="NJE64" s="2228"/>
      <c r="NJF64" s="2228"/>
      <c r="NJG64" s="2228"/>
      <c r="NJH64" s="2228"/>
      <c r="NJI64" s="2228"/>
      <c r="NJJ64" s="2228"/>
      <c r="NJK64" s="2228"/>
      <c r="NJL64" s="2228"/>
      <c r="NJM64" s="2228"/>
      <c r="NJN64" s="2228"/>
      <c r="NJO64" s="2228"/>
      <c r="NJP64" s="2228"/>
      <c r="NJQ64" s="2228"/>
      <c r="NJR64" s="2228"/>
      <c r="NJS64" s="2228"/>
      <c r="NJT64" s="2227"/>
      <c r="NJU64" s="2228"/>
      <c r="NJV64" s="2228"/>
      <c r="NJW64" s="2228"/>
      <c r="NJX64" s="2228"/>
      <c r="NJY64" s="2228"/>
      <c r="NJZ64" s="2228"/>
      <c r="NKA64" s="2228"/>
      <c r="NKB64" s="2228"/>
      <c r="NKC64" s="2228"/>
      <c r="NKD64" s="2228"/>
      <c r="NKE64" s="2228"/>
      <c r="NKF64" s="2228"/>
      <c r="NKG64" s="2228"/>
      <c r="NKH64" s="2228"/>
      <c r="NKI64" s="2228"/>
      <c r="NKJ64" s="2227"/>
      <c r="NKK64" s="2228"/>
      <c r="NKL64" s="2228"/>
      <c r="NKM64" s="2228"/>
      <c r="NKN64" s="2228"/>
      <c r="NKO64" s="2228"/>
      <c r="NKP64" s="2228"/>
      <c r="NKQ64" s="2228"/>
      <c r="NKR64" s="2228"/>
      <c r="NKS64" s="2228"/>
      <c r="NKT64" s="2228"/>
      <c r="NKU64" s="2228"/>
      <c r="NKV64" s="2228"/>
      <c r="NKW64" s="2228"/>
      <c r="NKX64" s="2228"/>
      <c r="NKY64" s="2228"/>
      <c r="NKZ64" s="2227"/>
      <c r="NLA64" s="2228"/>
      <c r="NLB64" s="2228"/>
      <c r="NLC64" s="2228"/>
      <c r="NLD64" s="2228"/>
      <c r="NLE64" s="2228"/>
      <c r="NLF64" s="2228"/>
      <c r="NLG64" s="2228"/>
      <c r="NLH64" s="2228"/>
      <c r="NLI64" s="2228"/>
      <c r="NLJ64" s="2228"/>
      <c r="NLK64" s="2228"/>
      <c r="NLL64" s="2228"/>
      <c r="NLM64" s="2228"/>
      <c r="NLN64" s="2228"/>
      <c r="NLO64" s="2228"/>
      <c r="NLP64" s="2227"/>
      <c r="NLQ64" s="2228"/>
      <c r="NLR64" s="2228"/>
      <c r="NLS64" s="2228"/>
      <c r="NLT64" s="2228"/>
      <c r="NLU64" s="2228"/>
      <c r="NLV64" s="2228"/>
      <c r="NLW64" s="2228"/>
      <c r="NLX64" s="2228"/>
      <c r="NLY64" s="2228"/>
      <c r="NLZ64" s="2228"/>
      <c r="NMA64" s="2228"/>
      <c r="NMB64" s="2228"/>
      <c r="NMC64" s="2228"/>
      <c r="NMD64" s="2228"/>
      <c r="NME64" s="2228"/>
      <c r="NMF64" s="2227"/>
      <c r="NMG64" s="2228"/>
      <c r="NMH64" s="2228"/>
      <c r="NMI64" s="2228"/>
      <c r="NMJ64" s="2228"/>
      <c r="NMK64" s="2228"/>
      <c r="NML64" s="2228"/>
      <c r="NMM64" s="2228"/>
      <c r="NMN64" s="2228"/>
      <c r="NMO64" s="2228"/>
      <c r="NMP64" s="2228"/>
      <c r="NMQ64" s="2228"/>
      <c r="NMR64" s="2228"/>
      <c r="NMS64" s="2228"/>
      <c r="NMT64" s="2228"/>
      <c r="NMU64" s="2228"/>
      <c r="NMV64" s="2227"/>
      <c r="NMW64" s="2228"/>
      <c r="NMX64" s="2228"/>
      <c r="NMY64" s="2228"/>
      <c r="NMZ64" s="2228"/>
      <c r="NNA64" s="2228"/>
      <c r="NNB64" s="2228"/>
      <c r="NNC64" s="2228"/>
      <c r="NND64" s="2228"/>
      <c r="NNE64" s="2228"/>
      <c r="NNF64" s="2228"/>
      <c r="NNG64" s="2228"/>
      <c r="NNH64" s="2228"/>
      <c r="NNI64" s="2228"/>
      <c r="NNJ64" s="2228"/>
      <c r="NNK64" s="2228"/>
      <c r="NNL64" s="2227"/>
      <c r="NNM64" s="2228"/>
      <c r="NNN64" s="2228"/>
      <c r="NNO64" s="2228"/>
      <c r="NNP64" s="2228"/>
      <c r="NNQ64" s="2228"/>
      <c r="NNR64" s="2228"/>
      <c r="NNS64" s="2228"/>
      <c r="NNT64" s="2228"/>
      <c r="NNU64" s="2228"/>
      <c r="NNV64" s="2228"/>
      <c r="NNW64" s="2228"/>
      <c r="NNX64" s="2228"/>
      <c r="NNY64" s="2228"/>
      <c r="NNZ64" s="2228"/>
      <c r="NOA64" s="2228"/>
      <c r="NOB64" s="2227"/>
      <c r="NOC64" s="2228"/>
      <c r="NOD64" s="2228"/>
      <c r="NOE64" s="2228"/>
      <c r="NOF64" s="2228"/>
      <c r="NOG64" s="2228"/>
      <c r="NOH64" s="2228"/>
      <c r="NOI64" s="2228"/>
      <c r="NOJ64" s="2228"/>
      <c r="NOK64" s="2228"/>
      <c r="NOL64" s="2228"/>
      <c r="NOM64" s="2228"/>
      <c r="NON64" s="2228"/>
      <c r="NOO64" s="2228"/>
      <c r="NOP64" s="2228"/>
      <c r="NOQ64" s="2228"/>
      <c r="NOR64" s="2227"/>
      <c r="NOS64" s="2228"/>
      <c r="NOT64" s="2228"/>
      <c r="NOU64" s="2228"/>
      <c r="NOV64" s="2228"/>
      <c r="NOW64" s="2228"/>
      <c r="NOX64" s="2228"/>
      <c r="NOY64" s="2228"/>
      <c r="NOZ64" s="2228"/>
      <c r="NPA64" s="2228"/>
      <c r="NPB64" s="2228"/>
      <c r="NPC64" s="2228"/>
      <c r="NPD64" s="2228"/>
      <c r="NPE64" s="2228"/>
      <c r="NPF64" s="2228"/>
      <c r="NPG64" s="2228"/>
      <c r="NPH64" s="2227"/>
      <c r="NPI64" s="2228"/>
      <c r="NPJ64" s="2228"/>
      <c r="NPK64" s="2228"/>
      <c r="NPL64" s="2228"/>
      <c r="NPM64" s="2228"/>
      <c r="NPN64" s="2228"/>
      <c r="NPO64" s="2228"/>
      <c r="NPP64" s="2228"/>
      <c r="NPQ64" s="2228"/>
      <c r="NPR64" s="2228"/>
      <c r="NPS64" s="2228"/>
      <c r="NPT64" s="2228"/>
      <c r="NPU64" s="2228"/>
      <c r="NPV64" s="2228"/>
      <c r="NPW64" s="2228"/>
      <c r="NPX64" s="2227"/>
      <c r="NPY64" s="2228"/>
      <c r="NPZ64" s="2228"/>
      <c r="NQA64" s="2228"/>
      <c r="NQB64" s="2228"/>
      <c r="NQC64" s="2228"/>
      <c r="NQD64" s="2228"/>
      <c r="NQE64" s="2228"/>
      <c r="NQF64" s="2228"/>
      <c r="NQG64" s="2228"/>
      <c r="NQH64" s="2228"/>
      <c r="NQI64" s="2228"/>
      <c r="NQJ64" s="2228"/>
      <c r="NQK64" s="2228"/>
      <c r="NQL64" s="2228"/>
      <c r="NQM64" s="2228"/>
      <c r="NQN64" s="2227"/>
      <c r="NQO64" s="2228"/>
      <c r="NQP64" s="2228"/>
      <c r="NQQ64" s="2228"/>
      <c r="NQR64" s="2228"/>
      <c r="NQS64" s="2228"/>
      <c r="NQT64" s="2228"/>
      <c r="NQU64" s="2228"/>
      <c r="NQV64" s="2228"/>
      <c r="NQW64" s="2228"/>
      <c r="NQX64" s="2228"/>
      <c r="NQY64" s="2228"/>
      <c r="NQZ64" s="2228"/>
      <c r="NRA64" s="2228"/>
      <c r="NRB64" s="2228"/>
      <c r="NRC64" s="2228"/>
      <c r="NRD64" s="2227"/>
      <c r="NRE64" s="2228"/>
      <c r="NRF64" s="2228"/>
      <c r="NRG64" s="2228"/>
      <c r="NRH64" s="2228"/>
      <c r="NRI64" s="2228"/>
      <c r="NRJ64" s="2228"/>
      <c r="NRK64" s="2228"/>
      <c r="NRL64" s="2228"/>
      <c r="NRM64" s="2228"/>
      <c r="NRN64" s="2228"/>
      <c r="NRO64" s="2228"/>
      <c r="NRP64" s="2228"/>
      <c r="NRQ64" s="2228"/>
      <c r="NRR64" s="2228"/>
      <c r="NRS64" s="2228"/>
      <c r="NRT64" s="2227"/>
      <c r="NRU64" s="2228"/>
      <c r="NRV64" s="2228"/>
      <c r="NRW64" s="2228"/>
      <c r="NRX64" s="2228"/>
      <c r="NRY64" s="2228"/>
      <c r="NRZ64" s="2228"/>
      <c r="NSA64" s="2228"/>
      <c r="NSB64" s="2228"/>
      <c r="NSC64" s="2228"/>
      <c r="NSD64" s="2228"/>
      <c r="NSE64" s="2228"/>
      <c r="NSF64" s="2228"/>
      <c r="NSG64" s="2228"/>
      <c r="NSH64" s="2228"/>
      <c r="NSI64" s="2228"/>
      <c r="NSJ64" s="2227"/>
      <c r="NSK64" s="2228"/>
      <c r="NSL64" s="2228"/>
      <c r="NSM64" s="2228"/>
      <c r="NSN64" s="2228"/>
      <c r="NSO64" s="2228"/>
      <c r="NSP64" s="2228"/>
      <c r="NSQ64" s="2228"/>
      <c r="NSR64" s="2228"/>
      <c r="NSS64" s="2228"/>
      <c r="NST64" s="2228"/>
      <c r="NSU64" s="2228"/>
      <c r="NSV64" s="2228"/>
      <c r="NSW64" s="2228"/>
      <c r="NSX64" s="2228"/>
      <c r="NSY64" s="2228"/>
      <c r="NSZ64" s="2227"/>
      <c r="NTA64" s="2228"/>
      <c r="NTB64" s="2228"/>
      <c r="NTC64" s="2228"/>
      <c r="NTD64" s="2228"/>
      <c r="NTE64" s="2228"/>
      <c r="NTF64" s="2228"/>
      <c r="NTG64" s="2228"/>
      <c r="NTH64" s="2228"/>
      <c r="NTI64" s="2228"/>
      <c r="NTJ64" s="2228"/>
      <c r="NTK64" s="2228"/>
      <c r="NTL64" s="2228"/>
      <c r="NTM64" s="2228"/>
      <c r="NTN64" s="2228"/>
      <c r="NTO64" s="2228"/>
      <c r="NTP64" s="2227"/>
      <c r="NTQ64" s="2228"/>
      <c r="NTR64" s="2228"/>
      <c r="NTS64" s="2228"/>
      <c r="NTT64" s="2228"/>
      <c r="NTU64" s="2228"/>
      <c r="NTV64" s="2228"/>
      <c r="NTW64" s="2228"/>
      <c r="NTX64" s="2228"/>
      <c r="NTY64" s="2228"/>
      <c r="NTZ64" s="2228"/>
      <c r="NUA64" s="2228"/>
      <c r="NUB64" s="2228"/>
      <c r="NUC64" s="2228"/>
      <c r="NUD64" s="2228"/>
      <c r="NUE64" s="2228"/>
      <c r="NUF64" s="2227"/>
      <c r="NUG64" s="2228"/>
      <c r="NUH64" s="2228"/>
      <c r="NUI64" s="2228"/>
      <c r="NUJ64" s="2228"/>
      <c r="NUK64" s="2228"/>
      <c r="NUL64" s="2228"/>
      <c r="NUM64" s="2228"/>
      <c r="NUN64" s="2228"/>
      <c r="NUO64" s="2228"/>
      <c r="NUP64" s="2228"/>
      <c r="NUQ64" s="2228"/>
      <c r="NUR64" s="2228"/>
      <c r="NUS64" s="2228"/>
      <c r="NUT64" s="2228"/>
      <c r="NUU64" s="2228"/>
      <c r="NUV64" s="2227"/>
      <c r="NUW64" s="2228"/>
      <c r="NUX64" s="2228"/>
      <c r="NUY64" s="2228"/>
      <c r="NUZ64" s="2228"/>
      <c r="NVA64" s="2228"/>
      <c r="NVB64" s="2228"/>
      <c r="NVC64" s="2228"/>
      <c r="NVD64" s="2228"/>
      <c r="NVE64" s="2228"/>
      <c r="NVF64" s="2228"/>
      <c r="NVG64" s="2228"/>
      <c r="NVH64" s="2228"/>
      <c r="NVI64" s="2228"/>
      <c r="NVJ64" s="2228"/>
      <c r="NVK64" s="2228"/>
      <c r="NVL64" s="2227"/>
      <c r="NVM64" s="2228"/>
      <c r="NVN64" s="2228"/>
      <c r="NVO64" s="2228"/>
      <c r="NVP64" s="2228"/>
      <c r="NVQ64" s="2228"/>
      <c r="NVR64" s="2228"/>
      <c r="NVS64" s="2228"/>
      <c r="NVT64" s="2228"/>
      <c r="NVU64" s="2228"/>
      <c r="NVV64" s="2228"/>
      <c r="NVW64" s="2228"/>
      <c r="NVX64" s="2228"/>
      <c r="NVY64" s="2228"/>
      <c r="NVZ64" s="2228"/>
      <c r="NWA64" s="2228"/>
      <c r="NWB64" s="2227"/>
      <c r="NWC64" s="2228"/>
      <c r="NWD64" s="2228"/>
      <c r="NWE64" s="2228"/>
      <c r="NWF64" s="2228"/>
      <c r="NWG64" s="2228"/>
      <c r="NWH64" s="2228"/>
      <c r="NWI64" s="2228"/>
      <c r="NWJ64" s="2228"/>
      <c r="NWK64" s="2228"/>
      <c r="NWL64" s="2228"/>
      <c r="NWM64" s="2228"/>
      <c r="NWN64" s="2228"/>
      <c r="NWO64" s="2228"/>
      <c r="NWP64" s="2228"/>
      <c r="NWQ64" s="2228"/>
      <c r="NWR64" s="2227"/>
      <c r="NWS64" s="2228"/>
      <c r="NWT64" s="2228"/>
      <c r="NWU64" s="2228"/>
      <c r="NWV64" s="2228"/>
      <c r="NWW64" s="2228"/>
      <c r="NWX64" s="2228"/>
      <c r="NWY64" s="2228"/>
      <c r="NWZ64" s="2228"/>
      <c r="NXA64" s="2228"/>
      <c r="NXB64" s="2228"/>
      <c r="NXC64" s="2228"/>
      <c r="NXD64" s="2228"/>
      <c r="NXE64" s="2228"/>
      <c r="NXF64" s="2228"/>
      <c r="NXG64" s="2228"/>
      <c r="NXH64" s="2227"/>
      <c r="NXI64" s="2228"/>
      <c r="NXJ64" s="2228"/>
      <c r="NXK64" s="2228"/>
      <c r="NXL64" s="2228"/>
      <c r="NXM64" s="2228"/>
      <c r="NXN64" s="2228"/>
      <c r="NXO64" s="2228"/>
      <c r="NXP64" s="2228"/>
      <c r="NXQ64" s="2228"/>
      <c r="NXR64" s="2228"/>
      <c r="NXS64" s="2228"/>
      <c r="NXT64" s="2228"/>
      <c r="NXU64" s="2228"/>
      <c r="NXV64" s="2228"/>
      <c r="NXW64" s="2228"/>
      <c r="NXX64" s="2227"/>
      <c r="NXY64" s="2228"/>
      <c r="NXZ64" s="2228"/>
      <c r="NYA64" s="2228"/>
      <c r="NYB64" s="2228"/>
      <c r="NYC64" s="2228"/>
      <c r="NYD64" s="2228"/>
      <c r="NYE64" s="2228"/>
      <c r="NYF64" s="2228"/>
      <c r="NYG64" s="2228"/>
      <c r="NYH64" s="2228"/>
      <c r="NYI64" s="2228"/>
      <c r="NYJ64" s="2228"/>
      <c r="NYK64" s="2228"/>
      <c r="NYL64" s="2228"/>
      <c r="NYM64" s="2228"/>
      <c r="NYN64" s="2227"/>
      <c r="NYO64" s="2228"/>
      <c r="NYP64" s="2228"/>
      <c r="NYQ64" s="2228"/>
      <c r="NYR64" s="2228"/>
      <c r="NYS64" s="2228"/>
      <c r="NYT64" s="2228"/>
      <c r="NYU64" s="2228"/>
      <c r="NYV64" s="2228"/>
      <c r="NYW64" s="2228"/>
      <c r="NYX64" s="2228"/>
      <c r="NYY64" s="2228"/>
      <c r="NYZ64" s="2228"/>
      <c r="NZA64" s="2228"/>
      <c r="NZB64" s="2228"/>
      <c r="NZC64" s="2228"/>
      <c r="NZD64" s="2227"/>
      <c r="NZE64" s="2228"/>
      <c r="NZF64" s="2228"/>
      <c r="NZG64" s="2228"/>
      <c r="NZH64" s="2228"/>
      <c r="NZI64" s="2228"/>
      <c r="NZJ64" s="2228"/>
      <c r="NZK64" s="2228"/>
      <c r="NZL64" s="2228"/>
      <c r="NZM64" s="2228"/>
      <c r="NZN64" s="2228"/>
      <c r="NZO64" s="2228"/>
      <c r="NZP64" s="2228"/>
      <c r="NZQ64" s="2228"/>
      <c r="NZR64" s="2228"/>
      <c r="NZS64" s="2228"/>
      <c r="NZT64" s="2227"/>
      <c r="NZU64" s="2228"/>
      <c r="NZV64" s="2228"/>
      <c r="NZW64" s="2228"/>
      <c r="NZX64" s="2228"/>
      <c r="NZY64" s="2228"/>
      <c r="NZZ64" s="2228"/>
      <c r="OAA64" s="2228"/>
      <c r="OAB64" s="2228"/>
      <c r="OAC64" s="2228"/>
      <c r="OAD64" s="2228"/>
      <c r="OAE64" s="2228"/>
      <c r="OAF64" s="2228"/>
      <c r="OAG64" s="2228"/>
      <c r="OAH64" s="2228"/>
      <c r="OAI64" s="2228"/>
      <c r="OAJ64" s="2227"/>
      <c r="OAK64" s="2228"/>
      <c r="OAL64" s="2228"/>
      <c r="OAM64" s="2228"/>
      <c r="OAN64" s="2228"/>
      <c r="OAO64" s="2228"/>
      <c r="OAP64" s="2228"/>
      <c r="OAQ64" s="2228"/>
      <c r="OAR64" s="2228"/>
      <c r="OAS64" s="2228"/>
      <c r="OAT64" s="2228"/>
      <c r="OAU64" s="2228"/>
      <c r="OAV64" s="2228"/>
      <c r="OAW64" s="2228"/>
      <c r="OAX64" s="2228"/>
      <c r="OAY64" s="2228"/>
      <c r="OAZ64" s="2227"/>
      <c r="OBA64" s="2228"/>
      <c r="OBB64" s="2228"/>
      <c r="OBC64" s="2228"/>
      <c r="OBD64" s="2228"/>
      <c r="OBE64" s="2228"/>
      <c r="OBF64" s="2228"/>
      <c r="OBG64" s="2228"/>
      <c r="OBH64" s="2228"/>
      <c r="OBI64" s="2228"/>
      <c r="OBJ64" s="2228"/>
      <c r="OBK64" s="2228"/>
      <c r="OBL64" s="2228"/>
      <c r="OBM64" s="2228"/>
      <c r="OBN64" s="2228"/>
      <c r="OBO64" s="2228"/>
      <c r="OBP64" s="2227"/>
      <c r="OBQ64" s="2228"/>
      <c r="OBR64" s="2228"/>
      <c r="OBS64" s="2228"/>
      <c r="OBT64" s="2228"/>
      <c r="OBU64" s="2228"/>
      <c r="OBV64" s="2228"/>
      <c r="OBW64" s="2228"/>
      <c r="OBX64" s="2228"/>
      <c r="OBY64" s="2228"/>
      <c r="OBZ64" s="2228"/>
      <c r="OCA64" s="2228"/>
      <c r="OCB64" s="2228"/>
      <c r="OCC64" s="2228"/>
      <c r="OCD64" s="2228"/>
      <c r="OCE64" s="2228"/>
      <c r="OCF64" s="2227"/>
      <c r="OCG64" s="2228"/>
      <c r="OCH64" s="2228"/>
      <c r="OCI64" s="2228"/>
      <c r="OCJ64" s="2228"/>
      <c r="OCK64" s="2228"/>
      <c r="OCL64" s="2228"/>
      <c r="OCM64" s="2228"/>
      <c r="OCN64" s="2228"/>
      <c r="OCO64" s="2228"/>
      <c r="OCP64" s="2228"/>
      <c r="OCQ64" s="2228"/>
      <c r="OCR64" s="2228"/>
      <c r="OCS64" s="2228"/>
      <c r="OCT64" s="2228"/>
      <c r="OCU64" s="2228"/>
      <c r="OCV64" s="2227"/>
      <c r="OCW64" s="2228"/>
      <c r="OCX64" s="2228"/>
      <c r="OCY64" s="2228"/>
      <c r="OCZ64" s="2228"/>
      <c r="ODA64" s="2228"/>
      <c r="ODB64" s="2228"/>
      <c r="ODC64" s="2228"/>
      <c r="ODD64" s="2228"/>
      <c r="ODE64" s="2228"/>
      <c r="ODF64" s="2228"/>
      <c r="ODG64" s="2228"/>
      <c r="ODH64" s="2228"/>
      <c r="ODI64" s="2228"/>
      <c r="ODJ64" s="2228"/>
      <c r="ODK64" s="2228"/>
      <c r="ODL64" s="2227"/>
      <c r="ODM64" s="2228"/>
      <c r="ODN64" s="2228"/>
      <c r="ODO64" s="2228"/>
      <c r="ODP64" s="2228"/>
      <c r="ODQ64" s="2228"/>
      <c r="ODR64" s="2228"/>
      <c r="ODS64" s="2228"/>
      <c r="ODT64" s="2228"/>
      <c r="ODU64" s="2228"/>
      <c r="ODV64" s="2228"/>
      <c r="ODW64" s="2228"/>
      <c r="ODX64" s="2228"/>
      <c r="ODY64" s="2228"/>
      <c r="ODZ64" s="2228"/>
      <c r="OEA64" s="2228"/>
      <c r="OEB64" s="2227"/>
      <c r="OEC64" s="2228"/>
      <c r="OED64" s="2228"/>
      <c r="OEE64" s="2228"/>
      <c r="OEF64" s="2228"/>
      <c r="OEG64" s="2228"/>
      <c r="OEH64" s="2228"/>
      <c r="OEI64" s="2228"/>
      <c r="OEJ64" s="2228"/>
      <c r="OEK64" s="2228"/>
      <c r="OEL64" s="2228"/>
      <c r="OEM64" s="2228"/>
      <c r="OEN64" s="2228"/>
      <c r="OEO64" s="2228"/>
      <c r="OEP64" s="2228"/>
      <c r="OEQ64" s="2228"/>
      <c r="OER64" s="2227"/>
      <c r="OES64" s="2228"/>
      <c r="OET64" s="2228"/>
      <c r="OEU64" s="2228"/>
      <c r="OEV64" s="2228"/>
      <c r="OEW64" s="2228"/>
      <c r="OEX64" s="2228"/>
      <c r="OEY64" s="2228"/>
      <c r="OEZ64" s="2228"/>
      <c r="OFA64" s="2228"/>
      <c r="OFB64" s="2228"/>
      <c r="OFC64" s="2228"/>
      <c r="OFD64" s="2228"/>
      <c r="OFE64" s="2228"/>
      <c r="OFF64" s="2228"/>
      <c r="OFG64" s="2228"/>
      <c r="OFH64" s="2227"/>
      <c r="OFI64" s="2228"/>
      <c r="OFJ64" s="2228"/>
      <c r="OFK64" s="2228"/>
      <c r="OFL64" s="2228"/>
      <c r="OFM64" s="2228"/>
      <c r="OFN64" s="2228"/>
      <c r="OFO64" s="2228"/>
      <c r="OFP64" s="2228"/>
      <c r="OFQ64" s="2228"/>
      <c r="OFR64" s="2228"/>
      <c r="OFS64" s="2228"/>
      <c r="OFT64" s="2228"/>
      <c r="OFU64" s="2228"/>
      <c r="OFV64" s="2228"/>
      <c r="OFW64" s="2228"/>
      <c r="OFX64" s="2227"/>
      <c r="OFY64" s="2228"/>
      <c r="OFZ64" s="2228"/>
      <c r="OGA64" s="2228"/>
      <c r="OGB64" s="2228"/>
      <c r="OGC64" s="2228"/>
      <c r="OGD64" s="2228"/>
      <c r="OGE64" s="2228"/>
      <c r="OGF64" s="2228"/>
      <c r="OGG64" s="2228"/>
      <c r="OGH64" s="2228"/>
      <c r="OGI64" s="2228"/>
      <c r="OGJ64" s="2228"/>
      <c r="OGK64" s="2228"/>
      <c r="OGL64" s="2228"/>
      <c r="OGM64" s="2228"/>
      <c r="OGN64" s="2227"/>
      <c r="OGO64" s="2228"/>
      <c r="OGP64" s="2228"/>
      <c r="OGQ64" s="2228"/>
      <c r="OGR64" s="2228"/>
      <c r="OGS64" s="2228"/>
      <c r="OGT64" s="2228"/>
      <c r="OGU64" s="2228"/>
      <c r="OGV64" s="2228"/>
      <c r="OGW64" s="2228"/>
      <c r="OGX64" s="2228"/>
      <c r="OGY64" s="2228"/>
      <c r="OGZ64" s="2228"/>
      <c r="OHA64" s="2228"/>
      <c r="OHB64" s="2228"/>
      <c r="OHC64" s="2228"/>
      <c r="OHD64" s="2227"/>
      <c r="OHE64" s="2228"/>
      <c r="OHF64" s="2228"/>
      <c r="OHG64" s="2228"/>
      <c r="OHH64" s="2228"/>
      <c r="OHI64" s="2228"/>
      <c r="OHJ64" s="2228"/>
      <c r="OHK64" s="2228"/>
      <c r="OHL64" s="2228"/>
      <c r="OHM64" s="2228"/>
      <c r="OHN64" s="2228"/>
      <c r="OHO64" s="2228"/>
      <c r="OHP64" s="2228"/>
      <c r="OHQ64" s="2228"/>
      <c r="OHR64" s="2228"/>
      <c r="OHS64" s="2228"/>
      <c r="OHT64" s="2227"/>
      <c r="OHU64" s="2228"/>
      <c r="OHV64" s="2228"/>
      <c r="OHW64" s="2228"/>
      <c r="OHX64" s="2228"/>
      <c r="OHY64" s="2228"/>
      <c r="OHZ64" s="2228"/>
      <c r="OIA64" s="2228"/>
      <c r="OIB64" s="2228"/>
      <c r="OIC64" s="2228"/>
      <c r="OID64" s="2228"/>
      <c r="OIE64" s="2228"/>
      <c r="OIF64" s="2228"/>
      <c r="OIG64" s="2228"/>
      <c r="OIH64" s="2228"/>
      <c r="OII64" s="2228"/>
      <c r="OIJ64" s="2227"/>
      <c r="OIK64" s="2228"/>
      <c r="OIL64" s="2228"/>
      <c r="OIM64" s="2228"/>
      <c r="OIN64" s="2228"/>
      <c r="OIO64" s="2228"/>
      <c r="OIP64" s="2228"/>
      <c r="OIQ64" s="2228"/>
      <c r="OIR64" s="2228"/>
      <c r="OIS64" s="2228"/>
      <c r="OIT64" s="2228"/>
      <c r="OIU64" s="2228"/>
      <c r="OIV64" s="2228"/>
      <c r="OIW64" s="2228"/>
      <c r="OIX64" s="2228"/>
      <c r="OIY64" s="2228"/>
      <c r="OIZ64" s="2227"/>
      <c r="OJA64" s="2228"/>
      <c r="OJB64" s="2228"/>
      <c r="OJC64" s="2228"/>
      <c r="OJD64" s="2228"/>
      <c r="OJE64" s="2228"/>
      <c r="OJF64" s="2228"/>
      <c r="OJG64" s="2228"/>
      <c r="OJH64" s="2228"/>
      <c r="OJI64" s="2228"/>
      <c r="OJJ64" s="2228"/>
      <c r="OJK64" s="2228"/>
      <c r="OJL64" s="2228"/>
      <c r="OJM64" s="2228"/>
      <c r="OJN64" s="2228"/>
      <c r="OJO64" s="2228"/>
      <c r="OJP64" s="2227"/>
      <c r="OJQ64" s="2228"/>
      <c r="OJR64" s="2228"/>
      <c r="OJS64" s="2228"/>
      <c r="OJT64" s="2228"/>
      <c r="OJU64" s="2228"/>
      <c r="OJV64" s="2228"/>
      <c r="OJW64" s="2228"/>
      <c r="OJX64" s="2228"/>
      <c r="OJY64" s="2228"/>
      <c r="OJZ64" s="2228"/>
      <c r="OKA64" s="2228"/>
      <c r="OKB64" s="2228"/>
      <c r="OKC64" s="2228"/>
      <c r="OKD64" s="2228"/>
      <c r="OKE64" s="2228"/>
      <c r="OKF64" s="2227"/>
      <c r="OKG64" s="2228"/>
      <c r="OKH64" s="2228"/>
      <c r="OKI64" s="2228"/>
      <c r="OKJ64" s="2228"/>
      <c r="OKK64" s="2228"/>
      <c r="OKL64" s="2228"/>
      <c r="OKM64" s="2228"/>
      <c r="OKN64" s="2228"/>
      <c r="OKO64" s="2228"/>
      <c r="OKP64" s="2228"/>
      <c r="OKQ64" s="2228"/>
      <c r="OKR64" s="2228"/>
      <c r="OKS64" s="2228"/>
      <c r="OKT64" s="2228"/>
      <c r="OKU64" s="2228"/>
      <c r="OKV64" s="2227"/>
      <c r="OKW64" s="2228"/>
      <c r="OKX64" s="2228"/>
      <c r="OKY64" s="2228"/>
      <c r="OKZ64" s="2228"/>
      <c r="OLA64" s="2228"/>
      <c r="OLB64" s="2228"/>
      <c r="OLC64" s="2228"/>
      <c r="OLD64" s="2228"/>
      <c r="OLE64" s="2228"/>
      <c r="OLF64" s="2228"/>
      <c r="OLG64" s="2228"/>
      <c r="OLH64" s="2228"/>
      <c r="OLI64" s="2228"/>
      <c r="OLJ64" s="2228"/>
      <c r="OLK64" s="2228"/>
      <c r="OLL64" s="2227"/>
      <c r="OLM64" s="2228"/>
      <c r="OLN64" s="2228"/>
      <c r="OLO64" s="2228"/>
      <c r="OLP64" s="2228"/>
      <c r="OLQ64" s="2228"/>
      <c r="OLR64" s="2228"/>
      <c r="OLS64" s="2228"/>
      <c r="OLT64" s="2228"/>
      <c r="OLU64" s="2228"/>
      <c r="OLV64" s="2228"/>
      <c r="OLW64" s="2228"/>
      <c r="OLX64" s="2228"/>
      <c r="OLY64" s="2228"/>
      <c r="OLZ64" s="2228"/>
      <c r="OMA64" s="2228"/>
      <c r="OMB64" s="2227"/>
      <c r="OMC64" s="2228"/>
      <c r="OMD64" s="2228"/>
      <c r="OME64" s="2228"/>
      <c r="OMF64" s="2228"/>
      <c r="OMG64" s="2228"/>
      <c r="OMH64" s="2228"/>
      <c r="OMI64" s="2228"/>
      <c r="OMJ64" s="2228"/>
      <c r="OMK64" s="2228"/>
      <c r="OML64" s="2228"/>
      <c r="OMM64" s="2228"/>
      <c r="OMN64" s="2228"/>
      <c r="OMO64" s="2228"/>
      <c r="OMP64" s="2228"/>
      <c r="OMQ64" s="2228"/>
      <c r="OMR64" s="2227"/>
      <c r="OMS64" s="2228"/>
      <c r="OMT64" s="2228"/>
      <c r="OMU64" s="2228"/>
      <c r="OMV64" s="2228"/>
      <c r="OMW64" s="2228"/>
      <c r="OMX64" s="2228"/>
      <c r="OMY64" s="2228"/>
      <c r="OMZ64" s="2228"/>
      <c r="ONA64" s="2228"/>
      <c r="ONB64" s="2228"/>
      <c r="ONC64" s="2228"/>
      <c r="OND64" s="2228"/>
      <c r="ONE64" s="2228"/>
      <c r="ONF64" s="2228"/>
      <c r="ONG64" s="2228"/>
      <c r="ONH64" s="2227"/>
      <c r="ONI64" s="2228"/>
      <c r="ONJ64" s="2228"/>
      <c r="ONK64" s="2228"/>
      <c r="ONL64" s="2228"/>
      <c r="ONM64" s="2228"/>
      <c r="ONN64" s="2228"/>
      <c r="ONO64" s="2228"/>
      <c r="ONP64" s="2228"/>
      <c r="ONQ64" s="2228"/>
      <c r="ONR64" s="2228"/>
      <c r="ONS64" s="2228"/>
      <c r="ONT64" s="2228"/>
      <c r="ONU64" s="2228"/>
      <c r="ONV64" s="2228"/>
      <c r="ONW64" s="2228"/>
      <c r="ONX64" s="2227"/>
      <c r="ONY64" s="2228"/>
      <c r="ONZ64" s="2228"/>
      <c r="OOA64" s="2228"/>
      <c r="OOB64" s="2228"/>
      <c r="OOC64" s="2228"/>
      <c r="OOD64" s="2228"/>
      <c r="OOE64" s="2228"/>
      <c r="OOF64" s="2228"/>
      <c r="OOG64" s="2228"/>
      <c r="OOH64" s="2228"/>
      <c r="OOI64" s="2228"/>
      <c r="OOJ64" s="2228"/>
      <c r="OOK64" s="2228"/>
      <c r="OOL64" s="2228"/>
      <c r="OOM64" s="2228"/>
      <c r="OON64" s="2227"/>
      <c r="OOO64" s="2228"/>
      <c r="OOP64" s="2228"/>
      <c r="OOQ64" s="2228"/>
      <c r="OOR64" s="2228"/>
      <c r="OOS64" s="2228"/>
      <c r="OOT64" s="2228"/>
      <c r="OOU64" s="2228"/>
      <c r="OOV64" s="2228"/>
      <c r="OOW64" s="2228"/>
      <c r="OOX64" s="2228"/>
      <c r="OOY64" s="2228"/>
      <c r="OOZ64" s="2228"/>
      <c r="OPA64" s="2228"/>
      <c r="OPB64" s="2228"/>
      <c r="OPC64" s="2228"/>
      <c r="OPD64" s="2227"/>
      <c r="OPE64" s="2228"/>
      <c r="OPF64" s="2228"/>
      <c r="OPG64" s="2228"/>
      <c r="OPH64" s="2228"/>
      <c r="OPI64" s="2228"/>
      <c r="OPJ64" s="2228"/>
      <c r="OPK64" s="2228"/>
      <c r="OPL64" s="2228"/>
      <c r="OPM64" s="2228"/>
      <c r="OPN64" s="2228"/>
      <c r="OPO64" s="2228"/>
      <c r="OPP64" s="2228"/>
      <c r="OPQ64" s="2228"/>
      <c r="OPR64" s="2228"/>
      <c r="OPS64" s="2228"/>
      <c r="OPT64" s="2227"/>
      <c r="OPU64" s="2228"/>
      <c r="OPV64" s="2228"/>
      <c r="OPW64" s="2228"/>
      <c r="OPX64" s="2228"/>
      <c r="OPY64" s="2228"/>
      <c r="OPZ64" s="2228"/>
      <c r="OQA64" s="2228"/>
      <c r="OQB64" s="2228"/>
      <c r="OQC64" s="2228"/>
      <c r="OQD64" s="2228"/>
      <c r="OQE64" s="2228"/>
      <c r="OQF64" s="2228"/>
      <c r="OQG64" s="2228"/>
      <c r="OQH64" s="2228"/>
      <c r="OQI64" s="2228"/>
      <c r="OQJ64" s="2227"/>
      <c r="OQK64" s="2228"/>
      <c r="OQL64" s="2228"/>
      <c r="OQM64" s="2228"/>
      <c r="OQN64" s="2228"/>
      <c r="OQO64" s="2228"/>
      <c r="OQP64" s="2228"/>
      <c r="OQQ64" s="2228"/>
      <c r="OQR64" s="2228"/>
      <c r="OQS64" s="2228"/>
      <c r="OQT64" s="2228"/>
      <c r="OQU64" s="2228"/>
      <c r="OQV64" s="2228"/>
      <c r="OQW64" s="2228"/>
      <c r="OQX64" s="2228"/>
      <c r="OQY64" s="2228"/>
      <c r="OQZ64" s="2227"/>
      <c r="ORA64" s="2228"/>
      <c r="ORB64" s="2228"/>
      <c r="ORC64" s="2228"/>
      <c r="ORD64" s="2228"/>
      <c r="ORE64" s="2228"/>
      <c r="ORF64" s="2228"/>
      <c r="ORG64" s="2228"/>
      <c r="ORH64" s="2228"/>
      <c r="ORI64" s="2228"/>
      <c r="ORJ64" s="2228"/>
      <c r="ORK64" s="2228"/>
      <c r="ORL64" s="2228"/>
      <c r="ORM64" s="2228"/>
      <c r="ORN64" s="2228"/>
      <c r="ORO64" s="2228"/>
      <c r="ORP64" s="2227"/>
      <c r="ORQ64" s="2228"/>
      <c r="ORR64" s="2228"/>
      <c r="ORS64" s="2228"/>
      <c r="ORT64" s="2228"/>
      <c r="ORU64" s="2228"/>
      <c r="ORV64" s="2228"/>
      <c r="ORW64" s="2228"/>
      <c r="ORX64" s="2228"/>
      <c r="ORY64" s="2228"/>
      <c r="ORZ64" s="2228"/>
      <c r="OSA64" s="2228"/>
      <c r="OSB64" s="2228"/>
      <c r="OSC64" s="2228"/>
      <c r="OSD64" s="2228"/>
      <c r="OSE64" s="2228"/>
      <c r="OSF64" s="2227"/>
      <c r="OSG64" s="2228"/>
      <c r="OSH64" s="2228"/>
      <c r="OSI64" s="2228"/>
      <c r="OSJ64" s="2228"/>
      <c r="OSK64" s="2228"/>
      <c r="OSL64" s="2228"/>
      <c r="OSM64" s="2228"/>
      <c r="OSN64" s="2228"/>
      <c r="OSO64" s="2228"/>
      <c r="OSP64" s="2228"/>
      <c r="OSQ64" s="2228"/>
      <c r="OSR64" s="2228"/>
      <c r="OSS64" s="2228"/>
      <c r="OST64" s="2228"/>
      <c r="OSU64" s="2228"/>
      <c r="OSV64" s="2227"/>
      <c r="OSW64" s="2228"/>
      <c r="OSX64" s="2228"/>
      <c r="OSY64" s="2228"/>
      <c r="OSZ64" s="2228"/>
      <c r="OTA64" s="2228"/>
      <c r="OTB64" s="2228"/>
      <c r="OTC64" s="2228"/>
      <c r="OTD64" s="2228"/>
      <c r="OTE64" s="2228"/>
      <c r="OTF64" s="2228"/>
      <c r="OTG64" s="2228"/>
      <c r="OTH64" s="2228"/>
      <c r="OTI64" s="2228"/>
      <c r="OTJ64" s="2228"/>
      <c r="OTK64" s="2228"/>
      <c r="OTL64" s="2227"/>
      <c r="OTM64" s="2228"/>
      <c r="OTN64" s="2228"/>
      <c r="OTO64" s="2228"/>
      <c r="OTP64" s="2228"/>
      <c r="OTQ64" s="2228"/>
      <c r="OTR64" s="2228"/>
      <c r="OTS64" s="2228"/>
      <c r="OTT64" s="2228"/>
      <c r="OTU64" s="2228"/>
      <c r="OTV64" s="2228"/>
      <c r="OTW64" s="2228"/>
      <c r="OTX64" s="2228"/>
      <c r="OTY64" s="2228"/>
      <c r="OTZ64" s="2228"/>
      <c r="OUA64" s="2228"/>
      <c r="OUB64" s="2227"/>
      <c r="OUC64" s="2228"/>
      <c r="OUD64" s="2228"/>
      <c r="OUE64" s="2228"/>
      <c r="OUF64" s="2228"/>
      <c r="OUG64" s="2228"/>
      <c r="OUH64" s="2228"/>
      <c r="OUI64" s="2228"/>
      <c r="OUJ64" s="2228"/>
      <c r="OUK64" s="2228"/>
      <c r="OUL64" s="2228"/>
      <c r="OUM64" s="2228"/>
      <c r="OUN64" s="2228"/>
      <c r="OUO64" s="2228"/>
      <c r="OUP64" s="2228"/>
      <c r="OUQ64" s="2228"/>
      <c r="OUR64" s="2227"/>
      <c r="OUS64" s="2228"/>
      <c r="OUT64" s="2228"/>
      <c r="OUU64" s="2228"/>
      <c r="OUV64" s="2228"/>
      <c r="OUW64" s="2228"/>
      <c r="OUX64" s="2228"/>
      <c r="OUY64" s="2228"/>
      <c r="OUZ64" s="2228"/>
      <c r="OVA64" s="2228"/>
      <c r="OVB64" s="2228"/>
      <c r="OVC64" s="2228"/>
      <c r="OVD64" s="2228"/>
      <c r="OVE64" s="2228"/>
      <c r="OVF64" s="2228"/>
      <c r="OVG64" s="2228"/>
      <c r="OVH64" s="2227"/>
      <c r="OVI64" s="2228"/>
      <c r="OVJ64" s="2228"/>
      <c r="OVK64" s="2228"/>
      <c r="OVL64" s="2228"/>
      <c r="OVM64" s="2228"/>
      <c r="OVN64" s="2228"/>
      <c r="OVO64" s="2228"/>
      <c r="OVP64" s="2228"/>
      <c r="OVQ64" s="2228"/>
      <c r="OVR64" s="2228"/>
      <c r="OVS64" s="2228"/>
      <c r="OVT64" s="2228"/>
      <c r="OVU64" s="2228"/>
      <c r="OVV64" s="2228"/>
      <c r="OVW64" s="2228"/>
      <c r="OVX64" s="2227"/>
      <c r="OVY64" s="2228"/>
      <c r="OVZ64" s="2228"/>
      <c r="OWA64" s="2228"/>
      <c r="OWB64" s="2228"/>
      <c r="OWC64" s="2228"/>
      <c r="OWD64" s="2228"/>
      <c r="OWE64" s="2228"/>
      <c r="OWF64" s="2228"/>
      <c r="OWG64" s="2228"/>
      <c r="OWH64" s="2228"/>
      <c r="OWI64" s="2228"/>
      <c r="OWJ64" s="2228"/>
      <c r="OWK64" s="2228"/>
      <c r="OWL64" s="2228"/>
      <c r="OWM64" s="2228"/>
      <c r="OWN64" s="2227"/>
      <c r="OWO64" s="2228"/>
      <c r="OWP64" s="2228"/>
      <c r="OWQ64" s="2228"/>
      <c r="OWR64" s="2228"/>
      <c r="OWS64" s="2228"/>
      <c r="OWT64" s="2228"/>
      <c r="OWU64" s="2228"/>
      <c r="OWV64" s="2228"/>
      <c r="OWW64" s="2228"/>
      <c r="OWX64" s="2228"/>
      <c r="OWY64" s="2228"/>
      <c r="OWZ64" s="2228"/>
      <c r="OXA64" s="2228"/>
      <c r="OXB64" s="2228"/>
      <c r="OXC64" s="2228"/>
      <c r="OXD64" s="2227"/>
      <c r="OXE64" s="2228"/>
      <c r="OXF64" s="2228"/>
      <c r="OXG64" s="2228"/>
      <c r="OXH64" s="2228"/>
      <c r="OXI64" s="2228"/>
      <c r="OXJ64" s="2228"/>
      <c r="OXK64" s="2228"/>
      <c r="OXL64" s="2228"/>
      <c r="OXM64" s="2228"/>
      <c r="OXN64" s="2228"/>
      <c r="OXO64" s="2228"/>
      <c r="OXP64" s="2228"/>
      <c r="OXQ64" s="2228"/>
      <c r="OXR64" s="2228"/>
      <c r="OXS64" s="2228"/>
      <c r="OXT64" s="2227"/>
      <c r="OXU64" s="2228"/>
      <c r="OXV64" s="2228"/>
      <c r="OXW64" s="2228"/>
      <c r="OXX64" s="2228"/>
      <c r="OXY64" s="2228"/>
      <c r="OXZ64" s="2228"/>
      <c r="OYA64" s="2228"/>
      <c r="OYB64" s="2228"/>
      <c r="OYC64" s="2228"/>
      <c r="OYD64" s="2228"/>
      <c r="OYE64" s="2228"/>
      <c r="OYF64" s="2228"/>
      <c r="OYG64" s="2228"/>
      <c r="OYH64" s="2228"/>
      <c r="OYI64" s="2228"/>
      <c r="OYJ64" s="2227"/>
      <c r="OYK64" s="2228"/>
      <c r="OYL64" s="2228"/>
      <c r="OYM64" s="2228"/>
      <c r="OYN64" s="2228"/>
      <c r="OYO64" s="2228"/>
      <c r="OYP64" s="2228"/>
      <c r="OYQ64" s="2228"/>
      <c r="OYR64" s="2228"/>
      <c r="OYS64" s="2228"/>
      <c r="OYT64" s="2228"/>
      <c r="OYU64" s="2228"/>
      <c r="OYV64" s="2228"/>
      <c r="OYW64" s="2228"/>
      <c r="OYX64" s="2228"/>
      <c r="OYY64" s="2228"/>
      <c r="OYZ64" s="2227"/>
      <c r="OZA64" s="2228"/>
      <c r="OZB64" s="2228"/>
      <c r="OZC64" s="2228"/>
      <c r="OZD64" s="2228"/>
      <c r="OZE64" s="2228"/>
      <c r="OZF64" s="2228"/>
      <c r="OZG64" s="2228"/>
      <c r="OZH64" s="2228"/>
      <c r="OZI64" s="2228"/>
      <c r="OZJ64" s="2228"/>
      <c r="OZK64" s="2228"/>
      <c r="OZL64" s="2228"/>
      <c r="OZM64" s="2228"/>
      <c r="OZN64" s="2228"/>
      <c r="OZO64" s="2228"/>
      <c r="OZP64" s="2227"/>
      <c r="OZQ64" s="2228"/>
      <c r="OZR64" s="2228"/>
      <c r="OZS64" s="2228"/>
      <c r="OZT64" s="2228"/>
      <c r="OZU64" s="2228"/>
      <c r="OZV64" s="2228"/>
      <c r="OZW64" s="2228"/>
      <c r="OZX64" s="2228"/>
      <c r="OZY64" s="2228"/>
      <c r="OZZ64" s="2228"/>
      <c r="PAA64" s="2228"/>
      <c r="PAB64" s="2228"/>
      <c r="PAC64" s="2228"/>
      <c r="PAD64" s="2228"/>
      <c r="PAE64" s="2228"/>
      <c r="PAF64" s="2227"/>
      <c r="PAG64" s="2228"/>
      <c r="PAH64" s="2228"/>
      <c r="PAI64" s="2228"/>
      <c r="PAJ64" s="2228"/>
      <c r="PAK64" s="2228"/>
      <c r="PAL64" s="2228"/>
      <c r="PAM64" s="2228"/>
      <c r="PAN64" s="2228"/>
      <c r="PAO64" s="2228"/>
      <c r="PAP64" s="2228"/>
      <c r="PAQ64" s="2228"/>
      <c r="PAR64" s="2228"/>
      <c r="PAS64" s="2228"/>
      <c r="PAT64" s="2228"/>
      <c r="PAU64" s="2228"/>
      <c r="PAV64" s="2227"/>
      <c r="PAW64" s="2228"/>
      <c r="PAX64" s="2228"/>
      <c r="PAY64" s="2228"/>
      <c r="PAZ64" s="2228"/>
      <c r="PBA64" s="2228"/>
      <c r="PBB64" s="2228"/>
      <c r="PBC64" s="2228"/>
      <c r="PBD64" s="2228"/>
      <c r="PBE64" s="2228"/>
      <c r="PBF64" s="2228"/>
      <c r="PBG64" s="2228"/>
      <c r="PBH64" s="2228"/>
      <c r="PBI64" s="2228"/>
      <c r="PBJ64" s="2228"/>
      <c r="PBK64" s="2228"/>
      <c r="PBL64" s="2227"/>
      <c r="PBM64" s="2228"/>
      <c r="PBN64" s="2228"/>
      <c r="PBO64" s="2228"/>
      <c r="PBP64" s="2228"/>
      <c r="PBQ64" s="2228"/>
      <c r="PBR64" s="2228"/>
      <c r="PBS64" s="2228"/>
      <c r="PBT64" s="2228"/>
      <c r="PBU64" s="2228"/>
      <c r="PBV64" s="2228"/>
      <c r="PBW64" s="2228"/>
      <c r="PBX64" s="2228"/>
      <c r="PBY64" s="2228"/>
      <c r="PBZ64" s="2228"/>
      <c r="PCA64" s="2228"/>
      <c r="PCB64" s="2227"/>
      <c r="PCC64" s="2228"/>
      <c r="PCD64" s="2228"/>
      <c r="PCE64" s="2228"/>
      <c r="PCF64" s="2228"/>
      <c r="PCG64" s="2228"/>
      <c r="PCH64" s="2228"/>
      <c r="PCI64" s="2228"/>
      <c r="PCJ64" s="2228"/>
      <c r="PCK64" s="2228"/>
      <c r="PCL64" s="2228"/>
      <c r="PCM64" s="2228"/>
      <c r="PCN64" s="2228"/>
      <c r="PCO64" s="2228"/>
      <c r="PCP64" s="2228"/>
      <c r="PCQ64" s="2228"/>
      <c r="PCR64" s="2227"/>
      <c r="PCS64" s="2228"/>
      <c r="PCT64" s="2228"/>
      <c r="PCU64" s="2228"/>
      <c r="PCV64" s="2228"/>
      <c r="PCW64" s="2228"/>
      <c r="PCX64" s="2228"/>
      <c r="PCY64" s="2228"/>
      <c r="PCZ64" s="2228"/>
      <c r="PDA64" s="2228"/>
      <c r="PDB64" s="2228"/>
      <c r="PDC64" s="2228"/>
      <c r="PDD64" s="2228"/>
      <c r="PDE64" s="2228"/>
      <c r="PDF64" s="2228"/>
      <c r="PDG64" s="2228"/>
      <c r="PDH64" s="2227"/>
      <c r="PDI64" s="2228"/>
      <c r="PDJ64" s="2228"/>
      <c r="PDK64" s="2228"/>
      <c r="PDL64" s="2228"/>
      <c r="PDM64" s="2228"/>
      <c r="PDN64" s="2228"/>
      <c r="PDO64" s="2228"/>
      <c r="PDP64" s="2228"/>
      <c r="PDQ64" s="2228"/>
      <c r="PDR64" s="2228"/>
      <c r="PDS64" s="2228"/>
      <c r="PDT64" s="2228"/>
      <c r="PDU64" s="2228"/>
      <c r="PDV64" s="2228"/>
      <c r="PDW64" s="2228"/>
      <c r="PDX64" s="2227"/>
      <c r="PDY64" s="2228"/>
      <c r="PDZ64" s="2228"/>
      <c r="PEA64" s="2228"/>
      <c r="PEB64" s="2228"/>
      <c r="PEC64" s="2228"/>
      <c r="PED64" s="2228"/>
      <c r="PEE64" s="2228"/>
      <c r="PEF64" s="2228"/>
      <c r="PEG64" s="2228"/>
      <c r="PEH64" s="2228"/>
      <c r="PEI64" s="2228"/>
      <c r="PEJ64" s="2228"/>
      <c r="PEK64" s="2228"/>
      <c r="PEL64" s="2228"/>
      <c r="PEM64" s="2228"/>
      <c r="PEN64" s="2227"/>
      <c r="PEO64" s="2228"/>
      <c r="PEP64" s="2228"/>
      <c r="PEQ64" s="2228"/>
      <c r="PER64" s="2228"/>
      <c r="PES64" s="2228"/>
      <c r="PET64" s="2228"/>
      <c r="PEU64" s="2228"/>
      <c r="PEV64" s="2228"/>
      <c r="PEW64" s="2228"/>
      <c r="PEX64" s="2228"/>
      <c r="PEY64" s="2228"/>
      <c r="PEZ64" s="2228"/>
      <c r="PFA64" s="2228"/>
      <c r="PFB64" s="2228"/>
      <c r="PFC64" s="2228"/>
      <c r="PFD64" s="2227"/>
      <c r="PFE64" s="2228"/>
      <c r="PFF64" s="2228"/>
      <c r="PFG64" s="2228"/>
      <c r="PFH64" s="2228"/>
      <c r="PFI64" s="2228"/>
      <c r="PFJ64" s="2228"/>
      <c r="PFK64" s="2228"/>
      <c r="PFL64" s="2228"/>
      <c r="PFM64" s="2228"/>
      <c r="PFN64" s="2228"/>
      <c r="PFO64" s="2228"/>
      <c r="PFP64" s="2228"/>
      <c r="PFQ64" s="2228"/>
      <c r="PFR64" s="2228"/>
      <c r="PFS64" s="2228"/>
      <c r="PFT64" s="2227"/>
      <c r="PFU64" s="2228"/>
      <c r="PFV64" s="2228"/>
      <c r="PFW64" s="2228"/>
      <c r="PFX64" s="2228"/>
      <c r="PFY64" s="2228"/>
      <c r="PFZ64" s="2228"/>
      <c r="PGA64" s="2228"/>
      <c r="PGB64" s="2228"/>
      <c r="PGC64" s="2228"/>
      <c r="PGD64" s="2228"/>
      <c r="PGE64" s="2228"/>
      <c r="PGF64" s="2228"/>
      <c r="PGG64" s="2228"/>
      <c r="PGH64" s="2228"/>
      <c r="PGI64" s="2228"/>
      <c r="PGJ64" s="2227"/>
      <c r="PGK64" s="2228"/>
      <c r="PGL64" s="2228"/>
      <c r="PGM64" s="2228"/>
      <c r="PGN64" s="2228"/>
      <c r="PGO64" s="2228"/>
      <c r="PGP64" s="2228"/>
      <c r="PGQ64" s="2228"/>
      <c r="PGR64" s="2228"/>
      <c r="PGS64" s="2228"/>
      <c r="PGT64" s="2228"/>
      <c r="PGU64" s="2228"/>
      <c r="PGV64" s="2228"/>
      <c r="PGW64" s="2228"/>
      <c r="PGX64" s="2228"/>
      <c r="PGY64" s="2228"/>
      <c r="PGZ64" s="2227"/>
      <c r="PHA64" s="2228"/>
      <c r="PHB64" s="2228"/>
      <c r="PHC64" s="2228"/>
      <c r="PHD64" s="2228"/>
      <c r="PHE64" s="2228"/>
      <c r="PHF64" s="2228"/>
      <c r="PHG64" s="2228"/>
      <c r="PHH64" s="2228"/>
      <c r="PHI64" s="2228"/>
      <c r="PHJ64" s="2228"/>
      <c r="PHK64" s="2228"/>
      <c r="PHL64" s="2228"/>
      <c r="PHM64" s="2228"/>
      <c r="PHN64" s="2228"/>
      <c r="PHO64" s="2228"/>
      <c r="PHP64" s="2227"/>
      <c r="PHQ64" s="2228"/>
      <c r="PHR64" s="2228"/>
      <c r="PHS64" s="2228"/>
      <c r="PHT64" s="2228"/>
      <c r="PHU64" s="2228"/>
      <c r="PHV64" s="2228"/>
      <c r="PHW64" s="2228"/>
      <c r="PHX64" s="2228"/>
      <c r="PHY64" s="2228"/>
      <c r="PHZ64" s="2228"/>
      <c r="PIA64" s="2228"/>
      <c r="PIB64" s="2228"/>
      <c r="PIC64" s="2228"/>
      <c r="PID64" s="2228"/>
      <c r="PIE64" s="2228"/>
      <c r="PIF64" s="2227"/>
      <c r="PIG64" s="2228"/>
      <c r="PIH64" s="2228"/>
      <c r="PII64" s="2228"/>
      <c r="PIJ64" s="2228"/>
      <c r="PIK64" s="2228"/>
      <c r="PIL64" s="2228"/>
      <c r="PIM64" s="2228"/>
      <c r="PIN64" s="2228"/>
      <c r="PIO64" s="2228"/>
      <c r="PIP64" s="2228"/>
      <c r="PIQ64" s="2228"/>
      <c r="PIR64" s="2228"/>
      <c r="PIS64" s="2228"/>
      <c r="PIT64" s="2228"/>
      <c r="PIU64" s="2228"/>
      <c r="PIV64" s="2227"/>
      <c r="PIW64" s="2228"/>
      <c r="PIX64" s="2228"/>
      <c r="PIY64" s="2228"/>
      <c r="PIZ64" s="2228"/>
      <c r="PJA64" s="2228"/>
      <c r="PJB64" s="2228"/>
      <c r="PJC64" s="2228"/>
      <c r="PJD64" s="2228"/>
      <c r="PJE64" s="2228"/>
      <c r="PJF64" s="2228"/>
      <c r="PJG64" s="2228"/>
      <c r="PJH64" s="2228"/>
      <c r="PJI64" s="2228"/>
      <c r="PJJ64" s="2228"/>
      <c r="PJK64" s="2228"/>
      <c r="PJL64" s="2227"/>
      <c r="PJM64" s="2228"/>
      <c r="PJN64" s="2228"/>
      <c r="PJO64" s="2228"/>
      <c r="PJP64" s="2228"/>
      <c r="PJQ64" s="2228"/>
      <c r="PJR64" s="2228"/>
      <c r="PJS64" s="2228"/>
      <c r="PJT64" s="2228"/>
      <c r="PJU64" s="2228"/>
      <c r="PJV64" s="2228"/>
      <c r="PJW64" s="2228"/>
      <c r="PJX64" s="2228"/>
      <c r="PJY64" s="2228"/>
      <c r="PJZ64" s="2228"/>
      <c r="PKA64" s="2228"/>
      <c r="PKB64" s="2227"/>
      <c r="PKC64" s="2228"/>
      <c r="PKD64" s="2228"/>
      <c r="PKE64" s="2228"/>
      <c r="PKF64" s="2228"/>
      <c r="PKG64" s="2228"/>
      <c r="PKH64" s="2228"/>
      <c r="PKI64" s="2228"/>
      <c r="PKJ64" s="2228"/>
      <c r="PKK64" s="2228"/>
      <c r="PKL64" s="2228"/>
      <c r="PKM64" s="2228"/>
      <c r="PKN64" s="2228"/>
      <c r="PKO64" s="2228"/>
      <c r="PKP64" s="2228"/>
      <c r="PKQ64" s="2228"/>
      <c r="PKR64" s="2227"/>
      <c r="PKS64" s="2228"/>
      <c r="PKT64" s="2228"/>
      <c r="PKU64" s="2228"/>
      <c r="PKV64" s="2228"/>
      <c r="PKW64" s="2228"/>
      <c r="PKX64" s="2228"/>
      <c r="PKY64" s="2228"/>
      <c r="PKZ64" s="2228"/>
      <c r="PLA64" s="2228"/>
      <c r="PLB64" s="2228"/>
      <c r="PLC64" s="2228"/>
      <c r="PLD64" s="2228"/>
      <c r="PLE64" s="2228"/>
      <c r="PLF64" s="2228"/>
      <c r="PLG64" s="2228"/>
      <c r="PLH64" s="2227"/>
      <c r="PLI64" s="2228"/>
      <c r="PLJ64" s="2228"/>
      <c r="PLK64" s="2228"/>
      <c r="PLL64" s="2228"/>
      <c r="PLM64" s="2228"/>
      <c r="PLN64" s="2228"/>
      <c r="PLO64" s="2228"/>
      <c r="PLP64" s="2228"/>
      <c r="PLQ64" s="2228"/>
      <c r="PLR64" s="2228"/>
      <c r="PLS64" s="2228"/>
      <c r="PLT64" s="2228"/>
      <c r="PLU64" s="2228"/>
      <c r="PLV64" s="2228"/>
      <c r="PLW64" s="2228"/>
      <c r="PLX64" s="2227"/>
      <c r="PLY64" s="2228"/>
      <c r="PLZ64" s="2228"/>
      <c r="PMA64" s="2228"/>
      <c r="PMB64" s="2228"/>
      <c r="PMC64" s="2228"/>
      <c r="PMD64" s="2228"/>
      <c r="PME64" s="2228"/>
      <c r="PMF64" s="2228"/>
      <c r="PMG64" s="2228"/>
      <c r="PMH64" s="2228"/>
      <c r="PMI64" s="2228"/>
      <c r="PMJ64" s="2228"/>
      <c r="PMK64" s="2228"/>
      <c r="PML64" s="2228"/>
      <c r="PMM64" s="2228"/>
      <c r="PMN64" s="2227"/>
      <c r="PMO64" s="2228"/>
      <c r="PMP64" s="2228"/>
      <c r="PMQ64" s="2228"/>
      <c r="PMR64" s="2228"/>
      <c r="PMS64" s="2228"/>
      <c r="PMT64" s="2228"/>
      <c r="PMU64" s="2228"/>
      <c r="PMV64" s="2228"/>
      <c r="PMW64" s="2228"/>
      <c r="PMX64" s="2228"/>
      <c r="PMY64" s="2228"/>
      <c r="PMZ64" s="2228"/>
      <c r="PNA64" s="2228"/>
      <c r="PNB64" s="2228"/>
      <c r="PNC64" s="2228"/>
      <c r="PND64" s="2227"/>
      <c r="PNE64" s="2228"/>
      <c r="PNF64" s="2228"/>
      <c r="PNG64" s="2228"/>
      <c r="PNH64" s="2228"/>
      <c r="PNI64" s="2228"/>
      <c r="PNJ64" s="2228"/>
      <c r="PNK64" s="2228"/>
      <c r="PNL64" s="2228"/>
      <c r="PNM64" s="2228"/>
      <c r="PNN64" s="2228"/>
      <c r="PNO64" s="2228"/>
      <c r="PNP64" s="2228"/>
      <c r="PNQ64" s="2228"/>
      <c r="PNR64" s="2228"/>
      <c r="PNS64" s="2228"/>
      <c r="PNT64" s="2227"/>
      <c r="PNU64" s="2228"/>
      <c r="PNV64" s="2228"/>
      <c r="PNW64" s="2228"/>
      <c r="PNX64" s="2228"/>
      <c r="PNY64" s="2228"/>
      <c r="PNZ64" s="2228"/>
      <c r="POA64" s="2228"/>
      <c r="POB64" s="2228"/>
      <c r="POC64" s="2228"/>
      <c r="POD64" s="2228"/>
      <c r="POE64" s="2228"/>
      <c r="POF64" s="2228"/>
      <c r="POG64" s="2228"/>
      <c r="POH64" s="2228"/>
      <c r="POI64" s="2228"/>
      <c r="POJ64" s="2227"/>
      <c r="POK64" s="2228"/>
      <c r="POL64" s="2228"/>
      <c r="POM64" s="2228"/>
      <c r="PON64" s="2228"/>
      <c r="POO64" s="2228"/>
      <c r="POP64" s="2228"/>
      <c r="POQ64" s="2228"/>
      <c r="POR64" s="2228"/>
      <c r="POS64" s="2228"/>
      <c r="POT64" s="2228"/>
      <c r="POU64" s="2228"/>
      <c r="POV64" s="2228"/>
      <c r="POW64" s="2228"/>
      <c r="POX64" s="2228"/>
      <c r="POY64" s="2228"/>
      <c r="POZ64" s="2227"/>
      <c r="PPA64" s="2228"/>
      <c r="PPB64" s="2228"/>
      <c r="PPC64" s="2228"/>
      <c r="PPD64" s="2228"/>
      <c r="PPE64" s="2228"/>
      <c r="PPF64" s="2228"/>
      <c r="PPG64" s="2228"/>
      <c r="PPH64" s="2228"/>
      <c r="PPI64" s="2228"/>
      <c r="PPJ64" s="2228"/>
      <c r="PPK64" s="2228"/>
      <c r="PPL64" s="2228"/>
      <c r="PPM64" s="2228"/>
      <c r="PPN64" s="2228"/>
      <c r="PPO64" s="2228"/>
      <c r="PPP64" s="2227"/>
      <c r="PPQ64" s="2228"/>
      <c r="PPR64" s="2228"/>
      <c r="PPS64" s="2228"/>
      <c r="PPT64" s="2228"/>
      <c r="PPU64" s="2228"/>
      <c r="PPV64" s="2228"/>
      <c r="PPW64" s="2228"/>
      <c r="PPX64" s="2228"/>
      <c r="PPY64" s="2228"/>
      <c r="PPZ64" s="2228"/>
      <c r="PQA64" s="2228"/>
      <c r="PQB64" s="2228"/>
      <c r="PQC64" s="2228"/>
      <c r="PQD64" s="2228"/>
      <c r="PQE64" s="2228"/>
      <c r="PQF64" s="2227"/>
      <c r="PQG64" s="2228"/>
      <c r="PQH64" s="2228"/>
      <c r="PQI64" s="2228"/>
      <c r="PQJ64" s="2228"/>
      <c r="PQK64" s="2228"/>
      <c r="PQL64" s="2228"/>
      <c r="PQM64" s="2228"/>
      <c r="PQN64" s="2228"/>
      <c r="PQO64" s="2228"/>
      <c r="PQP64" s="2228"/>
      <c r="PQQ64" s="2228"/>
      <c r="PQR64" s="2228"/>
      <c r="PQS64" s="2228"/>
      <c r="PQT64" s="2228"/>
      <c r="PQU64" s="2228"/>
      <c r="PQV64" s="2227"/>
      <c r="PQW64" s="2228"/>
      <c r="PQX64" s="2228"/>
      <c r="PQY64" s="2228"/>
      <c r="PQZ64" s="2228"/>
      <c r="PRA64" s="2228"/>
      <c r="PRB64" s="2228"/>
      <c r="PRC64" s="2228"/>
      <c r="PRD64" s="2228"/>
      <c r="PRE64" s="2228"/>
      <c r="PRF64" s="2228"/>
      <c r="PRG64" s="2228"/>
      <c r="PRH64" s="2228"/>
      <c r="PRI64" s="2228"/>
      <c r="PRJ64" s="2228"/>
      <c r="PRK64" s="2228"/>
      <c r="PRL64" s="2227"/>
      <c r="PRM64" s="2228"/>
      <c r="PRN64" s="2228"/>
      <c r="PRO64" s="2228"/>
      <c r="PRP64" s="2228"/>
      <c r="PRQ64" s="2228"/>
      <c r="PRR64" s="2228"/>
      <c r="PRS64" s="2228"/>
      <c r="PRT64" s="2228"/>
      <c r="PRU64" s="2228"/>
      <c r="PRV64" s="2228"/>
      <c r="PRW64" s="2228"/>
      <c r="PRX64" s="2228"/>
      <c r="PRY64" s="2228"/>
      <c r="PRZ64" s="2228"/>
      <c r="PSA64" s="2228"/>
      <c r="PSB64" s="2227"/>
      <c r="PSC64" s="2228"/>
      <c r="PSD64" s="2228"/>
      <c r="PSE64" s="2228"/>
      <c r="PSF64" s="2228"/>
      <c r="PSG64" s="2228"/>
      <c r="PSH64" s="2228"/>
      <c r="PSI64" s="2228"/>
      <c r="PSJ64" s="2228"/>
      <c r="PSK64" s="2228"/>
      <c r="PSL64" s="2228"/>
      <c r="PSM64" s="2228"/>
      <c r="PSN64" s="2228"/>
      <c r="PSO64" s="2228"/>
      <c r="PSP64" s="2228"/>
      <c r="PSQ64" s="2228"/>
      <c r="PSR64" s="2227"/>
      <c r="PSS64" s="2228"/>
      <c r="PST64" s="2228"/>
      <c r="PSU64" s="2228"/>
      <c r="PSV64" s="2228"/>
      <c r="PSW64" s="2228"/>
      <c r="PSX64" s="2228"/>
      <c r="PSY64" s="2228"/>
      <c r="PSZ64" s="2228"/>
      <c r="PTA64" s="2228"/>
      <c r="PTB64" s="2228"/>
      <c r="PTC64" s="2228"/>
      <c r="PTD64" s="2228"/>
      <c r="PTE64" s="2228"/>
      <c r="PTF64" s="2228"/>
      <c r="PTG64" s="2228"/>
      <c r="PTH64" s="2227"/>
      <c r="PTI64" s="2228"/>
      <c r="PTJ64" s="2228"/>
      <c r="PTK64" s="2228"/>
      <c r="PTL64" s="2228"/>
      <c r="PTM64" s="2228"/>
      <c r="PTN64" s="2228"/>
      <c r="PTO64" s="2228"/>
      <c r="PTP64" s="2228"/>
      <c r="PTQ64" s="2228"/>
      <c r="PTR64" s="2228"/>
      <c r="PTS64" s="2228"/>
      <c r="PTT64" s="2228"/>
      <c r="PTU64" s="2228"/>
      <c r="PTV64" s="2228"/>
      <c r="PTW64" s="2228"/>
      <c r="PTX64" s="2227"/>
      <c r="PTY64" s="2228"/>
      <c r="PTZ64" s="2228"/>
      <c r="PUA64" s="2228"/>
      <c r="PUB64" s="2228"/>
      <c r="PUC64" s="2228"/>
      <c r="PUD64" s="2228"/>
      <c r="PUE64" s="2228"/>
      <c r="PUF64" s="2228"/>
      <c r="PUG64" s="2228"/>
      <c r="PUH64" s="2228"/>
      <c r="PUI64" s="2228"/>
      <c r="PUJ64" s="2228"/>
      <c r="PUK64" s="2228"/>
      <c r="PUL64" s="2228"/>
      <c r="PUM64" s="2228"/>
      <c r="PUN64" s="2227"/>
      <c r="PUO64" s="2228"/>
      <c r="PUP64" s="2228"/>
      <c r="PUQ64" s="2228"/>
      <c r="PUR64" s="2228"/>
      <c r="PUS64" s="2228"/>
      <c r="PUT64" s="2228"/>
      <c r="PUU64" s="2228"/>
      <c r="PUV64" s="2228"/>
      <c r="PUW64" s="2228"/>
      <c r="PUX64" s="2228"/>
      <c r="PUY64" s="2228"/>
      <c r="PUZ64" s="2228"/>
      <c r="PVA64" s="2228"/>
      <c r="PVB64" s="2228"/>
      <c r="PVC64" s="2228"/>
      <c r="PVD64" s="2227"/>
      <c r="PVE64" s="2228"/>
      <c r="PVF64" s="2228"/>
      <c r="PVG64" s="2228"/>
      <c r="PVH64" s="2228"/>
      <c r="PVI64" s="2228"/>
      <c r="PVJ64" s="2228"/>
      <c r="PVK64" s="2228"/>
      <c r="PVL64" s="2228"/>
      <c r="PVM64" s="2228"/>
      <c r="PVN64" s="2228"/>
      <c r="PVO64" s="2228"/>
      <c r="PVP64" s="2228"/>
      <c r="PVQ64" s="2228"/>
      <c r="PVR64" s="2228"/>
      <c r="PVS64" s="2228"/>
      <c r="PVT64" s="2227"/>
      <c r="PVU64" s="2228"/>
      <c r="PVV64" s="2228"/>
      <c r="PVW64" s="2228"/>
      <c r="PVX64" s="2228"/>
      <c r="PVY64" s="2228"/>
      <c r="PVZ64" s="2228"/>
      <c r="PWA64" s="2228"/>
      <c r="PWB64" s="2228"/>
      <c r="PWC64" s="2228"/>
      <c r="PWD64" s="2228"/>
      <c r="PWE64" s="2228"/>
      <c r="PWF64" s="2228"/>
      <c r="PWG64" s="2228"/>
      <c r="PWH64" s="2228"/>
      <c r="PWI64" s="2228"/>
      <c r="PWJ64" s="2227"/>
      <c r="PWK64" s="2228"/>
      <c r="PWL64" s="2228"/>
      <c r="PWM64" s="2228"/>
      <c r="PWN64" s="2228"/>
      <c r="PWO64" s="2228"/>
      <c r="PWP64" s="2228"/>
      <c r="PWQ64" s="2228"/>
      <c r="PWR64" s="2228"/>
      <c r="PWS64" s="2228"/>
      <c r="PWT64" s="2228"/>
      <c r="PWU64" s="2228"/>
      <c r="PWV64" s="2228"/>
      <c r="PWW64" s="2228"/>
      <c r="PWX64" s="2228"/>
      <c r="PWY64" s="2228"/>
      <c r="PWZ64" s="2227"/>
      <c r="PXA64" s="2228"/>
      <c r="PXB64" s="2228"/>
      <c r="PXC64" s="2228"/>
      <c r="PXD64" s="2228"/>
      <c r="PXE64" s="2228"/>
      <c r="PXF64" s="2228"/>
      <c r="PXG64" s="2228"/>
      <c r="PXH64" s="2228"/>
      <c r="PXI64" s="2228"/>
      <c r="PXJ64" s="2228"/>
      <c r="PXK64" s="2228"/>
      <c r="PXL64" s="2228"/>
      <c r="PXM64" s="2228"/>
      <c r="PXN64" s="2228"/>
      <c r="PXO64" s="2228"/>
      <c r="PXP64" s="2227"/>
      <c r="PXQ64" s="2228"/>
      <c r="PXR64" s="2228"/>
      <c r="PXS64" s="2228"/>
      <c r="PXT64" s="2228"/>
      <c r="PXU64" s="2228"/>
      <c r="PXV64" s="2228"/>
      <c r="PXW64" s="2228"/>
      <c r="PXX64" s="2228"/>
      <c r="PXY64" s="2228"/>
      <c r="PXZ64" s="2228"/>
      <c r="PYA64" s="2228"/>
      <c r="PYB64" s="2228"/>
      <c r="PYC64" s="2228"/>
      <c r="PYD64" s="2228"/>
      <c r="PYE64" s="2228"/>
      <c r="PYF64" s="2227"/>
      <c r="PYG64" s="2228"/>
      <c r="PYH64" s="2228"/>
      <c r="PYI64" s="2228"/>
      <c r="PYJ64" s="2228"/>
      <c r="PYK64" s="2228"/>
      <c r="PYL64" s="2228"/>
      <c r="PYM64" s="2228"/>
      <c r="PYN64" s="2228"/>
      <c r="PYO64" s="2228"/>
      <c r="PYP64" s="2228"/>
      <c r="PYQ64" s="2228"/>
      <c r="PYR64" s="2228"/>
      <c r="PYS64" s="2228"/>
      <c r="PYT64" s="2228"/>
      <c r="PYU64" s="2228"/>
      <c r="PYV64" s="2227"/>
      <c r="PYW64" s="2228"/>
      <c r="PYX64" s="2228"/>
      <c r="PYY64" s="2228"/>
      <c r="PYZ64" s="2228"/>
      <c r="PZA64" s="2228"/>
      <c r="PZB64" s="2228"/>
      <c r="PZC64" s="2228"/>
      <c r="PZD64" s="2228"/>
      <c r="PZE64" s="2228"/>
      <c r="PZF64" s="2228"/>
      <c r="PZG64" s="2228"/>
      <c r="PZH64" s="2228"/>
      <c r="PZI64" s="2228"/>
      <c r="PZJ64" s="2228"/>
      <c r="PZK64" s="2228"/>
      <c r="PZL64" s="2227"/>
      <c r="PZM64" s="2228"/>
      <c r="PZN64" s="2228"/>
      <c r="PZO64" s="2228"/>
      <c r="PZP64" s="2228"/>
      <c r="PZQ64" s="2228"/>
      <c r="PZR64" s="2228"/>
      <c r="PZS64" s="2228"/>
      <c r="PZT64" s="2228"/>
      <c r="PZU64" s="2228"/>
      <c r="PZV64" s="2228"/>
      <c r="PZW64" s="2228"/>
      <c r="PZX64" s="2228"/>
      <c r="PZY64" s="2228"/>
      <c r="PZZ64" s="2228"/>
      <c r="QAA64" s="2228"/>
      <c r="QAB64" s="2227"/>
      <c r="QAC64" s="2228"/>
      <c r="QAD64" s="2228"/>
      <c r="QAE64" s="2228"/>
      <c r="QAF64" s="2228"/>
      <c r="QAG64" s="2228"/>
      <c r="QAH64" s="2228"/>
      <c r="QAI64" s="2228"/>
      <c r="QAJ64" s="2228"/>
      <c r="QAK64" s="2228"/>
      <c r="QAL64" s="2228"/>
      <c r="QAM64" s="2228"/>
      <c r="QAN64" s="2228"/>
      <c r="QAO64" s="2228"/>
      <c r="QAP64" s="2228"/>
      <c r="QAQ64" s="2228"/>
      <c r="QAR64" s="2227"/>
      <c r="QAS64" s="2228"/>
      <c r="QAT64" s="2228"/>
      <c r="QAU64" s="2228"/>
      <c r="QAV64" s="2228"/>
      <c r="QAW64" s="2228"/>
      <c r="QAX64" s="2228"/>
      <c r="QAY64" s="2228"/>
      <c r="QAZ64" s="2228"/>
      <c r="QBA64" s="2228"/>
      <c r="QBB64" s="2228"/>
      <c r="QBC64" s="2228"/>
      <c r="QBD64" s="2228"/>
      <c r="QBE64" s="2228"/>
      <c r="QBF64" s="2228"/>
      <c r="QBG64" s="2228"/>
      <c r="QBH64" s="2227"/>
      <c r="QBI64" s="2228"/>
      <c r="QBJ64" s="2228"/>
      <c r="QBK64" s="2228"/>
      <c r="QBL64" s="2228"/>
      <c r="QBM64" s="2228"/>
      <c r="QBN64" s="2228"/>
      <c r="QBO64" s="2228"/>
      <c r="QBP64" s="2228"/>
      <c r="QBQ64" s="2228"/>
      <c r="QBR64" s="2228"/>
      <c r="QBS64" s="2228"/>
      <c r="QBT64" s="2228"/>
      <c r="QBU64" s="2228"/>
      <c r="QBV64" s="2228"/>
      <c r="QBW64" s="2228"/>
      <c r="QBX64" s="2227"/>
      <c r="QBY64" s="2228"/>
      <c r="QBZ64" s="2228"/>
      <c r="QCA64" s="2228"/>
      <c r="QCB64" s="2228"/>
      <c r="QCC64" s="2228"/>
      <c r="QCD64" s="2228"/>
      <c r="QCE64" s="2228"/>
      <c r="QCF64" s="2228"/>
      <c r="QCG64" s="2228"/>
      <c r="QCH64" s="2228"/>
      <c r="QCI64" s="2228"/>
      <c r="QCJ64" s="2228"/>
      <c r="QCK64" s="2228"/>
      <c r="QCL64" s="2228"/>
      <c r="QCM64" s="2228"/>
      <c r="QCN64" s="2227"/>
      <c r="QCO64" s="2228"/>
      <c r="QCP64" s="2228"/>
      <c r="QCQ64" s="2228"/>
      <c r="QCR64" s="2228"/>
      <c r="QCS64" s="2228"/>
      <c r="QCT64" s="2228"/>
      <c r="QCU64" s="2228"/>
      <c r="QCV64" s="2228"/>
      <c r="QCW64" s="2228"/>
      <c r="QCX64" s="2228"/>
      <c r="QCY64" s="2228"/>
      <c r="QCZ64" s="2228"/>
      <c r="QDA64" s="2228"/>
      <c r="QDB64" s="2228"/>
      <c r="QDC64" s="2228"/>
      <c r="QDD64" s="2227"/>
      <c r="QDE64" s="2228"/>
      <c r="QDF64" s="2228"/>
      <c r="QDG64" s="2228"/>
      <c r="QDH64" s="2228"/>
      <c r="QDI64" s="2228"/>
      <c r="QDJ64" s="2228"/>
      <c r="QDK64" s="2228"/>
      <c r="QDL64" s="2228"/>
      <c r="QDM64" s="2228"/>
      <c r="QDN64" s="2228"/>
      <c r="QDO64" s="2228"/>
      <c r="QDP64" s="2228"/>
      <c r="QDQ64" s="2228"/>
      <c r="QDR64" s="2228"/>
      <c r="QDS64" s="2228"/>
      <c r="QDT64" s="2227"/>
      <c r="QDU64" s="2228"/>
      <c r="QDV64" s="2228"/>
      <c r="QDW64" s="2228"/>
      <c r="QDX64" s="2228"/>
      <c r="QDY64" s="2228"/>
      <c r="QDZ64" s="2228"/>
      <c r="QEA64" s="2228"/>
      <c r="QEB64" s="2228"/>
      <c r="QEC64" s="2228"/>
      <c r="QED64" s="2228"/>
      <c r="QEE64" s="2228"/>
      <c r="QEF64" s="2228"/>
      <c r="QEG64" s="2228"/>
      <c r="QEH64" s="2228"/>
      <c r="QEI64" s="2228"/>
      <c r="QEJ64" s="2227"/>
      <c r="QEK64" s="2228"/>
      <c r="QEL64" s="2228"/>
      <c r="QEM64" s="2228"/>
      <c r="QEN64" s="2228"/>
      <c r="QEO64" s="2228"/>
      <c r="QEP64" s="2228"/>
      <c r="QEQ64" s="2228"/>
      <c r="QER64" s="2228"/>
      <c r="QES64" s="2228"/>
      <c r="QET64" s="2228"/>
      <c r="QEU64" s="2228"/>
      <c r="QEV64" s="2228"/>
      <c r="QEW64" s="2228"/>
      <c r="QEX64" s="2228"/>
      <c r="QEY64" s="2228"/>
      <c r="QEZ64" s="2227"/>
      <c r="QFA64" s="2228"/>
      <c r="QFB64" s="2228"/>
      <c r="QFC64" s="2228"/>
      <c r="QFD64" s="2228"/>
      <c r="QFE64" s="2228"/>
      <c r="QFF64" s="2228"/>
      <c r="QFG64" s="2228"/>
      <c r="QFH64" s="2228"/>
      <c r="QFI64" s="2228"/>
      <c r="QFJ64" s="2228"/>
      <c r="QFK64" s="2228"/>
      <c r="QFL64" s="2228"/>
      <c r="QFM64" s="2228"/>
      <c r="QFN64" s="2228"/>
      <c r="QFO64" s="2228"/>
      <c r="QFP64" s="2227"/>
      <c r="QFQ64" s="2228"/>
      <c r="QFR64" s="2228"/>
      <c r="QFS64" s="2228"/>
      <c r="QFT64" s="2228"/>
      <c r="QFU64" s="2228"/>
      <c r="QFV64" s="2228"/>
      <c r="QFW64" s="2228"/>
      <c r="QFX64" s="2228"/>
      <c r="QFY64" s="2228"/>
      <c r="QFZ64" s="2228"/>
      <c r="QGA64" s="2228"/>
      <c r="QGB64" s="2228"/>
      <c r="QGC64" s="2228"/>
      <c r="QGD64" s="2228"/>
      <c r="QGE64" s="2228"/>
      <c r="QGF64" s="2227"/>
      <c r="QGG64" s="2228"/>
      <c r="QGH64" s="2228"/>
      <c r="QGI64" s="2228"/>
      <c r="QGJ64" s="2228"/>
      <c r="QGK64" s="2228"/>
      <c r="QGL64" s="2228"/>
      <c r="QGM64" s="2228"/>
      <c r="QGN64" s="2228"/>
      <c r="QGO64" s="2228"/>
      <c r="QGP64" s="2228"/>
      <c r="QGQ64" s="2228"/>
      <c r="QGR64" s="2228"/>
      <c r="QGS64" s="2228"/>
      <c r="QGT64" s="2228"/>
      <c r="QGU64" s="2228"/>
      <c r="QGV64" s="2227"/>
      <c r="QGW64" s="2228"/>
      <c r="QGX64" s="2228"/>
      <c r="QGY64" s="2228"/>
      <c r="QGZ64" s="2228"/>
      <c r="QHA64" s="2228"/>
      <c r="QHB64" s="2228"/>
      <c r="QHC64" s="2228"/>
      <c r="QHD64" s="2228"/>
      <c r="QHE64" s="2228"/>
      <c r="QHF64" s="2228"/>
      <c r="QHG64" s="2228"/>
      <c r="QHH64" s="2228"/>
      <c r="QHI64" s="2228"/>
      <c r="QHJ64" s="2228"/>
      <c r="QHK64" s="2228"/>
      <c r="QHL64" s="2227"/>
      <c r="QHM64" s="2228"/>
      <c r="QHN64" s="2228"/>
      <c r="QHO64" s="2228"/>
      <c r="QHP64" s="2228"/>
      <c r="QHQ64" s="2228"/>
      <c r="QHR64" s="2228"/>
      <c r="QHS64" s="2228"/>
      <c r="QHT64" s="2228"/>
      <c r="QHU64" s="2228"/>
      <c r="QHV64" s="2228"/>
      <c r="QHW64" s="2228"/>
      <c r="QHX64" s="2228"/>
      <c r="QHY64" s="2228"/>
      <c r="QHZ64" s="2228"/>
      <c r="QIA64" s="2228"/>
      <c r="QIB64" s="2227"/>
      <c r="QIC64" s="2228"/>
      <c r="QID64" s="2228"/>
      <c r="QIE64" s="2228"/>
      <c r="QIF64" s="2228"/>
      <c r="QIG64" s="2228"/>
      <c r="QIH64" s="2228"/>
      <c r="QII64" s="2228"/>
      <c r="QIJ64" s="2228"/>
      <c r="QIK64" s="2228"/>
      <c r="QIL64" s="2228"/>
      <c r="QIM64" s="2228"/>
      <c r="QIN64" s="2228"/>
      <c r="QIO64" s="2228"/>
      <c r="QIP64" s="2228"/>
      <c r="QIQ64" s="2228"/>
      <c r="QIR64" s="2227"/>
      <c r="QIS64" s="2228"/>
      <c r="QIT64" s="2228"/>
      <c r="QIU64" s="2228"/>
      <c r="QIV64" s="2228"/>
      <c r="QIW64" s="2228"/>
      <c r="QIX64" s="2228"/>
      <c r="QIY64" s="2228"/>
      <c r="QIZ64" s="2228"/>
      <c r="QJA64" s="2228"/>
      <c r="QJB64" s="2228"/>
      <c r="QJC64" s="2228"/>
      <c r="QJD64" s="2228"/>
      <c r="QJE64" s="2228"/>
      <c r="QJF64" s="2228"/>
      <c r="QJG64" s="2228"/>
      <c r="QJH64" s="2227"/>
      <c r="QJI64" s="2228"/>
      <c r="QJJ64" s="2228"/>
      <c r="QJK64" s="2228"/>
      <c r="QJL64" s="2228"/>
      <c r="QJM64" s="2228"/>
      <c r="QJN64" s="2228"/>
      <c r="QJO64" s="2228"/>
      <c r="QJP64" s="2228"/>
      <c r="QJQ64" s="2228"/>
      <c r="QJR64" s="2228"/>
      <c r="QJS64" s="2228"/>
      <c r="QJT64" s="2228"/>
      <c r="QJU64" s="2228"/>
      <c r="QJV64" s="2228"/>
      <c r="QJW64" s="2228"/>
      <c r="QJX64" s="2227"/>
      <c r="QJY64" s="2228"/>
      <c r="QJZ64" s="2228"/>
      <c r="QKA64" s="2228"/>
      <c r="QKB64" s="2228"/>
      <c r="QKC64" s="2228"/>
      <c r="QKD64" s="2228"/>
      <c r="QKE64" s="2228"/>
      <c r="QKF64" s="2228"/>
      <c r="QKG64" s="2228"/>
      <c r="QKH64" s="2228"/>
      <c r="QKI64" s="2228"/>
      <c r="QKJ64" s="2228"/>
      <c r="QKK64" s="2228"/>
      <c r="QKL64" s="2228"/>
      <c r="QKM64" s="2228"/>
      <c r="QKN64" s="2227"/>
      <c r="QKO64" s="2228"/>
      <c r="QKP64" s="2228"/>
      <c r="QKQ64" s="2228"/>
      <c r="QKR64" s="2228"/>
      <c r="QKS64" s="2228"/>
      <c r="QKT64" s="2228"/>
      <c r="QKU64" s="2228"/>
      <c r="QKV64" s="2228"/>
      <c r="QKW64" s="2228"/>
      <c r="QKX64" s="2228"/>
      <c r="QKY64" s="2228"/>
      <c r="QKZ64" s="2228"/>
      <c r="QLA64" s="2228"/>
      <c r="QLB64" s="2228"/>
      <c r="QLC64" s="2228"/>
      <c r="QLD64" s="2227"/>
      <c r="QLE64" s="2228"/>
      <c r="QLF64" s="2228"/>
      <c r="QLG64" s="2228"/>
      <c r="QLH64" s="2228"/>
      <c r="QLI64" s="2228"/>
      <c r="QLJ64" s="2228"/>
      <c r="QLK64" s="2228"/>
      <c r="QLL64" s="2228"/>
      <c r="QLM64" s="2228"/>
      <c r="QLN64" s="2228"/>
      <c r="QLO64" s="2228"/>
      <c r="QLP64" s="2228"/>
      <c r="QLQ64" s="2228"/>
      <c r="QLR64" s="2228"/>
      <c r="QLS64" s="2228"/>
      <c r="QLT64" s="2227"/>
      <c r="QLU64" s="2228"/>
      <c r="QLV64" s="2228"/>
      <c r="QLW64" s="2228"/>
      <c r="QLX64" s="2228"/>
      <c r="QLY64" s="2228"/>
      <c r="QLZ64" s="2228"/>
      <c r="QMA64" s="2228"/>
      <c r="QMB64" s="2228"/>
      <c r="QMC64" s="2228"/>
      <c r="QMD64" s="2228"/>
      <c r="QME64" s="2228"/>
      <c r="QMF64" s="2228"/>
      <c r="QMG64" s="2228"/>
      <c r="QMH64" s="2228"/>
      <c r="QMI64" s="2228"/>
      <c r="QMJ64" s="2227"/>
      <c r="QMK64" s="2228"/>
      <c r="QML64" s="2228"/>
      <c r="QMM64" s="2228"/>
      <c r="QMN64" s="2228"/>
      <c r="QMO64" s="2228"/>
      <c r="QMP64" s="2228"/>
      <c r="QMQ64" s="2228"/>
      <c r="QMR64" s="2228"/>
      <c r="QMS64" s="2228"/>
      <c r="QMT64" s="2228"/>
      <c r="QMU64" s="2228"/>
      <c r="QMV64" s="2228"/>
      <c r="QMW64" s="2228"/>
      <c r="QMX64" s="2228"/>
      <c r="QMY64" s="2228"/>
      <c r="QMZ64" s="2227"/>
      <c r="QNA64" s="2228"/>
      <c r="QNB64" s="2228"/>
      <c r="QNC64" s="2228"/>
      <c r="QND64" s="2228"/>
      <c r="QNE64" s="2228"/>
      <c r="QNF64" s="2228"/>
      <c r="QNG64" s="2228"/>
      <c r="QNH64" s="2228"/>
      <c r="QNI64" s="2228"/>
      <c r="QNJ64" s="2228"/>
      <c r="QNK64" s="2228"/>
      <c r="QNL64" s="2228"/>
      <c r="QNM64" s="2228"/>
      <c r="QNN64" s="2228"/>
      <c r="QNO64" s="2228"/>
      <c r="QNP64" s="2227"/>
      <c r="QNQ64" s="2228"/>
      <c r="QNR64" s="2228"/>
      <c r="QNS64" s="2228"/>
      <c r="QNT64" s="2228"/>
      <c r="QNU64" s="2228"/>
      <c r="QNV64" s="2228"/>
      <c r="QNW64" s="2228"/>
      <c r="QNX64" s="2228"/>
      <c r="QNY64" s="2228"/>
      <c r="QNZ64" s="2228"/>
      <c r="QOA64" s="2228"/>
      <c r="QOB64" s="2228"/>
      <c r="QOC64" s="2228"/>
      <c r="QOD64" s="2228"/>
      <c r="QOE64" s="2228"/>
      <c r="QOF64" s="2227"/>
      <c r="QOG64" s="2228"/>
      <c r="QOH64" s="2228"/>
      <c r="QOI64" s="2228"/>
      <c r="QOJ64" s="2228"/>
      <c r="QOK64" s="2228"/>
      <c r="QOL64" s="2228"/>
      <c r="QOM64" s="2228"/>
      <c r="QON64" s="2228"/>
      <c r="QOO64" s="2228"/>
      <c r="QOP64" s="2228"/>
      <c r="QOQ64" s="2228"/>
      <c r="QOR64" s="2228"/>
      <c r="QOS64" s="2228"/>
      <c r="QOT64" s="2228"/>
      <c r="QOU64" s="2228"/>
      <c r="QOV64" s="2227"/>
      <c r="QOW64" s="2228"/>
      <c r="QOX64" s="2228"/>
      <c r="QOY64" s="2228"/>
      <c r="QOZ64" s="2228"/>
      <c r="QPA64" s="2228"/>
      <c r="QPB64" s="2228"/>
      <c r="QPC64" s="2228"/>
      <c r="QPD64" s="2228"/>
      <c r="QPE64" s="2228"/>
      <c r="QPF64" s="2228"/>
      <c r="QPG64" s="2228"/>
      <c r="QPH64" s="2228"/>
      <c r="QPI64" s="2228"/>
      <c r="QPJ64" s="2228"/>
      <c r="QPK64" s="2228"/>
      <c r="QPL64" s="2227"/>
      <c r="QPM64" s="2228"/>
      <c r="QPN64" s="2228"/>
      <c r="QPO64" s="2228"/>
      <c r="QPP64" s="2228"/>
      <c r="QPQ64" s="2228"/>
      <c r="QPR64" s="2228"/>
      <c r="QPS64" s="2228"/>
      <c r="QPT64" s="2228"/>
      <c r="QPU64" s="2228"/>
      <c r="QPV64" s="2228"/>
      <c r="QPW64" s="2228"/>
      <c r="QPX64" s="2228"/>
      <c r="QPY64" s="2228"/>
      <c r="QPZ64" s="2228"/>
      <c r="QQA64" s="2228"/>
      <c r="QQB64" s="2227"/>
      <c r="QQC64" s="2228"/>
      <c r="QQD64" s="2228"/>
      <c r="QQE64" s="2228"/>
      <c r="QQF64" s="2228"/>
      <c r="QQG64" s="2228"/>
      <c r="QQH64" s="2228"/>
      <c r="QQI64" s="2228"/>
      <c r="QQJ64" s="2228"/>
      <c r="QQK64" s="2228"/>
      <c r="QQL64" s="2228"/>
      <c r="QQM64" s="2228"/>
      <c r="QQN64" s="2228"/>
      <c r="QQO64" s="2228"/>
      <c r="QQP64" s="2228"/>
      <c r="QQQ64" s="2228"/>
      <c r="QQR64" s="2227"/>
      <c r="QQS64" s="2228"/>
      <c r="QQT64" s="2228"/>
      <c r="QQU64" s="2228"/>
      <c r="QQV64" s="2228"/>
      <c r="QQW64" s="2228"/>
      <c r="QQX64" s="2228"/>
      <c r="QQY64" s="2228"/>
      <c r="QQZ64" s="2228"/>
      <c r="QRA64" s="2228"/>
      <c r="QRB64" s="2228"/>
      <c r="QRC64" s="2228"/>
      <c r="QRD64" s="2228"/>
      <c r="QRE64" s="2228"/>
      <c r="QRF64" s="2228"/>
      <c r="QRG64" s="2228"/>
      <c r="QRH64" s="2227"/>
      <c r="QRI64" s="2228"/>
      <c r="QRJ64" s="2228"/>
      <c r="QRK64" s="2228"/>
      <c r="QRL64" s="2228"/>
      <c r="QRM64" s="2228"/>
      <c r="QRN64" s="2228"/>
      <c r="QRO64" s="2228"/>
      <c r="QRP64" s="2228"/>
      <c r="QRQ64" s="2228"/>
      <c r="QRR64" s="2228"/>
      <c r="QRS64" s="2228"/>
      <c r="QRT64" s="2228"/>
      <c r="QRU64" s="2228"/>
      <c r="QRV64" s="2228"/>
      <c r="QRW64" s="2228"/>
      <c r="QRX64" s="2227"/>
      <c r="QRY64" s="2228"/>
      <c r="QRZ64" s="2228"/>
      <c r="QSA64" s="2228"/>
      <c r="QSB64" s="2228"/>
      <c r="QSC64" s="2228"/>
      <c r="QSD64" s="2228"/>
      <c r="QSE64" s="2228"/>
      <c r="QSF64" s="2228"/>
      <c r="QSG64" s="2228"/>
      <c r="QSH64" s="2228"/>
      <c r="QSI64" s="2228"/>
      <c r="QSJ64" s="2228"/>
      <c r="QSK64" s="2228"/>
      <c r="QSL64" s="2228"/>
      <c r="QSM64" s="2228"/>
      <c r="QSN64" s="2227"/>
      <c r="QSO64" s="2228"/>
      <c r="QSP64" s="2228"/>
      <c r="QSQ64" s="2228"/>
      <c r="QSR64" s="2228"/>
      <c r="QSS64" s="2228"/>
      <c r="QST64" s="2228"/>
      <c r="QSU64" s="2228"/>
      <c r="QSV64" s="2228"/>
      <c r="QSW64" s="2228"/>
      <c r="QSX64" s="2228"/>
      <c r="QSY64" s="2228"/>
      <c r="QSZ64" s="2228"/>
      <c r="QTA64" s="2228"/>
      <c r="QTB64" s="2228"/>
      <c r="QTC64" s="2228"/>
      <c r="QTD64" s="2227"/>
      <c r="QTE64" s="2228"/>
      <c r="QTF64" s="2228"/>
      <c r="QTG64" s="2228"/>
      <c r="QTH64" s="2228"/>
      <c r="QTI64" s="2228"/>
      <c r="QTJ64" s="2228"/>
      <c r="QTK64" s="2228"/>
      <c r="QTL64" s="2228"/>
      <c r="QTM64" s="2228"/>
      <c r="QTN64" s="2228"/>
      <c r="QTO64" s="2228"/>
      <c r="QTP64" s="2228"/>
      <c r="QTQ64" s="2228"/>
      <c r="QTR64" s="2228"/>
      <c r="QTS64" s="2228"/>
      <c r="QTT64" s="2227"/>
      <c r="QTU64" s="2228"/>
      <c r="QTV64" s="2228"/>
      <c r="QTW64" s="2228"/>
      <c r="QTX64" s="2228"/>
      <c r="QTY64" s="2228"/>
      <c r="QTZ64" s="2228"/>
      <c r="QUA64" s="2228"/>
      <c r="QUB64" s="2228"/>
      <c r="QUC64" s="2228"/>
      <c r="QUD64" s="2228"/>
      <c r="QUE64" s="2228"/>
      <c r="QUF64" s="2228"/>
      <c r="QUG64" s="2228"/>
      <c r="QUH64" s="2228"/>
      <c r="QUI64" s="2228"/>
      <c r="QUJ64" s="2227"/>
      <c r="QUK64" s="2228"/>
      <c r="QUL64" s="2228"/>
      <c r="QUM64" s="2228"/>
      <c r="QUN64" s="2228"/>
      <c r="QUO64" s="2228"/>
      <c r="QUP64" s="2228"/>
      <c r="QUQ64" s="2228"/>
      <c r="QUR64" s="2228"/>
      <c r="QUS64" s="2228"/>
      <c r="QUT64" s="2228"/>
      <c r="QUU64" s="2228"/>
      <c r="QUV64" s="2228"/>
      <c r="QUW64" s="2228"/>
      <c r="QUX64" s="2228"/>
      <c r="QUY64" s="2228"/>
      <c r="QUZ64" s="2227"/>
      <c r="QVA64" s="2228"/>
      <c r="QVB64" s="2228"/>
      <c r="QVC64" s="2228"/>
      <c r="QVD64" s="2228"/>
      <c r="QVE64" s="2228"/>
      <c r="QVF64" s="2228"/>
      <c r="QVG64" s="2228"/>
      <c r="QVH64" s="2228"/>
      <c r="QVI64" s="2228"/>
      <c r="QVJ64" s="2228"/>
      <c r="QVK64" s="2228"/>
      <c r="QVL64" s="2228"/>
      <c r="QVM64" s="2228"/>
      <c r="QVN64" s="2228"/>
      <c r="QVO64" s="2228"/>
      <c r="QVP64" s="2227"/>
      <c r="QVQ64" s="2228"/>
      <c r="QVR64" s="2228"/>
      <c r="QVS64" s="2228"/>
      <c r="QVT64" s="2228"/>
      <c r="QVU64" s="2228"/>
      <c r="QVV64" s="2228"/>
      <c r="QVW64" s="2228"/>
      <c r="QVX64" s="2228"/>
      <c r="QVY64" s="2228"/>
      <c r="QVZ64" s="2228"/>
      <c r="QWA64" s="2228"/>
      <c r="QWB64" s="2228"/>
      <c r="QWC64" s="2228"/>
      <c r="QWD64" s="2228"/>
      <c r="QWE64" s="2228"/>
      <c r="QWF64" s="2227"/>
      <c r="QWG64" s="2228"/>
      <c r="QWH64" s="2228"/>
      <c r="QWI64" s="2228"/>
      <c r="QWJ64" s="2228"/>
      <c r="QWK64" s="2228"/>
      <c r="QWL64" s="2228"/>
      <c r="QWM64" s="2228"/>
      <c r="QWN64" s="2228"/>
      <c r="QWO64" s="2228"/>
      <c r="QWP64" s="2228"/>
      <c r="QWQ64" s="2228"/>
      <c r="QWR64" s="2228"/>
      <c r="QWS64" s="2228"/>
      <c r="QWT64" s="2228"/>
      <c r="QWU64" s="2228"/>
      <c r="QWV64" s="2227"/>
      <c r="QWW64" s="2228"/>
      <c r="QWX64" s="2228"/>
      <c r="QWY64" s="2228"/>
      <c r="QWZ64" s="2228"/>
      <c r="QXA64" s="2228"/>
      <c r="QXB64" s="2228"/>
      <c r="QXC64" s="2228"/>
      <c r="QXD64" s="2228"/>
      <c r="QXE64" s="2228"/>
      <c r="QXF64" s="2228"/>
      <c r="QXG64" s="2228"/>
      <c r="QXH64" s="2228"/>
      <c r="QXI64" s="2228"/>
      <c r="QXJ64" s="2228"/>
      <c r="QXK64" s="2228"/>
      <c r="QXL64" s="2227"/>
      <c r="QXM64" s="2228"/>
      <c r="QXN64" s="2228"/>
      <c r="QXO64" s="2228"/>
      <c r="QXP64" s="2228"/>
      <c r="QXQ64" s="2228"/>
      <c r="QXR64" s="2228"/>
      <c r="QXS64" s="2228"/>
      <c r="QXT64" s="2228"/>
      <c r="QXU64" s="2228"/>
      <c r="QXV64" s="2228"/>
      <c r="QXW64" s="2228"/>
      <c r="QXX64" s="2228"/>
      <c r="QXY64" s="2228"/>
      <c r="QXZ64" s="2228"/>
      <c r="QYA64" s="2228"/>
      <c r="QYB64" s="2227"/>
      <c r="QYC64" s="2228"/>
      <c r="QYD64" s="2228"/>
      <c r="QYE64" s="2228"/>
      <c r="QYF64" s="2228"/>
      <c r="QYG64" s="2228"/>
      <c r="QYH64" s="2228"/>
      <c r="QYI64" s="2228"/>
      <c r="QYJ64" s="2228"/>
      <c r="QYK64" s="2228"/>
      <c r="QYL64" s="2228"/>
      <c r="QYM64" s="2228"/>
      <c r="QYN64" s="2228"/>
      <c r="QYO64" s="2228"/>
      <c r="QYP64" s="2228"/>
      <c r="QYQ64" s="2228"/>
      <c r="QYR64" s="2227"/>
      <c r="QYS64" s="2228"/>
      <c r="QYT64" s="2228"/>
      <c r="QYU64" s="2228"/>
      <c r="QYV64" s="2228"/>
      <c r="QYW64" s="2228"/>
      <c r="QYX64" s="2228"/>
      <c r="QYY64" s="2228"/>
      <c r="QYZ64" s="2228"/>
      <c r="QZA64" s="2228"/>
      <c r="QZB64" s="2228"/>
      <c r="QZC64" s="2228"/>
      <c r="QZD64" s="2228"/>
      <c r="QZE64" s="2228"/>
      <c r="QZF64" s="2228"/>
      <c r="QZG64" s="2228"/>
      <c r="QZH64" s="2227"/>
      <c r="QZI64" s="2228"/>
      <c r="QZJ64" s="2228"/>
      <c r="QZK64" s="2228"/>
      <c r="QZL64" s="2228"/>
      <c r="QZM64" s="2228"/>
      <c r="QZN64" s="2228"/>
      <c r="QZO64" s="2228"/>
      <c r="QZP64" s="2228"/>
      <c r="QZQ64" s="2228"/>
      <c r="QZR64" s="2228"/>
      <c r="QZS64" s="2228"/>
      <c r="QZT64" s="2228"/>
      <c r="QZU64" s="2228"/>
      <c r="QZV64" s="2228"/>
      <c r="QZW64" s="2228"/>
      <c r="QZX64" s="2227"/>
      <c r="QZY64" s="2228"/>
      <c r="QZZ64" s="2228"/>
      <c r="RAA64" s="2228"/>
      <c r="RAB64" s="2228"/>
      <c r="RAC64" s="2228"/>
      <c r="RAD64" s="2228"/>
      <c r="RAE64" s="2228"/>
      <c r="RAF64" s="2228"/>
      <c r="RAG64" s="2228"/>
      <c r="RAH64" s="2228"/>
      <c r="RAI64" s="2228"/>
      <c r="RAJ64" s="2228"/>
      <c r="RAK64" s="2228"/>
      <c r="RAL64" s="2228"/>
      <c r="RAM64" s="2228"/>
      <c r="RAN64" s="2227"/>
      <c r="RAO64" s="2228"/>
      <c r="RAP64" s="2228"/>
      <c r="RAQ64" s="2228"/>
      <c r="RAR64" s="2228"/>
      <c r="RAS64" s="2228"/>
      <c r="RAT64" s="2228"/>
      <c r="RAU64" s="2228"/>
      <c r="RAV64" s="2228"/>
      <c r="RAW64" s="2228"/>
      <c r="RAX64" s="2228"/>
      <c r="RAY64" s="2228"/>
      <c r="RAZ64" s="2228"/>
      <c r="RBA64" s="2228"/>
      <c r="RBB64" s="2228"/>
      <c r="RBC64" s="2228"/>
      <c r="RBD64" s="2227"/>
      <c r="RBE64" s="2228"/>
      <c r="RBF64" s="2228"/>
      <c r="RBG64" s="2228"/>
      <c r="RBH64" s="2228"/>
      <c r="RBI64" s="2228"/>
      <c r="RBJ64" s="2228"/>
      <c r="RBK64" s="2228"/>
      <c r="RBL64" s="2228"/>
      <c r="RBM64" s="2228"/>
      <c r="RBN64" s="2228"/>
      <c r="RBO64" s="2228"/>
      <c r="RBP64" s="2228"/>
      <c r="RBQ64" s="2228"/>
      <c r="RBR64" s="2228"/>
      <c r="RBS64" s="2228"/>
      <c r="RBT64" s="2227"/>
      <c r="RBU64" s="2228"/>
      <c r="RBV64" s="2228"/>
      <c r="RBW64" s="2228"/>
      <c r="RBX64" s="2228"/>
      <c r="RBY64" s="2228"/>
      <c r="RBZ64" s="2228"/>
      <c r="RCA64" s="2228"/>
      <c r="RCB64" s="2228"/>
      <c r="RCC64" s="2228"/>
      <c r="RCD64" s="2228"/>
      <c r="RCE64" s="2228"/>
      <c r="RCF64" s="2228"/>
      <c r="RCG64" s="2228"/>
      <c r="RCH64" s="2228"/>
      <c r="RCI64" s="2228"/>
      <c r="RCJ64" s="2227"/>
      <c r="RCK64" s="2228"/>
      <c r="RCL64" s="2228"/>
      <c r="RCM64" s="2228"/>
      <c r="RCN64" s="2228"/>
      <c r="RCO64" s="2228"/>
      <c r="RCP64" s="2228"/>
      <c r="RCQ64" s="2228"/>
      <c r="RCR64" s="2228"/>
      <c r="RCS64" s="2228"/>
      <c r="RCT64" s="2228"/>
      <c r="RCU64" s="2228"/>
      <c r="RCV64" s="2228"/>
      <c r="RCW64" s="2228"/>
      <c r="RCX64" s="2228"/>
      <c r="RCY64" s="2228"/>
      <c r="RCZ64" s="2227"/>
      <c r="RDA64" s="2228"/>
      <c r="RDB64" s="2228"/>
      <c r="RDC64" s="2228"/>
      <c r="RDD64" s="2228"/>
      <c r="RDE64" s="2228"/>
      <c r="RDF64" s="2228"/>
      <c r="RDG64" s="2228"/>
      <c r="RDH64" s="2228"/>
      <c r="RDI64" s="2228"/>
      <c r="RDJ64" s="2228"/>
      <c r="RDK64" s="2228"/>
      <c r="RDL64" s="2228"/>
      <c r="RDM64" s="2228"/>
      <c r="RDN64" s="2228"/>
      <c r="RDO64" s="2228"/>
      <c r="RDP64" s="2227"/>
      <c r="RDQ64" s="2228"/>
      <c r="RDR64" s="2228"/>
      <c r="RDS64" s="2228"/>
      <c r="RDT64" s="2228"/>
      <c r="RDU64" s="2228"/>
      <c r="RDV64" s="2228"/>
      <c r="RDW64" s="2228"/>
      <c r="RDX64" s="2228"/>
      <c r="RDY64" s="2228"/>
      <c r="RDZ64" s="2228"/>
      <c r="REA64" s="2228"/>
      <c r="REB64" s="2228"/>
      <c r="REC64" s="2228"/>
      <c r="RED64" s="2228"/>
      <c r="REE64" s="2228"/>
      <c r="REF64" s="2227"/>
      <c r="REG64" s="2228"/>
      <c r="REH64" s="2228"/>
      <c r="REI64" s="2228"/>
      <c r="REJ64" s="2228"/>
      <c r="REK64" s="2228"/>
      <c r="REL64" s="2228"/>
      <c r="REM64" s="2228"/>
      <c r="REN64" s="2228"/>
      <c r="REO64" s="2228"/>
      <c r="REP64" s="2228"/>
      <c r="REQ64" s="2228"/>
      <c r="RER64" s="2228"/>
      <c r="RES64" s="2228"/>
      <c r="RET64" s="2228"/>
      <c r="REU64" s="2228"/>
      <c r="REV64" s="2227"/>
      <c r="REW64" s="2228"/>
      <c r="REX64" s="2228"/>
      <c r="REY64" s="2228"/>
      <c r="REZ64" s="2228"/>
      <c r="RFA64" s="2228"/>
      <c r="RFB64" s="2228"/>
      <c r="RFC64" s="2228"/>
      <c r="RFD64" s="2228"/>
      <c r="RFE64" s="2228"/>
      <c r="RFF64" s="2228"/>
      <c r="RFG64" s="2228"/>
      <c r="RFH64" s="2228"/>
      <c r="RFI64" s="2228"/>
      <c r="RFJ64" s="2228"/>
      <c r="RFK64" s="2228"/>
      <c r="RFL64" s="2227"/>
      <c r="RFM64" s="2228"/>
      <c r="RFN64" s="2228"/>
      <c r="RFO64" s="2228"/>
      <c r="RFP64" s="2228"/>
      <c r="RFQ64" s="2228"/>
      <c r="RFR64" s="2228"/>
      <c r="RFS64" s="2228"/>
      <c r="RFT64" s="2228"/>
      <c r="RFU64" s="2228"/>
      <c r="RFV64" s="2228"/>
      <c r="RFW64" s="2228"/>
      <c r="RFX64" s="2228"/>
      <c r="RFY64" s="2228"/>
      <c r="RFZ64" s="2228"/>
      <c r="RGA64" s="2228"/>
      <c r="RGB64" s="2227"/>
      <c r="RGC64" s="2228"/>
      <c r="RGD64" s="2228"/>
      <c r="RGE64" s="2228"/>
      <c r="RGF64" s="2228"/>
      <c r="RGG64" s="2228"/>
      <c r="RGH64" s="2228"/>
      <c r="RGI64" s="2228"/>
      <c r="RGJ64" s="2228"/>
      <c r="RGK64" s="2228"/>
      <c r="RGL64" s="2228"/>
      <c r="RGM64" s="2228"/>
      <c r="RGN64" s="2228"/>
      <c r="RGO64" s="2228"/>
      <c r="RGP64" s="2228"/>
      <c r="RGQ64" s="2228"/>
      <c r="RGR64" s="2227"/>
      <c r="RGS64" s="2228"/>
      <c r="RGT64" s="2228"/>
      <c r="RGU64" s="2228"/>
      <c r="RGV64" s="2228"/>
      <c r="RGW64" s="2228"/>
      <c r="RGX64" s="2228"/>
      <c r="RGY64" s="2228"/>
      <c r="RGZ64" s="2228"/>
      <c r="RHA64" s="2228"/>
      <c r="RHB64" s="2228"/>
      <c r="RHC64" s="2228"/>
      <c r="RHD64" s="2228"/>
      <c r="RHE64" s="2228"/>
      <c r="RHF64" s="2228"/>
      <c r="RHG64" s="2228"/>
      <c r="RHH64" s="2227"/>
      <c r="RHI64" s="2228"/>
      <c r="RHJ64" s="2228"/>
      <c r="RHK64" s="2228"/>
      <c r="RHL64" s="2228"/>
      <c r="RHM64" s="2228"/>
      <c r="RHN64" s="2228"/>
      <c r="RHO64" s="2228"/>
      <c r="RHP64" s="2228"/>
      <c r="RHQ64" s="2228"/>
      <c r="RHR64" s="2228"/>
      <c r="RHS64" s="2228"/>
      <c r="RHT64" s="2228"/>
      <c r="RHU64" s="2228"/>
      <c r="RHV64" s="2228"/>
      <c r="RHW64" s="2228"/>
      <c r="RHX64" s="2227"/>
      <c r="RHY64" s="2228"/>
      <c r="RHZ64" s="2228"/>
      <c r="RIA64" s="2228"/>
      <c r="RIB64" s="2228"/>
      <c r="RIC64" s="2228"/>
      <c r="RID64" s="2228"/>
      <c r="RIE64" s="2228"/>
      <c r="RIF64" s="2228"/>
      <c r="RIG64" s="2228"/>
      <c r="RIH64" s="2228"/>
      <c r="RII64" s="2228"/>
      <c r="RIJ64" s="2228"/>
      <c r="RIK64" s="2228"/>
      <c r="RIL64" s="2228"/>
      <c r="RIM64" s="2228"/>
      <c r="RIN64" s="2227"/>
      <c r="RIO64" s="2228"/>
      <c r="RIP64" s="2228"/>
      <c r="RIQ64" s="2228"/>
      <c r="RIR64" s="2228"/>
      <c r="RIS64" s="2228"/>
      <c r="RIT64" s="2228"/>
      <c r="RIU64" s="2228"/>
      <c r="RIV64" s="2228"/>
      <c r="RIW64" s="2228"/>
      <c r="RIX64" s="2228"/>
      <c r="RIY64" s="2228"/>
      <c r="RIZ64" s="2228"/>
      <c r="RJA64" s="2228"/>
      <c r="RJB64" s="2228"/>
      <c r="RJC64" s="2228"/>
      <c r="RJD64" s="2227"/>
      <c r="RJE64" s="2228"/>
      <c r="RJF64" s="2228"/>
      <c r="RJG64" s="2228"/>
      <c r="RJH64" s="2228"/>
      <c r="RJI64" s="2228"/>
      <c r="RJJ64" s="2228"/>
      <c r="RJK64" s="2228"/>
      <c r="RJL64" s="2228"/>
      <c r="RJM64" s="2228"/>
      <c r="RJN64" s="2228"/>
      <c r="RJO64" s="2228"/>
      <c r="RJP64" s="2228"/>
      <c r="RJQ64" s="2228"/>
      <c r="RJR64" s="2228"/>
      <c r="RJS64" s="2228"/>
      <c r="RJT64" s="2227"/>
      <c r="RJU64" s="2228"/>
      <c r="RJV64" s="2228"/>
      <c r="RJW64" s="2228"/>
      <c r="RJX64" s="2228"/>
      <c r="RJY64" s="2228"/>
      <c r="RJZ64" s="2228"/>
      <c r="RKA64" s="2228"/>
      <c r="RKB64" s="2228"/>
      <c r="RKC64" s="2228"/>
      <c r="RKD64" s="2228"/>
      <c r="RKE64" s="2228"/>
      <c r="RKF64" s="2228"/>
      <c r="RKG64" s="2228"/>
      <c r="RKH64" s="2228"/>
      <c r="RKI64" s="2228"/>
      <c r="RKJ64" s="2227"/>
      <c r="RKK64" s="2228"/>
      <c r="RKL64" s="2228"/>
      <c r="RKM64" s="2228"/>
      <c r="RKN64" s="2228"/>
      <c r="RKO64" s="2228"/>
      <c r="RKP64" s="2228"/>
      <c r="RKQ64" s="2228"/>
      <c r="RKR64" s="2228"/>
      <c r="RKS64" s="2228"/>
      <c r="RKT64" s="2228"/>
      <c r="RKU64" s="2228"/>
      <c r="RKV64" s="2228"/>
      <c r="RKW64" s="2228"/>
      <c r="RKX64" s="2228"/>
      <c r="RKY64" s="2228"/>
      <c r="RKZ64" s="2227"/>
      <c r="RLA64" s="2228"/>
      <c r="RLB64" s="2228"/>
      <c r="RLC64" s="2228"/>
      <c r="RLD64" s="2228"/>
      <c r="RLE64" s="2228"/>
      <c r="RLF64" s="2228"/>
      <c r="RLG64" s="2228"/>
      <c r="RLH64" s="2228"/>
      <c r="RLI64" s="2228"/>
      <c r="RLJ64" s="2228"/>
      <c r="RLK64" s="2228"/>
      <c r="RLL64" s="2228"/>
      <c r="RLM64" s="2228"/>
      <c r="RLN64" s="2228"/>
      <c r="RLO64" s="2228"/>
      <c r="RLP64" s="2227"/>
      <c r="RLQ64" s="2228"/>
      <c r="RLR64" s="2228"/>
      <c r="RLS64" s="2228"/>
      <c r="RLT64" s="2228"/>
      <c r="RLU64" s="2228"/>
      <c r="RLV64" s="2228"/>
      <c r="RLW64" s="2228"/>
      <c r="RLX64" s="2228"/>
      <c r="RLY64" s="2228"/>
      <c r="RLZ64" s="2228"/>
      <c r="RMA64" s="2228"/>
      <c r="RMB64" s="2228"/>
      <c r="RMC64" s="2228"/>
      <c r="RMD64" s="2228"/>
      <c r="RME64" s="2228"/>
      <c r="RMF64" s="2227"/>
      <c r="RMG64" s="2228"/>
      <c r="RMH64" s="2228"/>
      <c r="RMI64" s="2228"/>
      <c r="RMJ64" s="2228"/>
      <c r="RMK64" s="2228"/>
      <c r="RML64" s="2228"/>
      <c r="RMM64" s="2228"/>
      <c r="RMN64" s="2228"/>
      <c r="RMO64" s="2228"/>
      <c r="RMP64" s="2228"/>
      <c r="RMQ64" s="2228"/>
      <c r="RMR64" s="2228"/>
      <c r="RMS64" s="2228"/>
      <c r="RMT64" s="2228"/>
      <c r="RMU64" s="2228"/>
      <c r="RMV64" s="2227"/>
      <c r="RMW64" s="2228"/>
      <c r="RMX64" s="2228"/>
      <c r="RMY64" s="2228"/>
      <c r="RMZ64" s="2228"/>
      <c r="RNA64" s="2228"/>
      <c r="RNB64" s="2228"/>
      <c r="RNC64" s="2228"/>
      <c r="RND64" s="2228"/>
      <c r="RNE64" s="2228"/>
      <c r="RNF64" s="2228"/>
      <c r="RNG64" s="2228"/>
      <c r="RNH64" s="2228"/>
      <c r="RNI64" s="2228"/>
      <c r="RNJ64" s="2228"/>
      <c r="RNK64" s="2228"/>
      <c r="RNL64" s="2227"/>
      <c r="RNM64" s="2228"/>
      <c r="RNN64" s="2228"/>
      <c r="RNO64" s="2228"/>
      <c r="RNP64" s="2228"/>
      <c r="RNQ64" s="2228"/>
      <c r="RNR64" s="2228"/>
      <c r="RNS64" s="2228"/>
      <c r="RNT64" s="2228"/>
      <c r="RNU64" s="2228"/>
      <c r="RNV64" s="2228"/>
      <c r="RNW64" s="2228"/>
      <c r="RNX64" s="2228"/>
      <c r="RNY64" s="2228"/>
      <c r="RNZ64" s="2228"/>
      <c r="ROA64" s="2228"/>
      <c r="ROB64" s="2227"/>
      <c r="ROC64" s="2228"/>
      <c r="ROD64" s="2228"/>
      <c r="ROE64" s="2228"/>
      <c r="ROF64" s="2228"/>
      <c r="ROG64" s="2228"/>
      <c r="ROH64" s="2228"/>
      <c r="ROI64" s="2228"/>
      <c r="ROJ64" s="2228"/>
      <c r="ROK64" s="2228"/>
      <c r="ROL64" s="2228"/>
      <c r="ROM64" s="2228"/>
      <c r="RON64" s="2228"/>
      <c r="ROO64" s="2228"/>
      <c r="ROP64" s="2228"/>
      <c r="ROQ64" s="2228"/>
      <c r="ROR64" s="2227"/>
      <c r="ROS64" s="2228"/>
      <c r="ROT64" s="2228"/>
      <c r="ROU64" s="2228"/>
      <c r="ROV64" s="2228"/>
      <c r="ROW64" s="2228"/>
      <c r="ROX64" s="2228"/>
      <c r="ROY64" s="2228"/>
      <c r="ROZ64" s="2228"/>
      <c r="RPA64" s="2228"/>
      <c r="RPB64" s="2228"/>
      <c r="RPC64" s="2228"/>
      <c r="RPD64" s="2228"/>
      <c r="RPE64" s="2228"/>
      <c r="RPF64" s="2228"/>
      <c r="RPG64" s="2228"/>
      <c r="RPH64" s="2227"/>
      <c r="RPI64" s="2228"/>
      <c r="RPJ64" s="2228"/>
      <c r="RPK64" s="2228"/>
      <c r="RPL64" s="2228"/>
      <c r="RPM64" s="2228"/>
      <c r="RPN64" s="2228"/>
      <c r="RPO64" s="2228"/>
      <c r="RPP64" s="2228"/>
      <c r="RPQ64" s="2228"/>
      <c r="RPR64" s="2228"/>
      <c r="RPS64" s="2228"/>
      <c r="RPT64" s="2228"/>
      <c r="RPU64" s="2228"/>
      <c r="RPV64" s="2228"/>
      <c r="RPW64" s="2228"/>
      <c r="RPX64" s="2227"/>
      <c r="RPY64" s="2228"/>
      <c r="RPZ64" s="2228"/>
      <c r="RQA64" s="2228"/>
      <c r="RQB64" s="2228"/>
      <c r="RQC64" s="2228"/>
      <c r="RQD64" s="2228"/>
      <c r="RQE64" s="2228"/>
      <c r="RQF64" s="2228"/>
      <c r="RQG64" s="2228"/>
      <c r="RQH64" s="2228"/>
      <c r="RQI64" s="2228"/>
      <c r="RQJ64" s="2228"/>
      <c r="RQK64" s="2228"/>
      <c r="RQL64" s="2228"/>
      <c r="RQM64" s="2228"/>
      <c r="RQN64" s="2227"/>
      <c r="RQO64" s="2228"/>
      <c r="RQP64" s="2228"/>
      <c r="RQQ64" s="2228"/>
      <c r="RQR64" s="2228"/>
      <c r="RQS64" s="2228"/>
      <c r="RQT64" s="2228"/>
      <c r="RQU64" s="2228"/>
      <c r="RQV64" s="2228"/>
      <c r="RQW64" s="2228"/>
      <c r="RQX64" s="2228"/>
      <c r="RQY64" s="2228"/>
      <c r="RQZ64" s="2228"/>
      <c r="RRA64" s="2228"/>
      <c r="RRB64" s="2228"/>
      <c r="RRC64" s="2228"/>
      <c r="RRD64" s="2227"/>
      <c r="RRE64" s="2228"/>
      <c r="RRF64" s="2228"/>
      <c r="RRG64" s="2228"/>
      <c r="RRH64" s="2228"/>
      <c r="RRI64" s="2228"/>
      <c r="RRJ64" s="2228"/>
      <c r="RRK64" s="2228"/>
      <c r="RRL64" s="2228"/>
      <c r="RRM64" s="2228"/>
      <c r="RRN64" s="2228"/>
      <c r="RRO64" s="2228"/>
      <c r="RRP64" s="2228"/>
      <c r="RRQ64" s="2228"/>
      <c r="RRR64" s="2228"/>
      <c r="RRS64" s="2228"/>
      <c r="RRT64" s="2227"/>
      <c r="RRU64" s="2228"/>
      <c r="RRV64" s="2228"/>
      <c r="RRW64" s="2228"/>
      <c r="RRX64" s="2228"/>
      <c r="RRY64" s="2228"/>
      <c r="RRZ64" s="2228"/>
      <c r="RSA64" s="2228"/>
      <c r="RSB64" s="2228"/>
      <c r="RSC64" s="2228"/>
      <c r="RSD64" s="2228"/>
      <c r="RSE64" s="2228"/>
      <c r="RSF64" s="2228"/>
      <c r="RSG64" s="2228"/>
      <c r="RSH64" s="2228"/>
      <c r="RSI64" s="2228"/>
      <c r="RSJ64" s="2227"/>
      <c r="RSK64" s="2228"/>
      <c r="RSL64" s="2228"/>
      <c r="RSM64" s="2228"/>
      <c r="RSN64" s="2228"/>
      <c r="RSO64" s="2228"/>
      <c r="RSP64" s="2228"/>
      <c r="RSQ64" s="2228"/>
      <c r="RSR64" s="2228"/>
      <c r="RSS64" s="2228"/>
      <c r="RST64" s="2228"/>
      <c r="RSU64" s="2228"/>
      <c r="RSV64" s="2228"/>
      <c r="RSW64" s="2228"/>
      <c r="RSX64" s="2228"/>
      <c r="RSY64" s="2228"/>
      <c r="RSZ64" s="2227"/>
      <c r="RTA64" s="2228"/>
      <c r="RTB64" s="2228"/>
      <c r="RTC64" s="2228"/>
      <c r="RTD64" s="2228"/>
      <c r="RTE64" s="2228"/>
      <c r="RTF64" s="2228"/>
      <c r="RTG64" s="2228"/>
      <c r="RTH64" s="2228"/>
      <c r="RTI64" s="2228"/>
      <c r="RTJ64" s="2228"/>
      <c r="RTK64" s="2228"/>
      <c r="RTL64" s="2228"/>
      <c r="RTM64" s="2228"/>
      <c r="RTN64" s="2228"/>
      <c r="RTO64" s="2228"/>
      <c r="RTP64" s="2227"/>
      <c r="RTQ64" s="2228"/>
      <c r="RTR64" s="2228"/>
      <c r="RTS64" s="2228"/>
      <c r="RTT64" s="2228"/>
      <c r="RTU64" s="2228"/>
      <c r="RTV64" s="2228"/>
      <c r="RTW64" s="2228"/>
      <c r="RTX64" s="2228"/>
      <c r="RTY64" s="2228"/>
      <c r="RTZ64" s="2228"/>
      <c r="RUA64" s="2228"/>
      <c r="RUB64" s="2228"/>
      <c r="RUC64" s="2228"/>
      <c r="RUD64" s="2228"/>
      <c r="RUE64" s="2228"/>
      <c r="RUF64" s="2227"/>
      <c r="RUG64" s="2228"/>
      <c r="RUH64" s="2228"/>
      <c r="RUI64" s="2228"/>
      <c r="RUJ64" s="2228"/>
      <c r="RUK64" s="2228"/>
      <c r="RUL64" s="2228"/>
      <c r="RUM64" s="2228"/>
      <c r="RUN64" s="2228"/>
      <c r="RUO64" s="2228"/>
      <c r="RUP64" s="2228"/>
      <c r="RUQ64" s="2228"/>
      <c r="RUR64" s="2228"/>
      <c r="RUS64" s="2228"/>
      <c r="RUT64" s="2228"/>
      <c r="RUU64" s="2228"/>
      <c r="RUV64" s="2227"/>
      <c r="RUW64" s="2228"/>
      <c r="RUX64" s="2228"/>
      <c r="RUY64" s="2228"/>
      <c r="RUZ64" s="2228"/>
      <c r="RVA64" s="2228"/>
      <c r="RVB64" s="2228"/>
      <c r="RVC64" s="2228"/>
      <c r="RVD64" s="2228"/>
      <c r="RVE64" s="2228"/>
      <c r="RVF64" s="2228"/>
      <c r="RVG64" s="2228"/>
      <c r="RVH64" s="2228"/>
      <c r="RVI64" s="2228"/>
      <c r="RVJ64" s="2228"/>
      <c r="RVK64" s="2228"/>
      <c r="RVL64" s="2227"/>
      <c r="RVM64" s="2228"/>
      <c r="RVN64" s="2228"/>
      <c r="RVO64" s="2228"/>
      <c r="RVP64" s="2228"/>
      <c r="RVQ64" s="2228"/>
      <c r="RVR64" s="2228"/>
      <c r="RVS64" s="2228"/>
      <c r="RVT64" s="2228"/>
      <c r="RVU64" s="2228"/>
      <c r="RVV64" s="2228"/>
      <c r="RVW64" s="2228"/>
      <c r="RVX64" s="2228"/>
      <c r="RVY64" s="2228"/>
      <c r="RVZ64" s="2228"/>
      <c r="RWA64" s="2228"/>
      <c r="RWB64" s="2227"/>
      <c r="RWC64" s="2228"/>
      <c r="RWD64" s="2228"/>
      <c r="RWE64" s="2228"/>
      <c r="RWF64" s="2228"/>
      <c r="RWG64" s="2228"/>
      <c r="RWH64" s="2228"/>
      <c r="RWI64" s="2228"/>
      <c r="RWJ64" s="2228"/>
      <c r="RWK64" s="2228"/>
      <c r="RWL64" s="2228"/>
      <c r="RWM64" s="2228"/>
      <c r="RWN64" s="2228"/>
      <c r="RWO64" s="2228"/>
      <c r="RWP64" s="2228"/>
      <c r="RWQ64" s="2228"/>
      <c r="RWR64" s="2227"/>
      <c r="RWS64" s="2228"/>
      <c r="RWT64" s="2228"/>
      <c r="RWU64" s="2228"/>
      <c r="RWV64" s="2228"/>
      <c r="RWW64" s="2228"/>
      <c r="RWX64" s="2228"/>
      <c r="RWY64" s="2228"/>
      <c r="RWZ64" s="2228"/>
      <c r="RXA64" s="2228"/>
      <c r="RXB64" s="2228"/>
      <c r="RXC64" s="2228"/>
      <c r="RXD64" s="2228"/>
      <c r="RXE64" s="2228"/>
      <c r="RXF64" s="2228"/>
      <c r="RXG64" s="2228"/>
      <c r="RXH64" s="2227"/>
      <c r="RXI64" s="2228"/>
      <c r="RXJ64" s="2228"/>
      <c r="RXK64" s="2228"/>
      <c r="RXL64" s="2228"/>
      <c r="RXM64" s="2228"/>
      <c r="RXN64" s="2228"/>
      <c r="RXO64" s="2228"/>
      <c r="RXP64" s="2228"/>
      <c r="RXQ64" s="2228"/>
      <c r="RXR64" s="2228"/>
      <c r="RXS64" s="2228"/>
      <c r="RXT64" s="2228"/>
      <c r="RXU64" s="2228"/>
      <c r="RXV64" s="2228"/>
      <c r="RXW64" s="2228"/>
      <c r="RXX64" s="2227"/>
      <c r="RXY64" s="2228"/>
      <c r="RXZ64" s="2228"/>
      <c r="RYA64" s="2228"/>
      <c r="RYB64" s="2228"/>
      <c r="RYC64" s="2228"/>
      <c r="RYD64" s="2228"/>
      <c r="RYE64" s="2228"/>
      <c r="RYF64" s="2228"/>
      <c r="RYG64" s="2228"/>
      <c r="RYH64" s="2228"/>
      <c r="RYI64" s="2228"/>
      <c r="RYJ64" s="2228"/>
      <c r="RYK64" s="2228"/>
      <c r="RYL64" s="2228"/>
      <c r="RYM64" s="2228"/>
      <c r="RYN64" s="2227"/>
      <c r="RYO64" s="2228"/>
      <c r="RYP64" s="2228"/>
      <c r="RYQ64" s="2228"/>
      <c r="RYR64" s="2228"/>
      <c r="RYS64" s="2228"/>
      <c r="RYT64" s="2228"/>
      <c r="RYU64" s="2228"/>
      <c r="RYV64" s="2228"/>
      <c r="RYW64" s="2228"/>
      <c r="RYX64" s="2228"/>
      <c r="RYY64" s="2228"/>
      <c r="RYZ64" s="2228"/>
      <c r="RZA64" s="2228"/>
      <c r="RZB64" s="2228"/>
      <c r="RZC64" s="2228"/>
      <c r="RZD64" s="2227"/>
      <c r="RZE64" s="2228"/>
      <c r="RZF64" s="2228"/>
      <c r="RZG64" s="2228"/>
      <c r="RZH64" s="2228"/>
      <c r="RZI64" s="2228"/>
      <c r="RZJ64" s="2228"/>
      <c r="RZK64" s="2228"/>
      <c r="RZL64" s="2228"/>
      <c r="RZM64" s="2228"/>
      <c r="RZN64" s="2228"/>
      <c r="RZO64" s="2228"/>
      <c r="RZP64" s="2228"/>
      <c r="RZQ64" s="2228"/>
      <c r="RZR64" s="2228"/>
      <c r="RZS64" s="2228"/>
      <c r="RZT64" s="2227"/>
      <c r="RZU64" s="2228"/>
      <c r="RZV64" s="2228"/>
      <c r="RZW64" s="2228"/>
      <c r="RZX64" s="2228"/>
      <c r="RZY64" s="2228"/>
      <c r="RZZ64" s="2228"/>
      <c r="SAA64" s="2228"/>
      <c r="SAB64" s="2228"/>
      <c r="SAC64" s="2228"/>
      <c r="SAD64" s="2228"/>
      <c r="SAE64" s="2228"/>
      <c r="SAF64" s="2228"/>
      <c r="SAG64" s="2228"/>
      <c r="SAH64" s="2228"/>
      <c r="SAI64" s="2228"/>
      <c r="SAJ64" s="2227"/>
      <c r="SAK64" s="2228"/>
      <c r="SAL64" s="2228"/>
      <c r="SAM64" s="2228"/>
      <c r="SAN64" s="2228"/>
      <c r="SAO64" s="2228"/>
      <c r="SAP64" s="2228"/>
      <c r="SAQ64" s="2228"/>
      <c r="SAR64" s="2228"/>
      <c r="SAS64" s="2228"/>
      <c r="SAT64" s="2228"/>
      <c r="SAU64" s="2228"/>
      <c r="SAV64" s="2228"/>
      <c r="SAW64" s="2228"/>
      <c r="SAX64" s="2228"/>
      <c r="SAY64" s="2228"/>
      <c r="SAZ64" s="2227"/>
      <c r="SBA64" s="2228"/>
      <c r="SBB64" s="2228"/>
      <c r="SBC64" s="2228"/>
      <c r="SBD64" s="2228"/>
      <c r="SBE64" s="2228"/>
      <c r="SBF64" s="2228"/>
      <c r="SBG64" s="2228"/>
      <c r="SBH64" s="2228"/>
      <c r="SBI64" s="2228"/>
      <c r="SBJ64" s="2228"/>
      <c r="SBK64" s="2228"/>
      <c r="SBL64" s="2228"/>
      <c r="SBM64" s="2228"/>
      <c r="SBN64" s="2228"/>
      <c r="SBO64" s="2228"/>
      <c r="SBP64" s="2227"/>
      <c r="SBQ64" s="2228"/>
      <c r="SBR64" s="2228"/>
      <c r="SBS64" s="2228"/>
      <c r="SBT64" s="2228"/>
      <c r="SBU64" s="2228"/>
      <c r="SBV64" s="2228"/>
      <c r="SBW64" s="2228"/>
      <c r="SBX64" s="2228"/>
      <c r="SBY64" s="2228"/>
      <c r="SBZ64" s="2228"/>
      <c r="SCA64" s="2228"/>
      <c r="SCB64" s="2228"/>
      <c r="SCC64" s="2228"/>
      <c r="SCD64" s="2228"/>
      <c r="SCE64" s="2228"/>
      <c r="SCF64" s="2227"/>
      <c r="SCG64" s="2228"/>
      <c r="SCH64" s="2228"/>
      <c r="SCI64" s="2228"/>
      <c r="SCJ64" s="2228"/>
      <c r="SCK64" s="2228"/>
      <c r="SCL64" s="2228"/>
      <c r="SCM64" s="2228"/>
      <c r="SCN64" s="2228"/>
      <c r="SCO64" s="2228"/>
      <c r="SCP64" s="2228"/>
      <c r="SCQ64" s="2228"/>
      <c r="SCR64" s="2228"/>
      <c r="SCS64" s="2228"/>
      <c r="SCT64" s="2228"/>
      <c r="SCU64" s="2228"/>
      <c r="SCV64" s="2227"/>
      <c r="SCW64" s="2228"/>
      <c r="SCX64" s="2228"/>
      <c r="SCY64" s="2228"/>
      <c r="SCZ64" s="2228"/>
      <c r="SDA64" s="2228"/>
      <c r="SDB64" s="2228"/>
      <c r="SDC64" s="2228"/>
      <c r="SDD64" s="2228"/>
      <c r="SDE64" s="2228"/>
      <c r="SDF64" s="2228"/>
      <c r="SDG64" s="2228"/>
      <c r="SDH64" s="2228"/>
      <c r="SDI64" s="2228"/>
      <c r="SDJ64" s="2228"/>
      <c r="SDK64" s="2228"/>
      <c r="SDL64" s="2227"/>
      <c r="SDM64" s="2228"/>
      <c r="SDN64" s="2228"/>
      <c r="SDO64" s="2228"/>
      <c r="SDP64" s="2228"/>
      <c r="SDQ64" s="2228"/>
      <c r="SDR64" s="2228"/>
      <c r="SDS64" s="2228"/>
      <c r="SDT64" s="2228"/>
      <c r="SDU64" s="2228"/>
      <c r="SDV64" s="2228"/>
      <c r="SDW64" s="2228"/>
      <c r="SDX64" s="2228"/>
      <c r="SDY64" s="2228"/>
      <c r="SDZ64" s="2228"/>
      <c r="SEA64" s="2228"/>
      <c r="SEB64" s="2227"/>
      <c r="SEC64" s="2228"/>
      <c r="SED64" s="2228"/>
      <c r="SEE64" s="2228"/>
      <c r="SEF64" s="2228"/>
      <c r="SEG64" s="2228"/>
      <c r="SEH64" s="2228"/>
      <c r="SEI64" s="2228"/>
      <c r="SEJ64" s="2228"/>
      <c r="SEK64" s="2228"/>
      <c r="SEL64" s="2228"/>
      <c r="SEM64" s="2228"/>
      <c r="SEN64" s="2228"/>
      <c r="SEO64" s="2228"/>
      <c r="SEP64" s="2228"/>
      <c r="SEQ64" s="2228"/>
      <c r="SER64" s="2227"/>
      <c r="SES64" s="2228"/>
      <c r="SET64" s="2228"/>
      <c r="SEU64" s="2228"/>
      <c r="SEV64" s="2228"/>
      <c r="SEW64" s="2228"/>
      <c r="SEX64" s="2228"/>
      <c r="SEY64" s="2228"/>
      <c r="SEZ64" s="2228"/>
      <c r="SFA64" s="2228"/>
      <c r="SFB64" s="2228"/>
      <c r="SFC64" s="2228"/>
      <c r="SFD64" s="2228"/>
      <c r="SFE64" s="2228"/>
      <c r="SFF64" s="2228"/>
      <c r="SFG64" s="2228"/>
      <c r="SFH64" s="2227"/>
      <c r="SFI64" s="2228"/>
      <c r="SFJ64" s="2228"/>
      <c r="SFK64" s="2228"/>
      <c r="SFL64" s="2228"/>
      <c r="SFM64" s="2228"/>
      <c r="SFN64" s="2228"/>
      <c r="SFO64" s="2228"/>
      <c r="SFP64" s="2228"/>
      <c r="SFQ64" s="2228"/>
      <c r="SFR64" s="2228"/>
      <c r="SFS64" s="2228"/>
      <c r="SFT64" s="2228"/>
      <c r="SFU64" s="2228"/>
      <c r="SFV64" s="2228"/>
      <c r="SFW64" s="2228"/>
      <c r="SFX64" s="2227"/>
      <c r="SFY64" s="2228"/>
      <c r="SFZ64" s="2228"/>
      <c r="SGA64" s="2228"/>
      <c r="SGB64" s="2228"/>
      <c r="SGC64" s="2228"/>
      <c r="SGD64" s="2228"/>
      <c r="SGE64" s="2228"/>
      <c r="SGF64" s="2228"/>
      <c r="SGG64" s="2228"/>
      <c r="SGH64" s="2228"/>
      <c r="SGI64" s="2228"/>
      <c r="SGJ64" s="2228"/>
      <c r="SGK64" s="2228"/>
      <c r="SGL64" s="2228"/>
      <c r="SGM64" s="2228"/>
      <c r="SGN64" s="2227"/>
      <c r="SGO64" s="2228"/>
      <c r="SGP64" s="2228"/>
      <c r="SGQ64" s="2228"/>
      <c r="SGR64" s="2228"/>
      <c r="SGS64" s="2228"/>
      <c r="SGT64" s="2228"/>
      <c r="SGU64" s="2228"/>
      <c r="SGV64" s="2228"/>
      <c r="SGW64" s="2228"/>
      <c r="SGX64" s="2228"/>
      <c r="SGY64" s="2228"/>
      <c r="SGZ64" s="2228"/>
      <c r="SHA64" s="2228"/>
      <c r="SHB64" s="2228"/>
      <c r="SHC64" s="2228"/>
      <c r="SHD64" s="2227"/>
      <c r="SHE64" s="2228"/>
      <c r="SHF64" s="2228"/>
      <c r="SHG64" s="2228"/>
      <c r="SHH64" s="2228"/>
      <c r="SHI64" s="2228"/>
      <c r="SHJ64" s="2228"/>
      <c r="SHK64" s="2228"/>
      <c r="SHL64" s="2228"/>
      <c r="SHM64" s="2228"/>
      <c r="SHN64" s="2228"/>
      <c r="SHO64" s="2228"/>
      <c r="SHP64" s="2228"/>
      <c r="SHQ64" s="2228"/>
      <c r="SHR64" s="2228"/>
      <c r="SHS64" s="2228"/>
      <c r="SHT64" s="2227"/>
      <c r="SHU64" s="2228"/>
      <c r="SHV64" s="2228"/>
      <c r="SHW64" s="2228"/>
      <c r="SHX64" s="2228"/>
      <c r="SHY64" s="2228"/>
      <c r="SHZ64" s="2228"/>
      <c r="SIA64" s="2228"/>
      <c r="SIB64" s="2228"/>
      <c r="SIC64" s="2228"/>
      <c r="SID64" s="2228"/>
      <c r="SIE64" s="2228"/>
      <c r="SIF64" s="2228"/>
      <c r="SIG64" s="2228"/>
      <c r="SIH64" s="2228"/>
      <c r="SII64" s="2228"/>
      <c r="SIJ64" s="2227"/>
      <c r="SIK64" s="2228"/>
      <c r="SIL64" s="2228"/>
      <c r="SIM64" s="2228"/>
      <c r="SIN64" s="2228"/>
      <c r="SIO64" s="2228"/>
      <c r="SIP64" s="2228"/>
      <c r="SIQ64" s="2228"/>
      <c r="SIR64" s="2228"/>
      <c r="SIS64" s="2228"/>
      <c r="SIT64" s="2228"/>
      <c r="SIU64" s="2228"/>
      <c r="SIV64" s="2228"/>
      <c r="SIW64" s="2228"/>
      <c r="SIX64" s="2228"/>
      <c r="SIY64" s="2228"/>
      <c r="SIZ64" s="2227"/>
      <c r="SJA64" s="2228"/>
      <c r="SJB64" s="2228"/>
      <c r="SJC64" s="2228"/>
      <c r="SJD64" s="2228"/>
      <c r="SJE64" s="2228"/>
      <c r="SJF64" s="2228"/>
      <c r="SJG64" s="2228"/>
      <c r="SJH64" s="2228"/>
      <c r="SJI64" s="2228"/>
      <c r="SJJ64" s="2228"/>
      <c r="SJK64" s="2228"/>
      <c r="SJL64" s="2228"/>
      <c r="SJM64" s="2228"/>
      <c r="SJN64" s="2228"/>
      <c r="SJO64" s="2228"/>
      <c r="SJP64" s="2227"/>
      <c r="SJQ64" s="2228"/>
      <c r="SJR64" s="2228"/>
      <c r="SJS64" s="2228"/>
      <c r="SJT64" s="2228"/>
      <c r="SJU64" s="2228"/>
      <c r="SJV64" s="2228"/>
      <c r="SJW64" s="2228"/>
      <c r="SJX64" s="2228"/>
      <c r="SJY64" s="2228"/>
      <c r="SJZ64" s="2228"/>
      <c r="SKA64" s="2228"/>
      <c r="SKB64" s="2228"/>
      <c r="SKC64" s="2228"/>
      <c r="SKD64" s="2228"/>
      <c r="SKE64" s="2228"/>
      <c r="SKF64" s="2227"/>
      <c r="SKG64" s="2228"/>
      <c r="SKH64" s="2228"/>
      <c r="SKI64" s="2228"/>
      <c r="SKJ64" s="2228"/>
      <c r="SKK64" s="2228"/>
      <c r="SKL64" s="2228"/>
      <c r="SKM64" s="2228"/>
      <c r="SKN64" s="2228"/>
      <c r="SKO64" s="2228"/>
      <c r="SKP64" s="2228"/>
      <c r="SKQ64" s="2228"/>
      <c r="SKR64" s="2228"/>
      <c r="SKS64" s="2228"/>
      <c r="SKT64" s="2228"/>
      <c r="SKU64" s="2228"/>
      <c r="SKV64" s="2227"/>
      <c r="SKW64" s="2228"/>
      <c r="SKX64" s="2228"/>
      <c r="SKY64" s="2228"/>
      <c r="SKZ64" s="2228"/>
      <c r="SLA64" s="2228"/>
      <c r="SLB64" s="2228"/>
      <c r="SLC64" s="2228"/>
      <c r="SLD64" s="2228"/>
      <c r="SLE64" s="2228"/>
      <c r="SLF64" s="2228"/>
      <c r="SLG64" s="2228"/>
      <c r="SLH64" s="2228"/>
      <c r="SLI64" s="2228"/>
      <c r="SLJ64" s="2228"/>
      <c r="SLK64" s="2228"/>
      <c r="SLL64" s="2227"/>
      <c r="SLM64" s="2228"/>
      <c r="SLN64" s="2228"/>
      <c r="SLO64" s="2228"/>
      <c r="SLP64" s="2228"/>
      <c r="SLQ64" s="2228"/>
      <c r="SLR64" s="2228"/>
      <c r="SLS64" s="2228"/>
      <c r="SLT64" s="2228"/>
      <c r="SLU64" s="2228"/>
      <c r="SLV64" s="2228"/>
      <c r="SLW64" s="2228"/>
      <c r="SLX64" s="2228"/>
      <c r="SLY64" s="2228"/>
      <c r="SLZ64" s="2228"/>
      <c r="SMA64" s="2228"/>
      <c r="SMB64" s="2227"/>
      <c r="SMC64" s="2228"/>
      <c r="SMD64" s="2228"/>
      <c r="SME64" s="2228"/>
      <c r="SMF64" s="2228"/>
      <c r="SMG64" s="2228"/>
      <c r="SMH64" s="2228"/>
      <c r="SMI64" s="2228"/>
      <c r="SMJ64" s="2228"/>
      <c r="SMK64" s="2228"/>
      <c r="SML64" s="2228"/>
      <c r="SMM64" s="2228"/>
      <c r="SMN64" s="2228"/>
      <c r="SMO64" s="2228"/>
      <c r="SMP64" s="2228"/>
      <c r="SMQ64" s="2228"/>
      <c r="SMR64" s="2227"/>
      <c r="SMS64" s="2228"/>
      <c r="SMT64" s="2228"/>
      <c r="SMU64" s="2228"/>
      <c r="SMV64" s="2228"/>
      <c r="SMW64" s="2228"/>
      <c r="SMX64" s="2228"/>
      <c r="SMY64" s="2228"/>
      <c r="SMZ64" s="2228"/>
      <c r="SNA64" s="2228"/>
      <c r="SNB64" s="2228"/>
      <c r="SNC64" s="2228"/>
      <c r="SND64" s="2228"/>
      <c r="SNE64" s="2228"/>
      <c r="SNF64" s="2228"/>
      <c r="SNG64" s="2228"/>
      <c r="SNH64" s="2227"/>
      <c r="SNI64" s="2228"/>
      <c r="SNJ64" s="2228"/>
      <c r="SNK64" s="2228"/>
      <c r="SNL64" s="2228"/>
      <c r="SNM64" s="2228"/>
      <c r="SNN64" s="2228"/>
      <c r="SNO64" s="2228"/>
      <c r="SNP64" s="2228"/>
      <c r="SNQ64" s="2228"/>
      <c r="SNR64" s="2228"/>
      <c r="SNS64" s="2228"/>
      <c r="SNT64" s="2228"/>
      <c r="SNU64" s="2228"/>
      <c r="SNV64" s="2228"/>
      <c r="SNW64" s="2228"/>
      <c r="SNX64" s="2227"/>
      <c r="SNY64" s="2228"/>
      <c r="SNZ64" s="2228"/>
      <c r="SOA64" s="2228"/>
      <c r="SOB64" s="2228"/>
      <c r="SOC64" s="2228"/>
      <c r="SOD64" s="2228"/>
      <c r="SOE64" s="2228"/>
      <c r="SOF64" s="2228"/>
      <c r="SOG64" s="2228"/>
      <c r="SOH64" s="2228"/>
      <c r="SOI64" s="2228"/>
      <c r="SOJ64" s="2228"/>
      <c r="SOK64" s="2228"/>
      <c r="SOL64" s="2228"/>
      <c r="SOM64" s="2228"/>
      <c r="SON64" s="2227"/>
      <c r="SOO64" s="2228"/>
      <c r="SOP64" s="2228"/>
      <c r="SOQ64" s="2228"/>
      <c r="SOR64" s="2228"/>
      <c r="SOS64" s="2228"/>
      <c r="SOT64" s="2228"/>
      <c r="SOU64" s="2228"/>
      <c r="SOV64" s="2228"/>
      <c r="SOW64" s="2228"/>
      <c r="SOX64" s="2228"/>
      <c r="SOY64" s="2228"/>
      <c r="SOZ64" s="2228"/>
      <c r="SPA64" s="2228"/>
      <c r="SPB64" s="2228"/>
      <c r="SPC64" s="2228"/>
      <c r="SPD64" s="2227"/>
      <c r="SPE64" s="2228"/>
      <c r="SPF64" s="2228"/>
      <c r="SPG64" s="2228"/>
      <c r="SPH64" s="2228"/>
      <c r="SPI64" s="2228"/>
      <c r="SPJ64" s="2228"/>
      <c r="SPK64" s="2228"/>
      <c r="SPL64" s="2228"/>
      <c r="SPM64" s="2228"/>
      <c r="SPN64" s="2228"/>
      <c r="SPO64" s="2228"/>
      <c r="SPP64" s="2228"/>
      <c r="SPQ64" s="2228"/>
      <c r="SPR64" s="2228"/>
      <c r="SPS64" s="2228"/>
      <c r="SPT64" s="2227"/>
      <c r="SPU64" s="2228"/>
      <c r="SPV64" s="2228"/>
      <c r="SPW64" s="2228"/>
      <c r="SPX64" s="2228"/>
      <c r="SPY64" s="2228"/>
      <c r="SPZ64" s="2228"/>
      <c r="SQA64" s="2228"/>
      <c r="SQB64" s="2228"/>
      <c r="SQC64" s="2228"/>
      <c r="SQD64" s="2228"/>
      <c r="SQE64" s="2228"/>
      <c r="SQF64" s="2228"/>
      <c r="SQG64" s="2228"/>
      <c r="SQH64" s="2228"/>
      <c r="SQI64" s="2228"/>
      <c r="SQJ64" s="2227"/>
      <c r="SQK64" s="2228"/>
      <c r="SQL64" s="2228"/>
      <c r="SQM64" s="2228"/>
      <c r="SQN64" s="2228"/>
      <c r="SQO64" s="2228"/>
      <c r="SQP64" s="2228"/>
      <c r="SQQ64" s="2228"/>
      <c r="SQR64" s="2228"/>
      <c r="SQS64" s="2228"/>
      <c r="SQT64" s="2228"/>
      <c r="SQU64" s="2228"/>
      <c r="SQV64" s="2228"/>
      <c r="SQW64" s="2228"/>
      <c r="SQX64" s="2228"/>
      <c r="SQY64" s="2228"/>
      <c r="SQZ64" s="2227"/>
      <c r="SRA64" s="2228"/>
      <c r="SRB64" s="2228"/>
      <c r="SRC64" s="2228"/>
      <c r="SRD64" s="2228"/>
      <c r="SRE64" s="2228"/>
      <c r="SRF64" s="2228"/>
      <c r="SRG64" s="2228"/>
      <c r="SRH64" s="2228"/>
      <c r="SRI64" s="2228"/>
      <c r="SRJ64" s="2228"/>
      <c r="SRK64" s="2228"/>
      <c r="SRL64" s="2228"/>
      <c r="SRM64" s="2228"/>
      <c r="SRN64" s="2228"/>
      <c r="SRO64" s="2228"/>
      <c r="SRP64" s="2227"/>
      <c r="SRQ64" s="2228"/>
      <c r="SRR64" s="2228"/>
      <c r="SRS64" s="2228"/>
      <c r="SRT64" s="2228"/>
      <c r="SRU64" s="2228"/>
      <c r="SRV64" s="2228"/>
      <c r="SRW64" s="2228"/>
      <c r="SRX64" s="2228"/>
      <c r="SRY64" s="2228"/>
      <c r="SRZ64" s="2228"/>
      <c r="SSA64" s="2228"/>
      <c r="SSB64" s="2228"/>
      <c r="SSC64" s="2228"/>
      <c r="SSD64" s="2228"/>
      <c r="SSE64" s="2228"/>
      <c r="SSF64" s="2227"/>
      <c r="SSG64" s="2228"/>
      <c r="SSH64" s="2228"/>
      <c r="SSI64" s="2228"/>
      <c r="SSJ64" s="2228"/>
      <c r="SSK64" s="2228"/>
      <c r="SSL64" s="2228"/>
      <c r="SSM64" s="2228"/>
      <c r="SSN64" s="2228"/>
      <c r="SSO64" s="2228"/>
      <c r="SSP64" s="2228"/>
      <c r="SSQ64" s="2228"/>
      <c r="SSR64" s="2228"/>
      <c r="SSS64" s="2228"/>
      <c r="SST64" s="2228"/>
      <c r="SSU64" s="2228"/>
      <c r="SSV64" s="2227"/>
      <c r="SSW64" s="2228"/>
      <c r="SSX64" s="2228"/>
      <c r="SSY64" s="2228"/>
      <c r="SSZ64" s="2228"/>
      <c r="STA64" s="2228"/>
      <c r="STB64" s="2228"/>
      <c r="STC64" s="2228"/>
      <c r="STD64" s="2228"/>
      <c r="STE64" s="2228"/>
      <c r="STF64" s="2228"/>
      <c r="STG64" s="2228"/>
      <c r="STH64" s="2228"/>
      <c r="STI64" s="2228"/>
      <c r="STJ64" s="2228"/>
      <c r="STK64" s="2228"/>
      <c r="STL64" s="2227"/>
      <c r="STM64" s="2228"/>
      <c r="STN64" s="2228"/>
      <c r="STO64" s="2228"/>
      <c r="STP64" s="2228"/>
      <c r="STQ64" s="2228"/>
      <c r="STR64" s="2228"/>
      <c r="STS64" s="2228"/>
      <c r="STT64" s="2228"/>
      <c r="STU64" s="2228"/>
      <c r="STV64" s="2228"/>
      <c r="STW64" s="2228"/>
      <c r="STX64" s="2228"/>
      <c r="STY64" s="2228"/>
      <c r="STZ64" s="2228"/>
      <c r="SUA64" s="2228"/>
      <c r="SUB64" s="2227"/>
      <c r="SUC64" s="2228"/>
      <c r="SUD64" s="2228"/>
      <c r="SUE64" s="2228"/>
      <c r="SUF64" s="2228"/>
      <c r="SUG64" s="2228"/>
      <c r="SUH64" s="2228"/>
      <c r="SUI64" s="2228"/>
      <c r="SUJ64" s="2228"/>
      <c r="SUK64" s="2228"/>
      <c r="SUL64" s="2228"/>
      <c r="SUM64" s="2228"/>
      <c r="SUN64" s="2228"/>
      <c r="SUO64" s="2228"/>
      <c r="SUP64" s="2228"/>
      <c r="SUQ64" s="2228"/>
      <c r="SUR64" s="2227"/>
      <c r="SUS64" s="2228"/>
      <c r="SUT64" s="2228"/>
      <c r="SUU64" s="2228"/>
      <c r="SUV64" s="2228"/>
      <c r="SUW64" s="2228"/>
      <c r="SUX64" s="2228"/>
      <c r="SUY64" s="2228"/>
      <c r="SUZ64" s="2228"/>
      <c r="SVA64" s="2228"/>
      <c r="SVB64" s="2228"/>
      <c r="SVC64" s="2228"/>
      <c r="SVD64" s="2228"/>
      <c r="SVE64" s="2228"/>
      <c r="SVF64" s="2228"/>
      <c r="SVG64" s="2228"/>
      <c r="SVH64" s="2227"/>
      <c r="SVI64" s="2228"/>
      <c r="SVJ64" s="2228"/>
      <c r="SVK64" s="2228"/>
      <c r="SVL64" s="2228"/>
      <c r="SVM64" s="2228"/>
      <c r="SVN64" s="2228"/>
      <c r="SVO64" s="2228"/>
      <c r="SVP64" s="2228"/>
      <c r="SVQ64" s="2228"/>
      <c r="SVR64" s="2228"/>
      <c r="SVS64" s="2228"/>
      <c r="SVT64" s="2228"/>
      <c r="SVU64" s="2228"/>
      <c r="SVV64" s="2228"/>
      <c r="SVW64" s="2228"/>
      <c r="SVX64" s="2227"/>
      <c r="SVY64" s="2228"/>
      <c r="SVZ64" s="2228"/>
      <c r="SWA64" s="2228"/>
      <c r="SWB64" s="2228"/>
      <c r="SWC64" s="2228"/>
      <c r="SWD64" s="2228"/>
      <c r="SWE64" s="2228"/>
      <c r="SWF64" s="2228"/>
      <c r="SWG64" s="2228"/>
      <c r="SWH64" s="2228"/>
      <c r="SWI64" s="2228"/>
      <c r="SWJ64" s="2228"/>
      <c r="SWK64" s="2228"/>
      <c r="SWL64" s="2228"/>
      <c r="SWM64" s="2228"/>
      <c r="SWN64" s="2227"/>
      <c r="SWO64" s="2228"/>
      <c r="SWP64" s="2228"/>
      <c r="SWQ64" s="2228"/>
      <c r="SWR64" s="2228"/>
      <c r="SWS64" s="2228"/>
      <c r="SWT64" s="2228"/>
      <c r="SWU64" s="2228"/>
      <c r="SWV64" s="2228"/>
      <c r="SWW64" s="2228"/>
      <c r="SWX64" s="2228"/>
      <c r="SWY64" s="2228"/>
      <c r="SWZ64" s="2228"/>
      <c r="SXA64" s="2228"/>
      <c r="SXB64" s="2228"/>
      <c r="SXC64" s="2228"/>
      <c r="SXD64" s="2227"/>
      <c r="SXE64" s="2228"/>
      <c r="SXF64" s="2228"/>
      <c r="SXG64" s="2228"/>
      <c r="SXH64" s="2228"/>
      <c r="SXI64" s="2228"/>
      <c r="SXJ64" s="2228"/>
      <c r="SXK64" s="2228"/>
      <c r="SXL64" s="2228"/>
      <c r="SXM64" s="2228"/>
      <c r="SXN64" s="2228"/>
      <c r="SXO64" s="2228"/>
      <c r="SXP64" s="2228"/>
      <c r="SXQ64" s="2228"/>
      <c r="SXR64" s="2228"/>
      <c r="SXS64" s="2228"/>
      <c r="SXT64" s="2227"/>
      <c r="SXU64" s="2228"/>
      <c r="SXV64" s="2228"/>
      <c r="SXW64" s="2228"/>
      <c r="SXX64" s="2228"/>
      <c r="SXY64" s="2228"/>
      <c r="SXZ64" s="2228"/>
      <c r="SYA64" s="2228"/>
      <c r="SYB64" s="2228"/>
      <c r="SYC64" s="2228"/>
      <c r="SYD64" s="2228"/>
      <c r="SYE64" s="2228"/>
      <c r="SYF64" s="2228"/>
      <c r="SYG64" s="2228"/>
      <c r="SYH64" s="2228"/>
      <c r="SYI64" s="2228"/>
      <c r="SYJ64" s="2227"/>
      <c r="SYK64" s="2228"/>
      <c r="SYL64" s="2228"/>
      <c r="SYM64" s="2228"/>
      <c r="SYN64" s="2228"/>
      <c r="SYO64" s="2228"/>
      <c r="SYP64" s="2228"/>
      <c r="SYQ64" s="2228"/>
      <c r="SYR64" s="2228"/>
      <c r="SYS64" s="2228"/>
      <c r="SYT64" s="2228"/>
      <c r="SYU64" s="2228"/>
      <c r="SYV64" s="2228"/>
      <c r="SYW64" s="2228"/>
      <c r="SYX64" s="2228"/>
      <c r="SYY64" s="2228"/>
      <c r="SYZ64" s="2227"/>
      <c r="SZA64" s="2228"/>
      <c r="SZB64" s="2228"/>
      <c r="SZC64" s="2228"/>
      <c r="SZD64" s="2228"/>
      <c r="SZE64" s="2228"/>
      <c r="SZF64" s="2228"/>
      <c r="SZG64" s="2228"/>
      <c r="SZH64" s="2228"/>
      <c r="SZI64" s="2228"/>
      <c r="SZJ64" s="2228"/>
      <c r="SZK64" s="2228"/>
      <c r="SZL64" s="2228"/>
      <c r="SZM64" s="2228"/>
      <c r="SZN64" s="2228"/>
      <c r="SZO64" s="2228"/>
      <c r="SZP64" s="2227"/>
      <c r="SZQ64" s="2228"/>
      <c r="SZR64" s="2228"/>
      <c r="SZS64" s="2228"/>
      <c r="SZT64" s="2228"/>
      <c r="SZU64" s="2228"/>
      <c r="SZV64" s="2228"/>
      <c r="SZW64" s="2228"/>
      <c r="SZX64" s="2228"/>
      <c r="SZY64" s="2228"/>
      <c r="SZZ64" s="2228"/>
      <c r="TAA64" s="2228"/>
      <c r="TAB64" s="2228"/>
      <c r="TAC64" s="2228"/>
      <c r="TAD64" s="2228"/>
      <c r="TAE64" s="2228"/>
      <c r="TAF64" s="2227"/>
      <c r="TAG64" s="2228"/>
      <c r="TAH64" s="2228"/>
      <c r="TAI64" s="2228"/>
      <c r="TAJ64" s="2228"/>
      <c r="TAK64" s="2228"/>
      <c r="TAL64" s="2228"/>
      <c r="TAM64" s="2228"/>
      <c r="TAN64" s="2228"/>
      <c r="TAO64" s="2228"/>
      <c r="TAP64" s="2228"/>
      <c r="TAQ64" s="2228"/>
      <c r="TAR64" s="2228"/>
      <c r="TAS64" s="2228"/>
      <c r="TAT64" s="2228"/>
      <c r="TAU64" s="2228"/>
      <c r="TAV64" s="2227"/>
      <c r="TAW64" s="2228"/>
      <c r="TAX64" s="2228"/>
      <c r="TAY64" s="2228"/>
      <c r="TAZ64" s="2228"/>
      <c r="TBA64" s="2228"/>
      <c r="TBB64" s="2228"/>
      <c r="TBC64" s="2228"/>
      <c r="TBD64" s="2228"/>
      <c r="TBE64" s="2228"/>
      <c r="TBF64" s="2228"/>
      <c r="TBG64" s="2228"/>
      <c r="TBH64" s="2228"/>
      <c r="TBI64" s="2228"/>
      <c r="TBJ64" s="2228"/>
      <c r="TBK64" s="2228"/>
      <c r="TBL64" s="2227"/>
      <c r="TBM64" s="2228"/>
      <c r="TBN64" s="2228"/>
      <c r="TBO64" s="2228"/>
      <c r="TBP64" s="2228"/>
      <c r="TBQ64" s="2228"/>
      <c r="TBR64" s="2228"/>
      <c r="TBS64" s="2228"/>
      <c r="TBT64" s="2228"/>
      <c r="TBU64" s="2228"/>
      <c r="TBV64" s="2228"/>
      <c r="TBW64" s="2228"/>
      <c r="TBX64" s="2228"/>
      <c r="TBY64" s="2228"/>
      <c r="TBZ64" s="2228"/>
      <c r="TCA64" s="2228"/>
      <c r="TCB64" s="2227"/>
      <c r="TCC64" s="2228"/>
      <c r="TCD64" s="2228"/>
      <c r="TCE64" s="2228"/>
      <c r="TCF64" s="2228"/>
      <c r="TCG64" s="2228"/>
      <c r="TCH64" s="2228"/>
      <c r="TCI64" s="2228"/>
      <c r="TCJ64" s="2228"/>
      <c r="TCK64" s="2228"/>
      <c r="TCL64" s="2228"/>
      <c r="TCM64" s="2228"/>
      <c r="TCN64" s="2228"/>
      <c r="TCO64" s="2228"/>
      <c r="TCP64" s="2228"/>
      <c r="TCQ64" s="2228"/>
      <c r="TCR64" s="2227"/>
      <c r="TCS64" s="2228"/>
      <c r="TCT64" s="2228"/>
      <c r="TCU64" s="2228"/>
      <c r="TCV64" s="2228"/>
      <c r="TCW64" s="2228"/>
      <c r="TCX64" s="2228"/>
      <c r="TCY64" s="2228"/>
      <c r="TCZ64" s="2228"/>
      <c r="TDA64" s="2228"/>
      <c r="TDB64" s="2228"/>
      <c r="TDC64" s="2228"/>
      <c r="TDD64" s="2228"/>
      <c r="TDE64" s="2228"/>
      <c r="TDF64" s="2228"/>
      <c r="TDG64" s="2228"/>
      <c r="TDH64" s="2227"/>
      <c r="TDI64" s="2228"/>
      <c r="TDJ64" s="2228"/>
      <c r="TDK64" s="2228"/>
      <c r="TDL64" s="2228"/>
      <c r="TDM64" s="2228"/>
      <c r="TDN64" s="2228"/>
      <c r="TDO64" s="2228"/>
      <c r="TDP64" s="2228"/>
      <c r="TDQ64" s="2228"/>
      <c r="TDR64" s="2228"/>
      <c r="TDS64" s="2228"/>
      <c r="TDT64" s="2228"/>
      <c r="TDU64" s="2228"/>
      <c r="TDV64" s="2228"/>
      <c r="TDW64" s="2228"/>
      <c r="TDX64" s="2227"/>
      <c r="TDY64" s="2228"/>
      <c r="TDZ64" s="2228"/>
      <c r="TEA64" s="2228"/>
      <c r="TEB64" s="2228"/>
      <c r="TEC64" s="2228"/>
      <c r="TED64" s="2228"/>
      <c r="TEE64" s="2228"/>
      <c r="TEF64" s="2228"/>
      <c r="TEG64" s="2228"/>
      <c r="TEH64" s="2228"/>
      <c r="TEI64" s="2228"/>
      <c r="TEJ64" s="2228"/>
      <c r="TEK64" s="2228"/>
      <c r="TEL64" s="2228"/>
      <c r="TEM64" s="2228"/>
      <c r="TEN64" s="2227"/>
      <c r="TEO64" s="2228"/>
      <c r="TEP64" s="2228"/>
      <c r="TEQ64" s="2228"/>
      <c r="TER64" s="2228"/>
      <c r="TES64" s="2228"/>
      <c r="TET64" s="2228"/>
      <c r="TEU64" s="2228"/>
      <c r="TEV64" s="2228"/>
      <c r="TEW64" s="2228"/>
      <c r="TEX64" s="2228"/>
      <c r="TEY64" s="2228"/>
      <c r="TEZ64" s="2228"/>
      <c r="TFA64" s="2228"/>
      <c r="TFB64" s="2228"/>
      <c r="TFC64" s="2228"/>
      <c r="TFD64" s="2227"/>
      <c r="TFE64" s="2228"/>
      <c r="TFF64" s="2228"/>
      <c r="TFG64" s="2228"/>
      <c r="TFH64" s="2228"/>
      <c r="TFI64" s="2228"/>
      <c r="TFJ64" s="2228"/>
      <c r="TFK64" s="2228"/>
      <c r="TFL64" s="2228"/>
      <c r="TFM64" s="2228"/>
      <c r="TFN64" s="2228"/>
      <c r="TFO64" s="2228"/>
      <c r="TFP64" s="2228"/>
      <c r="TFQ64" s="2228"/>
      <c r="TFR64" s="2228"/>
      <c r="TFS64" s="2228"/>
      <c r="TFT64" s="2227"/>
      <c r="TFU64" s="2228"/>
      <c r="TFV64" s="2228"/>
      <c r="TFW64" s="2228"/>
      <c r="TFX64" s="2228"/>
      <c r="TFY64" s="2228"/>
      <c r="TFZ64" s="2228"/>
      <c r="TGA64" s="2228"/>
      <c r="TGB64" s="2228"/>
      <c r="TGC64" s="2228"/>
      <c r="TGD64" s="2228"/>
      <c r="TGE64" s="2228"/>
      <c r="TGF64" s="2228"/>
      <c r="TGG64" s="2228"/>
      <c r="TGH64" s="2228"/>
      <c r="TGI64" s="2228"/>
      <c r="TGJ64" s="2227"/>
      <c r="TGK64" s="2228"/>
      <c r="TGL64" s="2228"/>
      <c r="TGM64" s="2228"/>
      <c r="TGN64" s="2228"/>
      <c r="TGO64" s="2228"/>
      <c r="TGP64" s="2228"/>
      <c r="TGQ64" s="2228"/>
      <c r="TGR64" s="2228"/>
      <c r="TGS64" s="2228"/>
      <c r="TGT64" s="2228"/>
      <c r="TGU64" s="2228"/>
      <c r="TGV64" s="2228"/>
      <c r="TGW64" s="2228"/>
      <c r="TGX64" s="2228"/>
      <c r="TGY64" s="2228"/>
      <c r="TGZ64" s="2227"/>
      <c r="THA64" s="2228"/>
      <c r="THB64" s="2228"/>
      <c r="THC64" s="2228"/>
      <c r="THD64" s="2228"/>
      <c r="THE64" s="2228"/>
      <c r="THF64" s="2228"/>
      <c r="THG64" s="2228"/>
      <c r="THH64" s="2228"/>
      <c r="THI64" s="2228"/>
      <c r="THJ64" s="2228"/>
      <c r="THK64" s="2228"/>
      <c r="THL64" s="2228"/>
      <c r="THM64" s="2228"/>
      <c r="THN64" s="2228"/>
      <c r="THO64" s="2228"/>
      <c r="THP64" s="2227"/>
      <c r="THQ64" s="2228"/>
      <c r="THR64" s="2228"/>
      <c r="THS64" s="2228"/>
      <c r="THT64" s="2228"/>
      <c r="THU64" s="2228"/>
      <c r="THV64" s="2228"/>
      <c r="THW64" s="2228"/>
      <c r="THX64" s="2228"/>
      <c r="THY64" s="2228"/>
      <c r="THZ64" s="2228"/>
      <c r="TIA64" s="2228"/>
      <c r="TIB64" s="2228"/>
      <c r="TIC64" s="2228"/>
      <c r="TID64" s="2228"/>
      <c r="TIE64" s="2228"/>
      <c r="TIF64" s="2227"/>
      <c r="TIG64" s="2228"/>
      <c r="TIH64" s="2228"/>
      <c r="TII64" s="2228"/>
      <c r="TIJ64" s="2228"/>
      <c r="TIK64" s="2228"/>
      <c r="TIL64" s="2228"/>
      <c r="TIM64" s="2228"/>
      <c r="TIN64" s="2228"/>
      <c r="TIO64" s="2228"/>
      <c r="TIP64" s="2228"/>
      <c r="TIQ64" s="2228"/>
      <c r="TIR64" s="2228"/>
      <c r="TIS64" s="2228"/>
      <c r="TIT64" s="2228"/>
      <c r="TIU64" s="2228"/>
      <c r="TIV64" s="2227"/>
      <c r="TIW64" s="2228"/>
      <c r="TIX64" s="2228"/>
      <c r="TIY64" s="2228"/>
      <c r="TIZ64" s="2228"/>
      <c r="TJA64" s="2228"/>
      <c r="TJB64" s="2228"/>
      <c r="TJC64" s="2228"/>
      <c r="TJD64" s="2228"/>
      <c r="TJE64" s="2228"/>
      <c r="TJF64" s="2228"/>
      <c r="TJG64" s="2228"/>
      <c r="TJH64" s="2228"/>
      <c r="TJI64" s="2228"/>
      <c r="TJJ64" s="2228"/>
      <c r="TJK64" s="2228"/>
      <c r="TJL64" s="2227"/>
      <c r="TJM64" s="2228"/>
      <c r="TJN64" s="2228"/>
      <c r="TJO64" s="2228"/>
      <c r="TJP64" s="2228"/>
      <c r="TJQ64" s="2228"/>
      <c r="TJR64" s="2228"/>
      <c r="TJS64" s="2228"/>
      <c r="TJT64" s="2228"/>
      <c r="TJU64" s="2228"/>
      <c r="TJV64" s="2228"/>
      <c r="TJW64" s="2228"/>
      <c r="TJX64" s="2228"/>
      <c r="TJY64" s="2228"/>
      <c r="TJZ64" s="2228"/>
      <c r="TKA64" s="2228"/>
      <c r="TKB64" s="2227"/>
      <c r="TKC64" s="2228"/>
      <c r="TKD64" s="2228"/>
      <c r="TKE64" s="2228"/>
      <c r="TKF64" s="2228"/>
      <c r="TKG64" s="2228"/>
      <c r="TKH64" s="2228"/>
      <c r="TKI64" s="2228"/>
      <c r="TKJ64" s="2228"/>
      <c r="TKK64" s="2228"/>
      <c r="TKL64" s="2228"/>
      <c r="TKM64" s="2228"/>
      <c r="TKN64" s="2228"/>
      <c r="TKO64" s="2228"/>
      <c r="TKP64" s="2228"/>
      <c r="TKQ64" s="2228"/>
      <c r="TKR64" s="2227"/>
      <c r="TKS64" s="2228"/>
      <c r="TKT64" s="2228"/>
      <c r="TKU64" s="2228"/>
      <c r="TKV64" s="2228"/>
      <c r="TKW64" s="2228"/>
      <c r="TKX64" s="2228"/>
      <c r="TKY64" s="2228"/>
      <c r="TKZ64" s="2228"/>
      <c r="TLA64" s="2228"/>
      <c r="TLB64" s="2228"/>
      <c r="TLC64" s="2228"/>
      <c r="TLD64" s="2228"/>
      <c r="TLE64" s="2228"/>
      <c r="TLF64" s="2228"/>
      <c r="TLG64" s="2228"/>
      <c r="TLH64" s="2227"/>
      <c r="TLI64" s="2228"/>
      <c r="TLJ64" s="2228"/>
      <c r="TLK64" s="2228"/>
      <c r="TLL64" s="2228"/>
      <c r="TLM64" s="2228"/>
      <c r="TLN64" s="2228"/>
      <c r="TLO64" s="2228"/>
      <c r="TLP64" s="2228"/>
      <c r="TLQ64" s="2228"/>
      <c r="TLR64" s="2228"/>
      <c r="TLS64" s="2228"/>
      <c r="TLT64" s="2228"/>
      <c r="TLU64" s="2228"/>
      <c r="TLV64" s="2228"/>
      <c r="TLW64" s="2228"/>
      <c r="TLX64" s="2227"/>
      <c r="TLY64" s="2228"/>
      <c r="TLZ64" s="2228"/>
      <c r="TMA64" s="2228"/>
      <c r="TMB64" s="2228"/>
      <c r="TMC64" s="2228"/>
      <c r="TMD64" s="2228"/>
      <c r="TME64" s="2228"/>
      <c r="TMF64" s="2228"/>
      <c r="TMG64" s="2228"/>
      <c r="TMH64" s="2228"/>
      <c r="TMI64" s="2228"/>
      <c r="TMJ64" s="2228"/>
      <c r="TMK64" s="2228"/>
      <c r="TML64" s="2228"/>
      <c r="TMM64" s="2228"/>
      <c r="TMN64" s="2227"/>
      <c r="TMO64" s="2228"/>
      <c r="TMP64" s="2228"/>
      <c r="TMQ64" s="2228"/>
      <c r="TMR64" s="2228"/>
      <c r="TMS64" s="2228"/>
      <c r="TMT64" s="2228"/>
      <c r="TMU64" s="2228"/>
      <c r="TMV64" s="2228"/>
      <c r="TMW64" s="2228"/>
      <c r="TMX64" s="2228"/>
      <c r="TMY64" s="2228"/>
      <c r="TMZ64" s="2228"/>
      <c r="TNA64" s="2228"/>
      <c r="TNB64" s="2228"/>
      <c r="TNC64" s="2228"/>
      <c r="TND64" s="2227"/>
      <c r="TNE64" s="2228"/>
      <c r="TNF64" s="2228"/>
      <c r="TNG64" s="2228"/>
      <c r="TNH64" s="2228"/>
      <c r="TNI64" s="2228"/>
      <c r="TNJ64" s="2228"/>
      <c r="TNK64" s="2228"/>
      <c r="TNL64" s="2228"/>
      <c r="TNM64" s="2228"/>
      <c r="TNN64" s="2228"/>
      <c r="TNO64" s="2228"/>
      <c r="TNP64" s="2228"/>
      <c r="TNQ64" s="2228"/>
      <c r="TNR64" s="2228"/>
      <c r="TNS64" s="2228"/>
      <c r="TNT64" s="2227"/>
      <c r="TNU64" s="2228"/>
      <c r="TNV64" s="2228"/>
      <c r="TNW64" s="2228"/>
      <c r="TNX64" s="2228"/>
      <c r="TNY64" s="2228"/>
      <c r="TNZ64" s="2228"/>
      <c r="TOA64" s="2228"/>
      <c r="TOB64" s="2228"/>
      <c r="TOC64" s="2228"/>
      <c r="TOD64" s="2228"/>
      <c r="TOE64" s="2228"/>
      <c r="TOF64" s="2228"/>
      <c r="TOG64" s="2228"/>
      <c r="TOH64" s="2228"/>
      <c r="TOI64" s="2228"/>
      <c r="TOJ64" s="2227"/>
      <c r="TOK64" s="2228"/>
      <c r="TOL64" s="2228"/>
      <c r="TOM64" s="2228"/>
      <c r="TON64" s="2228"/>
      <c r="TOO64" s="2228"/>
      <c r="TOP64" s="2228"/>
      <c r="TOQ64" s="2228"/>
      <c r="TOR64" s="2228"/>
      <c r="TOS64" s="2228"/>
      <c r="TOT64" s="2228"/>
      <c r="TOU64" s="2228"/>
      <c r="TOV64" s="2228"/>
      <c r="TOW64" s="2228"/>
      <c r="TOX64" s="2228"/>
      <c r="TOY64" s="2228"/>
      <c r="TOZ64" s="2227"/>
      <c r="TPA64" s="2228"/>
      <c r="TPB64" s="2228"/>
      <c r="TPC64" s="2228"/>
      <c r="TPD64" s="2228"/>
      <c r="TPE64" s="2228"/>
      <c r="TPF64" s="2228"/>
      <c r="TPG64" s="2228"/>
      <c r="TPH64" s="2228"/>
      <c r="TPI64" s="2228"/>
      <c r="TPJ64" s="2228"/>
      <c r="TPK64" s="2228"/>
      <c r="TPL64" s="2228"/>
      <c r="TPM64" s="2228"/>
      <c r="TPN64" s="2228"/>
      <c r="TPO64" s="2228"/>
      <c r="TPP64" s="2227"/>
      <c r="TPQ64" s="2228"/>
      <c r="TPR64" s="2228"/>
      <c r="TPS64" s="2228"/>
      <c r="TPT64" s="2228"/>
      <c r="TPU64" s="2228"/>
      <c r="TPV64" s="2228"/>
      <c r="TPW64" s="2228"/>
      <c r="TPX64" s="2228"/>
      <c r="TPY64" s="2228"/>
      <c r="TPZ64" s="2228"/>
      <c r="TQA64" s="2228"/>
      <c r="TQB64" s="2228"/>
      <c r="TQC64" s="2228"/>
      <c r="TQD64" s="2228"/>
      <c r="TQE64" s="2228"/>
      <c r="TQF64" s="2227"/>
      <c r="TQG64" s="2228"/>
      <c r="TQH64" s="2228"/>
      <c r="TQI64" s="2228"/>
      <c r="TQJ64" s="2228"/>
      <c r="TQK64" s="2228"/>
      <c r="TQL64" s="2228"/>
      <c r="TQM64" s="2228"/>
      <c r="TQN64" s="2228"/>
      <c r="TQO64" s="2228"/>
      <c r="TQP64" s="2228"/>
      <c r="TQQ64" s="2228"/>
      <c r="TQR64" s="2228"/>
      <c r="TQS64" s="2228"/>
      <c r="TQT64" s="2228"/>
      <c r="TQU64" s="2228"/>
      <c r="TQV64" s="2227"/>
      <c r="TQW64" s="2228"/>
      <c r="TQX64" s="2228"/>
      <c r="TQY64" s="2228"/>
      <c r="TQZ64" s="2228"/>
      <c r="TRA64" s="2228"/>
      <c r="TRB64" s="2228"/>
      <c r="TRC64" s="2228"/>
      <c r="TRD64" s="2228"/>
      <c r="TRE64" s="2228"/>
      <c r="TRF64" s="2228"/>
      <c r="TRG64" s="2228"/>
      <c r="TRH64" s="2228"/>
      <c r="TRI64" s="2228"/>
      <c r="TRJ64" s="2228"/>
      <c r="TRK64" s="2228"/>
      <c r="TRL64" s="2227"/>
      <c r="TRM64" s="2228"/>
      <c r="TRN64" s="2228"/>
      <c r="TRO64" s="2228"/>
      <c r="TRP64" s="2228"/>
      <c r="TRQ64" s="2228"/>
      <c r="TRR64" s="2228"/>
      <c r="TRS64" s="2228"/>
      <c r="TRT64" s="2228"/>
      <c r="TRU64" s="2228"/>
      <c r="TRV64" s="2228"/>
      <c r="TRW64" s="2228"/>
      <c r="TRX64" s="2228"/>
      <c r="TRY64" s="2228"/>
      <c r="TRZ64" s="2228"/>
      <c r="TSA64" s="2228"/>
      <c r="TSB64" s="2227"/>
      <c r="TSC64" s="2228"/>
      <c r="TSD64" s="2228"/>
      <c r="TSE64" s="2228"/>
      <c r="TSF64" s="2228"/>
      <c r="TSG64" s="2228"/>
      <c r="TSH64" s="2228"/>
      <c r="TSI64" s="2228"/>
      <c r="TSJ64" s="2228"/>
      <c r="TSK64" s="2228"/>
      <c r="TSL64" s="2228"/>
      <c r="TSM64" s="2228"/>
      <c r="TSN64" s="2228"/>
      <c r="TSO64" s="2228"/>
      <c r="TSP64" s="2228"/>
      <c r="TSQ64" s="2228"/>
      <c r="TSR64" s="2227"/>
      <c r="TSS64" s="2228"/>
      <c r="TST64" s="2228"/>
      <c r="TSU64" s="2228"/>
      <c r="TSV64" s="2228"/>
      <c r="TSW64" s="2228"/>
      <c r="TSX64" s="2228"/>
      <c r="TSY64" s="2228"/>
      <c r="TSZ64" s="2228"/>
      <c r="TTA64" s="2228"/>
      <c r="TTB64" s="2228"/>
      <c r="TTC64" s="2228"/>
      <c r="TTD64" s="2228"/>
      <c r="TTE64" s="2228"/>
      <c r="TTF64" s="2228"/>
      <c r="TTG64" s="2228"/>
      <c r="TTH64" s="2227"/>
      <c r="TTI64" s="2228"/>
      <c r="TTJ64" s="2228"/>
      <c r="TTK64" s="2228"/>
      <c r="TTL64" s="2228"/>
      <c r="TTM64" s="2228"/>
      <c r="TTN64" s="2228"/>
      <c r="TTO64" s="2228"/>
      <c r="TTP64" s="2228"/>
      <c r="TTQ64" s="2228"/>
      <c r="TTR64" s="2228"/>
      <c r="TTS64" s="2228"/>
      <c r="TTT64" s="2228"/>
      <c r="TTU64" s="2228"/>
      <c r="TTV64" s="2228"/>
      <c r="TTW64" s="2228"/>
      <c r="TTX64" s="2227"/>
      <c r="TTY64" s="2228"/>
      <c r="TTZ64" s="2228"/>
      <c r="TUA64" s="2228"/>
      <c r="TUB64" s="2228"/>
      <c r="TUC64" s="2228"/>
      <c r="TUD64" s="2228"/>
      <c r="TUE64" s="2228"/>
      <c r="TUF64" s="2228"/>
      <c r="TUG64" s="2228"/>
      <c r="TUH64" s="2228"/>
      <c r="TUI64" s="2228"/>
      <c r="TUJ64" s="2228"/>
      <c r="TUK64" s="2228"/>
      <c r="TUL64" s="2228"/>
      <c r="TUM64" s="2228"/>
      <c r="TUN64" s="2227"/>
      <c r="TUO64" s="2228"/>
      <c r="TUP64" s="2228"/>
      <c r="TUQ64" s="2228"/>
      <c r="TUR64" s="2228"/>
      <c r="TUS64" s="2228"/>
      <c r="TUT64" s="2228"/>
      <c r="TUU64" s="2228"/>
      <c r="TUV64" s="2228"/>
      <c r="TUW64" s="2228"/>
      <c r="TUX64" s="2228"/>
      <c r="TUY64" s="2228"/>
      <c r="TUZ64" s="2228"/>
      <c r="TVA64" s="2228"/>
      <c r="TVB64" s="2228"/>
      <c r="TVC64" s="2228"/>
      <c r="TVD64" s="2227"/>
      <c r="TVE64" s="2228"/>
      <c r="TVF64" s="2228"/>
      <c r="TVG64" s="2228"/>
      <c r="TVH64" s="2228"/>
      <c r="TVI64" s="2228"/>
      <c r="TVJ64" s="2228"/>
      <c r="TVK64" s="2228"/>
      <c r="TVL64" s="2228"/>
      <c r="TVM64" s="2228"/>
      <c r="TVN64" s="2228"/>
      <c r="TVO64" s="2228"/>
      <c r="TVP64" s="2228"/>
      <c r="TVQ64" s="2228"/>
      <c r="TVR64" s="2228"/>
      <c r="TVS64" s="2228"/>
      <c r="TVT64" s="2227"/>
      <c r="TVU64" s="2228"/>
      <c r="TVV64" s="2228"/>
      <c r="TVW64" s="2228"/>
      <c r="TVX64" s="2228"/>
      <c r="TVY64" s="2228"/>
      <c r="TVZ64" s="2228"/>
      <c r="TWA64" s="2228"/>
      <c r="TWB64" s="2228"/>
      <c r="TWC64" s="2228"/>
      <c r="TWD64" s="2228"/>
      <c r="TWE64" s="2228"/>
      <c r="TWF64" s="2228"/>
      <c r="TWG64" s="2228"/>
      <c r="TWH64" s="2228"/>
      <c r="TWI64" s="2228"/>
      <c r="TWJ64" s="2227"/>
      <c r="TWK64" s="2228"/>
      <c r="TWL64" s="2228"/>
      <c r="TWM64" s="2228"/>
      <c r="TWN64" s="2228"/>
      <c r="TWO64" s="2228"/>
      <c r="TWP64" s="2228"/>
      <c r="TWQ64" s="2228"/>
      <c r="TWR64" s="2228"/>
      <c r="TWS64" s="2228"/>
      <c r="TWT64" s="2228"/>
      <c r="TWU64" s="2228"/>
      <c r="TWV64" s="2228"/>
      <c r="TWW64" s="2228"/>
      <c r="TWX64" s="2228"/>
      <c r="TWY64" s="2228"/>
      <c r="TWZ64" s="2227"/>
      <c r="TXA64" s="2228"/>
      <c r="TXB64" s="2228"/>
      <c r="TXC64" s="2228"/>
      <c r="TXD64" s="2228"/>
      <c r="TXE64" s="2228"/>
      <c r="TXF64" s="2228"/>
      <c r="TXG64" s="2228"/>
      <c r="TXH64" s="2228"/>
      <c r="TXI64" s="2228"/>
      <c r="TXJ64" s="2228"/>
      <c r="TXK64" s="2228"/>
      <c r="TXL64" s="2228"/>
      <c r="TXM64" s="2228"/>
      <c r="TXN64" s="2228"/>
      <c r="TXO64" s="2228"/>
      <c r="TXP64" s="2227"/>
      <c r="TXQ64" s="2228"/>
      <c r="TXR64" s="2228"/>
      <c r="TXS64" s="2228"/>
      <c r="TXT64" s="2228"/>
      <c r="TXU64" s="2228"/>
      <c r="TXV64" s="2228"/>
      <c r="TXW64" s="2228"/>
      <c r="TXX64" s="2228"/>
      <c r="TXY64" s="2228"/>
      <c r="TXZ64" s="2228"/>
      <c r="TYA64" s="2228"/>
      <c r="TYB64" s="2228"/>
      <c r="TYC64" s="2228"/>
      <c r="TYD64" s="2228"/>
      <c r="TYE64" s="2228"/>
      <c r="TYF64" s="2227"/>
      <c r="TYG64" s="2228"/>
      <c r="TYH64" s="2228"/>
      <c r="TYI64" s="2228"/>
      <c r="TYJ64" s="2228"/>
      <c r="TYK64" s="2228"/>
      <c r="TYL64" s="2228"/>
      <c r="TYM64" s="2228"/>
      <c r="TYN64" s="2228"/>
      <c r="TYO64" s="2228"/>
      <c r="TYP64" s="2228"/>
      <c r="TYQ64" s="2228"/>
      <c r="TYR64" s="2228"/>
      <c r="TYS64" s="2228"/>
      <c r="TYT64" s="2228"/>
      <c r="TYU64" s="2228"/>
      <c r="TYV64" s="2227"/>
      <c r="TYW64" s="2228"/>
      <c r="TYX64" s="2228"/>
      <c r="TYY64" s="2228"/>
      <c r="TYZ64" s="2228"/>
      <c r="TZA64" s="2228"/>
      <c r="TZB64" s="2228"/>
      <c r="TZC64" s="2228"/>
      <c r="TZD64" s="2228"/>
      <c r="TZE64" s="2228"/>
      <c r="TZF64" s="2228"/>
      <c r="TZG64" s="2228"/>
      <c r="TZH64" s="2228"/>
      <c r="TZI64" s="2228"/>
      <c r="TZJ64" s="2228"/>
      <c r="TZK64" s="2228"/>
      <c r="TZL64" s="2227"/>
      <c r="TZM64" s="2228"/>
      <c r="TZN64" s="2228"/>
      <c r="TZO64" s="2228"/>
      <c r="TZP64" s="2228"/>
      <c r="TZQ64" s="2228"/>
      <c r="TZR64" s="2228"/>
      <c r="TZS64" s="2228"/>
      <c r="TZT64" s="2228"/>
      <c r="TZU64" s="2228"/>
      <c r="TZV64" s="2228"/>
      <c r="TZW64" s="2228"/>
      <c r="TZX64" s="2228"/>
      <c r="TZY64" s="2228"/>
      <c r="TZZ64" s="2228"/>
      <c r="UAA64" s="2228"/>
      <c r="UAB64" s="2227"/>
      <c r="UAC64" s="2228"/>
      <c r="UAD64" s="2228"/>
      <c r="UAE64" s="2228"/>
      <c r="UAF64" s="2228"/>
      <c r="UAG64" s="2228"/>
      <c r="UAH64" s="2228"/>
      <c r="UAI64" s="2228"/>
      <c r="UAJ64" s="2228"/>
      <c r="UAK64" s="2228"/>
      <c r="UAL64" s="2228"/>
      <c r="UAM64" s="2228"/>
      <c r="UAN64" s="2228"/>
      <c r="UAO64" s="2228"/>
      <c r="UAP64" s="2228"/>
      <c r="UAQ64" s="2228"/>
      <c r="UAR64" s="2227"/>
      <c r="UAS64" s="2228"/>
      <c r="UAT64" s="2228"/>
      <c r="UAU64" s="2228"/>
      <c r="UAV64" s="2228"/>
      <c r="UAW64" s="2228"/>
      <c r="UAX64" s="2228"/>
      <c r="UAY64" s="2228"/>
      <c r="UAZ64" s="2228"/>
      <c r="UBA64" s="2228"/>
      <c r="UBB64" s="2228"/>
      <c r="UBC64" s="2228"/>
      <c r="UBD64" s="2228"/>
      <c r="UBE64" s="2228"/>
      <c r="UBF64" s="2228"/>
      <c r="UBG64" s="2228"/>
      <c r="UBH64" s="2227"/>
      <c r="UBI64" s="2228"/>
      <c r="UBJ64" s="2228"/>
      <c r="UBK64" s="2228"/>
      <c r="UBL64" s="2228"/>
      <c r="UBM64" s="2228"/>
      <c r="UBN64" s="2228"/>
      <c r="UBO64" s="2228"/>
      <c r="UBP64" s="2228"/>
      <c r="UBQ64" s="2228"/>
      <c r="UBR64" s="2228"/>
      <c r="UBS64" s="2228"/>
      <c r="UBT64" s="2228"/>
      <c r="UBU64" s="2228"/>
      <c r="UBV64" s="2228"/>
      <c r="UBW64" s="2228"/>
      <c r="UBX64" s="2227"/>
      <c r="UBY64" s="2228"/>
      <c r="UBZ64" s="2228"/>
      <c r="UCA64" s="2228"/>
      <c r="UCB64" s="2228"/>
      <c r="UCC64" s="2228"/>
      <c r="UCD64" s="2228"/>
      <c r="UCE64" s="2228"/>
      <c r="UCF64" s="2228"/>
      <c r="UCG64" s="2228"/>
      <c r="UCH64" s="2228"/>
      <c r="UCI64" s="2228"/>
      <c r="UCJ64" s="2228"/>
      <c r="UCK64" s="2228"/>
      <c r="UCL64" s="2228"/>
      <c r="UCM64" s="2228"/>
      <c r="UCN64" s="2227"/>
      <c r="UCO64" s="2228"/>
      <c r="UCP64" s="2228"/>
      <c r="UCQ64" s="2228"/>
      <c r="UCR64" s="2228"/>
      <c r="UCS64" s="2228"/>
      <c r="UCT64" s="2228"/>
      <c r="UCU64" s="2228"/>
      <c r="UCV64" s="2228"/>
      <c r="UCW64" s="2228"/>
      <c r="UCX64" s="2228"/>
      <c r="UCY64" s="2228"/>
      <c r="UCZ64" s="2228"/>
      <c r="UDA64" s="2228"/>
      <c r="UDB64" s="2228"/>
      <c r="UDC64" s="2228"/>
      <c r="UDD64" s="2227"/>
      <c r="UDE64" s="2228"/>
      <c r="UDF64" s="2228"/>
      <c r="UDG64" s="2228"/>
      <c r="UDH64" s="2228"/>
      <c r="UDI64" s="2228"/>
      <c r="UDJ64" s="2228"/>
      <c r="UDK64" s="2228"/>
      <c r="UDL64" s="2228"/>
      <c r="UDM64" s="2228"/>
      <c r="UDN64" s="2228"/>
      <c r="UDO64" s="2228"/>
      <c r="UDP64" s="2228"/>
      <c r="UDQ64" s="2228"/>
      <c r="UDR64" s="2228"/>
      <c r="UDS64" s="2228"/>
      <c r="UDT64" s="2227"/>
      <c r="UDU64" s="2228"/>
      <c r="UDV64" s="2228"/>
      <c r="UDW64" s="2228"/>
      <c r="UDX64" s="2228"/>
      <c r="UDY64" s="2228"/>
      <c r="UDZ64" s="2228"/>
      <c r="UEA64" s="2228"/>
      <c r="UEB64" s="2228"/>
      <c r="UEC64" s="2228"/>
      <c r="UED64" s="2228"/>
      <c r="UEE64" s="2228"/>
      <c r="UEF64" s="2228"/>
      <c r="UEG64" s="2228"/>
      <c r="UEH64" s="2228"/>
      <c r="UEI64" s="2228"/>
      <c r="UEJ64" s="2227"/>
      <c r="UEK64" s="2228"/>
      <c r="UEL64" s="2228"/>
      <c r="UEM64" s="2228"/>
      <c r="UEN64" s="2228"/>
      <c r="UEO64" s="2228"/>
      <c r="UEP64" s="2228"/>
      <c r="UEQ64" s="2228"/>
      <c r="UER64" s="2228"/>
      <c r="UES64" s="2228"/>
      <c r="UET64" s="2228"/>
      <c r="UEU64" s="2228"/>
      <c r="UEV64" s="2228"/>
      <c r="UEW64" s="2228"/>
      <c r="UEX64" s="2228"/>
      <c r="UEY64" s="2228"/>
      <c r="UEZ64" s="2227"/>
      <c r="UFA64" s="2228"/>
      <c r="UFB64" s="2228"/>
      <c r="UFC64" s="2228"/>
      <c r="UFD64" s="2228"/>
      <c r="UFE64" s="2228"/>
      <c r="UFF64" s="2228"/>
      <c r="UFG64" s="2228"/>
      <c r="UFH64" s="2228"/>
      <c r="UFI64" s="2228"/>
      <c r="UFJ64" s="2228"/>
      <c r="UFK64" s="2228"/>
      <c r="UFL64" s="2228"/>
      <c r="UFM64" s="2228"/>
      <c r="UFN64" s="2228"/>
      <c r="UFO64" s="2228"/>
      <c r="UFP64" s="2227"/>
      <c r="UFQ64" s="2228"/>
      <c r="UFR64" s="2228"/>
      <c r="UFS64" s="2228"/>
      <c r="UFT64" s="2228"/>
      <c r="UFU64" s="2228"/>
      <c r="UFV64" s="2228"/>
      <c r="UFW64" s="2228"/>
      <c r="UFX64" s="2228"/>
      <c r="UFY64" s="2228"/>
      <c r="UFZ64" s="2228"/>
      <c r="UGA64" s="2228"/>
      <c r="UGB64" s="2228"/>
      <c r="UGC64" s="2228"/>
      <c r="UGD64" s="2228"/>
      <c r="UGE64" s="2228"/>
      <c r="UGF64" s="2227"/>
      <c r="UGG64" s="2228"/>
      <c r="UGH64" s="2228"/>
      <c r="UGI64" s="2228"/>
      <c r="UGJ64" s="2228"/>
      <c r="UGK64" s="2228"/>
      <c r="UGL64" s="2228"/>
      <c r="UGM64" s="2228"/>
      <c r="UGN64" s="2228"/>
      <c r="UGO64" s="2228"/>
      <c r="UGP64" s="2228"/>
      <c r="UGQ64" s="2228"/>
      <c r="UGR64" s="2228"/>
      <c r="UGS64" s="2228"/>
      <c r="UGT64" s="2228"/>
      <c r="UGU64" s="2228"/>
      <c r="UGV64" s="2227"/>
      <c r="UGW64" s="2228"/>
      <c r="UGX64" s="2228"/>
      <c r="UGY64" s="2228"/>
      <c r="UGZ64" s="2228"/>
      <c r="UHA64" s="2228"/>
      <c r="UHB64" s="2228"/>
      <c r="UHC64" s="2228"/>
      <c r="UHD64" s="2228"/>
      <c r="UHE64" s="2228"/>
      <c r="UHF64" s="2228"/>
      <c r="UHG64" s="2228"/>
      <c r="UHH64" s="2228"/>
      <c r="UHI64" s="2228"/>
      <c r="UHJ64" s="2228"/>
      <c r="UHK64" s="2228"/>
      <c r="UHL64" s="2227"/>
      <c r="UHM64" s="2228"/>
      <c r="UHN64" s="2228"/>
      <c r="UHO64" s="2228"/>
      <c r="UHP64" s="2228"/>
      <c r="UHQ64" s="2228"/>
      <c r="UHR64" s="2228"/>
      <c r="UHS64" s="2228"/>
      <c r="UHT64" s="2228"/>
      <c r="UHU64" s="2228"/>
      <c r="UHV64" s="2228"/>
      <c r="UHW64" s="2228"/>
      <c r="UHX64" s="2228"/>
      <c r="UHY64" s="2228"/>
      <c r="UHZ64" s="2228"/>
      <c r="UIA64" s="2228"/>
      <c r="UIB64" s="2227"/>
      <c r="UIC64" s="2228"/>
      <c r="UID64" s="2228"/>
      <c r="UIE64" s="2228"/>
      <c r="UIF64" s="2228"/>
      <c r="UIG64" s="2228"/>
      <c r="UIH64" s="2228"/>
      <c r="UII64" s="2228"/>
      <c r="UIJ64" s="2228"/>
      <c r="UIK64" s="2228"/>
      <c r="UIL64" s="2228"/>
      <c r="UIM64" s="2228"/>
      <c r="UIN64" s="2228"/>
      <c r="UIO64" s="2228"/>
      <c r="UIP64" s="2228"/>
      <c r="UIQ64" s="2228"/>
      <c r="UIR64" s="2227"/>
      <c r="UIS64" s="2228"/>
      <c r="UIT64" s="2228"/>
      <c r="UIU64" s="2228"/>
      <c r="UIV64" s="2228"/>
      <c r="UIW64" s="2228"/>
      <c r="UIX64" s="2228"/>
      <c r="UIY64" s="2228"/>
      <c r="UIZ64" s="2228"/>
      <c r="UJA64" s="2228"/>
      <c r="UJB64" s="2228"/>
      <c r="UJC64" s="2228"/>
      <c r="UJD64" s="2228"/>
      <c r="UJE64" s="2228"/>
      <c r="UJF64" s="2228"/>
      <c r="UJG64" s="2228"/>
      <c r="UJH64" s="2227"/>
      <c r="UJI64" s="2228"/>
      <c r="UJJ64" s="2228"/>
      <c r="UJK64" s="2228"/>
      <c r="UJL64" s="2228"/>
      <c r="UJM64" s="2228"/>
      <c r="UJN64" s="2228"/>
      <c r="UJO64" s="2228"/>
      <c r="UJP64" s="2228"/>
      <c r="UJQ64" s="2228"/>
      <c r="UJR64" s="2228"/>
      <c r="UJS64" s="2228"/>
      <c r="UJT64" s="2228"/>
      <c r="UJU64" s="2228"/>
      <c r="UJV64" s="2228"/>
      <c r="UJW64" s="2228"/>
      <c r="UJX64" s="2227"/>
      <c r="UJY64" s="2228"/>
      <c r="UJZ64" s="2228"/>
      <c r="UKA64" s="2228"/>
      <c r="UKB64" s="2228"/>
      <c r="UKC64" s="2228"/>
      <c r="UKD64" s="2228"/>
      <c r="UKE64" s="2228"/>
      <c r="UKF64" s="2228"/>
      <c r="UKG64" s="2228"/>
      <c r="UKH64" s="2228"/>
      <c r="UKI64" s="2228"/>
      <c r="UKJ64" s="2228"/>
      <c r="UKK64" s="2228"/>
      <c r="UKL64" s="2228"/>
      <c r="UKM64" s="2228"/>
      <c r="UKN64" s="2227"/>
      <c r="UKO64" s="2228"/>
      <c r="UKP64" s="2228"/>
      <c r="UKQ64" s="2228"/>
      <c r="UKR64" s="2228"/>
      <c r="UKS64" s="2228"/>
      <c r="UKT64" s="2228"/>
      <c r="UKU64" s="2228"/>
      <c r="UKV64" s="2228"/>
      <c r="UKW64" s="2228"/>
      <c r="UKX64" s="2228"/>
      <c r="UKY64" s="2228"/>
      <c r="UKZ64" s="2228"/>
      <c r="ULA64" s="2228"/>
      <c r="ULB64" s="2228"/>
      <c r="ULC64" s="2228"/>
      <c r="ULD64" s="2227"/>
      <c r="ULE64" s="2228"/>
      <c r="ULF64" s="2228"/>
      <c r="ULG64" s="2228"/>
      <c r="ULH64" s="2228"/>
      <c r="ULI64" s="2228"/>
      <c r="ULJ64" s="2228"/>
      <c r="ULK64" s="2228"/>
      <c r="ULL64" s="2228"/>
      <c r="ULM64" s="2228"/>
      <c r="ULN64" s="2228"/>
      <c r="ULO64" s="2228"/>
      <c r="ULP64" s="2228"/>
      <c r="ULQ64" s="2228"/>
      <c r="ULR64" s="2228"/>
      <c r="ULS64" s="2228"/>
      <c r="ULT64" s="2227"/>
      <c r="ULU64" s="2228"/>
      <c r="ULV64" s="2228"/>
      <c r="ULW64" s="2228"/>
      <c r="ULX64" s="2228"/>
      <c r="ULY64" s="2228"/>
      <c r="ULZ64" s="2228"/>
      <c r="UMA64" s="2228"/>
      <c r="UMB64" s="2228"/>
      <c r="UMC64" s="2228"/>
      <c r="UMD64" s="2228"/>
      <c r="UME64" s="2228"/>
      <c r="UMF64" s="2228"/>
      <c r="UMG64" s="2228"/>
      <c r="UMH64" s="2228"/>
      <c r="UMI64" s="2228"/>
      <c r="UMJ64" s="2227"/>
      <c r="UMK64" s="2228"/>
      <c r="UML64" s="2228"/>
      <c r="UMM64" s="2228"/>
      <c r="UMN64" s="2228"/>
      <c r="UMO64" s="2228"/>
      <c r="UMP64" s="2228"/>
      <c r="UMQ64" s="2228"/>
      <c r="UMR64" s="2228"/>
      <c r="UMS64" s="2228"/>
      <c r="UMT64" s="2228"/>
      <c r="UMU64" s="2228"/>
      <c r="UMV64" s="2228"/>
      <c r="UMW64" s="2228"/>
      <c r="UMX64" s="2228"/>
      <c r="UMY64" s="2228"/>
      <c r="UMZ64" s="2227"/>
      <c r="UNA64" s="2228"/>
      <c r="UNB64" s="2228"/>
      <c r="UNC64" s="2228"/>
      <c r="UND64" s="2228"/>
      <c r="UNE64" s="2228"/>
      <c r="UNF64" s="2228"/>
      <c r="UNG64" s="2228"/>
      <c r="UNH64" s="2228"/>
      <c r="UNI64" s="2228"/>
      <c r="UNJ64" s="2228"/>
      <c r="UNK64" s="2228"/>
      <c r="UNL64" s="2228"/>
      <c r="UNM64" s="2228"/>
      <c r="UNN64" s="2228"/>
      <c r="UNO64" s="2228"/>
      <c r="UNP64" s="2227"/>
      <c r="UNQ64" s="2228"/>
      <c r="UNR64" s="2228"/>
      <c r="UNS64" s="2228"/>
      <c r="UNT64" s="2228"/>
      <c r="UNU64" s="2228"/>
      <c r="UNV64" s="2228"/>
      <c r="UNW64" s="2228"/>
      <c r="UNX64" s="2228"/>
      <c r="UNY64" s="2228"/>
      <c r="UNZ64" s="2228"/>
      <c r="UOA64" s="2228"/>
      <c r="UOB64" s="2228"/>
      <c r="UOC64" s="2228"/>
      <c r="UOD64" s="2228"/>
      <c r="UOE64" s="2228"/>
      <c r="UOF64" s="2227"/>
      <c r="UOG64" s="2228"/>
      <c r="UOH64" s="2228"/>
      <c r="UOI64" s="2228"/>
      <c r="UOJ64" s="2228"/>
      <c r="UOK64" s="2228"/>
      <c r="UOL64" s="2228"/>
      <c r="UOM64" s="2228"/>
      <c r="UON64" s="2228"/>
      <c r="UOO64" s="2228"/>
      <c r="UOP64" s="2228"/>
      <c r="UOQ64" s="2228"/>
      <c r="UOR64" s="2228"/>
      <c r="UOS64" s="2228"/>
      <c r="UOT64" s="2228"/>
      <c r="UOU64" s="2228"/>
      <c r="UOV64" s="2227"/>
      <c r="UOW64" s="2228"/>
      <c r="UOX64" s="2228"/>
      <c r="UOY64" s="2228"/>
      <c r="UOZ64" s="2228"/>
      <c r="UPA64" s="2228"/>
      <c r="UPB64" s="2228"/>
      <c r="UPC64" s="2228"/>
      <c r="UPD64" s="2228"/>
      <c r="UPE64" s="2228"/>
      <c r="UPF64" s="2228"/>
      <c r="UPG64" s="2228"/>
      <c r="UPH64" s="2228"/>
      <c r="UPI64" s="2228"/>
      <c r="UPJ64" s="2228"/>
      <c r="UPK64" s="2228"/>
      <c r="UPL64" s="2227"/>
      <c r="UPM64" s="2228"/>
      <c r="UPN64" s="2228"/>
      <c r="UPO64" s="2228"/>
      <c r="UPP64" s="2228"/>
      <c r="UPQ64" s="2228"/>
      <c r="UPR64" s="2228"/>
      <c r="UPS64" s="2228"/>
      <c r="UPT64" s="2228"/>
      <c r="UPU64" s="2228"/>
      <c r="UPV64" s="2228"/>
      <c r="UPW64" s="2228"/>
      <c r="UPX64" s="2228"/>
      <c r="UPY64" s="2228"/>
      <c r="UPZ64" s="2228"/>
      <c r="UQA64" s="2228"/>
      <c r="UQB64" s="2227"/>
      <c r="UQC64" s="2228"/>
      <c r="UQD64" s="2228"/>
      <c r="UQE64" s="2228"/>
      <c r="UQF64" s="2228"/>
      <c r="UQG64" s="2228"/>
      <c r="UQH64" s="2228"/>
      <c r="UQI64" s="2228"/>
      <c r="UQJ64" s="2228"/>
      <c r="UQK64" s="2228"/>
      <c r="UQL64" s="2228"/>
      <c r="UQM64" s="2228"/>
      <c r="UQN64" s="2228"/>
      <c r="UQO64" s="2228"/>
      <c r="UQP64" s="2228"/>
      <c r="UQQ64" s="2228"/>
      <c r="UQR64" s="2227"/>
      <c r="UQS64" s="2228"/>
      <c r="UQT64" s="2228"/>
      <c r="UQU64" s="2228"/>
      <c r="UQV64" s="2228"/>
      <c r="UQW64" s="2228"/>
      <c r="UQX64" s="2228"/>
      <c r="UQY64" s="2228"/>
      <c r="UQZ64" s="2228"/>
      <c r="URA64" s="2228"/>
      <c r="URB64" s="2228"/>
      <c r="URC64" s="2228"/>
      <c r="URD64" s="2228"/>
      <c r="URE64" s="2228"/>
      <c r="URF64" s="2228"/>
      <c r="URG64" s="2228"/>
      <c r="URH64" s="2227"/>
      <c r="URI64" s="2228"/>
      <c r="URJ64" s="2228"/>
      <c r="URK64" s="2228"/>
      <c r="URL64" s="2228"/>
      <c r="URM64" s="2228"/>
      <c r="URN64" s="2228"/>
      <c r="URO64" s="2228"/>
      <c r="URP64" s="2228"/>
      <c r="URQ64" s="2228"/>
      <c r="URR64" s="2228"/>
      <c r="URS64" s="2228"/>
      <c r="URT64" s="2228"/>
      <c r="URU64" s="2228"/>
      <c r="URV64" s="2228"/>
      <c r="URW64" s="2228"/>
      <c r="URX64" s="2227"/>
      <c r="URY64" s="2228"/>
      <c r="URZ64" s="2228"/>
      <c r="USA64" s="2228"/>
      <c r="USB64" s="2228"/>
      <c r="USC64" s="2228"/>
      <c r="USD64" s="2228"/>
      <c r="USE64" s="2228"/>
      <c r="USF64" s="2228"/>
      <c r="USG64" s="2228"/>
      <c r="USH64" s="2228"/>
      <c r="USI64" s="2228"/>
      <c r="USJ64" s="2228"/>
      <c r="USK64" s="2228"/>
      <c r="USL64" s="2228"/>
      <c r="USM64" s="2228"/>
      <c r="USN64" s="2227"/>
      <c r="USO64" s="2228"/>
      <c r="USP64" s="2228"/>
      <c r="USQ64" s="2228"/>
      <c r="USR64" s="2228"/>
      <c r="USS64" s="2228"/>
      <c r="UST64" s="2228"/>
      <c r="USU64" s="2228"/>
      <c r="USV64" s="2228"/>
      <c r="USW64" s="2228"/>
      <c r="USX64" s="2228"/>
      <c r="USY64" s="2228"/>
      <c r="USZ64" s="2228"/>
      <c r="UTA64" s="2228"/>
      <c r="UTB64" s="2228"/>
      <c r="UTC64" s="2228"/>
      <c r="UTD64" s="2227"/>
      <c r="UTE64" s="2228"/>
      <c r="UTF64" s="2228"/>
      <c r="UTG64" s="2228"/>
      <c r="UTH64" s="2228"/>
      <c r="UTI64" s="2228"/>
      <c r="UTJ64" s="2228"/>
      <c r="UTK64" s="2228"/>
      <c r="UTL64" s="2228"/>
      <c r="UTM64" s="2228"/>
      <c r="UTN64" s="2228"/>
      <c r="UTO64" s="2228"/>
      <c r="UTP64" s="2228"/>
      <c r="UTQ64" s="2228"/>
      <c r="UTR64" s="2228"/>
      <c r="UTS64" s="2228"/>
      <c r="UTT64" s="2227"/>
      <c r="UTU64" s="2228"/>
      <c r="UTV64" s="2228"/>
      <c r="UTW64" s="2228"/>
      <c r="UTX64" s="2228"/>
      <c r="UTY64" s="2228"/>
      <c r="UTZ64" s="2228"/>
      <c r="UUA64" s="2228"/>
      <c r="UUB64" s="2228"/>
      <c r="UUC64" s="2228"/>
      <c r="UUD64" s="2228"/>
      <c r="UUE64" s="2228"/>
      <c r="UUF64" s="2228"/>
      <c r="UUG64" s="2228"/>
      <c r="UUH64" s="2228"/>
      <c r="UUI64" s="2228"/>
      <c r="UUJ64" s="2227"/>
      <c r="UUK64" s="2228"/>
      <c r="UUL64" s="2228"/>
      <c r="UUM64" s="2228"/>
      <c r="UUN64" s="2228"/>
      <c r="UUO64" s="2228"/>
      <c r="UUP64" s="2228"/>
      <c r="UUQ64" s="2228"/>
      <c r="UUR64" s="2228"/>
      <c r="UUS64" s="2228"/>
      <c r="UUT64" s="2228"/>
      <c r="UUU64" s="2228"/>
      <c r="UUV64" s="2228"/>
      <c r="UUW64" s="2228"/>
      <c r="UUX64" s="2228"/>
      <c r="UUY64" s="2228"/>
      <c r="UUZ64" s="2227"/>
      <c r="UVA64" s="2228"/>
      <c r="UVB64" s="2228"/>
      <c r="UVC64" s="2228"/>
      <c r="UVD64" s="2228"/>
      <c r="UVE64" s="2228"/>
      <c r="UVF64" s="2228"/>
      <c r="UVG64" s="2228"/>
      <c r="UVH64" s="2228"/>
      <c r="UVI64" s="2228"/>
      <c r="UVJ64" s="2228"/>
      <c r="UVK64" s="2228"/>
      <c r="UVL64" s="2228"/>
      <c r="UVM64" s="2228"/>
      <c r="UVN64" s="2228"/>
      <c r="UVO64" s="2228"/>
      <c r="UVP64" s="2227"/>
      <c r="UVQ64" s="2228"/>
      <c r="UVR64" s="2228"/>
      <c r="UVS64" s="2228"/>
      <c r="UVT64" s="2228"/>
      <c r="UVU64" s="2228"/>
      <c r="UVV64" s="2228"/>
      <c r="UVW64" s="2228"/>
      <c r="UVX64" s="2228"/>
      <c r="UVY64" s="2228"/>
      <c r="UVZ64" s="2228"/>
      <c r="UWA64" s="2228"/>
      <c r="UWB64" s="2228"/>
      <c r="UWC64" s="2228"/>
      <c r="UWD64" s="2228"/>
      <c r="UWE64" s="2228"/>
      <c r="UWF64" s="2227"/>
      <c r="UWG64" s="2228"/>
      <c r="UWH64" s="2228"/>
      <c r="UWI64" s="2228"/>
      <c r="UWJ64" s="2228"/>
      <c r="UWK64" s="2228"/>
      <c r="UWL64" s="2228"/>
      <c r="UWM64" s="2228"/>
      <c r="UWN64" s="2228"/>
      <c r="UWO64" s="2228"/>
      <c r="UWP64" s="2228"/>
      <c r="UWQ64" s="2228"/>
      <c r="UWR64" s="2228"/>
      <c r="UWS64" s="2228"/>
      <c r="UWT64" s="2228"/>
      <c r="UWU64" s="2228"/>
      <c r="UWV64" s="2227"/>
      <c r="UWW64" s="2228"/>
      <c r="UWX64" s="2228"/>
      <c r="UWY64" s="2228"/>
      <c r="UWZ64" s="2228"/>
      <c r="UXA64" s="2228"/>
      <c r="UXB64" s="2228"/>
      <c r="UXC64" s="2228"/>
      <c r="UXD64" s="2228"/>
      <c r="UXE64" s="2228"/>
      <c r="UXF64" s="2228"/>
      <c r="UXG64" s="2228"/>
      <c r="UXH64" s="2228"/>
      <c r="UXI64" s="2228"/>
      <c r="UXJ64" s="2228"/>
      <c r="UXK64" s="2228"/>
      <c r="UXL64" s="2227"/>
      <c r="UXM64" s="2228"/>
      <c r="UXN64" s="2228"/>
      <c r="UXO64" s="2228"/>
      <c r="UXP64" s="2228"/>
      <c r="UXQ64" s="2228"/>
      <c r="UXR64" s="2228"/>
      <c r="UXS64" s="2228"/>
      <c r="UXT64" s="2228"/>
      <c r="UXU64" s="2228"/>
      <c r="UXV64" s="2228"/>
      <c r="UXW64" s="2228"/>
      <c r="UXX64" s="2228"/>
      <c r="UXY64" s="2228"/>
      <c r="UXZ64" s="2228"/>
      <c r="UYA64" s="2228"/>
      <c r="UYB64" s="2227"/>
      <c r="UYC64" s="2228"/>
      <c r="UYD64" s="2228"/>
      <c r="UYE64" s="2228"/>
      <c r="UYF64" s="2228"/>
      <c r="UYG64" s="2228"/>
      <c r="UYH64" s="2228"/>
      <c r="UYI64" s="2228"/>
      <c r="UYJ64" s="2228"/>
      <c r="UYK64" s="2228"/>
      <c r="UYL64" s="2228"/>
      <c r="UYM64" s="2228"/>
      <c r="UYN64" s="2228"/>
      <c r="UYO64" s="2228"/>
      <c r="UYP64" s="2228"/>
      <c r="UYQ64" s="2228"/>
      <c r="UYR64" s="2227"/>
      <c r="UYS64" s="2228"/>
      <c r="UYT64" s="2228"/>
      <c r="UYU64" s="2228"/>
      <c r="UYV64" s="2228"/>
      <c r="UYW64" s="2228"/>
      <c r="UYX64" s="2228"/>
      <c r="UYY64" s="2228"/>
      <c r="UYZ64" s="2228"/>
      <c r="UZA64" s="2228"/>
      <c r="UZB64" s="2228"/>
      <c r="UZC64" s="2228"/>
      <c r="UZD64" s="2228"/>
      <c r="UZE64" s="2228"/>
      <c r="UZF64" s="2228"/>
      <c r="UZG64" s="2228"/>
      <c r="UZH64" s="2227"/>
      <c r="UZI64" s="2228"/>
      <c r="UZJ64" s="2228"/>
      <c r="UZK64" s="2228"/>
      <c r="UZL64" s="2228"/>
      <c r="UZM64" s="2228"/>
      <c r="UZN64" s="2228"/>
      <c r="UZO64" s="2228"/>
      <c r="UZP64" s="2228"/>
      <c r="UZQ64" s="2228"/>
      <c r="UZR64" s="2228"/>
      <c r="UZS64" s="2228"/>
      <c r="UZT64" s="2228"/>
      <c r="UZU64" s="2228"/>
      <c r="UZV64" s="2228"/>
      <c r="UZW64" s="2228"/>
      <c r="UZX64" s="2227"/>
      <c r="UZY64" s="2228"/>
      <c r="UZZ64" s="2228"/>
      <c r="VAA64" s="2228"/>
      <c r="VAB64" s="2228"/>
      <c r="VAC64" s="2228"/>
      <c r="VAD64" s="2228"/>
      <c r="VAE64" s="2228"/>
      <c r="VAF64" s="2228"/>
      <c r="VAG64" s="2228"/>
      <c r="VAH64" s="2228"/>
      <c r="VAI64" s="2228"/>
      <c r="VAJ64" s="2228"/>
      <c r="VAK64" s="2228"/>
      <c r="VAL64" s="2228"/>
      <c r="VAM64" s="2228"/>
      <c r="VAN64" s="2227"/>
      <c r="VAO64" s="2228"/>
      <c r="VAP64" s="2228"/>
      <c r="VAQ64" s="2228"/>
      <c r="VAR64" s="2228"/>
      <c r="VAS64" s="2228"/>
      <c r="VAT64" s="2228"/>
      <c r="VAU64" s="2228"/>
      <c r="VAV64" s="2228"/>
      <c r="VAW64" s="2228"/>
      <c r="VAX64" s="2228"/>
      <c r="VAY64" s="2228"/>
      <c r="VAZ64" s="2228"/>
      <c r="VBA64" s="2228"/>
      <c r="VBB64" s="2228"/>
      <c r="VBC64" s="2228"/>
      <c r="VBD64" s="2227"/>
      <c r="VBE64" s="2228"/>
      <c r="VBF64" s="2228"/>
      <c r="VBG64" s="2228"/>
      <c r="VBH64" s="2228"/>
      <c r="VBI64" s="2228"/>
      <c r="VBJ64" s="2228"/>
      <c r="VBK64" s="2228"/>
      <c r="VBL64" s="2228"/>
      <c r="VBM64" s="2228"/>
      <c r="VBN64" s="2228"/>
      <c r="VBO64" s="2228"/>
      <c r="VBP64" s="2228"/>
      <c r="VBQ64" s="2228"/>
      <c r="VBR64" s="2228"/>
      <c r="VBS64" s="2228"/>
      <c r="VBT64" s="2227"/>
      <c r="VBU64" s="2228"/>
      <c r="VBV64" s="2228"/>
      <c r="VBW64" s="2228"/>
      <c r="VBX64" s="2228"/>
      <c r="VBY64" s="2228"/>
      <c r="VBZ64" s="2228"/>
      <c r="VCA64" s="2228"/>
      <c r="VCB64" s="2228"/>
      <c r="VCC64" s="2228"/>
      <c r="VCD64" s="2228"/>
      <c r="VCE64" s="2228"/>
      <c r="VCF64" s="2228"/>
      <c r="VCG64" s="2228"/>
      <c r="VCH64" s="2228"/>
      <c r="VCI64" s="2228"/>
      <c r="VCJ64" s="2227"/>
      <c r="VCK64" s="2228"/>
      <c r="VCL64" s="2228"/>
      <c r="VCM64" s="2228"/>
      <c r="VCN64" s="2228"/>
      <c r="VCO64" s="2228"/>
      <c r="VCP64" s="2228"/>
      <c r="VCQ64" s="2228"/>
      <c r="VCR64" s="2228"/>
      <c r="VCS64" s="2228"/>
      <c r="VCT64" s="2228"/>
      <c r="VCU64" s="2228"/>
      <c r="VCV64" s="2228"/>
      <c r="VCW64" s="2228"/>
      <c r="VCX64" s="2228"/>
      <c r="VCY64" s="2228"/>
      <c r="VCZ64" s="2227"/>
      <c r="VDA64" s="2228"/>
      <c r="VDB64" s="2228"/>
      <c r="VDC64" s="2228"/>
      <c r="VDD64" s="2228"/>
      <c r="VDE64" s="2228"/>
      <c r="VDF64" s="2228"/>
      <c r="VDG64" s="2228"/>
      <c r="VDH64" s="2228"/>
      <c r="VDI64" s="2228"/>
      <c r="VDJ64" s="2228"/>
      <c r="VDK64" s="2228"/>
      <c r="VDL64" s="2228"/>
      <c r="VDM64" s="2228"/>
      <c r="VDN64" s="2228"/>
      <c r="VDO64" s="2228"/>
      <c r="VDP64" s="2227"/>
      <c r="VDQ64" s="2228"/>
      <c r="VDR64" s="2228"/>
      <c r="VDS64" s="2228"/>
      <c r="VDT64" s="2228"/>
      <c r="VDU64" s="2228"/>
      <c r="VDV64" s="2228"/>
      <c r="VDW64" s="2228"/>
      <c r="VDX64" s="2228"/>
      <c r="VDY64" s="2228"/>
      <c r="VDZ64" s="2228"/>
      <c r="VEA64" s="2228"/>
      <c r="VEB64" s="2228"/>
      <c r="VEC64" s="2228"/>
      <c r="VED64" s="2228"/>
      <c r="VEE64" s="2228"/>
      <c r="VEF64" s="2227"/>
      <c r="VEG64" s="2228"/>
      <c r="VEH64" s="2228"/>
      <c r="VEI64" s="2228"/>
      <c r="VEJ64" s="2228"/>
      <c r="VEK64" s="2228"/>
      <c r="VEL64" s="2228"/>
      <c r="VEM64" s="2228"/>
      <c r="VEN64" s="2228"/>
      <c r="VEO64" s="2228"/>
      <c r="VEP64" s="2228"/>
      <c r="VEQ64" s="2228"/>
      <c r="VER64" s="2228"/>
      <c r="VES64" s="2228"/>
      <c r="VET64" s="2228"/>
      <c r="VEU64" s="2228"/>
      <c r="VEV64" s="2227"/>
      <c r="VEW64" s="2228"/>
      <c r="VEX64" s="2228"/>
      <c r="VEY64" s="2228"/>
      <c r="VEZ64" s="2228"/>
      <c r="VFA64" s="2228"/>
      <c r="VFB64" s="2228"/>
      <c r="VFC64" s="2228"/>
      <c r="VFD64" s="2228"/>
      <c r="VFE64" s="2228"/>
      <c r="VFF64" s="2228"/>
      <c r="VFG64" s="2228"/>
      <c r="VFH64" s="2228"/>
      <c r="VFI64" s="2228"/>
      <c r="VFJ64" s="2228"/>
      <c r="VFK64" s="2228"/>
      <c r="VFL64" s="2227"/>
      <c r="VFM64" s="2228"/>
      <c r="VFN64" s="2228"/>
      <c r="VFO64" s="2228"/>
      <c r="VFP64" s="2228"/>
      <c r="VFQ64" s="2228"/>
      <c r="VFR64" s="2228"/>
      <c r="VFS64" s="2228"/>
      <c r="VFT64" s="2228"/>
      <c r="VFU64" s="2228"/>
      <c r="VFV64" s="2228"/>
      <c r="VFW64" s="2228"/>
      <c r="VFX64" s="2228"/>
      <c r="VFY64" s="2228"/>
      <c r="VFZ64" s="2228"/>
      <c r="VGA64" s="2228"/>
      <c r="VGB64" s="2227"/>
      <c r="VGC64" s="2228"/>
      <c r="VGD64" s="2228"/>
      <c r="VGE64" s="2228"/>
      <c r="VGF64" s="2228"/>
      <c r="VGG64" s="2228"/>
      <c r="VGH64" s="2228"/>
      <c r="VGI64" s="2228"/>
      <c r="VGJ64" s="2228"/>
      <c r="VGK64" s="2228"/>
      <c r="VGL64" s="2228"/>
      <c r="VGM64" s="2228"/>
      <c r="VGN64" s="2228"/>
      <c r="VGO64" s="2228"/>
      <c r="VGP64" s="2228"/>
      <c r="VGQ64" s="2228"/>
      <c r="VGR64" s="2227"/>
      <c r="VGS64" s="2228"/>
      <c r="VGT64" s="2228"/>
      <c r="VGU64" s="2228"/>
      <c r="VGV64" s="2228"/>
      <c r="VGW64" s="2228"/>
      <c r="VGX64" s="2228"/>
      <c r="VGY64" s="2228"/>
      <c r="VGZ64" s="2228"/>
      <c r="VHA64" s="2228"/>
      <c r="VHB64" s="2228"/>
      <c r="VHC64" s="2228"/>
      <c r="VHD64" s="2228"/>
      <c r="VHE64" s="2228"/>
      <c r="VHF64" s="2228"/>
      <c r="VHG64" s="2228"/>
      <c r="VHH64" s="2227"/>
      <c r="VHI64" s="2228"/>
      <c r="VHJ64" s="2228"/>
      <c r="VHK64" s="2228"/>
      <c r="VHL64" s="2228"/>
      <c r="VHM64" s="2228"/>
      <c r="VHN64" s="2228"/>
      <c r="VHO64" s="2228"/>
      <c r="VHP64" s="2228"/>
      <c r="VHQ64" s="2228"/>
      <c r="VHR64" s="2228"/>
      <c r="VHS64" s="2228"/>
      <c r="VHT64" s="2228"/>
      <c r="VHU64" s="2228"/>
      <c r="VHV64" s="2228"/>
      <c r="VHW64" s="2228"/>
      <c r="VHX64" s="2227"/>
      <c r="VHY64" s="2228"/>
      <c r="VHZ64" s="2228"/>
      <c r="VIA64" s="2228"/>
      <c r="VIB64" s="2228"/>
      <c r="VIC64" s="2228"/>
      <c r="VID64" s="2228"/>
      <c r="VIE64" s="2228"/>
      <c r="VIF64" s="2228"/>
      <c r="VIG64" s="2228"/>
      <c r="VIH64" s="2228"/>
      <c r="VII64" s="2228"/>
      <c r="VIJ64" s="2228"/>
      <c r="VIK64" s="2228"/>
      <c r="VIL64" s="2228"/>
      <c r="VIM64" s="2228"/>
      <c r="VIN64" s="2227"/>
      <c r="VIO64" s="2228"/>
      <c r="VIP64" s="2228"/>
      <c r="VIQ64" s="2228"/>
      <c r="VIR64" s="2228"/>
      <c r="VIS64" s="2228"/>
      <c r="VIT64" s="2228"/>
      <c r="VIU64" s="2228"/>
      <c r="VIV64" s="2228"/>
      <c r="VIW64" s="2228"/>
      <c r="VIX64" s="2228"/>
      <c r="VIY64" s="2228"/>
      <c r="VIZ64" s="2228"/>
      <c r="VJA64" s="2228"/>
      <c r="VJB64" s="2228"/>
      <c r="VJC64" s="2228"/>
      <c r="VJD64" s="2227"/>
      <c r="VJE64" s="2228"/>
      <c r="VJF64" s="2228"/>
      <c r="VJG64" s="2228"/>
      <c r="VJH64" s="2228"/>
      <c r="VJI64" s="2228"/>
      <c r="VJJ64" s="2228"/>
      <c r="VJK64" s="2228"/>
      <c r="VJL64" s="2228"/>
      <c r="VJM64" s="2228"/>
      <c r="VJN64" s="2228"/>
      <c r="VJO64" s="2228"/>
      <c r="VJP64" s="2228"/>
      <c r="VJQ64" s="2228"/>
      <c r="VJR64" s="2228"/>
      <c r="VJS64" s="2228"/>
      <c r="VJT64" s="2227"/>
      <c r="VJU64" s="2228"/>
      <c r="VJV64" s="2228"/>
      <c r="VJW64" s="2228"/>
      <c r="VJX64" s="2228"/>
      <c r="VJY64" s="2228"/>
      <c r="VJZ64" s="2228"/>
      <c r="VKA64" s="2228"/>
      <c r="VKB64" s="2228"/>
      <c r="VKC64" s="2228"/>
      <c r="VKD64" s="2228"/>
      <c r="VKE64" s="2228"/>
      <c r="VKF64" s="2228"/>
      <c r="VKG64" s="2228"/>
      <c r="VKH64" s="2228"/>
      <c r="VKI64" s="2228"/>
      <c r="VKJ64" s="2227"/>
      <c r="VKK64" s="2228"/>
      <c r="VKL64" s="2228"/>
      <c r="VKM64" s="2228"/>
      <c r="VKN64" s="2228"/>
      <c r="VKO64" s="2228"/>
      <c r="VKP64" s="2228"/>
      <c r="VKQ64" s="2228"/>
      <c r="VKR64" s="2228"/>
      <c r="VKS64" s="2228"/>
      <c r="VKT64" s="2228"/>
      <c r="VKU64" s="2228"/>
      <c r="VKV64" s="2228"/>
      <c r="VKW64" s="2228"/>
      <c r="VKX64" s="2228"/>
      <c r="VKY64" s="2228"/>
      <c r="VKZ64" s="2227"/>
      <c r="VLA64" s="2228"/>
      <c r="VLB64" s="2228"/>
      <c r="VLC64" s="2228"/>
      <c r="VLD64" s="2228"/>
      <c r="VLE64" s="2228"/>
      <c r="VLF64" s="2228"/>
      <c r="VLG64" s="2228"/>
      <c r="VLH64" s="2228"/>
      <c r="VLI64" s="2228"/>
      <c r="VLJ64" s="2228"/>
      <c r="VLK64" s="2228"/>
      <c r="VLL64" s="2228"/>
      <c r="VLM64" s="2228"/>
      <c r="VLN64" s="2228"/>
      <c r="VLO64" s="2228"/>
      <c r="VLP64" s="2227"/>
      <c r="VLQ64" s="2228"/>
      <c r="VLR64" s="2228"/>
      <c r="VLS64" s="2228"/>
      <c r="VLT64" s="2228"/>
      <c r="VLU64" s="2228"/>
      <c r="VLV64" s="2228"/>
      <c r="VLW64" s="2228"/>
      <c r="VLX64" s="2228"/>
      <c r="VLY64" s="2228"/>
      <c r="VLZ64" s="2228"/>
      <c r="VMA64" s="2228"/>
      <c r="VMB64" s="2228"/>
      <c r="VMC64" s="2228"/>
      <c r="VMD64" s="2228"/>
      <c r="VME64" s="2228"/>
      <c r="VMF64" s="2227"/>
      <c r="VMG64" s="2228"/>
      <c r="VMH64" s="2228"/>
      <c r="VMI64" s="2228"/>
      <c r="VMJ64" s="2228"/>
      <c r="VMK64" s="2228"/>
      <c r="VML64" s="2228"/>
      <c r="VMM64" s="2228"/>
      <c r="VMN64" s="2228"/>
      <c r="VMO64" s="2228"/>
      <c r="VMP64" s="2228"/>
      <c r="VMQ64" s="2228"/>
      <c r="VMR64" s="2228"/>
      <c r="VMS64" s="2228"/>
      <c r="VMT64" s="2228"/>
      <c r="VMU64" s="2228"/>
      <c r="VMV64" s="2227"/>
      <c r="VMW64" s="2228"/>
      <c r="VMX64" s="2228"/>
      <c r="VMY64" s="2228"/>
      <c r="VMZ64" s="2228"/>
      <c r="VNA64" s="2228"/>
      <c r="VNB64" s="2228"/>
      <c r="VNC64" s="2228"/>
      <c r="VND64" s="2228"/>
      <c r="VNE64" s="2228"/>
      <c r="VNF64" s="2228"/>
      <c r="VNG64" s="2228"/>
      <c r="VNH64" s="2228"/>
      <c r="VNI64" s="2228"/>
      <c r="VNJ64" s="2228"/>
      <c r="VNK64" s="2228"/>
      <c r="VNL64" s="2227"/>
      <c r="VNM64" s="2228"/>
      <c r="VNN64" s="2228"/>
      <c r="VNO64" s="2228"/>
      <c r="VNP64" s="2228"/>
      <c r="VNQ64" s="2228"/>
      <c r="VNR64" s="2228"/>
      <c r="VNS64" s="2228"/>
      <c r="VNT64" s="2228"/>
      <c r="VNU64" s="2228"/>
      <c r="VNV64" s="2228"/>
      <c r="VNW64" s="2228"/>
      <c r="VNX64" s="2228"/>
      <c r="VNY64" s="2228"/>
      <c r="VNZ64" s="2228"/>
      <c r="VOA64" s="2228"/>
      <c r="VOB64" s="2227"/>
      <c r="VOC64" s="2228"/>
      <c r="VOD64" s="2228"/>
      <c r="VOE64" s="2228"/>
      <c r="VOF64" s="2228"/>
      <c r="VOG64" s="2228"/>
      <c r="VOH64" s="2228"/>
      <c r="VOI64" s="2228"/>
      <c r="VOJ64" s="2228"/>
      <c r="VOK64" s="2228"/>
      <c r="VOL64" s="2228"/>
      <c r="VOM64" s="2228"/>
      <c r="VON64" s="2228"/>
      <c r="VOO64" s="2228"/>
      <c r="VOP64" s="2228"/>
      <c r="VOQ64" s="2228"/>
      <c r="VOR64" s="2227"/>
      <c r="VOS64" s="2228"/>
      <c r="VOT64" s="2228"/>
      <c r="VOU64" s="2228"/>
      <c r="VOV64" s="2228"/>
      <c r="VOW64" s="2228"/>
      <c r="VOX64" s="2228"/>
      <c r="VOY64" s="2228"/>
      <c r="VOZ64" s="2228"/>
      <c r="VPA64" s="2228"/>
      <c r="VPB64" s="2228"/>
      <c r="VPC64" s="2228"/>
      <c r="VPD64" s="2228"/>
      <c r="VPE64" s="2228"/>
      <c r="VPF64" s="2228"/>
      <c r="VPG64" s="2228"/>
      <c r="VPH64" s="2227"/>
      <c r="VPI64" s="2228"/>
      <c r="VPJ64" s="2228"/>
      <c r="VPK64" s="2228"/>
      <c r="VPL64" s="2228"/>
      <c r="VPM64" s="2228"/>
      <c r="VPN64" s="2228"/>
      <c r="VPO64" s="2228"/>
      <c r="VPP64" s="2228"/>
      <c r="VPQ64" s="2228"/>
      <c r="VPR64" s="2228"/>
      <c r="VPS64" s="2228"/>
      <c r="VPT64" s="2228"/>
      <c r="VPU64" s="2228"/>
      <c r="VPV64" s="2228"/>
      <c r="VPW64" s="2228"/>
      <c r="VPX64" s="2227"/>
      <c r="VPY64" s="2228"/>
      <c r="VPZ64" s="2228"/>
      <c r="VQA64" s="2228"/>
      <c r="VQB64" s="2228"/>
      <c r="VQC64" s="2228"/>
      <c r="VQD64" s="2228"/>
      <c r="VQE64" s="2228"/>
      <c r="VQF64" s="2228"/>
      <c r="VQG64" s="2228"/>
      <c r="VQH64" s="2228"/>
      <c r="VQI64" s="2228"/>
      <c r="VQJ64" s="2228"/>
      <c r="VQK64" s="2228"/>
      <c r="VQL64" s="2228"/>
      <c r="VQM64" s="2228"/>
      <c r="VQN64" s="2227"/>
      <c r="VQO64" s="2228"/>
      <c r="VQP64" s="2228"/>
      <c r="VQQ64" s="2228"/>
      <c r="VQR64" s="2228"/>
      <c r="VQS64" s="2228"/>
      <c r="VQT64" s="2228"/>
      <c r="VQU64" s="2228"/>
      <c r="VQV64" s="2228"/>
      <c r="VQW64" s="2228"/>
      <c r="VQX64" s="2228"/>
      <c r="VQY64" s="2228"/>
      <c r="VQZ64" s="2228"/>
      <c r="VRA64" s="2228"/>
      <c r="VRB64" s="2228"/>
      <c r="VRC64" s="2228"/>
      <c r="VRD64" s="2227"/>
      <c r="VRE64" s="2228"/>
      <c r="VRF64" s="2228"/>
      <c r="VRG64" s="2228"/>
      <c r="VRH64" s="2228"/>
      <c r="VRI64" s="2228"/>
      <c r="VRJ64" s="2228"/>
      <c r="VRK64" s="2228"/>
      <c r="VRL64" s="2228"/>
      <c r="VRM64" s="2228"/>
      <c r="VRN64" s="2228"/>
      <c r="VRO64" s="2228"/>
      <c r="VRP64" s="2228"/>
      <c r="VRQ64" s="2228"/>
      <c r="VRR64" s="2228"/>
      <c r="VRS64" s="2228"/>
      <c r="VRT64" s="2227"/>
      <c r="VRU64" s="2228"/>
      <c r="VRV64" s="2228"/>
      <c r="VRW64" s="2228"/>
      <c r="VRX64" s="2228"/>
      <c r="VRY64" s="2228"/>
      <c r="VRZ64" s="2228"/>
      <c r="VSA64" s="2228"/>
      <c r="VSB64" s="2228"/>
      <c r="VSC64" s="2228"/>
      <c r="VSD64" s="2228"/>
      <c r="VSE64" s="2228"/>
      <c r="VSF64" s="2228"/>
      <c r="VSG64" s="2228"/>
      <c r="VSH64" s="2228"/>
      <c r="VSI64" s="2228"/>
      <c r="VSJ64" s="2227"/>
      <c r="VSK64" s="2228"/>
      <c r="VSL64" s="2228"/>
      <c r="VSM64" s="2228"/>
      <c r="VSN64" s="2228"/>
      <c r="VSO64" s="2228"/>
      <c r="VSP64" s="2228"/>
      <c r="VSQ64" s="2228"/>
      <c r="VSR64" s="2228"/>
      <c r="VSS64" s="2228"/>
      <c r="VST64" s="2228"/>
      <c r="VSU64" s="2228"/>
      <c r="VSV64" s="2228"/>
      <c r="VSW64" s="2228"/>
      <c r="VSX64" s="2228"/>
      <c r="VSY64" s="2228"/>
      <c r="VSZ64" s="2227"/>
      <c r="VTA64" s="2228"/>
      <c r="VTB64" s="2228"/>
      <c r="VTC64" s="2228"/>
      <c r="VTD64" s="2228"/>
      <c r="VTE64" s="2228"/>
      <c r="VTF64" s="2228"/>
      <c r="VTG64" s="2228"/>
      <c r="VTH64" s="2228"/>
      <c r="VTI64" s="2228"/>
      <c r="VTJ64" s="2228"/>
      <c r="VTK64" s="2228"/>
      <c r="VTL64" s="2228"/>
      <c r="VTM64" s="2228"/>
      <c r="VTN64" s="2228"/>
      <c r="VTO64" s="2228"/>
      <c r="VTP64" s="2227"/>
      <c r="VTQ64" s="2228"/>
      <c r="VTR64" s="2228"/>
      <c r="VTS64" s="2228"/>
      <c r="VTT64" s="2228"/>
      <c r="VTU64" s="2228"/>
      <c r="VTV64" s="2228"/>
      <c r="VTW64" s="2228"/>
      <c r="VTX64" s="2228"/>
      <c r="VTY64" s="2228"/>
      <c r="VTZ64" s="2228"/>
      <c r="VUA64" s="2228"/>
      <c r="VUB64" s="2228"/>
      <c r="VUC64" s="2228"/>
      <c r="VUD64" s="2228"/>
      <c r="VUE64" s="2228"/>
      <c r="VUF64" s="2227"/>
      <c r="VUG64" s="2228"/>
      <c r="VUH64" s="2228"/>
      <c r="VUI64" s="2228"/>
      <c r="VUJ64" s="2228"/>
      <c r="VUK64" s="2228"/>
      <c r="VUL64" s="2228"/>
      <c r="VUM64" s="2228"/>
      <c r="VUN64" s="2228"/>
      <c r="VUO64" s="2228"/>
      <c r="VUP64" s="2228"/>
      <c r="VUQ64" s="2228"/>
      <c r="VUR64" s="2228"/>
      <c r="VUS64" s="2228"/>
      <c r="VUT64" s="2228"/>
      <c r="VUU64" s="2228"/>
      <c r="VUV64" s="2227"/>
      <c r="VUW64" s="2228"/>
      <c r="VUX64" s="2228"/>
      <c r="VUY64" s="2228"/>
      <c r="VUZ64" s="2228"/>
      <c r="VVA64" s="2228"/>
      <c r="VVB64" s="2228"/>
      <c r="VVC64" s="2228"/>
      <c r="VVD64" s="2228"/>
      <c r="VVE64" s="2228"/>
      <c r="VVF64" s="2228"/>
      <c r="VVG64" s="2228"/>
      <c r="VVH64" s="2228"/>
      <c r="VVI64" s="2228"/>
      <c r="VVJ64" s="2228"/>
      <c r="VVK64" s="2228"/>
      <c r="VVL64" s="2227"/>
      <c r="VVM64" s="2228"/>
      <c r="VVN64" s="2228"/>
      <c r="VVO64" s="2228"/>
      <c r="VVP64" s="2228"/>
      <c r="VVQ64" s="2228"/>
      <c r="VVR64" s="2228"/>
      <c r="VVS64" s="2228"/>
      <c r="VVT64" s="2228"/>
      <c r="VVU64" s="2228"/>
      <c r="VVV64" s="2228"/>
      <c r="VVW64" s="2228"/>
      <c r="VVX64" s="2228"/>
      <c r="VVY64" s="2228"/>
      <c r="VVZ64" s="2228"/>
      <c r="VWA64" s="2228"/>
      <c r="VWB64" s="2227"/>
      <c r="VWC64" s="2228"/>
      <c r="VWD64" s="2228"/>
      <c r="VWE64" s="2228"/>
      <c r="VWF64" s="2228"/>
      <c r="VWG64" s="2228"/>
      <c r="VWH64" s="2228"/>
      <c r="VWI64" s="2228"/>
      <c r="VWJ64" s="2228"/>
      <c r="VWK64" s="2228"/>
      <c r="VWL64" s="2228"/>
      <c r="VWM64" s="2228"/>
      <c r="VWN64" s="2228"/>
      <c r="VWO64" s="2228"/>
      <c r="VWP64" s="2228"/>
      <c r="VWQ64" s="2228"/>
      <c r="VWR64" s="2227"/>
      <c r="VWS64" s="2228"/>
      <c r="VWT64" s="2228"/>
      <c r="VWU64" s="2228"/>
      <c r="VWV64" s="2228"/>
      <c r="VWW64" s="2228"/>
      <c r="VWX64" s="2228"/>
      <c r="VWY64" s="2228"/>
      <c r="VWZ64" s="2228"/>
      <c r="VXA64" s="2228"/>
      <c r="VXB64" s="2228"/>
      <c r="VXC64" s="2228"/>
      <c r="VXD64" s="2228"/>
      <c r="VXE64" s="2228"/>
      <c r="VXF64" s="2228"/>
      <c r="VXG64" s="2228"/>
      <c r="VXH64" s="2227"/>
      <c r="VXI64" s="2228"/>
      <c r="VXJ64" s="2228"/>
      <c r="VXK64" s="2228"/>
      <c r="VXL64" s="2228"/>
      <c r="VXM64" s="2228"/>
      <c r="VXN64" s="2228"/>
      <c r="VXO64" s="2228"/>
      <c r="VXP64" s="2228"/>
      <c r="VXQ64" s="2228"/>
      <c r="VXR64" s="2228"/>
      <c r="VXS64" s="2228"/>
      <c r="VXT64" s="2228"/>
      <c r="VXU64" s="2228"/>
      <c r="VXV64" s="2228"/>
      <c r="VXW64" s="2228"/>
      <c r="VXX64" s="2227"/>
      <c r="VXY64" s="2228"/>
      <c r="VXZ64" s="2228"/>
      <c r="VYA64" s="2228"/>
      <c r="VYB64" s="2228"/>
      <c r="VYC64" s="2228"/>
      <c r="VYD64" s="2228"/>
      <c r="VYE64" s="2228"/>
      <c r="VYF64" s="2228"/>
      <c r="VYG64" s="2228"/>
      <c r="VYH64" s="2228"/>
      <c r="VYI64" s="2228"/>
      <c r="VYJ64" s="2228"/>
      <c r="VYK64" s="2228"/>
      <c r="VYL64" s="2228"/>
      <c r="VYM64" s="2228"/>
      <c r="VYN64" s="2227"/>
      <c r="VYO64" s="2228"/>
      <c r="VYP64" s="2228"/>
      <c r="VYQ64" s="2228"/>
      <c r="VYR64" s="2228"/>
      <c r="VYS64" s="2228"/>
      <c r="VYT64" s="2228"/>
      <c r="VYU64" s="2228"/>
      <c r="VYV64" s="2228"/>
      <c r="VYW64" s="2228"/>
      <c r="VYX64" s="2228"/>
      <c r="VYY64" s="2228"/>
      <c r="VYZ64" s="2228"/>
      <c r="VZA64" s="2228"/>
      <c r="VZB64" s="2228"/>
      <c r="VZC64" s="2228"/>
      <c r="VZD64" s="2227"/>
      <c r="VZE64" s="2228"/>
      <c r="VZF64" s="2228"/>
      <c r="VZG64" s="2228"/>
      <c r="VZH64" s="2228"/>
      <c r="VZI64" s="2228"/>
      <c r="VZJ64" s="2228"/>
      <c r="VZK64" s="2228"/>
      <c r="VZL64" s="2228"/>
      <c r="VZM64" s="2228"/>
      <c r="VZN64" s="2228"/>
      <c r="VZO64" s="2228"/>
      <c r="VZP64" s="2228"/>
      <c r="VZQ64" s="2228"/>
      <c r="VZR64" s="2228"/>
      <c r="VZS64" s="2228"/>
      <c r="VZT64" s="2227"/>
      <c r="VZU64" s="2228"/>
      <c r="VZV64" s="2228"/>
      <c r="VZW64" s="2228"/>
      <c r="VZX64" s="2228"/>
      <c r="VZY64" s="2228"/>
      <c r="VZZ64" s="2228"/>
      <c r="WAA64" s="2228"/>
      <c r="WAB64" s="2228"/>
      <c r="WAC64" s="2228"/>
      <c r="WAD64" s="2228"/>
      <c r="WAE64" s="2228"/>
      <c r="WAF64" s="2228"/>
      <c r="WAG64" s="2228"/>
      <c r="WAH64" s="2228"/>
      <c r="WAI64" s="2228"/>
      <c r="WAJ64" s="2227"/>
      <c r="WAK64" s="2228"/>
      <c r="WAL64" s="2228"/>
      <c r="WAM64" s="2228"/>
      <c r="WAN64" s="2228"/>
      <c r="WAO64" s="2228"/>
      <c r="WAP64" s="2228"/>
      <c r="WAQ64" s="2228"/>
      <c r="WAR64" s="2228"/>
      <c r="WAS64" s="2228"/>
      <c r="WAT64" s="2228"/>
      <c r="WAU64" s="2228"/>
      <c r="WAV64" s="2228"/>
      <c r="WAW64" s="2228"/>
      <c r="WAX64" s="2228"/>
      <c r="WAY64" s="2228"/>
      <c r="WAZ64" s="2227"/>
      <c r="WBA64" s="2228"/>
      <c r="WBB64" s="2228"/>
      <c r="WBC64" s="2228"/>
      <c r="WBD64" s="2228"/>
      <c r="WBE64" s="2228"/>
      <c r="WBF64" s="2228"/>
      <c r="WBG64" s="2228"/>
      <c r="WBH64" s="2228"/>
      <c r="WBI64" s="2228"/>
      <c r="WBJ64" s="2228"/>
      <c r="WBK64" s="2228"/>
      <c r="WBL64" s="2228"/>
      <c r="WBM64" s="2228"/>
      <c r="WBN64" s="2228"/>
      <c r="WBO64" s="2228"/>
      <c r="WBP64" s="2227"/>
      <c r="WBQ64" s="2228"/>
      <c r="WBR64" s="2228"/>
      <c r="WBS64" s="2228"/>
      <c r="WBT64" s="2228"/>
      <c r="WBU64" s="2228"/>
      <c r="WBV64" s="2228"/>
      <c r="WBW64" s="2228"/>
      <c r="WBX64" s="2228"/>
      <c r="WBY64" s="2228"/>
      <c r="WBZ64" s="2228"/>
      <c r="WCA64" s="2228"/>
      <c r="WCB64" s="2228"/>
      <c r="WCC64" s="2228"/>
      <c r="WCD64" s="2228"/>
      <c r="WCE64" s="2228"/>
      <c r="WCF64" s="2227"/>
      <c r="WCG64" s="2228"/>
      <c r="WCH64" s="2228"/>
      <c r="WCI64" s="2228"/>
      <c r="WCJ64" s="2228"/>
      <c r="WCK64" s="2228"/>
      <c r="WCL64" s="2228"/>
      <c r="WCM64" s="2228"/>
      <c r="WCN64" s="2228"/>
      <c r="WCO64" s="2228"/>
      <c r="WCP64" s="2228"/>
      <c r="WCQ64" s="2228"/>
      <c r="WCR64" s="2228"/>
      <c r="WCS64" s="2228"/>
      <c r="WCT64" s="2228"/>
      <c r="WCU64" s="2228"/>
      <c r="WCV64" s="2227"/>
      <c r="WCW64" s="2228"/>
      <c r="WCX64" s="2228"/>
      <c r="WCY64" s="2228"/>
      <c r="WCZ64" s="2228"/>
      <c r="WDA64" s="2228"/>
      <c r="WDB64" s="2228"/>
      <c r="WDC64" s="2228"/>
      <c r="WDD64" s="2228"/>
      <c r="WDE64" s="2228"/>
      <c r="WDF64" s="2228"/>
      <c r="WDG64" s="2228"/>
      <c r="WDH64" s="2228"/>
      <c r="WDI64" s="2228"/>
      <c r="WDJ64" s="2228"/>
      <c r="WDK64" s="2228"/>
      <c r="WDL64" s="2227"/>
      <c r="WDM64" s="2228"/>
      <c r="WDN64" s="2228"/>
      <c r="WDO64" s="2228"/>
      <c r="WDP64" s="2228"/>
      <c r="WDQ64" s="2228"/>
      <c r="WDR64" s="2228"/>
      <c r="WDS64" s="2228"/>
      <c r="WDT64" s="2228"/>
      <c r="WDU64" s="2228"/>
      <c r="WDV64" s="2228"/>
      <c r="WDW64" s="2228"/>
      <c r="WDX64" s="2228"/>
      <c r="WDY64" s="2228"/>
      <c r="WDZ64" s="2228"/>
      <c r="WEA64" s="2228"/>
      <c r="WEB64" s="2227"/>
      <c r="WEC64" s="2228"/>
      <c r="WED64" s="2228"/>
      <c r="WEE64" s="2228"/>
      <c r="WEF64" s="2228"/>
      <c r="WEG64" s="2228"/>
      <c r="WEH64" s="2228"/>
      <c r="WEI64" s="2228"/>
      <c r="WEJ64" s="2228"/>
      <c r="WEK64" s="2228"/>
      <c r="WEL64" s="2228"/>
      <c r="WEM64" s="2228"/>
      <c r="WEN64" s="2228"/>
      <c r="WEO64" s="2228"/>
      <c r="WEP64" s="2228"/>
      <c r="WEQ64" s="2228"/>
      <c r="WER64" s="2227"/>
      <c r="WES64" s="2228"/>
      <c r="WET64" s="2228"/>
      <c r="WEU64" s="2228"/>
      <c r="WEV64" s="2228"/>
      <c r="WEW64" s="2228"/>
      <c r="WEX64" s="2228"/>
      <c r="WEY64" s="2228"/>
      <c r="WEZ64" s="2228"/>
      <c r="WFA64" s="2228"/>
      <c r="WFB64" s="2228"/>
      <c r="WFC64" s="2228"/>
      <c r="WFD64" s="2228"/>
      <c r="WFE64" s="2228"/>
      <c r="WFF64" s="2228"/>
      <c r="WFG64" s="2228"/>
      <c r="WFH64" s="2227"/>
      <c r="WFI64" s="2228"/>
      <c r="WFJ64" s="2228"/>
      <c r="WFK64" s="2228"/>
      <c r="WFL64" s="2228"/>
      <c r="WFM64" s="2228"/>
      <c r="WFN64" s="2228"/>
      <c r="WFO64" s="2228"/>
      <c r="WFP64" s="2228"/>
      <c r="WFQ64" s="2228"/>
      <c r="WFR64" s="2228"/>
      <c r="WFS64" s="2228"/>
      <c r="WFT64" s="2228"/>
      <c r="WFU64" s="2228"/>
      <c r="WFV64" s="2228"/>
      <c r="WFW64" s="2228"/>
      <c r="WFX64" s="2227"/>
      <c r="WFY64" s="2228"/>
      <c r="WFZ64" s="2228"/>
      <c r="WGA64" s="2228"/>
      <c r="WGB64" s="2228"/>
      <c r="WGC64" s="2228"/>
      <c r="WGD64" s="2228"/>
      <c r="WGE64" s="2228"/>
      <c r="WGF64" s="2228"/>
      <c r="WGG64" s="2228"/>
      <c r="WGH64" s="2228"/>
      <c r="WGI64" s="2228"/>
      <c r="WGJ64" s="2228"/>
      <c r="WGK64" s="2228"/>
      <c r="WGL64" s="2228"/>
      <c r="WGM64" s="2228"/>
      <c r="WGN64" s="2227"/>
      <c r="WGO64" s="2228"/>
      <c r="WGP64" s="2228"/>
      <c r="WGQ64" s="2228"/>
      <c r="WGR64" s="2228"/>
      <c r="WGS64" s="2228"/>
      <c r="WGT64" s="2228"/>
      <c r="WGU64" s="2228"/>
      <c r="WGV64" s="2228"/>
      <c r="WGW64" s="2228"/>
      <c r="WGX64" s="2228"/>
      <c r="WGY64" s="2228"/>
      <c r="WGZ64" s="2228"/>
      <c r="WHA64" s="2228"/>
      <c r="WHB64" s="2228"/>
      <c r="WHC64" s="2228"/>
      <c r="WHD64" s="2227"/>
      <c r="WHE64" s="2228"/>
      <c r="WHF64" s="2228"/>
      <c r="WHG64" s="2228"/>
      <c r="WHH64" s="2228"/>
      <c r="WHI64" s="2228"/>
      <c r="WHJ64" s="2228"/>
      <c r="WHK64" s="2228"/>
      <c r="WHL64" s="2228"/>
      <c r="WHM64" s="2228"/>
      <c r="WHN64" s="2228"/>
      <c r="WHO64" s="2228"/>
      <c r="WHP64" s="2228"/>
      <c r="WHQ64" s="2228"/>
      <c r="WHR64" s="2228"/>
      <c r="WHS64" s="2228"/>
      <c r="WHT64" s="2227"/>
      <c r="WHU64" s="2228"/>
      <c r="WHV64" s="2228"/>
      <c r="WHW64" s="2228"/>
      <c r="WHX64" s="2228"/>
      <c r="WHY64" s="2228"/>
      <c r="WHZ64" s="2228"/>
      <c r="WIA64" s="2228"/>
      <c r="WIB64" s="2228"/>
      <c r="WIC64" s="2228"/>
      <c r="WID64" s="2228"/>
      <c r="WIE64" s="2228"/>
      <c r="WIF64" s="2228"/>
      <c r="WIG64" s="2228"/>
      <c r="WIH64" s="2228"/>
      <c r="WII64" s="2228"/>
      <c r="WIJ64" s="2227"/>
      <c r="WIK64" s="2228"/>
      <c r="WIL64" s="2228"/>
      <c r="WIM64" s="2228"/>
      <c r="WIN64" s="2228"/>
      <c r="WIO64" s="2228"/>
      <c r="WIP64" s="2228"/>
      <c r="WIQ64" s="2228"/>
      <c r="WIR64" s="2228"/>
      <c r="WIS64" s="2228"/>
      <c r="WIT64" s="2228"/>
      <c r="WIU64" s="2228"/>
      <c r="WIV64" s="2228"/>
      <c r="WIW64" s="2228"/>
      <c r="WIX64" s="2228"/>
      <c r="WIY64" s="2228"/>
      <c r="WIZ64" s="2227"/>
      <c r="WJA64" s="2228"/>
      <c r="WJB64" s="2228"/>
      <c r="WJC64" s="2228"/>
      <c r="WJD64" s="2228"/>
      <c r="WJE64" s="2228"/>
      <c r="WJF64" s="2228"/>
      <c r="WJG64" s="2228"/>
      <c r="WJH64" s="2228"/>
      <c r="WJI64" s="2228"/>
      <c r="WJJ64" s="2228"/>
      <c r="WJK64" s="2228"/>
      <c r="WJL64" s="2228"/>
      <c r="WJM64" s="2228"/>
      <c r="WJN64" s="2228"/>
      <c r="WJO64" s="2228"/>
      <c r="WJP64" s="2227"/>
      <c r="WJQ64" s="2228"/>
      <c r="WJR64" s="2228"/>
      <c r="WJS64" s="2228"/>
      <c r="WJT64" s="2228"/>
      <c r="WJU64" s="2228"/>
      <c r="WJV64" s="2228"/>
      <c r="WJW64" s="2228"/>
      <c r="WJX64" s="2228"/>
      <c r="WJY64" s="2228"/>
      <c r="WJZ64" s="2228"/>
      <c r="WKA64" s="2228"/>
      <c r="WKB64" s="2228"/>
      <c r="WKC64" s="2228"/>
      <c r="WKD64" s="2228"/>
      <c r="WKE64" s="2228"/>
      <c r="WKF64" s="2227"/>
      <c r="WKG64" s="2228"/>
      <c r="WKH64" s="2228"/>
      <c r="WKI64" s="2228"/>
      <c r="WKJ64" s="2228"/>
      <c r="WKK64" s="2228"/>
      <c r="WKL64" s="2228"/>
      <c r="WKM64" s="2228"/>
      <c r="WKN64" s="2228"/>
      <c r="WKO64" s="2228"/>
      <c r="WKP64" s="2228"/>
      <c r="WKQ64" s="2228"/>
      <c r="WKR64" s="2228"/>
      <c r="WKS64" s="2228"/>
      <c r="WKT64" s="2228"/>
      <c r="WKU64" s="2228"/>
      <c r="WKV64" s="2227"/>
      <c r="WKW64" s="2228"/>
      <c r="WKX64" s="2228"/>
      <c r="WKY64" s="2228"/>
      <c r="WKZ64" s="2228"/>
      <c r="WLA64" s="2228"/>
      <c r="WLB64" s="2228"/>
      <c r="WLC64" s="2228"/>
      <c r="WLD64" s="2228"/>
      <c r="WLE64" s="2228"/>
      <c r="WLF64" s="2228"/>
      <c r="WLG64" s="2228"/>
      <c r="WLH64" s="2228"/>
      <c r="WLI64" s="2228"/>
      <c r="WLJ64" s="2228"/>
      <c r="WLK64" s="2228"/>
      <c r="WLL64" s="2227"/>
      <c r="WLM64" s="2228"/>
      <c r="WLN64" s="2228"/>
      <c r="WLO64" s="2228"/>
      <c r="WLP64" s="2228"/>
      <c r="WLQ64" s="2228"/>
      <c r="WLR64" s="2228"/>
      <c r="WLS64" s="2228"/>
      <c r="WLT64" s="2228"/>
      <c r="WLU64" s="2228"/>
      <c r="WLV64" s="2228"/>
      <c r="WLW64" s="2228"/>
      <c r="WLX64" s="2228"/>
      <c r="WLY64" s="2228"/>
      <c r="WLZ64" s="2228"/>
      <c r="WMA64" s="2228"/>
      <c r="WMB64" s="2227"/>
      <c r="WMC64" s="2228"/>
      <c r="WMD64" s="2228"/>
      <c r="WME64" s="2228"/>
      <c r="WMF64" s="2228"/>
      <c r="WMG64" s="2228"/>
      <c r="WMH64" s="2228"/>
      <c r="WMI64" s="2228"/>
      <c r="WMJ64" s="2228"/>
      <c r="WMK64" s="2228"/>
      <c r="WML64" s="2228"/>
      <c r="WMM64" s="2228"/>
      <c r="WMN64" s="2228"/>
      <c r="WMO64" s="2228"/>
      <c r="WMP64" s="2228"/>
      <c r="WMQ64" s="2228"/>
      <c r="WMR64" s="2227"/>
      <c r="WMS64" s="2228"/>
      <c r="WMT64" s="2228"/>
      <c r="WMU64" s="2228"/>
      <c r="WMV64" s="2228"/>
      <c r="WMW64" s="2228"/>
      <c r="WMX64" s="2228"/>
      <c r="WMY64" s="2228"/>
      <c r="WMZ64" s="2228"/>
      <c r="WNA64" s="2228"/>
      <c r="WNB64" s="2228"/>
      <c r="WNC64" s="2228"/>
      <c r="WND64" s="2228"/>
      <c r="WNE64" s="2228"/>
      <c r="WNF64" s="2228"/>
      <c r="WNG64" s="2228"/>
      <c r="WNH64" s="2227"/>
      <c r="WNI64" s="2228"/>
      <c r="WNJ64" s="2228"/>
      <c r="WNK64" s="2228"/>
      <c r="WNL64" s="2228"/>
      <c r="WNM64" s="2228"/>
      <c r="WNN64" s="2228"/>
      <c r="WNO64" s="2228"/>
      <c r="WNP64" s="2228"/>
      <c r="WNQ64" s="2228"/>
      <c r="WNR64" s="2228"/>
      <c r="WNS64" s="2228"/>
      <c r="WNT64" s="2228"/>
      <c r="WNU64" s="2228"/>
      <c r="WNV64" s="2228"/>
      <c r="WNW64" s="2228"/>
      <c r="WNX64" s="2227"/>
      <c r="WNY64" s="2228"/>
      <c r="WNZ64" s="2228"/>
      <c r="WOA64" s="2228"/>
      <c r="WOB64" s="2228"/>
      <c r="WOC64" s="2228"/>
      <c r="WOD64" s="2228"/>
      <c r="WOE64" s="2228"/>
      <c r="WOF64" s="2228"/>
      <c r="WOG64" s="2228"/>
      <c r="WOH64" s="2228"/>
      <c r="WOI64" s="2228"/>
      <c r="WOJ64" s="2228"/>
      <c r="WOK64" s="2228"/>
      <c r="WOL64" s="2228"/>
      <c r="WOM64" s="2228"/>
      <c r="WON64" s="2227"/>
      <c r="WOO64" s="2228"/>
      <c r="WOP64" s="2228"/>
      <c r="WOQ64" s="2228"/>
      <c r="WOR64" s="2228"/>
      <c r="WOS64" s="2228"/>
      <c r="WOT64" s="2228"/>
      <c r="WOU64" s="2228"/>
      <c r="WOV64" s="2228"/>
      <c r="WOW64" s="2228"/>
      <c r="WOX64" s="2228"/>
      <c r="WOY64" s="2228"/>
      <c r="WOZ64" s="2228"/>
      <c r="WPA64" s="2228"/>
      <c r="WPB64" s="2228"/>
      <c r="WPC64" s="2228"/>
      <c r="WPD64" s="2227"/>
      <c r="WPE64" s="2228"/>
      <c r="WPF64" s="2228"/>
      <c r="WPG64" s="2228"/>
      <c r="WPH64" s="2228"/>
      <c r="WPI64" s="2228"/>
      <c r="WPJ64" s="2228"/>
      <c r="WPK64" s="2228"/>
      <c r="WPL64" s="2228"/>
      <c r="WPM64" s="2228"/>
      <c r="WPN64" s="2228"/>
      <c r="WPO64" s="2228"/>
      <c r="WPP64" s="2228"/>
      <c r="WPQ64" s="2228"/>
      <c r="WPR64" s="2228"/>
      <c r="WPS64" s="2228"/>
      <c r="WPT64" s="2227"/>
      <c r="WPU64" s="2228"/>
      <c r="WPV64" s="2228"/>
      <c r="WPW64" s="2228"/>
      <c r="WPX64" s="2228"/>
      <c r="WPY64" s="2228"/>
      <c r="WPZ64" s="2228"/>
      <c r="WQA64" s="2228"/>
      <c r="WQB64" s="2228"/>
      <c r="WQC64" s="2228"/>
      <c r="WQD64" s="2228"/>
      <c r="WQE64" s="2228"/>
      <c r="WQF64" s="2228"/>
      <c r="WQG64" s="2228"/>
      <c r="WQH64" s="2228"/>
      <c r="WQI64" s="2228"/>
      <c r="WQJ64" s="2227"/>
      <c r="WQK64" s="2228"/>
      <c r="WQL64" s="2228"/>
      <c r="WQM64" s="2228"/>
      <c r="WQN64" s="2228"/>
      <c r="WQO64" s="2228"/>
      <c r="WQP64" s="2228"/>
      <c r="WQQ64" s="2228"/>
      <c r="WQR64" s="2228"/>
      <c r="WQS64" s="2228"/>
      <c r="WQT64" s="2228"/>
      <c r="WQU64" s="2228"/>
      <c r="WQV64" s="2228"/>
      <c r="WQW64" s="2228"/>
      <c r="WQX64" s="2228"/>
      <c r="WQY64" s="2228"/>
      <c r="WQZ64" s="2227"/>
      <c r="WRA64" s="2228"/>
      <c r="WRB64" s="2228"/>
      <c r="WRC64" s="2228"/>
      <c r="WRD64" s="2228"/>
      <c r="WRE64" s="2228"/>
      <c r="WRF64" s="2228"/>
      <c r="WRG64" s="2228"/>
      <c r="WRH64" s="2228"/>
      <c r="WRI64" s="2228"/>
      <c r="WRJ64" s="2228"/>
      <c r="WRK64" s="2228"/>
      <c r="WRL64" s="2228"/>
      <c r="WRM64" s="2228"/>
      <c r="WRN64" s="2228"/>
      <c r="WRO64" s="2228"/>
      <c r="WRP64" s="2227"/>
      <c r="WRQ64" s="2228"/>
      <c r="WRR64" s="2228"/>
      <c r="WRS64" s="2228"/>
      <c r="WRT64" s="2228"/>
      <c r="WRU64" s="2228"/>
      <c r="WRV64" s="2228"/>
      <c r="WRW64" s="2228"/>
      <c r="WRX64" s="2228"/>
      <c r="WRY64" s="2228"/>
      <c r="WRZ64" s="2228"/>
      <c r="WSA64" s="2228"/>
      <c r="WSB64" s="2228"/>
      <c r="WSC64" s="2228"/>
      <c r="WSD64" s="2228"/>
      <c r="WSE64" s="2228"/>
      <c r="WSF64" s="2227"/>
      <c r="WSG64" s="2228"/>
      <c r="WSH64" s="2228"/>
      <c r="WSI64" s="2228"/>
      <c r="WSJ64" s="2228"/>
      <c r="WSK64" s="2228"/>
      <c r="WSL64" s="2228"/>
      <c r="WSM64" s="2228"/>
      <c r="WSN64" s="2228"/>
      <c r="WSO64" s="2228"/>
      <c r="WSP64" s="2228"/>
      <c r="WSQ64" s="2228"/>
      <c r="WSR64" s="2228"/>
      <c r="WSS64" s="2228"/>
      <c r="WST64" s="2228"/>
      <c r="WSU64" s="2228"/>
      <c r="WSV64" s="2227"/>
      <c r="WSW64" s="2228"/>
      <c r="WSX64" s="2228"/>
      <c r="WSY64" s="2228"/>
      <c r="WSZ64" s="2228"/>
      <c r="WTA64" s="2228"/>
      <c r="WTB64" s="2228"/>
      <c r="WTC64" s="2228"/>
      <c r="WTD64" s="2228"/>
      <c r="WTE64" s="2228"/>
      <c r="WTF64" s="2228"/>
      <c r="WTG64" s="2228"/>
      <c r="WTH64" s="2228"/>
      <c r="WTI64" s="2228"/>
      <c r="WTJ64" s="2228"/>
      <c r="WTK64" s="2228"/>
      <c r="WTL64" s="2227"/>
      <c r="WTM64" s="2228"/>
      <c r="WTN64" s="2228"/>
      <c r="WTO64" s="2228"/>
      <c r="WTP64" s="2228"/>
      <c r="WTQ64" s="2228"/>
      <c r="WTR64" s="2228"/>
      <c r="WTS64" s="2228"/>
      <c r="WTT64" s="2228"/>
      <c r="WTU64" s="2228"/>
      <c r="WTV64" s="2228"/>
      <c r="WTW64" s="2228"/>
      <c r="WTX64" s="2228"/>
      <c r="WTY64" s="2228"/>
      <c r="WTZ64" s="2228"/>
      <c r="WUA64" s="2228"/>
      <c r="WUB64" s="2227"/>
      <c r="WUC64" s="2228"/>
      <c r="WUD64" s="2228"/>
      <c r="WUE64" s="2228"/>
      <c r="WUF64" s="2228"/>
      <c r="WUG64" s="2228"/>
      <c r="WUH64" s="2228"/>
      <c r="WUI64" s="2228"/>
      <c r="WUJ64" s="2228"/>
      <c r="WUK64" s="2228"/>
      <c r="WUL64" s="2228"/>
      <c r="WUM64" s="2228"/>
      <c r="WUN64" s="2228"/>
      <c r="WUO64" s="2228"/>
      <c r="WUP64" s="2228"/>
      <c r="WUQ64" s="2228"/>
      <c r="WUR64" s="2227"/>
      <c r="WUS64" s="2228"/>
      <c r="WUT64" s="2228"/>
      <c r="WUU64" s="2228"/>
      <c r="WUV64" s="2228"/>
      <c r="WUW64" s="2228"/>
      <c r="WUX64" s="2228"/>
      <c r="WUY64" s="2228"/>
      <c r="WUZ64" s="2228"/>
      <c r="WVA64" s="2228"/>
      <c r="WVB64" s="2228"/>
      <c r="WVC64" s="2228"/>
      <c r="WVD64" s="2228"/>
      <c r="WVE64" s="2228"/>
      <c r="WVF64" s="2228"/>
      <c r="WVG64" s="2228"/>
      <c r="WVH64" s="2227"/>
      <c r="WVI64" s="2228"/>
      <c r="WVJ64" s="2228"/>
      <c r="WVK64" s="2228"/>
      <c r="WVL64" s="2228"/>
      <c r="WVM64" s="2228"/>
      <c r="WVN64" s="2228"/>
      <c r="WVO64" s="2228"/>
      <c r="WVP64" s="2228"/>
      <c r="WVQ64" s="2228"/>
      <c r="WVR64" s="2228"/>
      <c r="WVS64" s="2228"/>
      <c r="WVT64" s="2228"/>
      <c r="WVU64" s="2228"/>
      <c r="WVV64" s="2228"/>
      <c r="WVW64" s="2228"/>
      <c r="WVX64" s="2227"/>
      <c r="WVY64" s="2228"/>
      <c r="WVZ64" s="2228"/>
      <c r="WWA64" s="2228"/>
      <c r="WWB64" s="2228"/>
      <c r="WWC64" s="2228"/>
      <c r="WWD64" s="2228"/>
      <c r="WWE64" s="2228"/>
      <c r="WWF64" s="2228"/>
      <c r="WWG64" s="2228"/>
      <c r="WWH64" s="2228"/>
      <c r="WWI64" s="2228"/>
      <c r="WWJ64" s="2228"/>
      <c r="WWK64" s="2228"/>
      <c r="WWL64" s="2228"/>
      <c r="WWM64" s="2228"/>
      <c r="WWN64" s="2227"/>
      <c r="WWO64" s="2228"/>
      <c r="WWP64" s="2228"/>
      <c r="WWQ64" s="2228"/>
      <c r="WWR64" s="2228"/>
      <c r="WWS64" s="2228"/>
      <c r="WWT64" s="2228"/>
      <c r="WWU64" s="2228"/>
      <c r="WWV64" s="2228"/>
      <c r="WWW64" s="2228"/>
      <c r="WWX64" s="2228"/>
      <c r="WWY64" s="2228"/>
      <c r="WWZ64" s="2228"/>
      <c r="WXA64" s="2228"/>
      <c r="WXB64" s="2228"/>
      <c r="WXC64" s="2228"/>
      <c r="WXD64" s="2227"/>
      <c r="WXE64" s="2228"/>
      <c r="WXF64" s="2228"/>
      <c r="WXG64" s="2228"/>
      <c r="WXH64" s="2228"/>
      <c r="WXI64" s="2228"/>
      <c r="WXJ64" s="2228"/>
      <c r="WXK64" s="2228"/>
      <c r="WXL64" s="2228"/>
      <c r="WXM64" s="2228"/>
      <c r="WXN64" s="2228"/>
      <c r="WXO64" s="2228"/>
      <c r="WXP64" s="2228"/>
      <c r="WXQ64" s="2228"/>
      <c r="WXR64" s="2228"/>
      <c r="WXS64" s="2228"/>
      <c r="WXT64" s="2227"/>
      <c r="WXU64" s="2228"/>
      <c r="WXV64" s="2228"/>
      <c r="WXW64" s="2228"/>
      <c r="WXX64" s="2228"/>
      <c r="WXY64" s="2228"/>
      <c r="WXZ64" s="2228"/>
      <c r="WYA64" s="2228"/>
      <c r="WYB64" s="2228"/>
      <c r="WYC64" s="2228"/>
      <c r="WYD64" s="2228"/>
      <c r="WYE64" s="2228"/>
      <c r="WYF64" s="2228"/>
      <c r="WYG64" s="2228"/>
      <c r="WYH64" s="2228"/>
      <c r="WYI64" s="2228"/>
      <c r="WYJ64" s="2227"/>
      <c r="WYK64" s="2228"/>
      <c r="WYL64" s="2228"/>
      <c r="WYM64" s="2228"/>
      <c r="WYN64" s="2228"/>
      <c r="WYO64" s="2228"/>
      <c r="WYP64" s="2228"/>
      <c r="WYQ64" s="2228"/>
      <c r="WYR64" s="2228"/>
      <c r="WYS64" s="2228"/>
      <c r="WYT64" s="2228"/>
      <c r="WYU64" s="2228"/>
      <c r="WYV64" s="2228"/>
      <c r="WYW64" s="2228"/>
      <c r="WYX64" s="2228"/>
      <c r="WYY64" s="2228"/>
      <c r="WYZ64" s="2227"/>
      <c r="WZA64" s="2228"/>
      <c r="WZB64" s="2228"/>
      <c r="WZC64" s="2228"/>
      <c r="WZD64" s="2228"/>
      <c r="WZE64" s="2228"/>
      <c r="WZF64" s="2228"/>
      <c r="WZG64" s="2228"/>
      <c r="WZH64" s="2228"/>
      <c r="WZI64" s="2228"/>
      <c r="WZJ64" s="2228"/>
      <c r="WZK64" s="2228"/>
      <c r="WZL64" s="2228"/>
      <c r="WZM64" s="2228"/>
      <c r="WZN64" s="2228"/>
      <c r="WZO64" s="2228"/>
      <c r="WZP64" s="2227"/>
      <c r="WZQ64" s="2228"/>
      <c r="WZR64" s="2228"/>
      <c r="WZS64" s="2228"/>
      <c r="WZT64" s="2228"/>
      <c r="WZU64" s="2228"/>
      <c r="WZV64" s="2228"/>
      <c r="WZW64" s="2228"/>
      <c r="WZX64" s="2228"/>
      <c r="WZY64" s="2228"/>
      <c r="WZZ64" s="2228"/>
      <c r="XAA64" s="2228"/>
      <c r="XAB64" s="2228"/>
      <c r="XAC64" s="2228"/>
      <c r="XAD64" s="2228"/>
      <c r="XAE64" s="2228"/>
      <c r="XAF64" s="2227"/>
      <c r="XAG64" s="2228"/>
      <c r="XAH64" s="2228"/>
      <c r="XAI64" s="2228"/>
      <c r="XAJ64" s="2228"/>
      <c r="XAK64" s="2228"/>
      <c r="XAL64" s="2228"/>
      <c r="XAM64" s="2228"/>
      <c r="XAN64" s="2228"/>
      <c r="XAO64" s="2228"/>
      <c r="XAP64" s="2228"/>
      <c r="XAQ64" s="2228"/>
      <c r="XAR64" s="2228"/>
      <c r="XAS64" s="2228"/>
      <c r="XAT64" s="2228"/>
      <c r="XAU64" s="2228"/>
      <c r="XAV64" s="2227"/>
      <c r="XAW64" s="2228"/>
      <c r="XAX64" s="2228"/>
      <c r="XAY64" s="2228"/>
      <c r="XAZ64" s="2228"/>
      <c r="XBA64" s="2228"/>
      <c r="XBB64" s="2228"/>
      <c r="XBC64" s="2228"/>
      <c r="XBD64" s="2228"/>
      <c r="XBE64" s="2228"/>
      <c r="XBF64" s="2228"/>
      <c r="XBG64" s="2228"/>
      <c r="XBH64" s="2228"/>
      <c r="XBI64" s="2228"/>
      <c r="XBJ64" s="2228"/>
      <c r="XBK64" s="2228"/>
      <c r="XBL64" s="2227"/>
      <c r="XBM64" s="2228"/>
      <c r="XBN64" s="2228"/>
      <c r="XBO64" s="2228"/>
      <c r="XBP64" s="2228"/>
      <c r="XBQ64" s="2228"/>
      <c r="XBR64" s="2228"/>
      <c r="XBS64" s="2228"/>
      <c r="XBT64" s="2228"/>
      <c r="XBU64" s="2228"/>
      <c r="XBV64" s="2228"/>
      <c r="XBW64" s="2228"/>
      <c r="XBX64" s="2228"/>
      <c r="XBY64" s="2228"/>
      <c r="XBZ64" s="2228"/>
      <c r="XCA64" s="2228"/>
      <c r="XCB64" s="2227"/>
      <c r="XCC64" s="2228"/>
      <c r="XCD64" s="2228"/>
      <c r="XCE64" s="2228"/>
      <c r="XCF64" s="2228"/>
      <c r="XCG64" s="2228"/>
      <c r="XCH64" s="2228"/>
      <c r="XCI64" s="2228"/>
      <c r="XCJ64" s="2228"/>
      <c r="XCK64" s="2228"/>
      <c r="XCL64" s="2228"/>
      <c r="XCM64" s="2228"/>
      <c r="XCN64" s="2228"/>
      <c r="XCO64" s="2228"/>
      <c r="XCP64" s="2228"/>
      <c r="XCQ64" s="2228"/>
      <c r="XCR64" s="2227"/>
      <c r="XCS64" s="2228"/>
      <c r="XCT64" s="2228"/>
      <c r="XCU64" s="2228"/>
      <c r="XCV64" s="2228"/>
      <c r="XCW64" s="2228"/>
      <c r="XCX64" s="2228"/>
      <c r="XCY64" s="2228"/>
      <c r="XCZ64" s="2228"/>
      <c r="XDA64" s="2228"/>
      <c r="XDB64" s="2228"/>
      <c r="XDC64" s="2228"/>
      <c r="XDD64" s="2228"/>
      <c r="XDE64" s="2228"/>
      <c r="XDF64" s="2228"/>
      <c r="XDG64" s="2228"/>
      <c r="XDH64" s="2227"/>
      <c r="XDI64" s="2228"/>
      <c r="XDJ64" s="2228"/>
      <c r="XDK64" s="2228"/>
      <c r="XDL64" s="2228"/>
      <c r="XDM64" s="2228"/>
      <c r="XDN64" s="2228"/>
      <c r="XDO64" s="2228"/>
      <c r="XDP64" s="2228"/>
      <c r="XDQ64" s="2228"/>
      <c r="XDR64" s="2228"/>
      <c r="XDS64" s="2228"/>
      <c r="XDT64" s="2228"/>
      <c r="XDU64" s="2228"/>
      <c r="XDV64" s="2228"/>
      <c r="XDW64" s="2228"/>
      <c r="XDX64" s="2227"/>
      <c r="XDY64" s="2228"/>
      <c r="XDZ64" s="2228"/>
      <c r="XEA64" s="2228"/>
      <c r="XEB64" s="2228"/>
      <c r="XEC64" s="2228"/>
      <c r="XED64" s="2228"/>
      <c r="XEE64" s="2228"/>
      <c r="XEF64" s="2228"/>
      <c r="XEG64" s="2228"/>
      <c r="XEH64" s="2228"/>
      <c r="XEI64" s="2228"/>
      <c r="XEJ64" s="2228"/>
      <c r="XEK64" s="2228"/>
      <c r="XEL64" s="2228"/>
      <c r="XEM64" s="2228"/>
      <c r="XEN64" s="2227"/>
      <c r="XEO64" s="2228"/>
      <c r="XEP64" s="2228"/>
      <c r="XEQ64" s="2228"/>
      <c r="XER64" s="2228"/>
      <c r="XES64" s="2228"/>
      <c r="XET64" s="2228"/>
      <c r="XEU64" s="2228"/>
      <c r="XEV64" s="2228"/>
      <c r="XEW64" s="2228"/>
      <c r="XEX64" s="2228"/>
      <c r="XEY64" s="2228"/>
      <c r="XEZ64" s="2228"/>
      <c r="XFA64" s="2228"/>
      <c r="XFB64" s="2228"/>
      <c r="XFC64" s="2228"/>
    </row>
    <row r="65" spans="1:16">
      <c r="A65" s="126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6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6">
      <c r="A67" s="126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6">
      <c r="A68" s="126"/>
      <c r="B68" s="1539"/>
      <c r="C68" s="1539"/>
      <c r="D68" s="1539"/>
      <c r="E68" s="1539"/>
      <c r="F68" s="1539"/>
      <c r="G68" s="1539"/>
      <c r="H68" s="1539"/>
      <c r="I68" s="1539"/>
      <c r="J68" s="1539"/>
      <c r="K68" s="1539"/>
      <c r="L68" s="1539"/>
      <c r="M68" s="1539"/>
      <c r="N68" s="1539"/>
      <c r="O68" s="1539"/>
      <c r="P68" s="1539"/>
    </row>
    <row r="69" spans="1:16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6">
      <c r="A70" s="126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</row>
    <row r="71" spans="1:16">
      <c r="A71" s="126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</row>
    <row r="72" spans="1:16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">
      <c r="A75" s="126"/>
    </row>
    <row r="76" spans="1:16">
      <c r="A76" s="126"/>
    </row>
    <row r="77" spans="1:16">
      <c r="A77" s="126"/>
    </row>
    <row r="78" spans="1:16">
      <c r="A78" s="126"/>
    </row>
    <row r="79" spans="1:16">
      <c r="A79" s="126"/>
    </row>
    <row r="80" spans="1:16">
      <c r="A80" s="126"/>
    </row>
    <row r="81" spans="1:17">
      <c r="A81" s="126"/>
      <c r="Q81" s="242"/>
    </row>
  </sheetData>
  <mergeCells count="1027">
    <mergeCell ref="EN64:FC64"/>
    <mergeCell ref="FD64:FS64"/>
    <mergeCell ref="FT64:GI64"/>
    <mergeCell ref="GJ64:GY64"/>
    <mergeCell ref="GZ64:HO64"/>
    <mergeCell ref="HP64:IE64"/>
    <mergeCell ref="AV64:BK64"/>
    <mergeCell ref="BL64:CA64"/>
    <mergeCell ref="CB64:CQ64"/>
    <mergeCell ref="CR64:DG64"/>
    <mergeCell ref="DH64:DW64"/>
    <mergeCell ref="DX64:EM64"/>
    <mergeCell ref="A2:P2"/>
    <mergeCell ref="A3:P3"/>
    <mergeCell ref="A63:P63"/>
    <mergeCell ref="A64:P64"/>
    <mergeCell ref="Q64:AE64"/>
    <mergeCell ref="AF64:AU64"/>
    <mergeCell ref="PP64:QE64"/>
    <mergeCell ref="QF64:QU64"/>
    <mergeCell ref="QV64:RK64"/>
    <mergeCell ref="RL64:SA64"/>
    <mergeCell ref="SB64:SQ64"/>
    <mergeCell ref="SR64:TG64"/>
    <mergeCell ref="LX64:MM64"/>
    <mergeCell ref="MN64:NC64"/>
    <mergeCell ref="ND64:NS64"/>
    <mergeCell ref="NT64:OI64"/>
    <mergeCell ref="OJ64:OY64"/>
    <mergeCell ref="OZ64:PO64"/>
    <mergeCell ref="IF64:IU64"/>
    <mergeCell ref="IV64:JK64"/>
    <mergeCell ref="JL64:KA64"/>
    <mergeCell ref="KB64:KQ64"/>
    <mergeCell ref="KR64:LG64"/>
    <mergeCell ref="LH64:LW64"/>
    <mergeCell ref="AAR64:ABG64"/>
    <mergeCell ref="ABH64:ABW64"/>
    <mergeCell ref="ABX64:ACM64"/>
    <mergeCell ref="ACN64:ADC64"/>
    <mergeCell ref="ADD64:ADS64"/>
    <mergeCell ref="ADT64:AEI64"/>
    <mergeCell ref="WZ64:XO64"/>
    <mergeCell ref="XP64:YE64"/>
    <mergeCell ref="YF64:YU64"/>
    <mergeCell ref="YV64:ZK64"/>
    <mergeCell ref="ZL64:AAA64"/>
    <mergeCell ref="AAB64:AAQ64"/>
    <mergeCell ref="TH64:TW64"/>
    <mergeCell ref="TX64:UM64"/>
    <mergeCell ref="UN64:VC64"/>
    <mergeCell ref="VD64:VS64"/>
    <mergeCell ref="VT64:WI64"/>
    <mergeCell ref="WJ64:WY64"/>
    <mergeCell ref="ALT64:AMI64"/>
    <mergeCell ref="AMJ64:AMY64"/>
    <mergeCell ref="AMZ64:ANO64"/>
    <mergeCell ref="ANP64:AOE64"/>
    <mergeCell ref="AOF64:AOU64"/>
    <mergeCell ref="AOV64:APK64"/>
    <mergeCell ref="AIB64:AIQ64"/>
    <mergeCell ref="AIR64:AJG64"/>
    <mergeCell ref="AJH64:AJW64"/>
    <mergeCell ref="AJX64:AKM64"/>
    <mergeCell ref="AKN64:ALC64"/>
    <mergeCell ref="ALD64:ALS64"/>
    <mergeCell ref="AEJ64:AEY64"/>
    <mergeCell ref="AEZ64:AFO64"/>
    <mergeCell ref="AFP64:AGE64"/>
    <mergeCell ref="AGF64:AGU64"/>
    <mergeCell ref="AGV64:AHK64"/>
    <mergeCell ref="AHL64:AIA64"/>
    <mergeCell ref="AWV64:AXK64"/>
    <mergeCell ref="AXL64:AYA64"/>
    <mergeCell ref="AYB64:AYQ64"/>
    <mergeCell ref="AYR64:AZG64"/>
    <mergeCell ref="AZH64:AZW64"/>
    <mergeCell ref="AZX64:BAM64"/>
    <mergeCell ref="ATD64:ATS64"/>
    <mergeCell ref="ATT64:AUI64"/>
    <mergeCell ref="AUJ64:AUY64"/>
    <mergeCell ref="AUZ64:AVO64"/>
    <mergeCell ref="AVP64:AWE64"/>
    <mergeCell ref="AWF64:AWU64"/>
    <mergeCell ref="APL64:AQA64"/>
    <mergeCell ref="AQB64:AQQ64"/>
    <mergeCell ref="AQR64:ARG64"/>
    <mergeCell ref="ARH64:ARW64"/>
    <mergeCell ref="ARX64:ASM64"/>
    <mergeCell ref="ASN64:ATC64"/>
    <mergeCell ref="BHX64:BIM64"/>
    <mergeCell ref="BIN64:BJC64"/>
    <mergeCell ref="BJD64:BJS64"/>
    <mergeCell ref="BJT64:BKI64"/>
    <mergeCell ref="BKJ64:BKY64"/>
    <mergeCell ref="BKZ64:BLO64"/>
    <mergeCell ref="BEF64:BEU64"/>
    <mergeCell ref="BEV64:BFK64"/>
    <mergeCell ref="BFL64:BGA64"/>
    <mergeCell ref="BGB64:BGQ64"/>
    <mergeCell ref="BGR64:BHG64"/>
    <mergeCell ref="BHH64:BHW64"/>
    <mergeCell ref="BAN64:BBC64"/>
    <mergeCell ref="BBD64:BBS64"/>
    <mergeCell ref="BBT64:BCI64"/>
    <mergeCell ref="BCJ64:BCY64"/>
    <mergeCell ref="BCZ64:BDO64"/>
    <mergeCell ref="BDP64:BEE64"/>
    <mergeCell ref="BSZ64:BTO64"/>
    <mergeCell ref="BTP64:BUE64"/>
    <mergeCell ref="BUF64:BUU64"/>
    <mergeCell ref="BUV64:BVK64"/>
    <mergeCell ref="BVL64:BWA64"/>
    <mergeCell ref="BWB64:BWQ64"/>
    <mergeCell ref="BPH64:BPW64"/>
    <mergeCell ref="BPX64:BQM64"/>
    <mergeCell ref="BQN64:BRC64"/>
    <mergeCell ref="BRD64:BRS64"/>
    <mergeCell ref="BRT64:BSI64"/>
    <mergeCell ref="BSJ64:BSY64"/>
    <mergeCell ref="BLP64:BME64"/>
    <mergeCell ref="BMF64:BMU64"/>
    <mergeCell ref="BMV64:BNK64"/>
    <mergeCell ref="BNL64:BOA64"/>
    <mergeCell ref="BOB64:BOQ64"/>
    <mergeCell ref="BOR64:BPG64"/>
    <mergeCell ref="CEB64:CEQ64"/>
    <mergeCell ref="CER64:CFG64"/>
    <mergeCell ref="CFH64:CFW64"/>
    <mergeCell ref="CFX64:CGM64"/>
    <mergeCell ref="CGN64:CHC64"/>
    <mergeCell ref="CHD64:CHS64"/>
    <mergeCell ref="CAJ64:CAY64"/>
    <mergeCell ref="CAZ64:CBO64"/>
    <mergeCell ref="CBP64:CCE64"/>
    <mergeCell ref="CCF64:CCU64"/>
    <mergeCell ref="CCV64:CDK64"/>
    <mergeCell ref="CDL64:CEA64"/>
    <mergeCell ref="BWR64:BXG64"/>
    <mergeCell ref="BXH64:BXW64"/>
    <mergeCell ref="BXX64:BYM64"/>
    <mergeCell ref="BYN64:BZC64"/>
    <mergeCell ref="BZD64:BZS64"/>
    <mergeCell ref="BZT64:CAI64"/>
    <mergeCell ref="CPD64:CPS64"/>
    <mergeCell ref="CPT64:CQI64"/>
    <mergeCell ref="CQJ64:CQY64"/>
    <mergeCell ref="CQZ64:CRO64"/>
    <mergeCell ref="CRP64:CSE64"/>
    <mergeCell ref="CSF64:CSU64"/>
    <mergeCell ref="CLL64:CMA64"/>
    <mergeCell ref="CMB64:CMQ64"/>
    <mergeCell ref="CMR64:CNG64"/>
    <mergeCell ref="CNH64:CNW64"/>
    <mergeCell ref="CNX64:COM64"/>
    <mergeCell ref="CON64:CPC64"/>
    <mergeCell ref="CHT64:CII64"/>
    <mergeCell ref="CIJ64:CIY64"/>
    <mergeCell ref="CIZ64:CJO64"/>
    <mergeCell ref="CJP64:CKE64"/>
    <mergeCell ref="CKF64:CKU64"/>
    <mergeCell ref="CKV64:CLK64"/>
    <mergeCell ref="DAF64:DAU64"/>
    <mergeCell ref="DAV64:DBK64"/>
    <mergeCell ref="DBL64:DCA64"/>
    <mergeCell ref="DCB64:DCQ64"/>
    <mergeCell ref="DCR64:DDG64"/>
    <mergeCell ref="DDH64:DDW64"/>
    <mergeCell ref="CWN64:CXC64"/>
    <mergeCell ref="CXD64:CXS64"/>
    <mergeCell ref="CXT64:CYI64"/>
    <mergeCell ref="CYJ64:CYY64"/>
    <mergeCell ref="CYZ64:CZO64"/>
    <mergeCell ref="CZP64:DAE64"/>
    <mergeCell ref="CSV64:CTK64"/>
    <mergeCell ref="CTL64:CUA64"/>
    <mergeCell ref="CUB64:CUQ64"/>
    <mergeCell ref="CUR64:CVG64"/>
    <mergeCell ref="CVH64:CVW64"/>
    <mergeCell ref="CVX64:CWM64"/>
    <mergeCell ref="DLH64:DLW64"/>
    <mergeCell ref="DLX64:DMM64"/>
    <mergeCell ref="DMN64:DNC64"/>
    <mergeCell ref="DND64:DNS64"/>
    <mergeCell ref="DNT64:DOI64"/>
    <mergeCell ref="DOJ64:DOY64"/>
    <mergeCell ref="DHP64:DIE64"/>
    <mergeCell ref="DIF64:DIU64"/>
    <mergeCell ref="DIV64:DJK64"/>
    <mergeCell ref="DJL64:DKA64"/>
    <mergeCell ref="DKB64:DKQ64"/>
    <mergeCell ref="DKR64:DLG64"/>
    <mergeCell ref="DDX64:DEM64"/>
    <mergeCell ref="DEN64:DFC64"/>
    <mergeCell ref="DFD64:DFS64"/>
    <mergeCell ref="DFT64:DGI64"/>
    <mergeCell ref="DGJ64:DGY64"/>
    <mergeCell ref="DGZ64:DHO64"/>
    <mergeCell ref="DWJ64:DWY64"/>
    <mergeCell ref="DWZ64:DXO64"/>
    <mergeCell ref="DXP64:DYE64"/>
    <mergeCell ref="DYF64:DYU64"/>
    <mergeCell ref="DYV64:DZK64"/>
    <mergeCell ref="DZL64:EAA64"/>
    <mergeCell ref="DSR64:DTG64"/>
    <mergeCell ref="DTH64:DTW64"/>
    <mergeCell ref="DTX64:DUM64"/>
    <mergeCell ref="DUN64:DVC64"/>
    <mergeCell ref="DVD64:DVS64"/>
    <mergeCell ref="DVT64:DWI64"/>
    <mergeCell ref="DOZ64:DPO64"/>
    <mergeCell ref="DPP64:DQE64"/>
    <mergeCell ref="DQF64:DQU64"/>
    <mergeCell ref="DQV64:DRK64"/>
    <mergeCell ref="DRL64:DSA64"/>
    <mergeCell ref="DSB64:DSQ64"/>
    <mergeCell ref="EHL64:EIA64"/>
    <mergeCell ref="EIB64:EIQ64"/>
    <mergeCell ref="EIR64:EJG64"/>
    <mergeCell ref="EJH64:EJW64"/>
    <mergeCell ref="EJX64:EKM64"/>
    <mergeCell ref="EKN64:ELC64"/>
    <mergeCell ref="EDT64:EEI64"/>
    <mergeCell ref="EEJ64:EEY64"/>
    <mergeCell ref="EEZ64:EFO64"/>
    <mergeCell ref="EFP64:EGE64"/>
    <mergeCell ref="EGF64:EGU64"/>
    <mergeCell ref="EGV64:EHK64"/>
    <mergeCell ref="EAB64:EAQ64"/>
    <mergeCell ref="EAR64:EBG64"/>
    <mergeCell ref="EBH64:EBW64"/>
    <mergeCell ref="EBX64:ECM64"/>
    <mergeCell ref="ECN64:EDC64"/>
    <mergeCell ref="EDD64:EDS64"/>
    <mergeCell ref="ESN64:ETC64"/>
    <mergeCell ref="ETD64:ETS64"/>
    <mergeCell ref="ETT64:EUI64"/>
    <mergeCell ref="EUJ64:EUY64"/>
    <mergeCell ref="EUZ64:EVO64"/>
    <mergeCell ref="EVP64:EWE64"/>
    <mergeCell ref="EOV64:EPK64"/>
    <mergeCell ref="EPL64:EQA64"/>
    <mergeCell ref="EQB64:EQQ64"/>
    <mergeCell ref="EQR64:ERG64"/>
    <mergeCell ref="ERH64:ERW64"/>
    <mergeCell ref="ERX64:ESM64"/>
    <mergeCell ref="ELD64:ELS64"/>
    <mergeCell ref="ELT64:EMI64"/>
    <mergeCell ref="EMJ64:EMY64"/>
    <mergeCell ref="EMZ64:ENO64"/>
    <mergeCell ref="ENP64:EOE64"/>
    <mergeCell ref="EOF64:EOU64"/>
    <mergeCell ref="FDP64:FEE64"/>
    <mergeCell ref="FEF64:FEU64"/>
    <mergeCell ref="FEV64:FFK64"/>
    <mergeCell ref="FFL64:FGA64"/>
    <mergeCell ref="FGB64:FGQ64"/>
    <mergeCell ref="FGR64:FHG64"/>
    <mergeCell ref="EZX64:FAM64"/>
    <mergeCell ref="FAN64:FBC64"/>
    <mergeCell ref="FBD64:FBS64"/>
    <mergeCell ref="FBT64:FCI64"/>
    <mergeCell ref="FCJ64:FCY64"/>
    <mergeCell ref="FCZ64:FDO64"/>
    <mergeCell ref="EWF64:EWU64"/>
    <mergeCell ref="EWV64:EXK64"/>
    <mergeCell ref="EXL64:EYA64"/>
    <mergeCell ref="EYB64:EYQ64"/>
    <mergeCell ref="EYR64:EZG64"/>
    <mergeCell ref="EZH64:EZW64"/>
    <mergeCell ref="FOR64:FPG64"/>
    <mergeCell ref="FPH64:FPW64"/>
    <mergeCell ref="FPX64:FQM64"/>
    <mergeCell ref="FQN64:FRC64"/>
    <mergeCell ref="FRD64:FRS64"/>
    <mergeCell ref="FRT64:FSI64"/>
    <mergeCell ref="FKZ64:FLO64"/>
    <mergeCell ref="FLP64:FME64"/>
    <mergeCell ref="FMF64:FMU64"/>
    <mergeCell ref="FMV64:FNK64"/>
    <mergeCell ref="FNL64:FOA64"/>
    <mergeCell ref="FOB64:FOQ64"/>
    <mergeCell ref="FHH64:FHW64"/>
    <mergeCell ref="FHX64:FIM64"/>
    <mergeCell ref="FIN64:FJC64"/>
    <mergeCell ref="FJD64:FJS64"/>
    <mergeCell ref="FJT64:FKI64"/>
    <mergeCell ref="FKJ64:FKY64"/>
    <mergeCell ref="FZT64:GAI64"/>
    <mergeCell ref="GAJ64:GAY64"/>
    <mergeCell ref="GAZ64:GBO64"/>
    <mergeCell ref="GBP64:GCE64"/>
    <mergeCell ref="GCF64:GCU64"/>
    <mergeCell ref="GCV64:GDK64"/>
    <mergeCell ref="FWB64:FWQ64"/>
    <mergeCell ref="FWR64:FXG64"/>
    <mergeCell ref="FXH64:FXW64"/>
    <mergeCell ref="FXX64:FYM64"/>
    <mergeCell ref="FYN64:FZC64"/>
    <mergeCell ref="FZD64:FZS64"/>
    <mergeCell ref="FSJ64:FSY64"/>
    <mergeCell ref="FSZ64:FTO64"/>
    <mergeCell ref="FTP64:FUE64"/>
    <mergeCell ref="FUF64:FUU64"/>
    <mergeCell ref="FUV64:FVK64"/>
    <mergeCell ref="FVL64:FWA64"/>
    <mergeCell ref="GKV64:GLK64"/>
    <mergeCell ref="GLL64:GMA64"/>
    <mergeCell ref="GMB64:GMQ64"/>
    <mergeCell ref="GMR64:GNG64"/>
    <mergeCell ref="GNH64:GNW64"/>
    <mergeCell ref="GNX64:GOM64"/>
    <mergeCell ref="GHD64:GHS64"/>
    <mergeCell ref="GHT64:GII64"/>
    <mergeCell ref="GIJ64:GIY64"/>
    <mergeCell ref="GIZ64:GJO64"/>
    <mergeCell ref="GJP64:GKE64"/>
    <mergeCell ref="GKF64:GKU64"/>
    <mergeCell ref="GDL64:GEA64"/>
    <mergeCell ref="GEB64:GEQ64"/>
    <mergeCell ref="GER64:GFG64"/>
    <mergeCell ref="GFH64:GFW64"/>
    <mergeCell ref="GFX64:GGM64"/>
    <mergeCell ref="GGN64:GHC64"/>
    <mergeCell ref="GVX64:GWM64"/>
    <mergeCell ref="GWN64:GXC64"/>
    <mergeCell ref="GXD64:GXS64"/>
    <mergeCell ref="GXT64:GYI64"/>
    <mergeCell ref="GYJ64:GYY64"/>
    <mergeCell ref="GYZ64:GZO64"/>
    <mergeCell ref="GSF64:GSU64"/>
    <mergeCell ref="GSV64:GTK64"/>
    <mergeCell ref="GTL64:GUA64"/>
    <mergeCell ref="GUB64:GUQ64"/>
    <mergeCell ref="GUR64:GVG64"/>
    <mergeCell ref="GVH64:GVW64"/>
    <mergeCell ref="GON64:GPC64"/>
    <mergeCell ref="GPD64:GPS64"/>
    <mergeCell ref="GPT64:GQI64"/>
    <mergeCell ref="GQJ64:GQY64"/>
    <mergeCell ref="GQZ64:GRO64"/>
    <mergeCell ref="GRP64:GSE64"/>
    <mergeCell ref="HGZ64:HHO64"/>
    <mergeCell ref="HHP64:HIE64"/>
    <mergeCell ref="HIF64:HIU64"/>
    <mergeCell ref="HIV64:HJK64"/>
    <mergeCell ref="HJL64:HKA64"/>
    <mergeCell ref="HKB64:HKQ64"/>
    <mergeCell ref="HDH64:HDW64"/>
    <mergeCell ref="HDX64:HEM64"/>
    <mergeCell ref="HEN64:HFC64"/>
    <mergeCell ref="HFD64:HFS64"/>
    <mergeCell ref="HFT64:HGI64"/>
    <mergeCell ref="HGJ64:HGY64"/>
    <mergeCell ref="GZP64:HAE64"/>
    <mergeCell ref="HAF64:HAU64"/>
    <mergeCell ref="HAV64:HBK64"/>
    <mergeCell ref="HBL64:HCA64"/>
    <mergeCell ref="HCB64:HCQ64"/>
    <mergeCell ref="HCR64:HDG64"/>
    <mergeCell ref="HSB64:HSQ64"/>
    <mergeCell ref="HSR64:HTG64"/>
    <mergeCell ref="HTH64:HTW64"/>
    <mergeCell ref="HTX64:HUM64"/>
    <mergeCell ref="HUN64:HVC64"/>
    <mergeCell ref="HVD64:HVS64"/>
    <mergeCell ref="HOJ64:HOY64"/>
    <mergeCell ref="HOZ64:HPO64"/>
    <mergeCell ref="HPP64:HQE64"/>
    <mergeCell ref="HQF64:HQU64"/>
    <mergeCell ref="HQV64:HRK64"/>
    <mergeCell ref="HRL64:HSA64"/>
    <mergeCell ref="HKR64:HLG64"/>
    <mergeCell ref="HLH64:HLW64"/>
    <mergeCell ref="HLX64:HMM64"/>
    <mergeCell ref="HMN64:HNC64"/>
    <mergeCell ref="HND64:HNS64"/>
    <mergeCell ref="HNT64:HOI64"/>
    <mergeCell ref="IDD64:IDS64"/>
    <mergeCell ref="IDT64:IEI64"/>
    <mergeCell ref="IEJ64:IEY64"/>
    <mergeCell ref="IEZ64:IFO64"/>
    <mergeCell ref="IFP64:IGE64"/>
    <mergeCell ref="IGF64:IGU64"/>
    <mergeCell ref="HZL64:IAA64"/>
    <mergeCell ref="IAB64:IAQ64"/>
    <mergeCell ref="IAR64:IBG64"/>
    <mergeCell ref="IBH64:IBW64"/>
    <mergeCell ref="IBX64:ICM64"/>
    <mergeCell ref="ICN64:IDC64"/>
    <mergeCell ref="HVT64:HWI64"/>
    <mergeCell ref="HWJ64:HWY64"/>
    <mergeCell ref="HWZ64:HXO64"/>
    <mergeCell ref="HXP64:HYE64"/>
    <mergeCell ref="HYF64:HYU64"/>
    <mergeCell ref="HYV64:HZK64"/>
    <mergeCell ref="IOF64:IOU64"/>
    <mergeCell ref="IOV64:IPK64"/>
    <mergeCell ref="IPL64:IQA64"/>
    <mergeCell ref="IQB64:IQQ64"/>
    <mergeCell ref="IQR64:IRG64"/>
    <mergeCell ref="IRH64:IRW64"/>
    <mergeCell ref="IKN64:ILC64"/>
    <mergeCell ref="ILD64:ILS64"/>
    <mergeCell ref="ILT64:IMI64"/>
    <mergeCell ref="IMJ64:IMY64"/>
    <mergeCell ref="IMZ64:INO64"/>
    <mergeCell ref="INP64:IOE64"/>
    <mergeCell ref="IGV64:IHK64"/>
    <mergeCell ref="IHL64:IIA64"/>
    <mergeCell ref="IIB64:IIQ64"/>
    <mergeCell ref="IIR64:IJG64"/>
    <mergeCell ref="IJH64:IJW64"/>
    <mergeCell ref="IJX64:IKM64"/>
    <mergeCell ref="IZH64:IZW64"/>
    <mergeCell ref="IZX64:JAM64"/>
    <mergeCell ref="JAN64:JBC64"/>
    <mergeCell ref="JBD64:JBS64"/>
    <mergeCell ref="JBT64:JCI64"/>
    <mergeCell ref="JCJ64:JCY64"/>
    <mergeCell ref="IVP64:IWE64"/>
    <mergeCell ref="IWF64:IWU64"/>
    <mergeCell ref="IWV64:IXK64"/>
    <mergeCell ref="IXL64:IYA64"/>
    <mergeCell ref="IYB64:IYQ64"/>
    <mergeCell ref="IYR64:IZG64"/>
    <mergeCell ref="IRX64:ISM64"/>
    <mergeCell ref="ISN64:ITC64"/>
    <mergeCell ref="ITD64:ITS64"/>
    <mergeCell ref="ITT64:IUI64"/>
    <mergeCell ref="IUJ64:IUY64"/>
    <mergeCell ref="IUZ64:IVO64"/>
    <mergeCell ref="JKJ64:JKY64"/>
    <mergeCell ref="JKZ64:JLO64"/>
    <mergeCell ref="JLP64:JME64"/>
    <mergeCell ref="JMF64:JMU64"/>
    <mergeCell ref="JMV64:JNK64"/>
    <mergeCell ref="JNL64:JOA64"/>
    <mergeCell ref="JGR64:JHG64"/>
    <mergeCell ref="JHH64:JHW64"/>
    <mergeCell ref="JHX64:JIM64"/>
    <mergeCell ref="JIN64:JJC64"/>
    <mergeCell ref="JJD64:JJS64"/>
    <mergeCell ref="JJT64:JKI64"/>
    <mergeCell ref="JCZ64:JDO64"/>
    <mergeCell ref="JDP64:JEE64"/>
    <mergeCell ref="JEF64:JEU64"/>
    <mergeCell ref="JEV64:JFK64"/>
    <mergeCell ref="JFL64:JGA64"/>
    <mergeCell ref="JGB64:JGQ64"/>
    <mergeCell ref="JVL64:JWA64"/>
    <mergeCell ref="JWB64:JWQ64"/>
    <mergeCell ref="JWR64:JXG64"/>
    <mergeCell ref="JXH64:JXW64"/>
    <mergeCell ref="JXX64:JYM64"/>
    <mergeCell ref="JYN64:JZC64"/>
    <mergeCell ref="JRT64:JSI64"/>
    <mergeCell ref="JSJ64:JSY64"/>
    <mergeCell ref="JSZ64:JTO64"/>
    <mergeCell ref="JTP64:JUE64"/>
    <mergeCell ref="JUF64:JUU64"/>
    <mergeCell ref="JUV64:JVK64"/>
    <mergeCell ref="JOB64:JOQ64"/>
    <mergeCell ref="JOR64:JPG64"/>
    <mergeCell ref="JPH64:JPW64"/>
    <mergeCell ref="JPX64:JQM64"/>
    <mergeCell ref="JQN64:JRC64"/>
    <mergeCell ref="JRD64:JRS64"/>
    <mergeCell ref="KGN64:KHC64"/>
    <mergeCell ref="KHD64:KHS64"/>
    <mergeCell ref="KHT64:KII64"/>
    <mergeCell ref="KIJ64:KIY64"/>
    <mergeCell ref="KIZ64:KJO64"/>
    <mergeCell ref="KJP64:KKE64"/>
    <mergeCell ref="KCV64:KDK64"/>
    <mergeCell ref="KDL64:KEA64"/>
    <mergeCell ref="KEB64:KEQ64"/>
    <mergeCell ref="KER64:KFG64"/>
    <mergeCell ref="KFH64:KFW64"/>
    <mergeCell ref="KFX64:KGM64"/>
    <mergeCell ref="JZD64:JZS64"/>
    <mergeCell ref="JZT64:KAI64"/>
    <mergeCell ref="KAJ64:KAY64"/>
    <mergeCell ref="KAZ64:KBO64"/>
    <mergeCell ref="KBP64:KCE64"/>
    <mergeCell ref="KCF64:KCU64"/>
    <mergeCell ref="KRP64:KSE64"/>
    <mergeCell ref="KSF64:KSU64"/>
    <mergeCell ref="KSV64:KTK64"/>
    <mergeCell ref="KTL64:KUA64"/>
    <mergeCell ref="KUB64:KUQ64"/>
    <mergeCell ref="KUR64:KVG64"/>
    <mergeCell ref="KNX64:KOM64"/>
    <mergeCell ref="KON64:KPC64"/>
    <mergeCell ref="KPD64:KPS64"/>
    <mergeCell ref="KPT64:KQI64"/>
    <mergeCell ref="KQJ64:KQY64"/>
    <mergeCell ref="KQZ64:KRO64"/>
    <mergeCell ref="KKF64:KKU64"/>
    <mergeCell ref="KKV64:KLK64"/>
    <mergeCell ref="KLL64:KMA64"/>
    <mergeCell ref="KMB64:KMQ64"/>
    <mergeCell ref="KMR64:KNG64"/>
    <mergeCell ref="KNH64:KNW64"/>
    <mergeCell ref="LCR64:LDG64"/>
    <mergeCell ref="LDH64:LDW64"/>
    <mergeCell ref="LDX64:LEM64"/>
    <mergeCell ref="LEN64:LFC64"/>
    <mergeCell ref="LFD64:LFS64"/>
    <mergeCell ref="LFT64:LGI64"/>
    <mergeCell ref="KYZ64:KZO64"/>
    <mergeCell ref="KZP64:LAE64"/>
    <mergeCell ref="LAF64:LAU64"/>
    <mergeCell ref="LAV64:LBK64"/>
    <mergeCell ref="LBL64:LCA64"/>
    <mergeCell ref="LCB64:LCQ64"/>
    <mergeCell ref="KVH64:KVW64"/>
    <mergeCell ref="KVX64:KWM64"/>
    <mergeCell ref="KWN64:KXC64"/>
    <mergeCell ref="KXD64:KXS64"/>
    <mergeCell ref="KXT64:KYI64"/>
    <mergeCell ref="KYJ64:KYY64"/>
    <mergeCell ref="LNT64:LOI64"/>
    <mergeCell ref="LOJ64:LOY64"/>
    <mergeCell ref="LOZ64:LPO64"/>
    <mergeCell ref="LPP64:LQE64"/>
    <mergeCell ref="LQF64:LQU64"/>
    <mergeCell ref="LQV64:LRK64"/>
    <mergeCell ref="LKB64:LKQ64"/>
    <mergeCell ref="LKR64:LLG64"/>
    <mergeCell ref="LLH64:LLW64"/>
    <mergeCell ref="LLX64:LMM64"/>
    <mergeCell ref="LMN64:LNC64"/>
    <mergeCell ref="LND64:LNS64"/>
    <mergeCell ref="LGJ64:LGY64"/>
    <mergeCell ref="LGZ64:LHO64"/>
    <mergeCell ref="LHP64:LIE64"/>
    <mergeCell ref="LIF64:LIU64"/>
    <mergeCell ref="LIV64:LJK64"/>
    <mergeCell ref="LJL64:LKA64"/>
    <mergeCell ref="LYV64:LZK64"/>
    <mergeCell ref="LZL64:MAA64"/>
    <mergeCell ref="MAB64:MAQ64"/>
    <mergeCell ref="MAR64:MBG64"/>
    <mergeCell ref="MBH64:MBW64"/>
    <mergeCell ref="MBX64:MCM64"/>
    <mergeCell ref="LVD64:LVS64"/>
    <mergeCell ref="LVT64:LWI64"/>
    <mergeCell ref="LWJ64:LWY64"/>
    <mergeCell ref="LWZ64:LXO64"/>
    <mergeCell ref="LXP64:LYE64"/>
    <mergeCell ref="LYF64:LYU64"/>
    <mergeCell ref="LRL64:LSA64"/>
    <mergeCell ref="LSB64:LSQ64"/>
    <mergeCell ref="LSR64:LTG64"/>
    <mergeCell ref="LTH64:LTW64"/>
    <mergeCell ref="LTX64:LUM64"/>
    <mergeCell ref="LUN64:LVC64"/>
    <mergeCell ref="MJX64:MKM64"/>
    <mergeCell ref="MKN64:MLC64"/>
    <mergeCell ref="MLD64:MLS64"/>
    <mergeCell ref="MLT64:MMI64"/>
    <mergeCell ref="MMJ64:MMY64"/>
    <mergeCell ref="MMZ64:MNO64"/>
    <mergeCell ref="MGF64:MGU64"/>
    <mergeCell ref="MGV64:MHK64"/>
    <mergeCell ref="MHL64:MIA64"/>
    <mergeCell ref="MIB64:MIQ64"/>
    <mergeCell ref="MIR64:MJG64"/>
    <mergeCell ref="MJH64:MJW64"/>
    <mergeCell ref="MCN64:MDC64"/>
    <mergeCell ref="MDD64:MDS64"/>
    <mergeCell ref="MDT64:MEI64"/>
    <mergeCell ref="MEJ64:MEY64"/>
    <mergeCell ref="MEZ64:MFO64"/>
    <mergeCell ref="MFP64:MGE64"/>
    <mergeCell ref="MUZ64:MVO64"/>
    <mergeCell ref="MVP64:MWE64"/>
    <mergeCell ref="MWF64:MWU64"/>
    <mergeCell ref="MWV64:MXK64"/>
    <mergeCell ref="MXL64:MYA64"/>
    <mergeCell ref="MYB64:MYQ64"/>
    <mergeCell ref="MRH64:MRW64"/>
    <mergeCell ref="MRX64:MSM64"/>
    <mergeCell ref="MSN64:MTC64"/>
    <mergeCell ref="MTD64:MTS64"/>
    <mergeCell ref="MTT64:MUI64"/>
    <mergeCell ref="MUJ64:MUY64"/>
    <mergeCell ref="MNP64:MOE64"/>
    <mergeCell ref="MOF64:MOU64"/>
    <mergeCell ref="MOV64:MPK64"/>
    <mergeCell ref="MPL64:MQA64"/>
    <mergeCell ref="MQB64:MQQ64"/>
    <mergeCell ref="MQR64:MRG64"/>
    <mergeCell ref="NGB64:NGQ64"/>
    <mergeCell ref="NGR64:NHG64"/>
    <mergeCell ref="NHH64:NHW64"/>
    <mergeCell ref="NHX64:NIM64"/>
    <mergeCell ref="NIN64:NJC64"/>
    <mergeCell ref="NJD64:NJS64"/>
    <mergeCell ref="NCJ64:NCY64"/>
    <mergeCell ref="NCZ64:NDO64"/>
    <mergeCell ref="NDP64:NEE64"/>
    <mergeCell ref="NEF64:NEU64"/>
    <mergeCell ref="NEV64:NFK64"/>
    <mergeCell ref="NFL64:NGA64"/>
    <mergeCell ref="MYR64:MZG64"/>
    <mergeCell ref="MZH64:MZW64"/>
    <mergeCell ref="MZX64:NAM64"/>
    <mergeCell ref="NAN64:NBC64"/>
    <mergeCell ref="NBD64:NBS64"/>
    <mergeCell ref="NBT64:NCI64"/>
    <mergeCell ref="NRD64:NRS64"/>
    <mergeCell ref="NRT64:NSI64"/>
    <mergeCell ref="NSJ64:NSY64"/>
    <mergeCell ref="NSZ64:NTO64"/>
    <mergeCell ref="NTP64:NUE64"/>
    <mergeCell ref="NUF64:NUU64"/>
    <mergeCell ref="NNL64:NOA64"/>
    <mergeCell ref="NOB64:NOQ64"/>
    <mergeCell ref="NOR64:NPG64"/>
    <mergeCell ref="NPH64:NPW64"/>
    <mergeCell ref="NPX64:NQM64"/>
    <mergeCell ref="NQN64:NRC64"/>
    <mergeCell ref="NJT64:NKI64"/>
    <mergeCell ref="NKJ64:NKY64"/>
    <mergeCell ref="NKZ64:NLO64"/>
    <mergeCell ref="NLP64:NME64"/>
    <mergeCell ref="NMF64:NMU64"/>
    <mergeCell ref="NMV64:NNK64"/>
    <mergeCell ref="OCF64:OCU64"/>
    <mergeCell ref="OCV64:ODK64"/>
    <mergeCell ref="ODL64:OEA64"/>
    <mergeCell ref="OEB64:OEQ64"/>
    <mergeCell ref="OER64:OFG64"/>
    <mergeCell ref="OFH64:OFW64"/>
    <mergeCell ref="NYN64:NZC64"/>
    <mergeCell ref="NZD64:NZS64"/>
    <mergeCell ref="NZT64:OAI64"/>
    <mergeCell ref="OAJ64:OAY64"/>
    <mergeCell ref="OAZ64:OBO64"/>
    <mergeCell ref="OBP64:OCE64"/>
    <mergeCell ref="NUV64:NVK64"/>
    <mergeCell ref="NVL64:NWA64"/>
    <mergeCell ref="NWB64:NWQ64"/>
    <mergeCell ref="NWR64:NXG64"/>
    <mergeCell ref="NXH64:NXW64"/>
    <mergeCell ref="NXX64:NYM64"/>
    <mergeCell ref="ONH64:ONW64"/>
    <mergeCell ref="ONX64:OOM64"/>
    <mergeCell ref="OON64:OPC64"/>
    <mergeCell ref="OPD64:OPS64"/>
    <mergeCell ref="OPT64:OQI64"/>
    <mergeCell ref="OQJ64:OQY64"/>
    <mergeCell ref="OJP64:OKE64"/>
    <mergeCell ref="OKF64:OKU64"/>
    <mergeCell ref="OKV64:OLK64"/>
    <mergeCell ref="OLL64:OMA64"/>
    <mergeCell ref="OMB64:OMQ64"/>
    <mergeCell ref="OMR64:ONG64"/>
    <mergeCell ref="OFX64:OGM64"/>
    <mergeCell ref="OGN64:OHC64"/>
    <mergeCell ref="OHD64:OHS64"/>
    <mergeCell ref="OHT64:OII64"/>
    <mergeCell ref="OIJ64:OIY64"/>
    <mergeCell ref="OIZ64:OJO64"/>
    <mergeCell ref="OYJ64:OYY64"/>
    <mergeCell ref="OYZ64:OZO64"/>
    <mergeCell ref="OZP64:PAE64"/>
    <mergeCell ref="PAF64:PAU64"/>
    <mergeCell ref="PAV64:PBK64"/>
    <mergeCell ref="PBL64:PCA64"/>
    <mergeCell ref="OUR64:OVG64"/>
    <mergeCell ref="OVH64:OVW64"/>
    <mergeCell ref="OVX64:OWM64"/>
    <mergeCell ref="OWN64:OXC64"/>
    <mergeCell ref="OXD64:OXS64"/>
    <mergeCell ref="OXT64:OYI64"/>
    <mergeCell ref="OQZ64:ORO64"/>
    <mergeCell ref="ORP64:OSE64"/>
    <mergeCell ref="OSF64:OSU64"/>
    <mergeCell ref="OSV64:OTK64"/>
    <mergeCell ref="OTL64:OUA64"/>
    <mergeCell ref="OUB64:OUQ64"/>
    <mergeCell ref="PJL64:PKA64"/>
    <mergeCell ref="PKB64:PKQ64"/>
    <mergeCell ref="PKR64:PLG64"/>
    <mergeCell ref="PLH64:PLW64"/>
    <mergeCell ref="PLX64:PMM64"/>
    <mergeCell ref="PMN64:PNC64"/>
    <mergeCell ref="PFT64:PGI64"/>
    <mergeCell ref="PGJ64:PGY64"/>
    <mergeCell ref="PGZ64:PHO64"/>
    <mergeCell ref="PHP64:PIE64"/>
    <mergeCell ref="PIF64:PIU64"/>
    <mergeCell ref="PIV64:PJK64"/>
    <mergeCell ref="PCB64:PCQ64"/>
    <mergeCell ref="PCR64:PDG64"/>
    <mergeCell ref="PDH64:PDW64"/>
    <mergeCell ref="PDX64:PEM64"/>
    <mergeCell ref="PEN64:PFC64"/>
    <mergeCell ref="PFD64:PFS64"/>
    <mergeCell ref="PUN64:PVC64"/>
    <mergeCell ref="PVD64:PVS64"/>
    <mergeCell ref="PVT64:PWI64"/>
    <mergeCell ref="PWJ64:PWY64"/>
    <mergeCell ref="PWZ64:PXO64"/>
    <mergeCell ref="PXP64:PYE64"/>
    <mergeCell ref="PQV64:PRK64"/>
    <mergeCell ref="PRL64:PSA64"/>
    <mergeCell ref="PSB64:PSQ64"/>
    <mergeCell ref="PSR64:PTG64"/>
    <mergeCell ref="PTH64:PTW64"/>
    <mergeCell ref="PTX64:PUM64"/>
    <mergeCell ref="PND64:PNS64"/>
    <mergeCell ref="PNT64:POI64"/>
    <mergeCell ref="POJ64:POY64"/>
    <mergeCell ref="POZ64:PPO64"/>
    <mergeCell ref="PPP64:PQE64"/>
    <mergeCell ref="PQF64:PQU64"/>
    <mergeCell ref="QFP64:QGE64"/>
    <mergeCell ref="QGF64:QGU64"/>
    <mergeCell ref="QGV64:QHK64"/>
    <mergeCell ref="QHL64:QIA64"/>
    <mergeCell ref="QIB64:QIQ64"/>
    <mergeCell ref="QIR64:QJG64"/>
    <mergeCell ref="QBX64:QCM64"/>
    <mergeCell ref="QCN64:QDC64"/>
    <mergeCell ref="QDD64:QDS64"/>
    <mergeCell ref="QDT64:QEI64"/>
    <mergeCell ref="QEJ64:QEY64"/>
    <mergeCell ref="QEZ64:QFO64"/>
    <mergeCell ref="PYF64:PYU64"/>
    <mergeCell ref="PYV64:PZK64"/>
    <mergeCell ref="PZL64:QAA64"/>
    <mergeCell ref="QAB64:QAQ64"/>
    <mergeCell ref="QAR64:QBG64"/>
    <mergeCell ref="QBH64:QBW64"/>
    <mergeCell ref="QQR64:QRG64"/>
    <mergeCell ref="QRH64:QRW64"/>
    <mergeCell ref="QRX64:QSM64"/>
    <mergeCell ref="QSN64:QTC64"/>
    <mergeCell ref="QTD64:QTS64"/>
    <mergeCell ref="QTT64:QUI64"/>
    <mergeCell ref="QMZ64:QNO64"/>
    <mergeCell ref="QNP64:QOE64"/>
    <mergeCell ref="QOF64:QOU64"/>
    <mergeCell ref="QOV64:QPK64"/>
    <mergeCell ref="QPL64:QQA64"/>
    <mergeCell ref="QQB64:QQQ64"/>
    <mergeCell ref="QJH64:QJW64"/>
    <mergeCell ref="QJX64:QKM64"/>
    <mergeCell ref="QKN64:QLC64"/>
    <mergeCell ref="QLD64:QLS64"/>
    <mergeCell ref="QLT64:QMI64"/>
    <mergeCell ref="QMJ64:QMY64"/>
    <mergeCell ref="RBT64:RCI64"/>
    <mergeCell ref="RCJ64:RCY64"/>
    <mergeCell ref="RCZ64:RDO64"/>
    <mergeCell ref="RDP64:REE64"/>
    <mergeCell ref="REF64:REU64"/>
    <mergeCell ref="REV64:RFK64"/>
    <mergeCell ref="QYB64:QYQ64"/>
    <mergeCell ref="QYR64:QZG64"/>
    <mergeCell ref="QZH64:QZW64"/>
    <mergeCell ref="QZX64:RAM64"/>
    <mergeCell ref="RAN64:RBC64"/>
    <mergeCell ref="RBD64:RBS64"/>
    <mergeCell ref="QUJ64:QUY64"/>
    <mergeCell ref="QUZ64:QVO64"/>
    <mergeCell ref="QVP64:QWE64"/>
    <mergeCell ref="QWF64:QWU64"/>
    <mergeCell ref="QWV64:QXK64"/>
    <mergeCell ref="QXL64:QYA64"/>
    <mergeCell ref="RMV64:RNK64"/>
    <mergeCell ref="RNL64:ROA64"/>
    <mergeCell ref="ROB64:ROQ64"/>
    <mergeCell ref="ROR64:RPG64"/>
    <mergeCell ref="RPH64:RPW64"/>
    <mergeCell ref="RPX64:RQM64"/>
    <mergeCell ref="RJD64:RJS64"/>
    <mergeCell ref="RJT64:RKI64"/>
    <mergeCell ref="RKJ64:RKY64"/>
    <mergeCell ref="RKZ64:RLO64"/>
    <mergeCell ref="RLP64:RME64"/>
    <mergeCell ref="RMF64:RMU64"/>
    <mergeCell ref="RFL64:RGA64"/>
    <mergeCell ref="RGB64:RGQ64"/>
    <mergeCell ref="RGR64:RHG64"/>
    <mergeCell ref="RHH64:RHW64"/>
    <mergeCell ref="RHX64:RIM64"/>
    <mergeCell ref="RIN64:RJC64"/>
    <mergeCell ref="RXX64:RYM64"/>
    <mergeCell ref="RYN64:RZC64"/>
    <mergeCell ref="RZD64:RZS64"/>
    <mergeCell ref="RZT64:SAI64"/>
    <mergeCell ref="SAJ64:SAY64"/>
    <mergeCell ref="SAZ64:SBO64"/>
    <mergeCell ref="RUF64:RUU64"/>
    <mergeCell ref="RUV64:RVK64"/>
    <mergeCell ref="RVL64:RWA64"/>
    <mergeCell ref="RWB64:RWQ64"/>
    <mergeCell ref="RWR64:RXG64"/>
    <mergeCell ref="RXH64:RXW64"/>
    <mergeCell ref="RQN64:RRC64"/>
    <mergeCell ref="RRD64:RRS64"/>
    <mergeCell ref="RRT64:RSI64"/>
    <mergeCell ref="RSJ64:RSY64"/>
    <mergeCell ref="RSZ64:RTO64"/>
    <mergeCell ref="RTP64:RUE64"/>
    <mergeCell ref="SIZ64:SJO64"/>
    <mergeCell ref="SJP64:SKE64"/>
    <mergeCell ref="SKF64:SKU64"/>
    <mergeCell ref="SKV64:SLK64"/>
    <mergeCell ref="SLL64:SMA64"/>
    <mergeCell ref="SMB64:SMQ64"/>
    <mergeCell ref="SFH64:SFW64"/>
    <mergeCell ref="SFX64:SGM64"/>
    <mergeCell ref="SGN64:SHC64"/>
    <mergeCell ref="SHD64:SHS64"/>
    <mergeCell ref="SHT64:SII64"/>
    <mergeCell ref="SIJ64:SIY64"/>
    <mergeCell ref="SBP64:SCE64"/>
    <mergeCell ref="SCF64:SCU64"/>
    <mergeCell ref="SCV64:SDK64"/>
    <mergeCell ref="SDL64:SEA64"/>
    <mergeCell ref="SEB64:SEQ64"/>
    <mergeCell ref="SER64:SFG64"/>
    <mergeCell ref="SUB64:SUQ64"/>
    <mergeCell ref="SUR64:SVG64"/>
    <mergeCell ref="SVH64:SVW64"/>
    <mergeCell ref="SVX64:SWM64"/>
    <mergeCell ref="SWN64:SXC64"/>
    <mergeCell ref="SXD64:SXS64"/>
    <mergeCell ref="SQJ64:SQY64"/>
    <mergeCell ref="SQZ64:SRO64"/>
    <mergeCell ref="SRP64:SSE64"/>
    <mergeCell ref="SSF64:SSU64"/>
    <mergeCell ref="SSV64:STK64"/>
    <mergeCell ref="STL64:SUA64"/>
    <mergeCell ref="SMR64:SNG64"/>
    <mergeCell ref="SNH64:SNW64"/>
    <mergeCell ref="SNX64:SOM64"/>
    <mergeCell ref="SON64:SPC64"/>
    <mergeCell ref="SPD64:SPS64"/>
    <mergeCell ref="SPT64:SQI64"/>
    <mergeCell ref="TFD64:TFS64"/>
    <mergeCell ref="TFT64:TGI64"/>
    <mergeCell ref="TGJ64:TGY64"/>
    <mergeCell ref="TGZ64:THO64"/>
    <mergeCell ref="THP64:TIE64"/>
    <mergeCell ref="TIF64:TIU64"/>
    <mergeCell ref="TBL64:TCA64"/>
    <mergeCell ref="TCB64:TCQ64"/>
    <mergeCell ref="TCR64:TDG64"/>
    <mergeCell ref="TDH64:TDW64"/>
    <mergeCell ref="TDX64:TEM64"/>
    <mergeCell ref="TEN64:TFC64"/>
    <mergeCell ref="SXT64:SYI64"/>
    <mergeCell ref="SYJ64:SYY64"/>
    <mergeCell ref="SYZ64:SZO64"/>
    <mergeCell ref="SZP64:TAE64"/>
    <mergeCell ref="TAF64:TAU64"/>
    <mergeCell ref="TAV64:TBK64"/>
    <mergeCell ref="TQF64:TQU64"/>
    <mergeCell ref="TQV64:TRK64"/>
    <mergeCell ref="TRL64:TSA64"/>
    <mergeCell ref="TSB64:TSQ64"/>
    <mergeCell ref="TSR64:TTG64"/>
    <mergeCell ref="TTH64:TTW64"/>
    <mergeCell ref="TMN64:TNC64"/>
    <mergeCell ref="TND64:TNS64"/>
    <mergeCell ref="TNT64:TOI64"/>
    <mergeCell ref="TOJ64:TOY64"/>
    <mergeCell ref="TOZ64:TPO64"/>
    <mergeCell ref="TPP64:TQE64"/>
    <mergeCell ref="TIV64:TJK64"/>
    <mergeCell ref="TJL64:TKA64"/>
    <mergeCell ref="TKB64:TKQ64"/>
    <mergeCell ref="TKR64:TLG64"/>
    <mergeCell ref="TLH64:TLW64"/>
    <mergeCell ref="TLX64:TMM64"/>
    <mergeCell ref="UBH64:UBW64"/>
    <mergeCell ref="UBX64:UCM64"/>
    <mergeCell ref="UCN64:UDC64"/>
    <mergeCell ref="UDD64:UDS64"/>
    <mergeCell ref="UDT64:UEI64"/>
    <mergeCell ref="UEJ64:UEY64"/>
    <mergeCell ref="TXP64:TYE64"/>
    <mergeCell ref="TYF64:TYU64"/>
    <mergeCell ref="TYV64:TZK64"/>
    <mergeCell ref="TZL64:UAA64"/>
    <mergeCell ref="UAB64:UAQ64"/>
    <mergeCell ref="UAR64:UBG64"/>
    <mergeCell ref="TTX64:TUM64"/>
    <mergeCell ref="TUN64:TVC64"/>
    <mergeCell ref="TVD64:TVS64"/>
    <mergeCell ref="TVT64:TWI64"/>
    <mergeCell ref="TWJ64:TWY64"/>
    <mergeCell ref="TWZ64:TXO64"/>
    <mergeCell ref="UMJ64:UMY64"/>
    <mergeCell ref="UMZ64:UNO64"/>
    <mergeCell ref="UNP64:UOE64"/>
    <mergeCell ref="UOF64:UOU64"/>
    <mergeCell ref="UOV64:UPK64"/>
    <mergeCell ref="UPL64:UQA64"/>
    <mergeCell ref="UIR64:UJG64"/>
    <mergeCell ref="UJH64:UJW64"/>
    <mergeCell ref="UJX64:UKM64"/>
    <mergeCell ref="UKN64:ULC64"/>
    <mergeCell ref="ULD64:ULS64"/>
    <mergeCell ref="ULT64:UMI64"/>
    <mergeCell ref="UEZ64:UFO64"/>
    <mergeCell ref="UFP64:UGE64"/>
    <mergeCell ref="UGF64:UGU64"/>
    <mergeCell ref="UGV64:UHK64"/>
    <mergeCell ref="UHL64:UIA64"/>
    <mergeCell ref="UIB64:UIQ64"/>
    <mergeCell ref="UXL64:UYA64"/>
    <mergeCell ref="UYB64:UYQ64"/>
    <mergeCell ref="UYR64:UZG64"/>
    <mergeCell ref="UZH64:UZW64"/>
    <mergeCell ref="UZX64:VAM64"/>
    <mergeCell ref="VAN64:VBC64"/>
    <mergeCell ref="UTT64:UUI64"/>
    <mergeCell ref="UUJ64:UUY64"/>
    <mergeCell ref="UUZ64:UVO64"/>
    <mergeCell ref="UVP64:UWE64"/>
    <mergeCell ref="UWF64:UWU64"/>
    <mergeCell ref="UWV64:UXK64"/>
    <mergeCell ref="UQB64:UQQ64"/>
    <mergeCell ref="UQR64:URG64"/>
    <mergeCell ref="URH64:URW64"/>
    <mergeCell ref="URX64:USM64"/>
    <mergeCell ref="USN64:UTC64"/>
    <mergeCell ref="UTD64:UTS64"/>
    <mergeCell ref="VIN64:VJC64"/>
    <mergeCell ref="VJD64:VJS64"/>
    <mergeCell ref="VJT64:VKI64"/>
    <mergeCell ref="VKJ64:VKY64"/>
    <mergeCell ref="VKZ64:VLO64"/>
    <mergeCell ref="VLP64:VME64"/>
    <mergeCell ref="VEV64:VFK64"/>
    <mergeCell ref="VFL64:VGA64"/>
    <mergeCell ref="VGB64:VGQ64"/>
    <mergeCell ref="VGR64:VHG64"/>
    <mergeCell ref="VHH64:VHW64"/>
    <mergeCell ref="VHX64:VIM64"/>
    <mergeCell ref="VBD64:VBS64"/>
    <mergeCell ref="VBT64:VCI64"/>
    <mergeCell ref="VCJ64:VCY64"/>
    <mergeCell ref="VCZ64:VDO64"/>
    <mergeCell ref="VDP64:VEE64"/>
    <mergeCell ref="VEF64:VEU64"/>
    <mergeCell ref="VTP64:VUE64"/>
    <mergeCell ref="VUF64:VUU64"/>
    <mergeCell ref="VUV64:VVK64"/>
    <mergeCell ref="VVL64:VWA64"/>
    <mergeCell ref="VWB64:VWQ64"/>
    <mergeCell ref="VWR64:VXG64"/>
    <mergeCell ref="VPX64:VQM64"/>
    <mergeCell ref="VQN64:VRC64"/>
    <mergeCell ref="VRD64:VRS64"/>
    <mergeCell ref="VRT64:VSI64"/>
    <mergeCell ref="VSJ64:VSY64"/>
    <mergeCell ref="VSZ64:VTO64"/>
    <mergeCell ref="VMF64:VMU64"/>
    <mergeCell ref="VMV64:VNK64"/>
    <mergeCell ref="VNL64:VOA64"/>
    <mergeCell ref="VOB64:VOQ64"/>
    <mergeCell ref="VOR64:VPG64"/>
    <mergeCell ref="VPH64:VPW64"/>
    <mergeCell ref="WER64:WFG64"/>
    <mergeCell ref="WFH64:WFW64"/>
    <mergeCell ref="WFX64:WGM64"/>
    <mergeCell ref="WGN64:WHC64"/>
    <mergeCell ref="WHD64:WHS64"/>
    <mergeCell ref="WHT64:WII64"/>
    <mergeCell ref="WAZ64:WBO64"/>
    <mergeCell ref="WBP64:WCE64"/>
    <mergeCell ref="WCF64:WCU64"/>
    <mergeCell ref="WCV64:WDK64"/>
    <mergeCell ref="WDL64:WEA64"/>
    <mergeCell ref="WEB64:WEQ64"/>
    <mergeCell ref="VXH64:VXW64"/>
    <mergeCell ref="VXX64:VYM64"/>
    <mergeCell ref="VYN64:VZC64"/>
    <mergeCell ref="VZD64:VZS64"/>
    <mergeCell ref="VZT64:WAI64"/>
    <mergeCell ref="WAJ64:WAY64"/>
    <mergeCell ref="WPT64:WQI64"/>
    <mergeCell ref="WQJ64:WQY64"/>
    <mergeCell ref="WQZ64:WRO64"/>
    <mergeCell ref="WRP64:WSE64"/>
    <mergeCell ref="WSF64:WSU64"/>
    <mergeCell ref="WSV64:WTK64"/>
    <mergeCell ref="WMB64:WMQ64"/>
    <mergeCell ref="WMR64:WNG64"/>
    <mergeCell ref="WNH64:WNW64"/>
    <mergeCell ref="WNX64:WOM64"/>
    <mergeCell ref="WON64:WPC64"/>
    <mergeCell ref="WPD64:WPS64"/>
    <mergeCell ref="WIJ64:WIY64"/>
    <mergeCell ref="WIZ64:WJO64"/>
    <mergeCell ref="WJP64:WKE64"/>
    <mergeCell ref="WKF64:WKU64"/>
    <mergeCell ref="WKV64:WLK64"/>
    <mergeCell ref="WLL64:WMA64"/>
    <mergeCell ref="XEN64:XFC64"/>
    <mergeCell ref="XAV64:XBK64"/>
    <mergeCell ref="XBL64:XCA64"/>
    <mergeCell ref="XCB64:XCQ64"/>
    <mergeCell ref="XCR64:XDG64"/>
    <mergeCell ref="XDH64:XDW64"/>
    <mergeCell ref="XDX64:XEM64"/>
    <mergeCell ref="WXD64:WXS64"/>
    <mergeCell ref="WXT64:WYI64"/>
    <mergeCell ref="WYJ64:WYY64"/>
    <mergeCell ref="WYZ64:WZO64"/>
    <mergeCell ref="WZP64:XAE64"/>
    <mergeCell ref="XAF64:XAU64"/>
    <mergeCell ref="WTL64:WUA64"/>
    <mergeCell ref="WUB64:WUQ64"/>
    <mergeCell ref="WUR64:WVG64"/>
    <mergeCell ref="WVH64:WVW64"/>
    <mergeCell ref="WVX64:WWM64"/>
    <mergeCell ref="WWN64:WXC64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8"/>
  <sheetViews>
    <sheetView showGridLines="0" view="pageBreakPreview" zoomScale="115" zoomScaleNormal="145" zoomScaleSheetLayoutView="115" workbookViewId="0">
      <pane ySplit="13" topLeftCell="A258" activePane="bottomLeft" state="frozen"/>
      <selection activeCell="G291" sqref="G291"/>
      <selection pane="bottomLeft" activeCell="O284" sqref="O284"/>
    </sheetView>
  </sheetViews>
  <sheetFormatPr defaultColWidth="9.109375" defaultRowHeight="13.2"/>
  <cols>
    <col min="1" max="1" width="5.6640625" style="939" customWidth="1"/>
    <col min="2" max="2" width="11.6640625" style="1087" customWidth="1"/>
    <col min="3" max="3" width="12.33203125" style="1087" customWidth="1"/>
    <col min="4" max="5" width="13" style="1087" customWidth="1"/>
    <col min="6" max="6" width="10.33203125" style="1087" customWidth="1"/>
    <col min="7" max="7" width="12.88671875" style="577" customWidth="1"/>
    <col min="8" max="8" width="10.5546875" style="1087" customWidth="1"/>
    <col min="9" max="9" width="14.109375" style="1087" customWidth="1"/>
    <col min="10" max="10" width="10.33203125" style="1087" customWidth="1"/>
    <col min="11" max="11" width="14.109375" style="1087" customWidth="1"/>
    <col min="12" max="12" width="10.33203125" style="1087" customWidth="1"/>
    <col min="13" max="13" width="14.109375" style="577" customWidth="1"/>
    <col min="14" max="14" width="10.33203125" style="1087" customWidth="1"/>
    <col min="15" max="15" width="11.6640625" style="577" customWidth="1"/>
    <col min="16" max="16" width="10.33203125" style="1087" customWidth="1"/>
    <col min="17" max="36" width="9.109375" style="1088"/>
    <col min="37" max="16384" width="9.109375" style="1087"/>
  </cols>
  <sheetData>
    <row r="1" spans="1:36" ht="7.5" customHeight="1"/>
    <row r="2" spans="1:36" s="532" customFormat="1" ht="21.75" customHeight="1">
      <c r="A2" s="2527" t="s">
        <v>3345</v>
      </c>
      <c r="B2" s="2527"/>
      <c r="C2" s="2527"/>
      <c r="D2" s="2527"/>
      <c r="E2" s="2527"/>
      <c r="F2" s="2527"/>
      <c r="G2" s="2527"/>
      <c r="H2" s="2527"/>
      <c r="I2" s="2527"/>
      <c r="J2" s="2527"/>
      <c r="K2" s="2527"/>
      <c r="L2" s="2527"/>
      <c r="M2" s="2527"/>
      <c r="N2" s="2527"/>
      <c r="O2" s="2527"/>
      <c r="P2" s="2527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</row>
    <row r="3" spans="1:36" ht="21.75" customHeight="1">
      <c r="A3" s="2528" t="s">
        <v>3348</v>
      </c>
      <c r="B3" s="2528"/>
      <c r="C3" s="2528"/>
      <c r="D3" s="2528"/>
      <c r="E3" s="2528"/>
      <c r="F3" s="2528"/>
      <c r="G3" s="2528"/>
      <c r="H3" s="2528"/>
      <c r="I3" s="2528"/>
      <c r="J3" s="2528"/>
      <c r="K3" s="2528"/>
      <c r="L3" s="2528"/>
      <c r="M3" s="2528"/>
      <c r="N3" s="2528"/>
      <c r="O3" s="2528"/>
      <c r="P3" s="2528"/>
    </row>
    <row r="4" spans="1:36" ht="9.75" customHeight="1">
      <c r="A4" s="940"/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</row>
    <row r="5" spans="1:36" ht="9.75" customHeight="1">
      <c r="A5" s="941"/>
      <c r="B5" s="593"/>
      <c r="C5" s="593"/>
      <c r="D5" s="593"/>
      <c r="E5" s="593"/>
      <c r="F5" s="593"/>
      <c r="G5" s="592"/>
      <c r="H5" s="593"/>
      <c r="I5" s="594"/>
      <c r="J5" s="841"/>
      <c r="K5" s="594"/>
      <c r="L5" s="841"/>
      <c r="M5" s="592"/>
      <c r="N5" s="593"/>
      <c r="O5" s="592"/>
      <c r="P5" s="593"/>
    </row>
    <row r="6" spans="1:36" s="535" customFormat="1" ht="12" customHeight="1">
      <c r="A6" s="2529" t="s">
        <v>182</v>
      </c>
      <c r="B6" s="2530" t="s">
        <v>2530</v>
      </c>
      <c r="C6" s="2530"/>
      <c r="D6" s="2530"/>
      <c r="E6" s="2530"/>
      <c r="F6" s="2530" t="s">
        <v>2529</v>
      </c>
      <c r="G6" s="2531" t="s">
        <v>3332</v>
      </c>
      <c r="H6" s="2532"/>
      <c r="I6" s="2531" t="s">
        <v>3333</v>
      </c>
      <c r="J6" s="2532"/>
      <c r="K6" s="2531" t="s">
        <v>2531</v>
      </c>
      <c r="L6" s="2532"/>
      <c r="M6" s="2531" t="s">
        <v>3334</v>
      </c>
      <c r="N6" s="2532"/>
      <c r="O6" s="2530" t="s">
        <v>2528</v>
      </c>
      <c r="P6" s="2530"/>
      <c r="Q6" s="1088"/>
      <c r="R6" s="1088"/>
      <c r="S6" s="1088"/>
      <c r="T6" s="1088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</row>
    <row r="7" spans="1:36" s="535" customFormat="1" ht="12" customHeight="1">
      <c r="A7" s="2529"/>
      <c r="B7" s="2530"/>
      <c r="C7" s="2530"/>
      <c r="D7" s="2530"/>
      <c r="E7" s="2530"/>
      <c r="F7" s="2530"/>
      <c r="G7" s="2530" t="s">
        <v>3335</v>
      </c>
      <c r="H7" s="2530"/>
      <c r="I7" s="2530" t="s">
        <v>3335</v>
      </c>
      <c r="J7" s="2530"/>
      <c r="K7" s="2530" t="s">
        <v>3336</v>
      </c>
      <c r="L7" s="2530"/>
      <c r="M7" s="2530" t="s">
        <v>3336</v>
      </c>
      <c r="N7" s="2530"/>
      <c r="O7" s="2530"/>
      <c r="P7" s="2530"/>
      <c r="Q7" s="1088"/>
      <c r="R7" s="1088"/>
      <c r="S7" s="1088"/>
      <c r="T7" s="1088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4"/>
      <c r="AH7" s="534"/>
      <c r="AI7" s="534"/>
      <c r="AJ7" s="534"/>
    </row>
    <row r="8" spans="1:36" s="535" customFormat="1" ht="12" customHeight="1">
      <c r="A8" s="2529"/>
      <c r="B8" s="2519" t="s">
        <v>2666</v>
      </c>
      <c r="C8" s="2519" t="s">
        <v>2667</v>
      </c>
      <c r="D8" s="2519" t="s">
        <v>2668</v>
      </c>
      <c r="E8" s="2519" t="s">
        <v>2669</v>
      </c>
      <c r="F8" s="2519" t="s">
        <v>4023</v>
      </c>
      <c r="G8" s="2519" t="s">
        <v>1020</v>
      </c>
      <c r="H8" s="2519" t="s">
        <v>4024</v>
      </c>
      <c r="I8" s="2519" t="s">
        <v>1020</v>
      </c>
      <c r="J8" s="2519" t="s">
        <v>4024</v>
      </c>
      <c r="K8" s="2519" t="s">
        <v>2671</v>
      </c>
      <c r="L8" s="2519" t="s">
        <v>4024</v>
      </c>
      <c r="M8" s="2519" t="s">
        <v>2670</v>
      </c>
      <c r="N8" s="2519" t="s">
        <v>4024</v>
      </c>
      <c r="O8" s="2526" t="s">
        <v>2665</v>
      </c>
      <c r="P8" s="2519" t="s">
        <v>4024</v>
      </c>
      <c r="Q8" s="1088"/>
      <c r="R8" s="1088"/>
      <c r="S8" s="1088"/>
      <c r="T8" s="1088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</row>
    <row r="9" spans="1:36" s="535" customFormat="1" ht="31.5" customHeight="1">
      <c r="A9" s="2529"/>
      <c r="B9" s="2519"/>
      <c r="C9" s="2519"/>
      <c r="D9" s="2519"/>
      <c r="E9" s="2519"/>
      <c r="F9" s="2519"/>
      <c r="G9" s="2519"/>
      <c r="H9" s="2519"/>
      <c r="I9" s="2519"/>
      <c r="J9" s="2519"/>
      <c r="K9" s="2519"/>
      <c r="L9" s="2519"/>
      <c r="M9" s="2519"/>
      <c r="N9" s="2519"/>
      <c r="O9" s="2526"/>
      <c r="P9" s="2519"/>
      <c r="Q9" s="1088"/>
      <c r="R9" s="1088"/>
      <c r="S9" s="1088"/>
      <c r="T9" s="1088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7" customFormat="1" ht="12" customHeight="1">
      <c r="A10" s="2520" t="s">
        <v>304</v>
      </c>
      <c r="B10" s="2518" t="s">
        <v>2534</v>
      </c>
      <c r="C10" s="2518"/>
      <c r="D10" s="2518"/>
      <c r="E10" s="2518"/>
      <c r="F10" s="2518"/>
      <c r="G10" s="2523" t="s">
        <v>3337</v>
      </c>
      <c r="H10" s="2523"/>
      <c r="I10" s="2524" t="s">
        <v>3338</v>
      </c>
      <c r="J10" s="2525"/>
      <c r="K10" s="2524" t="s">
        <v>3339</v>
      </c>
      <c r="L10" s="2525"/>
      <c r="M10" s="2524" t="s">
        <v>3340</v>
      </c>
      <c r="N10" s="2525"/>
      <c r="O10" s="2518" t="s">
        <v>2532</v>
      </c>
      <c r="P10" s="2518" t="s">
        <v>2533</v>
      </c>
      <c r="Q10" s="1088"/>
      <c r="R10" s="1088"/>
      <c r="S10" s="1088"/>
      <c r="T10" s="1088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6"/>
      <c r="AJ10" s="536"/>
    </row>
    <row r="11" spans="1:36" s="537" customFormat="1" ht="12" customHeight="1">
      <c r="A11" s="2521"/>
      <c r="B11" s="2518"/>
      <c r="C11" s="2518"/>
      <c r="D11" s="2518"/>
      <c r="E11" s="2518"/>
      <c r="F11" s="2518"/>
      <c r="G11" s="2518" t="s">
        <v>3341</v>
      </c>
      <c r="H11" s="2518" t="s">
        <v>2535</v>
      </c>
      <c r="I11" s="2518" t="s">
        <v>3341</v>
      </c>
      <c r="J11" s="2518" t="s">
        <v>2535</v>
      </c>
      <c r="K11" s="2518" t="s">
        <v>2865</v>
      </c>
      <c r="L11" s="2518" t="s">
        <v>2535</v>
      </c>
      <c r="M11" s="2518" t="s">
        <v>2865</v>
      </c>
      <c r="N11" s="2518" t="s">
        <v>2535</v>
      </c>
      <c r="O11" s="2518"/>
      <c r="P11" s="2518"/>
      <c r="Q11" s="1088"/>
      <c r="R11" s="1088"/>
      <c r="S11" s="1088"/>
      <c r="T11" s="1088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</row>
    <row r="12" spans="1:36" s="537" customFormat="1" ht="12" customHeight="1">
      <c r="A12" s="2521"/>
      <c r="B12" s="2516" t="s">
        <v>2891</v>
      </c>
      <c r="C12" s="2516" t="s">
        <v>3342</v>
      </c>
      <c r="D12" s="2516" t="s">
        <v>3343</v>
      </c>
      <c r="E12" s="2516" t="s">
        <v>3344</v>
      </c>
      <c r="F12" s="2516" t="s">
        <v>4025</v>
      </c>
      <c r="G12" s="2516" t="s">
        <v>2890</v>
      </c>
      <c r="H12" s="2516" t="s">
        <v>4025</v>
      </c>
      <c r="I12" s="2516" t="s">
        <v>2890</v>
      </c>
      <c r="J12" s="2516" t="s">
        <v>4025</v>
      </c>
      <c r="K12" s="2516" t="s">
        <v>2867</v>
      </c>
      <c r="L12" s="2516" t="s">
        <v>4025</v>
      </c>
      <c r="M12" s="2516" t="s">
        <v>2866</v>
      </c>
      <c r="N12" s="2516" t="s">
        <v>4025</v>
      </c>
      <c r="O12" s="2516" t="s">
        <v>2890</v>
      </c>
      <c r="P12" s="2516" t="s">
        <v>4025</v>
      </c>
      <c r="Q12" s="1088"/>
      <c r="R12" s="1088"/>
      <c r="S12" s="1088"/>
      <c r="T12" s="1088"/>
      <c r="U12" s="536"/>
      <c r="V12" s="536"/>
      <c r="W12" s="536"/>
      <c r="X12" s="536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</row>
    <row r="13" spans="1:36" s="537" customFormat="1" ht="12" customHeight="1">
      <c r="A13" s="2522"/>
      <c r="B13" s="2516"/>
      <c r="C13" s="2516"/>
      <c r="D13" s="2516"/>
      <c r="E13" s="2516"/>
      <c r="F13" s="2516"/>
      <c r="G13" s="2516"/>
      <c r="H13" s="2516"/>
      <c r="I13" s="2516"/>
      <c r="J13" s="2516"/>
      <c r="K13" s="2516"/>
      <c r="L13" s="2516"/>
      <c r="M13" s="2516"/>
      <c r="N13" s="2516"/>
      <c r="O13" s="2516"/>
      <c r="P13" s="2516"/>
      <c r="Q13" s="1088"/>
      <c r="R13" s="1088"/>
      <c r="S13" s="1088"/>
      <c r="T13" s="1088"/>
      <c r="U13" s="536"/>
      <c r="V13" s="536"/>
      <c r="W13" s="536"/>
      <c r="X13" s="536"/>
      <c r="Y13" s="536"/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</row>
    <row r="14" spans="1:36" s="1439" customFormat="1" ht="12.75" hidden="1" customHeight="1">
      <c r="A14" s="1437">
        <v>1995</v>
      </c>
      <c r="B14" s="1438"/>
      <c r="C14" s="1438"/>
      <c r="D14" s="1438"/>
      <c r="E14" s="1438"/>
      <c r="F14" s="1438"/>
      <c r="G14" s="1438"/>
      <c r="H14" s="1438"/>
      <c r="I14" s="1438"/>
      <c r="J14" s="1438"/>
      <c r="K14" s="1438"/>
      <c r="L14" s="1438"/>
      <c r="M14" s="1438"/>
      <c r="N14" s="1438"/>
      <c r="O14" s="1438">
        <v>100</v>
      </c>
      <c r="P14" s="1438"/>
    </row>
    <row r="15" spans="1:36" s="1439" customFormat="1" ht="12.75" hidden="1" customHeight="1">
      <c r="A15" s="839">
        <v>1996</v>
      </c>
      <c r="B15" s="1440"/>
      <c r="C15" s="1440"/>
      <c r="D15" s="1440"/>
      <c r="E15" s="1440"/>
      <c r="F15" s="1440"/>
      <c r="G15" s="1440"/>
      <c r="H15" s="1440"/>
      <c r="I15" s="1440"/>
      <c r="J15" s="1440"/>
      <c r="K15" s="1440"/>
      <c r="L15" s="1440"/>
      <c r="M15" s="1440"/>
      <c r="N15" s="1440"/>
      <c r="O15" s="1440">
        <v>20</v>
      </c>
      <c r="P15" s="1440"/>
    </row>
    <row r="16" spans="1:36" s="1439" customFormat="1" ht="12.75" hidden="1" customHeight="1">
      <c r="A16" s="839">
        <v>1997</v>
      </c>
      <c r="B16" s="1440"/>
      <c r="C16" s="1440"/>
      <c r="D16" s="1440"/>
      <c r="E16" s="1440"/>
      <c r="F16" s="1440"/>
      <c r="G16" s="1440"/>
      <c r="H16" s="1440"/>
      <c r="I16" s="1440"/>
      <c r="J16" s="1440"/>
      <c r="K16" s="1440"/>
      <c r="L16" s="1440"/>
      <c r="M16" s="1440"/>
      <c r="N16" s="1440"/>
      <c r="O16" s="1440">
        <v>15</v>
      </c>
      <c r="P16" s="1440"/>
    </row>
    <row r="17" spans="1:16" s="1439" customFormat="1" ht="12.75" hidden="1" customHeight="1">
      <c r="A17" s="839">
        <v>1998</v>
      </c>
      <c r="B17" s="1440"/>
      <c r="C17" s="1440"/>
      <c r="D17" s="1440"/>
      <c r="E17" s="1440"/>
      <c r="F17" s="1440"/>
      <c r="G17" s="1440"/>
      <c r="H17" s="1440"/>
      <c r="I17" s="1440"/>
      <c r="J17" s="1440"/>
      <c r="K17" s="1440"/>
      <c r="L17" s="1440"/>
      <c r="M17" s="1440"/>
      <c r="N17" s="1440"/>
      <c r="O17" s="1440">
        <v>12</v>
      </c>
      <c r="P17" s="1440"/>
    </row>
    <row r="18" spans="1:16" s="1439" customFormat="1" ht="12.75" hidden="1" customHeight="1">
      <c r="A18" s="839">
        <v>1999</v>
      </c>
      <c r="B18" s="1440"/>
      <c r="C18" s="1440"/>
      <c r="D18" s="1440"/>
      <c r="E18" s="1440"/>
      <c r="F18" s="1440"/>
      <c r="G18" s="1440"/>
      <c r="H18" s="1440"/>
      <c r="I18" s="1440"/>
      <c r="J18" s="1440"/>
      <c r="K18" s="1440"/>
      <c r="L18" s="1440"/>
      <c r="M18" s="1440"/>
      <c r="N18" s="1440"/>
      <c r="O18" s="1440">
        <v>14</v>
      </c>
      <c r="P18" s="1440"/>
    </row>
    <row r="19" spans="1:16" s="1439" customFormat="1" ht="12.75" hidden="1" customHeight="1">
      <c r="A19" s="839">
        <v>2000</v>
      </c>
      <c r="B19" s="1440"/>
      <c r="C19" s="1440"/>
      <c r="D19" s="1440"/>
      <c r="E19" s="1440"/>
      <c r="F19" s="1440"/>
      <c r="G19" s="1440"/>
      <c r="H19" s="1440"/>
      <c r="I19" s="1440"/>
      <c r="J19" s="1440"/>
      <c r="K19" s="1440"/>
      <c r="L19" s="1440"/>
      <c r="M19" s="1440"/>
      <c r="N19" s="1440"/>
      <c r="O19" s="1440">
        <v>10</v>
      </c>
      <c r="P19" s="1440"/>
    </row>
    <row r="20" spans="1:16" s="1439" customFormat="1" ht="12.75" hidden="1" customHeight="1">
      <c r="A20" s="839">
        <v>2001</v>
      </c>
      <c r="B20" s="1440"/>
      <c r="C20" s="1440"/>
      <c r="D20" s="1440"/>
      <c r="E20" s="1440"/>
      <c r="F20" s="1440"/>
      <c r="G20" s="1440"/>
      <c r="H20" s="1440"/>
      <c r="I20" s="1440"/>
      <c r="J20" s="1440"/>
      <c r="K20" s="1440"/>
      <c r="L20" s="1440"/>
      <c r="M20" s="1440"/>
      <c r="N20" s="1440"/>
      <c r="O20" s="1440">
        <v>10</v>
      </c>
      <c r="P20" s="1440"/>
    </row>
    <row r="21" spans="1:16" s="1439" customFormat="1" ht="12.75" hidden="1" customHeight="1">
      <c r="A21" s="839">
        <v>2002</v>
      </c>
      <c r="B21" s="1440"/>
      <c r="C21" s="1440"/>
      <c r="D21" s="1440"/>
      <c r="E21" s="1440"/>
      <c r="F21" s="1440"/>
      <c r="G21" s="1440"/>
      <c r="H21" s="1440"/>
      <c r="I21" s="1440"/>
      <c r="J21" s="1440"/>
      <c r="K21" s="1440"/>
      <c r="L21" s="1440"/>
      <c r="M21" s="1440"/>
      <c r="N21" s="1440"/>
      <c r="O21" s="1440">
        <v>7</v>
      </c>
      <c r="P21" s="1440">
        <v>6.4989999999999988</v>
      </c>
    </row>
    <row r="22" spans="1:16" s="1439" customFormat="1" ht="12.75" hidden="1" customHeight="1">
      <c r="A22" s="839">
        <v>2003</v>
      </c>
      <c r="B22" s="1440"/>
      <c r="C22" s="1440"/>
      <c r="D22" s="1440"/>
      <c r="E22" s="1440"/>
      <c r="F22" s="1440"/>
      <c r="G22" s="1440"/>
      <c r="H22" s="1440"/>
      <c r="I22" s="1440"/>
      <c r="J22" s="1440"/>
      <c r="K22" s="1440"/>
      <c r="L22" s="1440"/>
      <c r="M22" s="1440"/>
      <c r="N22" s="1440"/>
      <c r="O22" s="1440">
        <v>7</v>
      </c>
      <c r="P22" s="1440">
        <v>47.3163776982</v>
      </c>
    </row>
    <row r="23" spans="1:16" s="1439" customFormat="1" ht="12.75" hidden="1" customHeight="1">
      <c r="A23" s="839">
        <v>2004</v>
      </c>
      <c r="B23" s="1440"/>
      <c r="C23" s="1440"/>
      <c r="D23" s="1440"/>
      <c r="E23" s="1440"/>
      <c r="F23" s="1440"/>
      <c r="G23" s="1440"/>
      <c r="H23" s="1440"/>
      <c r="I23" s="1440"/>
      <c r="J23" s="1440"/>
      <c r="K23" s="1440"/>
      <c r="L23" s="1440"/>
      <c r="M23" s="1440"/>
      <c r="N23" s="1440"/>
      <c r="O23" s="1440">
        <v>7</v>
      </c>
      <c r="P23" s="1440">
        <v>62.925204903999997</v>
      </c>
    </row>
    <row r="24" spans="1:16" s="1439" customFormat="1" ht="12.75" hidden="1" customHeight="1">
      <c r="A24" s="839">
        <v>2005</v>
      </c>
      <c r="B24" s="1440">
        <v>11.41</v>
      </c>
      <c r="C24" s="1440"/>
      <c r="D24" s="1440"/>
      <c r="E24" s="1440"/>
      <c r="F24" s="1440">
        <v>31.525399999999987</v>
      </c>
      <c r="G24" s="1440"/>
      <c r="H24" s="1440"/>
      <c r="I24" s="1440"/>
      <c r="J24" s="1440"/>
      <c r="K24" s="1440"/>
      <c r="L24" s="1440"/>
      <c r="M24" s="1440"/>
      <c r="N24" s="1440"/>
      <c r="O24" s="1440"/>
      <c r="P24" s="1440"/>
    </row>
    <row r="25" spans="1:16" s="1439" customFormat="1" ht="12.75" hidden="1" customHeight="1">
      <c r="A25" s="839" t="s">
        <v>18</v>
      </c>
      <c r="B25" s="1440"/>
      <c r="C25" s="1440"/>
      <c r="D25" s="1440"/>
      <c r="E25" s="1440"/>
      <c r="F25" s="1440"/>
      <c r="G25" s="1440">
        <v>4.18</v>
      </c>
      <c r="H25" s="1440">
        <v>1.2911999999999999</v>
      </c>
      <c r="I25" s="1440"/>
      <c r="J25" s="1440"/>
      <c r="K25" s="1440"/>
      <c r="L25" s="1440"/>
      <c r="M25" s="1440"/>
      <c r="N25" s="1440"/>
      <c r="O25" s="1440" t="s">
        <v>307</v>
      </c>
      <c r="P25" s="1440">
        <v>59.638204903999998</v>
      </c>
    </row>
    <row r="26" spans="1:16" s="1439" customFormat="1" ht="12.75" hidden="1" customHeight="1">
      <c r="A26" s="839" t="s">
        <v>19</v>
      </c>
      <c r="B26" s="1441"/>
      <c r="C26" s="1441"/>
      <c r="D26" s="1441"/>
      <c r="E26" s="1441"/>
      <c r="F26" s="1441"/>
      <c r="G26" s="1440">
        <v>4.18</v>
      </c>
      <c r="H26" s="1440">
        <v>0.70479999999999998</v>
      </c>
      <c r="I26" s="1440"/>
      <c r="J26" s="1440"/>
      <c r="K26" s="1440"/>
      <c r="L26" s="1440"/>
      <c r="M26" s="1440"/>
      <c r="N26" s="1440"/>
      <c r="O26" s="1440" t="s">
        <v>307</v>
      </c>
      <c r="P26" s="1440">
        <v>59.938166064000001</v>
      </c>
    </row>
    <row r="27" spans="1:16" s="1439" customFormat="1" ht="12.75" hidden="1" customHeight="1">
      <c r="A27" s="839" t="s">
        <v>20</v>
      </c>
      <c r="B27" s="1440"/>
      <c r="C27" s="1440"/>
      <c r="D27" s="1440"/>
      <c r="E27" s="1440"/>
      <c r="F27" s="1440"/>
      <c r="G27" s="1440">
        <v>4.18</v>
      </c>
      <c r="H27" s="1440">
        <v>3.0095999999999998</v>
      </c>
      <c r="I27" s="1440"/>
      <c r="J27" s="1440"/>
      <c r="K27" s="1440"/>
      <c r="L27" s="1440"/>
      <c r="M27" s="1440"/>
      <c r="N27" s="1440"/>
      <c r="O27" s="1440" t="s">
        <v>307</v>
      </c>
      <c r="P27" s="1440">
        <v>66.468166064000002</v>
      </c>
    </row>
    <row r="28" spans="1:16" s="1439" customFormat="1" ht="12.75" hidden="1" customHeight="1">
      <c r="A28" s="839" t="s">
        <v>21</v>
      </c>
      <c r="B28" s="1440"/>
      <c r="C28" s="1440"/>
      <c r="D28" s="1440"/>
      <c r="E28" s="1440"/>
      <c r="F28" s="1440"/>
      <c r="G28" s="1440">
        <v>4.18</v>
      </c>
      <c r="H28" s="1440">
        <v>1.9176</v>
      </c>
      <c r="I28" s="1440"/>
      <c r="J28" s="1440"/>
      <c r="K28" s="1440"/>
      <c r="L28" s="1440"/>
      <c r="M28" s="1440"/>
      <c r="N28" s="1440"/>
      <c r="O28" s="1440" t="s">
        <v>307</v>
      </c>
      <c r="P28" s="1440">
        <v>68.433166063999991</v>
      </c>
    </row>
    <row r="29" spans="1:16" s="1439" customFormat="1" ht="12.75" hidden="1" customHeight="1">
      <c r="A29" s="839" t="s">
        <v>22</v>
      </c>
      <c r="B29" s="1440"/>
      <c r="C29" s="1440"/>
      <c r="D29" s="1440"/>
      <c r="E29" s="1440"/>
      <c r="F29" s="1440"/>
      <c r="G29" s="1440">
        <v>4.18</v>
      </c>
      <c r="H29" s="1440">
        <v>0.40500000000000003</v>
      </c>
      <c r="I29" s="1440"/>
      <c r="J29" s="1440"/>
      <c r="K29" s="1440"/>
      <c r="L29" s="1440"/>
      <c r="M29" s="1440"/>
      <c r="N29" s="1440"/>
      <c r="O29" s="1440" t="s">
        <v>2672</v>
      </c>
      <c r="P29" s="1440">
        <v>67.379592055999993</v>
      </c>
    </row>
    <row r="30" spans="1:16" s="1439" customFormat="1" ht="12.75" hidden="1" customHeight="1">
      <c r="A30" s="839" t="s">
        <v>23</v>
      </c>
      <c r="B30" s="1440"/>
      <c r="C30" s="1440"/>
      <c r="D30" s="1440"/>
      <c r="E30" s="1440"/>
      <c r="F30" s="1440"/>
      <c r="G30" s="1440">
        <v>10.5</v>
      </c>
      <c r="H30" s="1440">
        <v>10.166399999999999</v>
      </c>
      <c r="I30" s="1440"/>
      <c r="J30" s="1440"/>
      <c r="K30" s="1440"/>
      <c r="L30" s="1440"/>
      <c r="M30" s="1440"/>
      <c r="N30" s="1440"/>
      <c r="O30" s="1440" t="s">
        <v>308</v>
      </c>
      <c r="P30" s="1440">
        <v>69.062677055999998</v>
      </c>
    </row>
    <row r="31" spans="1:16" s="1439" customFormat="1" ht="12.75" hidden="1" customHeight="1">
      <c r="A31" s="839" t="s">
        <v>24</v>
      </c>
      <c r="B31" s="1440"/>
      <c r="C31" s="1440"/>
      <c r="D31" s="1440"/>
      <c r="E31" s="1440"/>
      <c r="F31" s="1440"/>
      <c r="G31" s="1441">
        <v>9.6999999999999993</v>
      </c>
      <c r="H31" s="1440">
        <v>6.9771999999999998</v>
      </c>
      <c r="I31" s="1440"/>
      <c r="J31" s="1440"/>
      <c r="K31" s="1440"/>
      <c r="L31" s="1440"/>
      <c r="M31" s="1440"/>
      <c r="N31" s="1440"/>
      <c r="O31" s="1440" t="s">
        <v>308</v>
      </c>
      <c r="P31" s="1440">
        <v>72.826577055999991</v>
      </c>
    </row>
    <row r="32" spans="1:16" s="1439" customFormat="1" ht="12.75" hidden="1" customHeight="1">
      <c r="A32" s="839" t="s">
        <v>25</v>
      </c>
      <c r="B32" s="1440"/>
      <c r="C32" s="1440"/>
      <c r="D32" s="1440"/>
      <c r="E32" s="1440"/>
      <c r="F32" s="1440"/>
      <c r="G32" s="1440">
        <v>9.6999999999999993</v>
      </c>
      <c r="H32" s="1440">
        <v>11.7942</v>
      </c>
      <c r="I32" s="1440"/>
      <c r="J32" s="1440"/>
      <c r="K32" s="1440"/>
      <c r="L32" s="1440"/>
      <c r="M32" s="1440"/>
      <c r="N32" s="1440"/>
      <c r="O32" s="1440" t="s">
        <v>308</v>
      </c>
      <c r="P32" s="1440">
        <v>74.688377055999993</v>
      </c>
    </row>
    <row r="33" spans="1:16" s="1439" customFormat="1" ht="12.75" hidden="1" customHeight="1">
      <c r="A33" s="839" t="s">
        <v>26</v>
      </c>
      <c r="B33" s="1440"/>
      <c r="C33" s="1440"/>
      <c r="D33" s="1440"/>
      <c r="E33" s="1440"/>
      <c r="F33" s="1440"/>
      <c r="G33" s="1440">
        <v>9.5</v>
      </c>
      <c r="H33" s="1440">
        <v>15.056199999999997</v>
      </c>
      <c r="I33" s="1440"/>
      <c r="J33" s="1440"/>
      <c r="K33" s="1440"/>
      <c r="L33" s="1440"/>
      <c r="M33" s="1440"/>
      <c r="N33" s="1440"/>
      <c r="O33" s="1440" t="s">
        <v>308</v>
      </c>
      <c r="P33" s="1440">
        <v>74.789350406799997</v>
      </c>
    </row>
    <row r="34" spans="1:16" s="1439" customFormat="1" ht="12.75" hidden="1" customHeight="1">
      <c r="A34" s="839" t="s">
        <v>27</v>
      </c>
      <c r="B34" s="1440"/>
      <c r="C34" s="1440"/>
      <c r="D34" s="1440"/>
      <c r="E34" s="1440"/>
      <c r="F34" s="1440"/>
      <c r="G34" s="1440">
        <v>9.3000000000000007</v>
      </c>
      <c r="H34" s="1440">
        <v>18.270399999999995</v>
      </c>
      <c r="I34" s="1440"/>
      <c r="J34" s="1440"/>
      <c r="K34" s="1440"/>
      <c r="L34" s="1440"/>
      <c r="M34" s="1440"/>
      <c r="N34" s="1440"/>
      <c r="O34" s="1440" t="s">
        <v>306</v>
      </c>
      <c r="P34" s="1440">
        <v>74.079181251200012</v>
      </c>
    </row>
    <row r="35" spans="1:16" s="1439" customFormat="1" ht="12.75" hidden="1" customHeight="1">
      <c r="A35" s="839" t="s">
        <v>28</v>
      </c>
      <c r="B35" s="1440"/>
      <c r="C35" s="1440"/>
      <c r="D35" s="1440"/>
      <c r="E35" s="1440"/>
      <c r="F35" s="1440"/>
      <c r="G35" s="1440">
        <v>9.18</v>
      </c>
      <c r="H35" s="1440">
        <v>13.3058</v>
      </c>
      <c r="I35" s="1440"/>
      <c r="J35" s="1440"/>
      <c r="K35" s="1440"/>
      <c r="L35" s="1440"/>
      <c r="M35" s="1440"/>
      <c r="N35" s="1440"/>
      <c r="O35" s="1440" t="s">
        <v>306</v>
      </c>
      <c r="P35" s="1440">
        <v>72.873405055999996</v>
      </c>
    </row>
    <row r="36" spans="1:16" s="1439" customFormat="1" ht="12.75" hidden="1" customHeight="1">
      <c r="A36" s="839" t="s">
        <v>29</v>
      </c>
      <c r="B36" s="1440"/>
      <c r="C36" s="1440"/>
      <c r="D36" s="1440"/>
      <c r="E36" s="1440"/>
      <c r="F36" s="1440"/>
      <c r="G36" s="1440">
        <v>9.17</v>
      </c>
      <c r="H36" s="1440">
        <v>0.97799999999999998</v>
      </c>
      <c r="I36" s="1440"/>
      <c r="J36" s="1440"/>
      <c r="K36" s="1440"/>
      <c r="L36" s="1440"/>
      <c r="M36" s="1440"/>
      <c r="N36" s="1440"/>
      <c r="O36" s="1440" t="s">
        <v>306</v>
      </c>
      <c r="P36" s="1440">
        <v>72.195504455999995</v>
      </c>
    </row>
    <row r="37" spans="1:16" s="1439" customFormat="1" ht="12.75" hidden="1" customHeight="1">
      <c r="A37" s="839"/>
      <c r="B37" s="1440"/>
      <c r="C37" s="1440"/>
      <c r="D37" s="1440"/>
      <c r="E37" s="1440"/>
      <c r="F37" s="1440"/>
      <c r="G37" s="1440"/>
      <c r="H37" s="1440"/>
      <c r="I37" s="1440"/>
      <c r="J37" s="1440"/>
      <c r="K37" s="1440"/>
      <c r="L37" s="1440"/>
      <c r="M37" s="1440"/>
      <c r="N37" s="1440"/>
      <c r="O37" s="1440"/>
      <c r="P37" s="1440"/>
    </row>
    <row r="38" spans="1:16" s="1439" customFormat="1" ht="12.75" hidden="1" customHeight="1">
      <c r="A38" s="839">
        <v>2006</v>
      </c>
      <c r="B38" s="1440">
        <v>14.17</v>
      </c>
      <c r="C38" s="1440"/>
      <c r="D38" s="1440"/>
      <c r="E38" s="1440"/>
      <c r="F38" s="1440">
        <v>113.63639999999999</v>
      </c>
      <c r="G38" s="1440"/>
      <c r="H38" s="1440"/>
      <c r="I38" s="1440"/>
      <c r="J38" s="1440"/>
      <c r="K38" s="1440"/>
      <c r="L38" s="1440"/>
      <c r="M38" s="1440"/>
      <c r="N38" s="1440"/>
      <c r="O38" s="1440"/>
      <c r="P38" s="1440"/>
    </row>
    <row r="39" spans="1:16" s="1439" customFormat="1" ht="12.75" hidden="1" customHeight="1">
      <c r="A39" s="839" t="s">
        <v>18</v>
      </c>
      <c r="B39" s="1440"/>
      <c r="C39" s="1440"/>
      <c r="D39" s="1440"/>
      <c r="E39" s="1440"/>
      <c r="F39" s="1440"/>
      <c r="G39" s="1440">
        <v>7</v>
      </c>
      <c r="H39" s="1440">
        <v>0.19400000000000001</v>
      </c>
      <c r="I39" s="1440"/>
      <c r="J39" s="1440"/>
      <c r="K39" s="1440">
        <v>13</v>
      </c>
      <c r="L39" s="1440">
        <v>2.0339999999999998</v>
      </c>
      <c r="M39" s="1440"/>
      <c r="N39" s="1440"/>
      <c r="O39" s="1440" t="s">
        <v>306</v>
      </c>
      <c r="P39" s="1440">
        <v>73.966476</v>
      </c>
    </row>
    <row r="40" spans="1:16" s="1439" customFormat="1" ht="12.75" hidden="1" customHeight="1">
      <c r="A40" s="839" t="s">
        <v>19</v>
      </c>
      <c r="B40" s="1440"/>
      <c r="C40" s="1440"/>
      <c r="D40" s="1440"/>
      <c r="E40" s="1440"/>
      <c r="F40" s="1440"/>
      <c r="G40" s="1440"/>
      <c r="H40" s="1440"/>
      <c r="I40" s="1440"/>
      <c r="J40" s="1440"/>
      <c r="K40" s="1440">
        <v>13</v>
      </c>
      <c r="L40" s="1440">
        <v>5.8540000000000001</v>
      </c>
      <c r="M40" s="1440"/>
      <c r="N40" s="1440"/>
      <c r="O40" s="1440" t="s">
        <v>306</v>
      </c>
      <c r="P40" s="1440">
        <v>75.980560999999994</v>
      </c>
    </row>
    <row r="41" spans="1:16" s="1439" customFormat="1" ht="12.75" hidden="1" customHeight="1">
      <c r="A41" s="839" t="s">
        <v>20</v>
      </c>
      <c r="B41" s="1440"/>
      <c r="C41" s="1440"/>
      <c r="D41" s="1440"/>
      <c r="E41" s="1440"/>
      <c r="F41" s="1440"/>
      <c r="G41" s="1440">
        <v>4</v>
      </c>
      <c r="H41" s="1440">
        <v>0.30099999999999999</v>
      </c>
      <c r="I41" s="1440"/>
      <c r="J41" s="1440"/>
      <c r="K41" s="1440">
        <v>13</v>
      </c>
      <c r="L41" s="1440">
        <v>5.9005999999999998</v>
      </c>
      <c r="M41" s="1440"/>
      <c r="N41" s="1440"/>
      <c r="O41" s="1440" t="s">
        <v>306</v>
      </c>
      <c r="P41" s="1440">
        <v>77.579561999999996</v>
      </c>
    </row>
    <row r="42" spans="1:16" s="1439" customFormat="1" ht="12.75" hidden="1" customHeight="1">
      <c r="A42" s="839" t="s">
        <v>21</v>
      </c>
      <c r="B42" s="1440"/>
      <c r="C42" s="1440"/>
      <c r="D42" s="1440"/>
      <c r="E42" s="1440"/>
      <c r="F42" s="1440"/>
      <c r="G42" s="1440">
        <v>4</v>
      </c>
      <c r="H42" s="1440">
        <v>2.306</v>
      </c>
      <c r="I42" s="1440"/>
      <c r="J42" s="1440"/>
      <c r="K42" s="1440"/>
      <c r="L42" s="1440"/>
      <c r="M42" s="1440"/>
      <c r="N42" s="1440"/>
      <c r="O42" s="1440" t="s">
        <v>306</v>
      </c>
      <c r="P42" s="1440">
        <v>76.391778000000002</v>
      </c>
    </row>
    <row r="43" spans="1:16" s="1439" customFormat="1" ht="12.75" hidden="1" customHeight="1">
      <c r="A43" s="839" t="s">
        <v>22</v>
      </c>
      <c r="B43" s="1440"/>
      <c r="C43" s="1440"/>
      <c r="D43" s="1440"/>
      <c r="E43" s="1440"/>
      <c r="F43" s="1440"/>
      <c r="G43" s="1440">
        <v>4</v>
      </c>
      <c r="H43" s="1440">
        <v>0.3</v>
      </c>
      <c r="I43" s="1440"/>
      <c r="J43" s="1440"/>
      <c r="K43" s="1440"/>
      <c r="L43" s="1440"/>
      <c r="M43" s="1440"/>
      <c r="N43" s="1440"/>
      <c r="O43" s="1440" t="s">
        <v>306</v>
      </c>
      <c r="P43" s="1440">
        <v>80.27</v>
      </c>
    </row>
    <row r="44" spans="1:16" s="1439" customFormat="1" ht="12.75" hidden="1" customHeight="1">
      <c r="A44" s="839" t="s">
        <v>23</v>
      </c>
      <c r="B44" s="1440"/>
      <c r="C44" s="1440"/>
      <c r="D44" s="1440"/>
      <c r="E44" s="1440"/>
      <c r="F44" s="1440"/>
      <c r="G44" s="1440">
        <v>8</v>
      </c>
      <c r="H44" s="1440">
        <v>13.61</v>
      </c>
      <c r="I44" s="1440"/>
      <c r="J44" s="1440"/>
      <c r="K44" s="1440">
        <v>13</v>
      </c>
      <c r="L44" s="1440">
        <v>0.80300000000000005</v>
      </c>
      <c r="M44" s="1440"/>
      <c r="N44" s="1440"/>
      <c r="O44" s="1440" t="s">
        <v>306</v>
      </c>
      <c r="P44" s="1440">
        <v>81.23</v>
      </c>
    </row>
    <row r="45" spans="1:16" s="1439" customFormat="1" ht="12.75" hidden="1" customHeight="1">
      <c r="A45" s="839" t="s">
        <v>24</v>
      </c>
      <c r="B45" s="1440"/>
      <c r="C45" s="1440"/>
      <c r="D45" s="1440"/>
      <c r="E45" s="1440"/>
      <c r="F45" s="1440"/>
      <c r="G45" s="1440">
        <v>8</v>
      </c>
      <c r="H45" s="1440">
        <v>3.7303999999999999</v>
      </c>
      <c r="I45" s="1440"/>
      <c r="J45" s="1440"/>
      <c r="K45" s="1440"/>
      <c r="L45" s="1440"/>
      <c r="M45" s="1440"/>
      <c r="N45" s="1440"/>
      <c r="O45" s="1440" t="s">
        <v>2673</v>
      </c>
      <c r="P45" s="1440">
        <v>87.028000000000006</v>
      </c>
    </row>
    <row r="46" spans="1:16" s="1439" customFormat="1" ht="12.75" hidden="1" customHeight="1">
      <c r="A46" s="839" t="s">
        <v>25</v>
      </c>
      <c r="B46" s="1440"/>
      <c r="C46" s="1440"/>
      <c r="D46" s="1440"/>
      <c r="E46" s="1440"/>
      <c r="F46" s="1440"/>
      <c r="G46" s="1440">
        <v>8</v>
      </c>
      <c r="H46" s="1440"/>
      <c r="I46" s="1440"/>
      <c r="J46" s="1440"/>
      <c r="K46" s="1440">
        <v>16</v>
      </c>
      <c r="L46" s="1440">
        <v>2.3222</v>
      </c>
      <c r="M46" s="1440"/>
      <c r="N46" s="1440"/>
      <c r="O46" s="1440" t="s">
        <v>2673</v>
      </c>
      <c r="P46" s="1440">
        <v>84.776977000000002</v>
      </c>
    </row>
    <row r="47" spans="1:16" s="1439" customFormat="1" ht="12.75" hidden="1" customHeight="1">
      <c r="A47" s="839" t="s">
        <v>26</v>
      </c>
      <c r="B47" s="1440"/>
      <c r="C47" s="1440"/>
      <c r="D47" s="1440"/>
      <c r="E47" s="1440"/>
      <c r="F47" s="1440"/>
      <c r="G47" s="1440">
        <v>8</v>
      </c>
      <c r="H47" s="1440"/>
      <c r="I47" s="1440"/>
      <c r="J47" s="1440"/>
      <c r="K47" s="1440">
        <v>16</v>
      </c>
      <c r="L47" s="1440">
        <v>13.5314</v>
      </c>
      <c r="M47" s="1440"/>
      <c r="N47" s="1440"/>
      <c r="O47" s="1440" t="s">
        <v>2673</v>
      </c>
      <c r="P47" s="1440">
        <v>86.276977000000002</v>
      </c>
    </row>
    <row r="48" spans="1:16" s="1439" customFormat="1" ht="12.75" hidden="1" customHeight="1">
      <c r="A48" s="839" t="s">
        <v>27</v>
      </c>
      <c r="B48" s="1440"/>
      <c r="C48" s="1440"/>
      <c r="D48" s="1440"/>
      <c r="E48" s="1440"/>
      <c r="F48" s="1440"/>
      <c r="G48" s="1440">
        <v>8</v>
      </c>
      <c r="H48" s="1440">
        <v>1.2134</v>
      </c>
      <c r="I48" s="1440"/>
      <c r="J48" s="1440"/>
      <c r="K48" s="1440">
        <v>16</v>
      </c>
      <c r="L48" s="1440"/>
      <c r="M48" s="1440"/>
      <c r="N48" s="1440"/>
      <c r="O48" s="1440" t="s">
        <v>2673</v>
      </c>
      <c r="P48" s="1440">
        <v>87.225476999999998</v>
      </c>
    </row>
    <row r="49" spans="1:16" s="1439" customFormat="1" ht="12.75" hidden="1" customHeight="1">
      <c r="A49" s="839" t="s">
        <v>28</v>
      </c>
      <c r="B49" s="1440"/>
      <c r="C49" s="1440"/>
      <c r="D49" s="1440"/>
      <c r="E49" s="1440"/>
      <c r="F49" s="1440"/>
      <c r="G49" s="1440">
        <v>8</v>
      </c>
      <c r="H49" s="1440"/>
      <c r="I49" s="1440"/>
      <c r="J49" s="1440"/>
      <c r="K49" s="1440">
        <v>16</v>
      </c>
      <c r="L49" s="1440"/>
      <c r="M49" s="1440"/>
      <c r="N49" s="1440"/>
      <c r="O49" s="1440" t="s">
        <v>2673</v>
      </c>
      <c r="P49" s="1440">
        <v>91.025999999999996</v>
      </c>
    </row>
    <row r="50" spans="1:16" s="1439" customFormat="1" ht="12.75" hidden="1" customHeight="1">
      <c r="A50" s="839" t="s">
        <v>29</v>
      </c>
      <c r="B50" s="1440"/>
      <c r="C50" s="1440"/>
      <c r="D50" s="1440"/>
      <c r="E50" s="1440"/>
      <c r="F50" s="1440"/>
      <c r="G50" s="1440">
        <v>8</v>
      </c>
      <c r="H50" s="1440"/>
      <c r="I50" s="1442"/>
      <c r="J50" s="1440"/>
      <c r="K50" s="1442">
        <v>16</v>
      </c>
      <c r="L50" s="1440">
        <v>9.0250000000000004</v>
      </c>
      <c r="M50" s="1442"/>
      <c r="N50" s="1440"/>
      <c r="O50" s="1440" t="s">
        <v>2673</v>
      </c>
      <c r="P50" s="1440">
        <v>92.86</v>
      </c>
    </row>
    <row r="51" spans="1:16" s="1439" customFormat="1" ht="12.75" hidden="1" customHeight="1">
      <c r="A51" s="1443"/>
      <c r="B51" s="1440"/>
      <c r="C51" s="1440"/>
      <c r="D51" s="1440"/>
      <c r="E51" s="1440"/>
      <c r="F51" s="1440"/>
      <c r="G51" s="1440"/>
      <c r="H51" s="1440"/>
      <c r="I51" s="1442"/>
      <c r="J51" s="1440"/>
      <c r="K51" s="1442"/>
      <c r="L51" s="1440"/>
      <c r="M51" s="1442"/>
      <c r="N51" s="1440"/>
      <c r="O51" s="1440"/>
      <c r="P51" s="1440"/>
    </row>
    <row r="52" spans="1:16" s="1439" customFormat="1" ht="12.75" hidden="1" customHeight="1">
      <c r="A52" s="1443">
        <v>2007</v>
      </c>
      <c r="B52" s="1440">
        <v>10.56</v>
      </c>
      <c r="C52" s="1440"/>
      <c r="D52" s="1440"/>
      <c r="E52" s="1440"/>
      <c r="F52" s="1440">
        <v>253.16360000000014</v>
      </c>
      <c r="G52" s="1440"/>
      <c r="H52" s="1440"/>
      <c r="I52" s="1442"/>
      <c r="J52" s="1440"/>
      <c r="K52" s="1442"/>
      <c r="L52" s="1440"/>
      <c r="M52" s="1442"/>
      <c r="N52" s="1440"/>
      <c r="O52" s="1440"/>
      <c r="P52" s="1440"/>
    </row>
    <row r="53" spans="1:16" s="1439" customFormat="1" ht="12.75" hidden="1" customHeight="1">
      <c r="A53" s="839" t="s">
        <v>18</v>
      </c>
      <c r="B53" s="1440">
        <v>11.02</v>
      </c>
      <c r="C53" s="1440"/>
      <c r="D53" s="1440"/>
      <c r="E53" s="1440"/>
      <c r="F53" s="1440">
        <v>106.9374</v>
      </c>
      <c r="G53" s="1440">
        <v>8</v>
      </c>
      <c r="H53" s="1440">
        <v>3.0131999999999999</v>
      </c>
      <c r="I53" s="1442"/>
      <c r="J53" s="1440"/>
      <c r="K53" s="1442">
        <v>16</v>
      </c>
      <c r="L53" s="1440">
        <v>10.247400000000001</v>
      </c>
      <c r="M53" s="1442"/>
      <c r="N53" s="1440"/>
      <c r="O53" s="1440">
        <v>9.5</v>
      </c>
      <c r="P53" s="1440">
        <v>94.697299999999998</v>
      </c>
    </row>
    <row r="54" spans="1:16" s="1439" customFormat="1" ht="12.75" hidden="1" customHeight="1">
      <c r="A54" s="839" t="s">
        <v>19</v>
      </c>
      <c r="B54" s="1440">
        <v>10.63</v>
      </c>
      <c r="C54" s="1440"/>
      <c r="D54" s="1440"/>
      <c r="E54" s="1440"/>
      <c r="F54" s="1440">
        <v>88.1858</v>
      </c>
      <c r="G54" s="1440">
        <v>8</v>
      </c>
      <c r="H54" s="1440"/>
      <c r="I54" s="1442"/>
      <c r="J54" s="1440"/>
      <c r="K54" s="1442">
        <v>16</v>
      </c>
      <c r="L54" s="1440">
        <v>16.167200000000001</v>
      </c>
      <c r="M54" s="1442"/>
      <c r="N54" s="1440"/>
      <c r="O54" s="1440" t="s">
        <v>2673</v>
      </c>
      <c r="P54" s="1440">
        <v>89.359256999999999</v>
      </c>
    </row>
    <row r="55" spans="1:16" s="1439" customFormat="1" ht="12.75" hidden="1" customHeight="1">
      <c r="A55" s="1443" t="s">
        <v>20</v>
      </c>
      <c r="B55" s="1440">
        <v>10.5</v>
      </c>
      <c r="C55" s="1440"/>
      <c r="D55" s="1440"/>
      <c r="E55" s="1440"/>
      <c r="F55" s="1440">
        <v>85.466800000000006</v>
      </c>
      <c r="G55" s="1440">
        <v>8</v>
      </c>
      <c r="H55" s="1440"/>
      <c r="I55" s="1442"/>
      <c r="J55" s="1440"/>
      <c r="K55" s="1442">
        <v>16</v>
      </c>
      <c r="L55" s="1440">
        <v>11.039400000000001</v>
      </c>
      <c r="M55" s="1442"/>
      <c r="N55" s="1440"/>
      <c r="O55" s="1440" t="s">
        <v>2673</v>
      </c>
      <c r="P55" s="1440">
        <v>96.775000000000006</v>
      </c>
    </row>
    <row r="56" spans="1:16" s="1439" customFormat="1" ht="12.75" hidden="1" customHeight="1">
      <c r="A56" s="1443" t="s">
        <v>21</v>
      </c>
      <c r="B56" s="1440">
        <v>11.02</v>
      </c>
      <c r="C56" s="1440"/>
      <c r="D56" s="1440"/>
      <c r="E56" s="1440"/>
      <c r="F56" s="1440">
        <v>103.29060000000001</v>
      </c>
      <c r="G56" s="1440"/>
      <c r="H56" s="1440"/>
      <c r="I56" s="1442"/>
      <c r="J56" s="1440"/>
      <c r="K56" s="1442">
        <v>19</v>
      </c>
      <c r="L56" s="1440"/>
      <c r="M56" s="1442"/>
      <c r="N56" s="1440"/>
      <c r="O56" s="1440" t="s">
        <v>29</v>
      </c>
      <c r="P56" s="1440">
        <v>99.6</v>
      </c>
    </row>
    <row r="57" spans="1:16" s="1439" customFormat="1" ht="12.75" hidden="1" customHeight="1">
      <c r="A57" s="1443" t="s">
        <v>22</v>
      </c>
      <c r="B57" s="1440">
        <v>11.41</v>
      </c>
      <c r="C57" s="1440"/>
      <c r="D57" s="1440"/>
      <c r="E57" s="1440"/>
      <c r="F57" s="1440">
        <v>154.28440000000006</v>
      </c>
      <c r="G57" s="1440"/>
      <c r="H57" s="1440"/>
      <c r="I57" s="1442"/>
      <c r="J57" s="1440"/>
      <c r="K57" s="1442">
        <v>19</v>
      </c>
      <c r="L57" s="1440"/>
      <c r="M57" s="1442"/>
      <c r="N57" s="1440"/>
      <c r="O57" s="1440" t="s">
        <v>29</v>
      </c>
      <c r="P57" s="1440">
        <v>103.13</v>
      </c>
    </row>
    <row r="58" spans="1:16" s="1439" customFormat="1" ht="12.75" hidden="1" customHeight="1">
      <c r="A58" s="1443" t="s">
        <v>23</v>
      </c>
      <c r="B58" s="1440">
        <v>11.68</v>
      </c>
      <c r="C58" s="1440"/>
      <c r="D58" s="1440"/>
      <c r="E58" s="1440"/>
      <c r="F58" s="1440">
        <v>125.74420000000008</v>
      </c>
      <c r="G58" s="1440"/>
      <c r="H58" s="1440"/>
      <c r="I58" s="1442"/>
      <c r="J58" s="1440"/>
      <c r="K58" s="1442">
        <v>19</v>
      </c>
      <c r="L58" s="1440"/>
      <c r="M58" s="1442"/>
      <c r="N58" s="1440"/>
      <c r="O58" s="1440" t="s">
        <v>2674</v>
      </c>
      <c r="P58" s="1440">
        <v>100.58199999999999</v>
      </c>
    </row>
    <row r="59" spans="1:16" s="1439" customFormat="1" ht="12.75" hidden="1" customHeight="1">
      <c r="A59" s="1443" t="s">
        <v>24</v>
      </c>
      <c r="B59" s="1440">
        <v>11.15</v>
      </c>
      <c r="C59" s="1440"/>
      <c r="D59" s="1440"/>
      <c r="E59" s="1440"/>
      <c r="F59" s="1440">
        <v>180.47440000000009</v>
      </c>
      <c r="G59" s="1440"/>
      <c r="H59" s="1440"/>
      <c r="I59" s="1442"/>
      <c r="J59" s="1440"/>
      <c r="K59" s="1442">
        <v>19</v>
      </c>
      <c r="L59" s="1440"/>
      <c r="M59" s="1442"/>
      <c r="N59" s="1440"/>
      <c r="O59" s="1440" t="s">
        <v>2674</v>
      </c>
      <c r="P59" s="1440">
        <v>90.66</v>
      </c>
    </row>
    <row r="60" spans="1:16" s="1439" customFormat="1" ht="12.75" hidden="1" customHeight="1">
      <c r="A60" s="1443" t="s">
        <v>25</v>
      </c>
      <c r="B60" s="1440">
        <v>6.33</v>
      </c>
      <c r="C60" s="1440"/>
      <c r="D60" s="1440"/>
      <c r="E60" s="1440"/>
      <c r="F60" s="1440">
        <v>162.07280000000009</v>
      </c>
      <c r="G60" s="1440"/>
      <c r="H60" s="1440"/>
      <c r="I60" s="1442"/>
      <c r="J60" s="1440"/>
      <c r="K60" s="1442">
        <v>19</v>
      </c>
      <c r="L60" s="1440"/>
      <c r="M60" s="1442"/>
      <c r="N60" s="1440"/>
      <c r="O60" s="1440" t="s">
        <v>2674</v>
      </c>
      <c r="P60" s="1440">
        <v>91.88</v>
      </c>
    </row>
    <row r="61" spans="1:16" s="1439" customFormat="1" ht="12.75" hidden="1" customHeight="1">
      <c r="A61" s="1443" t="s">
        <v>26</v>
      </c>
      <c r="B61" s="1440">
        <v>6.2</v>
      </c>
      <c r="C61" s="1440"/>
      <c r="D61" s="1440"/>
      <c r="E61" s="1440"/>
      <c r="F61" s="1440">
        <v>176.3386000000001</v>
      </c>
      <c r="G61" s="1440"/>
      <c r="H61" s="1440"/>
      <c r="I61" s="1442"/>
      <c r="J61" s="1440"/>
      <c r="K61" s="1442">
        <v>19</v>
      </c>
      <c r="L61" s="1440"/>
      <c r="M61" s="1442"/>
      <c r="N61" s="1440"/>
      <c r="O61" s="1440" t="s">
        <v>2674</v>
      </c>
      <c r="P61" s="1440">
        <v>92.88</v>
      </c>
    </row>
    <row r="62" spans="1:16" s="1439" customFormat="1" ht="12.75" hidden="1" customHeight="1">
      <c r="A62" s="1443" t="s">
        <v>27</v>
      </c>
      <c r="B62" s="1440">
        <v>6.59</v>
      </c>
      <c r="C62" s="1440"/>
      <c r="D62" s="1440"/>
      <c r="E62" s="1440"/>
      <c r="F62" s="1440">
        <v>187.70280000000011</v>
      </c>
      <c r="G62" s="1440"/>
      <c r="H62" s="1440"/>
      <c r="I62" s="1442"/>
      <c r="J62" s="1440"/>
      <c r="K62" s="1442">
        <v>19</v>
      </c>
      <c r="L62" s="1440"/>
      <c r="M62" s="1442"/>
      <c r="N62" s="1440"/>
      <c r="O62" s="1440" t="s">
        <v>2674</v>
      </c>
      <c r="P62" s="1440">
        <v>92.14</v>
      </c>
    </row>
    <row r="63" spans="1:16" s="1439" customFormat="1" ht="12.75" hidden="1" customHeight="1">
      <c r="A63" s="1443" t="s">
        <v>28</v>
      </c>
      <c r="B63" s="1440">
        <v>10.5</v>
      </c>
      <c r="C63" s="1440"/>
      <c r="D63" s="1440"/>
      <c r="E63" s="1440"/>
      <c r="F63" s="1440">
        <v>165.92480000000015</v>
      </c>
      <c r="G63" s="1440"/>
      <c r="H63" s="1440"/>
      <c r="I63" s="1442"/>
      <c r="J63" s="1440"/>
      <c r="K63" s="1442">
        <v>19</v>
      </c>
      <c r="L63" s="1440"/>
      <c r="M63" s="1442"/>
      <c r="N63" s="1440"/>
      <c r="O63" s="1440" t="s">
        <v>2674</v>
      </c>
      <c r="P63" s="1440">
        <v>90.65</v>
      </c>
    </row>
    <row r="64" spans="1:16" s="1439" customFormat="1" ht="12.75" hidden="1" customHeight="1">
      <c r="A64" s="1443" t="s">
        <v>29</v>
      </c>
      <c r="B64" s="1440">
        <v>10.56</v>
      </c>
      <c r="C64" s="1440"/>
      <c r="D64" s="1440"/>
      <c r="E64" s="1440"/>
      <c r="F64" s="1440">
        <v>253.16360000000014</v>
      </c>
      <c r="G64" s="1440"/>
      <c r="H64" s="1440"/>
      <c r="I64" s="1442"/>
      <c r="J64" s="1440"/>
      <c r="K64" s="1442">
        <v>19</v>
      </c>
      <c r="L64" s="1440"/>
      <c r="M64" s="1442"/>
      <c r="N64" s="1440"/>
      <c r="O64" s="1440" t="s">
        <v>2674</v>
      </c>
      <c r="P64" s="1440">
        <v>95.27</v>
      </c>
    </row>
    <row r="65" spans="1:20" s="1439" customFormat="1" ht="12.75" hidden="1" customHeight="1">
      <c r="A65" s="1443"/>
      <c r="B65" s="1440"/>
      <c r="C65" s="1440"/>
      <c r="D65" s="1440"/>
      <c r="E65" s="1440"/>
      <c r="F65" s="1440"/>
      <c r="G65" s="1440"/>
      <c r="H65" s="1440"/>
      <c r="I65" s="1442"/>
      <c r="J65" s="1440"/>
      <c r="K65" s="1442"/>
      <c r="L65" s="1440"/>
      <c r="M65" s="1442"/>
      <c r="N65" s="1440"/>
      <c r="O65" s="1440"/>
      <c r="P65" s="1440"/>
    </row>
    <row r="66" spans="1:20" s="1439" customFormat="1" ht="12.75" hidden="1" customHeight="1">
      <c r="A66" s="1443" t="s">
        <v>114</v>
      </c>
      <c r="B66" s="1440"/>
      <c r="C66" s="1440"/>
      <c r="D66" s="1440"/>
      <c r="E66" s="1440"/>
      <c r="F66" s="1440"/>
      <c r="G66" s="1440"/>
      <c r="H66" s="1440"/>
      <c r="I66" s="1442"/>
      <c r="J66" s="1440"/>
      <c r="K66" s="1442"/>
      <c r="L66" s="1440"/>
      <c r="M66" s="1442"/>
      <c r="N66" s="1440"/>
      <c r="O66" s="1440"/>
      <c r="P66" s="1440"/>
    </row>
    <row r="67" spans="1:20" s="1439" customFormat="1" ht="12.75" hidden="1" customHeight="1">
      <c r="A67" s="1443" t="s">
        <v>18</v>
      </c>
      <c r="B67" s="1440">
        <v>10.76</v>
      </c>
      <c r="C67" s="1440"/>
      <c r="D67" s="1440"/>
      <c r="E67" s="1440"/>
      <c r="F67" s="1440">
        <v>212.74760000000018</v>
      </c>
      <c r="G67" s="1440"/>
      <c r="H67" s="1440"/>
      <c r="I67" s="1442"/>
      <c r="J67" s="1440"/>
      <c r="K67" s="1442">
        <v>19</v>
      </c>
      <c r="L67" s="1440"/>
      <c r="M67" s="1442"/>
      <c r="N67" s="1440"/>
      <c r="O67" s="1440" t="s">
        <v>2674</v>
      </c>
      <c r="P67" s="1440">
        <v>95.27</v>
      </c>
    </row>
    <row r="68" spans="1:20" s="1439" customFormat="1" ht="12.75" hidden="1" customHeight="1">
      <c r="A68" s="1443" t="s">
        <v>19</v>
      </c>
      <c r="B68" s="1440">
        <v>9.32</v>
      </c>
      <c r="C68" s="1440"/>
      <c r="D68" s="1440"/>
      <c r="E68" s="1440"/>
      <c r="F68" s="1440">
        <v>150.67300000000023</v>
      </c>
      <c r="G68" s="1440"/>
      <c r="H68" s="1440"/>
      <c r="I68" s="1442"/>
      <c r="J68" s="1440"/>
      <c r="K68" s="1442">
        <v>19</v>
      </c>
      <c r="L68" s="1440"/>
      <c r="M68" s="1442"/>
      <c r="N68" s="1440"/>
      <c r="O68" s="1440" t="s">
        <v>2674</v>
      </c>
      <c r="P68" s="1440">
        <v>95.47</v>
      </c>
    </row>
    <row r="69" spans="1:20" s="1439" customFormat="1" ht="12.75" hidden="1" customHeight="1">
      <c r="A69" s="1443" t="s">
        <v>20</v>
      </c>
      <c r="B69" s="1440">
        <v>9.2799999999999994</v>
      </c>
      <c r="C69" s="1440"/>
      <c r="D69" s="1440"/>
      <c r="E69" s="1440"/>
      <c r="F69" s="1440">
        <v>168.13980000000004</v>
      </c>
      <c r="G69" s="1440"/>
      <c r="H69" s="1440"/>
      <c r="I69" s="1442"/>
      <c r="J69" s="1440"/>
      <c r="K69" s="1442">
        <v>19</v>
      </c>
      <c r="L69" s="1440"/>
      <c r="M69" s="1442"/>
      <c r="N69" s="1440"/>
      <c r="O69" s="1440" t="s">
        <v>2674</v>
      </c>
      <c r="P69" s="1440">
        <v>95.07</v>
      </c>
    </row>
    <row r="70" spans="1:20" s="1439" customFormat="1" ht="12.75" hidden="1" customHeight="1">
      <c r="A70" s="1443" t="s">
        <v>21</v>
      </c>
      <c r="B70" s="1440">
        <v>10.26</v>
      </c>
      <c r="C70" s="1440"/>
      <c r="D70" s="1440"/>
      <c r="E70" s="1440"/>
      <c r="F70" s="1440">
        <v>142.84739999999999</v>
      </c>
      <c r="G70" s="1440"/>
      <c r="H70" s="1440"/>
      <c r="I70" s="1442"/>
      <c r="J70" s="1440"/>
      <c r="K70" s="1442">
        <v>20</v>
      </c>
      <c r="L70" s="1440"/>
      <c r="M70" s="1442"/>
      <c r="N70" s="1440"/>
      <c r="O70" s="1440" t="s">
        <v>2675</v>
      </c>
      <c r="P70" s="1440">
        <v>96.06</v>
      </c>
    </row>
    <row r="71" spans="1:20" s="1439" customFormat="1" ht="12.75" hidden="1" customHeight="1">
      <c r="A71" s="1443" t="s">
        <v>22</v>
      </c>
      <c r="B71" s="1440">
        <v>10.08</v>
      </c>
      <c r="C71" s="1440"/>
      <c r="D71" s="1440"/>
      <c r="E71" s="1440"/>
      <c r="F71" s="1440">
        <v>96.531000000000034</v>
      </c>
      <c r="G71" s="1440"/>
      <c r="H71" s="1440"/>
      <c r="I71" s="1442"/>
      <c r="J71" s="1440"/>
      <c r="K71" s="1442">
        <v>20</v>
      </c>
      <c r="L71" s="1440"/>
      <c r="M71" s="1442"/>
      <c r="N71" s="1440"/>
      <c r="O71" s="1440" t="s">
        <v>2675</v>
      </c>
      <c r="P71" s="1440">
        <v>97.165000000000006</v>
      </c>
    </row>
    <row r="72" spans="1:20" s="1441" customFormat="1" ht="12.75" hidden="1" customHeight="1">
      <c r="A72" s="1443" t="s">
        <v>23</v>
      </c>
      <c r="B72" s="1440">
        <v>9.4499999999999993</v>
      </c>
      <c r="C72" s="1440"/>
      <c r="D72" s="1440"/>
      <c r="E72" s="1440"/>
      <c r="F72" s="1440">
        <v>100.17520000000003</v>
      </c>
      <c r="G72" s="1440"/>
      <c r="H72" s="1440"/>
      <c r="I72" s="1442"/>
      <c r="J72" s="1440"/>
      <c r="K72" s="1442">
        <v>20</v>
      </c>
      <c r="L72" s="1440"/>
      <c r="M72" s="1442"/>
      <c r="N72" s="1440"/>
      <c r="O72" s="1440" t="s">
        <v>2676</v>
      </c>
      <c r="P72" s="1440">
        <v>100.9</v>
      </c>
      <c r="Q72" s="1439"/>
      <c r="R72" s="1439"/>
      <c r="S72" s="1439"/>
      <c r="T72" s="1439"/>
    </row>
    <row r="73" spans="1:20" s="1439" customFormat="1" ht="12.75" hidden="1" customHeight="1">
      <c r="A73" s="1443" t="s">
        <v>24</v>
      </c>
      <c r="B73" s="1440">
        <v>10.89</v>
      </c>
      <c r="C73" s="1440"/>
      <c r="D73" s="1440"/>
      <c r="E73" s="1440"/>
      <c r="F73" s="1440">
        <v>95.363200000000049</v>
      </c>
      <c r="G73" s="1440"/>
      <c r="H73" s="1440"/>
      <c r="I73" s="1442"/>
      <c r="J73" s="1440"/>
      <c r="K73" s="1442">
        <v>20</v>
      </c>
      <c r="L73" s="1440"/>
      <c r="M73" s="1442"/>
      <c r="N73" s="1440"/>
      <c r="O73" s="1440" t="s">
        <v>2676</v>
      </c>
      <c r="P73" s="1440">
        <v>106.676</v>
      </c>
    </row>
    <row r="74" spans="1:20" s="1441" customFormat="1" ht="12.75" hidden="1" customHeight="1">
      <c r="A74" s="1443" t="s">
        <v>25</v>
      </c>
      <c r="B74" s="1440">
        <v>11.41</v>
      </c>
      <c r="C74" s="1440"/>
      <c r="D74" s="1440"/>
      <c r="E74" s="1440"/>
      <c r="F74" s="1440">
        <v>35.766600000000061</v>
      </c>
      <c r="G74" s="1440"/>
      <c r="H74" s="1440"/>
      <c r="I74" s="1442"/>
      <c r="J74" s="1440"/>
      <c r="K74" s="1442">
        <v>20</v>
      </c>
      <c r="L74" s="1440"/>
      <c r="M74" s="1442"/>
      <c r="N74" s="1440"/>
      <c r="O74" s="1440" t="s">
        <v>2676</v>
      </c>
      <c r="P74" s="1440">
        <v>114.6</v>
      </c>
      <c r="Q74" s="1439"/>
      <c r="R74" s="1439"/>
      <c r="S74" s="1439"/>
      <c r="T74" s="1439"/>
    </row>
    <row r="75" spans="1:20" s="1439" customFormat="1" ht="12.75" hidden="1" customHeight="1">
      <c r="A75" s="1443" t="s">
        <v>26</v>
      </c>
      <c r="B75" s="1440">
        <v>9.4499999999999993</v>
      </c>
      <c r="C75" s="1440"/>
      <c r="D75" s="1440"/>
      <c r="E75" s="1440"/>
      <c r="F75" s="1440">
        <v>80.504000000000005</v>
      </c>
      <c r="G75" s="1440"/>
      <c r="H75" s="1440"/>
      <c r="I75" s="1442"/>
      <c r="J75" s="1440"/>
      <c r="K75" s="1442">
        <v>20</v>
      </c>
      <c r="L75" s="1440"/>
      <c r="M75" s="1442"/>
      <c r="N75" s="1440"/>
      <c r="O75" s="1440" t="s">
        <v>2676</v>
      </c>
      <c r="P75" s="1440">
        <v>118.58</v>
      </c>
    </row>
    <row r="76" spans="1:20" s="1441" customFormat="1" ht="12.75" hidden="1" customHeight="1">
      <c r="A76" s="1443" t="s">
        <v>27</v>
      </c>
      <c r="B76" s="1440">
        <v>6.33</v>
      </c>
      <c r="C76" s="1440"/>
      <c r="D76" s="1440"/>
      <c r="E76" s="1440"/>
      <c r="F76" s="1440">
        <v>100</v>
      </c>
      <c r="G76" s="1440"/>
      <c r="H76" s="1440"/>
      <c r="I76" s="1442"/>
      <c r="J76" s="1440"/>
      <c r="K76" s="1442">
        <v>20</v>
      </c>
      <c r="L76" s="1440"/>
      <c r="M76" s="1442"/>
      <c r="N76" s="1440"/>
      <c r="O76" s="1440" t="s">
        <v>29</v>
      </c>
      <c r="P76" s="1440">
        <v>124.2</v>
      </c>
      <c r="Q76" s="1439"/>
      <c r="R76" s="1439"/>
      <c r="S76" s="1439"/>
      <c r="T76" s="1439"/>
    </row>
    <row r="77" spans="1:20" s="1439" customFormat="1" ht="12.75" hidden="1" customHeight="1">
      <c r="A77" s="1443" t="s">
        <v>28</v>
      </c>
      <c r="B77" s="1440">
        <v>5.42</v>
      </c>
      <c r="C77" s="1440"/>
      <c r="D77" s="1440"/>
      <c r="E77" s="1440"/>
      <c r="F77" s="1440">
        <v>125</v>
      </c>
      <c r="G77" s="1440"/>
      <c r="H77" s="1440"/>
      <c r="I77" s="1442"/>
      <c r="J77" s="1440"/>
      <c r="K77" s="1442">
        <v>15</v>
      </c>
      <c r="L77" s="1440"/>
      <c r="M77" s="1442"/>
      <c r="N77" s="1440"/>
      <c r="O77" s="1440" t="s">
        <v>27</v>
      </c>
      <c r="P77" s="1440">
        <v>178.4</v>
      </c>
    </row>
    <row r="78" spans="1:20" s="1441" customFormat="1" ht="12.75" hidden="1" customHeight="1">
      <c r="A78" s="1443" t="s">
        <v>29</v>
      </c>
      <c r="B78" s="1440">
        <v>4.74</v>
      </c>
      <c r="C78" s="1440"/>
      <c r="D78" s="1440"/>
      <c r="E78" s="1440"/>
      <c r="F78" s="1440">
        <v>180.01</v>
      </c>
      <c r="G78" s="1440"/>
      <c r="H78" s="1440"/>
      <c r="I78" s="1442"/>
      <c r="J78" s="1440"/>
      <c r="K78" s="1442">
        <v>13</v>
      </c>
      <c r="L78" s="1440"/>
      <c r="M78" s="1442"/>
      <c r="N78" s="1440"/>
      <c r="O78" s="1440" t="s">
        <v>308</v>
      </c>
      <c r="P78" s="1440">
        <v>229</v>
      </c>
      <c r="Q78" s="1439"/>
      <c r="R78" s="1439"/>
      <c r="S78" s="1439"/>
      <c r="T78" s="1439"/>
    </row>
    <row r="79" spans="1:20" s="1439" customFormat="1" ht="12.75" hidden="1" customHeight="1">
      <c r="A79" s="1443" t="s">
        <v>43</v>
      </c>
      <c r="B79" s="1440"/>
      <c r="C79" s="1440"/>
      <c r="D79" s="1440"/>
      <c r="E79" s="1440"/>
      <c r="F79" s="1440"/>
      <c r="G79" s="1440"/>
      <c r="H79" s="1440"/>
      <c r="I79" s="1442"/>
      <c r="J79" s="1440"/>
      <c r="K79" s="1442"/>
      <c r="L79" s="1440"/>
      <c r="M79" s="1442"/>
      <c r="N79" s="1440"/>
      <c r="O79" s="1440"/>
      <c r="P79" s="1440"/>
    </row>
    <row r="80" spans="1:20" s="1441" customFormat="1" ht="12.75" hidden="1" customHeight="1">
      <c r="A80" s="1443" t="s">
        <v>18</v>
      </c>
      <c r="B80" s="1440">
        <v>3.87</v>
      </c>
      <c r="C80" s="1440"/>
      <c r="D80" s="1440"/>
      <c r="E80" s="1440"/>
      <c r="F80" s="1440">
        <v>133.57</v>
      </c>
      <c r="G80" s="1440"/>
      <c r="H80" s="1440"/>
      <c r="I80" s="1442"/>
      <c r="J80" s="1440"/>
      <c r="K80" s="1442">
        <v>10</v>
      </c>
      <c r="L80" s="1440"/>
      <c r="M80" s="1442"/>
      <c r="N80" s="1440"/>
      <c r="O80" s="1440" t="s">
        <v>308</v>
      </c>
      <c r="P80" s="1440">
        <v>228.15</v>
      </c>
      <c r="Q80" s="1439"/>
      <c r="R80" s="1439"/>
      <c r="S80" s="1439"/>
      <c r="T80" s="1439"/>
    </row>
    <row r="81" spans="1:20" s="1439" customFormat="1" ht="12.75" hidden="1" customHeight="1">
      <c r="A81" s="1443" t="s">
        <v>19</v>
      </c>
      <c r="B81" s="1440">
        <v>4.5199999999999996</v>
      </c>
      <c r="C81" s="1440"/>
      <c r="D81" s="1440"/>
      <c r="E81" s="1440"/>
      <c r="F81" s="1440">
        <v>42.058</v>
      </c>
      <c r="G81" s="1440"/>
      <c r="H81" s="1440"/>
      <c r="I81" s="1442"/>
      <c r="J81" s="1440"/>
      <c r="K81" s="1442">
        <v>8</v>
      </c>
      <c r="L81" s="1440"/>
      <c r="M81" s="1442"/>
      <c r="N81" s="1440"/>
      <c r="O81" s="1440" t="s">
        <v>309</v>
      </c>
      <c r="P81" s="1440">
        <v>238.74</v>
      </c>
    </row>
    <row r="82" spans="1:20" s="1441" customFormat="1" ht="12.75" hidden="1" customHeight="1">
      <c r="A82" s="1443" t="s">
        <v>20</v>
      </c>
      <c r="B82" s="1440">
        <v>2.61</v>
      </c>
      <c r="C82" s="1440"/>
      <c r="D82" s="1440"/>
      <c r="E82" s="1440"/>
      <c r="F82" s="1440">
        <v>31.81</v>
      </c>
      <c r="G82" s="1440"/>
      <c r="H82" s="1440"/>
      <c r="I82" s="1442"/>
      <c r="J82" s="1440"/>
      <c r="K82" s="1442">
        <v>8</v>
      </c>
      <c r="L82" s="1440"/>
      <c r="M82" s="1442"/>
      <c r="N82" s="1440"/>
      <c r="O82" s="1440" t="s">
        <v>310</v>
      </c>
      <c r="P82" s="1440">
        <v>249.96</v>
      </c>
      <c r="Q82" s="1439"/>
      <c r="R82" s="1439"/>
      <c r="S82" s="1439"/>
      <c r="T82" s="1439"/>
    </row>
    <row r="83" spans="1:20" s="1439" customFormat="1" ht="12.75" hidden="1" customHeight="1">
      <c r="A83" s="1443" t="s">
        <v>21</v>
      </c>
      <c r="B83" s="1440">
        <v>2.3199999999999998</v>
      </c>
      <c r="C83" s="1440"/>
      <c r="D83" s="1440"/>
      <c r="E83" s="1440"/>
      <c r="F83" s="1440">
        <v>19</v>
      </c>
      <c r="G83" s="1440"/>
      <c r="H83" s="1440"/>
      <c r="I83" s="1442"/>
      <c r="J83" s="1440"/>
      <c r="K83" s="1442">
        <v>8</v>
      </c>
      <c r="L83" s="1440"/>
      <c r="M83" s="1442"/>
      <c r="N83" s="1440"/>
      <c r="O83" s="1440" t="s">
        <v>310</v>
      </c>
      <c r="P83" s="1440">
        <v>347.09</v>
      </c>
    </row>
    <row r="84" spans="1:20" s="1441" customFormat="1" ht="12.75" hidden="1" customHeight="1">
      <c r="A84" s="1443" t="s">
        <v>22</v>
      </c>
      <c r="B84" s="1440">
        <v>1.29</v>
      </c>
      <c r="C84" s="1440"/>
      <c r="D84" s="1440"/>
      <c r="E84" s="1440"/>
      <c r="F84" s="1440">
        <v>16</v>
      </c>
      <c r="G84" s="1440"/>
      <c r="H84" s="1440"/>
      <c r="I84" s="1442"/>
      <c r="J84" s="1440"/>
      <c r="K84" s="1442">
        <v>7</v>
      </c>
      <c r="L84" s="1440"/>
      <c r="M84" s="1442"/>
      <c r="N84" s="1440"/>
      <c r="O84" s="1440" t="s">
        <v>311</v>
      </c>
      <c r="P84" s="1440">
        <v>372.97</v>
      </c>
      <c r="Q84" s="1439"/>
      <c r="R84" s="1439"/>
      <c r="S84" s="1439"/>
      <c r="T84" s="1439"/>
    </row>
    <row r="85" spans="1:20" s="1439" customFormat="1" ht="12.75" hidden="1" customHeight="1">
      <c r="A85" s="1443" t="s">
        <v>23</v>
      </c>
      <c r="B85" s="1440">
        <v>1.1599999999999999</v>
      </c>
      <c r="C85" s="1440"/>
      <c r="D85" s="1440"/>
      <c r="E85" s="1440"/>
      <c r="F85" s="1440">
        <v>16</v>
      </c>
      <c r="G85" s="1440"/>
      <c r="H85" s="1440"/>
      <c r="I85" s="1442"/>
      <c r="J85" s="1440"/>
      <c r="K85" s="1442">
        <v>7</v>
      </c>
      <c r="L85" s="1440"/>
      <c r="M85" s="1442"/>
      <c r="N85" s="1440"/>
      <c r="O85" s="1440" t="s">
        <v>311</v>
      </c>
      <c r="P85" s="1440">
        <v>399.47</v>
      </c>
    </row>
    <row r="86" spans="1:20" s="1441" customFormat="1" ht="12.75" hidden="1" customHeight="1">
      <c r="A86" s="1443" t="s">
        <v>24</v>
      </c>
      <c r="B86" s="1440">
        <v>1.03</v>
      </c>
      <c r="C86" s="1440"/>
      <c r="D86" s="1440"/>
      <c r="E86" s="1440"/>
      <c r="F86" s="1440">
        <v>14</v>
      </c>
      <c r="G86" s="1440"/>
      <c r="H86" s="1440"/>
      <c r="I86" s="1442"/>
      <c r="J86" s="1440"/>
      <c r="K86" s="1442">
        <v>7</v>
      </c>
      <c r="L86" s="1440"/>
      <c r="M86" s="1442"/>
      <c r="N86" s="1440"/>
      <c r="O86" s="1440" t="s">
        <v>311</v>
      </c>
      <c r="P86" s="1440">
        <v>780.66</v>
      </c>
      <c r="Q86" s="1439"/>
      <c r="R86" s="1439"/>
      <c r="S86" s="1439"/>
      <c r="T86" s="1439"/>
    </row>
    <row r="87" spans="1:20" s="1439" customFormat="1" ht="12.75" hidden="1" customHeight="1">
      <c r="A87" s="1443" t="s">
        <v>25</v>
      </c>
      <c r="B87" s="1440">
        <v>1</v>
      </c>
      <c r="C87" s="1440"/>
      <c r="D87" s="1440"/>
      <c r="E87" s="1440"/>
      <c r="F87" s="1440">
        <v>14</v>
      </c>
      <c r="G87" s="1440"/>
      <c r="H87" s="1440"/>
      <c r="I87" s="1442"/>
      <c r="J87" s="1440"/>
      <c r="K87" s="1442">
        <v>7</v>
      </c>
      <c r="L87" s="1440"/>
      <c r="M87" s="1442"/>
      <c r="N87" s="1440"/>
      <c r="O87" s="1440" t="s">
        <v>311</v>
      </c>
      <c r="P87" s="1440">
        <v>1128.51</v>
      </c>
    </row>
    <row r="88" spans="1:20" s="1441" customFormat="1" ht="12.75" hidden="1" customHeight="1">
      <c r="A88" s="1443" t="s">
        <v>26</v>
      </c>
      <c r="B88" s="1440">
        <v>1</v>
      </c>
      <c r="C88" s="1440"/>
      <c r="D88" s="1440"/>
      <c r="E88" s="1440"/>
      <c r="F88" s="1440">
        <v>15</v>
      </c>
      <c r="G88" s="1440"/>
      <c r="H88" s="1440"/>
      <c r="I88" s="1442"/>
      <c r="J88" s="1440"/>
      <c r="K88" s="1442">
        <v>7</v>
      </c>
      <c r="L88" s="1440"/>
      <c r="M88" s="1442"/>
      <c r="N88" s="1440"/>
      <c r="O88" s="1440" t="s">
        <v>311</v>
      </c>
      <c r="P88" s="1440">
        <v>1139.7</v>
      </c>
      <c r="Q88" s="1439"/>
      <c r="R88" s="1439"/>
      <c r="S88" s="1439"/>
      <c r="T88" s="1439"/>
    </row>
    <row r="89" spans="1:20" s="1439" customFormat="1" ht="12.75" hidden="1" customHeight="1">
      <c r="A89" s="1443" t="s">
        <v>27</v>
      </c>
      <c r="B89" s="1440">
        <v>1</v>
      </c>
      <c r="C89" s="1440"/>
      <c r="D89" s="1440"/>
      <c r="E89" s="1440"/>
      <c r="F89" s="1440">
        <v>6</v>
      </c>
      <c r="G89" s="1440"/>
      <c r="H89" s="1440"/>
      <c r="I89" s="1442"/>
      <c r="J89" s="1440"/>
      <c r="K89" s="1442">
        <v>7</v>
      </c>
      <c r="L89" s="1440"/>
      <c r="M89" s="1442"/>
      <c r="N89" s="1440"/>
      <c r="O89" s="1440" t="s">
        <v>311</v>
      </c>
      <c r="P89" s="1440">
        <v>1156.9000000000001</v>
      </c>
    </row>
    <row r="90" spans="1:20" s="1441" customFormat="1" ht="12.75" hidden="1" customHeight="1">
      <c r="A90" s="1443" t="s">
        <v>28</v>
      </c>
      <c r="B90" s="1440">
        <v>1</v>
      </c>
      <c r="C90" s="1440"/>
      <c r="D90" s="1440"/>
      <c r="E90" s="1440"/>
      <c r="F90" s="1440">
        <v>8.5</v>
      </c>
      <c r="G90" s="1440"/>
      <c r="H90" s="1440"/>
      <c r="I90" s="1442"/>
      <c r="J90" s="1440"/>
      <c r="K90" s="1442">
        <v>7</v>
      </c>
      <c r="L90" s="1440"/>
      <c r="M90" s="1442"/>
      <c r="N90" s="1440"/>
      <c r="O90" s="1440" t="s">
        <v>311</v>
      </c>
      <c r="P90" s="1440">
        <v>1147.67</v>
      </c>
      <c r="Q90" s="1439"/>
      <c r="R90" s="1439"/>
      <c r="S90" s="1439"/>
      <c r="T90" s="1439"/>
    </row>
    <row r="91" spans="1:20" s="1439" customFormat="1" ht="12.75" hidden="1" customHeight="1">
      <c r="A91" s="1443" t="s">
        <v>29</v>
      </c>
      <c r="B91" s="1440">
        <v>1</v>
      </c>
      <c r="C91" s="1440"/>
      <c r="D91" s="1440"/>
      <c r="E91" s="1440"/>
      <c r="F91" s="1440">
        <v>9</v>
      </c>
      <c r="G91" s="1440"/>
      <c r="H91" s="1440"/>
      <c r="I91" s="1442"/>
      <c r="J91" s="1440"/>
      <c r="K91" s="1442">
        <v>7</v>
      </c>
      <c r="L91" s="1440"/>
      <c r="M91" s="1442"/>
      <c r="N91" s="1440"/>
      <c r="O91" s="1440" t="s">
        <v>311</v>
      </c>
      <c r="P91" s="1440">
        <v>1315.42</v>
      </c>
    </row>
    <row r="92" spans="1:20" s="1441" customFormat="1" ht="12.75" hidden="1" customHeight="1">
      <c r="A92" s="1443" t="s">
        <v>48</v>
      </c>
      <c r="B92" s="1440"/>
      <c r="C92" s="1440"/>
      <c r="D92" s="1440"/>
      <c r="E92" s="1440"/>
      <c r="F92" s="1440"/>
      <c r="G92" s="1440"/>
      <c r="H92" s="1440"/>
      <c r="I92" s="1442"/>
      <c r="J92" s="1440"/>
      <c r="K92" s="1442"/>
      <c r="L92" s="1440"/>
      <c r="M92" s="1442"/>
      <c r="N92" s="1440"/>
      <c r="O92" s="1440"/>
      <c r="P92" s="1440"/>
      <c r="Q92" s="1439"/>
      <c r="R92" s="1439"/>
      <c r="S92" s="1439"/>
      <c r="T92" s="1439"/>
    </row>
    <row r="93" spans="1:20" s="1439" customFormat="1" ht="12.75" hidden="1" customHeight="1">
      <c r="A93" s="1443" t="s">
        <v>18</v>
      </c>
      <c r="B93" s="1440">
        <v>1</v>
      </c>
      <c r="C93" s="1440" t="s">
        <v>93</v>
      </c>
      <c r="D93" s="1440" t="s">
        <v>93</v>
      </c>
      <c r="E93" s="1440" t="s">
        <v>93</v>
      </c>
      <c r="F93" s="1440">
        <v>13.6</v>
      </c>
      <c r="G93" s="1440"/>
      <c r="H93" s="1440"/>
      <c r="I93" s="1442"/>
      <c r="J93" s="1440"/>
      <c r="K93" s="1442">
        <v>7</v>
      </c>
      <c r="L93" s="1440"/>
      <c r="M93" s="1442"/>
      <c r="N93" s="1440"/>
      <c r="O93" s="1440" t="s">
        <v>311</v>
      </c>
      <c r="P93" s="1440">
        <v>1313.02</v>
      </c>
    </row>
    <row r="94" spans="1:20" s="1441" customFormat="1" ht="12.75" hidden="1" customHeight="1">
      <c r="A94" s="1443" t="s">
        <v>19</v>
      </c>
      <c r="B94" s="1440">
        <v>1</v>
      </c>
      <c r="C94" s="1440" t="s">
        <v>93</v>
      </c>
      <c r="D94" s="1440" t="s">
        <v>93</v>
      </c>
      <c r="E94" s="1440" t="s">
        <v>93</v>
      </c>
      <c r="F94" s="1440">
        <v>16</v>
      </c>
      <c r="G94" s="1440"/>
      <c r="H94" s="1440"/>
      <c r="I94" s="1442"/>
      <c r="J94" s="1440"/>
      <c r="K94" s="1442">
        <v>7</v>
      </c>
      <c r="L94" s="1440"/>
      <c r="M94" s="1442"/>
      <c r="N94" s="1440"/>
      <c r="O94" s="1440" t="s">
        <v>311</v>
      </c>
      <c r="P94" s="1440">
        <v>1344.79</v>
      </c>
      <c r="Q94" s="1439"/>
      <c r="R94" s="1439"/>
      <c r="S94" s="1439"/>
      <c r="T94" s="1439"/>
    </row>
    <row r="95" spans="1:20" s="1439" customFormat="1" ht="12.75" hidden="1" customHeight="1">
      <c r="A95" s="1443" t="s">
        <v>20</v>
      </c>
      <c r="B95" s="1440">
        <v>1</v>
      </c>
      <c r="C95" s="1440" t="s">
        <v>93</v>
      </c>
      <c r="D95" s="1440" t="s">
        <v>93</v>
      </c>
      <c r="E95" s="1440" t="s">
        <v>93</v>
      </c>
      <c r="F95" s="1440">
        <v>15</v>
      </c>
      <c r="G95" s="1440"/>
      <c r="H95" s="1440"/>
      <c r="I95" s="1442"/>
      <c r="J95" s="1440"/>
      <c r="K95" s="1442">
        <v>7</v>
      </c>
      <c r="L95" s="1440"/>
      <c r="M95" s="1442"/>
      <c r="N95" s="1440"/>
      <c r="O95" s="1440" t="s">
        <v>311</v>
      </c>
      <c r="P95" s="1440">
        <v>1362.02</v>
      </c>
    </row>
    <row r="96" spans="1:20" s="1441" customFormat="1" ht="12.75" hidden="1" customHeight="1">
      <c r="A96" s="1443" t="s">
        <v>21</v>
      </c>
      <c r="B96" s="1440">
        <v>1</v>
      </c>
      <c r="C96" s="1440" t="s">
        <v>93</v>
      </c>
      <c r="D96" s="1440" t="s">
        <v>93</v>
      </c>
      <c r="E96" s="1440" t="s">
        <v>93</v>
      </c>
      <c r="F96" s="1440">
        <v>19</v>
      </c>
      <c r="G96" s="1440"/>
      <c r="H96" s="1440"/>
      <c r="I96" s="1442"/>
      <c r="J96" s="1440"/>
      <c r="K96" s="1442">
        <v>7</v>
      </c>
      <c r="L96" s="1440"/>
      <c r="M96" s="1442"/>
      <c r="N96" s="1440"/>
      <c r="O96" s="1440" t="s">
        <v>311</v>
      </c>
      <c r="P96" s="1440">
        <v>1338.4</v>
      </c>
      <c r="Q96" s="1439"/>
      <c r="R96" s="1439"/>
      <c r="S96" s="1439"/>
      <c r="T96" s="1439"/>
    </row>
    <row r="97" spans="1:20" s="1439" customFormat="1" ht="12.75" hidden="1" customHeight="1">
      <c r="A97" s="1443" t="s">
        <v>22</v>
      </c>
      <c r="B97" s="1440">
        <v>1</v>
      </c>
      <c r="C97" s="1440" t="s">
        <v>93</v>
      </c>
      <c r="D97" s="1440" t="s">
        <v>93</v>
      </c>
      <c r="E97" s="1440" t="s">
        <v>93</v>
      </c>
      <c r="F97" s="1440">
        <v>19</v>
      </c>
      <c r="G97" s="1440"/>
      <c r="H97" s="1440"/>
      <c r="I97" s="1442"/>
      <c r="J97" s="1440"/>
      <c r="K97" s="1442">
        <v>7</v>
      </c>
      <c r="L97" s="1440"/>
      <c r="M97" s="1442"/>
      <c r="N97" s="1440"/>
      <c r="O97" s="1440" t="s">
        <v>311</v>
      </c>
      <c r="P97" s="1440">
        <v>1321.3</v>
      </c>
    </row>
    <row r="98" spans="1:20" s="1441" customFormat="1" ht="12.75" hidden="1" customHeight="1">
      <c r="A98" s="1443" t="s">
        <v>23</v>
      </c>
      <c r="B98" s="1440">
        <v>1</v>
      </c>
      <c r="C98" s="1440" t="s">
        <v>93</v>
      </c>
      <c r="D98" s="1440" t="s">
        <v>93</v>
      </c>
      <c r="E98" s="1440" t="s">
        <v>93</v>
      </c>
      <c r="F98" s="1440">
        <v>26</v>
      </c>
      <c r="G98" s="1440"/>
      <c r="H98" s="1440"/>
      <c r="I98" s="1442"/>
      <c r="J98" s="1440"/>
      <c r="K98" s="1442">
        <v>7</v>
      </c>
      <c r="L98" s="1440"/>
      <c r="M98" s="1442"/>
      <c r="N98" s="1440"/>
      <c r="O98" s="1440" t="s">
        <v>311</v>
      </c>
      <c r="P98" s="1440">
        <v>1377.3</v>
      </c>
      <c r="Q98" s="1439"/>
      <c r="R98" s="1439"/>
      <c r="S98" s="1439"/>
      <c r="T98" s="1439"/>
    </row>
    <row r="99" spans="1:20" s="1439" customFormat="1" ht="12.75" hidden="1" customHeight="1">
      <c r="A99" s="1443" t="s">
        <v>24</v>
      </c>
      <c r="B99" s="1440">
        <v>1</v>
      </c>
      <c r="C99" s="1440" t="s">
        <v>93</v>
      </c>
      <c r="D99" s="1440" t="s">
        <v>93</v>
      </c>
      <c r="E99" s="1440" t="s">
        <v>93</v>
      </c>
      <c r="F99" s="1440">
        <v>11.8</v>
      </c>
      <c r="G99" s="1440"/>
      <c r="H99" s="1440"/>
      <c r="I99" s="1442"/>
      <c r="J99" s="1440"/>
      <c r="K99" s="1442">
        <v>7</v>
      </c>
      <c r="L99" s="1440"/>
      <c r="M99" s="1442"/>
      <c r="N99" s="1440"/>
      <c r="O99" s="1440" t="s">
        <v>311</v>
      </c>
      <c r="P99" s="1440">
        <v>1378.35</v>
      </c>
    </row>
    <row r="100" spans="1:20" s="1441" customFormat="1" ht="12.75" hidden="1" customHeight="1">
      <c r="A100" s="1443" t="s">
        <v>25</v>
      </c>
      <c r="B100" s="1440">
        <v>1</v>
      </c>
      <c r="C100" s="1440" t="s">
        <v>93</v>
      </c>
      <c r="D100" s="1440" t="s">
        <v>93</v>
      </c>
      <c r="E100" s="1440" t="s">
        <v>93</v>
      </c>
      <c r="F100" s="1440">
        <v>20</v>
      </c>
      <c r="G100" s="1440"/>
      <c r="H100" s="1440"/>
      <c r="I100" s="1442"/>
      <c r="J100" s="1440"/>
      <c r="K100" s="1442">
        <v>7</v>
      </c>
      <c r="L100" s="1440"/>
      <c r="M100" s="1442"/>
      <c r="N100" s="1440"/>
      <c r="O100" s="1440" t="s">
        <v>311</v>
      </c>
      <c r="P100" s="1440">
        <v>1502.05</v>
      </c>
      <c r="Q100" s="1439"/>
      <c r="R100" s="1439"/>
      <c r="S100" s="1439"/>
      <c r="T100" s="1439"/>
    </row>
    <row r="101" spans="1:20" s="1439" customFormat="1" ht="12.75" hidden="1" customHeight="1">
      <c r="A101" s="1443" t="s">
        <v>26</v>
      </c>
      <c r="B101" s="1440">
        <v>1</v>
      </c>
      <c r="C101" s="1440" t="s">
        <v>93</v>
      </c>
      <c r="D101" s="1440" t="s">
        <v>93</v>
      </c>
      <c r="E101" s="1440" t="s">
        <v>93</v>
      </c>
      <c r="F101" s="1440">
        <v>24</v>
      </c>
      <c r="G101" s="1440"/>
      <c r="H101" s="1440"/>
      <c r="I101" s="1442"/>
      <c r="J101" s="1440"/>
      <c r="K101" s="1442">
        <v>7</v>
      </c>
      <c r="L101" s="1440"/>
      <c r="M101" s="1442"/>
      <c r="N101" s="1440"/>
      <c r="O101" s="1440" t="s">
        <v>311</v>
      </c>
      <c r="P101" s="1440">
        <v>1568.43</v>
      </c>
    </row>
    <row r="102" spans="1:20" s="1441" customFormat="1" ht="12.75" hidden="1" customHeight="1">
      <c r="A102" s="1443" t="s">
        <v>27</v>
      </c>
      <c r="B102" s="1440">
        <v>1</v>
      </c>
      <c r="C102" s="1440" t="s">
        <v>93</v>
      </c>
      <c r="D102" s="1440" t="s">
        <v>93</v>
      </c>
      <c r="E102" s="1440" t="s">
        <v>93</v>
      </c>
      <c r="F102" s="1440">
        <v>15</v>
      </c>
      <c r="G102" s="1440"/>
      <c r="H102" s="1440"/>
      <c r="I102" s="1442"/>
      <c r="J102" s="1440"/>
      <c r="K102" s="1442">
        <v>7</v>
      </c>
      <c r="L102" s="1440"/>
      <c r="M102" s="1442"/>
      <c r="N102" s="1440"/>
      <c r="O102" s="1440" t="s">
        <v>310</v>
      </c>
      <c r="P102" s="1440">
        <v>1657.5</v>
      </c>
      <c r="Q102" s="1439"/>
      <c r="R102" s="1439"/>
      <c r="S102" s="1439"/>
      <c r="T102" s="1439"/>
    </row>
    <row r="103" spans="1:20" s="1439" customFormat="1" ht="12.75" hidden="1" customHeight="1">
      <c r="A103" s="1443" t="s">
        <v>28</v>
      </c>
      <c r="B103" s="1440">
        <v>1.29</v>
      </c>
      <c r="C103" s="1440" t="s">
        <v>93</v>
      </c>
      <c r="D103" s="1440" t="s">
        <v>93</v>
      </c>
      <c r="E103" s="1440" t="s">
        <v>93</v>
      </c>
      <c r="F103" s="1440">
        <v>27.61</v>
      </c>
      <c r="G103" s="1440"/>
      <c r="H103" s="1440"/>
      <c r="I103" s="1442"/>
      <c r="J103" s="1440"/>
      <c r="K103" s="1442">
        <v>7</v>
      </c>
      <c r="L103" s="1440"/>
      <c r="M103" s="1442"/>
      <c r="N103" s="1440"/>
      <c r="O103" s="1440" t="s">
        <v>310</v>
      </c>
      <c r="P103" s="1440">
        <v>1665.95</v>
      </c>
    </row>
    <row r="104" spans="1:20" s="1441" customFormat="1" ht="12.75" hidden="1" customHeight="1">
      <c r="A104" s="1443" t="s">
        <v>29</v>
      </c>
      <c r="B104" s="1440">
        <v>2.08</v>
      </c>
      <c r="C104" s="1440" t="s">
        <v>93</v>
      </c>
      <c r="D104" s="1440" t="s">
        <v>93</v>
      </c>
      <c r="E104" s="1440" t="s">
        <v>93</v>
      </c>
      <c r="F104" s="1440">
        <v>40</v>
      </c>
      <c r="G104" s="1440"/>
      <c r="H104" s="1440"/>
      <c r="I104" s="1442"/>
      <c r="J104" s="1440"/>
      <c r="K104" s="1442">
        <v>7</v>
      </c>
      <c r="L104" s="1440"/>
      <c r="M104" s="1442"/>
      <c r="N104" s="1440"/>
      <c r="O104" s="1440" t="s">
        <v>310</v>
      </c>
      <c r="P104" s="1440">
        <v>1861.79</v>
      </c>
      <c r="Q104" s="1439"/>
      <c r="R104" s="1439"/>
      <c r="S104" s="1439"/>
      <c r="T104" s="1439"/>
    </row>
    <row r="105" spans="1:20" s="1439" customFormat="1" ht="12.75" hidden="1" customHeight="1">
      <c r="A105" s="1443" t="s">
        <v>1045</v>
      </c>
      <c r="B105" s="1440"/>
      <c r="C105" s="1440"/>
      <c r="D105" s="1440"/>
      <c r="E105" s="1440"/>
      <c r="F105" s="1440"/>
      <c r="G105" s="1440"/>
      <c r="H105" s="1440"/>
      <c r="I105" s="1442"/>
      <c r="J105" s="1440"/>
      <c r="K105" s="1442"/>
      <c r="L105" s="1440"/>
      <c r="M105" s="1442"/>
      <c r="N105" s="1440"/>
      <c r="O105" s="1440"/>
      <c r="P105" s="1440"/>
    </row>
    <row r="106" spans="1:20" s="1441" customFormat="1" ht="12.75" hidden="1" customHeight="1">
      <c r="A106" s="1443" t="s">
        <v>18</v>
      </c>
      <c r="B106" s="1440">
        <v>1.65</v>
      </c>
      <c r="C106" s="1440" t="s">
        <v>93</v>
      </c>
      <c r="D106" s="1440" t="s">
        <v>93</v>
      </c>
      <c r="E106" s="1440" t="s">
        <v>93</v>
      </c>
      <c r="F106" s="1440">
        <v>57</v>
      </c>
      <c r="G106" s="1440"/>
      <c r="H106" s="1440"/>
      <c r="I106" s="1442"/>
      <c r="J106" s="1440"/>
      <c r="K106" s="1442">
        <v>7</v>
      </c>
      <c r="L106" s="1440"/>
      <c r="M106" s="1442"/>
      <c r="N106" s="1440"/>
      <c r="O106" s="1440" t="s">
        <v>310</v>
      </c>
      <c r="P106" s="1440">
        <v>1863.69</v>
      </c>
      <c r="Q106" s="1439"/>
      <c r="R106" s="1439"/>
      <c r="S106" s="1439"/>
      <c r="T106" s="1439"/>
    </row>
    <row r="107" spans="1:20" s="1439" customFormat="1" ht="12.75" hidden="1" customHeight="1">
      <c r="A107" s="1443" t="s">
        <v>19</v>
      </c>
      <c r="B107" s="1440">
        <v>1.1599999999999999</v>
      </c>
      <c r="C107" s="1440" t="s">
        <v>93</v>
      </c>
      <c r="D107" s="1440" t="s">
        <v>93</v>
      </c>
      <c r="E107" s="1440" t="s">
        <v>93</v>
      </c>
      <c r="F107" s="1440">
        <v>100</v>
      </c>
      <c r="G107" s="1440"/>
      <c r="H107" s="1440"/>
      <c r="I107" s="1442"/>
      <c r="J107" s="1440"/>
      <c r="K107" s="1442">
        <v>7</v>
      </c>
      <c r="L107" s="1440"/>
      <c r="M107" s="1442"/>
      <c r="N107" s="1440"/>
      <c r="O107" s="1440" t="s">
        <v>309</v>
      </c>
      <c r="P107" s="1440">
        <v>1878.96</v>
      </c>
    </row>
    <row r="108" spans="1:20" s="1441" customFormat="1" ht="12.75" hidden="1" customHeight="1">
      <c r="A108" s="1443" t="s">
        <v>20</v>
      </c>
      <c r="B108" s="1440">
        <v>1.21</v>
      </c>
      <c r="C108" s="1440" t="s">
        <v>93</v>
      </c>
      <c r="D108" s="1440" t="s">
        <v>93</v>
      </c>
      <c r="E108" s="1440" t="s">
        <v>93</v>
      </c>
      <c r="F108" s="1440">
        <v>110</v>
      </c>
      <c r="G108" s="1440"/>
      <c r="H108" s="1440"/>
      <c r="I108" s="1442"/>
      <c r="J108" s="1440"/>
      <c r="K108" s="1442">
        <v>7</v>
      </c>
      <c r="L108" s="1440"/>
      <c r="M108" s="1442"/>
      <c r="N108" s="1440"/>
      <c r="O108" s="1440" t="s">
        <v>309</v>
      </c>
      <c r="P108" s="1440">
        <v>1940.12</v>
      </c>
      <c r="Q108" s="1439"/>
      <c r="R108" s="1439"/>
      <c r="S108" s="1439"/>
      <c r="T108" s="1439"/>
    </row>
    <row r="109" spans="1:20" s="1439" customFormat="1" ht="12.75" hidden="1" customHeight="1">
      <c r="A109" s="1443" t="s">
        <v>21</v>
      </c>
      <c r="B109" s="1440">
        <v>1.51</v>
      </c>
      <c r="C109" s="1440" t="s">
        <v>93</v>
      </c>
      <c r="D109" s="1440" t="s">
        <v>93</v>
      </c>
      <c r="E109" s="1440" t="s">
        <v>93</v>
      </c>
      <c r="F109" s="1440">
        <v>120.6</v>
      </c>
      <c r="G109" s="1440"/>
      <c r="H109" s="1440"/>
      <c r="I109" s="1442"/>
      <c r="J109" s="1440"/>
      <c r="K109" s="1442">
        <v>7</v>
      </c>
      <c r="L109" s="1440"/>
      <c r="M109" s="1442"/>
      <c r="N109" s="1440"/>
      <c r="O109" s="1440" t="s">
        <v>309</v>
      </c>
      <c r="P109" s="1440">
        <v>1947.84</v>
      </c>
    </row>
    <row r="110" spans="1:20" s="1441" customFormat="1" ht="12.75" hidden="1" customHeight="1">
      <c r="A110" s="1443" t="s">
        <v>22</v>
      </c>
      <c r="B110" s="1440">
        <v>2.17</v>
      </c>
      <c r="C110" s="1440" t="s">
        <v>93</v>
      </c>
      <c r="D110" s="1440" t="s">
        <v>93</v>
      </c>
      <c r="E110" s="1440" t="s">
        <v>93</v>
      </c>
      <c r="F110" s="1440">
        <v>135</v>
      </c>
      <c r="G110" s="1440"/>
      <c r="H110" s="1440"/>
      <c r="I110" s="1442"/>
      <c r="J110" s="1440"/>
      <c r="K110" s="1442">
        <v>7</v>
      </c>
      <c r="L110" s="1440"/>
      <c r="M110" s="1442"/>
      <c r="N110" s="1440"/>
      <c r="O110" s="1440" t="s">
        <v>309</v>
      </c>
      <c r="P110" s="1440">
        <v>1996.75</v>
      </c>
      <c r="Q110" s="1439"/>
      <c r="R110" s="1439"/>
      <c r="S110" s="1439"/>
      <c r="T110" s="1439"/>
    </row>
    <row r="111" spans="1:20" s="1439" customFormat="1" ht="12.75" hidden="1" customHeight="1">
      <c r="A111" s="1443" t="s">
        <v>23</v>
      </c>
      <c r="B111" s="1440">
        <v>2.5</v>
      </c>
      <c r="C111" s="1440" t="s">
        <v>93</v>
      </c>
      <c r="D111" s="1440" t="s">
        <v>93</v>
      </c>
      <c r="E111" s="1440" t="s">
        <v>93</v>
      </c>
      <c r="F111" s="1440">
        <v>74.069999999999993</v>
      </c>
      <c r="G111" s="1440"/>
      <c r="H111" s="1440"/>
      <c r="I111" s="1442"/>
      <c r="J111" s="1440"/>
      <c r="K111" s="1442">
        <v>7</v>
      </c>
      <c r="L111" s="1440"/>
      <c r="M111" s="1442"/>
      <c r="N111" s="1440"/>
      <c r="O111" s="1440" t="s">
        <v>2677</v>
      </c>
      <c r="P111" s="1440">
        <v>1984.7</v>
      </c>
    </row>
    <row r="112" spans="1:20" s="1441" customFormat="1" ht="12.75" hidden="1" customHeight="1">
      <c r="A112" s="1443" t="s">
        <v>24</v>
      </c>
      <c r="B112" s="1440">
        <v>2.82</v>
      </c>
      <c r="C112" s="1440" t="s">
        <v>93</v>
      </c>
      <c r="D112" s="1440" t="s">
        <v>93</v>
      </c>
      <c r="E112" s="1440" t="s">
        <v>93</v>
      </c>
      <c r="F112" s="1440">
        <v>64.099999999999994</v>
      </c>
      <c r="G112" s="1440"/>
      <c r="H112" s="1440"/>
      <c r="I112" s="1442"/>
      <c r="J112" s="1440"/>
      <c r="K112" s="1442">
        <v>7</v>
      </c>
      <c r="L112" s="1440"/>
      <c r="M112" s="1442"/>
      <c r="N112" s="1440"/>
      <c r="O112" s="1440" t="s">
        <v>2677</v>
      </c>
      <c r="P112" s="1440">
        <v>1986.74</v>
      </c>
      <c r="Q112" s="1439"/>
      <c r="R112" s="1439"/>
      <c r="S112" s="1439"/>
      <c r="T112" s="1439"/>
    </row>
    <row r="113" spans="1:20" s="1439" customFormat="1" ht="12.75" hidden="1" customHeight="1">
      <c r="A113" s="1443" t="s">
        <v>25</v>
      </c>
      <c r="B113" s="1440">
        <v>2.13</v>
      </c>
      <c r="C113" s="1440" t="s">
        <v>93</v>
      </c>
      <c r="D113" s="1440" t="s">
        <v>93</v>
      </c>
      <c r="E113" s="1440" t="s">
        <v>93</v>
      </c>
      <c r="F113" s="1440">
        <v>50</v>
      </c>
      <c r="G113" s="1440"/>
      <c r="H113" s="1440"/>
      <c r="I113" s="1442"/>
      <c r="J113" s="1440"/>
      <c r="K113" s="1442">
        <v>7</v>
      </c>
      <c r="L113" s="1440"/>
      <c r="M113" s="1442"/>
      <c r="N113" s="1440"/>
      <c r="O113" s="1440" t="s">
        <v>2677</v>
      </c>
      <c r="P113" s="1440">
        <v>1986.239</v>
      </c>
    </row>
    <row r="114" spans="1:20" s="1441" customFormat="1" ht="12.75" hidden="1" customHeight="1">
      <c r="A114" s="1443" t="s">
        <v>26</v>
      </c>
      <c r="B114" s="1440">
        <v>2.72</v>
      </c>
      <c r="C114" s="1440" t="s">
        <v>93</v>
      </c>
      <c r="D114" s="1440" t="s">
        <v>93</v>
      </c>
      <c r="E114" s="1440" t="s">
        <v>93</v>
      </c>
      <c r="F114" s="1440">
        <v>21.82</v>
      </c>
      <c r="G114" s="1440"/>
      <c r="H114" s="1440"/>
      <c r="I114" s="1442"/>
      <c r="J114" s="1440"/>
      <c r="K114" s="1442">
        <v>7</v>
      </c>
      <c r="L114" s="1440"/>
      <c r="M114" s="1442"/>
      <c r="N114" s="1440"/>
      <c r="O114" s="1440" t="s">
        <v>2677</v>
      </c>
      <c r="P114" s="1440">
        <v>1991.3679999999999</v>
      </c>
      <c r="Q114" s="1439"/>
      <c r="R114" s="1439"/>
      <c r="S114" s="1439"/>
      <c r="T114" s="1439"/>
    </row>
    <row r="115" spans="1:20" s="1439" customFormat="1" ht="12.75" hidden="1" customHeight="1">
      <c r="A115" s="1443" t="s">
        <v>27</v>
      </c>
      <c r="B115" s="1440">
        <v>2.88</v>
      </c>
      <c r="C115" s="1440" t="s">
        <v>93</v>
      </c>
      <c r="D115" s="1440" t="s">
        <v>93</v>
      </c>
      <c r="E115" s="1440" t="s">
        <v>93</v>
      </c>
      <c r="F115" s="1440">
        <v>40.755000000000003</v>
      </c>
      <c r="G115" s="1440"/>
      <c r="H115" s="1440"/>
      <c r="I115" s="1442"/>
      <c r="J115" s="1440"/>
      <c r="K115" s="1442">
        <v>7</v>
      </c>
      <c r="L115" s="1440"/>
      <c r="M115" s="1442"/>
      <c r="N115" s="1440"/>
      <c r="O115" s="1440" t="s">
        <v>2677</v>
      </c>
      <c r="P115" s="1440">
        <v>1996.09</v>
      </c>
    </row>
    <row r="116" spans="1:20" s="1441" customFormat="1" ht="12.75" hidden="1" customHeight="1">
      <c r="A116" s="1443" t="s">
        <v>28</v>
      </c>
      <c r="B116" s="1440">
        <v>2.84</v>
      </c>
      <c r="C116" s="1440" t="s">
        <v>93</v>
      </c>
      <c r="D116" s="1440" t="s">
        <v>93</v>
      </c>
      <c r="E116" s="1440" t="s">
        <v>93</v>
      </c>
      <c r="F116" s="1440">
        <v>34.840000000000003</v>
      </c>
      <c r="G116" s="1440"/>
      <c r="H116" s="1440"/>
      <c r="I116" s="1442"/>
      <c r="J116" s="1440"/>
      <c r="K116" s="1442">
        <v>7</v>
      </c>
      <c r="L116" s="1440"/>
      <c r="M116" s="1442"/>
      <c r="N116" s="1440"/>
      <c r="O116" s="1440" t="s">
        <v>2677</v>
      </c>
      <c r="P116" s="1440">
        <v>1996.39</v>
      </c>
      <c r="Q116" s="1439"/>
      <c r="R116" s="1439"/>
      <c r="S116" s="1439"/>
      <c r="T116" s="1439"/>
    </row>
    <row r="117" spans="1:20" s="1439" customFormat="1" ht="12.75" hidden="1" customHeight="1">
      <c r="A117" s="1443" t="s">
        <v>29</v>
      </c>
      <c r="B117" s="1440">
        <v>2.77</v>
      </c>
      <c r="C117" s="1440" t="s">
        <v>93</v>
      </c>
      <c r="D117" s="1440" t="s">
        <v>93</v>
      </c>
      <c r="E117" s="1440" t="s">
        <v>93</v>
      </c>
      <c r="F117" s="1440">
        <v>91.23</v>
      </c>
      <c r="G117" s="1440"/>
      <c r="H117" s="1440"/>
      <c r="I117" s="1442"/>
      <c r="J117" s="1440"/>
      <c r="K117" s="1442">
        <v>7</v>
      </c>
      <c r="L117" s="1440"/>
      <c r="M117" s="1442"/>
      <c r="N117" s="1440"/>
      <c r="O117" s="1440" t="s">
        <v>2677</v>
      </c>
      <c r="P117" s="1440">
        <v>2032.6</v>
      </c>
    </row>
    <row r="118" spans="1:20" s="1441" customFormat="1" ht="12.75" hidden="1" customHeight="1">
      <c r="A118" s="1443" t="s">
        <v>1327</v>
      </c>
      <c r="B118" s="1440"/>
      <c r="C118" s="1440"/>
      <c r="D118" s="1440"/>
      <c r="E118" s="1440"/>
      <c r="F118" s="1440"/>
      <c r="G118" s="1440"/>
      <c r="H118" s="1440"/>
      <c r="I118" s="1442"/>
      <c r="J118" s="1440"/>
      <c r="K118" s="1442"/>
      <c r="L118" s="1440"/>
      <c r="M118" s="1442"/>
      <c r="N118" s="1440"/>
      <c r="O118" s="1440"/>
      <c r="P118" s="1440"/>
      <c r="Q118" s="1439"/>
      <c r="R118" s="1439"/>
      <c r="S118" s="1439"/>
      <c r="T118" s="1439"/>
    </row>
    <row r="119" spans="1:20" s="1439" customFormat="1" ht="12.75" hidden="1" customHeight="1">
      <c r="A119" s="1443" t="s">
        <v>18</v>
      </c>
      <c r="B119" s="1440">
        <v>2.02</v>
      </c>
      <c r="C119" s="1440" t="s">
        <v>93</v>
      </c>
      <c r="D119" s="1440" t="s">
        <v>93</v>
      </c>
      <c r="E119" s="1440" t="s">
        <v>93</v>
      </c>
      <c r="F119" s="1440">
        <v>125</v>
      </c>
      <c r="G119" s="1440"/>
      <c r="H119" s="1440"/>
      <c r="I119" s="1442"/>
      <c r="J119" s="1440"/>
      <c r="K119" s="1442">
        <v>7</v>
      </c>
      <c r="L119" s="1440"/>
      <c r="M119" s="1442"/>
      <c r="N119" s="1440"/>
      <c r="O119" s="1440" t="s">
        <v>2677</v>
      </c>
      <c r="P119" s="1440">
        <v>2016.2</v>
      </c>
    </row>
    <row r="120" spans="1:20" s="1441" customFormat="1" ht="12.75" hidden="1" customHeight="1">
      <c r="A120" s="1443" t="s">
        <v>19</v>
      </c>
      <c r="B120" s="1440">
        <v>1.66</v>
      </c>
      <c r="C120" s="1440" t="s">
        <v>93</v>
      </c>
      <c r="D120" s="1440" t="s">
        <v>93</v>
      </c>
      <c r="E120" s="1440" t="s">
        <v>93</v>
      </c>
      <c r="F120" s="1440">
        <v>145</v>
      </c>
      <c r="G120" s="1440"/>
      <c r="H120" s="1440"/>
      <c r="I120" s="1442"/>
      <c r="J120" s="1440"/>
      <c r="K120" s="1442">
        <v>7</v>
      </c>
      <c r="L120" s="1440"/>
      <c r="M120" s="1442"/>
      <c r="N120" s="1440"/>
      <c r="O120" s="1440" t="s">
        <v>2677</v>
      </c>
      <c r="P120" s="1440">
        <v>2181.4</v>
      </c>
      <c r="Q120" s="1439"/>
      <c r="R120" s="1439"/>
      <c r="S120" s="1439"/>
      <c r="T120" s="1439"/>
    </row>
    <row r="121" spans="1:20" s="1439" customFormat="1" ht="12.75" hidden="1" customHeight="1">
      <c r="A121" s="1443" t="s">
        <v>20</v>
      </c>
      <c r="B121" s="1440">
        <v>1.28</v>
      </c>
      <c r="C121" s="1440" t="s">
        <v>93</v>
      </c>
      <c r="D121" s="1440" t="s">
        <v>93</v>
      </c>
      <c r="E121" s="1440" t="s">
        <v>93</v>
      </c>
      <c r="F121" s="1440">
        <v>140</v>
      </c>
      <c r="G121" s="1440"/>
      <c r="H121" s="1440"/>
      <c r="I121" s="1442"/>
      <c r="J121" s="1440"/>
      <c r="K121" s="1442">
        <v>7</v>
      </c>
      <c r="L121" s="1440"/>
      <c r="M121" s="1442"/>
      <c r="N121" s="1440"/>
      <c r="O121" s="1440" t="s">
        <v>2677</v>
      </c>
      <c r="P121" s="1440">
        <v>2192.6</v>
      </c>
    </row>
    <row r="122" spans="1:20" s="1441" customFormat="1" ht="12.75" hidden="1" customHeight="1">
      <c r="A122" s="1443" t="s">
        <v>21</v>
      </c>
      <c r="B122" s="1440">
        <v>1.34</v>
      </c>
      <c r="C122" s="1440" t="s">
        <v>93</v>
      </c>
      <c r="D122" s="1440" t="s">
        <v>93</v>
      </c>
      <c r="E122" s="1440" t="s">
        <v>93</v>
      </c>
      <c r="F122" s="1440">
        <v>139.99600000000001</v>
      </c>
      <c r="G122" s="1440"/>
      <c r="H122" s="1440"/>
      <c r="I122" s="1442"/>
      <c r="J122" s="1440"/>
      <c r="K122" s="1442">
        <v>7</v>
      </c>
      <c r="L122" s="1440"/>
      <c r="M122" s="1442"/>
      <c r="N122" s="1440"/>
      <c r="O122" s="1440" t="s">
        <v>2677</v>
      </c>
      <c r="P122" s="1440">
        <v>2129.6999999999998</v>
      </c>
      <c r="Q122" s="1439"/>
      <c r="R122" s="1439"/>
      <c r="S122" s="1439"/>
      <c r="T122" s="1439"/>
    </row>
    <row r="123" spans="1:20" s="1439" customFormat="1" ht="12.75" hidden="1" customHeight="1">
      <c r="A123" s="1443" t="s">
        <v>22</v>
      </c>
      <c r="B123" s="1440">
        <v>1.36</v>
      </c>
      <c r="C123" s="1440" t="s">
        <v>93</v>
      </c>
      <c r="D123" s="1440" t="s">
        <v>93</v>
      </c>
      <c r="E123" s="1440" t="s">
        <v>93</v>
      </c>
      <c r="F123" s="1440">
        <v>143.51</v>
      </c>
      <c r="G123" s="1440"/>
      <c r="H123" s="1440"/>
      <c r="I123" s="1442"/>
      <c r="J123" s="1440"/>
      <c r="K123" s="1442">
        <v>7</v>
      </c>
      <c r="L123" s="1440"/>
      <c r="M123" s="1442"/>
      <c r="N123" s="1440"/>
      <c r="O123" s="1440" t="s">
        <v>2677</v>
      </c>
      <c r="P123" s="1440">
        <v>2135.6999999999998</v>
      </c>
    </row>
    <row r="124" spans="1:20" s="1441" customFormat="1" ht="12.75" hidden="1" customHeight="1">
      <c r="A124" s="1443" t="s">
        <v>23</v>
      </c>
      <c r="B124" s="1440">
        <v>1.38</v>
      </c>
      <c r="C124" s="1440" t="s">
        <v>93</v>
      </c>
      <c r="D124" s="1440" t="s">
        <v>93</v>
      </c>
      <c r="E124" s="1440" t="s">
        <v>93</v>
      </c>
      <c r="F124" s="1440">
        <v>127.59</v>
      </c>
      <c r="G124" s="1440"/>
      <c r="H124" s="1440"/>
      <c r="I124" s="1442"/>
      <c r="J124" s="1440"/>
      <c r="K124" s="1442">
        <v>7</v>
      </c>
      <c r="L124" s="1440"/>
      <c r="M124" s="1442"/>
      <c r="N124" s="1440"/>
      <c r="O124" s="1440" t="s">
        <v>2677</v>
      </c>
      <c r="P124" s="1440">
        <v>2263</v>
      </c>
      <c r="Q124" s="1439"/>
      <c r="R124" s="1439"/>
      <c r="S124" s="1439"/>
      <c r="T124" s="1439"/>
    </row>
    <row r="125" spans="1:20" s="1439" customFormat="1" ht="12.75" hidden="1" customHeight="1">
      <c r="A125" s="1443" t="s">
        <v>24</v>
      </c>
      <c r="B125" s="1440">
        <v>1.45</v>
      </c>
      <c r="C125" s="1440" t="s">
        <v>93</v>
      </c>
      <c r="D125" s="1440" t="s">
        <v>93</v>
      </c>
      <c r="E125" s="1440" t="s">
        <v>93</v>
      </c>
      <c r="F125" s="1440">
        <v>130</v>
      </c>
      <c r="G125" s="1440"/>
      <c r="H125" s="1440"/>
      <c r="I125" s="1442"/>
      <c r="J125" s="1440"/>
      <c r="K125" s="1442">
        <v>7</v>
      </c>
      <c r="L125" s="1440"/>
      <c r="M125" s="1442"/>
      <c r="N125" s="1440"/>
      <c r="O125" s="1440" t="s">
        <v>2677</v>
      </c>
      <c r="P125" s="1440">
        <v>2280</v>
      </c>
    </row>
    <row r="126" spans="1:20" s="1441" customFormat="1" ht="12.75" hidden="1" customHeight="1">
      <c r="A126" s="1443" t="s">
        <v>25</v>
      </c>
      <c r="B126" s="1440">
        <v>1.57</v>
      </c>
      <c r="C126" s="1440" t="s">
        <v>93</v>
      </c>
      <c r="D126" s="1440" t="s">
        <v>93</v>
      </c>
      <c r="E126" s="1440" t="s">
        <v>93</v>
      </c>
      <c r="F126" s="1440">
        <v>20</v>
      </c>
      <c r="G126" s="1440"/>
      <c r="H126" s="1440"/>
      <c r="I126" s="1442"/>
      <c r="J126" s="1440"/>
      <c r="K126" s="1442">
        <v>7</v>
      </c>
      <c r="L126" s="1440"/>
      <c r="M126" s="1442"/>
      <c r="N126" s="1440"/>
      <c r="O126" s="1440" t="s">
        <v>2677</v>
      </c>
      <c r="P126" s="1440">
        <v>2268.1</v>
      </c>
      <c r="Q126" s="1439"/>
      <c r="R126" s="1439"/>
      <c r="S126" s="1439"/>
      <c r="T126" s="1439"/>
    </row>
    <row r="127" spans="1:20" s="1439" customFormat="1" ht="12.75" hidden="1" customHeight="1">
      <c r="A127" s="1443" t="s">
        <v>26</v>
      </c>
      <c r="B127" s="1440">
        <v>2.84</v>
      </c>
      <c r="C127" s="1440" t="s">
        <v>93</v>
      </c>
      <c r="D127" s="1440" t="s">
        <v>93</v>
      </c>
      <c r="E127" s="1440" t="s">
        <v>93</v>
      </c>
      <c r="F127" s="1440">
        <v>11.8</v>
      </c>
      <c r="G127" s="1440"/>
      <c r="H127" s="1440"/>
      <c r="I127" s="1442"/>
      <c r="J127" s="1440"/>
      <c r="K127" s="1442">
        <v>7</v>
      </c>
      <c r="L127" s="1440"/>
      <c r="M127" s="1442"/>
      <c r="N127" s="1440"/>
      <c r="O127" s="1440" t="s">
        <v>2677</v>
      </c>
      <c r="P127" s="1440">
        <v>2415.3000000000002</v>
      </c>
    </row>
    <row r="128" spans="1:20" s="1441" customFormat="1" ht="12.75" hidden="1" customHeight="1">
      <c r="A128" s="1443" t="s">
        <v>27</v>
      </c>
      <c r="B128" s="1440">
        <v>2.71</v>
      </c>
      <c r="C128" s="1440" t="s">
        <v>93</v>
      </c>
      <c r="D128" s="1440" t="s">
        <v>93</v>
      </c>
      <c r="E128" s="1440" t="s">
        <v>93</v>
      </c>
      <c r="F128" s="1440">
        <v>48.52</v>
      </c>
      <c r="G128" s="1440"/>
      <c r="H128" s="1440"/>
      <c r="I128" s="1442"/>
      <c r="J128" s="1440"/>
      <c r="K128" s="1442">
        <v>7</v>
      </c>
      <c r="L128" s="1440"/>
      <c r="M128" s="1442"/>
      <c r="N128" s="1440"/>
      <c r="O128" s="1440" t="s">
        <v>2677</v>
      </c>
      <c r="P128" s="1440">
        <v>2451.1999999999998</v>
      </c>
      <c r="Q128" s="1439"/>
      <c r="R128" s="1439"/>
      <c r="S128" s="1439"/>
      <c r="T128" s="1439"/>
    </row>
    <row r="129" spans="1:36" s="1439" customFormat="1" ht="12.75" hidden="1" customHeight="1">
      <c r="A129" s="1443" t="s">
        <v>28</v>
      </c>
      <c r="B129" s="1440">
        <v>3.17</v>
      </c>
      <c r="C129" s="1440" t="s">
        <v>93</v>
      </c>
      <c r="D129" s="1440" t="s">
        <v>93</v>
      </c>
      <c r="E129" s="1440" t="s">
        <v>93</v>
      </c>
      <c r="F129" s="1440">
        <v>136.49</v>
      </c>
      <c r="G129" s="1440"/>
      <c r="H129" s="1440"/>
      <c r="I129" s="1442"/>
      <c r="J129" s="1440"/>
      <c r="K129" s="1442">
        <v>7</v>
      </c>
      <c r="L129" s="1440"/>
      <c r="M129" s="1442"/>
      <c r="N129" s="1440"/>
      <c r="O129" s="1440" t="s">
        <v>2677</v>
      </c>
      <c r="P129" s="1440">
        <v>2667.2</v>
      </c>
    </row>
    <row r="130" spans="1:36" s="1441" customFormat="1" ht="12.75" hidden="1" customHeight="1">
      <c r="A130" s="1443" t="s">
        <v>29</v>
      </c>
      <c r="B130" s="1440">
        <v>1.87</v>
      </c>
      <c r="C130" s="1440" t="s">
        <v>93</v>
      </c>
      <c r="D130" s="1440" t="s">
        <v>93</v>
      </c>
      <c r="E130" s="1440" t="s">
        <v>93</v>
      </c>
      <c r="F130" s="1440">
        <v>120</v>
      </c>
      <c r="G130" s="1440"/>
      <c r="H130" s="1440"/>
      <c r="I130" s="1442"/>
      <c r="J130" s="1440"/>
      <c r="K130" s="1442">
        <v>7</v>
      </c>
      <c r="L130" s="1440"/>
      <c r="M130" s="1442"/>
      <c r="N130" s="1440"/>
      <c r="O130" s="1440" t="s">
        <v>309</v>
      </c>
      <c r="P130" s="1440">
        <v>3287.9</v>
      </c>
      <c r="Q130" s="1439"/>
      <c r="R130" s="1439"/>
      <c r="S130" s="1439"/>
      <c r="T130" s="1439"/>
    </row>
    <row r="131" spans="1:36" s="1439" customFormat="1" ht="12.75" hidden="1" customHeight="1">
      <c r="A131" s="1443" t="s">
        <v>1449</v>
      </c>
      <c r="B131" s="1440"/>
      <c r="C131" s="1440"/>
      <c r="D131" s="1440"/>
      <c r="E131" s="1440"/>
      <c r="F131" s="1440"/>
      <c r="G131" s="1440"/>
      <c r="H131" s="1440"/>
      <c r="I131" s="1442"/>
      <c r="J131" s="1440"/>
      <c r="K131" s="1442"/>
      <c r="L131" s="1440"/>
      <c r="M131" s="1442"/>
      <c r="N131" s="1440"/>
      <c r="O131" s="1440"/>
      <c r="P131" s="1440"/>
    </row>
    <row r="132" spans="1:36" s="1441" customFormat="1" ht="12.75" hidden="1" customHeight="1">
      <c r="A132" s="1443" t="s">
        <v>18</v>
      </c>
      <c r="B132" s="1440">
        <v>1.46</v>
      </c>
      <c r="C132" s="1440" t="s">
        <v>93</v>
      </c>
      <c r="D132" s="1440" t="s">
        <v>93</v>
      </c>
      <c r="E132" s="1440" t="s">
        <v>93</v>
      </c>
      <c r="F132" s="1440">
        <v>103.002</v>
      </c>
      <c r="G132" s="1440"/>
      <c r="H132" s="1440"/>
      <c r="I132" s="1442"/>
      <c r="J132" s="1440"/>
      <c r="K132" s="1442">
        <v>7</v>
      </c>
      <c r="L132" s="1440"/>
      <c r="M132" s="1442"/>
      <c r="N132" s="1440"/>
      <c r="O132" s="1440" t="s">
        <v>309</v>
      </c>
      <c r="P132" s="1440">
        <v>3293.2</v>
      </c>
      <c r="Q132" s="1439"/>
      <c r="R132" s="1439"/>
      <c r="S132" s="1439"/>
      <c r="T132" s="1439"/>
    </row>
    <row r="133" spans="1:36" s="1441" customFormat="1" ht="12.75" hidden="1" customHeight="1">
      <c r="A133" s="1443" t="s">
        <v>19</v>
      </c>
      <c r="B133" s="1440">
        <v>1.25</v>
      </c>
      <c r="C133" s="1440" t="s">
        <v>93</v>
      </c>
      <c r="D133" s="1440" t="s">
        <v>93</v>
      </c>
      <c r="E133" s="1440" t="s">
        <v>93</v>
      </c>
      <c r="F133" s="1440">
        <v>80.512</v>
      </c>
      <c r="G133" s="1440"/>
      <c r="H133" s="1440"/>
      <c r="I133" s="1442"/>
      <c r="J133" s="1440"/>
      <c r="K133" s="1442">
        <v>7</v>
      </c>
      <c r="L133" s="1440"/>
      <c r="M133" s="1442"/>
      <c r="N133" s="1440"/>
      <c r="O133" s="1440" t="s">
        <v>2536</v>
      </c>
      <c r="P133" s="1440">
        <v>2849.2</v>
      </c>
      <c r="Q133" s="1439"/>
      <c r="R133" s="1439"/>
      <c r="S133" s="1439"/>
      <c r="T133" s="1439"/>
    </row>
    <row r="134" spans="1:36" s="1441" customFormat="1" ht="12.75" hidden="1" customHeight="1">
      <c r="A134" s="1443" t="s">
        <v>20</v>
      </c>
      <c r="B134" s="1440">
        <v>1.2</v>
      </c>
      <c r="C134" s="1440" t="s">
        <v>93</v>
      </c>
      <c r="D134" s="1440" t="s">
        <v>93</v>
      </c>
      <c r="E134" s="1440" t="s">
        <v>93</v>
      </c>
      <c r="F134" s="1440">
        <v>44.01</v>
      </c>
      <c r="G134" s="1440"/>
      <c r="H134" s="1440"/>
      <c r="I134" s="1442"/>
      <c r="J134" s="1440"/>
      <c r="K134" s="1442">
        <v>7</v>
      </c>
      <c r="L134" s="1440"/>
      <c r="M134" s="1442"/>
      <c r="N134" s="1440"/>
      <c r="O134" s="1440" t="s">
        <v>2536</v>
      </c>
      <c r="P134" s="1440">
        <v>2743.9</v>
      </c>
      <c r="Q134" s="1439"/>
      <c r="R134" s="1439"/>
      <c r="S134" s="1439"/>
      <c r="T134" s="1439"/>
    </row>
    <row r="135" spans="1:36" s="1441" customFormat="1" ht="12.75" hidden="1" customHeight="1">
      <c r="A135" s="1443" t="s">
        <v>21</v>
      </c>
      <c r="B135" s="1440">
        <v>1.24</v>
      </c>
      <c r="C135" s="1440" t="s">
        <v>93</v>
      </c>
      <c r="D135" s="1440" t="s">
        <v>93</v>
      </c>
      <c r="E135" s="1440" t="s">
        <v>93</v>
      </c>
      <c r="F135" s="1440">
        <v>58.118000000000002</v>
      </c>
      <c r="G135" s="1440"/>
      <c r="H135" s="1440"/>
      <c r="I135" s="1442"/>
      <c r="J135" s="1440"/>
      <c r="K135" s="1442">
        <v>7</v>
      </c>
      <c r="L135" s="1440"/>
      <c r="M135" s="1442"/>
      <c r="N135" s="1440"/>
      <c r="O135" s="1440" t="s">
        <v>2536</v>
      </c>
      <c r="P135" s="1440">
        <v>2900.2</v>
      </c>
      <c r="Q135" s="1439"/>
      <c r="R135" s="1439"/>
      <c r="S135" s="1439"/>
      <c r="T135" s="1439"/>
    </row>
    <row r="136" spans="1:36" s="1441" customFormat="1" ht="12.75" hidden="1" customHeight="1">
      <c r="A136" s="1443" t="s">
        <v>22</v>
      </c>
      <c r="B136" s="1440">
        <v>1.2</v>
      </c>
      <c r="C136" s="1440" t="s">
        <v>93</v>
      </c>
      <c r="D136" s="1440" t="s">
        <v>93</v>
      </c>
      <c r="E136" s="1440" t="s">
        <v>93</v>
      </c>
      <c r="F136" s="1440">
        <v>21.51</v>
      </c>
      <c r="G136" s="1440"/>
      <c r="H136" s="1440"/>
      <c r="I136" s="1442"/>
      <c r="J136" s="1440"/>
      <c r="K136" s="1442">
        <v>7</v>
      </c>
      <c r="L136" s="1440"/>
      <c r="M136" s="1442"/>
      <c r="N136" s="1440"/>
      <c r="O136" s="1440" t="s">
        <v>2536</v>
      </c>
      <c r="P136" s="1440">
        <v>2887.8</v>
      </c>
      <c r="Q136" s="1439"/>
      <c r="R136" s="1439"/>
      <c r="S136" s="1439"/>
      <c r="T136" s="1439"/>
    </row>
    <row r="137" spans="1:36" s="1441" customFormat="1" ht="12.75" hidden="1" customHeight="1">
      <c r="A137" s="1443" t="s">
        <v>23</v>
      </c>
      <c r="B137" s="1440">
        <v>1.2</v>
      </c>
      <c r="C137" s="1440" t="s">
        <v>93</v>
      </c>
      <c r="D137" s="1440" t="s">
        <v>93</v>
      </c>
      <c r="E137" s="1440" t="s">
        <v>93</v>
      </c>
      <c r="F137" s="1440">
        <v>15</v>
      </c>
      <c r="G137" s="1440"/>
      <c r="H137" s="1440"/>
      <c r="I137" s="1442"/>
      <c r="J137" s="1440"/>
      <c r="K137" s="1442">
        <v>7</v>
      </c>
      <c r="L137" s="1440"/>
      <c r="M137" s="1442"/>
      <c r="N137" s="1440"/>
      <c r="O137" s="1440" t="s">
        <v>2536</v>
      </c>
      <c r="P137" s="1440">
        <v>3001.2</v>
      </c>
      <c r="Q137" s="1439"/>
      <c r="R137" s="1439"/>
      <c r="S137" s="1439"/>
      <c r="T137" s="1439"/>
    </row>
    <row r="138" spans="1:36" s="1441" customFormat="1" ht="12.75" hidden="1" customHeight="1">
      <c r="A138" s="1443" t="s">
        <v>24</v>
      </c>
      <c r="B138" s="1440">
        <v>1.2</v>
      </c>
      <c r="C138" s="1440" t="s">
        <v>93</v>
      </c>
      <c r="D138" s="1440" t="s">
        <v>93</v>
      </c>
      <c r="E138" s="1440" t="s">
        <v>93</v>
      </c>
      <c r="F138" s="1440">
        <v>15</v>
      </c>
      <c r="G138" s="1440"/>
      <c r="H138" s="1440"/>
      <c r="I138" s="1442"/>
      <c r="J138" s="1440"/>
      <c r="K138" s="1442">
        <v>7</v>
      </c>
      <c r="L138" s="1440"/>
      <c r="M138" s="1442"/>
      <c r="N138" s="1440"/>
      <c r="O138" s="1440" t="s">
        <v>2536</v>
      </c>
      <c r="P138" s="1440">
        <v>3043.98</v>
      </c>
      <c r="Q138" s="1439"/>
      <c r="R138" s="1439"/>
      <c r="S138" s="1439"/>
      <c r="T138" s="1439"/>
    </row>
    <row r="139" spans="1:36" s="1441" customFormat="1" ht="12.75" hidden="1" customHeight="1">
      <c r="A139" s="1443" t="s">
        <v>25</v>
      </c>
      <c r="B139" s="1440">
        <v>1.1499999999999999</v>
      </c>
      <c r="C139" s="1440" t="s">
        <v>93</v>
      </c>
      <c r="D139" s="1440" t="s">
        <v>93</v>
      </c>
      <c r="E139" s="1440" t="s">
        <v>93</v>
      </c>
      <c r="F139" s="1440">
        <v>20</v>
      </c>
      <c r="G139" s="1440"/>
      <c r="H139" s="1440"/>
      <c r="I139" s="1442"/>
      <c r="J139" s="1440"/>
      <c r="K139" s="1442">
        <v>7</v>
      </c>
      <c r="L139" s="1440"/>
      <c r="M139" s="1442"/>
      <c r="N139" s="1440"/>
      <c r="O139" s="1440" t="s">
        <v>2536</v>
      </c>
      <c r="P139" s="1440">
        <v>3085.56</v>
      </c>
      <c r="Q139" s="1439"/>
      <c r="R139" s="1439"/>
      <c r="S139" s="1439"/>
      <c r="T139" s="1439"/>
    </row>
    <row r="140" spans="1:36" s="1441" customFormat="1" ht="12.75" hidden="1" customHeight="1">
      <c r="A140" s="1443" t="s">
        <v>26</v>
      </c>
      <c r="B140" s="1440">
        <v>1.1299999999999999</v>
      </c>
      <c r="C140" s="1440" t="s">
        <v>93</v>
      </c>
      <c r="D140" s="1440" t="s">
        <v>93</v>
      </c>
      <c r="E140" s="1440" t="s">
        <v>93</v>
      </c>
      <c r="F140" s="1440">
        <v>57.027000000000001</v>
      </c>
      <c r="G140" s="1440"/>
      <c r="H140" s="1440"/>
      <c r="I140" s="1442"/>
      <c r="J140" s="1440"/>
      <c r="K140" s="1442">
        <v>7</v>
      </c>
      <c r="L140" s="1440"/>
      <c r="M140" s="1442"/>
      <c r="N140" s="1440"/>
      <c r="O140" s="1440" t="s">
        <v>2536</v>
      </c>
      <c r="P140" s="1440">
        <v>3157.11</v>
      </c>
      <c r="Q140" s="1439"/>
      <c r="R140" s="1439"/>
      <c r="S140" s="1439"/>
      <c r="T140" s="1439"/>
    </row>
    <row r="141" spans="1:36" s="1441" customFormat="1" ht="12.75" hidden="1" customHeight="1">
      <c r="A141" s="1443" t="s">
        <v>27</v>
      </c>
      <c r="B141" s="1440">
        <v>1.0900000000000001</v>
      </c>
      <c r="C141" s="1440" t="s">
        <v>93</v>
      </c>
      <c r="D141" s="1440" t="s">
        <v>93</v>
      </c>
      <c r="E141" s="1440" t="s">
        <v>93</v>
      </c>
      <c r="F141" s="1440">
        <v>53.024999999999999</v>
      </c>
      <c r="G141" s="1440"/>
      <c r="H141" s="1440"/>
      <c r="I141" s="1442"/>
      <c r="J141" s="1440"/>
      <c r="K141" s="1442">
        <v>7</v>
      </c>
      <c r="L141" s="1440"/>
      <c r="M141" s="1442"/>
      <c r="N141" s="1440"/>
      <c r="O141" s="1440" t="s">
        <v>2536</v>
      </c>
      <c r="P141" s="1440">
        <v>3160.5</v>
      </c>
      <c r="Q141" s="1439"/>
      <c r="R141" s="1439"/>
      <c r="S141" s="1439"/>
      <c r="T141" s="1439"/>
    </row>
    <row r="142" spans="1:36" s="1441" customFormat="1" ht="12.75" hidden="1" customHeight="1">
      <c r="A142" s="1443" t="s">
        <v>28</v>
      </c>
      <c r="B142" s="1440">
        <v>1.08</v>
      </c>
      <c r="C142" s="1440" t="s">
        <v>93</v>
      </c>
      <c r="D142" s="1440" t="s">
        <v>93</v>
      </c>
      <c r="E142" s="1440" t="s">
        <v>93</v>
      </c>
      <c r="F142" s="1440">
        <v>88.507000000000005</v>
      </c>
      <c r="G142" s="1440"/>
      <c r="H142" s="1440"/>
      <c r="I142" s="1442"/>
      <c r="J142" s="1440"/>
      <c r="K142" s="1442">
        <v>7</v>
      </c>
      <c r="L142" s="1440"/>
      <c r="M142" s="1442"/>
      <c r="N142" s="1440"/>
      <c r="O142" s="1440" t="s">
        <v>2536</v>
      </c>
      <c r="P142" s="1440">
        <v>3165.35</v>
      </c>
      <c r="Q142" s="1439"/>
      <c r="R142" s="1439"/>
      <c r="S142" s="1439"/>
      <c r="T142" s="1439"/>
    </row>
    <row r="143" spans="1:36" s="1441" customFormat="1" ht="12.75" hidden="1" customHeight="1">
      <c r="A143" s="1443" t="s">
        <v>29</v>
      </c>
      <c r="B143" s="1440">
        <v>1.06</v>
      </c>
      <c r="C143" s="1440" t="s">
        <v>93</v>
      </c>
      <c r="D143" s="1440" t="s">
        <v>93</v>
      </c>
      <c r="E143" s="1440" t="s">
        <v>93</v>
      </c>
      <c r="F143" s="1440">
        <v>69.004000000000005</v>
      </c>
      <c r="G143" s="1440"/>
      <c r="H143" s="1440"/>
      <c r="I143" s="1442"/>
      <c r="J143" s="1440"/>
      <c r="K143" s="1442">
        <v>7</v>
      </c>
      <c r="L143" s="1440"/>
      <c r="M143" s="1442"/>
      <c r="N143" s="1440"/>
      <c r="O143" s="1440" t="s">
        <v>2536</v>
      </c>
      <c r="P143" s="1440">
        <v>3149.29</v>
      </c>
      <c r="Q143" s="1439"/>
      <c r="R143" s="1439"/>
      <c r="S143" s="1439"/>
      <c r="T143" s="1439"/>
    </row>
    <row r="144" spans="1:36" s="543" customFormat="1" ht="12.75" hidden="1" customHeight="1">
      <c r="A144" s="1437" t="s">
        <v>1660</v>
      </c>
      <c r="B144" s="1444">
        <f t="shared" ref="B144:H144" si="0">B156</f>
        <v>0.91</v>
      </c>
      <c r="C144" s="1445" t="str">
        <f t="shared" si="0"/>
        <v>-</v>
      </c>
      <c r="D144" s="1445" t="str">
        <f t="shared" si="0"/>
        <v>-</v>
      </c>
      <c r="E144" s="1445" t="str">
        <f t="shared" si="0"/>
        <v>-</v>
      </c>
      <c r="F144" s="1445">
        <f t="shared" si="0"/>
        <v>27</v>
      </c>
      <c r="G144" s="1445" t="str">
        <f t="shared" si="0"/>
        <v>-</v>
      </c>
      <c r="H144" s="1445" t="str">
        <f t="shared" si="0"/>
        <v>-</v>
      </c>
      <c r="I144" s="1444"/>
      <c r="J144" s="1445"/>
      <c r="K144" s="1444">
        <v>5</v>
      </c>
      <c r="L144" s="1445" t="s">
        <v>93</v>
      </c>
      <c r="M144" s="1444"/>
      <c r="N144" s="1445"/>
      <c r="O144" s="1444">
        <f>O156</f>
        <v>3.5</v>
      </c>
      <c r="P144" s="1445">
        <f t="shared" ref="P144" si="1">P156</f>
        <v>3220.42</v>
      </c>
      <c r="Q144" s="1439"/>
      <c r="R144" s="1439"/>
      <c r="S144" s="1439"/>
      <c r="T144" s="1439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2"/>
      <c r="AF144" s="542"/>
      <c r="AG144" s="542"/>
      <c r="AH144" s="542"/>
      <c r="AI144" s="542"/>
      <c r="AJ144" s="542"/>
    </row>
    <row r="145" spans="1:36" s="1447" customFormat="1" ht="12.75" hidden="1" customHeight="1">
      <c r="A145" s="840" t="s">
        <v>18</v>
      </c>
      <c r="B145" s="1446">
        <v>1.07</v>
      </c>
      <c r="C145" s="545" t="s">
        <v>93</v>
      </c>
      <c r="D145" s="545" t="s">
        <v>93</v>
      </c>
      <c r="E145" s="545" t="s">
        <v>93</v>
      </c>
      <c r="F145" s="545">
        <v>94.995000000000005</v>
      </c>
      <c r="G145" s="545" t="s">
        <v>93</v>
      </c>
      <c r="H145" s="545" t="s">
        <v>93</v>
      </c>
      <c r="I145" s="1446"/>
      <c r="J145" s="545"/>
      <c r="K145" s="1446">
        <v>7</v>
      </c>
      <c r="L145" s="545" t="s">
        <v>93</v>
      </c>
      <c r="M145" s="1446"/>
      <c r="N145" s="545"/>
      <c r="O145" s="1446">
        <v>4.75</v>
      </c>
      <c r="P145" s="545">
        <v>3166.69</v>
      </c>
      <c r="Q145" s="1439"/>
      <c r="R145" s="1439"/>
      <c r="S145" s="1439"/>
      <c r="T145" s="1439"/>
      <c r="U145" s="1441"/>
      <c r="V145" s="1441"/>
      <c r="W145" s="1441"/>
      <c r="X145" s="1441"/>
      <c r="Y145" s="1441"/>
      <c r="Z145" s="1441"/>
      <c r="AA145" s="1441"/>
      <c r="AB145" s="1441"/>
      <c r="AC145" s="1441"/>
      <c r="AD145" s="1441"/>
      <c r="AE145" s="1441"/>
      <c r="AF145" s="1441"/>
      <c r="AG145" s="1441"/>
      <c r="AH145" s="1441"/>
      <c r="AI145" s="1441"/>
      <c r="AJ145" s="1441"/>
    </row>
    <row r="146" spans="1:36" s="1448" customFormat="1" ht="12.75" hidden="1" customHeight="1">
      <c r="A146" s="840" t="s">
        <v>19</v>
      </c>
      <c r="B146" s="1446">
        <v>1</v>
      </c>
      <c r="C146" s="545" t="s">
        <v>93</v>
      </c>
      <c r="D146" s="545" t="s">
        <v>93</v>
      </c>
      <c r="E146" s="545" t="s">
        <v>93</v>
      </c>
      <c r="F146" s="545">
        <v>94.995000000000005</v>
      </c>
      <c r="G146" s="545" t="s">
        <v>93</v>
      </c>
      <c r="H146" s="545" t="s">
        <v>93</v>
      </c>
      <c r="I146" s="1446"/>
      <c r="J146" s="545"/>
      <c r="K146" s="1446">
        <v>7</v>
      </c>
      <c r="L146" s="545" t="s">
        <v>93</v>
      </c>
      <c r="M146" s="1446"/>
      <c r="N146" s="545"/>
      <c r="O146" s="1446">
        <v>4.75</v>
      </c>
      <c r="P146" s="545">
        <v>3155.05</v>
      </c>
      <c r="Q146" s="1439"/>
      <c r="R146" s="1439"/>
      <c r="S146" s="1439"/>
      <c r="T146" s="1439"/>
      <c r="U146" s="1441"/>
      <c r="V146" s="1441"/>
      <c r="W146" s="1441"/>
      <c r="X146" s="1441"/>
      <c r="Y146" s="1441"/>
      <c r="Z146" s="1441"/>
      <c r="AA146" s="1441"/>
      <c r="AB146" s="1441"/>
      <c r="AC146" s="1441"/>
      <c r="AD146" s="1441"/>
      <c r="AE146" s="1441"/>
      <c r="AF146" s="1441"/>
      <c r="AG146" s="1441"/>
      <c r="AH146" s="1441"/>
      <c r="AI146" s="1441"/>
      <c r="AJ146" s="1441"/>
    </row>
    <row r="147" spans="1:36" s="1447" customFormat="1" ht="12.75" hidden="1" customHeight="1">
      <c r="A147" s="840" t="s">
        <v>20</v>
      </c>
      <c r="B147" s="1446">
        <v>1</v>
      </c>
      <c r="C147" s="545" t="s">
        <v>93</v>
      </c>
      <c r="D147" s="545" t="s">
        <v>93</v>
      </c>
      <c r="E147" s="545" t="s">
        <v>93</v>
      </c>
      <c r="F147" s="545">
        <v>90</v>
      </c>
      <c r="G147" s="545" t="s">
        <v>93</v>
      </c>
      <c r="H147" s="545" t="s">
        <v>93</v>
      </c>
      <c r="I147" s="1446"/>
      <c r="J147" s="545"/>
      <c r="K147" s="1446">
        <v>7</v>
      </c>
      <c r="L147" s="545" t="s">
        <v>93</v>
      </c>
      <c r="M147" s="1446"/>
      <c r="N147" s="545"/>
      <c r="O147" s="1446">
        <v>4.75</v>
      </c>
      <c r="P147" s="545">
        <v>3128.09</v>
      </c>
      <c r="Q147" s="1439"/>
      <c r="R147" s="1439"/>
      <c r="S147" s="1439"/>
      <c r="T147" s="1439"/>
      <c r="U147" s="1441"/>
      <c r="V147" s="1441"/>
      <c r="W147" s="1441"/>
      <c r="X147" s="1441"/>
      <c r="Y147" s="1441"/>
      <c r="Z147" s="1441"/>
      <c r="AA147" s="1441"/>
      <c r="AB147" s="1441"/>
      <c r="AC147" s="1441"/>
      <c r="AD147" s="1441"/>
      <c r="AE147" s="1441"/>
      <c r="AF147" s="1441"/>
      <c r="AG147" s="1441"/>
      <c r="AH147" s="1441"/>
      <c r="AI147" s="1441"/>
      <c r="AJ147" s="1441"/>
    </row>
    <row r="148" spans="1:36" s="1448" customFormat="1" ht="12.75" hidden="1" customHeight="1">
      <c r="A148" s="840" t="s">
        <v>21</v>
      </c>
      <c r="B148" s="1446">
        <v>1</v>
      </c>
      <c r="C148" s="545" t="s">
        <v>93</v>
      </c>
      <c r="D148" s="545" t="s">
        <v>93</v>
      </c>
      <c r="E148" s="545" t="s">
        <v>93</v>
      </c>
      <c r="F148" s="545">
        <v>120</v>
      </c>
      <c r="G148" s="545" t="s">
        <v>93</v>
      </c>
      <c r="H148" s="545" t="s">
        <v>93</v>
      </c>
      <c r="I148" s="1446"/>
      <c r="J148" s="545"/>
      <c r="K148" s="1446">
        <v>7</v>
      </c>
      <c r="L148" s="545" t="s">
        <v>93</v>
      </c>
      <c r="M148" s="1446"/>
      <c r="N148" s="545"/>
      <c r="O148" s="1446">
        <v>4.75</v>
      </c>
      <c r="P148" s="545">
        <v>3124.03</v>
      </c>
      <c r="Q148" s="1439"/>
      <c r="R148" s="1439"/>
      <c r="S148" s="1439"/>
      <c r="T148" s="1439"/>
      <c r="U148" s="1441"/>
      <c r="V148" s="1441"/>
      <c r="W148" s="1441"/>
      <c r="X148" s="1441"/>
      <c r="Y148" s="1441"/>
      <c r="Z148" s="1441"/>
      <c r="AA148" s="1441"/>
      <c r="AB148" s="1441"/>
      <c r="AC148" s="1441"/>
      <c r="AD148" s="1441"/>
      <c r="AE148" s="1441"/>
      <c r="AF148" s="1441"/>
      <c r="AG148" s="1441"/>
      <c r="AH148" s="1441"/>
      <c r="AI148" s="1441"/>
      <c r="AJ148" s="1441"/>
    </row>
    <row r="149" spans="1:36" s="1447" customFormat="1" ht="12.75" hidden="1" customHeight="1">
      <c r="A149" s="840" t="s">
        <v>22</v>
      </c>
      <c r="B149" s="1446">
        <v>0.99</v>
      </c>
      <c r="C149" s="545" t="s">
        <v>93</v>
      </c>
      <c r="D149" s="545" t="s">
        <v>93</v>
      </c>
      <c r="E149" s="545" t="s">
        <v>93</v>
      </c>
      <c r="F149" s="545">
        <v>90</v>
      </c>
      <c r="G149" s="545" t="s">
        <v>93</v>
      </c>
      <c r="H149" s="545" t="s">
        <v>93</v>
      </c>
      <c r="I149" s="1446"/>
      <c r="J149" s="545"/>
      <c r="K149" s="1446">
        <v>6</v>
      </c>
      <c r="L149" s="545" t="s">
        <v>93</v>
      </c>
      <c r="M149" s="1446"/>
      <c r="N149" s="545"/>
      <c r="O149" s="1446">
        <v>4.25</v>
      </c>
      <c r="P149" s="545">
        <v>3139.1030000000001</v>
      </c>
      <c r="Q149" s="1439"/>
      <c r="R149" s="1439"/>
      <c r="S149" s="1439"/>
      <c r="T149" s="1439"/>
      <c r="U149" s="1441"/>
      <c r="V149" s="1441"/>
      <c r="W149" s="1441"/>
      <c r="X149" s="1441"/>
      <c r="Y149" s="1441"/>
      <c r="Z149" s="1441"/>
      <c r="AA149" s="1441"/>
      <c r="AB149" s="1441"/>
      <c r="AC149" s="1441"/>
      <c r="AD149" s="1441"/>
      <c r="AE149" s="1441"/>
      <c r="AF149" s="1441"/>
      <c r="AG149" s="1441"/>
      <c r="AH149" s="1441"/>
      <c r="AI149" s="1441"/>
      <c r="AJ149" s="1441"/>
    </row>
    <row r="150" spans="1:36" s="1448" customFormat="1" ht="12.75" hidden="1" customHeight="1">
      <c r="A150" s="840" t="s">
        <v>23</v>
      </c>
      <c r="B150" s="1446">
        <v>0.99</v>
      </c>
      <c r="C150" s="545" t="s">
        <v>93</v>
      </c>
      <c r="D150" s="545" t="s">
        <v>93</v>
      </c>
      <c r="E150" s="545" t="s">
        <v>93</v>
      </c>
      <c r="F150" s="545">
        <v>10</v>
      </c>
      <c r="G150" s="545" t="s">
        <v>93</v>
      </c>
      <c r="H150" s="545" t="s">
        <v>93</v>
      </c>
      <c r="I150" s="1446"/>
      <c r="J150" s="545"/>
      <c r="K150" s="1446">
        <v>6</v>
      </c>
      <c r="L150" s="545" t="s">
        <v>93</v>
      </c>
      <c r="M150" s="1446"/>
      <c r="N150" s="545"/>
      <c r="O150" s="1446">
        <v>4.25</v>
      </c>
      <c r="P150" s="545">
        <v>3123.22</v>
      </c>
      <c r="Q150" s="1439"/>
      <c r="R150" s="1439"/>
      <c r="S150" s="1439"/>
      <c r="T150" s="1439"/>
      <c r="U150" s="1441"/>
      <c r="V150" s="1441"/>
      <c r="W150" s="1441"/>
      <c r="X150" s="1441"/>
      <c r="Y150" s="1441"/>
      <c r="Z150" s="1441"/>
      <c r="AA150" s="1441"/>
      <c r="AB150" s="1441"/>
      <c r="AC150" s="1441"/>
      <c r="AD150" s="1441"/>
      <c r="AE150" s="1441"/>
      <c r="AF150" s="1441"/>
      <c r="AG150" s="1441"/>
      <c r="AH150" s="1441"/>
      <c r="AI150" s="1441"/>
      <c r="AJ150" s="1441"/>
    </row>
    <row r="151" spans="1:36" s="1447" customFormat="1" ht="12.75" hidden="1" customHeight="1">
      <c r="A151" s="840" t="s">
        <v>24</v>
      </c>
      <c r="B151" s="1446">
        <v>0.99</v>
      </c>
      <c r="C151" s="545" t="s">
        <v>93</v>
      </c>
      <c r="D151" s="545" t="s">
        <v>93</v>
      </c>
      <c r="E151" s="545" t="s">
        <v>93</v>
      </c>
      <c r="F151" s="545">
        <v>0</v>
      </c>
      <c r="G151" s="545" t="s">
        <v>93</v>
      </c>
      <c r="H151" s="545" t="s">
        <v>93</v>
      </c>
      <c r="I151" s="1446"/>
      <c r="J151" s="545"/>
      <c r="K151" s="1446">
        <v>6</v>
      </c>
      <c r="L151" s="545" t="s">
        <v>93</v>
      </c>
      <c r="M151" s="1446"/>
      <c r="N151" s="545"/>
      <c r="O151" s="1446">
        <v>4.25</v>
      </c>
      <c r="P151" s="545">
        <v>3102.63</v>
      </c>
      <c r="Q151" s="1439"/>
      <c r="R151" s="1439"/>
      <c r="S151" s="1439"/>
      <c r="T151" s="1439"/>
      <c r="U151" s="1441"/>
      <c r="V151" s="1441"/>
      <c r="W151" s="1441"/>
      <c r="X151" s="1441"/>
      <c r="Y151" s="1441"/>
      <c r="Z151" s="1441"/>
      <c r="AA151" s="1441"/>
      <c r="AB151" s="1441"/>
      <c r="AC151" s="1441"/>
      <c r="AD151" s="1441"/>
      <c r="AE151" s="1441"/>
      <c r="AF151" s="1441"/>
      <c r="AG151" s="1441"/>
      <c r="AH151" s="1441"/>
      <c r="AI151" s="1441"/>
      <c r="AJ151" s="1441"/>
    </row>
    <row r="152" spans="1:36" s="1448" customFormat="1" ht="12.75" hidden="1" customHeight="1">
      <c r="A152" s="840" t="s">
        <v>25</v>
      </c>
      <c r="B152" s="1446">
        <v>1.1000000000000001</v>
      </c>
      <c r="C152" s="545" t="s">
        <v>93</v>
      </c>
      <c r="D152" s="545" t="s">
        <v>93</v>
      </c>
      <c r="E152" s="545" t="s">
        <v>93</v>
      </c>
      <c r="F152" s="545">
        <v>9</v>
      </c>
      <c r="G152" s="545" t="s">
        <v>93</v>
      </c>
      <c r="H152" s="545" t="s">
        <v>93</v>
      </c>
      <c r="I152" s="1446"/>
      <c r="J152" s="545"/>
      <c r="K152" s="1446">
        <v>5</v>
      </c>
      <c r="L152" s="545" t="s">
        <v>93</v>
      </c>
      <c r="M152" s="1446"/>
      <c r="N152" s="545"/>
      <c r="O152" s="1446">
        <v>3.5</v>
      </c>
      <c r="P152" s="545">
        <v>3098.27</v>
      </c>
      <c r="Q152" s="1439"/>
      <c r="R152" s="1439"/>
      <c r="S152" s="1439"/>
      <c r="T152" s="1439"/>
      <c r="U152" s="1441"/>
      <c r="V152" s="1441"/>
      <c r="W152" s="1441"/>
      <c r="X152" s="1441"/>
      <c r="Y152" s="1441"/>
      <c r="Z152" s="1441"/>
      <c r="AA152" s="1441"/>
      <c r="AB152" s="1441"/>
      <c r="AC152" s="1441"/>
      <c r="AD152" s="1441"/>
      <c r="AE152" s="1441"/>
      <c r="AF152" s="1441"/>
      <c r="AG152" s="1441"/>
      <c r="AH152" s="1441"/>
      <c r="AI152" s="1441"/>
      <c r="AJ152" s="1441"/>
    </row>
    <row r="153" spans="1:36" s="1447" customFormat="1" ht="12.75" hidden="1" customHeight="1">
      <c r="A153" s="840" t="s">
        <v>26</v>
      </c>
      <c r="B153" s="1446">
        <v>1.05</v>
      </c>
      <c r="C153" s="545" t="s">
        <v>93</v>
      </c>
      <c r="D153" s="545" t="s">
        <v>93</v>
      </c>
      <c r="E153" s="545" t="s">
        <v>93</v>
      </c>
      <c r="F153" s="545">
        <v>15</v>
      </c>
      <c r="G153" s="545" t="s">
        <v>93</v>
      </c>
      <c r="H153" s="545" t="s">
        <v>93</v>
      </c>
      <c r="I153" s="1446"/>
      <c r="J153" s="545"/>
      <c r="K153" s="1446">
        <v>5</v>
      </c>
      <c r="L153" s="545" t="s">
        <v>93</v>
      </c>
      <c r="M153" s="1446"/>
      <c r="N153" s="545"/>
      <c r="O153" s="1446">
        <v>3.5</v>
      </c>
      <c r="P153" s="545">
        <v>3076.12</v>
      </c>
      <c r="Q153" s="1439"/>
      <c r="R153" s="1439"/>
      <c r="S153" s="1439"/>
      <c r="T153" s="1439"/>
      <c r="U153" s="1441"/>
      <c r="V153" s="1441"/>
      <c r="W153" s="1441"/>
      <c r="X153" s="1441"/>
      <c r="Y153" s="1441"/>
      <c r="Z153" s="1441"/>
      <c r="AA153" s="1441"/>
      <c r="AB153" s="1441"/>
      <c r="AC153" s="1441"/>
      <c r="AD153" s="1441"/>
      <c r="AE153" s="1441"/>
      <c r="AF153" s="1441"/>
      <c r="AG153" s="1441"/>
      <c r="AH153" s="1441"/>
      <c r="AI153" s="1441"/>
      <c r="AJ153" s="1441"/>
    </row>
    <row r="154" spans="1:36" s="1448" customFormat="1" ht="12.75" hidden="1" customHeight="1">
      <c r="A154" s="840" t="s">
        <v>27</v>
      </c>
      <c r="B154" s="1446">
        <v>0.97</v>
      </c>
      <c r="C154" s="545" t="s">
        <v>93</v>
      </c>
      <c r="D154" s="545" t="s">
        <v>93</v>
      </c>
      <c r="E154" s="545" t="s">
        <v>93</v>
      </c>
      <c r="F154" s="545">
        <v>10</v>
      </c>
      <c r="G154" s="545" t="s">
        <v>93</v>
      </c>
      <c r="H154" s="545" t="s">
        <v>93</v>
      </c>
      <c r="I154" s="1446"/>
      <c r="J154" s="545"/>
      <c r="K154" s="1446">
        <v>5</v>
      </c>
      <c r="L154" s="545" t="s">
        <v>93</v>
      </c>
      <c r="M154" s="1446"/>
      <c r="N154" s="545"/>
      <c r="O154" s="1446">
        <v>3.5</v>
      </c>
      <c r="P154" s="545">
        <v>3071.1</v>
      </c>
      <c r="Q154" s="1439"/>
      <c r="R154" s="1439"/>
      <c r="S154" s="1439"/>
      <c r="T154" s="1439"/>
      <c r="U154" s="1441"/>
      <c r="V154" s="1441"/>
      <c r="W154" s="1441"/>
      <c r="X154" s="1441"/>
      <c r="Y154" s="1441"/>
      <c r="Z154" s="1441"/>
      <c r="AA154" s="1441"/>
      <c r="AB154" s="1441"/>
      <c r="AC154" s="1441"/>
      <c r="AD154" s="1441"/>
      <c r="AE154" s="1441"/>
      <c r="AF154" s="1441"/>
      <c r="AG154" s="1441"/>
      <c r="AH154" s="1441"/>
      <c r="AI154" s="1441"/>
      <c r="AJ154" s="1441"/>
    </row>
    <row r="155" spans="1:36" s="1447" customFormat="1" ht="12.75" hidden="1" customHeight="1">
      <c r="A155" s="840" t="s">
        <v>28</v>
      </c>
      <c r="B155" s="1446">
        <v>0.96</v>
      </c>
      <c r="C155" s="545" t="s">
        <v>93</v>
      </c>
      <c r="D155" s="545" t="s">
        <v>93</v>
      </c>
      <c r="E155" s="545" t="s">
        <v>93</v>
      </c>
      <c r="F155" s="545">
        <v>30</v>
      </c>
      <c r="G155" s="545" t="s">
        <v>93</v>
      </c>
      <c r="H155" s="545" t="s">
        <v>93</v>
      </c>
      <c r="I155" s="1446"/>
      <c r="J155" s="545"/>
      <c r="K155" s="1446">
        <v>5</v>
      </c>
      <c r="L155" s="545" t="s">
        <v>93</v>
      </c>
      <c r="M155" s="1446"/>
      <c r="N155" s="545"/>
      <c r="O155" s="1446">
        <v>3.5</v>
      </c>
      <c r="P155" s="545">
        <v>3200.31</v>
      </c>
      <c r="Q155" s="1439"/>
      <c r="R155" s="1439"/>
      <c r="S155" s="1439"/>
      <c r="T155" s="1439"/>
      <c r="U155" s="1441"/>
      <c r="V155" s="1441"/>
      <c r="W155" s="1441"/>
      <c r="X155" s="1441"/>
      <c r="Y155" s="1441"/>
      <c r="Z155" s="1441"/>
      <c r="AA155" s="1441"/>
      <c r="AB155" s="1441"/>
      <c r="AC155" s="1441"/>
      <c r="AD155" s="1441"/>
      <c r="AE155" s="1441"/>
      <c r="AF155" s="1441"/>
      <c r="AG155" s="1441"/>
      <c r="AH155" s="1441"/>
      <c r="AI155" s="1441"/>
      <c r="AJ155" s="1441"/>
    </row>
    <row r="156" spans="1:36" s="1448" customFormat="1" ht="12.75" hidden="1" customHeight="1">
      <c r="A156" s="840" t="s">
        <v>29</v>
      </c>
      <c r="B156" s="1446">
        <v>0.91</v>
      </c>
      <c r="C156" s="545" t="s">
        <v>93</v>
      </c>
      <c r="D156" s="545" t="s">
        <v>93</v>
      </c>
      <c r="E156" s="545" t="s">
        <v>93</v>
      </c>
      <c r="F156" s="545">
        <v>27</v>
      </c>
      <c r="G156" s="545" t="s">
        <v>93</v>
      </c>
      <c r="H156" s="545" t="s">
        <v>93</v>
      </c>
      <c r="I156" s="1446"/>
      <c r="J156" s="545"/>
      <c r="K156" s="1446">
        <v>5</v>
      </c>
      <c r="L156" s="545" t="s">
        <v>93</v>
      </c>
      <c r="M156" s="1446"/>
      <c r="N156" s="545"/>
      <c r="O156" s="1446">
        <v>3.5</v>
      </c>
      <c r="P156" s="545">
        <v>3220.42</v>
      </c>
      <c r="Q156" s="1439"/>
      <c r="R156" s="1439"/>
      <c r="S156" s="1439"/>
      <c r="T156" s="1439"/>
      <c r="U156" s="1441"/>
      <c r="V156" s="1441"/>
      <c r="W156" s="1441"/>
      <c r="X156" s="1441"/>
      <c r="Y156" s="1441"/>
      <c r="Z156" s="1441"/>
      <c r="AA156" s="1441"/>
      <c r="AB156" s="1441"/>
      <c r="AC156" s="1441"/>
      <c r="AD156" s="1441"/>
      <c r="AE156" s="1441"/>
      <c r="AF156" s="1441"/>
      <c r="AG156" s="1441"/>
      <c r="AH156" s="1441"/>
      <c r="AI156" s="1441"/>
      <c r="AJ156" s="1441"/>
    </row>
    <row r="157" spans="1:36" s="539" customFormat="1" ht="12.75" hidden="1" customHeight="1">
      <c r="A157" s="839" t="s">
        <v>1855</v>
      </c>
      <c r="B157" s="540">
        <f t="shared" ref="B157:H157" si="2">B169</f>
        <v>0.91</v>
      </c>
      <c r="C157" s="541" t="str">
        <f t="shared" si="2"/>
        <v>-</v>
      </c>
      <c r="D157" s="541" t="str">
        <f t="shared" si="2"/>
        <v>-</v>
      </c>
      <c r="E157" s="541" t="str">
        <f t="shared" si="2"/>
        <v>-</v>
      </c>
      <c r="F157" s="541" t="str">
        <f t="shared" si="2"/>
        <v>-</v>
      </c>
      <c r="G157" s="541" t="str">
        <f t="shared" si="2"/>
        <v>-</v>
      </c>
      <c r="H157" s="541" t="str">
        <f t="shared" si="2"/>
        <v>-</v>
      </c>
      <c r="I157" s="540"/>
      <c r="J157" s="541"/>
      <c r="K157" s="540">
        <v>5</v>
      </c>
      <c r="L157" s="541" t="s">
        <v>93</v>
      </c>
      <c r="M157" s="540"/>
      <c r="N157" s="541"/>
      <c r="O157" s="540">
        <f>O169</f>
        <v>3</v>
      </c>
      <c r="P157" s="541">
        <f t="shared" ref="P157" si="3">P169</f>
        <v>6157.71</v>
      </c>
      <c r="Q157" s="1439"/>
      <c r="R157" s="1439"/>
      <c r="S157" s="1439"/>
      <c r="T157" s="1439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  <c r="AG157" s="538"/>
      <c r="AH157" s="538"/>
      <c r="AI157" s="538"/>
      <c r="AJ157" s="538"/>
    </row>
    <row r="158" spans="1:36" s="1448" customFormat="1" ht="12.75" hidden="1" customHeight="1">
      <c r="A158" s="840" t="s">
        <v>18</v>
      </c>
      <c r="B158" s="1446">
        <v>0.91</v>
      </c>
      <c r="C158" s="545" t="s">
        <v>93</v>
      </c>
      <c r="D158" s="545" t="s">
        <v>93</v>
      </c>
      <c r="E158" s="545" t="s">
        <v>93</v>
      </c>
      <c r="F158" s="545" t="s">
        <v>93</v>
      </c>
      <c r="G158" s="545" t="s">
        <v>93</v>
      </c>
      <c r="H158" s="545" t="s">
        <v>93</v>
      </c>
      <c r="I158" s="1446"/>
      <c r="J158" s="545"/>
      <c r="K158" s="1446">
        <v>5</v>
      </c>
      <c r="L158" s="545" t="s">
        <v>93</v>
      </c>
      <c r="M158" s="1446"/>
      <c r="N158" s="545"/>
      <c r="O158" s="1446" t="s">
        <v>2678</v>
      </c>
      <c r="P158" s="545">
        <v>3214.2</v>
      </c>
      <c r="Q158" s="1439"/>
      <c r="R158" s="1439"/>
      <c r="S158" s="1439"/>
      <c r="T158" s="1439"/>
      <c r="U158" s="1441"/>
      <c r="V158" s="1441"/>
      <c r="W158" s="1441"/>
      <c r="X158" s="1441"/>
      <c r="Y158" s="1441"/>
      <c r="Z158" s="1441"/>
      <c r="AA158" s="1441"/>
      <c r="AB158" s="1441"/>
      <c r="AC158" s="1441"/>
      <c r="AD158" s="1441"/>
      <c r="AE158" s="1441"/>
      <c r="AF158" s="1441"/>
      <c r="AG158" s="1441"/>
      <c r="AH158" s="1441"/>
      <c r="AI158" s="1441"/>
      <c r="AJ158" s="1441"/>
    </row>
    <row r="159" spans="1:36" s="1447" customFormat="1" ht="12.75" hidden="1" customHeight="1">
      <c r="A159" s="840" t="s">
        <v>19</v>
      </c>
      <c r="B159" s="1446">
        <v>0.91</v>
      </c>
      <c r="C159" s="545" t="s">
        <v>93</v>
      </c>
      <c r="D159" s="545" t="s">
        <v>93</v>
      </c>
      <c r="E159" s="545" t="s">
        <v>93</v>
      </c>
      <c r="F159" s="545" t="s">
        <v>93</v>
      </c>
      <c r="G159" s="545" t="s">
        <v>93</v>
      </c>
      <c r="H159" s="545" t="s">
        <v>93</v>
      </c>
      <c r="I159" s="1446"/>
      <c r="J159" s="545"/>
      <c r="K159" s="1446">
        <v>5</v>
      </c>
      <c r="L159" s="545" t="s">
        <v>93</v>
      </c>
      <c r="M159" s="1446"/>
      <c r="N159" s="545"/>
      <c r="O159" s="1446" t="s">
        <v>2678</v>
      </c>
      <c r="P159" s="545">
        <v>3229.21</v>
      </c>
      <c r="Q159" s="1439"/>
      <c r="R159" s="1439"/>
      <c r="S159" s="1439"/>
      <c r="T159" s="1439"/>
      <c r="U159" s="1441"/>
      <c r="V159" s="1441"/>
      <c r="W159" s="1441"/>
      <c r="X159" s="1441"/>
      <c r="Y159" s="1441"/>
      <c r="Z159" s="1441"/>
      <c r="AA159" s="1441"/>
      <c r="AB159" s="1441"/>
      <c r="AC159" s="1441"/>
      <c r="AD159" s="1441"/>
      <c r="AE159" s="1441"/>
      <c r="AF159" s="1441"/>
      <c r="AG159" s="1441"/>
      <c r="AH159" s="1441"/>
      <c r="AI159" s="1441"/>
      <c r="AJ159" s="1441"/>
    </row>
    <row r="160" spans="1:36" s="1448" customFormat="1" ht="12.75" hidden="1" customHeight="1">
      <c r="A160" s="840" t="s">
        <v>20</v>
      </c>
      <c r="B160" s="1446">
        <v>0.91</v>
      </c>
      <c r="C160" s="545" t="s">
        <v>93</v>
      </c>
      <c r="D160" s="545" t="s">
        <v>93</v>
      </c>
      <c r="E160" s="545" t="s">
        <v>93</v>
      </c>
      <c r="F160" s="545" t="s">
        <v>93</v>
      </c>
      <c r="G160" s="545" t="s">
        <v>93</v>
      </c>
      <c r="H160" s="545" t="s">
        <v>93</v>
      </c>
      <c r="I160" s="1446"/>
      <c r="J160" s="545"/>
      <c r="K160" s="1446">
        <v>5</v>
      </c>
      <c r="L160" s="545" t="s">
        <v>93</v>
      </c>
      <c r="M160" s="1446"/>
      <c r="N160" s="545"/>
      <c r="O160" s="1446" t="s">
        <v>2678</v>
      </c>
      <c r="P160" s="545">
        <v>3883.37</v>
      </c>
      <c r="Q160" s="1439"/>
      <c r="R160" s="1439"/>
      <c r="S160" s="1439"/>
      <c r="T160" s="1439"/>
      <c r="U160" s="1441"/>
      <c r="V160" s="1441"/>
      <c r="W160" s="1441"/>
      <c r="X160" s="1441"/>
      <c r="Y160" s="1441"/>
      <c r="Z160" s="1441"/>
      <c r="AA160" s="1441"/>
      <c r="AB160" s="1441"/>
      <c r="AC160" s="1441"/>
      <c r="AD160" s="1441"/>
      <c r="AE160" s="1441"/>
      <c r="AF160" s="1441"/>
      <c r="AG160" s="1441"/>
      <c r="AH160" s="1441"/>
      <c r="AI160" s="1441"/>
      <c r="AJ160" s="1441"/>
    </row>
    <row r="161" spans="1:36" s="1447" customFormat="1" ht="12.75" hidden="1" customHeight="1">
      <c r="A161" s="840" t="s">
        <v>21</v>
      </c>
      <c r="B161" s="1446">
        <v>0.91</v>
      </c>
      <c r="C161" s="545" t="s">
        <v>93</v>
      </c>
      <c r="D161" s="545" t="s">
        <v>93</v>
      </c>
      <c r="E161" s="545" t="s">
        <v>93</v>
      </c>
      <c r="F161" s="545" t="s">
        <v>93</v>
      </c>
      <c r="G161" s="545" t="s">
        <v>93</v>
      </c>
      <c r="H161" s="545" t="s">
        <v>93</v>
      </c>
      <c r="I161" s="1446"/>
      <c r="J161" s="545"/>
      <c r="K161" s="1446">
        <v>5</v>
      </c>
      <c r="L161" s="545" t="s">
        <v>93</v>
      </c>
      <c r="M161" s="1446"/>
      <c r="N161" s="545"/>
      <c r="O161" s="1446" t="s">
        <v>2678</v>
      </c>
      <c r="P161" s="545">
        <v>4063.12</v>
      </c>
      <c r="Q161" s="1439"/>
      <c r="R161" s="1439"/>
      <c r="S161" s="1439"/>
      <c r="T161" s="1439"/>
      <c r="U161" s="1441"/>
      <c r="V161" s="1441"/>
      <c r="W161" s="1441"/>
      <c r="X161" s="1441"/>
      <c r="Y161" s="1441"/>
      <c r="Z161" s="1441"/>
      <c r="AA161" s="1441"/>
      <c r="AB161" s="1441"/>
      <c r="AC161" s="1441"/>
      <c r="AD161" s="1441"/>
      <c r="AE161" s="1441"/>
      <c r="AF161" s="1441"/>
      <c r="AG161" s="1441"/>
      <c r="AH161" s="1441"/>
      <c r="AI161" s="1441"/>
      <c r="AJ161" s="1441"/>
    </row>
    <row r="162" spans="1:36" s="1448" customFormat="1" ht="12.75" hidden="1" customHeight="1">
      <c r="A162" s="840" t="s">
        <v>22</v>
      </c>
      <c r="B162" s="1446">
        <v>0.91</v>
      </c>
      <c r="C162" s="545" t="s">
        <v>93</v>
      </c>
      <c r="D162" s="545" t="s">
        <v>93</v>
      </c>
      <c r="E162" s="545" t="s">
        <v>93</v>
      </c>
      <c r="F162" s="545" t="s">
        <v>93</v>
      </c>
      <c r="G162" s="545" t="s">
        <v>93</v>
      </c>
      <c r="H162" s="545" t="s">
        <v>93</v>
      </c>
      <c r="I162" s="1446"/>
      <c r="J162" s="545"/>
      <c r="K162" s="1446">
        <v>5</v>
      </c>
      <c r="L162" s="545" t="s">
        <v>93</v>
      </c>
      <c r="M162" s="1446"/>
      <c r="N162" s="545"/>
      <c r="O162" s="1446" t="s">
        <v>2678</v>
      </c>
      <c r="P162" s="545">
        <v>4116.53</v>
      </c>
      <c r="Q162" s="1439"/>
      <c r="R162" s="1439"/>
      <c r="S162" s="1439"/>
      <c r="T162" s="1439"/>
      <c r="U162" s="1441"/>
      <c r="V162" s="1441"/>
      <c r="W162" s="1441"/>
      <c r="X162" s="1441"/>
      <c r="Y162" s="1441"/>
      <c r="Z162" s="1441"/>
      <c r="AA162" s="1441"/>
      <c r="AB162" s="1441"/>
      <c r="AC162" s="1441"/>
      <c r="AD162" s="1441"/>
      <c r="AE162" s="1441"/>
      <c r="AF162" s="1441"/>
      <c r="AG162" s="1441"/>
      <c r="AH162" s="1441"/>
      <c r="AI162" s="1441"/>
      <c r="AJ162" s="1441"/>
    </row>
    <row r="163" spans="1:36" s="1449" customFormat="1" ht="12.75" hidden="1" customHeight="1">
      <c r="A163" s="840" t="s">
        <v>23</v>
      </c>
      <c r="B163" s="1446">
        <v>0.91</v>
      </c>
      <c r="C163" s="545" t="s">
        <v>93</v>
      </c>
      <c r="D163" s="545" t="s">
        <v>93</v>
      </c>
      <c r="E163" s="545" t="s">
        <v>93</v>
      </c>
      <c r="F163" s="545" t="s">
        <v>93</v>
      </c>
      <c r="G163" s="545" t="s">
        <v>93</v>
      </c>
      <c r="H163" s="545" t="s">
        <v>93</v>
      </c>
      <c r="I163" s="1446"/>
      <c r="J163" s="545"/>
      <c r="K163" s="1446">
        <v>5</v>
      </c>
      <c r="L163" s="545" t="s">
        <v>93</v>
      </c>
      <c r="M163" s="1446"/>
      <c r="N163" s="545"/>
      <c r="O163" s="1446" t="s">
        <v>2678</v>
      </c>
      <c r="P163" s="545">
        <v>4230.6400000000003</v>
      </c>
      <c r="Q163" s="1439"/>
      <c r="R163" s="1439"/>
      <c r="S163" s="1439"/>
      <c r="T163" s="1439"/>
      <c r="U163" s="1439"/>
      <c r="V163" s="1439"/>
      <c r="W163" s="1439"/>
      <c r="X163" s="1439"/>
      <c r="Y163" s="1439"/>
      <c r="Z163" s="1439"/>
      <c r="AA163" s="1439"/>
      <c r="AB163" s="1439"/>
      <c r="AC163" s="1439"/>
      <c r="AD163" s="1439"/>
      <c r="AE163" s="1439"/>
      <c r="AF163" s="1439"/>
      <c r="AG163" s="1439"/>
      <c r="AH163" s="1439"/>
      <c r="AI163" s="1439"/>
      <c r="AJ163" s="1439"/>
    </row>
    <row r="164" spans="1:36" s="1448" customFormat="1" ht="12.75" hidden="1" customHeight="1">
      <c r="A164" s="840" t="s">
        <v>24</v>
      </c>
      <c r="B164" s="1446">
        <v>0.91</v>
      </c>
      <c r="C164" s="545" t="s">
        <v>93</v>
      </c>
      <c r="D164" s="545" t="s">
        <v>93</v>
      </c>
      <c r="E164" s="545" t="s">
        <v>93</v>
      </c>
      <c r="F164" s="545" t="s">
        <v>93</v>
      </c>
      <c r="G164" s="545" t="s">
        <v>93</v>
      </c>
      <c r="H164" s="545" t="s">
        <v>93</v>
      </c>
      <c r="I164" s="1446"/>
      <c r="J164" s="545"/>
      <c r="K164" s="1446">
        <v>5</v>
      </c>
      <c r="L164" s="545" t="s">
        <v>93</v>
      </c>
      <c r="M164" s="1446"/>
      <c r="N164" s="545"/>
      <c r="O164" s="1446">
        <v>3</v>
      </c>
      <c r="P164" s="545">
        <v>4380.8999999999996</v>
      </c>
      <c r="Q164" s="1439"/>
      <c r="R164" s="1439"/>
      <c r="S164" s="1439"/>
      <c r="T164" s="1439"/>
      <c r="U164" s="1441"/>
      <c r="V164" s="1441"/>
      <c r="W164" s="1441"/>
      <c r="X164" s="1441"/>
      <c r="Y164" s="1441"/>
      <c r="Z164" s="1441"/>
      <c r="AA164" s="1441"/>
      <c r="AB164" s="1441"/>
      <c r="AC164" s="1441"/>
      <c r="AD164" s="1441"/>
      <c r="AE164" s="1441"/>
      <c r="AF164" s="1441"/>
      <c r="AG164" s="1441"/>
      <c r="AH164" s="1441"/>
      <c r="AI164" s="1441"/>
      <c r="AJ164" s="1441"/>
    </row>
    <row r="165" spans="1:36" s="1448" customFormat="1" ht="12.75" hidden="1" customHeight="1">
      <c r="A165" s="840" t="s">
        <v>25</v>
      </c>
      <c r="B165" s="1446">
        <v>0.91</v>
      </c>
      <c r="C165" s="545" t="s">
        <v>93</v>
      </c>
      <c r="D165" s="545" t="s">
        <v>93</v>
      </c>
      <c r="E165" s="545" t="s">
        <v>93</v>
      </c>
      <c r="F165" s="545" t="s">
        <v>93</v>
      </c>
      <c r="G165" s="545" t="s">
        <v>93</v>
      </c>
      <c r="H165" s="545" t="s">
        <v>93</v>
      </c>
      <c r="I165" s="1446"/>
      <c r="J165" s="545"/>
      <c r="K165" s="1446">
        <v>5</v>
      </c>
      <c r="L165" s="545" t="s">
        <v>93</v>
      </c>
      <c r="M165" s="1446"/>
      <c r="N165" s="545"/>
      <c r="O165" s="1446">
        <v>3</v>
      </c>
      <c r="P165" s="545">
        <v>4944.76</v>
      </c>
      <c r="Q165" s="1439"/>
      <c r="R165" s="1439"/>
      <c r="S165" s="1439"/>
      <c r="T165" s="1439"/>
      <c r="U165" s="1441"/>
      <c r="V165" s="1441"/>
      <c r="W165" s="1441"/>
      <c r="X165" s="1441"/>
      <c r="Y165" s="1441"/>
      <c r="Z165" s="1441"/>
      <c r="AA165" s="1441"/>
      <c r="AB165" s="1441"/>
      <c r="AC165" s="1441"/>
      <c r="AD165" s="1441"/>
      <c r="AE165" s="1441"/>
      <c r="AF165" s="1441"/>
      <c r="AG165" s="1441"/>
      <c r="AH165" s="1441"/>
      <c r="AI165" s="1441"/>
      <c r="AJ165" s="1441"/>
    </row>
    <row r="166" spans="1:36" s="1448" customFormat="1" ht="12.75" hidden="1" customHeight="1">
      <c r="A166" s="840" t="s">
        <v>26</v>
      </c>
      <c r="B166" s="1446">
        <v>0.91</v>
      </c>
      <c r="C166" s="545" t="s">
        <v>93</v>
      </c>
      <c r="D166" s="545" t="s">
        <v>93</v>
      </c>
      <c r="E166" s="545" t="s">
        <v>93</v>
      </c>
      <c r="F166" s="545" t="s">
        <v>93</v>
      </c>
      <c r="G166" s="545" t="s">
        <v>93</v>
      </c>
      <c r="H166" s="545" t="s">
        <v>93</v>
      </c>
      <c r="I166" s="1446"/>
      <c r="J166" s="545"/>
      <c r="K166" s="1446">
        <v>5</v>
      </c>
      <c r="L166" s="545" t="s">
        <v>93</v>
      </c>
      <c r="M166" s="1446"/>
      <c r="N166" s="545"/>
      <c r="O166" s="1446">
        <v>3</v>
      </c>
      <c r="P166" s="545">
        <v>5082.58</v>
      </c>
      <c r="Q166" s="1439"/>
      <c r="R166" s="1439"/>
      <c r="S166" s="1439"/>
      <c r="T166" s="1439"/>
      <c r="U166" s="1441"/>
      <c r="V166" s="1441"/>
      <c r="W166" s="1441"/>
      <c r="X166" s="1441"/>
      <c r="Y166" s="1441"/>
      <c r="Z166" s="1441"/>
      <c r="AA166" s="1441"/>
      <c r="AB166" s="1441"/>
      <c r="AC166" s="1441"/>
      <c r="AD166" s="1441"/>
      <c r="AE166" s="1441"/>
      <c r="AF166" s="1441"/>
      <c r="AG166" s="1441"/>
      <c r="AH166" s="1441"/>
      <c r="AI166" s="1441"/>
      <c r="AJ166" s="1441"/>
    </row>
    <row r="167" spans="1:36" s="1448" customFormat="1" ht="12.75" hidden="1" customHeight="1">
      <c r="A167" s="840" t="s">
        <v>27</v>
      </c>
      <c r="B167" s="1446">
        <v>0.91</v>
      </c>
      <c r="C167" s="545" t="s">
        <v>93</v>
      </c>
      <c r="D167" s="545" t="s">
        <v>93</v>
      </c>
      <c r="E167" s="545" t="s">
        <v>93</v>
      </c>
      <c r="F167" s="545" t="s">
        <v>93</v>
      </c>
      <c r="G167" s="545" t="s">
        <v>93</v>
      </c>
      <c r="H167" s="545" t="s">
        <v>93</v>
      </c>
      <c r="I167" s="1446"/>
      <c r="J167" s="545"/>
      <c r="K167" s="1446">
        <v>5</v>
      </c>
      <c r="L167" s="545" t="s">
        <v>93</v>
      </c>
      <c r="M167" s="1446"/>
      <c r="N167" s="545"/>
      <c r="O167" s="1446">
        <v>3</v>
      </c>
      <c r="P167" s="545">
        <v>5219.3</v>
      </c>
      <c r="Q167" s="1439"/>
      <c r="R167" s="1439"/>
      <c r="S167" s="1439"/>
      <c r="T167" s="1439"/>
      <c r="U167" s="1441"/>
      <c r="V167" s="1441"/>
      <c r="W167" s="1441"/>
      <c r="X167" s="1441"/>
      <c r="Y167" s="1441"/>
      <c r="Z167" s="1441"/>
      <c r="AA167" s="1441"/>
      <c r="AB167" s="1441"/>
      <c r="AC167" s="1441"/>
      <c r="AD167" s="1441"/>
      <c r="AE167" s="1441"/>
      <c r="AF167" s="1441"/>
      <c r="AG167" s="1441"/>
      <c r="AH167" s="1441"/>
      <c r="AI167" s="1441"/>
      <c r="AJ167" s="1441"/>
    </row>
    <row r="168" spans="1:36" s="1448" customFormat="1" ht="12.75" hidden="1" customHeight="1">
      <c r="A168" s="840" t="s">
        <v>28</v>
      </c>
      <c r="B168" s="1446">
        <v>0.91</v>
      </c>
      <c r="C168" s="545" t="s">
        <v>93</v>
      </c>
      <c r="D168" s="545" t="s">
        <v>93</v>
      </c>
      <c r="E168" s="545" t="s">
        <v>93</v>
      </c>
      <c r="F168" s="545" t="s">
        <v>93</v>
      </c>
      <c r="G168" s="545" t="s">
        <v>93</v>
      </c>
      <c r="H168" s="545" t="s">
        <v>93</v>
      </c>
      <c r="I168" s="1446"/>
      <c r="J168" s="545"/>
      <c r="K168" s="1446">
        <v>5</v>
      </c>
      <c r="L168" s="545" t="s">
        <v>93</v>
      </c>
      <c r="M168" s="1446"/>
      <c r="N168" s="545"/>
      <c r="O168" s="1446">
        <v>3</v>
      </c>
      <c r="P168" s="545">
        <v>5390.16</v>
      </c>
      <c r="Q168" s="1439"/>
      <c r="R168" s="1439"/>
      <c r="S168" s="1439"/>
      <c r="T168" s="1439"/>
      <c r="U168" s="1441"/>
      <c r="V168" s="1441"/>
      <c r="W168" s="1441"/>
      <c r="X168" s="1441"/>
      <c r="Y168" s="1441"/>
      <c r="Z168" s="1441"/>
      <c r="AA168" s="1441"/>
      <c r="AB168" s="1441"/>
      <c r="AC168" s="1441"/>
      <c r="AD168" s="1441"/>
      <c r="AE168" s="1441"/>
      <c r="AF168" s="1441"/>
      <c r="AG168" s="1441"/>
      <c r="AH168" s="1441"/>
      <c r="AI168" s="1441"/>
      <c r="AJ168" s="1441"/>
    </row>
    <row r="169" spans="1:36" s="1448" customFormat="1" ht="12.75" hidden="1" customHeight="1">
      <c r="A169" s="840" t="s">
        <v>29</v>
      </c>
      <c r="B169" s="1446">
        <v>0.91</v>
      </c>
      <c r="C169" s="545" t="s">
        <v>93</v>
      </c>
      <c r="D169" s="545" t="s">
        <v>93</v>
      </c>
      <c r="E169" s="545" t="s">
        <v>93</v>
      </c>
      <c r="F169" s="545" t="s">
        <v>93</v>
      </c>
      <c r="G169" s="545" t="s">
        <v>93</v>
      </c>
      <c r="H169" s="545" t="s">
        <v>93</v>
      </c>
      <c r="I169" s="1446"/>
      <c r="J169" s="545"/>
      <c r="K169" s="1446">
        <v>5</v>
      </c>
      <c r="L169" s="545" t="s">
        <v>93</v>
      </c>
      <c r="M169" s="1446"/>
      <c r="N169" s="545"/>
      <c r="O169" s="1446">
        <v>3</v>
      </c>
      <c r="P169" s="545">
        <v>6157.71</v>
      </c>
      <c r="Q169" s="1439"/>
      <c r="R169" s="1439"/>
      <c r="S169" s="1439"/>
      <c r="T169" s="1439"/>
      <c r="U169" s="1441"/>
      <c r="V169" s="1441"/>
      <c r="W169" s="1441"/>
      <c r="X169" s="1441"/>
      <c r="Y169" s="1441"/>
      <c r="Z169" s="1441"/>
      <c r="AA169" s="1441"/>
      <c r="AB169" s="1441"/>
      <c r="AC169" s="1441"/>
      <c r="AD169" s="1441"/>
      <c r="AE169" s="1441"/>
      <c r="AF169" s="1441"/>
      <c r="AG169" s="1441"/>
      <c r="AH169" s="1441"/>
      <c r="AI169" s="1441"/>
      <c r="AJ169" s="1441"/>
    </row>
    <row r="170" spans="1:36" s="543" customFormat="1" ht="12.75" hidden="1" customHeight="1">
      <c r="A170" s="839">
        <v>2016</v>
      </c>
      <c r="B170" s="540">
        <f t="shared" ref="B170:H170" si="4">B182</f>
        <v>14.99</v>
      </c>
      <c r="C170" s="541">
        <f t="shared" si="4"/>
        <v>0</v>
      </c>
      <c r="D170" s="541">
        <f t="shared" si="4"/>
        <v>0</v>
      </c>
      <c r="E170" s="541">
        <f t="shared" si="4"/>
        <v>0</v>
      </c>
      <c r="F170" s="541">
        <f t="shared" si="4"/>
        <v>109.62050000000001</v>
      </c>
      <c r="G170" s="541" t="str">
        <f t="shared" si="4"/>
        <v>-</v>
      </c>
      <c r="H170" s="541" t="str">
        <f t="shared" si="4"/>
        <v>-</v>
      </c>
      <c r="I170" s="540"/>
      <c r="J170" s="541"/>
      <c r="K170" s="540">
        <v>18</v>
      </c>
      <c r="L170" s="541" t="s">
        <v>93</v>
      </c>
      <c r="M170" s="540"/>
      <c r="N170" s="541"/>
      <c r="O170" s="540">
        <f>O182</f>
        <v>15</v>
      </c>
      <c r="P170" s="541">
        <f t="shared" ref="P170" si="5">P182</f>
        <v>4478.2821970499999</v>
      </c>
      <c r="Q170" s="1439"/>
      <c r="R170" s="1439"/>
      <c r="S170" s="1439"/>
      <c r="T170" s="1439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2"/>
      <c r="AF170" s="542"/>
      <c r="AG170" s="542"/>
      <c r="AH170" s="542"/>
      <c r="AI170" s="542"/>
      <c r="AJ170" s="542"/>
    </row>
    <row r="171" spans="1:36" s="1448" customFormat="1" ht="12.75" hidden="1" customHeight="1">
      <c r="A171" s="840" t="s">
        <v>18</v>
      </c>
      <c r="B171" s="1446">
        <v>0.91</v>
      </c>
      <c r="C171" s="545" t="s">
        <v>93</v>
      </c>
      <c r="D171" s="545" t="s">
        <v>93</v>
      </c>
      <c r="E171" s="545" t="s">
        <v>93</v>
      </c>
      <c r="F171" s="545" t="s">
        <v>93</v>
      </c>
      <c r="G171" s="545" t="s">
        <v>93</v>
      </c>
      <c r="H171" s="545" t="s">
        <v>93</v>
      </c>
      <c r="I171" s="1446"/>
      <c r="J171" s="545"/>
      <c r="K171" s="1446">
        <v>5</v>
      </c>
      <c r="L171" s="545" t="s">
        <v>93</v>
      </c>
      <c r="M171" s="1446"/>
      <c r="N171" s="545"/>
      <c r="O171" s="1446">
        <v>3</v>
      </c>
      <c r="P171" s="545">
        <v>6209.18</v>
      </c>
      <c r="Q171" s="1439"/>
      <c r="R171" s="1439"/>
      <c r="S171" s="1439"/>
      <c r="T171" s="1439"/>
      <c r="U171" s="1441"/>
      <c r="V171" s="1441"/>
      <c r="W171" s="1441"/>
      <c r="X171" s="1441"/>
      <c r="Y171" s="1441"/>
      <c r="Z171" s="1441"/>
      <c r="AA171" s="1441"/>
      <c r="AB171" s="1441"/>
      <c r="AC171" s="1441"/>
      <c r="AD171" s="1441"/>
      <c r="AE171" s="1441"/>
      <c r="AF171" s="1441"/>
      <c r="AG171" s="1441"/>
      <c r="AH171" s="1441"/>
      <c r="AI171" s="1441"/>
      <c r="AJ171" s="1441"/>
    </row>
    <row r="172" spans="1:36" s="1448" customFormat="1" ht="12.75" hidden="1" customHeight="1">
      <c r="A172" s="840" t="s">
        <v>19</v>
      </c>
      <c r="B172" s="1446">
        <v>0.91</v>
      </c>
      <c r="C172" s="545" t="s">
        <v>93</v>
      </c>
      <c r="D172" s="545" t="s">
        <v>93</v>
      </c>
      <c r="E172" s="545" t="s">
        <v>93</v>
      </c>
      <c r="F172" s="545" t="s">
        <v>93</v>
      </c>
      <c r="G172" s="545" t="s">
        <v>93</v>
      </c>
      <c r="H172" s="545" t="s">
        <v>93</v>
      </c>
      <c r="I172" s="1446"/>
      <c r="J172" s="545"/>
      <c r="K172" s="1446">
        <v>10</v>
      </c>
      <c r="L172" s="545" t="s">
        <v>93</v>
      </c>
      <c r="M172" s="1446"/>
      <c r="N172" s="545"/>
      <c r="O172" s="1446">
        <v>5</v>
      </c>
      <c r="P172" s="545">
        <v>6277.7</v>
      </c>
      <c r="Q172" s="1439"/>
      <c r="R172" s="1439"/>
      <c r="S172" s="1439"/>
      <c r="T172" s="1439"/>
      <c r="U172" s="1441"/>
      <c r="V172" s="1441"/>
      <c r="W172" s="1441"/>
      <c r="X172" s="1441"/>
      <c r="Y172" s="1441"/>
      <c r="Z172" s="1441"/>
      <c r="AA172" s="1441"/>
      <c r="AB172" s="1441"/>
      <c r="AC172" s="1441"/>
      <c r="AD172" s="1441"/>
      <c r="AE172" s="1441"/>
      <c r="AF172" s="1441"/>
      <c r="AG172" s="1441"/>
      <c r="AH172" s="1441"/>
      <c r="AI172" s="1441"/>
      <c r="AJ172" s="1441"/>
    </row>
    <row r="173" spans="1:36" s="1448" customFormat="1" ht="12.75" hidden="1" customHeight="1">
      <c r="A173" s="840" t="s">
        <v>20</v>
      </c>
      <c r="B173" s="1446">
        <v>0.91</v>
      </c>
      <c r="C173" s="545" t="s">
        <v>93</v>
      </c>
      <c r="D173" s="545" t="s">
        <v>93</v>
      </c>
      <c r="E173" s="545" t="s">
        <v>93</v>
      </c>
      <c r="F173" s="545" t="s">
        <v>93</v>
      </c>
      <c r="G173" s="545" t="s">
        <v>93</v>
      </c>
      <c r="H173" s="545" t="s">
        <v>93</v>
      </c>
      <c r="I173" s="1446"/>
      <c r="J173" s="545"/>
      <c r="K173" s="1446">
        <v>17</v>
      </c>
      <c r="L173" s="545" t="s">
        <v>93</v>
      </c>
      <c r="M173" s="1446"/>
      <c r="N173" s="545"/>
      <c r="O173" s="1446">
        <v>7</v>
      </c>
      <c r="P173" s="545">
        <v>6293.32</v>
      </c>
      <c r="Q173" s="1439"/>
      <c r="R173" s="1439"/>
      <c r="S173" s="1439"/>
      <c r="T173" s="1439"/>
      <c r="U173" s="1441"/>
      <c r="V173" s="1441"/>
      <c r="W173" s="1441"/>
      <c r="X173" s="1441"/>
      <c r="Y173" s="1441"/>
      <c r="Z173" s="1441"/>
      <c r="AA173" s="1441"/>
      <c r="AB173" s="1441"/>
      <c r="AC173" s="1441"/>
      <c r="AD173" s="1441"/>
      <c r="AE173" s="1441"/>
      <c r="AF173" s="1441"/>
      <c r="AG173" s="1441"/>
      <c r="AH173" s="1441"/>
      <c r="AI173" s="1441"/>
      <c r="AJ173" s="1441"/>
    </row>
    <row r="174" spans="1:36" s="1448" customFormat="1" ht="12.75" hidden="1" customHeight="1">
      <c r="A174" s="840" t="s">
        <v>21</v>
      </c>
      <c r="B174" s="1446">
        <v>0.91</v>
      </c>
      <c r="C174" s="545" t="s">
        <v>93</v>
      </c>
      <c r="D174" s="545" t="s">
        <v>93</v>
      </c>
      <c r="E174" s="545" t="s">
        <v>93</v>
      </c>
      <c r="F174" s="545" t="s">
        <v>93</v>
      </c>
      <c r="G174" s="545" t="s">
        <v>93</v>
      </c>
      <c r="H174" s="545" t="s">
        <v>93</v>
      </c>
      <c r="I174" s="1446"/>
      <c r="J174" s="545"/>
      <c r="K174" s="1446">
        <v>17</v>
      </c>
      <c r="L174" s="545" t="s">
        <v>93</v>
      </c>
      <c r="M174" s="1446"/>
      <c r="N174" s="545"/>
      <c r="O174" s="1446">
        <v>7</v>
      </c>
      <c r="P174" s="545">
        <v>6165.45</v>
      </c>
      <c r="Q174" s="1439"/>
      <c r="R174" s="1439"/>
      <c r="S174" s="1439"/>
      <c r="T174" s="1439"/>
      <c r="U174" s="1441"/>
      <c r="V174" s="1441"/>
      <c r="W174" s="1441"/>
      <c r="X174" s="1441"/>
      <c r="Y174" s="1441"/>
      <c r="Z174" s="1441"/>
      <c r="AA174" s="1441"/>
      <c r="AB174" s="1441"/>
      <c r="AC174" s="1441"/>
      <c r="AD174" s="1441"/>
      <c r="AE174" s="1441"/>
      <c r="AF174" s="1441"/>
      <c r="AG174" s="1441"/>
      <c r="AH174" s="1441"/>
      <c r="AI174" s="1441"/>
      <c r="AJ174" s="1441"/>
    </row>
    <row r="175" spans="1:36" s="1448" customFormat="1" ht="12.75" hidden="1" customHeight="1">
      <c r="A175" s="840" t="s">
        <v>22</v>
      </c>
      <c r="B175" s="1446">
        <v>0.91</v>
      </c>
      <c r="C175" s="545" t="s">
        <v>93</v>
      </c>
      <c r="D175" s="545" t="s">
        <v>93</v>
      </c>
      <c r="E175" s="545" t="s">
        <v>93</v>
      </c>
      <c r="F175" s="545" t="s">
        <v>93</v>
      </c>
      <c r="G175" s="545" t="s">
        <v>93</v>
      </c>
      <c r="H175" s="545" t="s">
        <v>93</v>
      </c>
      <c r="I175" s="1446"/>
      <c r="J175" s="545"/>
      <c r="K175" s="1446">
        <v>15</v>
      </c>
      <c r="L175" s="545" t="s">
        <v>93</v>
      </c>
      <c r="M175" s="1446"/>
      <c r="N175" s="545"/>
      <c r="O175" s="1446">
        <v>7</v>
      </c>
      <c r="P175" s="545">
        <v>6347.9</v>
      </c>
      <c r="Q175" s="1439"/>
      <c r="R175" s="1439"/>
      <c r="S175" s="1439"/>
      <c r="T175" s="1439"/>
      <c r="U175" s="1441"/>
      <c r="V175" s="1441"/>
      <c r="W175" s="1441"/>
      <c r="X175" s="1441"/>
      <c r="Y175" s="1441"/>
      <c r="Z175" s="1441"/>
      <c r="AA175" s="1441"/>
      <c r="AB175" s="1441"/>
      <c r="AC175" s="1441"/>
      <c r="AD175" s="1441"/>
      <c r="AE175" s="1441"/>
      <c r="AF175" s="1441"/>
      <c r="AG175" s="1441"/>
      <c r="AH175" s="1441"/>
      <c r="AI175" s="1441"/>
      <c r="AJ175" s="1441"/>
    </row>
    <row r="176" spans="1:36" s="1448" customFormat="1" ht="12.75" hidden="1" customHeight="1">
      <c r="A176" s="840" t="s">
        <v>23</v>
      </c>
      <c r="B176" s="1446">
        <v>0.91</v>
      </c>
      <c r="C176" s="545" t="s">
        <v>93</v>
      </c>
      <c r="D176" s="545" t="s">
        <v>93</v>
      </c>
      <c r="E176" s="545" t="s">
        <v>93</v>
      </c>
      <c r="F176" s="545" t="s">
        <v>93</v>
      </c>
      <c r="G176" s="545" t="s">
        <v>93</v>
      </c>
      <c r="H176" s="545" t="s">
        <v>93</v>
      </c>
      <c r="I176" s="1446"/>
      <c r="J176" s="545"/>
      <c r="K176" s="1446">
        <v>15</v>
      </c>
      <c r="L176" s="545" t="s">
        <v>93</v>
      </c>
      <c r="M176" s="1446"/>
      <c r="N176" s="545"/>
      <c r="O176" s="1446">
        <v>7</v>
      </c>
      <c r="P176" s="545">
        <v>6360.51</v>
      </c>
      <c r="Q176" s="1439"/>
      <c r="R176" s="1439"/>
      <c r="S176" s="1439"/>
      <c r="T176" s="1439"/>
      <c r="U176" s="1441"/>
      <c r="V176" s="1441"/>
      <c r="W176" s="1441"/>
      <c r="X176" s="1441"/>
      <c r="Y176" s="1441"/>
      <c r="Z176" s="1441"/>
      <c r="AA176" s="1441"/>
      <c r="AB176" s="1441"/>
      <c r="AC176" s="1441"/>
      <c r="AD176" s="1441"/>
      <c r="AE176" s="1441"/>
      <c r="AF176" s="1441"/>
      <c r="AG176" s="1441"/>
      <c r="AH176" s="1441"/>
      <c r="AI176" s="1441"/>
      <c r="AJ176" s="1441"/>
    </row>
    <row r="177" spans="1:36" s="1448" customFormat="1" ht="12.75" hidden="1" customHeight="1">
      <c r="A177" s="840" t="s">
        <v>24</v>
      </c>
      <c r="B177" s="1446">
        <v>0.91</v>
      </c>
      <c r="C177" s="545" t="s">
        <v>93</v>
      </c>
      <c r="D177" s="545" t="s">
        <v>93</v>
      </c>
      <c r="E177" s="545" t="s">
        <v>93</v>
      </c>
      <c r="F177" s="545" t="s">
        <v>93</v>
      </c>
      <c r="G177" s="545" t="s">
        <v>93</v>
      </c>
      <c r="H177" s="545" t="s">
        <v>93</v>
      </c>
      <c r="I177" s="1446"/>
      <c r="J177" s="545"/>
      <c r="K177" s="1446">
        <v>15</v>
      </c>
      <c r="L177" s="545" t="s">
        <v>93</v>
      </c>
      <c r="M177" s="1446"/>
      <c r="N177" s="545"/>
      <c r="O177" s="1446">
        <v>7</v>
      </c>
      <c r="P177" s="545">
        <v>6413.7</v>
      </c>
      <c r="Q177" s="1439"/>
      <c r="R177" s="1439"/>
      <c r="S177" s="1439"/>
      <c r="T177" s="1439"/>
      <c r="U177" s="1441"/>
      <c r="V177" s="1441"/>
      <c r="W177" s="1441"/>
      <c r="X177" s="1441"/>
      <c r="Y177" s="1441"/>
      <c r="Z177" s="1441"/>
      <c r="AA177" s="1441"/>
      <c r="AB177" s="1441"/>
      <c r="AC177" s="1441"/>
      <c r="AD177" s="1441"/>
      <c r="AE177" s="1441"/>
      <c r="AF177" s="1441"/>
      <c r="AG177" s="1441"/>
      <c r="AH177" s="1441"/>
      <c r="AI177" s="1441"/>
      <c r="AJ177" s="1441"/>
    </row>
    <row r="178" spans="1:36" s="1448" customFormat="1" ht="12.75" hidden="1" customHeight="1">
      <c r="A178" s="840" t="s">
        <v>25</v>
      </c>
      <c r="B178" s="1446">
        <v>0.91</v>
      </c>
      <c r="C178" s="545" t="s">
        <v>93</v>
      </c>
      <c r="D178" s="545" t="s">
        <v>93</v>
      </c>
      <c r="E178" s="545" t="s">
        <v>93</v>
      </c>
      <c r="F178" s="545" t="s">
        <v>93</v>
      </c>
      <c r="G178" s="545" t="s">
        <v>93</v>
      </c>
      <c r="H178" s="545" t="s">
        <v>93</v>
      </c>
      <c r="I178" s="1446"/>
      <c r="J178" s="545"/>
      <c r="K178" s="1446">
        <v>15</v>
      </c>
      <c r="L178" s="545" t="s">
        <v>93</v>
      </c>
      <c r="M178" s="1446"/>
      <c r="N178" s="545"/>
      <c r="O178" s="1446" t="s">
        <v>2673</v>
      </c>
      <c r="P178" s="545">
        <v>6500.6</v>
      </c>
      <c r="Q178" s="1439"/>
      <c r="R178" s="1439"/>
      <c r="S178" s="1439"/>
      <c r="T178" s="1439"/>
      <c r="U178" s="1441"/>
      <c r="V178" s="1441"/>
      <c r="W178" s="1441"/>
      <c r="X178" s="1441"/>
      <c r="Y178" s="1441"/>
      <c r="Z178" s="1441"/>
      <c r="AA178" s="1441"/>
      <c r="AB178" s="1441"/>
      <c r="AC178" s="1441"/>
      <c r="AD178" s="1441"/>
      <c r="AE178" s="1441"/>
      <c r="AF178" s="1441"/>
      <c r="AG178" s="1441"/>
      <c r="AH178" s="1441"/>
      <c r="AI178" s="1441"/>
      <c r="AJ178" s="1441"/>
    </row>
    <row r="179" spans="1:36" s="1448" customFormat="1" ht="12.75" hidden="1" customHeight="1">
      <c r="A179" s="840" t="s">
        <v>26</v>
      </c>
      <c r="B179" s="1446">
        <v>0.91</v>
      </c>
      <c r="C179" s="545" t="s">
        <v>93</v>
      </c>
      <c r="D179" s="545" t="s">
        <v>93</v>
      </c>
      <c r="E179" s="545" t="s">
        <v>93</v>
      </c>
      <c r="F179" s="545" t="s">
        <v>93</v>
      </c>
      <c r="G179" s="545" t="s">
        <v>93</v>
      </c>
      <c r="H179" s="545" t="s">
        <v>93</v>
      </c>
      <c r="I179" s="1446"/>
      <c r="J179" s="545"/>
      <c r="K179" s="1446">
        <v>18</v>
      </c>
      <c r="L179" s="545" t="s">
        <v>93</v>
      </c>
      <c r="M179" s="1446"/>
      <c r="N179" s="545"/>
      <c r="O179" s="1446">
        <v>15</v>
      </c>
      <c r="P179" s="545">
        <v>6475.13</v>
      </c>
      <c r="Q179" s="1439"/>
      <c r="R179" s="1439"/>
      <c r="S179" s="1439"/>
      <c r="T179" s="1439"/>
      <c r="U179" s="1441"/>
      <c r="V179" s="1441"/>
      <c r="W179" s="1441"/>
      <c r="X179" s="1441"/>
      <c r="Y179" s="1441"/>
      <c r="Z179" s="1441"/>
      <c r="AA179" s="1441"/>
      <c r="AB179" s="1441"/>
      <c r="AC179" s="1441"/>
      <c r="AD179" s="1441"/>
      <c r="AE179" s="1441"/>
      <c r="AF179" s="1441"/>
      <c r="AG179" s="1441"/>
      <c r="AH179" s="1441"/>
      <c r="AI179" s="1441"/>
      <c r="AJ179" s="1441"/>
    </row>
    <row r="180" spans="1:36" s="1448" customFormat="1" ht="12.75" hidden="1" customHeight="1">
      <c r="A180" s="840" t="s">
        <v>27</v>
      </c>
      <c r="B180" s="1446">
        <v>0.91</v>
      </c>
      <c r="C180" s="545" t="s">
        <v>93</v>
      </c>
      <c r="D180" s="545" t="s">
        <v>93</v>
      </c>
      <c r="E180" s="545" t="s">
        <v>93</v>
      </c>
      <c r="F180" s="545" t="s">
        <v>93</v>
      </c>
      <c r="G180" s="545" t="s">
        <v>93</v>
      </c>
      <c r="H180" s="545" t="s">
        <v>93</v>
      </c>
      <c r="I180" s="1446"/>
      <c r="J180" s="545"/>
      <c r="K180" s="1446">
        <v>18</v>
      </c>
      <c r="L180" s="545" t="s">
        <v>93</v>
      </c>
      <c r="M180" s="1446"/>
      <c r="N180" s="545"/>
      <c r="O180" s="1446">
        <v>15</v>
      </c>
      <c r="P180" s="545">
        <v>6782.18</v>
      </c>
      <c r="Q180" s="1439"/>
      <c r="R180" s="1439"/>
      <c r="S180" s="1439"/>
      <c r="T180" s="1439"/>
      <c r="U180" s="1441"/>
      <c r="V180" s="1441"/>
      <c r="W180" s="1441"/>
      <c r="X180" s="1441"/>
      <c r="Y180" s="1441"/>
      <c r="Z180" s="1441"/>
      <c r="AA180" s="1441"/>
      <c r="AB180" s="1441"/>
      <c r="AC180" s="1441"/>
      <c r="AD180" s="1441"/>
      <c r="AE180" s="1441"/>
      <c r="AF180" s="1441"/>
      <c r="AG180" s="1441"/>
      <c r="AH180" s="1441"/>
      <c r="AI180" s="1441"/>
      <c r="AJ180" s="1441"/>
    </row>
    <row r="181" spans="1:36" s="1448" customFormat="1" ht="12.75" hidden="1" customHeight="1">
      <c r="A181" s="840" t="s">
        <v>28</v>
      </c>
      <c r="B181" s="1446">
        <v>14.99</v>
      </c>
      <c r="C181" s="545"/>
      <c r="D181" s="545"/>
      <c r="E181" s="545"/>
      <c r="F181" s="545">
        <v>112.23</v>
      </c>
      <c r="G181" s="545" t="s">
        <v>93</v>
      </c>
      <c r="H181" s="545" t="s">
        <v>93</v>
      </c>
      <c r="I181" s="1446"/>
      <c r="J181" s="545"/>
      <c r="K181" s="1446">
        <v>18</v>
      </c>
      <c r="L181" s="545" t="s">
        <v>93</v>
      </c>
      <c r="M181" s="1446"/>
      <c r="N181" s="545"/>
      <c r="O181" s="1446">
        <v>15</v>
      </c>
      <c r="P181" s="545">
        <v>6624.1</v>
      </c>
      <c r="Q181" s="1439"/>
      <c r="R181" s="1439"/>
      <c r="S181" s="1439"/>
      <c r="T181" s="1439"/>
      <c r="U181" s="1441"/>
      <c r="V181" s="1441"/>
      <c r="W181" s="1441"/>
      <c r="X181" s="1441"/>
      <c r="Y181" s="1441"/>
      <c r="Z181" s="1441"/>
      <c r="AA181" s="1441"/>
      <c r="AB181" s="1441"/>
      <c r="AC181" s="1441"/>
      <c r="AD181" s="1441"/>
      <c r="AE181" s="1441"/>
      <c r="AF181" s="1441"/>
      <c r="AG181" s="1441"/>
      <c r="AH181" s="1441"/>
      <c r="AI181" s="1441"/>
      <c r="AJ181" s="1441"/>
    </row>
    <row r="182" spans="1:36" s="1448" customFormat="1" ht="12.75" hidden="1" customHeight="1">
      <c r="A182" s="840" t="s">
        <v>29</v>
      </c>
      <c r="B182" s="1446">
        <v>14.99</v>
      </c>
      <c r="C182" s="545"/>
      <c r="D182" s="545"/>
      <c r="E182" s="545"/>
      <c r="F182" s="545">
        <v>109.62050000000001</v>
      </c>
      <c r="G182" s="545" t="s">
        <v>93</v>
      </c>
      <c r="H182" s="545" t="s">
        <v>93</v>
      </c>
      <c r="I182" s="1446"/>
      <c r="J182" s="545"/>
      <c r="K182" s="1446">
        <v>18</v>
      </c>
      <c r="L182" s="545" t="s">
        <v>93</v>
      </c>
      <c r="M182" s="1446"/>
      <c r="N182" s="545"/>
      <c r="O182" s="1446">
        <v>15</v>
      </c>
      <c r="P182" s="545">
        <v>4478.2821970499999</v>
      </c>
      <c r="Q182" s="1439"/>
      <c r="R182" s="1439"/>
      <c r="S182" s="1439"/>
      <c r="T182" s="1439"/>
      <c r="U182" s="1441"/>
      <c r="V182" s="1441"/>
      <c r="W182" s="1441"/>
      <c r="X182" s="1441"/>
      <c r="Y182" s="1441"/>
      <c r="Z182" s="1441"/>
      <c r="AA182" s="1441"/>
      <c r="AB182" s="1441"/>
      <c r="AC182" s="1441"/>
      <c r="AD182" s="1441"/>
      <c r="AE182" s="1441"/>
      <c r="AF182" s="1441"/>
      <c r="AG182" s="1441"/>
      <c r="AH182" s="1441"/>
      <c r="AI182" s="1441"/>
      <c r="AJ182" s="1441"/>
    </row>
    <row r="183" spans="1:36" s="539" customFormat="1" ht="12.75" customHeight="1">
      <c r="A183" s="839" t="s">
        <v>1942</v>
      </c>
      <c r="B183" s="540">
        <f t="shared" ref="B183:H183" si="6">B195</f>
        <v>14.29</v>
      </c>
      <c r="C183" s="541">
        <f t="shared" si="6"/>
        <v>0</v>
      </c>
      <c r="D183" s="541">
        <f t="shared" si="6"/>
        <v>0</v>
      </c>
      <c r="E183" s="541">
        <f t="shared" si="6"/>
        <v>0</v>
      </c>
      <c r="F183" s="541">
        <f t="shared" si="6"/>
        <v>925.61150000000009</v>
      </c>
      <c r="G183" s="541" t="str">
        <f t="shared" si="6"/>
        <v>-</v>
      </c>
      <c r="H183" s="541" t="str">
        <f t="shared" si="6"/>
        <v>-</v>
      </c>
      <c r="I183" s="540" t="s">
        <v>93</v>
      </c>
      <c r="J183" s="541" t="s">
        <v>93</v>
      </c>
      <c r="K183" s="540">
        <v>18</v>
      </c>
      <c r="L183" s="541" t="s">
        <v>93</v>
      </c>
      <c r="M183" s="540"/>
      <c r="N183" s="541"/>
      <c r="O183" s="540">
        <f>O195</f>
        <v>15</v>
      </c>
      <c r="P183" s="541">
        <f t="shared" ref="P183" si="7">P195</f>
        <v>923.68404111999996</v>
      </c>
      <c r="Q183" s="1439"/>
      <c r="R183" s="1439"/>
      <c r="S183" s="1439"/>
      <c r="T183" s="1439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  <c r="AG183" s="538"/>
      <c r="AH183" s="538"/>
      <c r="AI183" s="538"/>
      <c r="AJ183" s="538"/>
    </row>
    <row r="184" spans="1:36" s="1448" customFormat="1" ht="12.75" customHeight="1">
      <c r="A184" s="840" t="s">
        <v>18</v>
      </c>
      <c r="B184" s="1446">
        <v>12.98</v>
      </c>
      <c r="C184" s="545" t="s">
        <v>93</v>
      </c>
      <c r="D184" s="545" t="s">
        <v>93</v>
      </c>
      <c r="E184" s="545" t="s">
        <v>93</v>
      </c>
      <c r="F184" s="545">
        <v>38.51</v>
      </c>
      <c r="G184" s="545" t="s">
        <v>93</v>
      </c>
      <c r="H184" s="545" t="s">
        <v>93</v>
      </c>
      <c r="I184" s="1446" t="s">
        <v>93</v>
      </c>
      <c r="J184" s="545" t="s">
        <v>93</v>
      </c>
      <c r="K184" s="1446">
        <v>18</v>
      </c>
      <c r="L184" s="545" t="s">
        <v>93</v>
      </c>
      <c r="M184" s="1446" t="s">
        <v>93</v>
      </c>
      <c r="N184" s="545" t="s">
        <v>93</v>
      </c>
      <c r="O184" s="1446">
        <v>15</v>
      </c>
      <c r="P184" s="545">
        <v>2167.0718782499998</v>
      </c>
      <c r="Q184" s="1439"/>
      <c r="R184" s="1439"/>
      <c r="S184" s="1439"/>
      <c r="T184" s="1439"/>
      <c r="U184" s="1441"/>
      <c r="V184" s="1441"/>
      <c r="W184" s="1441"/>
      <c r="X184" s="1441"/>
      <c r="Y184" s="1441"/>
      <c r="Z184" s="1441"/>
      <c r="AA184" s="1441"/>
      <c r="AB184" s="1441"/>
      <c r="AC184" s="1441"/>
      <c r="AD184" s="1441"/>
      <c r="AE184" s="1441"/>
      <c r="AF184" s="1441"/>
      <c r="AG184" s="1441"/>
      <c r="AH184" s="1441"/>
      <c r="AI184" s="1441"/>
      <c r="AJ184" s="1441"/>
    </row>
    <row r="185" spans="1:36" s="1448" customFormat="1" ht="12.75" customHeight="1">
      <c r="A185" s="840" t="s">
        <v>19</v>
      </c>
      <c r="B185" s="1446">
        <v>14.44</v>
      </c>
      <c r="C185" s="545" t="s">
        <v>93</v>
      </c>
      <c r="D185" s="545" t="s">
        <v>93</v>
      </c>
      <c r="E185" s="545" t="s">
        <v>93</v>
      </c>
      <c r="F185" s="545">
        <v>90.04</v>
      </c>
      <c r="G185" s="545" t="s">
        <v>93</v>
      </c>
      <c r="H185" s="545" t="s">
        <v>93</v>
      </c>
      <c r="I185" s="1446" t="s">
        <v>93</v>
      </c>
      <c r="J185" s="545" t="s">
        <v>93</v>
      </c>
      <c r="K185" s="1446">
        <v>18</v>
      </c>
      <c r="L185" s="545" t="s">
        <v>93</v>
      </c>
      <c r="M185" s="1446" t="s">
        <v>93</v>
      </c>
      <c r="N185" s="545" t="s">
        <v>93</v>
      </c>
      <c r="O185" s="1446">
        <v>15</v>
      </c>
      <c r="P185" s="545">
        <v>1429.0316082500001</v>
      </c>
      <c r="Q185" s="1439"/>
      <c r="R185" s="1439"/>
      <c r="S185" s="1439"/>
      <c r="T185" s="1439"/>
      <c r="U185" s="1441"/>
      <c r="V185" s="1441"/>
      <c r="W185" s="1441"/>
      <c r="X185" s="1441"/>
      <c r="Y185" s="1441"/>
      <c r="Z185" s="1441"/>
      <c r="AA185" s="1441"/>
      <c r="AB185" s="1441"/>
      <c r="AC185" s="1441"/>
      <c r="AD185" s="1441"/>
      <c r="AE185" s="1441"/>
      <c r="AF185" s="1441"/>
      <c r="AG185" s="1441"/>
      <c r="AH185" s="1441"/>
      <c r="AI185" s="1441"/>
      <c r="AJ185" s="1441"/>
    </row>
    <row r="186" spans="1:36" s="1448" customFormat="1" ht="12.75" customHeight="1">
      <c r="A186" s="840" t="s">
        <v>20</v>
      </c>
      <c r="B186" s="1446">
        <v>14.92</v>
      </c>
      <c r="C186" s="545" t="s">
        <v>93</v>
      </c>
      <c r="D186" s="545" t="s">
        <v>93</v>
      </c>
      <c r="E186" s="545" t="s">
        <v>93</v>
      </c>
      <c r="F186" s="545">
        <v>69.09</v>
      </c>
      <c r="G186" s="545" t="s">
        <v>93</v>
      </c>
      <c r="H186" s="545" t="s">
        <v>93</v>
      </c>
      <c r="I186" s="1446" t="s">
        <v>93</v>
      </c>
      <c r="J186" s="545" t="s">
        <v>93</v>
      </c>
      <c r="K186" s="1446">
        <v>18</v>
      </c>
      <c r="L186" s="545" t="s">
        <v>93</v>
      </c>
      <c r="M186" s="1446" t="s">
        <v>93</v>
      </c>
      <c r="N186" s="545" t="s">
        <v>93</v>
      </c>
      <c r="O186" s="1446">
        <v>15</v>
      </c>
      <c r="P186" s="545">
        <v>1420.8763775400002</v>
      </c>
      <c r="Q186" s="1439"/>
      <c r="R186" s="1439"/>
      <c r="S186" s="1439"/>
      <c r="T186" s="1439"/>
      <c r="U186" s="1441"/>
      <c r="V186" s="1441"/>
      <c r="W186" s="1441"/>
      <c r="X186" s="1441"/>
      <c r="Y186" s="1441"/>
      <c r="Z186" s="1441"/>
      <c r="AA186" s="1441"/>
      <c r="AB186" s="1441"/>
      <c r="AC186" s="1441"/>
      <c r="AD186" s="1441"/>
      <c r="AE186" s="1441"/>
      <c r="AF186" s="1441"/>
      <c r="AG186" s="1441"/>
      <c r="AH186" s="1441"/>
      <c r="AI186" s="1441"/>
      <c r="AJ186" s="1441"/>
    </row>
    <row r="187" spans="1:36" s="1448" customFormat="1" ht="12.75" customHeight="1">
      <c r="A187" s="840" t="s">
        <v>21</v>
      </c>
      <c r="B187" s="1446">
        <v>14.48</v>
      </c>
      <c r="C187" s="545" t="s">
        <v>93</v>
      </c>
      <c r="D187" s="545" t="s">
        <v>93</v>
      </c>
      <c r="E187" s="545" t="s">
        <v>93</v>
      </c>
      <c r="F187" s="545">
        <v>74.680000000000007</v>
      </c>
      <c r="G187" s="545" t="s">
        <v>93</v>
      </c>
      <c r="H187" s="545" t="s">
        <v>93</v>
      </c>
      <c r="I187" s="1446" t="s">
        <v>93</v>
      </c>
      <c r="J187" s="545" t="s">
        <v>93</v>
      </c>
      <c r="K187" s="1446">
        <v>18</v>
      </c>
      <c r="L187" s="545" t="s">
        <v>93</v>
      </c>
      <c r="M187" s="1446" t="s">
        <v>93</v>
      </c>
      <c r="N187" s="545" t="s">
        <v>93</v>
      </c>
      <c r="O187" s="1446">
        <v>15</v>
      </c>
      <c r="P187" s="545">
        <v>1359.2095834700001</v>
      </c>
      <c r="Q187" s="1439"/>
      <c r="R187" s="1439"/>
      <c r="S187" s="1439"/>
      <c r="T187" s="1439"/>
      <c r="U187" s="1441"/>
      <c r="V187" s="1441"/>
      <c r="W187" s="1441"/>
      <c r="X187" s="1441"/>
      <c r="Y187" s="1441"/>
      <c r="Z187" s="1441"/>
      <c r="AA187" s="1441"/>
      <c r="AB187" s="1441"/>
      <c r="AC187" s="1441"/>
      <c r="AD187" s="1441"/>
      <c r="AE187" s="1441"/>
      <c r="AF187" s="1441"/>
      <c r="AG187" s="1441"/>
      <c r="AH187" s="1441"/>
      <c r="AI187" s="1441"/>
      <c r="AJ187" s="1441"/>
    </row>
    <row r="188" spans="1:36" s="1448" customFormat="1" ht="12.75" customHeight="1">
      <c r="A188" s="840" t="s">
        <v>22</v>
      </c>
      <c r="B188" s="1446">
        <v>12.78</v>
      </c>
      <c r="C188" s="545" t="s">
        <v>93</v>
      </c>
      <c r="D188" s="545" t="s">
        <v>93</v>
      </c>
      <c r="E188" s="545" t="s">
        <v>93</v>
      </c>
      <c r="F188" s="545">
        <v>125</v>
      </c>
      <c r="G188" s="545" t="s">
        <v>93</v>
      </c>
      <c r="H188" s="545" t="s">
        <v>93</v>
      </c>
      <c r="I188" s="1446" t="s">
        <v>93</v>
      </c>
      <c r="J188" s="545" t="s">
        <v>93</v>
      </c>
      <c r="K188" s="1446">
        <v>18</v>
      </c>
      <c r="L188" s="545" t="s">
        <v>93</v>
      </c>
      <c r="M188" s="1446" t="s">
        <v>93</v>
      </c>
      <c r="N188" s="545" t="s">
        <v>93</v>
      </c>
      <c r="O188" s="1446">
        <v>15</v>
      </c>
      <c r="P188" s="545">
        <v>1121.49892086</v>
      </c>
      <c r="Q188" s="1439"/>
      <c r="R188" s="1439"/>
      <c r="S188" s="1439"/>
      <c r="T188" s="1439"/>
      <c r="U188" s="1441"/>
      <c r="V188" s="1441"/>
      <c r="W188" s="1441"/>
      <c r="X188" s="1441"/>
      <c r="Y188" s="1441"/>
      <c r="Z188" s="1441"/>
      <c r="AA188" s="1441"/>
      <c r="AB188" s="1441"/>
      <c r="AC188" s="1441"/>
      <c r="AD188" s="1441"/>
      <c r="AE188" s="1441"/>
      <c r="AF188" s="1441"/>
      <c r="AG188" s="1441"/>
      <c r="AH188" s="1441"/>
      <c r="AI188" s="1441"/>
      <c r="AJ188" s="1441"/>
    </row>
    <row r="189" spans="1:36" s="1448" customFormat="1" ht="12.75" customHeight="1">
      <c r="A189" s="840" t="s">
        <v>23</v>
      </c>
      <c r="B189" s="1446">
        <v>11.61</v>
      </c>
      <c r="C189" s="545" t="s">
        <v>93</v>
      </c>
      <c r="D189" s="545" t="s">
        <v>93</v>
      </c>
      <c r="E189" s="545" t="s">
        <v>93</v>
      </c>
      <c r="F189" s="545">
        <v>350</v>
      </c>
      <c r="G189" s="545" t="s">
        <v>93</v>
      </c>
      <c r="H189" s="545" t="s">
        <v>93</v>
      </c>
      <c r="I189" s="1446" t="s">
        <v>93</v>
      </c>
      <c r="J189" s="545" t="s">
        <v>93</v>
      </c>
      <c r="K189" s="1446">
        <v>18</v>
      </c>
      <c r="L189" s="545" t="s">
        <v>93</v>
      </c>
      <c r="M189" s="1446" t="s">
        <v>93</v>
      </c>
      <c r="N189" s="545" t="s">
        <v>93</v>
      </c>
      <c r="O189" s="1446">
        <v>15</v>
      </c>
      <c r="P189" s="545">
        <v>1085.5925731399998</v>
      </c>
      <c r="Q189" s="1439"/>
      <c r="R189" s="1439"/>
      <c r="S189" s="1439"/>
      <c r="T189" s="1439"/>
      <c r="AJ189" s="1441"/>
    </row>
    <row r="190" spans="1:36" s="1448" customFormat="1" ht="12.75" customHeight="1">
      <c r="A190" s="840" t="s">
        <v>24</v>
      </c>
      <c r="B190" s="1446">
        <v>10.01</v>
      </c>
      <c r="C190" s="545" t="s">
        <v>93</v>
      </c>
      <c r="D190" s="545" t="s">
        <v>93</v>
      </c>
      <c r="E190" s="545" t="s">
        <v>93</v>
      </c>
      <c r="F190" s="545">
        <v>450</v>
      </c>
      <c r="G190" s="545" t="s">
        <v>93</v>
      </c>
      <c r="H190" s="545" t="s">
        <v>93</v>
      </c>
      <c r="I190" s="1446" t="s">
        <v>93</v>
      </c>
      <c r="J190" s="545" t="s">
        <v>93</v>
      </c>
      <c r="K190" s="1446">
        <v>18</v>
      </c>
      <c r="L190" s="545" t="s">
        <v>93</v>
      </c>
      <c r="M190" s="1446" t="s">
        <v>93</v>
      </c>
      <c r="N190" s="545" t="s">
        <v>93</v>
      </c>
      <c r="O190" s="1446">
        <v>15</v>
      </c>
      <c r="P190" s="545">
        <v>1054.4211212</v>
      </c>
      <c r="Q190" s="1439"/>
      <c r="R190" s="1439"/>
      <c r="S190" s="1439"/>
      <c r="T190" s="1439"/>
      <c r="U190" s="1441"/>
      <c r="V190" s="1441"/>
      <c r="W190" s="1441"/>
      <c r="X190" s="1441"/>
      <c r="Y190" s="1441"/>
      <c r="Z190" s="1441"/>
      <c r="AA190" s="1441"/>
      <c r="AB190" s="1441"/>
      <c r="AC190" s="1441"/>
      <c r="AD190" s="1441"/>
      <c r="AE190" s="1441"/>
      <c r="AF190" s="1441"/>
      <c r="AG190" s="1441"/>
      <c r="AH190" s="1441"/>
      <c r="AI190" s="1441"/>
      <c r="AJ190" s="1441"/>
    </row>
    <row r="191" spans="1:36" s="1448" customFormat="1" ht="12.75" customHeight="1">
      <c r="A191" s="840" t="s">
        <v>25</v>
      </c>
      <c r="B191" s="1446">
        <v>10.01</v>
      </c>
      <c r="C191" s="545" t="s">
        <v>93</v>
      </c>
      <c r="D191" s="545" t="s">
        <v>93</v>
      </c>
      <c r="E191" s="545" t="s">
        <v>93</v>
      </c>
      <c r="F191" s="545">
        <v>550</v>
      </c>
      <c r="G191" s="545" t="s">
        <v>93</v>
      </c>
      <c r="H191" s="545" t="s">
        <v>93</v>
      </c>
      <c r="I191" s="1446" t="s">
        <v>93</v>
      </c>
      <c r="J191" s="545" t="s">
        <v>93</v>
      </c>
      <c r="K191" s="1446">
        <v>18</v>
      </c>
      <c r="L191" s="545" t="s">
        <v>93</v>
      </c>
      <c r="M191" s="1446" t="s">
        <v>93</v>
      </c>
      <c r="N191" s="545" t="s">
        <v>93</v>
      </c>
      <c r="O191" s="1446">
        <v>15</v>
      </c>
      <c r="P191" s="545">
        <v>1021.8211211999999</v>
      </c>
      <c r="Q191" s="1439"/>
      <c r="R191" s="1439"/>
      <c r="S191" s="1439"/>
      <c r="T191" s="1439"/>
      <c r="U191" s="1441"/>
      <c r="V191" s="1441"/>
      <c r="W191" s="1441"/>
      <c r="X191" s="1441"/>
      <c r="Y191" s="1441"/>
      <c r="Z191" s="1441"/>
      <c r="AA191" s="1441"/>
      <c r="AB191" s="1441"/>
      <c r="AC191" s="1441"/>
      <c r="AD191" s="1441"/>
      <c r="AE191" s="1441"/>
      <c r="AF191" s="1441"/>
      <c r="AG191" s="1441"/>
      <c r="AH191" s="1441"/>
      <c r="AI191" s="1441"/>
      <c r="AJ191" s="1441"/>
    </row>
    <row r="192" spans="1:36" s="1448" customFormat="1" ht="12.75" customHeight="1">
      <c r="A192" s="840" t="s">
        <v>26</v>
      </c>
      <c r="B192" s="1446">
        <v>10.01</v>
      </c>
      <c r="C192" s="545" t="s">
        <v>93</v>
      </c>
      <c r="D192" s="545" t="s">
        <v>93</v>
      </c>
      <c r="E192" s="545" t="s">
        <v>93</v>
      </c>
      <c r="F192" s="545">
        <v>600</v>
      </c>
      <c r="G192" s="545" t="s">
        <v>93</v>
      </c>
      <c r="H192" s="545" t="s">
        <v>93</v>
      </c>
      <c r="I192" s="1446" t="s">
        <v>93</v>
      </c>
      <c r="J192" s="545" t="s">
        <v>93</v>
      </c>
      <c r="K192" s="1446">
        <v>18</v>
      </c>
      <c r="L192" s="545" t="s">
        <v>93</v>
      </c>
      <c r="M192" s="1446" t="s">
        <v>93</v>
      </c>
      <c r="N192" s="545" t="s">
        <v>93</v>
      </c>
      <c r="O192" s="1446">
        <v>15</v>
      </c>
      <c r="P192" s="545">
        <v>980.96493977</v>
      </c>
      <c r="Q192" s="1439"/>
      <c r="R192" s="1439"/>
      <c r="S192" s="1439"/>
      <c r="T192" s="1439"/>
      <c r="U192" s="1441"/>
      <c r="V192" s="1441"/>
      <c r="W192" s="1441"/>
      <c r="X192" s="1441"/>
      <c r="Y192" s="1441"/>
      <c r="Z192" s="1441"/>
      <c r="AA192" s="1441"/>
      <c r="AB192" s="1441"/>
      <c r="AC192" s="1441"/>
      <c r="AD192" s="1441"/>
      <c r="AE192" s="1441"/>
      <c r="AF192" s="1441"/>
      <c r="AG192" s="1441"/>
      <c r="AH192" s="1441"/>
      <c r="AI192" s="1441"/>
      <c r="AJ192" s="1441"/>
    </row>
    <row r="193" spans="1:36" s="1448" customFormat="1" ht="12.75" customHeight="1">
      <c r="A193" s="840" t="s">
        <v>27</v>
      </c>
      <c r="B193" s="1446">
        <v>10.01</v>
      </c>
      <c r="C193" s="545"/>
      <c r="D193" s="545"/>
      <c r="E193" s="545"/>
      <c r="F193" s="545">
        <v>700</v>
      </c>
      <c r="G193" s="545" t="s">
        <v>93</v>
      </c>
      <c r="H193" s="545" t="s">
        <v>93</v>
      </c>
      <c r="I193" s="1446" t="s">
        <v>93</v>
      </c>
      <c r="J193" s="545" t="s">
        <v>93</v>
      </c>
      <c r="K193" s="1446">
        <v>18</v>
      </c>
      <c r="L193" s="545" t="s">
        <v>93</v>
      </c>
      <c r="M193" s="1446" t="s">
        <v>93</v>
      </c>
      <c r="N193" s="545" t="s">
        <v>93</v>
      </c>
      <c r="O193" s="1446">
        <v>15</v>
      </c>
      <c r="P193" s="545">
        <f>978440585.52/1000000</f>
        <v>978.44058552000001</v>
      </c>
      <c r="Q193" s="1439"/>
      <c r="R193" s="1439"/>
      <c r="S193" s="1439"/>
      <c r="T193" s="1439"/>
      <c r="U193" s="1441"/>
      <c r="V193" s="1441"/>
      <c r="W193" s="1441"/>
      <c r="X193" s="1441"/>
      <c r="Y193" s="1441"/>
      <c r="Z193" s="1441"/>
      <c r="AA193" s="1441"/>
      <c r="AB193" s="1441"/>
      <c r="AC193" s="1441"/>
      <c r="AD193" s="1441"/>
      <c r="AE193" s="1441"/>
      <c r="AF193" s="1441"/>
      <c r="AG193" s="1441"/>
      <c r="AH193" s="1441"/>
      <c r="AI193" s="1441"/>
      <c r="AJ193" s="1441"/>
    </row>
    <row r="194" spans="1:36" s="1448" customFormat="1" ht="12.75" customHeight="1">
      <c r="A194" s="840" t="s">
        <v>28</v>
      </c>
      <c r="B194" s="1446">
        <v>10.01</v>
      </c>
      <c r="C194" s="545"/>
      <c r="D194" s="545"/>
      <c r="E194" s="545"/>
      <c r="F194" s="545">
        <v>800</v>
      </c>
      <c r="G194" s="545" t="s">
        <v>93</v>
      </c>
      <c r="H194" s="545" t="s">
        <v>93</v>
      </c>
      <c r="I194" s="1446" t="s">
        <v>93</v>
      </c>
      <c r="J194" s="545" t="s">
        <v>93</v>
      </c>
      <c r="K194" s="1446">
        <v>18</v>
      </c>
      <c r="L194" s="545" t="s">
        <v>93</v>
      </c>
      <c r="M194" s="1446" t="s">
        <v>93</v>
      </c>
      <c r="N194" s="545" t="s">
        <v>93</v>
      </c>
      <c r="O194" s="1446" t="s">
        <v>2676</v>
      </c>
      <c r="P194" s="545">
        <f>948082966.51/1000000</f>
        <v>948.08296651000001</v>
      </c>
      <c r="Q194" s="1439"/>
      <c r="R194" s="1439"/>
      <c r="S194" s="1439"/>
      <c r="T194" s="1439"/>
      <c r="U194" s="1441"/>
      <c r="V194" s="1441"/>
      <c r="W194" s="1441"/>
      <c r="X194" s="1441"/>
      <c r="Y194" s="1441"/>
      <c r="Z194" s="1441"/>
      <c r="AA194" s="1441"/>
      <c r="AB194" s="1441"/>
      <c r="AC194" s="1441"/>
      <c r="AD194" s="1441"/>
      <c r="AE194" s="1441"/>
      <c r="AF194" s="1441"/>
      <c r="AG194" s="1441"/>
      <c r="AH194" s="1441"/>
      <c r="AI194" s="1441"/>
      <c r="AJ194" s="1441"/>
    </row>
    <row r="195" spans="1:36" s="1448" customFormat="1" ht="12.75" customHeight="1">
      <c r="A195" s="840" t="s">
        <v>29</v>
      </c>
      <c r="B195" s="1446">
        <v>14.29</v>
      </c>
      <c r="C195" s="545"/>
      <c r="D195" s="545"/>
      <c r="E195" s="545"/>
      <c r="F195" s="545">
        <v>925.61150000000009</v>
      </c>
      <c r="G195" s="545" t="s">
        <v>93</v>
      </c>
      <c r="H195" s="545" t="s">
        <v>93</v>
      </c>
      <c r="I195" s="1446" t="s">
        <v>93</v>
      </c>
      <c r="J195" s="545" t="s">
        <v>93</v>
      </c>
      <c r="K195" s="1446">
        <v>18</v>
      </c>
      <c r="L195" s="545" t="s">
        <v>93</v>
      </c>
      <c r="M195" s="1446" t="s">
        <v>93</v>
      </c>
      <c r="N195" s="545" t="s">
        <v>93</v>
      </c>
      <c r="O195" s="1446">
        <v>15</v>
      </c>
      <c r="P195" s="545">
        <f>923684041.12/1000000</f>
        <v>923.68404111999996</v>
      </c>
      <c r="Q195" s="1439"/>
      <c r="R195" s="1439"/>
      <c r="S195" s="1439"/>
      <c r="T195" s="1439"/>
      <c r="U195" s="1441"/>
      <c r="V195" s="1441"/>
      <c r="W195" s="1441"/>
      <c r="X195" s="1441"/>
      <c r="Y195" s="1441"/>
      <c r="Z195" s="1441"/>
      <c r="AA195" s="1441"/>
      <c r="AB195" s="1441"/>
      <c r="AC195" s="1441"/>
      <c r="AD195" s="1441"/>
      <c r="AE195" s="1441"/>
      <c r="AF195" s="1441"/>
      <c r="AG195" s="1441"/>
      <c r="AH195" s="1441"/>
      <c r="AI195" s="1441"/>
      <c r="AJ195" s="1441"/>
    </row>
    <row r="196" spans="1:36" s="543" customFormat="1" ht="12.75" customHeight="1">
      <c r="A196" s="839" t="s">
        <v>2078</v>
      </c>
      <c r="B196" s="540">
        <f t="shared" ref="B196:F196" si="8">B208</f>
        <v>9.34</v>
      </c>
      <c r="C196" s="541" t="str">
        <f t="shared" si="8"/>
        <v>-</v>
      </c>
      <c r="D196" s="541" t="str">
        <f t="shared" si="8"/>
        <v>-</v>
      </c>
      <c r="E196" s="541" t="str">
        <f t="shared" si="8"/>
        <v>-</v>
      </c>
      <c r="F196" s="541">
        <f t="shared" si="8"/>
        <v>1008.27</v>
      </c>
      <c r="G196" s="1456" t="s">
        <v>93</v>
      </c>
      <c r="H196" s="1456" t="s">
        <v>93</v>
      </c>
      <c r="I196" s="1456" t="s">
        <v>93</v>
      </c>
      <c r="J196" s="1456" t="s">
        <v>93</v>
      </c>
      <c r="K196" s="540">
        <v>11.75</v>
      </c>
      <c r="L196" s="541" t="s">
        <v>93</v>
      </c>
      <c r="M196" s="540" t="s">
        <v>93</v>
      </c>
      <c r="N196" s="541" t="s">
        <v>93</v>
      </c>
      <c r="O196" s="540">
        <f>O208</f>
        <v>9.75</v>
      </c>
      <c r="P196" s="541">
        <f t="shared" ref="P196" si="9">P208</f>
        <v>726.61</v>
      </c>
      <c r="Q196" s="1439"/>
      <c r="R196" s="1439"/>
      <c r="S196" s="1439"/>
      <c r="T196" s="1439"/>
      <c r="U196" s="542"/>
      <c r="V196" s="542"/>
      <c r="W196" s="542"/>
      <c r="X196" s="542"/>
      <c r="Y196" s="542"/>
      <c r="Z196" s="542"/>
      <c r="AA196" s="542"/>
      <c r="AB196" s="542"/>
      <c r="AC196" s="542"/>
      <c r="AD196" s="542"/>
      <c r="AE196" s="542"/>
      <c r="AF196" s="542"/>
      <c r="AG196" s="542"/>
      <c r="AH196" s="542"/>
      <c r="AI196" s="542"/>
      <c r="AJ196" s="542"/>
    </row>
    <row r="197" spans="1:36" s="1449" customFormat="1" ht="12.75" customHeight="1">
      <c r="A197" s="840" t="s">
        <v>18</v>
      </c>
      <c r="B197" s="1446">
        <v>10.01</v>
      </c>
      <c r="C197" s="545" t="s">
        <v>93</v>
      </c>
      <c r="D197" s="545" t="s">
        <v>93</v>
      </c>
      <c r="E197" s="545" t="s">
        <v>93</v>
      </c>
      <c r="F197" s="545">
        <v>900</v>
      </c>
      <c r="G197" s="1457" t="s">
        <v>93</v>
      </c>
      <c r="H197" s="1457" t="s">
        <v>93</v>
      </c>
      <c r="I197" s="1457" t="s">
        <v>93</v>
      </c>
      <c r="J197" s="1457" t="s">
        <v>93</v>
      </c>
      <c r="K197" s="1446">
        <v>16</v>
      </c>
      <c r="L197" s="545" t="s">
        <v>93</v>
      </c>
      <c r="M197" s="1446" t="s">
        <v>93</v>
      </c>
      <c r="N197" s="545" t="s">
        <v>93</v>
      </c>
      <c r="O197" s="1446">
        <v>15</v>
      </c>
      <c r="P197" s="545">
        <f>899684041.12/1000000</f>
        <v>899.68404111999996</v>
      </c>
      <c r="Q197" s="1439"/>
      <c r="R197" s="1439"/>
      <c r="S197" s="1439"/>
      <c r="T197" s="1439"/>
      <c r="U197" s="1439"/>
      <c r="V197" s="1439"/>
      <c r="W197" s="1439"/>
      <c r="X197" s="1439"/>
      <c r="Y197" s="1439"/>
      <c r="Z197" s="1439"/>
      <c r="AA197" s="1439"/>
      <c r="AB197" s="1439"/>
      <c r="AC197" s="1439"/>
      <c r="AD197" s="1439"/>
      <c r="AE197" s="1439"/>
      <c r="AF197" s="1439"/>
      <c r="AG197" s="1439"/>
      <c r="AH197" s="1439"/>
      <c r="AI197" s="1439"/>
      <c r="AJ197" s="1439"/>
    </row>
    <row r="198" spans="1:36" s="1449" customFormat="1" ht="13.5" customHeight="1">
      <c r="A198" s="840" t="s">
        <v>19</v>
      </c>
      <c r="B198" s="1446">
        <v>8.01</v>
      </c>
      <c r="C198" s="545" t="s">
        <v>93</v>
      </c>
      <c r="D198" s="545" t="s">
        <v>93</v>
      </c>
      <c r="E198" s="545" t="s">
        <v>93</v>
      </c>
      <c r="F198" s="545">
        <v>850</v>
      </c>
      <c r="G198" s="1457" t="s">
        <v>93</v>
      </c>
      <c r="H198" s="1457" t="s">
        <v>93</v>
      </c>
      <c r="I198" s="1457" t="s">
        <v>93</v>
      </c>
      <c r="J198" s="1457" t="s">
        <v>93</v>
      </c>
      <c r="K198" s="1446">
        <v>16</v>
      </c>
      <c r="L198" s="545" t="s">
        <v>93</v>
      </c>
      <c r="M198" s="1446" t="s">
        <v>93</v>
      </c>
      <c r="N198" s="545" t="s">
        <v>93</v>
      </c>
      <c r="O198" s="1446">
        <v>13</v>
      </c>
      <c r="P198" s="545">
        <f>871674041.12/1000000</f>
        <v>871.67404111999997</v>
      </c>
      <c r="Q198" s="1439"/>
      <c r="R198" s="1439"/>
      <c r="S198" s="1439"/>
      <c r="T198" s="1439"/>
      <c r="U198" s="1439"/>
      <c r="V198" s="1439"/>
      <c r="W198" s="1439"/>
      <c r="X198" s="1439"/>
      <c r="Y198" s="1439"/>
      <c r="Z198" s="1439"/>
      <c r="AA198" s="1439"/>
      <c r="AB198" s="1439"/>
      <c r="AC198" s="1439"/>
      <c r="AD198" s="1439"/>
      <c r="AE198" s="1439"/>
      <c r="AF198" s="1439"/>
      <c r="AG198" s="1439"/>
      <c r="AH198" s="1439"/>
      <c r="AI198" s="1439"/>
      <c r="AJ198" s="1439"/>
    </row>
    <row r="199" spans="1:36" s="1449" customFormat="1" ht="12.75" customHeight="1">
      <c r="A199" s="840" t="s">
        <v>20</v>
      </c>
      <c r="B199" s="1446">
        <v>8.01</v>
      </c>
      <c r="C199" s="545" t="s">
        <v>93</v>
      </c>
      <c r="D199" s="545" t="s">
        <v>93</v>
      </c>
      <c r="E199" s="545" t="s">
        <v>93</v>
      </c>
      <c r="F199" s="545">
        <v>600</v>
      </c>
      <c r="G199" s="1457" t="s">
        <v>93</v>
      </c>
      <c r="H199" s="1457" t="s">
        <v>93</v>
      </c>
      <c r="I199" s="1457" t="s">
        <v>93</v>
      </c>
      <c r="J199" s="1457" t="s">
        <v>93</v>
      </c>
      <c r="K199" s="1446">
        <v>16</v>
      </c>
      <c r="L199" s="545" t="s">
        <v>93</v>
      </c>
      <c r="M199" s="1446" t="s">
        <v>93</v>
      </c>
      <c r="N199" s="545" t="s">
        <v>93</v>
      </c>
      <c r="O199" s="1446">
        <v>13</v>
      </c>
      <c r="P199" s="545">
        <v>872.22</v>
      </c>
      <c r="Q199" s="1439"/>
      <c r="R199" s="1439"/>
      <c r="S199" s="1439"/>
      <c r="T199" s="1439"/>
      <c r="U199" s="1439"/>
      <c r="V199" s="1439"/>
      <c r="W199" s="1439"/>
      <c r="X199" s="1439"/>
      <c r="Y199" s="1439"/>
      <c r="Z199" s="1439"/>
      <c r="AA199" s="1439"/>
      <c r="AB199" s="1439"/>
      <c r="AC199" s="1439"/>
      <c r="AD199" s="1439"/>
      <c r="AE199" s="1439"/>
      <c r="AF199" s="1439"/>
      <c r="AG199" s="1439"/>
      <c r="AH199" s="1439"/>
      <c r="AI199" s="1439"/>
      <c r="AJ199" s="1439"/>
    </row>
    <row r="200" spans="1:36" s="1449" customFormat="1" ht="12.75" customHeight="1">
      <c r="A200" s="840" t="s">
        <v>21</v>
      </c>
      <c r="B200" s="1446">
        <v>8.01</v>
      </c>
      <c r="C200" s="545" t="s">
        <v>93</v>
      </c>
      <c r="D200" s="545" t="s">
        <v>93</v>
      </c>
      <c r="E200" s="545" t="s">
        <v>93</v>
      </c>
      <c r="F200" s="545">
        <v>900</v>
      </c>
      <c r="G200" s="1457" t="s">
        <v>93</v>
      </c>
      <c r="H200" s="1457" t="s">
        <v>93</v>
      </c>
      <c r="I200" s="1457" t="s">
        <v>93</v>
      </c>
      <c r="J200" s="1457" t="s">
        <v>93</v>
      </c>
      <c r="K200" s="1446">
        <v>14</v>
      </c>
      <c r="L200" s="545" t="s">
        <v>93</v>
      </c>
      <c r="M200" s="1446" t="s">
        <v>93</v>
      </c>
      <c r="N200" s="545" t="s">
        <v>93</v>
      </c>
      <c r="O200" s="1446">
        <v>11</v>
      </c>
      <c r="P200" s="545">
        <v>830.52</v>
      </c>
      <c r="Q200" s="1439"/>
      <c r="R200" s="1439"/>
      <c r="S200" s="1439"/>
      <c r="T200" s="1439"/>
      <c r="U200" s="1439"/>
      <c r="V200" s="1439"/>
      <c r="W200" s="1439"/>
      <c r="X200" s="1439"/>
      <c r="Y200" s="1439"/>
      <c r="Z200" s="1439"/>
      <c r="AA200" s="1439"/>
      <c r="AB200" s="1439"/>
      <c r="AC200" s="1439"/>
      <c r="AD200" s="1439"/>
      <c r="AE200" s="1439"/>
      <c r="AF200" s="1439"/>
      <c r="AG200" s="1439"/>
      <c r="AH200" s="1439"/>
      <c r="AI200" s="1439"/>
      <c r="AJ200" s="1439"/>
    </row>
    <row r="201" spans="1:36" s="1449" customFormat="1" ht="12.75" customHeight="1">
      <c r="A201" s="840" t="s">
        <v>22</v>
      </c>
      <c r="B201" s="1446">
        <v>8.01</v>
      </c>
      <c r="C201" s="545" t="s">
        <v>93</v>
      </c>
      <c r="D201" s="545" t="s">
        <v>93</v>
      </c>
      <c r="E201" s="545" t="s">
        <v>93</v>
      </c>
      <c r="F201" s="545">
        <v>1000</v>
      </c>
      <c r="G201" s="1457" t="s">
        <v>93</v>
      </c>
      <c r="H201" s="1457" t="s">
        <v>93</v>
      </c>
      <c r="I201" s="1457" t="s">
        <v>93</v>
      </c>
      <c r="J201" s="1457" t="s">
        <v>93</v>
      </c>
      <c r="K201" s="1446">
        <v>14</v>
      </c>
      <c r="L201" s="545" t="s">
        <v>93</v>
      </c>
      <c r="M201" s="1446" t="s">
        <v>93</v>
      </c>
      <c r="N201" s="545" t="s">
        <v>93</v>
      </c>
      <c r="O201" s="1446">
        <v>11</v>
      </c>
      <c r="P201" s="545">
        <v>830.05</v>
      </c>
      <c r="Q201" s="1439"/>
      <c r="R201" s="1439"/>
      <c r="S201" s="1439"/>
      <c r="T201" s="1439"/>
      <c r="U201" s="1439"/>
      <c r="V201" s="1439"/>
      <c r="W201" s="1439"/>
      <c r="X201" s="1439"/>
      <c r="Y201" s="1439"/>
      <c r="Z201" s="1439"/>
      <c r="AA201" s="1439"/>
      <c r="AB201" s="1439"/>
      <c r="AC201" s="1439"/>
      <c r="AD201" s="1439"/>
      <c r="AE201" s="1439"/>
      <c r="AF201" s="1439"/>
      <c r="AG201" s="1439"/>
      <c r="AH201" s="1439"/>
      <c r="AI201" s="1439"/>
      <c r="AJ201" s="1439"/>
    </row>
    <row r="202" spans="1:36" s="1449" customFormat="1" ht="12.75" customHeight="1">
      <c r="A202" s="840" t="s">
        <v>23</v>
      </c>
      <c r="B202" s="1446">
        <v>8.01</v>
      </c>
      <c r="C202" s="545" t="s">
        <v>93</v>
      </c>
      <c r="D202" s="545" t="s">
        <v>93</v>
      </c>
      <c r="E202" s="545" t="s">
        <v>93</v>
      </c>
      <c r="F202" s="545">
        <v>1000</v>
      </c>
      <c r="G202" s="1457" t="s">
        <v>93</v>
      </c>
      <c r="H202" s="1457" t="s">
        <v>93</v>
      </c>
      <c r="I202" s="1457" t="s">
        <v>93</v>
      </c>
      <c r="J202" s="1457" t="s">
        <v>93</v>
      </c>
      <c r="K202" s="1446">
        <v>12</v>
      </c>
      <c r="L202" s="545" t="s">
        <v>93</v>
      </c>
      <c r="M202" s="1446" t="s">
        <v>93</v>
      </c>
      <c r="N202" s="545" t="s">
        <v>93</v>
      </c>
      <c r="O202" s="1446">
        <v>10</v>
      </c>
      <c r="P202" s="545">
        <v>808.82</v>
      </c>
      <c r="Q202" s="1439"/>
      <c r="R202" s="1439"/>
      <c r="S202" s="1439"/>
      <c r="T202" s="1439"/>
      <c r="U202" s="1439"/>
      <c r="V202" s="1439"/>
      <c r="W202" s="1439"/>
      <c r="X202" s="1439"/>
      <c r="Y202" s="1439"/>
      <c r="Z202" s="1439"/>
      <c r="AA202" s="1439"/>
      <c r="AB202" s="1439"/>
      <c r="AC202" s="1439"/>
      <c r="AD202" s="1439"/>
      <c r="AE202" s="1439"/>
      <c r="AF202" s="1439"/>
      <c r="AG202" s="1439"/>
      <c r="AH202" s="1439"/>
      <c r="AI202" s="1439"/>
      <c r="AJ202" s="1439"/>
    </row>
    <row r="203" spans="1:36" s="1449" customFormat="1" ht="12.75" customHeight="1">
      <c r="A203" s="840" t="s">
        <v>24</v>
      </c>
      <c r="B203" s="1446">
        <v>8.01</v>
      </c>
      <c r="C203" s="545" t="s">
        <v>93</v>
      </c>
      <c r="D203" s="545" t="s">
        <v>93</v>
      </c>
      <c r="E203" s="545" t="s">
        <v>93</v>
      </c>
      <c r="F203" s="545">
        <v>1000</v>
      </c>
      <c r="G203" s="1457" t="s">
        <v>93</v>
      </c>
      <c r="H203" s="1457" t="s">
        <v>93</v>
      </c>
      <c r="I203" s="1457" t="s">
        <v>93</v>
      </c>
      <c r="J203" s="1457" t="s">
        <v>93</v>
      </c>
      <c r="K203" s="1446">
        <v>12</v>
      </c>
      <c r="L203" s="545" t="s">
        <v>93</v>
      </c>
      <c r="M203" s="1446" t="s">
        <v>93</v>
      </c>
      <c r="N203" s="545" t="s">
        <v>93</v>
      </c>
      <c r="O203" s="1446">
        <v>10</v>
      </c>
      <c r="P203" s="545">
        <v>788.84</v>
      </c>
      <c r="Q203" s="1439"/>
      <c r="R203" s="1439"/>
      <c r="S203" s="1439"/>
      <c r="T203" s="1439"/>
      <c r="U203" s="1439"/>
      <c r="V203" s="1439"/>
      <c r="W203" s="1439"/>
      <c r="X203" s="1439"/>
      <c r="Y203" s="1439"/>
      <c r="Z203" s="1439"/>
      <c r="AA203" s="1439"/>
      <c r="AB203" s="1439"/>
      <c r="AC203" s="1439"/>
      <c r="AD203" s="1439"/>
      <c r="AE203" s="1439"/>
      <c r="AF203" s="1439"/>
      <c r="AG203" s="1439"/>
      <c r="AH203" s="1439"/>
      <c r="AI203" s="1439"/>
      <c r="AJ203" s="1439"/>
    </row>
    <row r="204" spans="1:36" s="1449" customFormat="1" ht="12.75" customHeight="1">
      <c r="A204" s="840" t="s">
        <v>25</v>
      </c>
      <c r="B204" s="1446">
        <v>8.01</v>
      </c>
      <c r="C204" s="545" t="s">
        <v>93</v>
      </c>
      <c r="D204" s="545" t="s">
        <v>93</v>
      </c>
      <c r="E204" s="545" t="s">
        <v>93</v>
      </c>
      <c r="F204" s="545">
        <v>1050</v>
      </c>
      <c r="G204" s="1457" t="s">
        <v>93</v>
      </c>
      <c r="H204" s="1457" t="s">
        <v>93</v>
      </c>
      <c r="I204" s="1457" t="s">
        <v>93</v>
      </c>
      <c r="J204" s="1457" t="s">
        <v>93</v>
      </c>
      <c r="K204" s="1446">
        <v>12</v>
      </c>
      <c r="L204" s="545" t="s">
        <v>93</v>
      </c>
      <c r="M204" s="1446" t="s">
        <v>93</v>
      </c>
      <c r="N204" s="545" t="s">
        <v>93</v>
      </c>
      <c r="O204" s="1446">
        <v>10</v>
      </c>
      <c r="P204" s="545">
        <v>775.88</v>
      </c>
      <c r="Q204" s="1439"/>
      <c r="R204" s="1439"/>
      <c r="S204" s="1439"/>
      <c r="T204" s="1439"/>
      <c r="U204" s="1439"/>
      <c r="V204" s="1439"/>
      <c r="W204" s="1439"/>
      <c r="X204" s="1439"/>
      <c r="Y204" s="1439"/>
      <c r="Z204" s="1439"/>
      <c r="AA204" s="1439"/>
      <c r="AB204" s="1439"/>
      <c r="AC204" s="1439"/>
      <c r="AD204" s="1439"/>
      <c r="AE204" s="1439"/>
      <c r="AF204" s="1439"/>
      <c r="AG204" s="1439"/>
      <c r="AH204" s="1439"/>
      <c r="AI204" s="1439"/>
      <c r="AJ204" s="1439"/>
    </row>
    <row r="205" spans="1:36" s="1449" customFormat="1" ht="12.75" customHeight="1">
      <c r="A205" s="840" t="s">
        <v>26</v>
      </c>
      <c r="B205" s="1446">
        <v>8.01</v>
      </c>
      <c r="C205" s="545" t="s">
        <v>93</v>
      </c>
      <c r="D205" s="545" t="s">
        <v>93</v>
      </c>
      <c r="E205" s="545" t="s">
        <v>93</v>
      </c>
      <c r="F205" s="545">
        <v>1050</v>
      </c>
      <c r="G205" s="1457" t="s">
        <v>93</v>
      </c>
      <c r="H205" s="1457" t="s">
        <v>93</v>
      </c>
      <c r="I205" s="1457" t="s">
        <v>93</v>
      </c>
      <c r="J205" s="1457" t="s">
        <v>93</v>
      </c>
      <c r="K205" s="1446">
        <v>12</v>
      </c>
      <c r="L205" s="545" t="s">
        <v>93</v>
      </c>
      <c r="M205" s="1446" t="s">
        <v>93</v>
      </c>
      <c r="N205" s="545" t="s">
        <v>93</v>
      </c>
      <c r="O205" s="1446">
        <v>10</v>
      </c>
      <c r="P205" s="545">
        <v>746.26</v>
      </c>
      <c r="Q205" s="1439"/>
      <c r="R205" s="1439"/>
      <c r="S205" s="1439"/>
      <c r="T205" s="1439"/>
      <c r="U205" s="1439"/>
      <c r="V205" s="1439"/>
      <c r="W205" s="1439"/>
      <c r="X205" s="1439"/>
      <c r="Y205" s="1439"/>
      <c r="Z205" s="1439"/>
      <c r="AA205" s="1439"/>
      <c r="AB205" s="1439"/>
      <c r="AC205" s="1439"/>
      <c r="AD205" s="1439"/>
      <c r="AE205" s="1439"/>
      <c r="AF205" s="1439"/>
      <c r="AG205" s="1439"/>
      <c r="AH205" s="1439"/>
      <c r="AI205" s="1439"/>
      <c r="AJ205" s="1439"/>
    </row>
    <row r="206" spans="1:36" s="1449" customFormat="1" ht="12.75" customHeight="1">
      <c r="A206" s="840" t="s">
        <v>27</v>
      </c>
      <c r="B206" s="1446">
        <v>7.76</v>
      </c>
      <c r="C206" s="545" t="s">
        <v>93</v>
      </c>
      <c r="D206" s="545" t="s">
        <v>93</v>
      </c>
      <c r="E206" s="545" t="s">
        <v>93</v>
      </c>
      <c r="F206" s="545">
        <v>1050</v>
      </c>
      <c r="G206" s="1457" t="s">
        <v>93</v>
      </c>
      <c r="H206" s="1457" t="s">
        <v>93</v>
      </c>
      <c r="I206" s="1457" t="s">
        <v>93</v>
      </c>
      <c r="J206" s="1457" t="s">
        <v>93</v>
      </c>
      <c r="K206" s="1446">
        <v>11.75</v>
      </c>
      <c r="L206" s="545" t="s">
        <v>93</v>
      </c>
      <c r="M206" s="1446" t="s">
        <v>93</v>
      </c>
      <c r="N206" s="545" t="s">
        <v>93</v>
      </c>
      <c r="O206" s="1446">
        <v>9.75</v>
      </c>
      <c r="P206" s="545">
        <v>731.57</v>
      </c>
      <c r="Q206" s="1439"/>
      <c r="R206" s="1439"/>
      <c r="S206" s="1439"/>
      <c r="T206" s="1439"/>
      <c r="U206" s="1439"/>
      <c r="V206" s="1439"/>
      <c r="W206" s="1439"/>
      <c r="X206" s="1439"/>
      <c r="Y206" s="1439"/>
      <c r="Z206" s="1439"/>
      <c r="AA206" s="1439"/>
      <c r="AB206" s="1439"/>
      <c r="AC206" s="1439"/>
      <c r="AD206" s="1439"/>
      <c r="AE206" s="1439"/>
      <c r="AF206" s="1439"/>
      <c r="AG206" s="1439"/>
      <c r="AH206" s="1439"/>
      <c r="AI206" s="1439"/>
      <c r="AJ206" s="1439"/>
    </row>
    <row r="207" spans="1:36" s="1449" customFormat="1" ht="12.75" customHeight="1">
      <c r="A207" s="840" t="s">
        <v>28</v>
      </c>
      <c r="B207" s="1446">
        <v>7.76</v>
      </c>
      <c r="C207" s="545" t="s">
        <v>93</v>
      </c>
      <c r="D207" s="545" t="s">
        <v>93</v>
      </c>
      <c r="E207" s="545" t="s">
        <v>93</v>
      </c>
      <c r="F207" s="545">
        <v>1050</v>
      </c>
      <c r="G207" s="1457" t="s">
        <v>93</v>
      </c>
      <c r="H207" s="1457" t="s">
        <v>93</v>
      </c>
      <c r="I207" s="1457" t="s">
        <v>93</v>
      </c>
      <c r="J207" s="1457" t="s">
        <v>93</v>
      </c>
      <c r="K207" s="1446">
        <v>11.75</v>
      </c>
      <c r="L207" s="545" t="s">
        <v>93</v>
      </c>
      <c r="M207" s="1446" t="s">
        <v>93</v>
      </c>
      <c r="N207" s="545" t="s">
        <v>93</v>
      </c>
      <c r="O207" s="1446">
        <v>9.75</v>
      </c>
      <c r="P207" s="545">
        <v>739.46</v>
      </c>
      <c r="Q207" s="1439"/>
      <c r="R207" s="1439"/>
      <c r="S207" s="1439"/>
      <c r="T207" s="1439"/>
      <c r="U207" s="1439"/>
      <c r="V207" s="1439"/>
      <c r="W207" s="1439"/>
      <c r="X207" s="1439"/>
      <c r="Y207" s="1439"/>
      <c r="Z207" s="1439"/>
      <c r="AA207" s="1439"/>
      <c r="AB207" s="1439"/>
      <c r="AC207" s="1439"/>
      <c r="AD207" s="1439"/>
      <c r="AE207" s="1439"/>
      <c r="AF207" s="1439"/>
      <c r="AG207" s="1439"/>
      <c r="AH207" s="1439"/>
      <c r="AI207" s="1439"/>
      <c r="AJ207" s="1439"/>
    </row>
    <row r="208" spans="1:36" s="1449" customFormat="1" ht="12.75" customHeight="1">
      <c r="A208" s="840" t="s">
        <v>29</v>
      </c>
      <c r="B208" s="1446">
        <v>9.34</v>
      </c>
      <c r="C208" s="545" t="s">
        <v>93</v>
      </c>
      <c r="D208" s="545" t="s">
        <v>93</v>
      </c>
      <c r="E208" s="545" t="s">
        <v>93</v>
      </c>
      <c r="F208" s="545">
        <v>1008.27</v>
      </c>
      <c r="G208" s="1457" t="s">
        <v>93</v>
      </c>
      <c r="H208" s="1457" t="s">
        <v>93</v>
      </c>
      <c r="I208" s="1457" t="s">
        <v>93</v>
      </c>
      <c r="J208" s="1457" t="s">
        <v>93</v>
      </c>
      <c r="K208" s="1446">
        <v>11.75</v>
      </c>
      <c r="L208" s="545" t="s">
        <v>93</v>
      </c>
      <c r="M208" s="1446" t="s">
        <v>93</v>
      </c>
      <c r="N208" s="545" t="s">
        <v>93</v>
      </c>
      <c r="O208" s="1446">
        <v>9.75</v>
      </c>
      <c r="P208" s="545">
        <v>726.61</v>
      </c>
      <c r="Q208" s="1439"/>
      <c r="R208" s="1439"/>
      <c r="S208" s="1439"/>
      <c r="T208" s="1439"/>
      <c r="U208" s="1439"/>
      <c r="V208" s="1439"/>
      <c r="W208" s="1439"/>
      <c r="X208" s="1439"/>
      <c r="Y208" s="1439"/>
      <c r="Z208" s="1439"/>
      <c r="AA208" s="1439"/>
      <c r="AB208" s="1439"/>
      <c r="AC208" s="1439"/>
      <c r="AD208" s="1439"/>
      <c r="AE208" s="1439"/>
      <c r="AF208" s="1439"/>
      <c r="AG208" s="1439"/>
      <c r="AH208" s="1439"/>
      <c r="AI208" s="1439"/>
      <c r="AJ208" s="1439"/>
    </row>
    <row r="209" spans="1:36" s="543" customFormat="1" ht="12.75" customHeight="1">
      <c r="A209" s="840" t="s">
        <v>2171</v>
      </c>
      <c r="B209" s="540">
        <f t="shared" ref="B209:F209" si="10">B221</f>
        <v>5.76</v>
      </c>
      <c r="C209" s="541" t="str">
        <f t="shared" si="10"/>
        <v>-</v>
      </c>
      <c r="D209" s="541" t="str">
        <f t="shared" si="10"/>
        <v>-</v>
      </c>
      <c r="E209" s="541" t="str">
        <f t="shared" si="10"/>
        <v>-</v>
      </c>
      <c r="F209" s="541">
        <f t="shared" si="10"/>
        <v>700</v>
      </c>
      <c r="G209" s="1456" t="s">
        <v>93</v>
      </c>
      <c r="H209" s="1456" t="s">
        <v>93</v>
      </c>
      <c r="I209" s="1456" t="s">
        <v>93</v>
      </c>
      <c r="J209" s="1456" t="s">
        <v>93</v>
      </c>
      <c r="K209" s="540">
        <v>9.25</v>
      </c>
      <c r="L209" s="541" t="s">
        <v>93</v>
      </c>
      <c r="M209" s="540" t="s">
        <v>93</v>
      </c>
      <c r="N209" s="541" t="s">
        <v>93</v>
      </c>
      <c r="O209" s="540">
        <f>O221</f>
        <v>7.5</v>
      </c>
      <c r="P209" s="541">
        <f t="shared" ref="P209" si="11">P221</f>
        <v>681.7</v>
      </c>
      <c r="Q209" s="1439"/>
      <c r="R209" s="1439"/>
      <c r="S209" s="1439"/>
      <c r="T209" s="1439"/>
      <c r="U209" s="542"/>
      <c r="V209" s="542"/>
      <c r="W209" s="542"/>
      <c r="X209" s="542"/>
      <c r="Y209" s="542"/>
      <c r="Z209" s="542"/>
      <c r="AA209" s="542"/>
      <c r="AB209" s="542"/>
      <c r="AC209" s="542"/>
      <c r="AD209" s="542"/>
      <c r="AE209" s="542"/>
      <c r="AF209" s="542"/>
      <c r="AG209" s="542"/>
      <c r="AH209" s="542"/>
      <c r="AI209" s="542"/>
      <c r="AJ209" s="542"/>
    </row>
    <row r="210" spans="1:36" s="1448" customFormat="1" ht="12.75" customHeight="1">
      <c r="A210" s="840" t="s">
        <v>18</v>
      </c>
      <c r="B210" s="1446">
        <v>7.76</v>
      </c>
      <c r="C210" s="545" t="s">
        <v>93</v>
      </c>
      <c r="D210" s="545" t="s">
        <v>93</v>
      </c>
      <c r="E210" s="545" t="s">
        <v>93</v>
      </c>
      <c r="F210" s="545">
        <v>1050</v>
      </c>
      <c r="G210" s="1457" t="s">
        <v>93</v>
      </c>
      <c r="H210" s="1457" t="s">
        <v>93</v>
      </c>
      <c r="I210" s="1457" t="s">
        <v>93</v>
      </c>
      <c r="J210" s="1457" t="s">
        <v>93</v>
      </c>
      <c r="K210" s="1446">
        <v>11.75</v>
      </c>
      <c r="L210" s="545" t="s">
        <v>93</v>
      </c>
      <c r="M210" s="1446" t="s">
        <v>93</v>
      </c>
      <c r="N210" s="545" t="s">
        <v>93</v>
      </c>
      <c r="O210" s="1446">
        <v>9.75</v>
      </c>
      <c r="P210" s="545">
        <v>710.61</v>
      </c>
      <c r="Q210" s="1439"/>
      <c r="R210" s="1439"/>
      <c r="S210" s="1439"/>
      <c r="T210" s="1439"/>
      <c r="U210" s="1441"/>
      <c r="V210" s="1441"/>
      <c r="W210" s="1441"/>
      <c r="X210" s="1441"/>
      <c r="Y210" s="1441"/>
      <c r="Z210" s="1441"/>
      <c r="AA210" s="1441"/>
      <c r="AB210" s="1441"/>
      <c r="AC210" s="1441"/>
      <c r="AD210" s="1441"/>
      <c r="AE210" s="1441"/>
      <c r="AF210" s="1441"/>
      <c r="AG210" s="1441"/>
      <c r="AH210" s="1441"/>
      <c r="AI210" s="1441"/>
      <c r="AJ210" s="1441"/>
    </row>
    <row r="211" spans="1:36" s="1448" customFormat="1" ht="12.75" customHeight="1">
      <c r="A211" s="840" t="s">
        <v>19</v>
      </c>
      <c r="B211" s="1446">
        <v>7.26</v>
      </c>
      <c r="C211" s="545" t="s">
        <v>93</v>
      </c>
      <c r="D211" s="545" t="s">
        <v>93</v>
      </c>
      <c r="E211" s="545" t="s">
        <v>93</v>
      </c>
      <c r="F211" s="545">
        <v>1050</v>
      </c>
      <c r="G211" s="1457" t="s">
        <v>93</v>
      </c>
      <c r="H211" s="1457" t="s">
        <v>93</v>
      </c>
      <c r="I211" s="1457" t="s">
        <v>93</v>
      </c>
      <c r="J211" s="1457" t="s">
        <v>93</v>
      </c>
      <c r="K211" s="1446">
        <v>11.25</v>
      </c>
      <c r="L211" s="545" t="s">
        <v>93</v>
      </c>
      <c r="M211" s="1446" t="s">
        <v>93</v>
      </c>
      <c r="N211" s="545" t="s">
        <v>93</v>
      </c>
      <c r="O211" s="1446">
        <v>9.25</v>
      </c>
      <c r="P211" s="545">
        <v>688.67</v>
      </c>
      <c r="Q211" s="1439"/>
      <c r="R211" s="1439"/>
      <c r="S211" s="1439"/>
      <c r="T211" s="1439"/>
      <c r="U211" s="1441"/>
      <c r="V211" s="1441"/>
      <c r="W211" s="1441"/>
      <c r="X211" s="1441"/>
      <c r="Y211" s="1441"/>
      <c r="Z211" s="1441"/>
      <c r="AA211" s="1441"/>
      <c r="AB211" s="1441"/>
      <c r="AC211" s="1441"/>
      <c r="AD211" s="1441"/>
      <c r="AE211" s="1441"/>
      <c r="AF211" s="1441"/>
      <c r="AG211" s="1441"/>
      <c r="AH211" s="1441"/>
      <c r="AI211" s="1441"/>
      <c r="AJ211" s="1441"/>
    </row>
    <row r="212" spans="1:36" s="1448" customFormat="1" ht="12.75" customHeight="1">
      <c r="A212" s="840" t="s">
        <v>20</v>
      </c>
      <c r="B212" s="1446">
        <v>8.7799999999999994</v>
      </c>
      <c r="C212" s="545" t="s">
        <v>93</v>
      </c>
      <c r="D212" s="545" t="s">
        <v>93</v>
      </c>
      <c r="E212" s="545" t="s">
        <v>93</v>
      </c>
      <c r="F212" s="545">
        <v>983.33</v>
      </c>
      <c r="G212" s="1457" t="s">
        <v>93</v>
      </c>
      <c r="H212" s="1457" t="s">
        <v>93</v>
      </c>
      <c r="I212" s="1457" t="s">
        <v>93</v>
      </c>
      <c r="J212" s="1457" t="s">
        <v>93</v>
      </c>
      <c r="K212" s="1446">
        <v>9</v>
      </c>
      <c r="L212" s="545" t="s">
        <v>93</v>
      </c>
      <c r="M212" s="1446" t="s">
        <v>93</v>
      </c>
      <c r="N212" s="545" t="s">
        <v>93</v>
      </c>
      <c r="O212" s="1446">
        <v>9</v>
      </c>
      <c r="P212" s="545">
        <v>671.34</v>
      </c>
      <c r="Q212" s="1439"/>
      <c r="R212" s="1439"/>
      <c r="S212" s="1439"/>
      <c r="T212" s="1439"/>
      <c r="U212" s="1441"/>
      <c r="V212" s="1441"/>
      <c r="W212" s="1441"/>
      <c r="X212" s="1441"/>
      <c r="Y212" s="1441"/>
      <c r="Z212" s="1441"/>
      <c r="AA212" s="1441"/>
      <c r="AB212" s="1441"/>
      <c r="AC212" s="1441"/>
      <c r="AD212" s="1441"/>
      <c r="AE212" s="1441"/>
      <c r="AF212" s="1441"/>
      <c r="AG212" s="1441"/>
      <c r="AH212" s="1441"/>
      <c r="AI212" s="1441"/>
      <c r="AJ212" s="1441"/>
    </row>
    <row r="213" spans="1:36" s="1448" customFormat="1" ht="12.75" customHeight="1">
      <c r="A213" s="840" t="s">
        <v>21</v>
      </c>
      <c r="B213" s="1446">
        <v>8.91</v>
      </c>
      <c r="C213" s="545" t="s">
        <v>93</v>
      </c>
      <c r="D213" s="545" t="s">
        <v>93</v>
      </c>
      <c r="E213" s="545" t="s">
        <v>93</v>
      </c>
      <c r="F213" s="545">
        <v>874.37</v>
      </c>
      <c r="G213" s="1457" t="s">
        <v>93</v>
      </c>
      <c r="H213" s="1457" t="s">
        <v>93</v>
      </c>
      <c r="I213" s="1457" t="s">
        <v>93</v>
      </c>
      <c r="J213" s="1457" t="s">
        <v>93</v>
      </c>
      <c r="K213" s="1446">
        <v>10.75</v>
      </c>
      <c r="L213" s="545" t="s">
        <v>93</v>
      </c>
      <c r="M213" s="1446" t="s">
        <v>93</v>
      </c>
      <c r="N213" s="545" t="s">
        <v>93</v>
      </c>
      <c r="O213" s="1446">
        <v>8.75</v>
      </c>
      <c r="P213" s="545">
        <v>587.37</v>
      </c>
      <c r="Q213" s="1439"/>
      <c r="R213" s="1439"/>
      <c r="S213" s="1439"/>
      <c r="T213" s="1439"/>
      <c r="U213" s="1441"/>
      <c r="V213" s="1441"/>
      <c r="W213" s="1441"/>
      <c r="X213" s="1441"/>
      <c r="Y213" s="1441"/>
      <c r="Z213" s="1441"/>
      <c r="AA213" s="1441"/>
      <c r="AB213" s="1441"/>
      <c r="AC213" s="1441"/>
      <c r="AD213" s="1441"/>
      <c r="AE213" s="1441"/>
      <c r="AF213" s="1441"/>
      <c r="AG213" s="1441"/>
      <c r="AH213" s="1441"/>
      <c r="AI213" s="1441"/>
      <c r="AJ213" s="1441"/>
    </row>
    <row r="214" spans="1:36" s="1448" customFormat="1" ht="12.75" customHeight="1">
      <c r="A214" s="840" t="s">
        <v>22</v>
      </c>
      <c r="B214" s="1446">
        <v>6.76</v>
      </c>
      <c r="C214" s="545" t="s">
        <v>93</v>
      </c>
      <c r="D214" s="545" t="s">
        <v>93</v>
      </c>
      <c r="E214" s="545" t="s">
        <v>93</v>
      </c>
      <c r="F214" s="545">
        <v>800</v>
      </c>
      <c r="G214" s="1457" t="s">
        <v>93</v>
      </c>
      <c r="H214" s="1457" t="s">
        <v>93</v>
      </c>
      <c r="I214" s="1457" t="s">
        <v>93</v>
      </c>
      <c r="J214" s="1457" t="s">
        <v>93</v>
      </c>
      <c r="K214" s="1446">
        <v>10.75</v>
      </c>
      <c r="L214" s="545" t="s">
        <v>93</v>
      </c>
      <c r="M214" s="1446" t="s">
        <v>93</v>
      </c>
      <c r="N214" s="545" t="s">
        <v>93</v>
      </c>
      <c r="O214" s="1446">
        <v>8.75</v>
      </c>
      <c r="P214" s="545">
        <v>568.33000000000004</v>
      </c>
      <c r="Q214" s="1439"/>
      <c r="R214" s="1439"/>
      <c r="S214" s="1439"/>
      <c r="T214" s="1439"/>
      <c r="U214" s="1441"/>
      <c r="V214" s="1441"/>
      <c r="W214" s="1441"/>
      <c r="X214" s="1441"/>
      <c r="Y214" s="1441"/>
      <c r="Z214" s="1441"/>
      <c r="AA214" s="1441"/>
      <c r="AB214" s="1441"/>
      <c r="AC214" s="1441"/>
      <c r="AD214" s="1441"/>
      <c r="AE214" s="1441"/>
      <c r="AF214" s="1441"/>
      <c r="AG214" s="1441"/>
      <c r="AH214" s="1441"/>
      <c r="AI214" s="1441"/>
      <c r="AJ214" s="1441"/>
    </row>
    <row r="215" spans="1:36" s="1448" customFormat="1" ht="12.75" customHeight="1">
      <c r="A215" s="840" t="s">
        <v>23</v>
      </c>
      <c r="B215" s="1446">
        <v>6.51</v>
      </c>
      <c r="C215" s="545" t="s">
        <v>93</v>
      </c>
      <c r="D215" s="545" t="s">
        <v>93</v>
      </c>
      <c r="E215" s="545" t="s">
        <v>93</v>
      </c>
      <c r="F215" s="545">
        <v>700</v>
      </c>
      <c r="G215" s="1457" t="s">
        <v>93</v>
      </c>
      <c r="H215" s="1457" t="s">
        <v>93</v>
      </c>
      <c r="I215" s="1457" t="s">
        <v>93</v>
      </c>
      <c r="J215" s="1457" t="s">
        <v>93</v>
      </c>
      <c r="K215" s="1446">
        <v>10.5</v>
      </c>
      <c r="L215" s="545" t="s">
        <v>93</v>
      </c>
      <c r="M215" s="1446" t="s">
        <v>93</v>
      </c>
      <c r="N215" s="545" t="s">
        <v>93</v>
      </c>
      <c r="O215" s="1446">
        <v>8.5</v>
      </c>
      <c r="P215" s="545">
        <v>551.04</v>
      </c>
      <c r="Q215" s="1439"/>
      <c r="R215" s="1439"/>
      <c r="S215" s="1439"/>
      <c r="T215" s="1439"/>
      <c r="AJ215" s="1441"/>
    </row>
    <row r="216" spans="1:36" s="1448" customFormat="1" ht="12.75" customHeight="1">
      <c r="A216" s="840" t="s">
        <v>24</v>
      </c>
      <c r="B216" s="1446">
        <v>6.26</v>
      </c>
      <c r="C216" s="545" t="s">
        <v>93</v>
      </c>
      <c r="D216" s="545" t="s">
        <v>93</v>
      </c>
      <c r="E216" s="545" t="s">
        <v>93</v>
      </c>
      <c r="F216" s="545">
        <v>700</v>
      </c>
      <c r="G216" s="1457" t="s">
        <v>93</v>
      </c>
      <c r="H216" s="1457" t="s">
        <v>93</v>
      </c>
      <c r="I216" s="1457" t="s">
        <v>93</v>
      </c>
      <c r="J216" s="1457" t="s">
        <v>93</v>
      </c>
      <c r="K216" s="1446">
        <v>10.25</v>
      </c>
      <c r="L216" s="545" t="s">
        <v>93</v>
      </c>
      <c r="M216" s="1446" t="s">
        <v>93</v>
      </c>
      <c r="N216" s="545" t="s">
        <v>93</v>
      </c>
      <c r="O216" s="1446">
        <v>8.25</v>
      </c>
      <c r="P216" s="545">
        <v>499.36</v>
      </c>
      <c r="Q216" s="1439"/>
      <c r="R216" s="1439"/>
      <c r="S216" s="1439"/>
      <c r="T216" s="1439"/>
      <c r="U216" s="1441"/>
      <c r="V216" s="1441"/>
      <c r="W216" s="1441"/>
      <c r="X216" s="1441"/>
      <c r="Y216" s="1441"/>
      <c r="Z216" s="1441"/>
      <c r="AA216" s="1441"/>
      <c r="AB216" s="1441"/>
      <c r="AC216" s="1441"/>
      <c r="AD216" s="1441"/>
      <c r="AE216" s="1441"/>
      <c r="AF216" s="1441"/>
      <c r="AG216" s="1441"/>
      <c r="AH216" s="1441"/>
      <c r="AI216" s="1441"/>
      <c r="AJ216" s="1441"/>
    </row>
    <row r="217" spans="1:36" s="1448" customFormat="1" ht="12.75" customHeight="1">
      <c r="A217" s="840" t="s">
        <v>25</v>
      </c>
      <c r="B217" s="1446">
        <v>6.26</v>
      </c>
      <c r="C217" s="545" t="s">
        <v>93</v>
      </c>
      <c r="D217" s="545" t="s">
        <v>93</v>
      </c>
      <c r="E217" s="545" t="s">
        <v>93</v>
      </c>
      <c r="F217" s="545">
        <v>700</v>
      </c>
      <c r="G217" s="1457" t="s">
        <v>93</v>
      </c>
      <c r="H217" s="1457" t="s">
        <v>93</v>
      </c>
      <c r="I217" s="1457" t="s">
        <v>93</v>
      </c>
      <c r="J217" s="1457" t="s">
        <v>93</v>
      </c>
      <c r="K217" s="1446">
        <v>10.25</v>
      </c>
      <c r="L217" s="545" t="s">
        <v>93</v>
      </c>
      <c r="M217" s="1446" t="s">
        <v>93</v>
      </c>
      <c r="N217" s="545" t="s">
        <v>93</v>
      </c>
      <c r="O217" s="1446">
        <v>8.25</v>
      </c>
      <c r="P217" s="545">
        <v>497.08</v>
      </c>
      <c r="Q217" s="1439"/>
      <c r="R217" s="1439"/>
      <c r="S217" s="1439"/>
      <c r="T217" s="1439"/>
      <c r="U217" s="1441"/>
      <c r="V217" s="1441"/>
      <c r="W217" s="1441"/>
      <c r="X217" s="1441"/>
      <c r="Y217" s="1441"/>
      <c r="Z217" s="1441"/>
      <c r="AA217" s="1441"/>
      <c r="AB217" s="1441"/>
      <c r="AC217" s="1441"/>
      <c r="AD217" s="1441"/>
      <c r="AE217" s="1441"/>
      <c r="AF217" s="1441"/>
      <c r="AG217" s="1441"/>
      <c r="AH217" s="1441"/>
      <c r="AI217" s="1441"/>
      <c r="AJ217" s="1441"/>
    </row>
    <row r="218" spans="1:36" s="1448" customFormat="1" ht="12.75" customHeight="1">
      <c r="A218" s="840" t="s">
        <v>26</v>
      </c>
      <c r="B218" s="1446">
        <v>6.26</v>
      </c>
      <c r="C218" s="545" t="s">
        <v>93</v>
      </c>
      <c r="D218" s="545" t="s">
        <v>93</v>
      </c>
      <c r="E218" s="545" t="s">
        <v>93</v>
      </c>
      <c r="F218" s="545">
        <v>700</v>
      </c>
      <c r="G218" s="1457" t="s">
        <v>93</v>
      </c>
      <c r="H218" s="1457" t="s">
        <v>93</v>
      </c>
      <c r="I218" s="1457" t="s">
        <v>93</v>
      </c>
      <c r="J218" s="1457" t="s">
        <v>93</v>
      </c>
      <c r="K218" s="1446">
        <v>9.75</v>
      </c>
      <c r="L218" s="545" t="s">
        <v>93</v>
      </c>
      <c r="M218" s="1446" t="s">
        <v>93</v>
      </c>
      <c r="N218" s="545" t="s">
        <v>93</v>
      </c>
      <c r="O218" s="1446">
        <v>8</v>
      </c>
      <c r="P218" s="545">
        <v>498.01</v>
      </c>
      <c r="Q218" s="1439"/>
      <c r="R218" s="1439"/>
      <c r="S218" s="1439"/>
      <c r="T218" s="1439"/>
      <c r="U218" s="1441"/>
      <c r="V218" s="1441"/>
      <c r="W218" s="1441"/>
      <c r="X218" s="1441"/>
      <c r="Y218" s="1441"/>
      <c r="Z218" s="1441"/>
      <c r="AA218" s="1441"/>
      <c r="AB218" s="1441"/>
      <c r="AC218" s="1441"/>
      <c r="AD218" s="1441"/>
      <c r="AE218" s="1441"/>
      <c r="AF218" s="1441"/>
      <c r="AG218" s="1441"/>
      <c r="AH218" s="1441"/>
      <c r="AI218" s="1441"/>
      <c r="AJ218" s="1441"/>
    </row>
    <row r="219" spans="1:36" s="1448" customFormat="1" ht="12.75" customHeight="1">
      <c r="A219" s="840" t="s">
        <v>27</v>
      </c>
      <c r="B219" s="1446">
        <v>6.01</v>
      </c>
      <c r="C219" s="545" t="s">
        <v>93</v>
      </c>
      <c r="D219" s="545" t="s">
        <v>93</v>
      </c>
      <c r="E219" s="545" t="s">
        <v>93</v>
      </c>
      <c r="F219" s="545">
        <v>700</v>
      </c>
      <c r="G219" s="1457" t="s">
        <v>93</v>
      </c>
      <c r="H219" s="1457" t="s">
        <v>93</v>
      </c>
      <c r="I219" s="1457" t="s">
        <v>93</v>
      </c>
      <c r="J219" s="1457" t="s">
        <v>93</v>
      </c>
      <c r="K219" s="1446">
        <v>9.5</v>
      </c>
      <c r="L219" s="545" t="s">
        <v>93</v>
      </c>
      <c r="M219" s="1446" t="s">
        <v>93</v>
      </c>
      <c r="N219" s="545" t="s">
        <v>93</v>
      </c>
      <c r="O219" s="1446">
        <v>7.75</v>
      </c>
      <c r="P219" s="545">
        <v>496.23</v>
      </c>
      <c r="Q219" s="1439"/>
      <c r="R219" s="1439"/>
      <c r="S219" s="1439"/>
      <c r="T219" s="1439"/>
      <c r="U219" s="1441"/>
      <c r="V219" s="1441"/>
      <c r="W219" s="1441"/>
      <c r="X219" s="1441"/>
      <c r="Y219" s="1441"/>
      <c r="Z219" s="1441"/>
      <c r="AA219" s="1441"/>
      <c r="AB219" s="1441"/>
      <c r="AC219" s="1441"/>
      <c r="AD219" s="1441"/>
      <c r="AE219" s="1441"/>
      <c r="AF219" s="1441"/>
      <c r="AG219" s="1441"/>
      <c r="AH219" s="1441"/>
      <c r="AI219" s="1441"/>
      <c r="AJ219" s="1441"/>
    </row>
    <row r="220" spans="1:36" s="1448" customFormat="1" ht="12.75" customHeight="1">
      <c r="A220" s="840" t="s">
        <v>28</v>
      </c>
      <c r="B220" s="1446">
        <v>6.01</v>
      </c>
      <c r="C220" s="545" t="s">
        <v>93</v>
      </c>
      <c r="D220" s="545" t="s">
        <v>93</v>
      </c>
      <c r="E220" s="545" t="s">
        <v>93</v>
      </c>
      <c r="F220" s="545">
        <v>700</v>
      </c>
      <c r="G220" s="1457" t="s">
        <v>93</v>
      </c>
      <c r="H220" s="1457" t="s">
        <v>93</v>
      </c>
      <c r="I220" s="1457" t="s">
        <v>93</v>
      </c>
      <c r="J220" s="1457" t="s">
        <v>93</v>
      </c>
      <c r="K220" s="1446">
        <v>9.5</v>
      </c>
      <c r="L220" s="545" t="s">
        <v>93</v>
      </c>
      <c r="M220" s="1446" t="s">
        <v>93</v>
      </c>
      <c r="N220" s="545" t="s">
        <v>93</v>
      </c>
      <c r="O220" s="1446">
        <v>7.75</v>
      </c>
      <c r="P220" s="545">
        <f>627124666.69/1000000</f>
        <v>627.12466669000003</v>
      </c>
      <c r="Q220" s="1439"/>
      <c r="R220" s="1439"/>
      <c r="S220" s="1439"/>
      <c r="T220" s="1439"/>
      <c r="U220" s="1441"/>
      <c r="V220" s="1441"/>
      <c r="W220" s="1441"/>
      <c r="X220" s="1441"/>
      <c r="Y220" s="1441"/>
      <c r="Z220" s="1441"/>
      <c r="AA220" s="1441"/>
      <c r="AB220" s="1441"/>
      <c r="AC220" s="1441"/>
      <c r="AD220" s="1441"/>
      <c r="AE220" s="1441"/>
      <c r="AF220" s="1441"/>
      <c r="AG220" s="1441"/>
      <c r="AH220" s="1441"/>
      <c r="AI220" s="1441"/>
      <c r="AJ220" s="1441"/>
    </row>
    <row r="221" spans="1:36" s="1448" customFormat="1" ht="12.75" customHeight="1">
      <c r="A221" s="840" t="s">
        <v>29</v>
      </c>
      <c r="B221" s="1446">
        <v>5.76</v>
      </c>
      <c r="C221" s="545" t="s">
        <v>93</v>
      </c>
      <c r="D221" s="545" t="s">
        <v>93</v>
      </c>
      <c r="E221" s="545" t="s">
        <v>93</v>
      </c>
      <c r="F221" s="545">
        <v>700</v>
      </c>
      <c r="G221" s="1457" t="s">
        <v>93</v>
      </c>
      <c r="H221" s="1457" t="s">
        <v>93</v>
      </c>
      <c r="I221" s="1457" t="s">
        <v>93</v>
      </c>
      <c r="J221" s="1457" t="s">
        <v>93</v>
      </c>
      <c r="K221" s="1446">
        <v>9.25</v>
      </c>
      <c r="L221" s="545" t="s">
        <v>93</v>
      </c>
      <c r="M221" s="1446" t="s">
        <v>93</v>
      </c>
      <c r="N221" s="545" t="s">
        <v>93</v>
      </c>
      <c r="O221" s="1446">
        <v>7.5</v>
      </c>
      <c r="P221" s="545">
        <v>681.7</v>
      </c>
      <c r="Q221" s="1439"/>
      <c r="R221" s="1439"/>
      <c r="S221" s="1439"/>
      <c r="T221" s="1439"/>
      <c r="U221" s="1441"/>
      <c r="V221" s="1441"/>
      <c r="W221" s="1441"/>
      <c r="X221" s="1441"/>
      <c r="Y221" s="1441"/>
      <c r="Z221" s="1441"/>
      <c r="AA221" s="1441"/>
      <c r="AB221" s="1441"/>
      <c r="AC221" s="1441"/>
      <c r="AD221" s="1441"/>
      <c r="AE221" s="1441"/>
      <c r="AF221" s="1441"/>
      <c r="AG221" s="1441"/>
      <c r="AH221" s="1441"/>
      <c r="AI221" s="1441"/>
      <c r="AJ221" s="1441"/>
    </row>
    <row r="222" spans="1:36" s="544" customFormat="1" ht="12.75" customHeight="1">
      <c r="A222" s="840" t="s">
        <v>2407</v>
      </c>
      <c r="B222" s="540">
        <f t="shared" ref="B222:F222" si="12">B234</f>
        <v>5.76</v>
      </c>
      <c r="C222" s="541" t="str">
        <f t="shared" si="12"/>
        <v>-</v>
      </c>
      <c r="D222" s="541" t="str">
        <f t="shared" si="12"/>
        <v>-</v>
      </c>
      <c r="E222" s="541" t="str">
        <f t="shared" si="12"/>
        <v>-</v>
      </c>
      <c r="F222" s="541">
        <f t="shared" si="12"/>
        <v>650</v>
      </c>
      <c r="G222" s="1456" t="s">
        <v>93</v>
      </c>
      <c r="H222" s="1456" t="s">
        <v>93</v>
      </c>
      <c r="I222" s="1456" t="s">
        <v>93</v>
      </c>
      <c r="J222" s="1456" t="s">
        <v>93</v>
      </c>
      <c r="K222" s="540">
        <v>6.75</v>
      </c>
      <c r="L222" s="541" t="s">
        <v>93</v>
      </c>
      <c r="M222" s="540" t="s">
        <v>93</v>
      </c>
      <c r="N222" s="541" t="s">
        <v>93</v>
      </c>
      <c r="O222" s="540">
        <f>O234</f>
        <v>6.25</v>
      </c>
      <c r="P222" s="541">
        <f t="shared" ref="P222" si="13">P234</f>
        <v>1025.502</v>
      </c>
      <c r="Q222" s="1439"/>
      <c r="R222" s="1439"/>
      <c r="S222" s="1439"/>
      <c r="T222" s="1439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  <c r="AG222" s="538"/>
      <c r="AH222" s="538"/>
      <c r="AI222" s="538"/>
      <c r="AJ222" s="538"/>
    </row>
    <row r="223" spans="1:36" s="1449" customFormat="1" ht="12.75" customHeight="1">
      <c r="A223" s="840" t="s">
        <v>18</v>
      </c>
      <c r="B223" s="1446" t="s">
        <v>93</v>
      </c>
      <c r="C223" s="545">
        <v>4.93</v>
      </c>
      <c r="D223" s="545">
        <v>4.4800000000000004</v>
      </c>
      <c r="E223" s="545">
        <v>4.0999999999999996</v>
      </c>
      <c r="F223" s="545">
        <v>220</v>
      </c>
      <c r="G223" s="1457" t="s">
        <v>93</v>
      </c>
      <c r="H223" s="1457" t="s">
        <v>93</v>
      </c>
      <c r="I223" s="1457" t="s">
        <v>93</v>
      </c>
      <c r="J223" s="1457" t="s">
        <v>93</v>
      </c>
      <c r="K223" s="1446">
        <v>9</v>
      </c>
      <c r="L223" s="545" t="s">
        <v>93</v>
      </c>
      <c r="M223" s="1446" t="s">
        <v>93</v>
      </c>
      <c r="N223" s="545" t="s">
        <v>93</v>
      </c>
      <c r="O223" s="1446">
        <v>7.25</v>
      </c>
      <c r="P223" s="545">
        <v>696.10299999999995</v>
      </c>
      <c r="Q223" s="1439"/>
      <c r="R223" s="1439"/>
      <c r="S223" s="1439"/>
      <c r="T223" s="1439"/>
      <c r="U223" s="1439"/>
      <c r="V223" s="1439"/>
      <c r="W223" s="1439"/>
      <c r="X223" s="1439"/>
      <c r="Y223" s="1439"/>
      <c r="Z223" s="1439"/>
      <c r="AA223" s="1439"/>
      <c r="AB223" s="1439"/>
      <c r="AC223" s="1439"/>
      <c r="AD223" s="1439"/>
      <c r="AE223" s="1439"/>
      <c r="AF223" s="1439"/>
      <c r="AG223" s="1439"/>
      <c r="AH223" s="1439"/>
      <c r="AI223" s="1439"/>
      <c r="AJ223" s="1439"/>
    </row>
    <row r="224" spans="1:36" s="1449" customFormat="1" ht="12.75" customHeight="1">
      <c r="A224" s="840" t="s">
        <v>19</v>
      </c>
      <c r="B224" s="1446" t="s">
        <v>93</v>
      </c>
      <c r="C224" s="545">
        <v>3.69</v>
      </c>
      <c r="D224" s="545">
        <v>3.79</v>
      </c>
      <c r="E224" s="545">
        <v>3.85</v>
      </c>
      <c r="F224" s="545">
        <v>350</v>
      </c>
      <c r="G224" s="1457" t="s">
        <v>93</v>
      </c>
      <c r="H224" s="1457" t="s">
        <v>93</v>
      </c>
      <c r="I224" s="1457" t="s">
        <v>93</v>
      </c>
      <c r="J224" s="1457" t="s">
        <v>93</v>
      </c>
      <c r="K224" s="1446">
        <v>9</v>
      </c>
      <c r="L224" s="545" t="s">
        <v>93</v>
      </c>
      <c r="M224" s="1446" t="s">
        <v>93</v>
      </c>
      <c r="N224" s="545" t="s">
        <v>93</v>
      </c>
      <c r="O224" s="1446">
        <v>7.25</v>
      </c>
      <c r="P224" s="545">
        <v>704.67</v>
      </c>
      <c r="Q224" s="1439"/>
      <c r="R224" s="1439"/>
      <c r="S224" s="1439"/>
      <c r="T224" s="1439"/>
      <c r="U224" s="1439"/>
      <c r="V224" s="1439"/>
      <c r="W224" s="1439"/>
      <c r="X224" s="1439"/>
      <c r="Y224" s="1439"/>
      <c r="Z224" s="1439"/>
      <c r="AA224" s="1439"/>
      <c r="AB224" s="1439"/>
      <c r="AC224" s="1439"/>
      <c r="AD224" s="1439"/>
      <c r="AE224" s="1439"/>
      <c r="AF224" s="1439"/>
      <c r="AG224" s="1439"/>
      <c r="AH224" s="1439"/>
      <c r="AI224" s="1439"/>
      <c r="AJ224" s="1439"/>
    </row>
    <row r="225" spans="1:36" s="1449" customFormat="1" ht="12.75" customHeight="1">
      <c r="A225" s="840" t="s">
        <v>20</v>
      </c>
      <c r="B225" s="1446" t="s">
        <v>93</v>
      </c>
      <c r="C225" s="545">
        <v>3.43</v>
      </c>
      <c r="D225" s="545">
        <v>3.79</v>
      </c>
      <c r="E225" s="545">
        <v>3.85</v>
      </c>
      <c r="F225" s="545">
        <v>322.60000000000002</v>
      </c>
      <c r="G225" s="1457" t="s">
        <v>93</v>
      </c>
      <c r="H225" s="1457" t="s">
        <v>93</v>
      </c>
      <c r="I225" s="1457" t="s">
        <v>93</v>
      </c>
      <c r="J225" s="1457" t="s">
        <v>93</v>
      </c>
      <c r="K225" s="1446">
        <v>9</v>
      </c>
      <c r="L225" s="545" t="s">
        <v>93</v>
      </c>
      <c r="M225" s="1446" t="s">
        <v>93</v>
      </c>
      <c r="N225" s="545" t="s">
        <v>93</v>
      </c>
      <c r="O225" s="1446">
        <v>7.25</v>
      </c>
      <c r="P225" s="545">
        <v>707.3</v>
      </c>
      <c r="Q225" s="1439"/>
      <c r="R225" s="1439"/>
      <c r="S225" s="1439"/>
      <c r="T225" s="1439"/>
      <c r="U225" s="1439"/>
      <c r="V225" s="1439"/>
      <c r="W225" s="1439"/>
      <c r="X225" s="1439"/>
      <c r="Y225" s="1439"/>
      <c r="Z225" s="1439"/>
      <c r="AA225" s="1439"/>
      <c r="AB225" s="1439"/>
      <c r="AC225" s="1439"/>
      <c r="AD225" s="1439"/>
      <c r="AE225" s="1439"/>
      <c r="AF225" s="1439"/>
      <c r="AG225" s="1439"/>
      <c r="AH225" s="1439"/>
      <c r="AI225" s="1439"/>
      <c r="AJ225" s="1439"/>
    </row>
    <row r="226" spans="1:36" s="1449" customFormat="1" ht="12.75" customHeight="1">
      <c r="A226" s="840" t="s">
        <v>21</v>
      </c>
      <c r="B226" s="1446">
        <v>6.76</v>
      </c>
      <c r="C226" s="545" t="s">
        <v>93</v>
      </c>
      <c r="D226" s="545" t="s">
        <v>93</v>
      </c>
      <c r="E226" s="545" t="s">
        <v>93</v>
      </c>
      <c r="F226" s="545">
        <v>872.26</v>
      </c>
      <c r="G226" s="1457" t="s">
        <v>93</v>
      </c>
      <c r="H226" s="1457" t="s">
        <v>93</v>
      </c>
      <c r="I226" s="1457" t="s">
        <v>93</v>
      </c>
      <c r="J226" s="1457" t="s">
        <v>93</v>
      </c>
      <c r="K226" s="1446">
        <v>9</v>
      </c>
      <c r="L226" s="545" t="s">
        <v>93</v>
      </c>
      <c r="M226" s="1446" t="s">
        <v>93</v>
      </c>
      <c r="N226" s="545" t="s">
        <v>93</v>
      </c>
      <c r="O226" s="1446">
        <v>7.25</v>
      </c>
      <c r="P226" s="545">
        <v>822.12</v>
      </c>
      <c r="Q226" s="1439"/>
      <c r="R226" s="1439"/>
      <c r="S226" s="1439"/>
      <c r="T226" s="1439"/>
      <c r="U226" s="1439"/>
      <c r="V226" s="1439"/>
      <c r="W226" s="1439"/>
      <c r="X226" s="1439"/>
      <c r="Y226" s="1439"/>
      <c r="Z226" s="1439"/>
      <c r="AA226" s="1439"/>
      <c r="AB226" s="1439"/>
      <c r="AC226" s="1439"/>
      <c r="AD226" s="1439"/>
      <c r="AE226" s="1439"/>
      <c r="AF226" s="1439"/>
      <c r="AG226" s="1439"/>
      <c r="AH226" s="1439"/>
      <c r="AI226" s="1439"/>
      <c r="AJ226" s="1439"/>
    </row>
    <row r="227" spans="1:36" s="1449" customFormat="1" ht="12.75" customHeight="1">
      <c r="A227" s="840" t="s">
        <v>22</v>
      </c>
      <c r="B227" s="1446">
        <v>6.76</v>
      </c>
      <c r="C227" s="545" t="s">
        <v>93</v>
      </c>
      <c r="D227" s="545" t="s">
        <v>93</v>
      </c>
      <c r="E227" s="545" t="s">
        <v>93</v>
      </c>
      <c r="F227" s="545">
        <v>715.42</v>
      </c>
      <c r="G227" s="1457" t="s">
        <v>93</v>
      </c>
      <c r="H227" s="1457" t="s">
        <v>93</v>
      </c>
      <c r="I227" s="1457" t="s">
        <v>93</v>
      </c>
      <c r="J227" s="1457" t="s">
        <v>93</v>
      </c>
      <c r="K227" s="1446">
        <v>8</v>
      </c>
      <c r="L227" s="545" t="s">
        <v>93</v>
      </c>
      <c r="M227" s="1446" t="s">
        <v>93</v>
      </c>
      <c r="N227" s="545" t="s">
        <v>93</v>
      </c>
      <c r="O227" s="1446">
        <v>7.25</v>
      </c>
      <c r="P227" s="545">
        <v>800.76</v>
      </c>
      <c r="Q227" s="1439"/>
      <c r="R227" s="1439"/>
      <c r="S227" s="1439"/>
      <c r="T227" s="1439"/>
      <c r="U227" s="1439"/>
      <c r="V227" s="1439"/>
      <c r="W227" s="1439"/>
      <c r="X227" s="1439"/>
      <c r="Y227" s="1439"/>
      <c r="Z227" s="1439"/>
      <c r="AA227" s="1439"/>
      <c r="AB227" s="1439"/>
      <c r="AC227" s="1439"/>
      <c r="AD227" s="1439"/>
      <c r="AE227" s="1439"/>
      <c r="AF227" s="1439"/>
      <c r="AG227" s="1439"/>
      <c r="AH227" s="1439"/>
      <c r="AI227" s="1439"/>
      <c r="AJ227" s="1439"/>
    </row>
    <row r="228" spans="1:36" s="1449" customFormat="1" ht="12.75" customHeight="1">
      <c r="A228" s="840" t="s">
        <v>23</v>
      </c>
      <c r="B228" s="1446">
        <v>6.51</v>
      </c>
      <c r="C228" s="545" t="s">
        <v>93</v>
      </c>
      <c r="D228" s="545" t="s">
        <v>93</v>
      </c>
      <c r="E228" s="545" t="s">
        <v>93</v>
      </c>
      <c r="F228" s="545">
        <v>806.22</v>
      </c>
      <c r="G228" s="1457" t="s">
        <v>93</v>
      </c>
      <c r="H228" s="1457" t="s">
        <v>93</v>
      </c>
      <c r="I228" s="1457" t="s">
        <v>93</v>
      </c>
      <c r="J228" s="1457" t="s">
        <v>93</v>
      </c>
      <c r="K228" s="1446">
        <v>7.5</v>
      </c>
      <c r="L228" s="545" t="s">
        <v>93</v>
      </c>
      <c r="M228" s="1446" t="s">
        <v>93</v>
      </c>
      <c r="N228" s="545" t="s">
        <v>93</v>
      </c>
      <c r="O228" s="1446">
        <v>7</v>
      </c>
      <c r="P228" s="545">
        <v>757.44</v>
      </c>
      <c r="Q228" s="1439"/>
      <c r="R228" s="1439"/>
      <c r="S228" s="1439"/>
      <c r="T228" s="1439"/>
      <c r="U228" s="1439"/>
      <c r="V228" s="1439"/>
      <c r="W228" s="1439"/>
      <c r="X228" s="1439"/>
      <c r="Y228" s="1439"/>
      <c r="Z228" s="1439"/>
      <c r="AA228" s="1439"/>
      <c r="AB228" s="1439"/>
      <c r="AC228" s="1439"/>
      <c r="AD228" s="1439"/>
      <c r="AE228" s="1439"/>
      <c r="AF228" s="1439"/>
      <c r="AG228" s="1439"/>
      <c r="AH228" s="1439"/>
      <c r="AI228" s="1439"/>
      <c r="AJ228" s="1439"/>
    </row>
    <row r="229" spans="1:36" s="1449" customFormat="1" ht="12.75" customHeight="1">
      <c r="A229" s="840" t="s">
        <v>24</v>
      </c>
      <c r="B229" s="1446">
        <v>6.51</v>
      </c>
      <c r="C229" s="545" t="s">
        <v>93</v>
      </c>
      <c r="D229" s="545" t="s">
        <v>93</v>
      </c>
      <c r="E229" s="545" t="s">
        <v>93</v>
      </c>
      <c r="F229" s="545">
        <v>707.95</v>
      </c>
      <c r="G229" s="1457" t="s">
        <v>93</v>
      </c>
      <c r="H229" s="1457" t="s">
        <v>93</v>
      </c>
      <c r="I229" s="1457" t="s">
        <v>93</v>
      </c>
      <c r="J229" s="1457" t="s">
        <v>93</v>
      </c>
      <c r="K229" s="1446">
        <v>7.25</v>
      </c>
      <c r="L229" s="545" t="s">
        <v>93</v>
      </c>
      <c r="M229" s="1446" t="s">
        <v>93</v>
      </c>
      <c r="N229" s="545" t="s">
        <v>93</v>
      </c>
      <c r="O229" s="1446">
        <v>6.75</v>
      </c>
      <c r="P229" s="545">
        <v>757.21</v>
      </c>
      <c r="Q229" s="1439"/>
      <c r="R229" s="1439"/>
      <c r="S229" s="1439"/>
      <c r="T229" s="1439"/>
      <c r="U229" s="1439"/>
      <c r="V229" s="1439"/>
      <c r="W229" s="1439"/>
      <c r="X229" s="1439"/>
      <c r="Y229" s="1439"/>
      <c r="Z229" s="1439"/>
      <c r="AA229" s="1439"/>
      <c r="AB229" s="1439"/>
      <c r="AC229" s="1439"/>
      <c r="AD229" s="1439"/>
      <c r="AE229" s="1439"/>
      <c r="AF229" s="1439"/>
      <c r="AG229" s="1439"/>
      <c r="AH229" s="1439"/>
      <c r="AI229" s="1439"/>
      <c r="AJ229" s="1439"/>
    </row>
    <row r="230" spans="1:36" s="1449" customFormat="1" ht="12.75" customHeight="1">
      <c r="A230" s="840" t="s">
        <v>25</v>
      </c>
      <c r="B230" s="1446">
        <v>6.26</v>
      </c>
      <c r="C230" s="545" t="s">
        <v>93</v>
      </c>
      <c r="D230" s="545" t="s">
        <v>93</v>
      </c>
      <c r="E230" s="545" t="s">
        <v>93</v>
      </c>
      <c r="F230" s="545">
        <v>708.97</v>
      </c>
      <c r="G230" s="1457" t="s">
        <v>93</v>
      </c>
      <c r="H230" s="1457" t="s">
        <v>93</v>
      </c>
      <c r="I230" s="1457" t="s">
        <v>93</v>
      </c>
      <c r="J230" s="1457" t="s">
        <v>93</v>
      </c>
      <c r="K230" s="1446">
        <v>7.25</v>
      </c>
      <c r="L230" s="545" t="s">
        <v>93</v>
      </c>
      <c r="M230" s="1446" t="s">
        <v>93</v>
      </c>
      <c r="N230" s="545" t="s">
        <v>93</v>
      </c>
      <c r="O230" s="1446">
        <v>6.75</v>
      </c>
      <c r="P230" s="545">
        <v>756.98</v>
      </c>
      <c r="Q230" s="1439"/>
      <c r="R230" s="1439"/>
      <c r="S230" s="1439"/>
      <c r="T230" s="1439"/>
      <c r="U230" s="1439"/>
      <c r="V230" s="1439"/>
      <c r="W230" s="1439"/>
      <c r="X230" s="1439"/>
      <c r="Y230" s="1439"/>
      <c r="Z230" s="1439"/>
      <c r="AA230" s="1439"/>
      <c r="AB230" s="1439"/>
      <c r="AC230" s="1439"/>
      <c r="AD230" s="1439"/>
      <c r="AE230" s="1439"/>
      <c r="AF230" s="1439"/>
      <c r="AG230" s="1439"/>
      <c r="AH230" s="1439"/>
      <c r="AI230" s="1439"/>
      <c r="AJ230" s="1439"/>
    </row>
    <row r="231" spans="1:36" s="1449" customFormat="1" ht="12.75" customHeight="1">
      <c r="A231" s="840" t="s">
        <v>26</v>
      </c>
      <c r="B231" s="1446">
        <v>6.01</v>
      </c>
      <c r="C231" s="545" t="s">
        <v>93</v>
      </c>
      <c r="D231" s="545" t="s">
        <v>93</v>
      </c>
      <c r="E231" s="545" t="s">
        <v>93</v>
      </c>
      <c r="F231" s="545">
        <v>708.97</v>
      </c>
      <c r="G231" s="1457" t="s">
        <v>93</v>
      </c>
      <c r="H231" s="1457" t="s">
        <v>93</v>
      </c>
      <c r="I231" s="1457" t="s">
        <v>93</v>
      </c>
      <c r="J231" s="1457" t="s">
        <v>93</v>
      </c>
      <c r="K231" s="1446">
        <v>7</v>
      </c>
      <c r="L231" s="545" t="s">
        <v>93</v>
      </c>
      <c r="M231" s="1446" t="s">
        <v>93</v>
      </c>
      <c r="N231" s="545" t="s">
        <v>93</v>
      </c>
      <c r="O231" s="1446">
        <v>6.5</v>
      </c>
      <c r="P231" s="545">
        <v>965.8</v>
      </c>
      <c r="Q231" s="1439"/>
      <c r="R231" s="1439"/>
      <c r="S231" s="1439"/>
      <c r="T231" s="1439"/>
      <c r="U231" s="1439"/>
      <c r="V231" s="1439"/>
      <c r="W231" s="1439"/>
      <c r="X231" s="1439"/>
      <c r="Y231" s="1439"/>
      <c r="Z231" s="1439"/>
      <c r="AA231" s="1439"/>
      <c r="AB231" s="1439"/>
      <c r="AC231" s="1439"/>
      <c r="AD231" s="1439"/>
      <c r="AE231" s="1439"/>
      <c r="AF231" s="1439"/>
      <c r="AG231" s="1439"/>
      <c r="AH231" s="1439"/>
      <c r="AI231" s="1439"/>
      <c r="AJ231" s="1439"/>
    </row>
    <row r="232" spans="1:36" s="1449" customFormat="1" ht="12.75" customHeight="1">
      <c r="A232" s="840" t="s">
        <v>27</v>
      </c>
      <c r="B232" s="1446">
        <v>6.01</v>
      </c>
      <c r="C232" s="545" t="s">
        <v>93</v>
      </c>
      <c r="D232" s="545" t="s">
        <v>93</v>
      </c>
      <c r="E232" s="545" t="s">
        <v>93</v>
      </c>
      <c r="F232" s="545">
        <v>650</v>
      </c>
      <c r="G232" s="1457" t="s">
        <v>93</v>
      </c>
      <c r="H232" s="1457" t="s">
        <v>93</v>
      </c>
      <c r="I232" s="1457" t="s">
        <v>93</v>
      </c>
      <c r="J232" s="1457" t="s">
        <v>93</v>
      </c>
      <c r="K232" s="1446">
        <v>7</v>
      </c>
      <c r="L232" s="545" t="s">
        <v>93</v>
      </c>
      <c r="M232" s="1446" t="s">
        <v>93</v>
      </c>
      <c r="N232" s="545" t="s">
        <v>93</v>
      </c>
      <c r="O232" s="1446">
        <v>6.5</v>
      </c>
      <c r="P232" s="545">
        <v>1026.8</v>
      </c>
      <c r="Q232" s="1439"/>
      <c r="R232" s="1439"/>
      <c r="S232" s="1439"/>
      <c r="T232" s="1439"/>
      <c r="U232" s="1439"/>
      <c r="V232" s="1439"/>
      <c r="W232" s="1439"/>
      <c r="X232" s="1439"/>
      <c r="Y232" s="1439"/>
      <c r="Z232" s="1439"/>
      <c r="AA232" s="1439"/>
      <c r="AB232" s="1439"/>
      <c r="AC232" s="1439"/>
      <c r="AD232" s="1439"/>
      <c r="AE232" s="1439"/>
      <c r="AF232" s="1439"/>
      <c r="AG232" s="1439"/>
      <c r="AH232" s="1439"/>
      <c r="AI232" s="1439"/>
      <c r="AJ232" s="1439"/>
    </row>
    <row r="233" spans="1:36" s="1449" customFormat="1" ht="12.75" customHeight="1">
      <c r="A233" s="840" t="s">
        <v>28</v>
      </c>
      <c r="B233" s="1446">
        <v>6.01</v>
      </c>
      <c r="C233" s="545" t="s">
        <v>93</v>
      </c>
      <c r="D233" s="545" t="s">
        <v>93</v>
      </c>
      <c r="E233" s="545" t="s">
        <v>93</v>
      </c>
      <c r="F233" s="545">
        <v>650</v>
      </c>
      <c r="G233" s="1457" t="s">
        <v>93</v>
      </c>
      <c r="H233" s="1457" t="s">
        <v>93</v>
      </c>
      <c r="I233" s="1457" t="s">
        <v>93</v>
      </c>
      <c r="J233" s="1457" t="s">
        <v>93</v>
      </c>
      <c r="K233" s="1446">
        <v>7</v>
      </c>
      <c r="L233" s="545" t="s">
        <v>93</v>
      </c>
      <c r="M233" s="1446" t="s">
        <v>93</v>
      </c>
      <c r="N233" s="545" t="s">
        <v>93</v>
      </c>
      <c r="O233" s="1446">
        <v>6.5</v>
      </c>
      <c r="P233" s="545">
        <v>1026.7</v>
      </c>
      <c r="Q233" s="1439"/>
      <c r="R233" s="1439"/>
      <c r="S233" s="1439"/>
      <c r="T233" s="1439"/>
      <c r="U233" s="1439"/>
      <c r="V233" s="1439"/>
      <c r="W233" s="1439"/>
      <c r="X233" s="1439"/>
      <c r="Y233" s="1439"/>
      <c r="Z233" s="1439"/>
      <c r="AA233" s="1439"/>
      <c r="AB233" s="1439"/>
      <c r="AC233" s="1439"/>
      <c r="AD233" s="1439"/>
      <c r="AE233" s="1439"/>
      <c r="AF233" s="1439"/>
      <c r="AG233" s="1439"/>
      <c r="AH233" s="1439"/>
      <c r="AI233" s="1439"/>
      <c r="AJ233" s="1439"/>
    </row>
    <row r="234" spans="1:36" s="1449" customFormat="1" ht="12.75" customHeight="1">
      <c r="A234" s="840" t="s">
        <v>29</v>
      </c>
      <c r="B234" s="1446">
        <v>5.76</v>
      </c>
      <c r="C234" s="545" t="s">
        <v>93</v>
      </c>
      <c r="D234" s="545" t="s">
        <v>93</v>
      </c>
      <c r="E234" s="545" t="s">
        <v>93</v>
      </c>
      <c r="F234" s="545">
        <v>650</v>
      </c>
      <c r="G234" s="1457" t="s">
        <v>93</v>
      </c>
      <c r="H234" s="1457" t="s">
        <v>93</v>
      </c>
      <c r="I234" s="1457" t="s">
        <v>93</v>
      </c>
      <c r="J234" s="1457" t="s">
        <v>93</v>
      </c>
      <c r="K234" s="1446">
        <v>6.75</v>
      </c>
      <c r="L234" s="545" t="s">
        <v>93</v>
      </c>
      <c r="M234" s="1446" t="s">
        <v>93</v>
      </c>
      <c r="N234" s="545" t="s">
        <v>93</v>
      </c>
      <c r="O234" s="1446">
        <v>6.25</v>
      </c>
      <c r="P234" s="545">
        <v>1025.502</v>
      </c>
      <c r="Q234" s="1439"/>
      <c r="R234" s="1439"/>
      <c r="S234" s="1439"/>
      <c r="T234" s="1439"/>
      <c r="U234" s="1439"/>
      <c r="V234" s="1439"/>
      <c r="W234" s="1439"/>
      <c r="X234" s="1439"/>
      <c r="Y234" s="1439"/>
      <c r="Z234" s="1439"/>
      <c r="AA234" s="1439"/>
      <c r="AB234" s="1439"/>
      <c r="AC234" s="1439"/>
      <c r="AD234" s="1439"/>
      <c r="AE234" s="1439"/>
      <c r="AF234" s="1439"/>
      <c r="AG234" s="1439"/>
      <c r="AH234" s="1439"/>
      <c r="AI234" s="1439"/>
      <c r="AJ234" s="1439"/>
    </row>
    <row r="235" spans="1:36" s="543" customFormat="1" ht="12.75" customHeight="1">
      <c r="A235" s="840" t="s">
        <v>2583</v>
      </c>
      <c r="B235" s="837">
        <v>6.01</v>
      </c>
      <c r="C235" s="838" t="s">
        <v>93</v>
      </c>
      <c r="D235" s="838" t="s">
        <v>93</v>
      </c>
      <c r="E235" s="838" t="s">
        <v>93</v>
      </c>
      <c r="F235" s="838">
        <v>200</v>
      </c>
      <c r="G235" s="1458" t="s">
        <v>93</v>
      </c>
      <c r="H235" s="1458" t="s">
        <v>93</v>
      </c>
      <c r="I235" s="1458" t="s">
        <v>93</v>
      </c>
      <c r="J235" s="1458" t="s">
        <v>93</v>
      </c>
      <c r="K235" s="837">
        <v>8.25</v>
      </c>
      <c r="L235" s="838" t="s">
        <v>93</v>
      </c>
      <c r="M235" s="837" t="s">
        <v>93</v>
      </c>
      <c r="N235" s="838" t="s">
        <v>93</v>
      </c>
      <c r="O235" s="837">
        <v>7.25</v>
      </c>
      <c r="P235" s="838">
        <v>977.04771625000001</v>
      </c>
      <c r="Q235" s="1439"/>
      <c r="R235" s="1439"/>
      <c r="S235" s="1439"/>
      <c r="T235" s="1439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2"/>
      <c r="AF235" s="542"/>
      <c r="AG235" s="542"/>
      <c r="AH235" s="542"/>
      <c r="AI235" s="542"/>
      <c r="AJ235" s="542"/>
    </row>
    <row r="236" spans="1:36" s="1448" customFormat="1" ht="12.75" customHeight="1">
      <c r="A236" s="840" t="s">
        <v>18</v>
      </c>
      <c r="B236" s="1446">
        <v>5.76</v>
      </c>
      <c r="C236" s="545">
        <v>5.68</v>
      </c>
      <c r="D236" s="545">
        <v>5.75</v>
      </c>
      <c r="E236" s="545">
        <v>6.21</v>
      </c>
      <c r="F236" s="545">
        <v>1020</v>
      </c>
      <c r="G236" s="1457" t="s">
        <v>93</v>
      </c>
      <c r="H236" s="1457" t="s">
        <v>93</v>
      </c>
      <c r="I236" s="1457" t="s">
        <v>93</v>
      </c>
      <c r="J236" s="1457" t="s">
        <v>93</v>
      </c>
      <c r="K236" s="1446">
        <v>6.75</v>
      </c>
      <c r="L236" s="545" t="s">
        <v>93</v>
      </c>
      <c r="M236" s="1446" t="s">
        <v>93</v>
      </c>
      <c r="N236" s="545" t="s">
        <v>93</v>
      </c>
      <c r="O236" s="1446">
        <v>6.25</v>
      </c>
      <c r="P236" s="545">
        <v>1075.0999999999999</v>
      </c>
      <c r="Q236" s="1439"/>
      <c r="R236" s="1439"/>
      <c r="S236" s="1439"/>
      <c r="T236" s="1439"/>
      <c r="U236" s="1441"/>
      <c r="V236" s="1441"/>
      <c r="W236" s="1441"/>
      <c r="X236" s="1441"/>
      <c r="Y236" s="1441"/>
      <c r="Z236" s="1441"/>
      <c r="AA236" s="1441"/>
      <c r="AB236" s="1441"/>
      <c r="AC236" s="1441"/>
      <c r="AD236" s="1441"/>
      <c r="AE236" s="1441"/>
      <c r="AF236" s="1441"/>
      <c r="AG236" s="1441"/>
      <c r="AH236" s="1441"/>
      <c r="AI236" s="1441"/>
      <c r="AJ236" s="1441"/>
    </row>
    <row r="237" spans="1:36" s="1448" customFormat="1" ht="12.75" customHeight="1">
      <c r="A237" s="840" t="s">
        <v>19</v>
      </c>
      <c r="B237" s="1446">
        <v>5.76</v>
      </c>
      <c r="C237" s="545" t="s">
        <v>93</v>
      </c>
      <c r="D237" s="545" t="s">
        <v>93</v>
      </c>
      <c r="E237" s="545" t="s">
        <v>93</v>
      </c>
      <c r="F237" s="545">
        <v>1020</v>
      </c>
      <c r="G237" s="1457" t="s">
        <v>93</v>
      </c>
      <c r="H237" s="1457" t="s">
        <v>93</v>
      </c>
      <c r="I237" s="1457" t="s">
        <v>93</v>
      </c>
      <c r="J237" s="1457" t="s">
        <v>93</v>
      </c>
      <c r="K237" s="1446">
        <v>6.75</v>
      </c>
      <c r="L237" s="545" t="s">
        <v>93</v>
      </c>
      <c r="M237" s="1446" t="s">
        <v>93</v>
      </c>
      <c r="N237" s="545" t="s">
        <v>93</v>
      </c>
      <c r="O237" s="1446">
        <v>6.25</v>
      </c>
      <c r="P237" s="545">
        <v>1074.55</v>
      </c>
      <c r="Q237" s="1439"/>
      <c r="R237" s="1439"/>
      <c r="S237" s="1439"/>
      <c r="T237" s="1439"/>
      <c r="U237" s="1441"/>
      <c r="V237" s="1441"/>
      <c r="W237" s="1441"/>
      <c r="X237" s="1441"/>
      <c r="Y237" s="1441"/>
      <c r="Z237" s="1441"/>
      <c r="AA237" s="1441"/>
      <c r="AB237" s="1441"/>
      <c r="AC237" s="1441"/>
      <c r="AD237" s="1441"/>
      <c r="AE237" s="1441"/>
      <c r="AF237" s="1441"/>
      <c r="AG237" s="1441"/>
      <c r="AH237" s="1441"/>
      <c r="AI237" s="1441"/>
      <c r="AJ237" s="1441"/>
    </row>
    <row r="238" spans="1:36" s="1448" customFormat="1" ht="12.75" customHeight="1">
      <c r="A238" s="840" t="s">
        <v>20</v>
      </c>
      <c r="B238" s="1446">
        <v>5.76</v>
      </c>
      <c r="C238" s="545" t="s">
        <v>93</v>
      </c>
      <c r="D238" s="545" t="s">
        <v>93</v>
      </c>
      <c r="E238" s="545" t="s">
        <v>93</v>
      </c>
      <c r="F238" s="545">
        <v>820</v>
      </c>
      <c r="G238" s="1457" t="s">
        <v>93</v>
      </c>
      <c r="H238" s="1457" t="s">
        <v>93</v>
      </c>
      <c r="I238" s="1457" t="s">
        <v>93</v>
      </c>
      <c r="J238" s="1457" t="s">
        <v>93</v>
      </c>
      <c r="K238" s="1446">
        <v>6.75</v>
      </c>
      <c r="L238" s="545" t="s">
        <v>93</v>
      </c>
      <c r="M238" s="1446" t="s">
        <v>93</v>
      </c>
      <c r="N238" s="545" t="s">
        <v>93</v>
      </c>
      <c r="O238" s="1446">
        <v>6.25</v>
      </c>
      <c r="P238" s="545">
        <v>1072.3699999999999</v>
      </c>
      <c r="Q238" s="1439"/>
      <c r="R238" s="1439"/>
      <c r="S238" s="1439"/>
      <c r="T238" s="1439"/>
      <c r="U238" s="1441"/>
      <c r="V238" s="1441"/>
      <c r="W238" s="1441"/>
      <c r="X238" s="1441"/>
      <c r="Y238" s="1441"/>
      <c r="Z238" s="1441"/>
      <c r="AA238" s="1441"/>
      <c r="AB238" s="1441"/>
      <c r="AC238" s="1441"/>
      <c r="AD238" s="1441"/>
      <c r="AE238" s="1441"/>
      <c r="AF238" s="1441"/>
      <c r="AG238" s="1441"/>
      <c r="AH238" s="1441"/>
      <c r="AI238" s="1441"/>
      <c r="AJ238" s="1441"/>
    </row>
    <row r="239" spans="1:36" s="1448" customFormat="1" ht="12.75" customHeight="1">
      <c r="A239" s="840" t="s">
        <v>21</v>
      </c>
      <c r="B239" s="1446">
        <v>5.76</v>
      </c>
      <c r="C239" s="545" t="s">
        <v>93</v>
      </c>
      <c r="D239" s="545" t="s">
        <v>93</v>
      </c>
      <c r="E239" s="545" t="s">
        <v>93</v>
      </c>
      <c r="F239" s="545">
        <v>670</v>
      </c>
      <c r="G239" s="1457" t="s">
        <v>93</v>
      </c>
      <c r="H239" s="1457" t="s">
        <v>93</v>
      </c>
      <c r="I239" s="1457" t="s">
        <v>93</v>
      </c>
      <c r="J239" s="1457" t="s">
        <v>93</v>
      </c>
      <c r="K239" s="1446">
        <v>6.75</v>
      </c>
      <c r="L239" s="545" t="s">
        <v>93</v>
      </c>
      <c r="M239" s="1446" t="s">
        <v>93</v>
      </c>
      <c r="N239" s="545" t="s">
        <v>93</v>
      </c>
      <c r="O239" s="1446">
        <v>6.25</v>
      </c>
      <c r="P239" s="545">
        <v>1068.3399999999999</v>
      </c>
      <c r="Q239" s="1439"/>
      <c r="R239" s="1439"/>
      <c r="S239" s="1439"/>
      <c r="T239" s="1439"/>
      <c r="U239" s="1441"/>
      <c r="V239" s="1441"/>
      <c r="W239" s="1441"/>
      <c r="X239" s="1441"/>
      <c r="Y239" s="1441"/>
      <c r="Z239" s="1441"/>
      <c r="AA239" s="1441"/>
      <c r="AB239" s="1441"/>
      <c r="AC239" s="1441"/>
      <c r="AD239" s="1441"/>
      <c r="AE239" s="1441"/>
      <c r="AF239" s="1441"/>
      <c r="AG239" s="1441"/>
      <c r="AH239" s="1441"/>
      <c r="AI239" s="1441"/>
      <c r="AJ239" s="1441"/>
    </row>
    <row r="240" spans="1:36" s="1448" customFormat="1" ht="12.75" customHeight="1">
      <c r="A240" s="840" t="s">
        <v>22</v>
      </c>
      <c r="B240" s="1446">
        <v>5.76</v>
      </c>
      <c r="C240" s="545" t="s">
        <v>93</v>
      </c>
      <c r="D240" s="545" t="s">
        <v>93</v>
      </c>
      <c r="E240" s="545" t="s">
        <v>93</v>
      </c>
      <c r="F240" s="545">
        <v>520</v>
      </c>
      <c r="G240" s="1457" t="s">
        <v>93</v>
      </c>
      <c r="H240" s="1457" t="s">
        <v>93</v>
      </c>
      <c r="I240" s="1457" t="s">
        <v>93</v>
      </c>
      <c r="J240" s="1457" t="s">
        <v>93</v>
      </c>
      <c r="K240" s="1446">
        <v>6.75</v>
      </c>
      <c r="L240" s="545" t="s">
        <v>93</v>
      </c>
      <c r="M240" s="1446" t="s">
        <v>93</v>
      </c>
      <c r="N240" s="545" t="s">
        <v>93</v>
      </c>
      <c r="O240" s="1446">
        <v>6.25</v>
      </c>
      <c r="P240" s="545">
        <v>1068.3399999999999</v>
      </c>
      <c r="Q240" s="1439"/>
      <c r="R240" s="1439"/>
      <c r="S240" s="1439"/>
      <c r="T240" s="1439"/>
      <c r="U240" s="1441"/>
      <c r="V240" s="1441"/>
      <c r="W240" s="1441"/>
      <c r="X240" s="1441"/>
      <c r="Y240" s="1441"/>
      <c r="Z240" s="1441"/>
      <c r="AA240" s="1441"/>
      <c r="AB240" s="1441"/>
      <c r="AC240" s="1441"/>
      <c r="AD240" s="1441"/>
      <c r="AE240" s="1441"/>
      <c r="AF240" s="1441"/>
      <c r="AG240" s="1441"/>
      <c r="AH240" s="1441"/>
      <c r="AI240" s="1441"/>
      <c r="AJ240" s="1441"/>
    </row>
    <row r="241" spans="1:36" s="1448" customFormat="1" ht="12.75" customHeight="1">
      <c r="A241" s="840" t="s">
        <v>23</v>
      </c>
      <c r="B241" s="1446">
        <v>5.76</v>
      </c>
      <c r="C241" s="545" t="s">
        <v>93</v>
      </c>
      <c r="D241" s="545" t="s">
        <v>93</v>
      </c>
      <c r="E241" s="545" t="s">
        <v>93</v>
      </c>
      <c r="F241" s="545">
        <v>520</v>
      </c>
      <c r="G241" s="1457" t="s">
        <v>93</v>
      </c>
      <c r="H241" s="1457" t="s">
        <v>93</v>
      </c>
      <c r="I241" s="1457" t="s">
        <v>93</v>
      </c>
      <c r="J241" s="1457" t="s">
        <v>93</v>
      </c>
      <c r="K241" s="1446">
        <v>6.75</v>
      </c>
      <c r="L241" s="545" t="s">
        <v>93</v>
      </c>
      <c r="M241" s="1446" t="s">
        <v>93</v>
      </c>
      <c r="N241" s="545" t="s">
        <v>93</v>
      </c>
      <c r="O241" s="1446">
        <v>6.25</v>
      </c>
      <c r="P241" s="545">
        <v>1078.1403639099999</v>
      </c>
      <c r="Q241" s="1439"/>
      <c r="R241" s="1439"/>
      <c r="S241" s="1439"/>
      <c r="T241" s="1439"/>
      <c r="AJ241" s="1441"/>
    </row>
    <row r="242" spans="1:36" s="1448" customFormat="1" ht="12.75" customHeight="1">
      <c r="A242" s="840" t="s">
        <v>24</v>
      </c>
      <c r="B242" s="1446">
        <v>5.76</v>
      </c>
      <c r="C242" s="545" t="s">
        <v>93</v>
      </c>
      <c r="D242" s="545" t="s">
        <v>93</v>
      </c>
      <c r="E242" s="545" t="s">
        <v>93</v>
      </c>
      <c r="F242" s="545">
        <v>300</v>
      </c>
      <c r="G242" s="1457" t="s">
        <v>93</v>
      </c>
      <c r="H242" s="1457" t="s">
        <v>93</v>
      </c>
      <c r="I242" s="1457" t="s">
        <v>93</v>
      </c>
      <c r="J242" s="1457" t="s">
        <v>93</v>
      </c>
      <c r="K242" s="1446">
        <v>6.75</v>
      </c>
      <c r="L242" s="545" t="s">
        <v>93</v>
      </c>
      <c r="M242" s="1446" t="s">
        <v>93</v>
      </c>
      <c r="N242" s="545" t="s">
        <v>93</v>
      </c>
      <c r="O242" s="1446">
        <v>6.25</v>
      </c>
      <c r="P242" s="545">
        <v>1064.21362791</v>
      </c>
      <c r="Q242" s="1439"/>
      <c r="R242" s="1439"/>
      <c r="S242" s="1439"/>
      <c r="T242" s="1439"/>
      <c r="U242" s="1441"/>
      <c r="V242" s="1441"/>
      <c r="W242" s="1441"/>
      <c r="X242" s="1441"/>
      <c r="Y242" s="1441"/>
      <c r="Z242" s="1441"/>
      <c r="AA242" s="1441"/>
      <c r="AB242" s="1441"/>
      <c r="AC242" s="1441"/>
      <c r="AD242" s="1441"/>
      <c r="AE242" s="1441"/>
      <c r="AF242" s="1441"/>
      <c r="AG242" s="1441"/>
      <c r="AH242" s="1441"/>
      <c r="AI242" s="1441"/>
      <c r="AJ242" s="1441"/>
    </row>
    <row r="243" spans="1:36" s="1448" customFormat="1" ht="12.75" customHeight="1">
      <c r="A243" s="840" t="s">
        <v>25</v>
      </c>
      <c r="B243" s="1446">
        <v>5.76</v>
      </c>
      <c r="C243" s="545" t="s">
        <v>93</v>
      </c>
      <c r="D243" s="545" t="s">
        <v>93</v>
      </c>
      <c r="E243" s="545" t="s">
        <v>93</v>
      </c>
      <c r="F243" s="545">
        <v>300</v>
      </c>
      <c r="G243" s="1457" t="s">
        <v>93</v>
      </c>
      <c r="H243" s="1457" t="s">
        <v>93</v>
      </c>
      <c r="I243" s="1457" t="s">
        <v>93</v>
      </c>
      <c r="J243" s="1457" t="s">
        <v>93</v>
      </c>
      <c r="K243" s="1446">
        <v>6.75</v>
      </c>
      <c r="L243" s="545" t="s">
        <v>93</v>
      </c>
      <c r="M243" s="1446" t="s">
        <v>93</v>
      </c>
      <c r="N243" s="545" t="s">
        <v>93</v>
      </c>
      <c r="O243" s="1446">
        <v>6.25</v>
      </c>
      <c r="P243" s="545">
        <v>1064.1136279100001</v>
      </c>
      <c r="Q243" s="1439"/>
      <c r="R243" s="1439"/>
      <c r="S243" s="1439"/>
      <c r="T243" s="1439"/>
      <c r="U243" s="1441"/>
      <c r="V243" s="1441"/>
      <c r="W243" s="1441"/>
      <c r="X243" s="1441"/>
      <c r="Y243" s="1441"/>
      <c r="Z243" s="1441"/>
      <c r="AA243" s="1441"/>
      <c r="AB243" s="1441"/>
      <c r="AC243" s="1441"/>
      <c r="AD243" s="1441"/>
      <c r="AE243" s="1441"/>
      <c r="AF243" s="1441"/>
      <c r="AG243" s="1441"/>
      <c r="AH243" s="1441"/>
      <c r="AI243" s="1441"/>
      <c r="AJ243" s="1441"/>
    </row>
    <row r="244" spans="1:36" s="1449" customFormat="1" ht="12.75" customHeight="1">
      <c r="A244" s="840" t="s">
        <v>26</v>
      </c>
      <c r="B244" s="1446">
        <v>6.01</v>
      </c>
      <c r="C244" s="545" t="s">
        <v>93</v>
      </c>
      <c r="D244" s="545" t="s">
        <v>93</v>
      </c>
      <c r="E244" s="545" t="s">
        <v>93</v>
      </c>
      <c r="F244" s="545">
        <v>300</v>
      </c>
      <c r="G244" s="1457" t="s">
        <v>93</v>
      </c>
      <c r="H244" s="1457" t="s">
        <v>93</v>
      </c>
      <c r="I244" s="1457" t="s">
        <v>93</v>
      </c>
      <c r="J244" s="1457" t="s">
        <v>93</v>
      </c>
      <c r="K244" s="1446">
        <v>7</v>
      </c>
      <c r="L244" s="545" t="s">
        <v>93</v>
      </c>
      <c r="M244" s="1446" t="s">
        <v>93</v>
      </c>
      <c r="N244" s="545" t="s">
        <v>93</v>
      </c>
      <c r="O244" s="1446">
        <v>6.5</v>
      </c>
      <c r="P244" s="545">
        <v>1054.01362791</v>
      </c>
      <c r="Q244" s="1439"/>
      <c r="R244" s="1439"/>
      <c r="S244" s="1439"/>
      <c r="T244" s="1439"/>
      <c r="U244" s="1439"/>
      <c r="V244" s="1439"/>
      <c r="W244" s="1439"/>
      <c r="X244" s="1439"/>
      <c r="Y244" s="1439"/>
      <c r="Z244" s="1439"/>
      <c r="AA244" s="1439"/>
      <c r="AB244" s="1439"/>
      <c r="AC244" s="1439"/>
      <c r="AD244" s="1439"/>
      <c r="AE244" s="1439"/>
      <c r="AF244" s="1439"/>
      <c r="AG244" s="1439"/>
      <c r="AH244" s="1439"/>
      <c r="AI244" s="1439"/>
      <c r="AJ244" s="1439"/>
    </row>
    <row r="245" spans="1:36" s="1449" customFormat="1" ht="12.75" customHeight="1">
      <c r="A245" s="840">
        <v>10</v>
      </c>
      <c r="B245" s="1446">
        <v>6.01</v>
      </c>
      <c r="C245" s="545" t="s">
        <v>93</v>
      </c>
      <c r="D245" s="545" t="s">
        <v>93</v>
      </c>
      <c r="E245" s="545" t="s">
        <v>93</v>
      </c>
      <c r="F245" s="545">
        <v>200</v>
      </c>
      <c r="G245" s="1457" t="s">
        <v>93</v>
      </c>
      <c r="H245" s="1457" t="s">
        <v>93</v>
      </c>
      <c r="I245" s="1457" t="s">
        <v>93</v>
      </c>
      <c r="J245" s="1457" t="s">
        <v>93</v>
      </c>
      <c r="K245" s="1446">
        <v>8</v>
      </c>
      <c r="L245" s="545" t="s">
        <v>93</v>
      </c>
      <c r="M245" s="1446" t="s">
        <v>93</v>
      </c>
      <c r="N245" s="545" t="s">
        <v>93</v>
      </c>
      <c r="O245" s="1446">
        <v>7</v>
      </c>
      <c r="P245" s="545">
        <v>1038.4616779099999</v>
      </c>
      <c r="Q245" s="1439"/>
      <c r="R245" s="1439"/>
      <c r="S245" s="1439"/>
      <c r="T245" s="1439"/>
      <c r="U245" s="1439"/>
      <c r="V245" s="1439"/>
      <c r="W245" s="1439"/>
      <c r="X245" s="1439"/>
      <c r="Y245" s="1439"/>
      <c r="Z245" s="1439"/>
      <c r="AA245" s="1439"/>
      <c r="AB245" s="1439"/>
      <c r="AC245" s="1439"/>
      <c r="AD245" s="1439"/>
      <c r="AE245" s="1439"/>
      <c r="AF245" s="1439"/>
      <c r="AG245" s="1439"/>
      <c r="AH245" s="1439"/>
      <c r="AI245" s="1439"/>
      <c r="AJ245" s="1439"/>
    </row>
    <row r="246" spans="1:36" s="1449" customFormat="1" ht="12.75" customHeight="1">
      <c r="A246" s="840">
        <v>11</v>
      </c>
      <c r="B246" s="1446">
        <v>6.01</v>
      </c>
      <c r="C246" s="545" t="s">
        <v>93</v>
      </c>
      <c r="D246" s="545" t="s">
        <v>93</v>
      </c>
      <c r="E246" s="545" t="s">
        <v>93</v>
      </c>
      <c r="F246" s="545">
        <v>200</v>
      </c>
      <c r="G246" s="1457" t="s">
        <v>93</v>
      </c>
      <c r="H246" s="1457" t="s">
        <v>93</v>
      </c>
      <c r="I246" s="1457" t="s">
        <v>93</v>
      </c>
      <c r="J246" s="1457" t="s">
        <v>93</v>
      </c>
      <c r="K246" s="1446">
        <v>8</v>
      </c>
      <c r="L246" s="545" t="s">
        <v>93</v>
      </c>
      <c r="M246" s="1446" t="s">
        <v>93</v>
      </c>
      <c r="N246" s="545" t="s">
        <v>93</v>
      </c>
      <c r="O246" s="1446">
        <v>7</v>
      </c>
      <c r="P246" s="545">
        <v>986.91888674999996</v>
      </c>
      <c r="Q246" s="1439"/>
      <c r="R246" s="1439"/>
      <c r="S246" s="1439"/>
      <c r="T246" s="1439"/>
      <c r="U246" s="1439"/>
      <c r="V246" s="1439"/>
      <c r="W246" s="1439"/>
      <c r="X246" s="1439"/>
      <c r="Y246" s="1439"/>
      <c r="Z246" s="1439"/>
      <c r="AA246" s="1439"/>
      <c r="AB246" s="1439"/>
      <c r="AC246" s="1439"/>
      <c r="AD246" s="1439"/>
      <c r="AE246" s="1439"/>
      <c r="AF246" s="1439"/>
      <c r="AG246" s="1439"/>
      <c r="AH246" s="1439"/>
      <c r="AI246" s="1439"/>
      <c r="AJ246" s="1439"/>
    </row>
    <row r="247" spans="1:36" s="1449" customFormat="1" ht="12.75" customHeight="1">
      <c r="A247" s="840">
        <v>12</v>
      </c>
      <c r="B247" s="1446">
        <v>6.01</v>
      </c>
      <c r="C247" s="545" t="s">
        <v>93</v>
      </c>
      <c r="D247" s="545" t="s">
        <v>93</v>
      </c>
      <c r="E247" s="545" t="s">
        <v>93</v>
      </c>
      <c r="F247" s="545">
        <v>200</v>
      </c>
      <c r="G247" s="1457" t="s">
        <v>93</v>
      </c>
      <c r="H247" s="1457" t="s">
        <v>93</v>
      </c>
      <c r="I247" s="1457" t="s">
        <v>93</v>
      </c>
      <c r="J247" s="1457" t="s">
        <v>93</v>
      </c>
      <c r="K247" s="1446">
        <v>8.25</v>
      </c>
      <c r="L247" s="545" t="s">
        <v>93</v>
      </c>
      <c r="M247" s="1446" t="s">
        <v>93</v>
      </c>
      <c r="N247" s="545" t="s">
        <v>93</v>
      </c>
      <c r="O247" s="1446">
        <v>7.25</v>
      </c>
      <c r="P247" s="545">
        <v>977.04771625000001</v>
      </c>
      <c r="Q247" s="1439"/>
      <c r="R247" s="1439"/>
      <c r="S247" s="1439"/>
      <c r="T247" s="1439"/>
      <c r="U247" s="1439"/>
      <c r="V247" s="1439"/>
      <c r="W247" s="1439"/>
      <c r="X247" s="1439"/>
      <c r="Y247" s="1439"/>
      <c r="Z247" s="1439"/>
      <c r="AA247" s="1439"/>
      <c r="AB247" s="1439"/>
      <c r="AC247" s="1439"/>
      <c r="AD247" s="1439"/>
      <c r="AE247" s="1439"/>
      <c r="AF247" s="1439"/>
      <c r="AG247" s="1439"/>
      <c r="AH247" s="1439"/>
      <c r="AI247" s="1439"/>
      <c r="AJ247" s="1439"/>
    </row>
    <row r="248" spans="1:36" s="1449" customFormat="1">
      <c r="A248" s="840">
        <v>2022</v>
      </c>
      <c r="B248" s="837">
        <v>6.17</v>
      </c>
      <c r="C248" s="838">
        <v>6.24</v>
      </c>
      <c r="D248" s="838">
        <v>8</v>
      </c>
      <c r="E248" s="838">
        <v>8.44</v>
      </c>
      <c r="F248" s="838">
        <v>1338.56</v>
      </c>
      <c r="G248" s="1458" t="s">
        <v>93</v>
      </c>
      <c r="H248" s="1458" t="s">
        <v>93</v>
      </c>
      <c r="I248" s="1458" t="s">
        <v>93</v>
      </c>
      <c r="J248" s="1458" t="s">
        <v>93</v>
      </c>
      <c r="K248" s="837">
        <v>9.25</v>
      </c>
      <c r="L248" s="838" t="s">
        <v>93</v>
      </c>
      <c r="M248" s="837">
        <v>6.25</v>
      </c>
      <c r="N248" s="838">
        <v>476.5</v>
      </c>
      <c r="O248" s="837">
        <v>8.25</v>
      </c>
      <c r="P248" s="838">
        <v>835.42</v>
      </c>
      <c r="Q248" s="1439"/>
      <c r="R248" s="1439"/>
      <c r="S248" s="1439"/>
      <c r="T248" s="1439"/>
      <c r="U248" s="1439"/>
      <c r="V248" s="1439"/>
      <c r="W248" s="1439"/>
      <c r="X248" s="1439"/>
      <c r="Y248" s="1439"/>
      <c r="Z248" s="1439"/>
      <c r="AA248" s="1439"/>
      <c r="AB248" s="1439"/>
      <c r="AC248" s="1439"/>
      <c r="AD248" s="1439"/>
      <c r="AE248" s="1439"/>
      <c r="AF248" s="1439"/>
      <c r="AG248" s="1439"/>
      <c r="AH248" s="1439"/>
      <c r="AI248" s="1439"/>
      <c r="AJ248" s="1439"/>
    </row>
    <row r="249" spans="1:36" s="1449" customFormat="1">
      <c r="A249" s="840" t="s">
        <v>18</v>
      </c>
      <c r="B249" s="1446">
        <v>6.01</v>
      </c>
      <c r="C249" s="545" t="s">
        <v>93</v>
      </c>
      <c r="D249" s="545" t="s">
        <v>93</v>
      </c>
      <c r="E249" s="545" t="s">
        <v>93</v>
      </c>
      <c r="F249" s="545">
        <v>430</v>
      </c>
      <c r="G249" s="1457" t="s">
        <v>93</v>
      </c>
      <c r="H249" s="1457" t="s">
        <v>93</v>
      </c>
      <c r="I249" s="1457" t="s">
        <v>93</v>
      </c>
      <c r="J249" s="1457" t="s">
        <v>93</v>
      </c>
      <c r="K249" s="1446">
        <v>9</v>
      </c>
      <c r="L249" s="545" t="s">
        <v>93</v>
      </c>
      <c r="M249" s="1446" t="s">
        <v>93</v>
      </c>
      <c r="N249" s="545" t="s">
        <v>93</v>
      </c>
      <c r="O249" s="1446">
        <v>7.5</v>
      </c>
      <c r="P249" s="545">
        <v>965.14257126999996</v>
      </c>
      <c r="Q249" s="1439"/>
      <c r="R249" s="1439"/>
      <c r="S249" s="1439"/>
      <c r="T249" s="1439"/>
      <c r="U249" s="1439"/>
      <c r="V249" s="1439"/>
      <c r="W249" s="1439"/>
      <c r="X249" s="1439"/>
      <c r="Y249" s="1439"/>
      <c r="Z249" s="1439"/>
      <c r="AA249" s="1439"/>
      <c r="AB249" s="1439"/>
      <c r="AC249" s="1439"/>
      <c r="AD249" s="1439"/>
      <c r="AE249" s="1439"/>
      <c r="AF249" s="1439"/>
      <c r="AG249" s="1439"/>
      <c r="AH249" s="1439"/>
      <c r="AI249" s="1439"/>
      <c r="AJ249" s="1439"/>
    </row>
    <row r="250" spans="1:36" s="1449" customFormat="1">
      <c r="A250" s="840" t="s">
        <v>19</v>
      </c>
      <c r="B250" s="1446">
        <v>6.01</v>
      </c>
      <c r="C250" s="545">
        <v>3.4</v>
      </c>
      <c r="D250" s="545">
        <v>4</v>
      </c>
      <c r="E250" s="545" t="s">
        <v>93</v>
      </c>
      <c r="F250" s="545">
        <v>850</v>
      </c>
      <c r="G250" s="1457" t="s">
        <v>93</v>
      </c>
      <c r="H250" s="1457" t="s">
        <v>93</v>
      </c>
      <c r="I250" s="1457" t="s">
        <v>93</v>
      </c>
      <c r="J250" s="1457" t="s">
        <v>93</v>
      </c>
      <c r="K250" s="1446">
        <v>9</v>
      </c>
      <c r="L250" s="545" t="s">
        <v>93</v>
      </c>
      <c r="M250" s="1446" t="s">
        <v>93</v>
      </c>
      <c r="N250" s="545" t="s">
        <v>93</v>
      </c>
      <c r="O250" s="1446">
        <v>7.5</v>
      </c>
      <c r="P250" s="545">
        <v>963.03270798000028</v>
      </c>
      <c r="Q250" s="1439"/>
      <c r="R250" s="1439"/>
      <c r="S250" s="1439"/>
      <c r="T250" s="1439"/>
      <c r="U250" s="1439"/>
      <c r="V250" s="1439"/>
      <c r="W250" s="1439"/>
      <c r="X250" s="1439"/>
      <c r="Y250" s="1439"/>
      <c r="Z250" s="1439"/>
      <c r="AA250" s="1439"/>
      <c r="AB250" s="1439"/>
      <c r="AC250" s="1439"/>
      <c r="AD250" s="1439"/>
      <c r="AE250" s="1439"/>
      <c r="AF250" s="1439"/>
      <c r="AG250" s="1439"/>
      <c r="AH250" s="1439"/>
      <c r="AI250" s="1439"/>
      <c r="AJ250" s="1439"/>
    </row>
    <row r="251" spans="1:36" s="1449" customFormat="1">
      <c r="A251" s="840" t="s">
        <v>20</v>
      </c>
      <c r="B251" s="1446">
        <v>6.26</v>
      </c>
      <c r="C251" s="545">
        <v>3.4</v>
      </c>
      <c r="D251" s="545">
        <v>4</v>
      </c>
      <c r="E251" s="545" t="s">
        <v>93</v>
      </c>
      <c r="F251" s="545">
        <v>810</v>
      </c>
      <c r="G251" s="1457" t="s">
        <v>93</v>
      </c>
      <c r="H251" s="1457" t="s">
        <v>93</v>
      </c>
      <c r="I251" s="1457" t="s">
        <v>93</v>
      </c>
      <c r="J251" s="1457" t="s">
        <v>93</v>
      </c>
      <c r="K251" s="1446">
        <v>9.25</v>
      </c>
      <c r="L251" s="545" t="s">
        <v>93</v>
      </c>
      <c r="M251" s="1446" t="s">
        <v>93</v>
      </c>
      <c r="N251" s="545" t="s">
        <v>93</v>
      </c>
      <c r="O251" s="1446">
        <v>7.75</v>
      </c>
      <c r="P251" s="545">
        <v>963.0287149200002</v>
      </c>
      <c r="Q251" s="1439"/>
      <c r="R251" s="1439"/>
      <c r="S251" s="1439"/>
      <c r="T251" s="1439"/>
      <c r="U251" s="1439"/>
      <c r="V251" s="1439"/>
      <c r="W251" s="1439"/>
      <c r="X251" s="1439"/>
      <c r="Y251" s="1439"/>
      <c r="Z251" s="1439"/>
      <c r="AA251" s="1439"/>
      <c r="AB251" s="1439"/>
      <c r="AC251" s="1439"/>
      <c r="AD251" s="1439"/>
      <c r="AE251" s="1439"/>
      <c r="AF251" s="1439"/>
      <c r="AG251" s="1439"/>
      <c r="AH251" s="1439"/>
      <c r="AI251" s="1439"/>
      <c r="AJ251" s="1439"/>
    </row>
    <row r="252" spans="1:36" s="1449" customFormat="1">
      <c r="A252" s="840" t="s">
        <v>21</v>
      </c>
      <c r="B252" s="1446">
        <v>6.26</v>
      </c>
      <c r="C252" s="545">
        <v>2.95</v>
      </c>
      <c r="D252" s="545">
        <v>2.98</v>
      </c>
      <c r="E252" s="545">
        <v>3</v>
      </c>
      <c r="F252" s="545">
        <v>710</v>
      </c>
      <c r="G252" s="1457" t="s">
        <v>93</v>
      </c>
      <c r="H252" s="1457" t="s">
        <v>93</v>
      </c>
      <c r="I252" s="1457" t="s">
        <v>93</v>
      </c>
      <c r="J252" s="1457" t="s">
        <v>93</v>
      </c>
      <c r="K252" s="1446">
        <v>9.25</v>
      </c>
      <c r="L252" s="545" t="s">
        <v>93</v>
      </c>
      <c r="M252" s="1446" t="s">
        <v>93</v>
      </c>
      <c r="N252" s="545" t="s">
        <v>93</v>
      </c>
      <c r="O252" s="1446">
        <v>7.75</v>
      </c>
      <c r="P252" s="545">
        <v>971.45</v>
      </c>
      <c r="Q252" s="1439"/>
      <c r="R252" s="1439"/>
      <c r="S252" s="1439"/>
      <c r="T252" s="1439"/>
      <c r="U252" s="1439"/>
      <c r="V252" s="1439"/>
      <c r="W252" s="1439"/>
      <c r="X252" s="1439"/>
      <c r="Y252" s="1439"/>
      <c r="Z252" s="1439"/>
      <c r="AA252" s="1439"/>
      <c r="AB252" s="1439"/>
      <c r="AC252" s="1439"/>
      <c r="AD252" s="1439"/>
      <c r="AE252" s="1439"/>
      <c r="AF252" s="1439"/>
      <c r="AG252" s="1439"/>
      <c r="AH252" s="1439"/>
      <c r="AI252" s="1439"/>
      <c r="AJ252" s="1439"/>
    </row>
    <row r="253" spans="1:36" s="1449" customFormat="1">
      <c r="A253" s="840" t="s">
        <v>22</v>
      </c>
      <c r="B253" s="1446">
        <v>6.26</v>
      </c>
      <c r="C253" s="545">
        <v>2.92</v>
      </c>
      <c r="D253" s="545">
        <v>2.98</v>
      </c>
      <c r="E253" s="545">
        <v>3.03</v>
      </c>
      <c r="F253" s="545">
        <v>780</v>
      </c>
      <c r="G253" s="1457" t="s">
        <v>93</v>
      </c>
      <c r="H253" s="1457" t="s">
        <v>93</v>
      </c>
      <c r="I253" s="1457" t="s">
        <v>93</v>
      </c>
      <c r="J253" s="1457" t="s">
        <v>93</v>
      </c>
      <c r="K253" s="1446">
        <v>9.25</v>
      </c>
      <c r="L253" s="545" t="s">
        <v>93</v>
      </c>
      <c r="M253" s="1446" t="s">
        <v>93</v>
      </c>
      <c r="N253" s="545" t="s">
        <v>93</v>
      </c>
      <c r="O253" s="1446">
        <v>7.75</v>
      </c>
      <c r="P253" s="545">
        <v>936.35</v>
      </c>
      <c r="Q253" s="1439"/>
      <c r="R253" s="1439"/>
      <c r="S253" s="1439"/>
      <c r="T253" s="1439"/>
      <c r="U253" s="1439"/>
      <c r="V253" s="1439"/>
      <c r="W253" s="1439"/>
      <c r="X253" s="1439"/>
      <c r="Y253" s="1439"/>
      <c r="Z253" s="1439"/>
      <c r="AA253" s="1439"/>
      <c r="AB253" s="1439"/>
      <c r="AC253" s="1439"/>
      <c r="AD253" s="1439"/>
      <c r="AE253" s="1439"/>
      <c r="AF253" s="1439"/>
      <c r="AG253" s="1439"/>
      <c r="AH253" s="1439"/>
      <c r="AI253" s="1439"/>
      <c r="AJ253" s="1439"/>
    </row>
    <row r="254" spans="1:36" s="1449" customFormat="1">
      <c r="A254" s="840" t="s">
        <v>23</v>
      </c>
      <c r="B254" s="1446" t="s">
        <v>93</v>
      </c>
      <c r="C254" s="545" t="s">
        <v>93</v>
      </c>
      <c r="D254" s="545">
        <v>3.5</v>
      </c>
      <c r="E254" s="545">
        <v>3.78</v>
      </c>
      <c r="F254" s="545">
        <v>750</v>
      </c>
      <c r="G254" s="1457" t="s">
        <v>93</v>
      </c>
      <c r="H254" s="1457" t="s">
        <v>93</v>
      </c>
      <c r="I254" s="1457" t="s">
        <v>93</v>
      </c>
      <c r="J254" s="1457" t="s">
        <v>93</v>
      </c>
      <c r="K254" s="1446">
        <v>9.25</v>
      </c>
      <c r="L254" s="545" t="s">
        <v>93</v>
      </c>
      <c r="M254" s="1446" t="s">
        <v>93</v>
      </c>
      <c r="N254" s="545" t="s">
        <v>93</v>
      </c>
      <c r="O254" s="1446">
        <v>7.75</v>
      </c>
      <c r="P254" s="545">
        <v>926.47400000000005</v>
      </c>
      <c r="Q254" s="1439"/>
      <c r="R254" s="1439"/>
      <c r="S254" s="1439"/>
      <c r="T254" s="1439"/>
      <c r="U254" s="1439"/>
      <c r="V254" s="1439"/>
      <c r="W254" s="1439"/>
      <c r="X254" s="1439"/>
      <c r="Y254" s="1439"/>
      <c r="Z254" s="1439"/>
      <c r="AA254" s="1439"/>
      <c r="AB254" s="1439"/>
      <c r="AC254" s="1439"/>
      <c r="AD254" s="1439"/>
      <c r="AE254" s="1439"/>
      <c r="AF254" s="1439"/>
      <c r="AG254" s="1439"/>
      <c r="AH254" s="1439"/>
      <c r="AI254" s="1439"/>
      <c r="AJ254" s="1439"/>
    </row>
    <row r="255" spans="1:36" s="1449" customFormat="1">
      <c r="A255" s="840" t="s">
        <v>24</v>
      </c>
      <c r="B255" s="1446" t="s">
        <v>93</v>
      </c>
      <c r="C255" s="545" t="s">
        <v>93</v>
      </c>
      <c r="D255" s="545" t="s">
        <v>180</v>
      </c>
      <c r="E255" s="545" t="s">
        <v>180</v>
      </c>
      <c r="F255" s="545">
        <v>630</v>
      </c>
      <c r="G255" s="1457" t="s">
        <v>93</v>
      </c>
      <c r="H255" s="1457" t="s">
        <v>93</v>
      </c>
      <c r="I255" s="1457" t="s">
        <v>93</v>
      </c>
      <c r="J255" s="1457" t="s">
        <v>93</v>
      </c>
      <c r="K255" s="1446">
        <v>9.25</v>
      </c>
      <c r="L255" s="545" t="s">
        <v>93</v>
      </c>
      <c r="M255" s="1446" t="s">
        <v>93</v>
      </c>
      <c r="N255" s="545" t="s">
        <v>93</v>
      </c>
      <c r="O255" s="1446">
        <v>7.75</v>
      </c>
      <c r="P255" s="545">
        <v>920.92</v>
      </c>
      <c r="Q255" s="1439"/>
      <c r="R255" s="1439"/>
      <c r="S255" s="1439"/>
      <c r="T255" s="1439"/>
      <c r="U255" s="1439"/>
      <c r="V255" s="1439"/>
      <c r="W255" s="1439"/>
      <c r="X255" s="1439"/>
      <c r="Y255" s="1439"/>
      <c r="Z255" s="1439"/>
      <c r="AA255" s="1439"/>
      <c r="AB255" s="1439"/>
      <c r="AC255" s="1439"/>
      <c r="AD255" s="1439"/>
      <c r="AE255" s="1439"/>
      <c r="AF255" s="1439"/>
      <c r="AG255" s="1439"/>
      <c r="AH255" s="1439"/>
      <c r="AI255" s="1439"/>
      <c r="AJ255" s="1439"/>
    </row>
    <row r="256" spans="1:36" s="1449" customFormat="1">
      <c r="A256" s="840" t="s">
        <v>25</v>
      </c>
      <c r="B256" s="1446" t="s">
        <v>93</v>
      </c>
      <c r="C256" s="545" t="s">
        <v>93</v>
      </c>
      <c r="D256" s="545" t="s">
        <v>93</v>
      </c>
      <c r="E256" s="545" t="s">
        <v>93</v>
      </c>
      <c r="F256" s="545">
        <v>570</v>
      </c>
      <c r="G256" s="1457" t="s">
        <v>93</v>
      </c>
      <c r="H256" s="1457" t="s">
        <v>93</v>
      </c>
      <c r="I256" s="1457" t="s">
        <v>93</v>
      </c>
      <c r="J256" s="1457" t="s">
        <v>93</v>
      </c>
      <c r="K256" s="1446">
        <v>9.25</v>
      </c>
      <c r="L256" s="545" t="s">
        <v>93</v>
      </c>
      <c r="M256" s="1446" t="s">
        <v>93</v>
      </c>
      <c r="N256" s="545" t="s">
        <v>93</v>
      </c>
      <c r="O256" s="1446">
        <v>7.75</v>
      </c>
      <c r="P256" s="545">
        <v>918.17</v>
      </c>
      <c r="Q256" s="1439"/>
      <c r="R256" s="1439"/>
      <c r="S256" s="1439"/>
      <c r="T256" s="1439"/>
      <c r="U256" s="1439"/>
      <c r="V256" s="1439"/>
      <c r="W256" s="1439"/>
      <c r="X256" s="1439"/>
      <c r="Y256" s="1439"/>
      <c r="Z256" s="1439"/>
      <c r="AA256" s="1439"/>
      <c r="AB256" s="1439"/>
      <c r="AC256" s="1439"/>
      <c r="AD256" s="1439"/>
      <c r="AE256" s="1439"/>
      <c r="AF256" s="1439"/>
      <c r="AG256" s="1439"/>
      <c r="AH256" s="1439"/>
      <c r="AI256" s="1439"/>
      <c r="AJ256" s="1439"/>
    </row>
    <row r="257" spans="1:36" s="1449" customFormat="1">
      <c r="A257" s="840" t="s">
        <v>26</v>
      </c>
      <c r="B257" s="1446" t="s">
        <v>93</v>
      </c>
      <c r="C257" s="545" t="s">
        <v>93</v>
      </c>
      <c r="D257" s="545" t="s">
        <v>93</v>
      </c>
      <c r="E257" s="545" t="s">
        <v>93</v>
      </c>
      <c r="F257" s="545">
        <v>510</v>
      </c>
      <c r="G257" s="1457" t="s">
        <v>93</v>
      </c>
      <c r="H257" s="1457" t="s">
        <v>93</v>
      </c>
      <c r="I257" s="1457" t="s">
        <v>93</v>
      </c>
      <c r="J257" s="1457" t="s">
        <v>93</v>
      </c>
      <c r="K257" s="1446">
        <v>9.25</v>
      </c>
      <c r="L257" s="545" t="s">
        <v>93</v>
      </c>
      <c r="M257" s="1446">
        <v>4</v>
      </c>
      <c r="N257" s="545">
        <v>424.74545499999999</v>
      </c>
      <c r="O257" s="1446">
        <v>7.75</v>
      </c>
      <c r="P257" s="545">
        <v>914.42</v>
      </c>
      <c r="Q257" s="1439"/>
      <c r="R257" s="1439"/>
      <c r="S257" s="1439"/>
      <c r="T257" s="1439"/>
      <c r="U257" s="1439"/>
      <c r="V257" s="1439"/>
      <c r="W257" s="1439"/>
      <c r="X257" s="1439"/>
      <c r="Y257" s="1439"/>
      <c r="Z257" s="1439"/>
      <c r="AA257" s="1439"/>
      <c r="AB257" s="1439"/>
      <c r="AC257" s="1439"/>
      <c r="AD257" s="1439"/>
      <c r="AE257" s="1439"/>
      <c r="AF257" s="1439"/>
      <c r="AG257" s="1439"/>
      <c r="AH257" s="1439"/>
      <c r="AI257" s="1439"/>
      <c r="AJ257" s="1439"/>
    </row>
    <row r="258" spans="1:36" s="1449" customFormat="1">
      <c r="A258" s="840">
        <v>10</v>
      </c>
      <c r="B258" s="1446">
        <v>3.39</v>
      </c>
      <c r="C258" s="545">
        <v>4.01</v>
      </c>
      <c r="D258" s="545">
        <v>4.32</v>
      </c>
      <c r="E258" s="545">
        <v>4.63</v>
      </c>
      <c r="F258" s="545">
        <v>900</v>
      </c>
      <c r="G258" s="1457" t="s">
        <v>93</v>
      </c>
      <c r="H258" s="1457" t="s">
        <v>93</v>
      </c>
      <c r="I258" s="1457" t="s">
        <v>93</v>
      </c>
      <c r="J258" s="1457" t="s">
        <v>93</v>
      </c>
      <c r="K258" s="1446">
        <v>9.25</v>
      </c>
      <c r="L258" s="545" t="s">
        <v>93</v>
      </c>
      <c r="M258" s="1446">
        <v>5</v>
      </c>
      <c r="N258" s="545">
        <v>483.3</v>
      </c>
      <c r="O258" s="1446">
        <v>8</v>
      </c>
      <c r="P258" s="545">
        <v>912.12</v>
      </c>
      <c r="Q258" s="1439"/>
      <c r="R258" s="1439"/>
      <c r="S258" s="1439"/>
      <c r="T258" s="1439"/>
      <c r="U258" s="1439"/>
      <c r="V258" s="1439"/>
      <c r="W258" s="1439"/>
      <c r="X258" s="1439"/>
      <c r="Y258" s="1439"/>
      <c r="Z258" s="1439"/>
      <c r="AA258" s="1439"/>
      <c r="AB258" s="1439"/>
      <c r="AC258" s="1439"/>
      <c r="AD258" s="1439"/>
      <c r="AE258" s="1439"/>
      <c r="AF258" s="1439"/>
      <c r="AG258" s="1439"/>
      <c r="AH258" s="1439"/>
      <c r="AI258" s="1439"/>
      <c r="AJ258" s="1439"/>
    </row>
    <row r="259" spans="1:36" s="1449" customFormat="1">
      <c r="A259" s="840">
        <v>11</v>
      </c>
      <c r="B259" s="1446">
        <v>3.42</v>
      </c>
      <c r="C259" s="545">
        <v>4.0199999999999996</v>
      </c>
      <c r="D259" s="545">
        <v>4.12</v>
      </c>
      <c r="E259" s="545">
        <v>4.57</v>
      </c>
      <c r="F259" s="545">
        <v>1170</v>
      </c>
      <c r="G259" s="1457" t="s">
        <v>93</v>
      </c>
      <c r="H259" s="1457" t="s">
        <v>93</v>
      </c>
      <c r="I259" s="1457" t="s">
        <v>93</v>
      </c>
      <c r="J259" s="1457" t="s">
        <v>93</v>
      </c>
      <c r="K259" s="1446">
        <v>9.25</v>
      </c>
      <c r="L259" s="545" t="s">
        <v>93</v>
      </c>
      <c r="M259" s="1446">
        <v>5</v>
      </c>
      <c r="N259" s="545">
        <v>486.8</v>
      </c>
      <c r="O259" s="1446">
        <v>8</v>
      </c>
      <c r="P259" s="545">
        <v>845.46</v>
      </c>
      <c r="Q259" s="1439"/>
      <c r="R259" s="1439"/>
      <c r="S259" s="1439"/>
      <c r="T259" s="1439"/>
      <c r="U259" s="1439"/>
      <c r="V259" s="1439"/>
      <c r="W259" s="1439"/>
      <c r="X259" s="1439"/>
      <c r="Y259" s="1439"/>
      <c r="Z259" s="1439"/>
      <c r="AA259" s="1439"/>
      <c r="AB259" s="1439"/>
      <c r="AC259" s="1439"/>
      <c r="AD259" s="1439"/>
      <c r="AE259" s="1439"/>
      <c r="AF259" s="1439"/>
      <c r="AG259" s="1439"/>
      <c r="AH259" s="1439"/>
      <c r="AI259" s="1439"/>
      <c r="AJ259" s="1439"/>
    </row>
    <row r="260" spans="1:36" s="1449" customFormat="1">
      <c r="A260" s="840">
        <v>12</v>
      </c>
      <c r="B260" s="1446">
        <v>6.17</v>
      </c>
      <c r="C260" s="545">
        <v>6.24</v>
      </c>
      <c r="D260" s="545">
        <v>8</v>
      </c>
      <c r="E260" s="545">
        <v>8.44</v>
      </c>
      <c r="F260" s="545">
        <v>1338.56</v>
      </c>
      <c r="G260" s="1457" t="s">
        <v>93</v>
      </c>
      <c r="H260" s="1457" t="s">
        <v>93</v>
      </c>
      <c r="I260" s="1457" t="s">
        <v>93</v>
      </c>
      <c r="J260" s="1457" t="s">
        <v>93</v>
      </c>
      <c r="K260" s="1446">
        <v>9.25</v>
      </c>
      <c r="L260" s="545" t="s">
        <v>93</v>
      </c>
      <c r="M260" s="1446">
        <v>6.25</v>
      </c>
      <c r="N260" s="545">
        <v>476.5</v>
      </c>
      <c r="O260" s="1446">
        <v>8.25</v>
      </c>
      <c r="P260" s="545">
        <v>835.42</v>
      </c>
      <c r="Q260" s="1439"/>
      <c r="R260" s="1439"/>
      <c r="S260" s="1439"/>
      <c r="T260" s="1439"/>
      <c r="U260" s="1439"/>
      <c r="V260" s="1439"/>
      <c r="W260" s="1439"/>
      <c r="X260" s="1439"/>
      <c r="Y260" s="1439"/>
      <c r="Z260" s="1439"/>
      <c r="AA260" s="1439"/>
      <c r="AB260" s="1439"/>
      <c r="AC260" s="1439"/>
      <c r="AD260" s="1439"/>
      <c r="AE260" s="1439"/>
      <c r="AF260" s="1439"/>
      <c r="AG260" s="1439"/>
      <c r="AH260" s="1439"/>
      <c r="AI260" s="1439"/>
      <c r="AJ260" s="1439"/>
    </row>
    <row r="261" spans="1:36" s="1449" customFormat="1">
      <c r="A261" s="840">
        <v>2023</v>
      </c>
      <c r="B261" s="837">
        <v>7.11</v>
      </c>
      <c r="C261" s="838">
        <v>7.23</v>
      </c>
      <c r="D261" s="838">
        <v>7.54</v>
      </c>
      <c r="E261" s="838">
        <v>7.5</v>
      </c>
      <c r="F261" s="838">
        <v>1320.13</v>
      </c>
      <c r="G261" s="1458" t="s">
        <v>93</v>
      </c>
      <c r="H261" s="1458" t="s">
        <v>93</v>
      </c>
      <c r="I261" s="1458" t="s">
        <v>93</v>
      </c>
      <c r="J261" s="1458" t="s">
        <v>93</v>
      </c>
      <c r="K261" s="837">
        <v>9</v>
      </c>
      <c r="L261" s="838" t="s">
        <v>93</v>
      </c>
      <c r="M261" s="837">
        <v>6.5</v>
      </c>
      <c r="N261" s="838">
        <v>1174.8</v>
      </c>
      <c r="O261" s="837">
        <v>8</v>
      </c>
      <c r="P261" s="838">
        <v>664.23511639000003</v>
      </c>
      <c r="Q261" s="1439"/>
      <c r="R261" s="1439"/>
      <c r="S261" s="1439"/>
      <c r="T261" s="1439"/>
      <c r="U261" s="1439"/>
      <c r="V261" s="1439"/>
      <c r="W261" s="1439"/>
      <c r="X261" s="1439"/>
      <c r="Y261" s="1439"/>
      <c r="Z261" s="1439"/>
      <c r="AA261" s="1439"/>
      <c r="AB261" s="1439"/>
      <c r="AC261" s="1439"/>
      <c r="AD261" s="1439"/>
      <c r="AE261" s="1439"/>
      <c r="AF261" s="1439"/>
      <c r="AG261" s="1439"/>
      <c r="AH261" s="1439"/>
      <c r="AI261" s="1439"/>
      <c r="AJ261" s="1439"/>
    </row>
    <row r="262" spans="1:36" s="1449" customFormat="1">
      <c r="A262" s="840" t="s">
        <v>18</v>
      </c>
      <c r="B262" s="1446">
        <v>6.71</v>
      </c>
      <c r="C262" s="545">
        <v>7.95</v>
      </c>
      <c r="D262" s="545">
        <v>8.57</v>
      </c>
      <c r="E262" s="545">
        <v>9.2899999999999991</v>
      </c>
      <c r="F262" s="545">
        <v>1401.1387</v>
      </c>
      <c r="G262" s="1457" t="s">
        <v>93</v>
      </c>
      <c r="H262" s="1457" t="s">
        <v>93</v>
      </c>
      <c r="I262" s="1457" t="s">
        <v>93</v>
      </c>
      <c r="J262" s="1457" t="s">
        <v>93</v>
      </c>
      <c r="K262" s="1446">
        <v>9.5</v>
      </c>
      <c r="L262" s="545" t="s">
        <v>93</v>
      </c>
      <c r="M262" s="1446">
        <v>6.75</v>
      </c>
      <c r="N262" s="545">
        <v>483</v>
      </c>
      <c r="O262" s="1446">
        <v>8.5</v>
      </c>
      <c r="P262" s="545">
        <v>833.26</v>
      </c>
      <c r="Q262" s="1439"/>
      <c r="R262" s="1439"/>
      <c r="S262" s="1439"/>
      <c r="T262" s="1439"/>
      <c r="U262" s="1439"/>
      <c r="V262" s="1439"/>
      <c r="W262" s="1439"/>
      <c r="X262" s="1439"/>
      <c r="Y262" s="1439"/>
      <c r="Z262" s="1439"/>
      <c r="AA262" s="1439"/>
      <c r="AB262" s="1439"/>
      <c r="AC262" s="1439"/>
      <c r="AD262" s="1439"/>
      <c r="AE262" s="1439"/>
      <c r="AF262" s="1439"/>
      <c r="AG262" s="1439"/>
      <c r="AH262" s="1439"/>
      <c r="AI262" s="1439"/>
      <c r="AJ262" s="1439"/>
    </row>
    <row r="263" spans="1:36" s="1449" customFormat="1">
      <c r="A263" s="840" t="s">
        <v>19</v>
      </c>
      <c r="B263" s="1446" t="s">
        <v>93</v>
      </c>
      <c r="C263" s="545">
        <v>7.95</v>
      </c>
      <c r="D263" s="545">
        <v>8.57</v>
      </c>
      <c r="E263" s="545">
        <v>9.2899999999999991</v>
      </c>
      <c r="F263" s="545">
        <v>1026.1386999999997</v>
      </c>
      <c r="G263" s="1457" t="s">
        <v>93</v>
      </c>
      <c r="H263" s="1457" t="s">
        <v>93</v>
      </c>
      <c r="I263" s="1457" t="s">
        <v>93</v>
      </c>
      <c r="J263" s="1457" t="s">
        <v>93</v>
      </c>
      <c r="K263" s="1446">
        <v>9.5</v>
      </c>
      <c r="L263" s="545" t="s">
        <v>93</v>
      </c>
      <c r="M263" s="1446">
        <v>6.75</v>
      </c>
      <c r="N263" s="545">
        <v>704</v>
      </c>
      <c r="O263" s="1446">
        <v>8.5</v>
      </c>
      <c r="P263" s="545">
        <v>832.38</v>
      </c>
      <c r="Q263" s="1439"/>
      <c r="R263" s="1439"/>
      <c r="S263" s="1439"/>
      <c r="T263" s="1439"/>
      <c r="U263" s="1439"/>
      <c r="V263" s="1439"/>
      <c r="W263" s="1439"/>
      <c r="X263" s="1439"/>
      <c r="Y263" s="1439"/>
      <c r="Z263" s="1439"/>
      <c r="AA263" s="1439"/>
      <c r="AB263" s="1439"/>
      <c r="AC263" s="1439"/>
      <c r="AD263" s="1439"/>
      <c r="AE263" s="1439"/>
      <c r="AF263" s="1439"/>
      <c r="AG263" s="1439"/>
      <c r="AH263" s="1439"/>
      <c r="AI263" s="1439"/>
      <c r="AJ263" s="1439"/>
    </row>
    <row r="264" spans="1:36" s="1449" customFormat="1">
      <c r="A264" s="840" t="s">
        <v>20</v>
      </c>
      <c r="B264" s="1446" t="s">
        <v>93</v>
      </c>
      <c r="C264" s="545">
        <v>7.95</v>
      </c>
      <c r="D264" s="545">
        <v>8.57</v>
      </c>
      <c r="E264" s="545">
        <v>9.2899999999999991</v>
      </c>
      <c r="F264" s="545">
        <v>884.99999999999977</v>
      </c>
      <c r="G264" s="1457" t="s">
        <v>93</v>
      </c>
      <c r="H264" s="1457" t="s">
        <v>93</v>
      </c>
      <c r="I264" s="1457" t="s">
        <v>93</v>
      </c>
      <c r="J264" s="1457" t="s">
        <v>93</v>
      </c>
      <c r="K264" s="1446">
        <v>9.75</v>
      </c>
      <c r="L264" s="545" t="s">
        <v>93</v>
      </c>
      <c r="M264" s="1446">
        <v>7</v>
      </c>
      <c r="N264" s="545">
        <v>662.3</v>
      </c>
      <c r="O264" s="1446">
        <v>8.75</v>
      </c>
      <c r="P264" s="545">
        <v>736.48125150999999</v>
      </c>
      <c r="Q264" s="1439"/>
      <c r="R264" s="1439"/>
      <c r="S264" s="1439"/>
      <c r="T264" s="1439"/>
      <c r="U264" s="1439"/>
      <c r="V264" s="1439"/>
      <c r="W264" s="1439"/>
      <c r="X264" s="1439"/>
      <c r="Y264" s="1439"/>
      <c r="Z264" s="1439"/>
      <c r="AA264" s="1439"/>
      <c r="AB264" s="1439"/>
      <c r="AC264" s="1439"/>
      <c r="AD264" s="1439"/>
      <c r="AE264" s="1439"/>
      <c r="AF264" s="1439"/>
      <c r="AG264" s="1439"/>
      <c r="AH264" s="1439"/>
      <c r="AI264" s="1439"/>
      <c r="AJ264" s="1439"/>
    </row>
    <row r="265" spans="1:36" s="1449" customFormat="1">
      <c r="A265" s="840" t="s">
        <v>21</v>
      </c>
      <c r="B265" s="1446">
        <v>6.6</v>
      </c>
      <c r="C265" s="545">
        <v>7.27</v>
      </c>
      <c r="D265" s="545">
        <v>8.07</v>
      </c>
      <c r="E265" s="545">
        <v>8.77</v>
      </c>
      <c r="F265" s="545">
        <v>870</v>
      </c>
      <c r="G265" s="1457" t="s">
        <v>93</v>
      </c>
      <c r="H265" s="1457" t="s">
        <v>93</v>
      </c>
      <c r="I265" s="1457" t="s">
        <v>93</v>
      </c>
      <c r="J265" s="1457" t="s">
        <v>93</v>
      </c>
      <c r="K265" s="1446">
        <v>9.75</v>
      </c>
      <c r="L265" s="545" t="s">
        <v>93</v>
      </c>
      <c r="M265" s="1446">
        <v>7</v>
      </c>
      <c r="N265" s="545">
        <v>669.3</v>
      </c>
      <c r="O265" s="1446">
        <v>8.75</v>
      </c>
      <c r="P265" s="545">
        <v>726.18007999999998</v>
      </c>
      <c r="Q265" s="1439"/>
      <c r="R265" s="1439"/>
      <c r="S265" s="1439"/>
      <c r="T265" s="1439"/>
      <c r="U265" s="1439"/>
      <c r="V265" s="1439"/>
      <c r="W265" s="1439"/>
      <c r="X265" s="1439"/>
      <c r="Y265" s="1439"/>
      <c r="Z265" s="1439"/>
      <c r="AA265" s="1439"/>
      <c r="AB265" s="1439"/>
      <c r="AC265" s="1439"/>
      <c r="AD265" s="1439"/>
      <c r="AE265" s="1439"/>
      <c r="AF265" s="1439"/>
      <c r="AG265" s="1439"/>
      <c r="AH265" s="1439"/>
      <c r="AI265" s="1439"/>
      <c r="AJ265" s="1439"/>
    </row>
    <row r="266" spans="1:36" s="1449" customFormat="1">
      <c r="A266" s="840" t="s">
        <v>22</v>
      </c>
      <c r="B266" s="1446">
        <v>7.93</v>
      </c>
      <c r="C266" s="545">
        <v>8.18</v>
      </c>
      <c r="D266" s="545">
        <v>8.91</v>
      </c>
      <c r="E266" s="545">
        <v>9.42</v>
      </c>
      <c r="F266" s="545">
        <v>1199.8699999999999</v>
      </c>
      <c r="G266" s="1457" t="s">
        <v>93</v>
      </c>
      <c r="H266" s="1457" t="s">
        <v>93</v>
      </c>
      <c r="I266" s="1457" t="s">
        <v>93</v>
      </c>
      <c r="J266" s="1457" t="s">
        <v>93</v>
      </c>
      <c r="K266" s="1446">
        <v>10</v>
      </c>
      <c r="L266" s="545" t="s">
        <v>93</v>
      </c>
      <c r="M266" s="1446">
        <v>7.5</v>
      </c>
      <c r="N266" s="545">
        <v>608.86</v>
      </c>
      <c r="O266" s="1446">
        <v>9</v>
      </c>
      <c r="P266" s="545">
        <v>724.9</v>
      </c>
      <c r="Q266" s="1439"/>
      <c r="R266" s="1439"/>
      <c r="S266" s="1439"/>
      <c r="T266" s="1439"/>
      <c r="U266" s="1439"/>
      <c r="V266" s="1439"/>
      <c r="W266" s="1439"/>
      <c r="X266" s="1439"/>
      <c r="Y266" s="1439"/>
      <c r="Z266" s="1439"/>
      <c r="AA266" s="1439"/>
      <c r="AB266" s="1439"/>
      <c r="AC266" s="1439"/>
      <c r="AD266" s="1439"/>
      <c r="AE266" s="1439"/>
      <c r="AF266" s="1439"/>
      <c r="AG266" s="1439"/>
      <c r="AH266" s="1439"/>
      <c r="AI266" s="1439"/>
      <c r="AJ266" s="1439"/>
    </row>
    <row r="267" spans="1:36" s="1449" customFormat="1">
      <c r="A267" s="840" t="s">
        <v>23</v>
      </c>
      <c r="B267" s="1446">
        <v>5.89</v>
      </c>
      <c r="C267" s="545">
        <v>7.34</v>
      </c>
      <c r="D267" s="545">
        <v>8.31</v>
      </c>
      <c r="E267" s="545">
        <v>8.85</v>
      </c>
      <c r="F267" s="545">
        <v>1334.87</v>
      </c>
      <c r="G267" s="1457" t="s">
        <v>93</v>
      </c>
      <c r="H267" s="1457" t="s">
        <v>93</v>
      </c>
      <c r="I267" s="1457" t="s">
        <v>93</v>
      </c>
      <c r="J267" s="1457" t="s">
        <v>93</v>
      </c>
      <c r="K267" s="1446">
        <v>10</v>
      </c>
      <c r="L267" s="545" t="s">
        <v>93</v>
      </c>
      <c r="M267" s="1446">
        <v>7.5</v>
      </c>
      <c r="N267" s="545">
        <v>57.95</v>
      </c>
      <c r="O267" s="1446">
        <v>9</v>
      </c>
      <c r="P267" s="545">
        <v>724.9</v>
      </c>
      <c r="Q267" s="1439"/>
      <c r="R267" s="1439"/>
      <c r="S267" s="1439"/>
      <c r="T267" s="1439"/>
      <c r="U267" s="1439"/>
      <c r="V267" s="1439"/>
      <c r="W267" s="1439"/>
      <c r="X267" s="1439"/>
      <c r="Y267" s="1439"/>
      <c r="Z267" s="1439"/>
      <c r="AA267" s="1439"/>
      <c r="AB267" s="1439"/>
      <c r="AC267" s="1439"/>
      <c r="AD267" s="1439"/>
      <c r="AE267" s="1439"/>
      <c r="AF267" s="1439"/>
      <c r="AG267" s="1439"/>
      <c r="AH267" s="1439"/>
      <c r="AI267" s="1439"/>
      <c r="AJ267" s="1439"/>
    </row>
    <row r="268" spans="1:36" s="1449" customFormat="1">
      <c r="A268" s="840" t="s">
        <v>24</v>
      </c>
      <c r="B268" s="1446">
        <v>6.95</v>
      </c>
      <c r="C268" s="545">
        <v>9.16</v>
      </c>
      <c r="D268" s="545">
        <v>8.69</v>
      </c>
      <c r="E268" s="545">
        <v>9.85</v>
      </c>
      <c r="F268" s="545">
        <v>1563.35</v>
      </c>
      <c r="G268" s="1457" t="s">
        <v>93</v>
      </c>
      <c r="H268" s="1457" t="s">
        <v>93</v>
      </c>
      <c r="I268" s="1457" t="s">
        <v>93</v>
      </c>
      <c r="J268" s="1457" t="s">
        <v>93</v>
      </c>
      <c r="K268" s="1446">
        <v>10</v>
      </c>
      <c r="L268" s="545" t="s">
        <v>93</v>
      </c>
      <c r="M268" s="1446">
        <v>7.5</v>
      </c>
      <c r="N268" s="545">
        <v>655</v>
      </c>
      <c r="O268" s="1446">
        <v>9</v>
      </c>
      <c r="P268" s="545">
        <v>736.75</v>
      </c>
      <c r="Q268" s="1439"/>
      <c r="R268" s="1439"/>
      <c r="S268" s="1439"/>
      <c r="T268" s="1439"/>
      <c r="U268" s="1439"/>
      <c r="V268" s="1439"/>
      <c r="W268" s="1439"/>
      <c r="X268" s="1439"/>
      <c r="Y268" s="1439"/>
      <c r="Z268" s="1439"/>
      <c r="AA268" s="1439"/>
      <c r="AB268" s="1439"/>
      <c r="AC268" s="1439"/>
      <c r="AD268" s="1439"/>
      <c r="AE268" s="1439"/>
      <c r="AF268" s="1439"/>
      <c r="AG268" s="1439"/>
      <c r="AH268" s="1439"/>
      <c r="AI268" s="1439"/>
      <c r="AJ268" s="1439"/>
    </row>
    <row r="269" spans="1:36" s="1449" customFormat="1">
      <c r="A269" s="840" t="s">
        <v>25</v>
      </c>
      <c r="B269" s="1446">
        <v>8.1999999999999993</v>
      </c>
      <c r="C269" s="545">
        <v>8</v>
      </c>
      <c r="D269" s="545">
        <v>8.4600000000000009</v>
      </c>
      <c r="E269" s="545">
        <v>9</v>
      </c>
      <c r="F269" s="545">
        <v>1543.35</v>
      </c>
      <c r="G269" s="1457" t="s">
        <v>93</v>
      </c>
      <c r="H269" s="1457" t="s">
        <v>93</v>
      </c>
      <c r="I269" s="1457" t="s">
        <v>93</v>
      </c>
      <c r="J269" s="1457" t="s">
        <v>93</v>
      </c>
      <c r="K269" s="1446">
        <v>10</v>
      </c>
      <c r="L269" s="545" t="s">
        <v>93</v>
      </c>
      <c r="M269" s="1446">
        <v>7.5</v>
      </c>
      <c r="N269" s="545">
        <v>940.4</v>
      </c>
      <c r="O269" s="1446">
        <v>9</v>
      </c>
      <c r="P269" s="545">
        <v>736.75</v>
      </c>
      <c r="Q269" s="1439"/>
      <c r="R269" s="1439"/>
      <c r="S269" s="1439"/>
      <c r="T269" s="1439"/>
      <c r="U269" s="1439"/>
      <c r="V269" s="1439"/>
      <c r="W269" s="1439"/>
      <c r="X269" s="1439"/>
      <c r="Y269" s="1439"/>
      <c r="Z269" s="1439"/>
      <c r="AA269" s="1439"/>
      <c r="AB269" s="1439"/>
      <c r="AC269" s="1439"/>
      <c r="AD269" s="1439"/>
      <c r="AE269" s="1439"/>
      <c r="AF269" s="1439"/>
      <c r="AG269" s="1439"/>
      <c r="AH269" s="1439"/>
      <c r="AI269" s="1439"/>
      <c r="AJ269" s="1439"/>
    </row>
    <row r="270" spans="1:36" s="1449" customFormat="1">
      <c r="A270" s="840" t="s">
        <v>26</v>
      </c>
      <c r="B270" s="1446">
        <v>8.0299999999999994</v>
      </c>
      <c r="C270" s="545">
        <v>8.1300000000000008</v>
      </c>
      <c r="D270" s="545">
        <v>8.0500000000000007</v>
      </c>
      <c r="E270" s="545">
        <v>8.4600000000000009</v>
      </c>
      <c r="F270" s="545">
        <v>1610.4199999999996</v>
      </c>
      <c r="G270" s="1457" t="s">
        <v>93</v>
      </c>
      <c r="H270" s="1457" t="s">
        <v>93</v>
      </c>
      <c r="I270" s="1457" t="s">
        <v>93</v>
      </c>
      <c r="J270" s="1457" t="s">
        <v>93</v>
      </c>
      <c r="K270" s="1446">
        <v>10</v>
      </c>
      <c r="L270" s="545" t="s">
        <v>93</v>
      </c>
      <c r="M270" s="1446">
        <v>7.5</v>
      </c>
      <c r="N270" s="545">
        <v>1528.5386117600001</v>
      </c>
      <c r="O270" s="1446">
        <v>9</v>
      </c>
      <c r="P270" s="545">
        <v>731.12</v>
      </c>
      <c r="Q270" s="1439"/>
      <c r="R270" s="1439"/>
      <c r="S270" s="1439"/>
      <c r="T270" s="1439"/>
      <c r="U270" s="1439"/>
      <c r="V270" s="1439"/>
      <c r="W270" s="1439"/>
      <c r="X270" s="1439"/>
      <c r="Y270" s="1439"/>
      <c r="Z270" s="1439"/>
      <c r="AA270" s="1439"/>
      <c r="AB270" s="1439"/>
      <c r="AC270" s="1439"/>
      <c r="AD270" s="1439"/>
      <c r="AE270" s="1439"/>
      <c r="AF270" s="1439"/>
      <c r="AG270" s="1439"/>
      <c r="AH270" s="1439"/>
      <c r="AI270" s="1439"/>
      <c r="AJ270" s="1439"/>
    </row>
    <row r="271" spans="1:36" s="1449" customFormat="1">
      <c r="A271" s="840">
        <v>10</v>
      </c>
      <c r="B271" s="1446" t="s">
        <v>93</v>
      </c>
      <c r="C271" s="545">
        <v>8.15</v>
      </c>
      <c r="D271" s="545">
        <v>8.09</v>
      </c>
      <c r="E271" s="545">
        <v>8.2100000000000009</v>
      </c>
      <c r="F271" s="545">
        <v>1518.35</v>
      </c>
      <c r="G271" s="1457" t="s">
        <v>93</v>
      </c>
      <c r="H271" s="1457" t="s">
        <v>93</v>
      </c>
      <c r="I271" s="1457" t="s">
        <v>93</v>
      </c>
      <c r="J271" s="1457" t="s">
        <v>93</v>
      </c>
      <c r="K271" s="1446">
        <v>10</v>
      </c>
      <c r="L271" s="545" t="s">
        <v>93</v>
      </c>
      <c r="M271" s="1446">
        <v>7.5</v>
      </c>
      <c r="N271" s="545">
        <v>1888.6</v>
      </c>
      <c r="O271" s="1446">
        <v>9</v>
      </c>
      <c r="P271" s="545">
        <v>725.49800000000005</v>
      </c>
      <c r="Q271" s="1439"/>
      <c r="R271" s="1439"/>
      <c r="S271" s="1439"/>
      <c r="T271" s="1439"/>
      <c r="U271" s="1439"/>
      <c r="V271" s="1439"/>
      <c r="W271" s="1439"/>
      <c r="X271" s="1439"/>
      <c r="Y271" s="1439"/>
      <c r="Z271" s="1439"/>
      <c r="AA271" s="1439"/>
      <c r="AB271" s="1439"/>
      <c r="AC271" s="1439"/>
      <c r="AD271" s="1439"/>
      <c r="AE271" s="1439"/>
      <c r="AF271" s="1439"/>
      <c r="AG271" s="1439"/>
      <c r="AH271" s="1439"/>
      <c r="AI271" s="1439"/>
      <c r="AJ271" s="1439"/>
    </row>
    <row r="272" spans="1:36" s="1449" customFormat="1">
      <c r="A272" s="840">
        <v>11</v>
      </c>
      <c r="B272" s="1446">
        <v>7.86</v>
      </c>
      <c r="C272" s="545">
        <v>8.15</v>
      </c>
      <c r="D272" s="545">
        <v>7.67</v>
      </c>
      <c r="E272" s="545">
        <v>7.82</v>
      </c>
      <c r="F272" s="545">
        <v>1383.48</v>
      </c>
      <c r="G272" s="1457" t="s">
        <v>93</v>
      </c>
      <c r="H272" s="1457" t="s">
        <v>93</v>
      </c>
      <c r="I272" s="1457" t="s">
        <v>93</v>
      </c>
      <c r="J272" s="1457" t="s">
        <v>93</v>
      </c>
      <c r="K272" s="1446">
        <v>9.5</v>
      </c>
      <c r="L272" s="545">
        <v>1E-4</v>
      </c>
      <c r="M272" s="1446">
        <v>7</v>
      </c>
      <c r="N272" s="545">
        <v>2314.8000000000002</v>
      </c>
      <c r="O272" s="1446">
        <v>8.5</v>
      </c>
      <c r="P272" s="545">
        <v>678.07831796000005</v>
      </c>
      <c r="Q272" s="1439"/>
      <c r="R272" s="1439"/>
      <c r="S272" s="1439"/>
      <c r="T272" s="1439"/>
      <c r="U272" s="1439"/>
      <c r="V272" s="1439"/>
      <c r="W272" s="1439"/>
      <c r="X272" s="1439"/>
      <c r="Y272" s="1439"/>
      <c r="Z272" s="1439"/>
      <c r="AA272" s="1439"/>
      <c r="AB272" s="1439"/>
      <c r="AC272" s="1439"/>
      <c r="AD272" s="1439"/>
      <c r="AE272" s="1439"/>
      <c r="AF272" s="1439"/>
      <c r="AG272" s="1439"/>
      <c r="AH272" s="1439"/>
      <c r="AI272" s="1439"/>
      <c r="AJ272" s="1439"/>
    </row>
    <row r="273" spans="1:36" s="1449" customFormat="1">
      <c r="A273" s="840">
        <v>12</v>
      </c>
      <c r="B273" s="1446">
        <v>7.11</v>
      </c>
      <c r="C273" s="545">
        <v>7.23</v>
      </c>
      <c r="D273" s="545">
        <v>7.54</v>
      </c>
      <c r="E273" s="545">
        <v>7.5</v>
      </c>
      <c r="F273" s="545">
        <v>1320.13</v>
      </c>
      <c r="G273" s="1457" t="s">
        <v>93</v>
      </c>
      <c r="H273" s="1457" t="s">
        <v>93</v>
      </c>
      <c r="I273" s="1457" t="s">
        <v>93</v>
      </c>
      <c r="J273" s="1457" t="s">
        <v>93</v>
      </c>
      <c r="K273" s="1446">
        <v>9</v>
      </c>
      <c r="L273" s="545" t="s">
        <v>93</v>
      </c>
      <c r="M273" s="1446">
        <v>6.5</v>
      </c>
      <c r="N273" s="545">
        <v>1174.8</v>
      </c>
      <c r="O273" s="1446">
        <v>8</v>
      </c>
      <c r="P273" s="545">
        <v>664.23511639000003</v>
      </c>
      <c r="Q273" s="1439"/>
      <c r="R273" s="1439"/>
      <c r="S273" s="1439"/>
      <c r="T273" s="1439"/>
      <c r="U273" s="1439"/>
      <c r="V273" s="1439"/>
      <c r="W273" s="1439"/>
      <c r="X273" s="1439"/>
      <c r="Y273" s="1439"/>
      <c r="Z273" s="1439"/>
      <c r="AA273" s="1439"/>
      <c r="AB273" s="1439"/>
      <c r="AC273" s="1439"/>
      <c r="AD273" s="1439"/>
      <c r="AE273" s="1439"/>
      <c r="AF273" s="1439"/>
      <c r="AG273" s="1439"/>
      <c r="AH273" s="1439"/>
      <c r="AI273" s="1439"/>
      <c r="AJ273" s="1439"/>
    </row>
    <row r="274" spans="1:36" s="1449" customFormat="1">
      <c r="A274" s="840">
        <v>2024</v>
      </c>
      <c r="B274" s="1446"/>
      <c r="C274" s="545"/>
      <c r="D274" s="545"/>
      <c r="E274" s="545"/>
      <c r="F274" s="545"/>
      <c r="G274" s="1457"/>
      <c r="H274" s="1457"/>
      <c r="I274" s="1457"/>
      <c r="J274" s="1457"/>
      <c r="K274" s="1446"/>
      <c r="L274" s="545"/>
      <c r="M274" s="1446"/>
      <c r="N274" s="545"/>
      <c r="O274" s="1446"/>
      <c r="P274" s="545"/>
      <c r="Q274" s="1439"/>
      <c r="R274" s="1439"/>
      <c r="S274" s="1439"/>
      <c r="T274" s="1439"/>
      <c r="U274" s="1439"/>
      <c r="V274" s="1439"/>
      <c r="W274" s="1439"/>
      <c r="X274" s="1439"/>
      <c r="Y274" s="1439"/>
      <c r="Z274" s="1439"/>
      <c r="AA274" s="1439"/>
      <c r="AB274" s="1439"/>
      <c r="AC274" s="1439"/>
      <c r="AD274" s="1439"/>
      <c r="AE274" s="1439"/>
      <c r="AF274" s="1439"/>
      <c r="AG274" s="1439"/>
      <c r="AH274" s="1439"/>
      <c r="AI274" s="1439"/>
      <c r="AJ274" s="1439"/>
    </row>
    <row r="275" spans="1:36" s="1449" customFormat="1">
      <c r="A275" s="840" t="s">
        <v>18</v>
      </c>
      <c r="B275" s="1446">
        <v>6.6</v>
      </c>
      <c r="C275" s="545">
        <v>6.8</v>
      </c>
      <c r="D275" s="545">
        <v>6.71</v>
      </c>
      <c r="E275" s="545">
        <v>7.08</v>
      </c>
      <c r="F275" s="545">
        <v>1182.3</v>
      </c>
      <c r="G275" s="1457" t="s">
        <v>93</v>
      </c>
      <c r="H275" s="1457" t="s">
        <v>93</v>
      </c>
      <c r="I275" s="1457" t="s">
        <v>93</v>
      </c>
      <c r="J275" s="1457" t="s">
        <v>93</v>
      </c>
      <c r="K275" s="1446">
        <v>9</v>
      </c>
      <c r="L275" s="545" t="s">
        <v>93</v>
      </c>
      <c r="M275" s="1446">
        <v>6.5</v>
      </c>
      <c r="N275" s="545">
        <v>1067.8</v>
      </c>
      <c r="O275" s="1446">
        <v>8</v>
      </c>
      <c r="P275" s="545">
        <v>658.55502114000001</v>
      </c>
      <c r="Q275" s="1439"/>
      <c r="R275" s="1439"/>
      <c r="S275" s="1439"/>
      <c r="T275" s="1439"/>
      <c r="U275" s="1439"/>
      <c r="V275" s="1439"/>
      <c r="W275" s="1439"/>
      <c r="X275" s="1439"/>
      <c r="Y275" s="1439"/>
      <c r="Z275" s="1439"/>
      <c r="AA275" s="1439"/>
      <c r="AB275" s="1439"/>
      <c r="AC275" s="1439"/>
      <c r="AD275" s="1439"/>
      <c r="AE275" s="1439"/>
      <c r="AF275" s="1439"/>
      <c r="AG275" s="1439"/>
      <c r="AH275" s="1439"/>
      <c r="AI275" s="1439"/>
      <c r="AJ275" s="1439"/>
    </row>
    <row r="276" spans="1:36" s="1449" customFormat="1">
      <c r="A276" s="1715" t="s">
        <v>19</v>
      </c>
      <c r="B276" s="1450">
        <v>6.39</v>
      </c>
      <c r="C276" s="1451">
        <v>6.75</v>
      </c>
      <c r="D276" s="1451">
        <v>6.79</v>
      </c>
      <c r="E276" s="1451">
        <v>6.8</v>
      </c>
      <c r="F276" s="1451">
        <v>1222.1999999999998</v>
      </c>
      <c r="G276" s="1459" t="s">
        <v>93</v>
      </c>
      <c r="H276" s="1459" t="s">
        <v>93</v>
      </c>
      <c r="I276" s="1459" t="s">
        <v>93</v>
      </c>
      <c r="J276" s="1459" t="s">
        <v>93</v>
      </c>
      <c r="K276" s="1450">
        <v>8.75</v>
      </c>
      <c r="L276" s="1451" t="s">
        <v>93</v>
      </c>
      <c r="M276" s="1450">
        <v>6.25</v>
      </c>
      <c r="N276" s="1451">
        <v>1077.2</v>
      </c>
      <c r="O276" s="1450">
        <v>7.75</v>
      </c>
      <c r="P276" s="1451">
        <v>652.34015789</v>
      </c>
      <c r="Q276" s="1439"/>
      <c r="R276" s="1439"/>
      <c r="S276" s="1439"/>
      <c r="T276" s="1439"/>
      <c r="U276" s="1439"/>
      <c r="V276" s="1439"/>
      <c r="W276" s="1439"/>
      <c r="X276" s="1439"/>
      <c r="Y276" s="1439"/>
      <c r="Z276" s="1439"/>
      <c r="AA276" s="1439"/>
      <c r="AB276" s="1439"/>
      <c r="AC276" s="1439"/>
      <c r="AD276" s="1439"/>
      <c r="AE276" s="1439"/>
      <c r="AF276" s="1439"/>
      <c r="AG276" s="1439"/>
      <c r="AH276" s="1439"/>
      <c r="AI276" s="1439"/>
      <c r="AJ276" s="1439"/>
    </row>
    <row r="277" spans="1:36" s="900" customFormat="1" ht="22.5" customHeight="1">
      <c r="A277" s="2517" t="s">
        <v>2771</v>
      </c>
      <c r="B277" s="2517"/>
      <c r="C277" s="2517"/>
      <c r="D277" s="2517"/>
      <c r="E277" s="2517"/>
      <c r="F277" s="2517"/>
      <c r="G277" s="2517"/>
      <c r="H277" s="2517"/>
      <c r="I277" s="2517"/>
      <c r="J277" s="2517"/>
      <c r="K277" s="898"/>
      <c r="L277" s="898"/>
      <c r="M277" s="898"/>
      <c r="N277" s="898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</row>
    <row r="278" spans="1:36">
      <c r="B278" s="899"/>
      <c r="C278" s="899"/>
      <c r="D278" s="899"/>
      <c r="E278" s="899"/>
      <c r="F278" s="899"/>
      <c r="G278" s="899"/>
      <c r="H278" s="899"/>
      <c r="I278" s="899"/>
      <c r="J278" s="899"/>
      <c r="K278" s="899"/>
      <c r="L278" s="899"/>
      <c r="M278" s="899"/>
      <c r="N278" s="899"/>
      <c r="O278" s="899"/>
      <c r="P278" s="89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77:J277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G291" sqref="G291"/>
      <selection pane="bottomLeft" activeCell="A42" sqref="A42"/>
    </sheetView>
  </sheetViews>
  <sheetFormatPr defaultColWidth="27" defaultRowHeight="13.8"/>
  <cols>
    <col min="1" max="1" width="68.6640625" style="15" customWidth="1"/>
    <col min="2" max="4" width="27.6640625" style="564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48"/>
      <c r="B1" s="2148"/>
      <c r="C1" s="2148"/>
      <c r="D1" s="2148"/>
    </row>
    <row r="2" spans="1:197" ht="24.75" customHeight="1">
      <c r="A2" s="2149" t="s">
        <v>2874</v>
      </c>
      <c r="B2" s="2149"/>
      <c r="C2" s="2149"/>
      <c r="D2" s="2149"/>
    </row>
    <row r="3" spans="1:197" ht="29.25" customHeight="1">
      <c r="A3" s="2150" t="s">
        <v>3763</v>
      </c>
      <c r="B3" s="2151"/>
      <c r="C3" s="2151"/>
      <c r="D3" s="2151"/>
    </row>
    <row r="4" spans="1:197" ht="14.25" customHeight="1">
      <c r="A4" s="601"/>
      <c r="B4" s="602"/>
      <c r="C4" s="602"/>
      <c r="D4" s="602"/>
    </row>
    <row r="5" spans="1:197" ht="14.25" customHeight="1">
      <c r="A5" s="1057"/>
      <c r="B5" s="1056"/>
      <c r="C5" s="1056"/>
      <c r="D5" s="1056"/>
    </row>
    <row r="6" spans="1:197" s="1051" customFormat="1" ht="24.75" customHeight="1">
      <c r="A6" s="2152"/>
      <c r="B6" s="1055" t="s">
        <v>2602</v>
      </c>
      <c r="C6" s="1055" t="s">
        <v>3998</v>
      </c>
      <c r="D6" s="1054" t="s">
        <v>2603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8"/>
      <c r="CB6" s="374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51" customFormat="1" ht="24.75" customHeight="1">
      <c r="A7" s="2153"/>
      <c r="B7" s="1053" t="s">
        <v>2604</v>
      </c>
      <c r="C7" s="1053" t="s">
        <v>3999</v>
      </c>
      <c r="D7" s="1052" t="s">
        <v>2605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8"/>
      <c r="CB7" s="374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51" customFormat="1" ht="24.75" customHeight="1">
      <c r="A8" s="2154"/>
      <c r="B8" s="2155" t="s">
        <v>4104</v>
      </c>
      <c r="C8" s="2156"/>
      <c r="D8" s="2157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5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46" customFormat="1" ht="43.5" customHeight="1">
      <c r="A9" s="565" t="s">
        <v>2745</v>
      </c>
      <c r="B9" s="1050">
        <v>0.63771800000000667</v>
      </c>
      <c r="C9" s="1712">
        <v>0.8409497265107575</v>
      </c>
      <c r="D9" s="1049">
        <v>1.2614259000000061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6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46" customFormat="1" ht="18.75" customHeight="1">
      <c r="A10" s="2143" t="s">
        <v>1229</v>
      </c>
      <c r="B10" s="2144"/>
      <c r="C10" s="2144"/>
      <c r="D10" s="2145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6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46" customFormat="1" ht="38.25" customHeight="1">
      <c r="A11" s="566" t="s">
        <v>2744</v>
      </c>
      <c r="B11" s="1048">
        <v>0.7016563999999903</v>
      </c>
      <c r="C11" s="1713">
        <v>-0.34104944871646126</v>
      </c>
      <c r="D11" s="1047">
        <v>0.1746395999999919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6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46" customFormat="1" ht="38.25" customHeight="1">
      <c r="A12" s="566" t="s">
        <v>2743</v>
      </c>
      <c r="B12" s="1048">
        <v>0.58914720000001353</v>
      </c>
      <c r="C12" s="1713">
        <v>1.8653797559540379</v>
      </c>
      <c r="D12" s="1047">
        <v>2.2012292000000144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6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46" customFormat="1" ht="38.25" customHeight="1">
      <c r="A13" s="566" t="s">
        <v>2742</v>
      </c>
      <c r="B13" s="1048">
        <v>5.9515500000003385E-2</v>
      </c>
      <c r="C13" s="1713">
        <v>1.4135593787993628</v>
      </c>
      <c r="D13" s="1047">
        <v>1.5608378999999957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6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46" customFormat="1" ht="38.25" customHeight="1">
      <c r="A14" s="566" t="s">
        <v>2741</v>
      </c>
      <c r="B14" s="1048">
        <v>0.45970230000000356</v>
      </c>
      <c r="C14" s="1713">
        <v>0.21175625901992134</v>
      </c>
      <c r="D14" s="1047">
        <v>0.61554920000000379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6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46" customFormat="1" ht="38.25" customHeight="1">
      <c r="A15" s="566" t="s">
        <v>2740</v>
      </c>
      <c r="B15" s="1048">
        <v>1.0390206999999947</v>
      </c>
      <c r="C15" s="1713">
        <v>2.2518324702686527</v>
      </c>
      <c r="D15" s="1047">
        <v>2.7105456999999973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6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46" customFormat="1" ht="43.5" customHeight="1">
      <c r="A16" s="1086" t="s">
        <v>2908</v>
      </c>
      <c r="B16" s="1050">
        <v>-5.2999999999999972</v>
      </c>
      <c r="C16" s="1712">
        <v>-4.7000000000000028</v>
      </c>
      <c r="D16" s="1049">
        <v>-2.5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6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46" customFormat="1" ht="18.75" customHeight="1">
      <c r="A17" s="2143" t="s">
        <v>1230</v>
      </c>
      <c r="B17" s="2144"/>
      <c r="C17" s="2144"/>
      <c r="D17" s="214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6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46" customFormat="1" ht="38.25" customHeight="1">
      <c r="A18" s="566" t="s">
        <v>2739</v>
      </c>
      <c r="B18" s="1048">
        <v>-7</v>
      </c>
      <c r="C18" s="1713">
        <v>-6.9000000000000057</v>
      </c>
      <c r="D18" s="1047">
        <v>-4.0999999999999943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6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46" customFormat="1" ht="38.25" customHeight="1">
      <c r="A19" s="566" t="s">
        <v>3473</v>
      </c>
      <c r="B19" s="1048">
        <v>0.59999999999999432</v>
      </c>
      <c r="C19" s="1713">
        <v>0.40000000000000568</v>
      </c>
      <c r="D19" s="1047">
        <v>0.29999999999999716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6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46" customFormat="1" ht="38.25" customHeight="1">
      <c r="A20" s="566" t="s">
        <v>2738</v>
      </c>
      <c r="B20" s="1048">
        <v>0</v>
      </c>
      <c r="C20" s="1713">
        <v>0</v>
      </c>
      <c r="D20" s="1047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6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46" customFormat="1" ht="43.5" customHeight="1">
      <c r="A21" s="565" t="s">
        <v>2737</v>
      </c>
      <c r="B21" s="1050">
        <v>1.5999999999999943</v>
      </c>
      <c r="C21" s="1712">
        <v>1.9000000000000057</v>
      </c>
      <c r="D21" s="1049">
        <v>2.0999999999999943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6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46" customFormat="1" ht="18.75" customHeight="1">
      <c r="A22" s="2143" t="s">
        <v>1230</v>
      </c>
      <c r="B22" s="2144"/>
      <c r="C22" s="2144"/>
      <c r="D22" s="2145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6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46" customFormat="1" ht="38.25" customHeight="1">
      <c r="A23" s="1714" t="s">
        <v>4004</v>
      </c>
      <c r="B23" s="1048">
        <v>0.70000000000000284</v>
      </c>
      <c r="C23" s="1713">
        <v>7.5999999999999943</v>
      </c>
      <c r="D23" s="1047">
        <v>7.2999999999999972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6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74" customFormat="1" ht="32.25" customHeight="1">
      <c r="A24" s="2146" t="s">
        <v>2873</v>
      </c>
      <c r="B24" s="2147"/>
      <c r="C24" s="2147"/>
      <c r="D24" s="2147"/>
      <c r="E24" s="2140"/>
      <c r="F24" s="2141"/>
      <c r="G24" s="2141"/>
      <c r="H24" s="2140"/>
      <c r="I24" s="2141"/>
      <c r="J24" s="2141"/>
      <c r="K24" s="2140"/>
      <c r="L24" s="2141"/>
      <c r="M24" s="2141"/>
      <c r="N24" s="2140"/>
      <c r="O24" s="2141"/>
      <c r="P24" s="2141"/>
      <c r="Q24" s="2140"/>
      <c r="R24" s="2141"/>
      <c r="S24" s="2141"/>
      <c r="T24" s="2140"/>
      <c r="U24" s="2141"/>
      <c r="V24" s="2141"/>
      <c r="W24" s="2140"/>
      <c r="X24" s="2141"/>
      <c r="Y24" s="2141"/>
      <c r="Z24" s="2140"/>
      <c r="AA24" s="2141"/>
      <c r="AB24" s="2141"/>
      <c r="AC24" s="2140"/>
      <c r="AD24" s="2141"/>
      <c r="AE24" s="2141"/>
      <c r="AF24" s="2140"/>
      <c r="AG24" s="2141"/>
      <c r="AH24" s="2141"/>
      <c r="AI24" s="2140"/>
      <c r="AJ24" s="2141"/>
      <c r="AK24" s="2141"/>
      <c r="AL24" s="2140"/>
      <c r="AM24" s="2141"/>
      <c r="AN24" s="2141"/>
      <c r="AO24" s="2140"/>
      <c r="AP24" s="2141"/>
      <c r="AQ24" s="2141"/>
      <c r="AR24" s="2140"/>
      <c r="AS24" s="2141"/>
      <c r="AT24" s="2141"/>
      <c r="AU24" s="2140"/>
      <c r="AV24" s="2141"/>
      <c r="AW24" s="2141"/>
      <c r="AX24" s="2140"/>
      <c r="AY24" s="2141"/>
      <c r="AZ24" s="2141"/>
      <c r="BA24" s="2140"/>
      <c r="BB24" s="2141"/>
      <c r="BC24" s="2141"/>
      <c r="BD24" s="2140"/>
      <c r="BE24" s="2141"/>
      <c r="BF24" s="2141"/>
      <c r="BG24" s="2140"/>
      <c r="BH24" s="2141"/>
      <c r="BI24" s="2141"/>
      <c r="BJ24" s="2140"/>
      <c r="BK24" s="2141"/>
      <c r="BL24" s="2141"/>
      <c r="BM24" s="2140"/>
      <c r="BN24" s="2141"/>
      <c r="BO24" s="2141"/>
      <c r="BP24" s="2140"/>
      <c r="BQ24" s="2141"/>
      <c r="BR24" s="2141"/>
      <c r="BS24" s="2140"/>
      <c r="BT24" s="2141"/>
      <c r="BU24" s="2141"/>
      <c r="BV24" s="2140"/>
      <c r="BW24" s="2141"/>
      <c r="BX24" s="2141"/>
      <c r="BY24" s="2140"/>
      <c r="BZ24" s="2141"/>
      <c r="CA24" s="2141"/>
      <c r="CB24" s="2140"/>
      <c r="CC24" s="2141"/>
      <c r="CD24" s="2141"/>
      <c r="CE24" s="2140"/>
      <c r="CF24" s="2141"/>
      <c r="CG24" s="2141"/>
      <c r="CH24" s="2140"/>
      <c r="CI24" s="2141"/>
      <c r="CJ24" s="2141"/>
      <c r="CK24" s="2140"/>
      <c r="CL24" s="2141"/>
      <c r="CM24" s="2141"/>
      <c r="CN24" s="2140"/>
      <c r="CO24" s="2141"/>
      <c r="CP24" s="2141"/>
      <c r="CQ24" s="2140"/>
      <c r="CR24" s="2141"/>
      <c r="CS24" s="2141"/>
      <c r="CT24" s="2140"/>
      <c r="CU24" s="2141"/>
      <c r="CV24" s="2141"/>
      <c r="CW24" s="2140"/>
      <c r="CX24" s="2141"/>
      <c r="CY24" s="2141"/>
      <c r="CZ24" s="2140"/>
      <c r="DA24" s="2141"/>
      <c r="DB24" s="2141"/>
      <c r="DC24" s="2140"/>
      <c r="DD24" s="2141"/>
      <c r="DE24" s="2141"/>
      <c r="DF24" s="2140"/>
      <c r="DG24" s="2141"/>
      <c r="DH24" s="2141"/>
      <c r="DI24" s="2140"/>
      <c r="DJ24" s="2141"/>
      <c r="DK24" s="2141"/>
      <c r="DL24" s="2140"/>
      <c r="DM24" s="2141"/>
      <c r="DN24" s="2141"/>
      <c r="DO24" s="2140"/>
      <c r="DP24" s="2141"/>
      <c r="DQ24" s="2141"/>
      <c r="DR24" s="2140"/>
      <c r="DS24" s="2141"/>
      <c r="DT24" s="2141"/>
      <c r="DU24" s="2140"/>
      <c r="DV24" s="2141"/>
      <c r="DW24" s="2141"/>
      <c r="DX24" s="2140"/>
      <c r="DY24" s="2141"/>
      <c r="DZ24" s="2141"/>
      <c r="EA24" s="2140"/>
      <c r="EB24" s="2141"/>
      <c r="EC24" s="2141"/>
      <c r="ED24" s="2140"/>
      <c r="EE24" s="2141"/>
      <c r="EF24" s="2141"/>
      <c r="EG24" s="2140"/>
      <c r="EH24" s="2141"/>
      <c r="EI24" s="2141"/>
      <c r="EJ24" s="2140"/>
      <c r="EK24" s="2141"/>
      <c r="EL24" s="2141"/>
      <c r="EM24" s="2140"/>
      <c r="EN24" s="2141"/>
      <c r="EO24" s="2141"/>
      <c r="EP24" s="2140"/>
      <c r="EQ24" s="2141"/>
      <c r="ER24" s="2141"/>
      <c r="ES24" s="2140"/>
      <c r="ET24" s="2141"/>
      <c r="EU24" s="2141"/>
      <c r="EV24" s="2140"/>
      <c r="EW24" s="2141"/>
      <c r="EX24" s="2141"/>
      <c r="EY24" s="2140"/>
      <c r="EZ24" s="2141"/>
      <c r="FA24" s="2141"/>
      <c r="FB24" s="2140"/>
      <c r="FC24" s="2141"/>
      <c r="FD24" s="2141"/>
      <c r="FE24" s="2140"/>
      <c r="FF24" s="2141"/>
      <c r="FG24" s="2141"/>
      <c r="FH24" s="2140"/>
      <c r="FI24" s="2141"/>
      <c r="FJ24" s="2141"/>
      <c r="FK24" s="2140"/>
      <c r="FL24" s="2141"/>
      <c r="FM24" s="2141"/>
      <c r="FN24" s="2140"/>
      <c r="FO24" s="2141"/>
      <c r="FP24" s="2141"/>
      <c r="FQ24" s="2140"/>
      <c r="FR24" s="2141"/>
      <c r="FS24" s="2141"/>
      <c r="FT24" s="2140"/>
      <c r="FU24" s="2141"/>
      <c r="FV24" s="2141"/>
      <c r="FW24" s="2140"/>
      <c r="FX24" s="2141"/>
      <c r="FY24" s="2141"/>
      <c r="FZ24" s="2140"/>
      <c r="GA24" s="2141"/>
      <c r="GB24" s="2141"/>
      <c r="GC24" s="2140"/>
      <c r="GD24" s="2141"/>
      <c r="GE24" s="2141"/>
      <c r="GF24" s="2140"/>
      <c r="GG24" s="2141"/>
      <c r="GH24" s="2141"/>
      <c r="GI24" s="2140"/>
      <c r="GJ24" s="2141"/>
      <c r="GK24" s="2141"/>
      <c r="GL24" s="2140"/>
      <c r="GM24" s="2141"/>
      <c r="GN24" s="2141"/>
      <c r="GO24" s="2140"/>
      <c r="GP24" s="2141"/>
      <c r="GQ24" s="2141"/>
      <c r="GR24" s="2140"/>
      <c r="GS24" s="2141"/>
      <c r="GT24" s="2141"/>
      <c r="GU24" s="2140"/>
      <c r="GV24" s="2141"/>
      <c r="GW24" s="2141"/>
      <c r="GX24" s="2140"/>
      <c r="GY24" s="2141"/>
      <c r="GZ24" s="2141"/>
      <c r="HA24" s="2140"/>
      <c r="HB24" s="2141"/>
      <c r="HC24" s="2141"/>
      <c r="HD24" s="2140"/>
      <c r="HE24" s="2141"/>
      <c r="HF24" s="2141"/>
      <c r="HG24" s="2140"/>
      <c r="HH24" s="2141"/>
      <c r="HI24" s="2141"/>
      <c r="HJ24" s="2140"/>
      <c r="HK24" s="2141"/>
      <c r="HL24" s="2141"/>
      <c r="HM24" s="2140"/>
      <c r="HN24" s="2141"/>
      <c r="HO24" s="2141"/>
      <c r="HP24" s="2140"/>
      <c r="HQ24" s="2141"/>
      <c r="HR24" s="2141"/>
      <c r="HS24" s="2140"/>
      <c r="HT24" s="2141"/>
      <c r="HU24" s="2141"/>
      <c r="HV24" s="2140"/>
      <c r="HW24" s="2141"/>
      <c r="HX24" s="2141"/>
      <c r="HY24" s="2140"/>
      <c r="HZ24" s="2141"/>
      <c r="IA24" s="2141"/>
      <c r="IB24" s="2140"/>
      <c r="IC24" s="2141"/>
      <c r="ID24" s="2141"/>
      <c r="IE24" s="2140"/>
      <c r="IF24" s="2141"/>
      <c r="IG24" s="2141"/>
      <c r="IH24" s="2140"/>
      <c r="II24" s="2141"/>
      <c r="IJ24" s="2141"/>
      <c r="IK24" s="2140"/>
      <c r="IL24" s="2141"/>
      <c r="IM24" s="2141"/>
      <c r="IN24" s="2140"/>
      <c r="IO24" s="2141"/>
      <c r="IP24" s="2141"/>
      <c r="IQ24" s="2140"/>
      <c r="IR24" s="2141"/>
      <c r="IS24" s="2141"/>
      <c r="IT24" s="2140"/>
      <c r="IU24" s="2141"/>
      <c r="IV24" s="2141"/>
      <c r="IW24" s="2140"/>
      <c r="IX24" s="2141"/>
      <c r="IY24" s="2141"/>
      <c r="IZ24" s="2140"/>
      <c r="JA24" s="2141"/>
      <c r="JB24" s="2141"/>
      <c r="JC24" s="2140"/>
      <c r="JD24" s="2141"/>
      <c r="JE24" s="2141"/>
      <c r="JF24" s="2140"/>
      <c r="JG24" s="2141"/>
      <c r="JH24" s="2141"/>
      <c r="JI24" s="2140"/>
      <c r="JJ24" s="2141"/>
      <c r="JK24" s="2141"/>
      <c r="JL24" s="2140"/>
      <c r="JM24" s="2141"/>
      <c r="JN24" s="2141"/>
      <c r="JO24" s="2140"/>
      <c r="JP24" s="2141"/>
      <c r="JQ24" s="2141"/>
      <c r="JR24" s="2140"/>
      <c r="JS24" s="2141"/>
      <c r="JT24" s="2141"/>
      <c r="JU24" s="2140"/>
      <c r="JV24" s="2141"/>
      <c r="JW24" s="2141"/>
      <c r="JX24" s="2140"/>
      <c r="JY24" s="2141"/>
      <c r="JZ24" s="2141"/>
      <c r="KA24" s="2140"/>
      <c r="KB24" s="2141"/>
      <c r="KC24" s="2141"/>
      <c r="KD24" s="2140"/>
      <c r="KE24" s="2141"/>
      <c r="KF24" s="2141"/>
      <c r="KG24" s="2140"/>
      <c r="KH24" s="2141"/>
      <c r="KI24" s="2141"/>
      <c r="KJ24" s="2140"/>
      <c r="KK24" s="2141"/>
      <c r="KL24" s="2141"/>
      <c r="KM24" s="2140"/>
      <c r="KN24" s="2141"/>
      <c r="KO24" s="2141"/>
      <c r="KP24" s="2140"/>
      <c r="KQ24" s="2141"/>
      <c r="KR24" s="2141"/>
      <c r="KS24" s="2140"/>
      <c r="KT24" s="2141"/>
      <c r="KU24" s="2141"/>
      <c r="KV24" s="2140"/>
      <c r="KW24" s="2141"/>
      <c r="KX24" s="2141"/>
      <c r="KY24" s="2140"/>
      <c r="KZ24" s="2141"/>
      <c r="LA24" s="2141"/>
      <c r="LB24" s="2140"/>
      <c r="LC24" s="2141"/>
      <c r="LD24" s="2141"/>
      <c r="LE24" s="2140"/>
      <c r="LF24" s="2141"/>
      <c r="LG24" s="2141"/>
      <c r="LH24" s="2140"/>
      <c r="LI24" s="2141"/>
      <c r="LJ24" s="2141"/>
      <c r="LK24" s="2140"/>
      <c r="LL24" s="2141"/>
      <c r="LM24" s="2141"/>
      <c r="LN24" s="2140"/>
      <c r="LO24" s="2141"/>
      <c r="LP24" s="2141"/>
      <c r="LQ24" s="2140"/>
      <c r="LR24" s="2141"/>
      <c r="LS24" s="2141"/>
      <c r="LT24" s="2140"/>
      <c r="LU24" s="2141"/>
      <c r="LV24" s="2141"/>
      <c r="LW24" s="2140"/>
      <c r="LX24" s="2141"/>
      <c r="LY24" s="2141"/>
      <c r="LZ24" s="2140"/>
      <c r="MA24" s="2141"/>
      <c r="MB24" s="2141"/>
      <c r="MC24" s="2140"/>
      <c r="MD24" s="2141"/>
      <c r="ME24" s="2141"/>
      <c r="MF24" s="2140"/>
      <c r="MG24" s="2141"/>
      <c r="MH24" s="2141"/>
      <c r="MI24" s="2140"/>
      <c r="MJ24" s="2141"/>
      <c r="MK24" s="2141"/>
      <c r="ML24" s="2140"/>
      <c r="MM24" s="2141"/>
      <c r="MN24" s="2141"/>
      <c r="MO24" s="2140"/>
      <c r="MP24" s="2141"/>
      <c r="MQ24" s="2141"/>
      <c r="MR24" s="2140"/>
      <c r="MS24" s="2141"/>
      <c r="MT24" s="2141"/>
      <c r="MU24" s="2140"/>
      <c r="MV24" s="2141"/>
      <c r="MW24" s="2141"/>
      <c r="MX24" s="2140"/>
      <c r="MY24" s="2141"/>
      <c r="MZ24" s="2141"/>
      <c r="NA24" s="2140"/>
      <c r="NB24" s="2141"/>
      <c r="NC24" s="2141"/>
      <c r="ND24" s="2140"/>
      <c r="NE24" s="2141"/>
      <c r="NF24" s="2141"/>
      <c r="NG24" s="2140"/>
      <c r="NH24" s="2141"/>
      <c r="NI24" s="2141"/>
      <c r="NJ24" s="2140"/>
      <c r="NK24" s="2141"/>
      <c r="NL24" s="2141"/>
      <c r="NM24" s="2140"/>
      <c r="NN24" s="2141"/>
      <c r="NO24" s="2141"/>
      <c r="NP24" s="2140"/>
      <c r="NQ24" s="2141"/>
      <c r="NR24" s="2141"/>
      <c r="NS24" s="2140"/>
      <c r="NT24" s="2141"/>
      <c r="NU24" s="2141"/>
      <c r="NV24" s="2140"/>
      <c r="NW24" s="2141"/>
      <c r="NX24" s="2141"/>
      <c r="NY24" s="2140"/>
      <c r="NZ24" s="2141"/>
      <c r="OA24" s="2141"/>
      <c r="OB24" s="2140"/>
      <c r="OC24" s="2141"/>
      <c r="OD24" s="2141"/>
      <c r="OE24" s="2140"/>
      <c r="OF24" s="2141"/>
      <c r="OG24" s="2141"/>
      <c r="OH24" s="2140"/>
      <c r="OI24" s="2141"/>
      <c r="OJ24" s="2141"/>
      <c r="OK24" s="2140"/>
      <c r="OL24" s="2141"/>
      <c r="OM24" s="2141"/>
      <c r="ON24" s="2140"/>
      <c r="OO24" s="2141"/>
      <c r="OP24" s="2141"/>
      <c r="OQ24" s="2140"/>
      <c r="OR24" s="2141"/>
      <c r="OS24" s="2141"/>
      <c r="OT24" s="2140"/>
      <c r="OU24" s="2141"/>
      <c r="OV24" s="2141"/>
      <c r="OW24" s="2140"/>
      <c r="OX24" s="2141"/>
      <c r="OY24" s="2141"/>
      <c r="OZ24" s="2140"/>
      <c r="PA24" s="2141"/>
      <c r="PB24" s="2141"/>
      <c r="PC24" s="2140"/>
      <c r="PD24" s="2141"/>
      <c r="PE24" s="2141"/>
      <c r="PF24" s="2140"/>
      <c r="PG24" s="2141"/>
      <c r="PH24" s="2141"/>
      <c r="PI24" s="2140"/>
      <c r="PJ24" s="2141"/>
      <c r="PK24" s="2141"/>
      <c r="PL24" s="2140"/>
      <c r="PM24" s="2141"/>
      <c r="PN24" s="2141"/>
      <c r="PO24" s="2140"/>
      <c r="PP24" s="2141"/>
      <c r="PQ24" s="2141"/>
      <c r="PR24" s="2140"/>
      <c r="PS24" s="2141"/>
      <c r="PT24" s="2141"/>
      <c r="PU24" s="2140"/>
      <c r="PV24" s="2141"/>
      <c r="PW24" s="2141"/>
      <c r="PX24" s="2140"/>
      <c r="PY24" s="2141"/>
      <c r="PZ24" s="2141"/>
      <c r="QA24" s="2140"/>
      <c r="QB24" s="2141"/>
      <c r="QC24" s="2141"/>
      <c r="QD24" s="2140"/>
      <c r="QE24" s="2141"/>
      <c r="QF24" s="2141"/>
      <c r="QG24" s="2140"/>
      <c r="QH24" s="2141"/>
      <c r="QI24" s="2141"/>
      <c r="QJ24" s="2140"/>
      <c r="QK24" s="2141"/>
      <c r="QL24" s="2141"/>
      <c r="QM24" s="2140"/>
      <c r="QN24" s="2141"/>
      <c r="QO24" s="2141"/>
      <c r="QP24" s="2140"/>
      <c r="QQ24" s="2141"/>
      <c r="QR24" s="2141"/>
      <c r="QS24" s="2140"/>
      <c r="QT24" s="2141"/>
      <c r="QU24" s="2141"/>
      <c r="QV24" s="2140"/>
      <c r="QW24" s="2141"/>
      <c r="QX24" s="2141"/>
      <c r="QY24" s="2140"/>
      <c r="QZ24" s="2141"/>
      <c r="RA24" s="2141"/>
      <c r="RB24" s="2140"/>
      <c r="RC24" s="2141"/>
      <c r="RD24" s="2141"/>
      <c r="RE24" s="2140"/>
      <c r="RF24" s="2141"/>
      <c r="RG24" s="2141"/>
      <c r="RH24" s="2140"/>
      <c r="RI24" s="2141"/>
      <c r="RJ24" s="2141"/>
      <c r="RK24" s="2140"/>
      <c r="RL24" s="2141"/>
      <c r="RM24" s="2141"/>
      <c r="RN24" s="2140"/>
      <c r="RO24" s="2141"/>
      <c r="RP24" s="2141"/>
      <c r="RQ24" s="2140"/>
      <c r="RR24" s="2141"/>
      <c r="RS24" s="2141"/>
      <c r="RT24" s="2140"/>
      <c r="RU24" s="2141"/>
      <c r="RV24" s="2141"/>
      <c r="RW24" s="2140"/>
      <c r="RX24" s="2141"/>
      <c r="RY24" s="2141"/>
      <c r="RZ24" s="2140"/>
      <c r="SA24" s="2141"/>
      <c r="SB24" s="2141"/>
      <c r="SC24" s="2140"/>
      <c r="SD24" s="2141"/>
      <c r="SE24" s="2141"/>
      <c r="SF24" s="2140"/>
      <c r="SG24" s="2141"/>
      <c r="SH24" s="2141"/>
      <c r="SI24" s="2140"/>
      <c r="SJ24" s="2141"/>
      <c r="SK24" s="2141"/>
      <c r="SL24" s="2140"/>
      <c r="SM24" s="2141"/>
      <c r="SN24" s="2141"/>
      <c r="SO24" s="2140"/>
      <c r="SP24" s="2141"/>
      <c r="SQ24" s="2141"/>
      <c r="SR24" s="2140"/>
      <c r="SS24" s="2141"/>
      <c r="ST24" s="2141"/>
      <c r="SU24" s="2140"/>
      <c r="SV24" s="2141"/>
      <c r="SW24" s="2141"/>
      <c r="SX24" s="2140"/>
      <c r="SY24" s="2141"/>
      <c r="SZ24" s="2141"/>
      <c r="TA24" s="2140"/>
      <c r="TB24" s="2141"/>
      <c r="TC24" s="2141"/>
      <c r="TD24" s="2140"/>
      <c r="TE24" s="2141"/>
      <c r="TF24" s="2141"/>
      <c r="TG24" s="2140"/>
      <c r="TH24" s="2141"/>
      <c r="TI24" s="2141"/>
      <c r="TJ24" s="2140"/>
      <c r="TK24" s="2141"/>
      <c r="TL24" s="2141"/>
      <c r="TM24" s="2140"/>
      <c r="TN24" s="2141"/>
      <c r="TO24" s="2141"/>
      <c r="TP24" s="2140"/>
      <c r="TQ24" s="2141"/>
      <c r="TR24" s="2141"/>
      <c r="TS24" s="2140"/>
      <c r="TT24" s="2141"/>
      <c r="TU24" s="2141"/>
      <c r="TV24" s="2140"/>
      <c r="TW24" s="2141"/>
      <c r="TX24" s="2141"/>
      <c r="TY24" s="2140"/>
      <c r="TZ24" s="2141"/>
      <c r="UA24" s="2141"/>
      <c r="UB24" s="2140"/>
      <c r="UC24" s="2141"/>
      <c r="UD24" s="2141"/>
      <c r="UE24" s="2140"/>
      <c r="UF24" s="2141"/>
      <c r="UG24" s="2141"/>
      <c r="UH24" s="2140"/>
      <c r="UI24" s="2141"/>
      <c r="UJ24" s="2141"/>
      <c r="UK24" s="2140"/>
      <c r="UL24" s="2141"/>
      <c r="UM24" s="2141"/>
      <c r="UN24" s="2140"/>
      <c r="UO24" s="2141"/>
      <c r="UP24" s="2141"/>
      <c r="UQ24" s="2140"/>
      <c r="UR24" s="2141"/>
      <c r="US24" s="2141"/>
      <c r="UT24" s="2140"/>
      <c r="UU24" s="2141"/>
      <c r="UV24" s="2141"/>
      <c r="UW24" s="2140"/>
      <c r="UX24" s="2141"/>
      <c r="UY24" s="2141"/>
      <c r="UZ24" s="2140"/>
      <c r="VA24" s="2141"/>
      <c r="VB24" s="2141"/>
      <c r="VC24" s="2140"/>
      <c r="VD24" s="2141"/>
      <c r="VE24" s="2141"/>
      <c r="VF24" s="2140"/>
      <c r="VG24" s="2141"/>
      <c r="VH24" s="2141"/>
      <c r="VI24" s="2140"/>
      <c r="VJ24" s="2141"/>
      <c r="VK24" s="2141"/>
      <c r="VL24" s="2140"/>
      <c r="VM24" s="2141"/>
      <c r="VN24" s="2141"/>
      <c r="VO24" s="2140"/>
      <c r="VP24" s="2141"/>
      <c r="VQ24" s="2141"/>
      <c r="VR24" s="2140"/>
      <c r="VS24" s="2141"/>
      <c r="VT24" s="2141"/>
      <c r="VU24" s="2140"/>
      <c r="VV24" s="2141"/>
      <c r="VW24" s="2141"/>
      <c r="VX24" s="2140"/>
      <c r="VY24" s="2141"/>
      <c r="VZ24" s="2141"/>
      <c r="WA24" s="2140"/>
      <c r="WB24" s="2141"/>
      <c r="WC24" s="2141"/>
      <c r="WD24" s="2140"/>
      <c r="WE24" s="2141"/>
      <c r="WF24" s="2141"/>
      <c r="WG24" s="2140"/>
      <c r="WH24" s="2141"/>
      <c r="WI24" s="2141"/>
      <c r="WJ24" s="2140"/>
      <c r="WK24" s="2141"/>
      <c r="WL24" s="2141"/>
      <c r="WM24" s="2140"/>
      <c r="WN24" s="2141"/>
      <c r="WO24" s="2141"/>
      <c r="WP24" s="2140"/>
      <c r="WQ24" s="2141"/>
      <c r="WR24" s="2141"/>
      <c r="WS24" s="2140"/>
      <c r="WT24" s="2141"/>
      <c r="WU24" s="2141"/>
      <c r="WV24" s="2140"/>
      <c r="WW24" s="2141"/>
      <c r="WX24" s="2141"/>
      <c r="WY24" s="2140"/>
      <c r="WZ24" s="2141"/>
      <c r="XA24" s="2141"/>
      <c r="XB24" s="2140"/>
      <c r="XC24" s="2141"/>
      <c r="XD24" s="2141"/>
      <c r="XE24" s="2140"/>
      <c r="XF24" s="2141"/>
      <c r="XG24" s="2141"/>
      <c r="XH24" s="2140"/>
      <c r="XI24" s="2141"/>
      <c r="XJ24" s="2141"/>
      <c r="XK24" s="2140"/>
      <c r="XL24" s="2141"/>
      <c r="XM24" s="2141"/>
      <c r="XN24" s="2140"/>
      <c r="XO24" s="2141"/>
      <c r="XP24" s="2141"/>
      <c r="XQ24" s="2140"/>
      <c r="XR24" s="2141"/>
      <c r="XS24" s="2141"/>
      <c r="XT24" s="2140"/>
      <c r="XU24" s="2141"/>
      <c r="XV24" s="2141"/>
      <c r="XW24" s="2140"/>
      <c r="XX24" s="2141"/>
      <c r="XY24" s="2141"/>
      <c r="XZ24" s="2140"/>
      <c r="YA24" s="2141"/>
      <c r="YB24" s="2141"/>
      <c r="YC24" s="2140"/>
      <c r="YD24" s="2141"/>
      <c r="YE24" s="2141"/>
      <c r="YF24" s="2140"/>
      <c r="YG24" s="2141"/>
      <c r="YH24" s="2141"/>
      <c r="YI24" s="2140"/>
      <c r="YJ24" s="2141"/>
      <c r="YK24" s="2141"/>
      <c r="YL24" s="2140"/>
      <c r="YM24" s="2141"/>
      <c r="YN24" s="2141"/>
      <c r="YO24" s="2140"/>
      <c r="YP24" s="2141"/>
      <c r="YQ24" s="2141"/>
      <c r="YR24" s="2140"/>
      <c r="YS24" s="2141"/>
      <c r="YT24" s="2141"/>
      <c r="YU24" s="2140"/>
      <c r="YV24" s="2141"/>
      <c r="YW24" s="2141"/>
      <c r="YX24" s="2140"/>
      <c r="YY24" s="2141"/>
      <c r="YZ24" s="2141"/>
      <c r="ZA24" s="2140"/>
      <c r="ZB24" s="2141"/>
      <c r="ZC24" s="2141"/>
      <c r="ZD24" s="2140"/>
      <c r="ZE24" s="2141"/>
      <c r="ZF24" s="2141"/>
      <c r="ZG24" s="2140"/>
      <c r="ZH24" s="2141"/>
      <c r="ZI24" s="2141"/>
      <c r="ZJ24" s="2140"/>
      <c r="ZK24" s="2141"/>
      <c r="ZL24" s="2141"/>
      <c r="ZM24" s="2140"/>
      <c r="ZN24" s="2141"/>
      <c r="ZO24" s="2141"/>
      <c r="ZP24" s="2140"/>
      <c r="ZQ24" s="2141"/>
      <c r="ZR24" s="2141"/>
      <c r="ZS24" s="2140"/>
      <c r="ZT24" s="2141"/>
      <c r="ZU24" s="2141"/>
      <c r="ZV24" s="2140"/>
      <c r="ZW24" s="2141"/>
      <c r="ZX24" s="2141"/>
      <c r="ZY24" s="2140"/>
      <c r="ZZ24" s="2141"/>
      <c r="AAA24" s="2141"/>
      <c r="AAB24" s="2140"/>
      <c r="AAC24" s="2141"/>
      <c r="AAD24" s="2141"/>
      <c r="AAE24" s="2140"/>
      <c r="AAF24" s="2141"/>
      <c r="AAG24" s="2141"/>
      <c r="AAH24" s="2140"/>
      <c r="AAI24" s="2141"/>
      <c r="AAJ24" s="2141"/>
      <c r="AAK24" s="2140"/>
      <c r="AAL24" s="2141"/>
      <c r="AAM24" s="2141"/>
      <c r="AAN24" s="2140"/>
      <c r="AAO24" s="2141"/>
      <c r="AAP24" s="2141"/>
      <c r="AAQ24" s="2140"/>
      <c r="AAR24" s="2141"/>
      <c r="AAS24" s="2141"/>
      <c r="AAT24" s="2140"/>
      <c r="AAU24" s="2141"/>
      <c r="AAV24" s="2141"/>
      <c r="AAW24" s="2140"/>
      <c r="AAX24" s="2141"/>
      <c r="AAY24" s="2141"/>
      <c r="AAZ24" s="2140"/>
      <c r="ABA24" s="2141"/>
      <c r="ABB24" s="2141"/>
      <c r="ABC24" s="2140"/>
      <c r="ABD24" s="2141"/>
      <c r="ABE24" s="2141"/>
      <c r="ABF24" s="2140"/>
      <c r="ABG24" s="2141"/>
      <c r="ABH24" s="2141"/>
      <c r="ABI24" s="2140"/>
      <c r="ABJ24" s="2141"/>
      <c r="ABK24" s="2141"/>
      <c r="ABL24" s="2140"/>
      <c r="ABM24" s="2141"/>
      <c r="ABN24" s="2141"/>
      <c r="ABO24" s="2140"/>
      <c r="ABP24" s="2141"/>
      <c r="ABQ24" s="2141"/>
      <c r="ABR24" s="2140"/>
      <c r="ABS24" s="2141"/>
      <c r="ABT24" s="2141"/>
      <c r="ABU24" s="2140"/>
      <c r="ABV24" s="2141"/>
      <c r="ABW24" s="2141"/>
      <c r="ABX24" s="2140"/>
      <c r="ABY24" s="2141"/>
      <c r="ABZ24" s="2141"/>
      <c r="ACA24" s="2140"/>
      <c r="ACB24" s="2141"/>
      <c r="ACC24" s="2141"/>
      <c r="ACD24" s="2140"/>
      <c r="ACE24" s="2141"/>
      <c r="ACF24" s="2141"/>
      <c r="ACG24" s="2140"/>
      <c r="ACH24" s="2141"/>
      <c r="ACI24" s="2141"/>
      <c r="ACJ24" s="2140"/>
      <c r="ACK24" s="2141"/>
      <c r="ACL24" s="2141"/>
      <c r="ACM24" s="2140"/>
      <c r="ACN24" s="2141"/>
      <c r="ACO24" s="2141"/>
      <c r="ACP24" s="2140"/>
      <c r="ACQ24" s="2141"/>
      <c r="ACR24" s="2141"/>
      <c r="ACS24" s="2140"/>
      <c r="ACT24" s="2141"/>
      <c r="ACU24" s="2141"/>
      <c r="ACV24" s="2140"/>
      <c r="ACW24" s="2141"/>
      <c r="ACX24" s="2141"/>
      <c r="ACY24" s="2140"/>
      <c r="ACZ24" s="2141"/>
      <c r="ADA24" s="2141"/>
      <c r="ADB24" s="2140"/>
      <c r="ADC24" s="2141"/>
      <c r="ADD24" s="2141"/>
      <c r="ADE24" s="2140"/>
      <c r="ADF24" s="2141"/>
      <c r="ADG24" s="2141"/>
      <c r="ADH24" s="2140"/>
      <c r="ADI24" s="2141"/>
      <c r="ADJ24" s="2141"/>
      <c r="ADK24" s="2140"/>
      <c r="ADL24" s="2141"/>
      <c r="ADM24" s="2141"/>
      <c r="ADN24" s="2140"/>
      <c r="ADO24" s="2141"/>
      <c r="ADP24" s="2141"/>
      <c r="ADQ24" s="2140"/>
      <c r="ADR24" s="2141"/>
      <c r="ADS24" s="2141"/>
      <c r="ADT24" s="2140"/>
      <c r="ADU24" s="2141"/>
      <c r="ADV24" s="2141"/>
      <c r="ADW24" s="2140"/>
      <c r="ADX24" s="2141"/>
      <c r="ADY24" s="2141"/>
      <c r="ADZ24" s="2140"/>
      <c r="AEA24" s="2141"/>
      <c r="AEB24" s="2141"/>
      <c r="AEC24" s="2140"/>
      <c r="AED24" s="2141"/>
      <c r="AEE24" s="2141"/>
      <c r="AEF24" s="2140"/>
      <c r="AEG24" s="2141"/>
      <c r="AEH24" s="2141"/>
      <c r="AEI24" s="2140"/>
      <c r="AEJ24" s="2141"/>
      <c r="AEK24" s="2141"/>
      <c r="AEL24" s="2140"/>
      <c r="AEM24" s="2141"/>
      <c r="AEN24" s="2141"/>
      <c r="AEO24" s="2140"/>
      <c r="AEP24" s="2141"/>
      <c r="AEQ24" s="2141"/>
      <c r="AER24" s="2140"/>
      <c r="AES24" s="2141"/>
      <c r="AET24" s="2141"/>
      <c r="AEU24" s="2140"/>
      <c r="AEV24" s="2141"/>
      <c r="AEW24" s="2141"/>
      <c r="AEX24" s="2140"/>
      <c r="AEY24" s="2141"/>
      <c r="AEZ24" s="2141"/>
      <c r="AFA24" s="2140"/>
      <c r="AFB24" s="2141"/>
      <c r="AFC24" s="2141"/>
      <c r="AFD24" s="2140"/>
      <c r="AFE24" s="2141"/>
      <c r="AFF24" s="2141"/>
      <c r="AFG24" s="2140"/>
      <c r="AFH24" s="2141"/>
      <c r="AFI24" s="2141"/>
      <c r="AFJ24" s="2140"/>
      <c r="AFK24" s="2141"/>
      <c r="AFL24" s="2141"/>
      <c r="AFM24" s="2140"/>
      <c r="AFN24" s="2141"/>
      <c r="AFO24" s="2141"/>
      <c r="AFP24" s="2140"/>
      <c r="AFQ24" s="2141"/>
      <c r="AFR24" s="2141"/>
      <c r="AFS24" s="2140"/>
      <c r="AFT24" s="2141"/>
      <c r="AFU24" s="2141"/>
      <c r="AFV24" s="2140"/>
      <c r="AFW24" s="2141"/>
      <c r="AFX24" s="2141"/>
      <c r="AFY24" s="2140"/>
      <c r="AFZ24" s="2141"/>
      <c r="AGA24" s="2141"/>
      <c r="AGB24" s="2140"/>
      <c r="AGC24" s="2141"/>
      <c r="AGD24" s="2141"/>
      <c r="AGE24" s="2140"/>
      <c r="AGF24" s="2141"/>
      <c r="AGG24" s="2141"/>
      <c r="AGH24" s="2140"/>
      <c r="AGI24" s="2141"/>
      <c r="AGJ24" s="2141"/>
      <c r="AGK24" s="2140"/>
      <c r="AGL24" s="2141"/>
      <c r="AGM24" s="2141"/>
      <c r="AGN24" s="2140"/>
      <c r="AGO24" s="2141"/>
      <c r="AGP24" s="2141"/>
      <c r="AGQ24" s="2140"/>
      <c r="AGR24" s="2141"/>
      <c r="AGS24" s="2141"/>
      <c r="AGT24" s="2140"/>
      <c r="AGU24" s="2141"/>
      <c r="AGV24" s="2141"/>
      <c r="AGW24" s="2140"/>
      <c r="AGX24" s="2141"/>
      <c r="AGY24" s="2141"/>
      <c r="AGZ24" s="2140"/>
      <c r="AHA24" s="2141"/>
      <c r="AHB24" s="2141"/>
      <c r="AHC24" s="2140"/>
      <c r="AHD24" s="2141"/>
      <c r="AHE24" s="2141"/>
      <c r="AHF24" s="2140"/>
      <c r="AHG24" s="2141"/>
      <c r="AHH24" s="2141"/>
      <c r="AHI24" s="2140"/>
      <c r="AHJ24" s="2141"/>
      <c r="AHK24" s="2141"/>
      <c r="AHL24" s="2140"/>
      <c r="AHM24" s="2141"/>
      <c r="AHN24" s="2141"/>
      <c r="AHO24" s="2140"/>
      <c r="AHP24" s="2141"/>
      <c r="AHQ24" s="2141"/>
      <c r="AHR24" s="2140"/>
      <c r="AHS24" s="2141"/>
      <c r="AHT24" s="2141"/>
      <c r="AHU24" s="2140"/>
      <c r="AHV24" s="2141"/>
      <c r="AHW24" s="2141"/>
      <c r="AHX24" s="2140"/>
      <c r="AHY24" s="2141"/>
      <c r="AHZ24" s="2141"/>
      <c r="AIA24" s="2140"/>
      <c r="AIB24" s="2141"/>
      <c r="AIC24" s="2141"/>
      <c r="AID24" s="2140"/>
      <c r="AIE24" s="2141"/>
      <c r="AIF24" s="2141"/>
      <c r="AIG24" s="2140"/>
      <c r="AIH24" s="2141"/>
      <c r="AII24" s="2141"/>
      <c r="AIJ24" s="2140"/>
      <c r="AIK24" s="2141"/>
      <c r="AIL24" s="2141"/>
      <c r="AIM24" s="2140"/>
      <c r="AIN24" s="2141"/>
      <c r="AIO24" s="2141"/>
      <c r="AIP24" s="2140"/>
      <c r="AIQ24" s="2141"/>
      <c r="AIR24" s="2141"/>
      <c r="AIS24" s="2140"/>
      <c r="AIT24" s="2141"/>
      <c r="AIU24" s="2141"/>
      <c r="AIV24" s="2140"/>
      <c r="AIW24" s="2141"/>
      <c r="AIX24" s="2141"/>
      <c r="AIY24" s="2140"/>
      <c r="AIZ24" s="2141"/>
      <c r="AJA24" s="2141"/>
      <c r="AJB24" s="2140"/>
      <c r="AJC24" s="2141"/>
      <c r="AJD24" s="2141"/>
      <c r="AJE24" s="2140"/>
      <c r="AJF24" s="2141"/>
      <c r="AJG24" s="2141"/>
      <c r="AJH24" s="2140"/>
      <c r="AJI24" s="2141"/>
      <c r="AJJ24" s="2141"/>
      <c r="AJK24" s="2140"/>
      <c r="AJL24" s="2141"/>
      <c r="AJM24" s="2141"/>
      <c r="AJN24" s="2140"/>
      <c r="AJO24" s="2141"/>
      <c r="AJP24" s="2141"/>
      <c r="AJQ24" s="2140"/>
      <c r="AJR24" s="2141"/>
      <c r="AJS24" s="2141"/>
      <c r="AJT24" s="2140"/>
      <c r="AJU24" s="2141"/>
      <c r="AJV24" s="2141"/>
      <c r="AJW24" s="2140"/>
      <c r="AJX24" s="2141"/>
      <c r="AJY24" s="2141"/>
      <c r="AJZ24" s="2140"/>
      <c r="AKA24" s="2141"/>
      <c r="AKB24" s="2141"/>
      <c r="AKC24" s="2140"/>
      <c r="AKD24" s="2141"/>
      <c r="AKE24" s="2141"/>
      <c r="AKF24" s="2140"/>
      <c r="AKG24" s="2141"/>
      <c r="AKH24" s="2141"/>
      <c r="AKI24" s="2140"/>
      <c r="AKJ24" s="2141"/>
      <c r="AKK24" s="2141"/>
      <c r="AKL24" s="2140"/>
      <c r="AKM24" s="2141"/>
      <c r="AKN24" s="2141"/>
      <c r="AKO24" s="2140"/>
      <c r="AKP24" s="2141"/>
      <c r="AKQ24" s="2141"/>
      <c r="AKR24" s="2140"/>
      <c r="AKS24" s="2141"/>
      <c r="AKT24" s="2141"/>
      <c r="AKU24" s="2140"/>
      <c r="AKV24" s="2141"/>
      <c r="AKW24" s="2141"/>
      <c r="AKX24" s="2140"/>
      <c r="AKY24" s="2141"/>
      <c r="AKZ24" s="2141"/>
      <c r="ALA24" s="2140"/>
      <c r="ALB24" s="2141"/>
      <c r="ALC24" s="2141"/>
      <c r="ALD24" s="2140"/>
      <c r="ALE24" s="2141"/>
      <c r="ALF24" s="2141"/>
      <c r="ALG24" s="2140"/>
      <c r="ALH24" s="2141"/>
      <c r="ALI24" s="2141"/>
      <c r="ALJ24" s="2140"/>
      <c r="ALK24" s="2141"/>
      <c r="ALL24" s="2141"/>
      <c r="ALM24" s="2140"/>
      <c r="ALN24" s="2141"/>
      <c r="ALO24" s="2141"/>
      <c r="ALP24" s="2140"/>
      <c r="ALQ24" s="2141"/>
      <c r="ALR24" s="2141"/>
      <c r="ALS24" s="2140"/>
      <c r="ALT24" s="2141"/>
      <c r="ALU24" s="2141"/>
      <c r="ALV24" s="2140"/>
      <c r="ALW24" s="2141"/>
      <c r="ALX24" s="2141"/>
      <c r="ALY24" s="2140"/>
      <c r="ALZ24" s="2141"/>
      <c r="AMA24" s="2141"/>
      <c r="AMB24" s="2140"/>
      <c r="AMC24" s="2141"/>
      <c r="AMD24" s="2141"/>
      <c r="AME24" s="2140"/>
      <c r="AMF24" s="2141"/>
      <c r="AMG24" s="2141"/>
      <c r="AMH24" s="2140"/>
      <c r="AMI24" s="2141"/>
      <c r="AMJ24" s="2141"/>
      <c r="AMK24" s="2140"/>
      <c r="AML24" s="2141"/>
      <c r="AMM24" s="2141"/>
      <c r="AMN24" s="2140"/>
      <c r="AMO24" s="2141"/>
      <c r="AMP24" s="2141"/>
      <c r="AMQ24" s="2140"/>
      <c r="AMR24" s="2141"/>
      <c r="AMS24" s="2141"/>
      <c r="AMT24" s="2140"/>
      <c r="AMU24" s="2141"/>
      <c r="AMV24" s="2141"/>
      <c r="AMW24" s="2140"/>
      <c r="AMX24" s="2141"/>
      <c r="AMY24" s="2141"/>
      <c r="AMZ24" s="2140"/>
      <c r="ANA24" s="2141"/>
      <c r="ANB24" s="2141"/>
      <c r="ANC24" s="2140"/>
      <c r="AND24" s="2141"/>
      <c r="ANE24" s="2141"/>
      <c r="ANF24" s="2140"/>
      <c r="ANG24" s="2141"/>
      <c r="ANH24" s="2141"/>
      <c r="ANI24" s="2140"/>
      <c r="ANJ24" s="2141"/>
      <c r="ANK24" s="2141"/>
      <c r="ANL24" s="2140"/>
      <c r="ANM24" s="2141"/>
      <c r="ANN24" s="2141"/>
      <c r="ANO24" s="2140"/>
      <c r="ANP24" s="2141"/>
      <c r="ANQ24" s="2141"/>
      <c r="ANR24" s="2140"/>
      <c r="ANS24" s="2141"/>
      <c r="ANT24" s="2141"/>
      <c r="ANU24" s="2140"/>
      <c r="ANV24" s="2141"/>
      <c r="ANW24" s="2141"/>
      <c r="ANX24" s="2140"/>
      <c r="ANY24" s="2141"/>
      <c r="ANZ24" s="2141"/>
      <c r="AOA24" s="2140"/>
      <c r="AOB24" s="2141"/>
      <c r="AOC24" s="2141"/>
      <c r="AOD24" s="2140"/>
      <c r="AOE24" s="2141"/>
      <c r="AOF24" s="2141"/>
      <c r="AOG24" s="2140"/>
      <c r="AOH24" s="2141"/>
      <c r="AOI24" s="2141"/>
      <c r="AOJ24" s="2140"/>
      <c r="AOK24" s="2141"/>
      <c r="AOL24" s="2141"/>
      <c r="AOM24" s="2140"/>
      <c r="AON24" s="2141"/>
      <c r="AOO24" s="2141"/>
      <c r="AOP24" s="2140"/>
      <c r="AOQ24" s="2141"/>
      <c r="AOR24" s="2141"/>
      <c r="AOS24" s="2140"/>
      <c r="AOT24" s="2141"/>
      <c r="AOU24" s="2141"/>
      <c r="AOV24" s="2140"/>
      <c r="AOW24" s="2141"/>
      <c r="AOX24" s="2141"/>
      <c r="AOY24" s="2140"/>
      <c r="AOZ24" s="2141"/>
      <c r="APA24" s="2141"/>
      <c r="APB24" s="2140"/>
      <c r="APC24" s="2141"/>
      <c r="APD24" s="2141"/>
      <c r="APE24" s="2140"/>
      <c r="APF24" s="2141"/>
      <c r="APG24" s="2141"/>
      <c r="APH24" s="2140"/>
      <c r="API24" s="2141"/>
      <c r="APJ24" s="2141"/>
      <c r="APK24" s="2140"/>
      <c r="APL24" s="2141"/>
      <c r="APM24" s="2141"/>
      <c r="APN24" s="2140"/>
      <c r="APO24" s="2141"/>
      <c r="APP24" s="2141"/>
      <c r="APQ24" s="2140"/>
      <c r="APR24" s="2141"/>
      <c r="APS24" s="2141"/>
      <c r="APT24" s="2140"/>
      <c r="APU24" s="2141"/>
      <c r="APV24" s="2141"/>
      <c r="APW24" s="2140"/>
      <c r="APX24" s="2141"/>
      <c r="APY24" s="2141"/>
      <c r="APZ24" s="2140"/>
      <c r="AQA24" s="2141"/>
      <c r="AQB24" s="2141"/>
      <c r="AQC24" s="2140"/>
      <c r="AQD24" s="2141"/>
      <c r="AQE24" s="2141"/>
      <c r="AQF24" s="2140"/>
      <c r="AQG24" s="2141"/>
      <c r="AQH24" s="2141"/>
      <c r="AQI24" s="2140"/>
      <c r="AQJ24" s="2141"/>
      <c r="AQK24" s="2141"/>
      <c r="AQL24" s="2140"/>
      <c r="AQM24" s="2141"/>
      <c r="AQN24" s="2141"/>
      <c r="AQO24" s="2140"/>
      <c r="AQP24" s="2141"/>
      <c r="AQQ24" s="2141"/>
      <c r="AQR24" s="2140"/>
      <c r="AQS24" s="2141"/>
      <c r="AQT24" s="2141"/>
      <c r="AQU24" s="2140"/>
      <c r="AQV24" s="2141"/>
      <c r="AQW24" s="2141"/>
      <c r="AQX24" s="2140"/>
      <c r="AQY24" s="2141"/>
      <c r="AQZ24" s="2141"/>
      <c r="ARA24" s="2140"/>
      <c r="ARB24" s="2141"/>
      <c r="ARC24" s="2141"/>
      <c r="ARD24" s="2140"/>
      <c r="ARE24" s="2141"/>
      <c r="ARF24" s="2141"/>
      <c r="ARG24" s="2140"/>
      <c r="ARH24" s="2141"/>
      <c r="ARI24" s="2141"/>
      <c r="ARJ24" s="2140"/>
      <c r="ARK24" s="2141"/>
      <c r="ARL24" s="2141"/>
      <c r="ARM24" s="2140"/>
      <c r="ARN24" s="2141"/>
      <c r="ARO24" s="2141"/>
      <c r="ARP24" s="2140"/>
      <c r="ARQ24" s="2141"/>
      <c r="ARR24" s="2141"/>
      <c r="ARS24" s="2140"/>
      <c r="ART24" s="2141"/>
      <c r="ARU24" s="2141"/>
      <c r="ARV24" s="2140"/>
      <c r="ARW24" s="2141"/>
      <c r="ARX24" s="2141"/>
      <c r="ARY24" s="2140"/>
      <c r="ARZ24" s="2141"/>
      <c r="ASA24" s="2141"/>
      <c r="ASB24" s="2140"/>
      <c r="ASC24" s="2141"/>
      <c r="ASD24" s="2141"/>
      <c r="ASE24" s="2140"/>
      <c r="ASF24" s="2141"/>
      <c r="ASG24" s="2141"/>
      <c r="ASH24" s="2140"/>
      <c r="ASI24" s="2141"/>
      <c r="ASJ24" s="2141"/>
      <c r="ASK24" s="2140"/>
      <c r="ASL24" s="2141"/>
      <c r="ASM24" s="2141"/>
      <c r="ASN24" s="2140"/>
      <c r="ASO24" s="2141"/>
      <c r="ASP24" s="2141"/>
      <c r="ASQ24" s="2140"/>
      <c r="ASR24" s="2141"/>
      <c r="ASS24" s="2141"/>
      <c r="AST24" s="2140"/>
      <c r="ASU24" s="2141"/>
      <c r="ASV24" s="2141"/>
      <c r="ASW24" s="2140"/>
      <c r="ASX24" s="2141"/>
      <c r="ASY24" s="2141"/>
      <c r="ASZ24" s="2140"/>
      <c r="ATA24" s="2141"/>
      <c r="ATB24" s="2141"/>
      <c r="ATC24" s="2140"/>
      <c r="ATD24" s="2141"/>
      <c r="ATE24" s="2141"/>
      <c r="ATF24" s="2140"/>
      <c r="ATG24" s="2141"/>
      <c r="ATH24" s="2141"/>
      <c r="ATI24" s="2140"/>
      <c r="ATJ24" s="2141"/>
      <c r="ATK24" s="2141"/>
      <c r="ATL24" s="2140"/>
      <c r="ATM24" s="2141"/>
      <c r="ATN24" s="2141"/>
      <c r="ATO24" s="2140"/>
      <c r="ATP24" s="2141"/>
      <c r="ATQ24" s="2141"/>
      <c r="ATR24" s="2140"/>
      <c r="ATS24" s="2141"/>
      <c r="ATT24" s="2141"/>
      <c r="ATU24" s="2140"/>
      <c r="ATV24" s="2141"/>
      <c r="ATW24" s="2141"/>
      <c r="ATX24" s="2140"/>
      <c r="ATY24" s="2141"/>
      <c r="ATZ24" s="2141"/>
      <c r="AUA24" s="2140"/>
      <c r="AUB24" s="2141"/>
      <c r="AUC24" s="2141"/>
      <c r="AUD24" s="2140"/>
      <c r="AUE24" s="2141"/>
      <c r="AUF24" s="2141"/>
      <c r="AUG24" s="2140"/>
      <c r="AUH24" s="2141"/>
      <c r="AUI24" s="2141"/>
      <c r="AUJ24" s="2140"/>
      <c r="AUK24" s="2141"/>
      <c r="AUL24" s="2141"/>
      <c r="AUM24" s="2140"/>
      <c r="AUN24" s="2141"/>
      <c r="AUO24" s="2141"/>
      <c r="AUP24" s="2140"/>
      <c r="AUQ24" s="2141"/>
      <c r="AUR24" s="2141"/>
      <c r="AUS24" s="2140"/>
      <c r="AUT24" s="2141"/>
      <c r="AUU24" s="2141"/>
      <c r="AUV24" s="2140"/>
      <c r="AUW24" s="2141"/>
      <c r="AUX24" s="2141"/>
      <c r="AUY24" s="2140"/>
      <c r="AUZ24" s="2141"/>
      <c r="AVA24" s="2141"/>
      <c r="AVB24" s="2140"/>
      <c r="AVC24" s="2141"/>
      <c r="AVD24" s="2141"/>
      <c r="AVE24" s="2140"/>
      <c r="AVF24" s="2141"/>
      <c r="AVG24" s="2141"/>
      <c r="AVH24" s="2140"/>
      <c r="AVI24" s="2141"/>
      <c r="AVJ24" s="2141"/>
      <c r="AVK24" s="2140"/>
      <c r="AVL24" s="2141"/>
      <c r="AVM24" s="2141"/>
      <c r="AVN24" s="2140"/>
      <c r="AVO24" s="2141"/>
      <c r="AVP24" s="2141"/>
      <c r="AVQ24" s="2140"/>
      <c r="AVR24" s="2141"/>
      <c r="AVS24" s="2141"/>
      <c r="AVT24" s="2140"/>
      <c r="AVU24" s="2141"/>
      <c r="AVV24" s="2141"/>
      <c r="AVW24" s="2140"/>
      <c r="AVX24" s="2141"/>
      <c r="AVY24" s="2141"/>
      <c r="AVZ24" s="2140"/>
      <c r="AWA24" s="2141"/>
      <c r="AWB24" s="2141"/>
      <c r="AWC24" s="2140"/>
      <c r="AWD24" s="2141"/>
      <c r="AWE24" s="2141"/>
      <c r="AWF24" s="2140"/>
      <c r="AWG24" s="2141"/>
      <c r="AWH24" s="2141"/>
      <c r="AWI24" s="2140"/>
      <c r="AWJ24" s="2141"/>
      <c r="AWK24" s="2141"/>
      <c r="AWL24" s="2140"/>
      <c r="AWM24" s="2141"/>
      <c r="AWN24" s="2141"/>
      <c r="AWO24" s="2140"/>
      <c r="AWP24" s="2141"/>
      <c r="AWQ24" s="2141"/>
      <c r="AWR24" s="2140"/>
      <c r="AWS24" s="2141"/>
      <c r="AWT24" s="2141"/>
      <c r="AWU24" s="2140"/>
      <c r="AWV24" s="2141"/>
      <c r="AWW24" s="2141"/>
      <c r="AWX24" s="2140"/>
      <c r="AWY24" s="2141"/>
      <c r="AWZ24" s="2141"/>
      <c r="AXA24" s="2140"/>
      <c r="AXB24" s="2141"/>
      <c r="AXC24" s="2141"/>
      <c r="AXD24" s="2140"/>
      <c r="AXE24" s="2141"/>
      <c r="AXF24" s="2141"/>
      <c r="AXG24" s="2140"/>
      <c r="AXH24" s="2141"/>
      <c r="AXI24" s="2141"/>
      <c r="AXJ24" s="2140"/>
      <c r="AXK24" s="2141"/>
      <c r="AXL24" s="2141"/>
      <c r="AXM24" s="2140"/>
      <c r="AXN24" s="2141"/>
      <c r="AXO24" s="2141"/>
      <c r="AXP24" s="2140"/>
      <c r="AXQ24" s="2141"/>
      <c r="AXR24" s="2141"/>
      <c r="AXS24" s="2140"/>
      <c r="AXT24" s="2141"/>
      <c r="AXU24" s="2141"/>
      <c r="AXV24" s="2140"/>
      <c r="AXW24" s="2141"/>
      <c r="AXX24" s="2141"/>
      <c r="AXY24" s="2140"/>
      <c r="AXZ24" s="2141"/>
      <c r="AYA24" s="2141"/>
      <c r="AYB24" s="2140"/>
      <c r="AYC24" s="2141"/>
      <c r="AYD24" s="2141"/>
      <c r="AYE24" s="2140"/>
      <c r="AYF24" s="2141"/>
      <c r="AYG24" s="2141"/>
      <c r="AYH24" s="2140"/>
      <c r="AYI24" s="2141"/>
      <c r="AYJ24" s="2141"/>
      <c r="AYK24" s="2140"/>
      <c r="AYL24" s="2141"/>
      <c r="AYM24" s="2141"/>
      <c r="AYN24" s="2140"/>
      <c r="AYO24" s="2141"/>
      <c r="AYP24" s="2141"/>
      <c r="AYQ24" s="2140"/>
      <c r="AYR24" s="2141"/>
      <c r="AYS24" s="2141"/>
      <c r="AYT24" s="2140"/>
      <c r="AYU24" s="2141"/>
      <c r="AYV24" s="2141"/>
      <c r="AYW24" s="2140"/>
      <c r="AYX24" s="2141"/>
      <c r="AYY24" s="2141"/>
      <c r="AYZ24" s="2140"/>
      <c r="AZA24" s="2141"/>
      <c r="AZB24" s="2141"/>
      <c r="AZC24" s="2140"/>
      <c r="AZD24" s="2141"/>
      <c r="AZE24" s="2141"/>
      <c r="AZF24" s="2140"/>
      <c r="AZG24" s="2141"/>
      <c r="AZH24" s="2141"/>
      <c r="AZI24" s="2140"/>
      <c r="AZJ24" s="2141"/>
      <c r="AZK24" s="2141"/>
      <c r="AZL24" s="2140"/>
      <c r="AZM24" s="2141"/>
      <c r="AZN24" s="2141"/>
      <c r="AZO24" s="2140"/>
      <c r="AZP24" s="2141"/>
      <c r="AZQ24" s="2141"/>
      <c r="AZR24" s="2140"/>
      <c r="AZS24" s="2141"/>
      <c r="AZT24" s="2141"/>
      <c r="AZU24" s="2140"/>
      <c r="AZV24" s="2141"/>
      <c r="AZW24" s="2141"/>
      <c r="AZX24" s="2140"/>
      <c r="AZY24" s="2141"/>
      <c r="AZZ24" s="2141"/>
      <c r="BAA24" s="2140"/>
      <c r="BAB24" s="2141"/>
      <c r="BAC24" s="2141"/>
      <c r="BAD24" s="2140"/>
      <c r="BAE24" s="2141"/>
      <c r="BAF24" s="2141"/>
      <c r="BAG24" s="2140"/>
      <c r="BAH24" s="2141"/>
      <c r="BAI24" s="2141"/>
      <c r="BAJ24" s="2140"/>
      <c r="BAK24" s="2141"/>
      <c r="BAL24" s="2141"/>
      <c r="BAM24" s="2140"/>
      <c r="BAN24" s="2141"/>
      <c r="BAO24" s="2141"/>
      <c r="BAP24" s="2140"/>
      <c r="BAQ24" s="2141"/>
      <c r="BAR24" s="2141"/>
      <c r="BAS24" s="2140"/>
      <c r="BAT24" s="2141"/>
      <c r="BAU24" s="2141"/>
      <c r="BAV24" s="2140"/>
      <c r="BAW24" s="2141"/>
      <c r="BAX24" s="2141"/>
      <c r="BAY24" s="2140"/>
      <c r="BAZ24" s="2141"/>
      <c r="BBA24" s="2141"/>
      <c r="BBB24" s="2140"/>
      <c r="BBC24" s="2141"/>
      <c r="BBD24" s="2141"/>
      <c r="BBE24" s="2140"/>
      <c r="BBF24" s="2141"/>
      <c r="BBG24" s="2141"/>
      <c r="BBH24" s="2140"/>
      <c r="BBI24" s="2141"/>
      <c r="BBJ24" s="2141"/>
      <c r="BBK24" s="2140"/>
      <c r="BBL24" s="2141"/>
      <c r="BBM24" s="2141"/>
      <c r="BBN24" s="2140"/>
      <c r="BBO24" s="2141"/>
      <c r="BBP24" s="2141"/>
      <c r="BBQ24" s="2140"/>
      <c r="BBR24" s="2141"/>
      <c r="BBS24" s="2141"/>
      <c r="BBT24" s="2140"/>
      <c r="BBU24" s="2141"/>
      <c r="BBV24" s="2141"/>
      <c r="BBW24" s="2140"/>
      <c r="BBX24" s="2141"/>
      <c r="BBY24" s="2141"/>
      <c r="BBZ24" s="2140"/>
      <c r="BCA24" s="2141"/>
      <c r="BCB24" s="2141"/>
      <c r="BCC24" s="2140"/>
      <c r="BCD24" s="2141"/>
      <c r="BCE24" s="2141"/>
      <c r="BCF24" s="2140"/>
      <c r="BCG24" s="2141"/>
      <c r="BCH24" s="2141"/>
      <c r="BCI24" s="2140"/>
      <c r="BCJ24" s="2141"/>
      <c r="BCK24" s="2141"/>
      <c r="BCL24" s="2140"/>
      <c r="BCM24" s="2141"/>
      <c r="BCN24" s="2141"/>
      <c r="BCO24" s="2140"/>
      <c r="BCP24" s="2141"/>
      <c r="BCQ24" s="2141"/>
      <c r="BCR24" s="2140"/>
      <c r="BCS24" s="2141"/>
      <c r="BCT24" s="2141"/>
      <c r="BCU24" s="2140"/>
      <c r="BCV24" s="2141"/>
      <c r="BCW24" s="2141"/>
      <c r="BCX24" s="2140"/>
      <c r="BCY24" s="2141"/>
      <c r="BCZ24" s="2141"/>
      <c r="BDA24" s="2140"/>
      <c r="BDB24" s="2141"/>
      <c r="BDC24" s="2141"/>
      <c r="BDD24" s="2140"/>
      <c r="BDE24" s="2141"/>
      <c r="BDF24" s="2141"/>
      <c r="BDG24" s="2140"/>
      <c r="BDH24" s="2141"/>
      <c r="BDI24" s="2141"/>
      <c r="BDJ24" s="2140"/>
      <c r="BDK24" s="2141"/>
      <c r="BDL24" s="2141"/>
      <c r="BDM24" s="2140"/>
      <c r="BDN24" s="2141"/>
      <c r="BDO24" s="2141"/>
      <c r="BDP24" s="2140"/>
      <c r="BDQ24" s="2141"/>
      <c r="BDR24" s="2141"/>
      <c r="BDS24" s="2140"/>
      <c r="BDT24" s="2141"/>
      <c r="BDU24" s="2141"/>
      <c r="BDV24" s="2140"/>
      <c r="BDW24" s="2141"/>
      <c r="BDX24" s="2141"/>
      <c r="BDY24" s="2140"/>
      <c r="BDZ24" s="2141"/>
      <c r="BEA24" s="2141"/>
      <c r="BEB24" s="2140"/>
      <c r="BEC24" s="2141"/>
      <c r="BED24" s="2141"/>
      <c r="BEE24" s="2140"/>
      <c r="BEF24" s="2141"/>
      <c r="BEG24" s="2141"/>
      <c r="BEH24" s="2140"/>
      <c r="BEI24" s="2141"/>
      <c r="BEJ24" s="2141"/>
      <c r="BEK24" s="2140"/>
      <c r="BEL24" s="2141"/>
      <c r="BEM24" s="2141"/>
      <c r="BEN24" s="2140"/>
      <c r="BEO24" s="2141"/>
      <c r="BEP24" s="2141"/>
      <c r="BEQ24" s="2140"/>
      <c r="BER24" s="2141"/>
      <c r="BES24" s="2141"/>
      <c r="BET24" s="2140"/>
      <c r="BEU24" s="2141"/>
      <c r="BEV24" s="2141"/>
      <c r="BEW24" s="2140"/>
      <c r="BEX24" s="2141"/>
      <c r="BEY24" s="2141"/>
      <c r="BEZ24" s="2140"/>
      <c r="BFA24" s="2141"/>
      <c r="BFB24" s="2141"/>
      <c r="BFC24" s="2140"/>
      <c r="BFD24" s="2141"/>
      <c r="BFE24" s="2141"/>
      <c r="BFF24" s="2140"/>
      <c r="BFG24" s="2141"/>
      <c r="BFH24" s="2141"/>
      <c r="BFI24" s="2140"/>
      <c r="BFJ24" s="2141"/>
      <c r="BFK24" s="2141"/>
      <c r="BFL24" s="2140"/>
      <c r="BFM24" s="2141"/>
      <c r="BFN24" s="2141"/>
      <c r="BFO24" s="2140"/>
      <c r="BFP24" s="2141"/>
      <c r="BFQ24" s="2141"/>
      <c r="BFR24" s="2140"/>
      <c r="BFS24" s="2141"/>
      <c r="BFT24" s="2141"/>
      <c r="BFU24" s="2140"/>
      <c r="BFV24" s="2141"/>
      <c r="BFW24" s="2141"/>
      <c r="BFX24" s="2140"/>
      <c r="BFY24" s="2141"/>
      <c r="BFZ24" s="2141"/>
      <c r="BGA24" s="2140"/>
      <c r="BGB24" s="2141"/>
      <c r="BGC24" s="2141"/>
      <c r="BGD24" s="2140"/>
      <c r="BGE24" s="2141"/>
      <c r="BGF24" s="2141"/>
      <c r="BGG24" s="2140"/>
      <c r="BGH24" s="2141"/>
      <c r="BGI24" s="2141"/>
      <c r="BGJ24" s="2140"/>
      <c r="BGK24" s="2141"/>
      <c r="BGL24" s="2141"/>
      <c r="BGM24" s="2140"/>
      <c r="BGN24" s="2141"/>
      <c r="BGO24" s="2141"/>
      <c r="BGP24" s="2140"/>
      <c r="BGQ24" s="2141"/>
      <c r="BGR24" s="2141"/>
      <c r="BGS24" s="2140"/>
      <c r="BGT24" s="2141"/>
      <c r="BGU24" s="2141"/>
      <c r="BGV24" s="2140"/>
      <c r="BGW24" s="2141"/>
      <c r="BGX24" s="2141"/>
      <c r="BGY24" s="2140"/>
      <c r="BGZ24" s="2141"/>
      <c r="BHA24" s="2141"/>
      <c r="BHB24" s="2140"/>
      <c r="BHC24" s="2141"/>
      <c r="BHD24" s="2141"/>
      <c r="BHE24" s="2140"/>
      <c r="BHF24" s="2141"/>
      <c r="BHG24" s="2141"/>
      <c r="BHH24" s="2140"/>
      <c r="BHI24" s="2141"/>
      <c r="BHJ24" s="2141"/>
      <c r="BHK24" s="2140"/>
      <c r="BHL24" s="2141"/>
      <c r="BHM24" s="2141"/>
      <c r="BHN24" s="2140"/>
      <c r="BHO24" s="2141"/>
      <c r="BHP24" s="2141"/>
      <c r="BHQ24" s="2140"/>
      <c r="BHR24" s="2141"/>
      <c r="BHS24" s="2141"/>
      <c r="BHT24" s="2140"/>
      <c r="BHU24" s="2141"/>
      <c r="BHV24" s="2141"/>
      <c r="BHW24" s="2140"/>
      <c r="BHX24" s="2141"/>
      <c r="BHY24" s="2141"/>
      <c r="BHZ24" s="2140"/>
      <c r="BIA24" s="2141"/>
      <c r="BIB24" s="2141"/>
      <c r="BIC24" s="2140"/>
      <c r="BID24" s="2141"/>
      <c r="BIE24" s="2141"/>
      <c r="BIF24" s="2140"/>
      <c r="BIG24" s="2141"/>
      <c r="BIH24" s="2141"/>
      <c r="BII24" s="2140"/>
      <c r="BIJ24" s="2141"/>
      <c r="BIK24" s="2141"/>
      <c r="BIL24" s="2140"/>
      <c r="BIM24" s="2141"/>
      <c r="BIN24" s="2141"/>
      <c r="BIO24" s="2140"/>
      <c r="BIP24" s="2141"/>
      <c r="BIQ24" s="2141"/>
      <c r="BIR24" s="2140"/>
      <c r="BIS24" s="2141"/>
      <c r="BIT24" s="2141"/>
      <c r="BIU24" s="2140"/>
      <c r="BIV24" s="2141"/>
      <c r="BIW24" s="2141"/>
      <c r="BIX24" s="2140"/>
      <c r="BIY24" s="2141"/>
      <c r="BIZ24" s="2141"/>
      <c r="BJA24" s="2140"/>
      <c r="BJB24" s="2141"/>
      <c r="BJC24" s="2141"/>
      <c r="BJD24" s="2140"/>
      <c r="BJE24" s="2141"/>
      <c r="BJF24" s="2141"/>
      <c r="BJG24" s="2140"/>
      <c r="BJH24" s="2141"/>
      <c r="BJI24" s="2141"/>
      <c r="BJJ24" s="2140"/>
      <c r="BJK24" s="2141"/>
      <c r="BJL24" s="2141"/>
      <c r="BJM24" s="2140"/>
      <c r="BJN24" s="2141"/>
      <c r="BJO24" s="2141"/>
      <c r="BJP24" s="2140"/>
      <c r="BJQ24" s="2141"/>
      <c r="BJR24" s="2141"/>
      <c r="BJS24" s="2140"/>
      <c r="BJT24" s="2141"/>
      <c r="BJU24" s="2141"/>
      <c r="BJV24" s="2140"/>
      <c r="BJW24" s="2141"/>
      <c r="BJX24" s="2141"/>
      <c r="BJY24" s="2140"/>
      <c r="BJZ24" s="2141"/>
      <c r="BKA24" s="2141"/>
      <c r="BKB24" s="2140"/>
      <c r="BKC24" s="2141"/>
      <c r="BKD24" s="2141"/>
      <c r="BKE24" s="2140"/>
      <c r="BKF24" s="2141"/>
      <c r="BKG24" s="2141"/>
      <c r="BKH24" s="2140"/>
      <c r="BKI24" s="2141"/>
      <c r="BKJ24" s="2141"/>
      <c r="BKK24" s="2140"/>
      <c r="BKL24" s="2141"/>
      <c r="BKM24" s="2141"/>
      <c r="BKN24" s="2140"/>
      <c r="BKO24" s="2141"/>
      <c r="BKP24" s="2141"/>
      <c r="BKQ24" s="2140"/>
      <c r="BKR24" s="2141"/>
      <c r="BKS24" s="2141"/>
      <c r="BKT24" s="2140"/>
      <c r="BKU24" s="2141"/>
      <c r="BKV24" s="2141"/>
      <c r="BKW24" s="2140"/>
      <c r="BKX24" s="2141"/>
      <c r="BKY24" s="2141"/>
      <c r="BKZ24" s="2140"/>
      <c r="BLA24" s="2141"/>
      <c r="BLB24" s="2141"/>
      <c r="BLC24" s="2140"/>
      <c r="BLD24" s="2141"/>
      <c r="BLE24" s="2141"/>
      <c r="BLF24" s="2140"/>
      <c r="BLG24" s="2141"/>
      <c r="BLH24" s="2141"/>
      <c r="BLI24" s="2140"/>
      <c r="BLJ24" s="2141"/>
      <c r="BLK24" s="2141"/>
      <c r="BLL24" s="2140"/>
      <c r="BLM24" s="2141"/>
      <c r="BLN24" s="2141"/>
      <c r="BLO24" s="2140"/>
      <c r="BLP24" s="2141"/>
      <c r="BLQ24" s="2141"/>
      <c r="BLR24" s="2140"/>
      <c r="BLS24" s="2141"/>
      <c r="BLT24" s="2141"/>
      <c r="BLU24" s="2140"/>
      <c r="BLV24" s="2141"/>
      <c r="BLW24" s="2141"/>
      <c r="BLX24" s="2140"/>
      <c r="BLY24" s="2141"/>
      <c r="BLZ24" s="2141"/>
      <c r="BMA24" s="2140"/>
      <c r="BMB24" s="2141"/>
      <c r="BMC24" s="2141"/>
      <c r="BMD24" s="2140"/>
      <c r="BME24" s="2141"/>
      <c r="BMF24" s="2141"/>
      <c r="BMG24" s="2140"/>
      <c r="BMH24" s="2141"/>
      <c r="BMI24" s="2141"/>
      <c r="BMJ24" s="2140"/>
      <c r="BMK24" s="2141"/>
      <c r="BML24" s="2141"/>
      <c r="BMM24" s="2140"/>
      <c r="BMN24" s="2141"/>
      <c r="BMO24" s="2141"/>
      <c r="BMP24" s="2140"/>
      <c r="BMQ24" s="2141"/>
      <c r="BMR24" s="2141"/>
      <c r="BMS24" s="2140"/>
      <c r="BMT24" s="2141"/>
      <c r="BMU24" s="2141"/>
      <c r="BMV24" s="2140"/>
      <c r="BMW24" s="2141"/>
      <c r="BMX24" s="2141"/>
      <c r="BMY24" s="2140"/>
      <c r="BMZ24" s="2141"/>
      <c r="BNA24" s="2141"/>
      <c r="BNB24" s="2140"/>
      <c r="BNC24" s="2141"/>
      <c r="BND24" s="2141"/>
      <c r="BNE24" s="2140"/>
      <c r="BNF24" s="2141"/>
      <c r="BNG24" s="2141"/>
      <c r="BNH24" s="2140"/>
      <c r="BNI24" s="2141"/>
      <c r="BNJ24" s="2141"/>
      <c r="BNK24" s="2140"/>
      <c r="BNL24" s="2141"/>
      <c r="BNM24" s="2141"/>
      <c r="BNN24" s="2140"/>
      <c r="BNO24" s="2141"/>
      <c r="BNP24" s="2141"/>
      <c r="BNQ24" s="2140"/>
      <c r="BNR24" s="2141"/>
      <c r="BNS24" s="2141"/>
      <c r="BNT24" s="2140"/>
      <c r="BNU24" s="2141"/>
      <c r="BNV24" s="2141"/>
      <c r="BNW24" s="2140"/>
      <c r="BNX24" s="2141"/>
      <c r="BNY24" s="2141"/>
      <c r="BNZ24" s="2140"/>
      <c r="BOA24" s="2141"/>
      <c r="BOB24" s="2141"/>
      <c r="BOC24" s="2140"/>
      <c r="BOD24" s="2141"/>
      <c r="BOE24" s="2141"/>
      <c r="BOF24" s="2140"/>
      <c r="BOG24" s="2141"/>
      <c r="BOH24" s="2141"/>
      <c r="BOI24" s="2140"/>
      <c r="BOJ24" s="2141"/>
      <c r="BOK24" s="2141"/>
      <c r="BOL24" s="2140"/>
      <c r="BOM24" s="2141"/>
      <c r="BON24" s="2141"/>
      <c r="BOO24" s="2140"/>
      <c r="BOP24" s="2141"/>
      <c r="BOQ24" s="2141"/>
      <c r="BOR24" s="2140"/>
      <c r="BOS24" s="2141"/>
      <c r="BOT24" s="2141"/>
      <c r="BOU24" s="2140"/>
      <c r="BOV24" s="2141"/>
      <c r="BOW24" s="2141"/>
      <c r="BOX24" s="2140"/>
      <c r="BOY24" s="2141"/>
      <c r="BOZ24" s="2141"/>
      <c r="BPA24" s="2140"/>
      <c r="BPB24" s="2141"/>
      <c r="BPC24" s="2141"/>
      <c r="BPD24" s="2140"/>
      <c r="BPE24" s="2141"/>
      <c r="BPF24" s="2141"/>
      <c r="BPG24" s="2140"/>
      <c r="BPH24" s="2141"/>
      <c r="BPI24" s="2141"/>
      <c r="BPJ24" s="2140"/>
      <c r="BPK24" s="2141"/>
      <c r="BPL24" s="2141"/>
      <c r="BPM24" s="2140"/>
      <c r="BPN24" s="2141"/>
      <c r="BPO24" s="2141"/>
      <c r="BPP24" s="2140"/>
      <c r="BPQ24" s="2141"/>
      <c r="BPR24" s="2141"/>
      <c r="BPS24" s="2140"/>
      <c r="BPT24" s="2141"/>
      <c r="BPU24" s="2141"/>
      <c r="BPV24" s="2140"/>
      <c r="BPW24" s="2141"/>
      <c r="BPX24" s="2141"/>
      <c r="BPY24" s="2140"/>
      <c r="BPZ24" s="2141"/>
      <c r="BQA24" s="2141"/>
      <c r="BQB24" s="2140"/>
      <c r="BQC24" s="2141"/>
      <c r="BQD24" s="2141"/>
      <c r="BQE24" s="2140"/>
      <c r="BQF24" s="2141"/>
      <c r="BQG24" s="2141"/>
      <c r="BQH24" s="2140"/>
      <c r="BQI24" s="2141"/>
      <c r="BQJ24" s="2141"/>
      <c r="BQK24" s="2140"/>
      <c r="BQL24" s="2141"/>
      <c r="BQM24" s="2141"/>
      <c r="BQN24" s="2140"/>
      <c r="BQO24" s="2141"/>
      <c r="BQP24" s="2141"/>
      <c r="BQQ24" s="2140"/>
      <c r="BQR24" s="2141"/>
      <c r="BQS24" s="2141"/>
      <c r="BQT24" s="2140"/>
      <c r="BQU24" s="2141"/>
      <c r="BQV24" s="2141"/>
      <c r="BQW24" s="2140"/>
      <c r="BQX24" s="2141"/>
      <c r="BQY24" s="2141"/>
      <c r="BQZ24" s="2140"/>
      <c r="BRA24" s="2141"/>
      <c r="BRB24" s="2141"/>
      <c r="BRC24" s="2140"/>
      <c r="BRD24" s="2141"/>
      <c r="BRE24" s="2141"/>
      <c r="BRF24" s="2140"/>
      <c r="BRG24" s="2141"/>
      <c r="BRH24" s="2141"/>
      <c r="BRI24" s="2140"/>
      <c r="BRJ24" s="2141"/>
      <c r="BRK24" s="2141"/>
      <c r="BRL24" s="2140"/>
      <c r="BRM24" s="2141"/>
      <c r="BRN24" s="2141"/>
      <c r="BRO24" s="2140"/>
      <c r="BRP24" s="2141"/>
      <c r="BRQ24" s="2141"/>
      <c r="BRR24" s="2140"/>
      <c r="BRS24" s="2141"/>
      <c r="BRT24" s="2141"/>
      <c r="BRU24" s="2140"/>
      <c r="BRV24" s="2141"/>
      <c r="BRW24" s="2141"/>
      <c r="BRX24" s="2140"/>
      <c r="BRY24" s="2141"/>
      <c r="BRZ24" s="2141"/>
      <c r="BSA24" s="2140"/>
      <c r="BSB24" s="2141"/>
      <c r="BSC24" s="2141"/>
      <c r="BSD24" s="2140"/>
      <c r="BSE24" s="2141"/>
      <c r="BSF24" s="2141"/>
      <c r="BSG24" s="2140"/>
      <c r="BSH24" s="2141"/>
      <c r="BSI24" s="2141"/>
      <c r="BSJ24" s="2140"/>
      <c r="BSK24" s="2141"/>
      <c r="BSL24" s="2141"/>
      <c r="BSM24" s="2140"/>
      <c r="BSN24" s="2141"/>
      <c r="BSO24" s="2141"/>
      <c r="BSP24" s="2140"/>
      <c r="BSQ24" s="2141"/>
      <c r="BSR24" s="2141"/>
      <c r="BSS24" s="2140"/>
      <c r="BST24" s="2141"/>
      <c r="BSU24" s="2141"/>
      <c r="BSV24" s="2140"/>
      <c r="BSW24" s="2141"/>
      <c r="BSX24" s="2141"/>
      <c r="BSY24" s="2140"/>
      <c r="BSZ24" s="2141"/>
      <c r="BTA24" s="2141"/>
      <c r="BTB24" s="2140"/>
      <c r="BTC24" s="2141"/>
      <c r="BTD24" s="2141"/>
      <c r="BTE24" s="2140"/>
      <c r="BTF24" s="2141"/>
      <c r="BTG24" s="2141"/>
      <c r="BTH24" s="2140"/>
      <c r="BTI24" s="2141"/>
      <c r="BTJ24" s="2141"/>
      <c r="BTK24" s="2140"/>
      <c r="BTL24" s="2141"/>
      <c r="BTM24" s="2141"/>
      <c r="BTN24" s="2140"/>
      <c r="BTO24" s="2141"/>
      <c r="BTP24" s="2141"/>
      <c r="BTQ24" s="2140"/>
      <c r="BTR24" s="2141"/>
      <c r="BTS24" s="2141"/>
      <c r="BTT24" s="2140"/>
      <c r="BTU24" s="2141"/>
      <c r="BTV24" s="2141"/>
      <c r="BTW24" s="2140"/>
      <c r="BTX24" s="2141"/>
      <c r="BTY24" s="2141"/>
      <c r="BTZ24" s="2140"/>
      <c r="BUA24" s="2141"/>
      <c r="BUB24" s="2141"/>
      <c r="BUC24" s="2140"/>
      <c r="BUD24" s="2141"/>
      <c r="BUE24" s="2141"/>
      <c r="BUF24" s="2140"/>
      <c r="BUG24" s="2141"/>
      <c r="BUH24" s="2141"/>
      <c r="BUI24" s="2140"/>
      <c r="BUJ24" s="2141"/>
      <c r="BUK24" s="2141"/>
      <c r="BUL24" s="2140"/>
      <c r="BUM24" s="2141"/>
      <c r="BUN24" s="2141"/>
      <c r="BUO24" s="2140"/>
      <c r="BUP24" s="2141"/>
      <c r="BUQ24" s="2141"/>
      <c r="BUR24" s="2140"/>
      <c r="BUS24" s="2141"/>
      <c r="BUT24" s="2141"/>
      <c r="BUU24" s="2140"/>
      <c r="BUV24" s="2141"/>
      <c r="BUW24" s="2141"/>
      <c r="BUX24" s="2140"/>
      <c r="BUY24" s="2141"/>
      <c r="BUZ24" s="2141"/>
      <c r="BVA24" s="2140"/>
      <c r="BVB24" s="2141"/>
      <c r="BVC24" s="2141"/>
      <c r="BVD24" s="2140"/>
      <c r="BVE24" s="2141"/>
      <c r="BVF24" s="2141"/>
      <c r="BVG24" s="2140"/>
      <c r="BVH24" s="2141"/>
      <c r="BVI24" s="2141"/>
      <c r="BVJ24" s="2140"/>
      <c r="BVK24" s="2141"/>
      <c r="BVL24" s="2141"/>
      <c r="BVM24" s="2140"/>
      <c r="BVN24" s="2141"/>
      <c r="BVO24" s="2141"/>
      <c r="BVP24" s="2140"/>
      <c r="BVQ24" s="2141"/>
      <c r="BVR24" s="2141"/>
      <c r="BVS24" s="2140"/>
      <c r="BVT24" s="2141"/>
      <c r="BVU24" s="2141"/>
      <c r="BVV24" s="2140"/>
      <c r="BVW24" s="2141"/>
      <c r="BVX24" s="2141"/>
      <c r="BVY24" s="2140"/>
      <c r="BVZ24" s="2141"/>
      <c r="BWA24" s="2141"/>
      <c r="BWB24" s="2140"/>
      <c r="BWC24" s="2141"/>
      <c r="BWD24" s="2141"/>
      <c r="BWE24" s="2140"/>
      <c r="BWF24" s="2141"/>
      <c r="BWG24" s="2141"/>
      <c r="BWH24" s="2140"/>
      <c r="BWI24" s="2141"/>
      <c r="BWJ24" s="2141"/>
      <c r="BWK24" s="2140"/>
      <c r="BWL24" s="2141"/>
      <c r="BWM24" s="2141"/>
      <c r="BWN24" s="2140"/>
      <c r="BWO24" s="2141"/>
      <c r="BWP24" s="2141"/>
      <c r="BWQ24" s="2140"/>
      <c r="BWR24" s="2141"/>
      <c r="BWS24" s="2141"/>
      <c r="BWT24" s="2140"/>
      <c r="BWU24" s="2141"/>
      <c r="BWV24" s="2141"/>
      <c r="BWW24" s="2140"/>
      <c r="BWX24" s="2141"/>
      <c r="BWY24" s="2141"/>
      <c r="BWZ24" s="2140"/>
      <c r="BXA24" s="2141"/>
      <c r="BXB24" s="2141"/>
      <c r="BXC24" s="2140"/>
      <c r="BXD24" s="2141"/>
      <c r="BXE24" s="2141"/>
      <c r="BXF24" s="2140"/>
      <c r="BXG24" s="2141"/>
      <c r="BXH24" s="2141"/>
      <c r="BXI24" s="2140"/>
      <c r="BXJ24" s="2141"/>
      <c r="BXK24" s="2141"/>
      <c r="BXL24" s="2140"/>
      <c r="BXM24" s="2141"/>
      <c r="BXN24" s="2141"/>
      <c r="BXO24" s="2140"/>
      <c r="BXP24" s="2141"/>
      <c r="BXQ24" s="2141"/>
      <c r="BXR24" s="2140"/>
      <c r="BXS24" s="2141"/>
      <c r="BXT24" s="2141"/>
      <c r="BXU24" s="2140"/>
      <c r="BXV24" s="2141"/>
      <c r="BXW24" s="2141"/>
      <c r="BXX24" s="2140"/>
      <c r="BXY24" s="2141"/>
      <c r="BXZ24" s="2141"/>
      <c r="BYA24" s="2140"/>
      <c r="BYB24" s="2141"/>
      <c r="BYC24" s="2141"/>
      <c r="BYD24" s="2140"/>
      <c r="BYE24" s="2141"/>
      <c r="BYF24" s="2141"/>
      <c r="BYG24" s="2140"/>
      <c r="BYH24" s="2141"/>
      <c r="BYI24" s="2141"/>
      <c r="BYJ24" s="2140"/>
      <c r="BYK24" s="2141"/>
      <c r="BYL24" s="2141"/>
      <c r="BYM24" s="2140"/>
      <c r="BYN24" s="2141"/>
      <c r="BYO24" s="2141"/>
      <c r="BYP24" s="2140"/>
      <c r="BYQ24" s="2141"/>
      <c r="BYR24" s="2141"/>
      <c r="BYS24" s="2140"/>
      <c r="BYT24" s="2141"/>
      <c r="BYU24" s="2141"/>
      <c r="BYV24" s="2140"/>
      <c r="BYW24" s="2141"/>
      <c r="BYX24" s="2141"/>
      <c r="BYY24" s="2140"/>
      <c r="BYZ24" s="2141"/>
      <c r="BZA24" s="2141"/>
      <c r="BZB24" s="2140"/>
      <c r="BZC24" s="2141"/>
      <c r="BZD24" s="2141"/>
      <c r="BZE24" s="2140"/>
      <c r="BZF24" s="2141"/>
      <c r="BZG24" s="2141"/>
      <c r="BZH24" s="2140"/>
      <c r="BZI24" s="2141"/>
      <c r="BZJ24" s="2141"/>
      <c r="BZK24" s="2140"/>
      <c r="BZL24" s="2141"/>
      <c r="BZM24" s="2141"/>
      <c r="BZN24" s="2140"/>
      <c r="BZO24" s="2141"/>
      <c r="BZP24" s="2141"/>
      <c r="BZQ24" s="2140"/>
      <c r="BZR24" s="2141"/>
      <c r="BZS24" s="2141"/>
      <c r="BZT24" s="2140"/>
      <c r="BZU24" s="2141"/>
      <c r="BZV24" s="2141"/>
      <c r="BZW24" s="2140"/>
      <c r="BZX24" s="2141"/>
      <c r="BZY24" s="2141"/>
      <c r="BZZ24" s="2140"/>
      <c r="CAA24" s="2141"/>
      <c r="CAB24" s="2141"/>
      <c r="CAC24" s="2140"/>
      <c r="CAD24" s="2141"/>
      <c r="CAE24" s="2141"/>
      <c r="CAF24" s="2140"/>
      <c r="CAG24" s="2141"/>
      <c r="CAH24" s="2141"/>
      <c r="CAI24" s="2140"/>
      <c r="CAJ24" s="2141"/>
      <c r="CAK24" s="2141"/>
      <c r="CAL24" s="2140"/>
      <c r="CAM24" s="2141"/>
      <c r="CAN24" s="2141"/>
      <c r="CAO24" s="2140"/>
      <c r="CAP24" s="2141"/>
      <c r="CAQ24" s="2141"/>
      <c r="CAR24" s="2140"/>
      <c r="CAS24" s="2141"/>
      <c r="CAT24" s="2141"/>
      <c r="CAU24" s="2140"/>
      <c r="CAV24" s="2141"/>
      <c r="CAW24" s="2141"/>
      <c r="CAX24" s="2140"/>
      <c r="CAY24" s="2141"/>
      <c r="CAZ24" s="2141"/>
      <c r="CBA24" s="2140"/>
      <c r="CBB24" s="2141"/>
      <c r="CBC24" s="2141"/>
      <c r="CBD24" s="2140"/>
      <c r="CBE24" s="2141"/>
      <c r="CBF24" s="2141"/>
      <c r="CBG24" s="2140"/>
      <c r="CBH24" s="2141"/>
      <c r="CBI24" s="2141"/>
      <c r="CBJ24" s="2140"/>
      <c r="CBK24" s="2141"/>
      <c r="CBL24" s="2141"/>
      <c r="CBM24" s="2140"/>
      <c r="CBN24" s="2141"/>
      <c r="CBO24" s="2141"/>
      <c r="CBP24" s="2140"/>
      <c r="CBQ24" s="2141"/>
      <c r="CBR24" s="2141"/>
      <c r="CBS24" s="2140"/>
      <c r="CBT24" s="2141"/>
      <c r="CBU24" s="2141"/>
      <c r="CBV24" s="2140"/>
      <c r="CBW24" s="2141"/>
      <c r="CBX24" s="2141"/>
      <c r="CBY24" s="2140"/>
      <c r="CBZ24" s="2141"/>
      <c r="CCA24" s="2141"/>
      <c r="CCB24" s="2140"/>
      <c r="CCC24" s="2141"/>
      <c r="CCD24" s="2141"/>
      <c r="CCE24" s="2140"/>
      <c r="CCF24" s="2141"/>
      <c r="CCG24" s="2141"/>
      <c r="CCH24" s="2140"/>
      <c r="CCI24" s="2141"/>
      <c r="CCJ24" s="2141"/>
      <c r="CCK24" s="2140"/>
      <c r="CCL24" s="2141"/>
      <c r="CCM24" s="2141"/>
      <c r="CCN24" s="2140"/>
      <c r="CCO24" s="2141"/>
      <c r="CCP24" s="2141"/>
      <c r="CCQ24" s="2140"/>
      <c r="CCR24" s="2141"/>
      <c r="CCS24" s="2141"/>
      <c r="CCT24" s="2140"/>
      <c r="CCU24" s="2141"/>
      <c r="CCV24" s="2141"/>
      <c r="CCW24" s="2140"/>
      <c r="CCX24" s="2141"/>
      <c r="CCY24" s="2141"/>
      <c r="CCZ24" s="2140"/>
      <c r="CDA24" s="2141"/>
      <c r="CDB24" s="2141"/>
      <c r="CDC24" s="2140"/>
      <c r="CDD24" s="2141"/>
      <c r="CDE24" s="2141"/>
      <c r="CDF24" s="2140"/>
      <c r="CDG24" s="2141"/>
      <c r="CDH24" s="2141"/>
      <c r="CDI24" s="2140"/>
      <c r="CDJ24" s="2141"/>
      <c r="CDK24" s="2141"/>
      <c r="CDL24" s="2140"/>
      <c r="CDM24" s="2141"/>
      <c r="CDN24" s="2141"/>
      <c r="CDO24" s="2140"/>
      <c r="CDP24" s="2141"/>
      <c r="CDQ24" s="2141"/>
      <c r="CDR24" s="2140"/>
      <c r="CDS24" s="2141"/>
      <c r="CDT24" s="2141"/>
      <c r="CDU24" s="2140"/>
      <c r="CDV24" s="2141"/>
      <c r="CDW24" s="2141"/>
      <c r="CDX24" s="2140"/>
      <c r="CDY24" s="2141"/>
      <c r="CDZ24" s="2141"/>
      <c r="CEA24" s="2140"/>
      <c r="CEB24" s="2141"/>
      <c r="CEC24" s="2141"/>
      <c r="CED24" s="2140"/>
      <c r="CEE24" s="2141"/>
      <c r="CEF24" s="2141"/>
      <c r="CEG24" s="2140"/>
      <c r="CEH24" s="2141"/>
      <c r="CEI24" s="2141"/>
      <c r="CEJ24" s="2140"/>
      <c r="CEK24" s="2141"/>
      <c r="CEL24" s="2141"/>
      <c r="CEM24" s="2140"/>
      <c r="CEN24" s="2141"/>
      <c r="CEO24" s="2141"/>
      <c r="CEP24" s="2140"/>
      <c r="CEQ24" s="2141"/>
      <c r="CER24" s="2141"/>
      <c r="CES24" s="2140"/>
      <c r="CET24" s="2141"/>
      <c r="CEU24" s="2141"/>
      <c r="CEV24" s="2140"/>
      <c r="CEW24" s="2141"/>
      <c r="CEX24" s="2141"/>
      <c r="CEY24" s="2140"/>
      <c r="CEZ24" s="2141"/>
      <c r="CFA24" s="2141"/>
      <c r="CFB24" s="2140"/>
      <c r="CFC24" s="2141"/>
      <c r="CFD24" s="2141"/>
      <c r="CFE24" s="2140"/>
      <c r="CFF24" s="2141"/>
      <c r="CFG24" s="2141"/>
      <c r="CFH24" s="2140"/>
      <c r="CFI24" s="2141"/>
      <c r="CFJ24" s="2141"/>
      <c r="CFK24" s="2140"/>
      <c r="CFL24" s="2141"/>
      <c r="CFM24" s="2141"/>
      <c r="CFN24" s="2140"/>
      <c r="CFO24" s="2141"/>
      <c r="CFP24" s="2141"/>
      <c r="CFQ24" s="2140"/>
      <c r="CFR24" s="2141"/>
      <c r="CFS24" s="2141"/>
      <c r="CFT24" s="2140"/>
      <c r="CFU24" s="2141"/>
      <c r="CFV24" s="2141"/>
      <c r="CFW24" s="2140"/>
      <c r="CFX24" s="2141"/>
      <c r="CFY24" s="2141"/>
      <c r="CFZ24" s="2140"/>
      <c r="CGA24" s="2141"/>
      <c r="CGB24" s="2141"/>
      <c r="CGC24" s="2140"/>
      <c r="CGD24" s="2141"/>
      <c r="CGE24" s="2141"/>
      <c r="CGF24" s="2140"/>
      <c r="CGG24" s="2141"/>
      <c r="CGH24" s="2141"/>
      <c r="CGI24" s="2140"/>
      <c r="CGJ24" s="2141"/>
      <c r="CGK24" s="2141"/>
      <c r="CGL24" s="2140"/>
      <c r="CGM24" s="2141"/>
      <c r="CGN24" s="2141"/>
      <c r="CGO24" s="2140"/>
      <c r="CGP24" s="2141"/>
      <c r="CGQ24" s="2141"/>
      <c r="CGR24" s="2140"/>
      <c r="CGS24" s="2141"/>
      <c r="CGT24" s="2141"/>
      <c r="CGU24" s="2140"/>
      <c r="CGV24" s="2141"/>
      <c r="CGW24" s="2141"/>
      <c r="CGX24" s="2140"/>
      <c r="CGY24" s="2141"/>
      <c r="CGZ24" s="2141"/>
      <c r="CHA24" s="2140"/>
      <c r="CHB24" s="2141"/>
      <c r="CHC24" s="2141"/>
      <c r="CHD24" s="2140"/>
      <c r="CHE24" s="2141"/>
      <c r="CHF24" s="2141"/>
      <c r="CHG24" s="2140"/>
      <c r="CHH24" s="2141"/>
      <c r="CHI24" s="2141"/>
      <c r="CHJ24" s="2140"/>
      <c r="CHK24" s="2141"/>
      <c r="CHL24" s="2141"/>
      <c r="CHM24" s="2140"/>
      <c r="CHN24" s="2141"/>
      <c r="CHO24" s="2141"/>
      <c r="CHP24" s="2140"/>
      <c r="CHQ24" s="2141"/>
      <c r="CHR24" s="2141"/>
      <c r="CHS24" s="2140"/>
      <c r="CHT24" s="2141"/>
      <c r="CHU24" s="2141"/>
      <c r="CHV24" s="2140"/>
      <c r="CHW24" s="2141"/>
      <c r="CHX24" s="2141"/>
      <c r="CHY24" s="2140"/>
      <c r="CHZ24" s="2141"/>
      <c r="CIA24" s="2141"/>
      <c r="CIB24" s="2140"/>
      <c r="CIC24" s="2141"/>
      <c r="CID24" s="2141"/>
      <c r="CIE24" s="2140"/>
      <c r="CIF24" s="2141"/>
      <c r="CIG24" s="2141"/>
      <c r="CIH24" s="2140"/>
      <c r="CII24" s="2141"/>
      <c r="CIJ24" s="2141"/>
      <c r="CIK24" s="2140"/>
      <c r="CIL24" s="2141"/>
      <c r="CIM24" s="2141"/>
      <c r="CIN24" s="2140"/>
      <c r="CIO24" s="2141"/>
      <c r="CIP24" s="2141"/>
      <c r="CIQ24" s="2140"/>
      <c r="CIR24" s="2141"/>
      <c r="CIS24" s="2141"/>
      <c r="CIT24" s="2140"/>
      <c r="CIU24" s="2141"/>
      <c r="CIV24" s="2141"/>
      <c r="CIW24" s="2140"/>
      <c r="CIX24" s="2141"/>
      <c r="CIY24" s="2141"/>
      <c r="CIZ24" s="2140"/>
      <c r="CJA24" s="2141"/>
      <c r="CJB24" s="2141"/>
      <c r="CJC24" s="2140"/>
      <c r="CJD24" s="2141"/>
      <c r="CJE24" s="2141"/>
      <c r="CJF24" s="2140"/>
      <c r="CJG24" s="2141"/>
      <c r="CJH24" s="2141"/>
      <c r="CJI24" s="2140"/>
      <c r="CJJ24" s="2141"/>
      <c r="CJK24" s="2141"/>
      <c r="CJL24" s="2140"/>
      <c r="CJM24" s="2141"/>
      <c r="CJN24" s="2141"/>
      <c r="CJO24" s="2140"/>
      <c r="CJP24" s="2141"/>
      <c r="CJQ24" s="2141"/>
      <c r="CJR24" s="2140"/>
      <c r="CJS24" s="2141"/>
      <c r="CJT24" s="2141"/>
      <c r="CJU24" s="2140"/>
      <c r="CJV24" s="2141"/>
      <c r="CJW24" s="2141"/>
      <c r="CJX24" s="2140"/>
      <c r="CJY24" s="2141"/>
      <c r="CJZ24" s="2141"/>
      <c r="CKA24" s="2140"/>
      <c r="CKB24" s="2141"/>
      <c r="CKC24" s="2141"/>
      <c r="CKD24" s="2140"/>
      <c r="CKE24" s="2141"/>
      <c r="CKF24" s="2141"/>
      <c r="CKG24" s="2140"/>
      <c r="CKH24" s="2141"/>
      <c r="CKI24" s="2141"/>
      <c r="CKJ24" s="2140"/>
      <c r="CKK24" s="2141"/>
      <c r="CKL24" s="2141"/>
      <c r="CKM24" s="2140"/>
      <c r="CKN24" s="2141"/>
      <c r="CKO24" s="2141"/>
      <c r="CKP24" s="2140"/>
      <c r="CKQ24" s="2141"/>
      <c r="CKR24" s="2141"/>
      <c r="CKS24" s="2140"/>
      <c r="CKT24" s="2141"/>
      <c r="CKU24" s="2141"/>
      <c r="CKV24" s="2140"/>
      <c r="CKW24" s="2141"/>
      <c r="CKX24" s="2141"/>
      <c r="CKY24" s="2140"/>
      <c r="CKZ24" s="2141"/>
      <c r="CLA24" s="2141"/>
      <c r="CLB24" s="2140"/>
      <c r="CLC24" s="2141"/>
      <c r="CLD24" s="2141"/>
      <c r="CLE24" s="2140"/>
      <c r="CLF24" s="2141"/>
      <c r="CLG24" s="2141"/>
      <c r="CLH24" s="2140"/>
      <c r="CLI24" s="2141"/>
      <c r="CLJ24" s="2141"/>
      <c r="CLK24" s="2140"/>
      <c r="CLL24" s="2141"/>
      <c r="CLM24" s="2141"/>
      <c r="CLN24" s="2140"/>
      <c r="CLO24" s="2141"/>
      <c r="CLP24" s="2141"/>
      <c r="CLQ24" s="2140"/>
      <c r="CLR24" s="2141"/>
      <c r="CLS24" s="2141"/>
      <c r="CLT24" s="2140"/>
      <c r="CLU24" s="2141"/>
      <c r="CLV24" s="2141"/>
      <c r="CLW24" s="2140"/>
      <c r="CLX24" s="2141"/>
      <c r="CLY24" s="2141"/>
      <c r="CLZ24" s="2140"/>
      <c r="CMA24" s="2141"/>
      <c r="CMB24" s="2141"/>
      <c r="CMC24" s="2140"/>
      <c r="CMD24" s="2141"/>
      <c r="CME24" s="2141"/>
      <c r="CMF24" s="2140"/>
      <c r="CMG24" s="2141"/>
      <c r="CMH24" s="2141"/>
      <c r="CMI24" s="2140"/>
      <c r="CMJ24" s="2141"/>
      <c r="CMK24" s="2141"/>
      <c r="CML24" s="2140"/>
      <c r="CMM24" s="2141"/>
      <c r="CMN24" s="2141"/>
      <c r="CMO24" s="2140"/>
      <c r="CMP24" s="2141"/>
      <c r="CMQ24" s="2141"/>
      <c r="CMR24" s="2140"/>
      <c r="CMS24" s="2141"/>
      <c r="CMT24" s="2141"/>
      <c r="CMU24" s="2140"/>
      <c r="CMV24" s="2141"/>
      <c r="CMW24" s="2141"/>
      <c r="CMX24" s="2140"/>
      <c r="CMY24" s="2141"/>
      <c r="CMZ24" s="2141"/>
      <c r="CNA24" s="2140"/>
      <c r="CNB24" s="2141"/>
      <c r="CNC24" s="2141"/>
      <c r="CND24" s="2140"/>
      <c r="CNE24" s="2141"/>
      <c r="CNF24" s="2141"/>
      <c r="CNG24" s="2140"/>
      <c r="CNH24" s="2141"/>
      <c r="CNI24" s="2141"/>
      <c r="CNJ24" s="2140"/>
      <c r="CNK24" s="2141"/>
      <c r="CNL24" s="2141"/>
      <c r="CNM24" s="2140"/>
      <c r="CNN24" s="2141"/>
      <c r="CNO24" s="2141"/>
      <c r="CNP24" s="2140"/>
      <c r="CNQ24" s="2141"/>
      <c r="CNR24" s="2141"/>
      <c r="CNS24" s="2140"/>
      <c r="CNT24" s="2141"/>
      <c r="CNU24" s="2141"/>
      <c r="CNV24" s="2140"/>
      <c r="CNW24" s="2141"/>
      <c r="CNX24" s="2141"/>
      <c r="CNY24" s="2140"/>
      <c r="CNZ24" s="2141"/>
      <c r="COA24" s="2141"/>
      <c r="COB24" s="2140"/>
      <c r="COC24" s="2141"/>
      <c r="COD24" s="2141"/>
      <c r="COE24" s="2140"/>
      <c r="COF24" s="2141"/>
      <c r="COG24" s="2141"/>
      <c r="COH24" s="2140"/>
      <c r="COI24" s="2141"/>
      <c r="COJ24" s="2141"/>
      <c r="COK24" s="2140"/>
      <c r="COL24" s="2141"/>
      <c r="COM24" s="2141"/>
      <c r="CON24" s="2140"/>
      <c r="COO24" s="2141"/>
      <c r="COP24" s="2141"/>
      <c r="COQ24" s="2140"/>
      <c r="COR24" s="2141"/>
      <c r="COS24" s="2141"/>
      <c r="COT24" s="2140"/>
      <c r="COU24" s="2141"/>
      <c r="COV24" s="2141"/>
      <c r="COW24" s="2140"/>
      <c r="COX24" s="2141"/>
      <c r="COY24" s="2141"/>
      <c r="COZ24" s="2140"/>
      <c r="CPA24" s="2141"/>
      <c r="CPB24" s="2141"/>
      <c r="CPC24" s="2140"/>
      <c r="CPD24" s="2141"/>
      <c r="CPE24" s="2141"/>
      <c r="CPF24" s="2140"/>
      <c r="CPG24" s="2141"/>
      <c r="CPH24" s="2141"/>
      <c r="CPI24" s="2140"/>
      <c r="CPJ24" s="2141"/>
      <c r="CPK24" s="2141"/>
      <c r="CPL24" s="2140"/>
      <c r="CPM24" s="2141"/>
      <c r="CPN24" s="2141"/>
      <c r="CPO24" s="2140"/>
      <c r="CPP24" s="2141"/>
      <c r="CPQ24" s="2141"/>
      <c r="CPR24" s="2140"/>
      <c r="CPS24" s="2141"/>
      <c r="CPT24" s="2141"/>
      <c r="CPU24" s="2140"/>
      <c r="CPV24" s="2141"/>
      <c r="CPW24" s="2141"/>
      <c r="CPX24" s="2140"/>
      <c r="CPY24" s="2141"/>
      <c r="CPZ24" s="2141"/>
      <c r="CQA24" s="2140"/>
      <c r="CQB24" s="2141"/>
      <c r="CQC24" s="2141"/>
      <c r="CQD24" s="2140"/>
      <c r="CQE24" s="2141"/>
      <c r="CQF24" s="2141"/>
      <c r="CQG24" s="2140"/>
      <c r="CQH24" s="2141"/>
      <c r="CQI24" s="2141"/>
      <c r="CQJ24" s="2140"/>
      <c r="CQK24" s="2141"/>
      <c r="CQL24" s="2141"/>
      <c r="CQM24" s="2140"/>
      <c r="CQN24" s="2141"/>
      <c r="CQO24" s="2141"/>
      <c r="CQP24" s="2140"/>
      <c r="CQQ24" s="2141"/>
      <c r="CQR24" s="2141"/>
      <c r="CQS24" s="2140"/>
      <c r="CQT24" s="2141"/>
      <c r="CQU24" s="2141"/>
      <c r="CQV24" s="2140"/>
      <c r="CQW24" s="2141"/>
      <c r="CQX24" s="2141"/>
      <c r="CQY24" s="2140"/>
      <c r="CQZ24" s="2141"/>
      <c r="CRA24" s="2141"/>
      <c r="CRB24" s="2140"/>
      <c r="CRC24" s="2141"/>
      <c r="CRD24" s="2141"/>
      <c r="CRE24" s="2140"/>
      <c r="CRF24" s="2141"/>
      <c r="CRG24" s="2141"/>
      <c r="CRH24" s="2140"/>
      <c r="CRI24" s="2141"/>
      <c r="CRJ24" s="2141"/>
      <c r="CRK24" s="2140"/>
      <c r="CRL24" s="2141"/>
      <c r="CRM24" s="2141"/>
      <c r="CRN24" s="2140"/>
      <c r="CRO24" s="2141"/>
      <c r="CRP24" s="2141"/>
      <c r="CRQ24" s="2140"/>
      <c r="CRR24" s="2141"/>
      <c r="CRS24" s="2141"/>
      <c r="CRT24" s="2140"/>
      <c r="CRU24" s="2141"/>
      <c r="CRV24" s="2141"/>
      <c r="CRW24" s="2140"/>
      <c r="CRX24" s="2141"/>
      <c r="CRY24" s="2141"/>
      <c r="CRZ24" s="2140"/>
      <c r="CSA24" s="2141"/>
      <c r="CSB24" s="2141"/>
      <c r="CSC24" s="2140"/>
      <c r="CSD24" s="2141"/>
      <c r="CSE24" s="2141"/>
      <c r="CSF24" s="2140"/>
      <c r="CSG24" s="2141"/>
      <c r="CSH24" s="2141"/>
      <c r="CSI24" s="2140"/>
      <c r="CSJ24" s="2141"/>
      <c r="CSK24" s="2141"/>
      <c r="CSL24" s="2140"/>
      <c r="CSM24" s="2141"/>
      <c r="CSN24" s="2141"/>
      <c r="CSO24" s="2140"/>
      <c r="CSP24" s="2141"/>
      <c r="CSQ24" s="2141"/>
      <c r="CSR24" s="2140"/>
      <c r="CSS24" s="2141"/>
      <c r="CST24" s="2141"/>
      <c r="CSU24" s="2140"/>
      <c r="CSV24" s="2141"/>
      <c r="CSW24" s="2141"/>
      <c r="CSX24" s="2140"/>
      <c r="CSY24" s="2141"/>
      <c r="CSZ24" s="2141"/>
      <c r="CTA24" s="2140"/>
      <c r="CTB24" s="2141"/>
      <c r="CTC24" s="2141"/>
      <c r="CTD24" s="2140"/>
      <c r="CTE24" s="2141"/>
      <c r="CTF24" s="2141"/>
      <c r="CTG24" s="2140"/>
      <c r="CTH24" s="2141"/>
      <c r="CTI24" s="2141"/>
      <c r="CTJ24" s="2140"/>
      <c r="CTK24" s="2141"/>
      <c r="CTL24" s="2141"/>
      <c r="CTM24" s="2140"/>
      <c r="CTN24" s="2141"/>
      <c r="CTO24" s="2141"/>
      <c r="CTP24" s="2140"/>
      <c r="CTQ24" s="2141"/>
      <c r="CTR24" s="2141"/>
      <c r="CTS24" s="2140"/>
      <c r="CTT24" s="2141"/>
      <c r="CTU24" s="2141"/>
      <c r="CTV24" s="2140"/>
      <c r="CTW24" s="2141"/>
      <c r="CTX24" s="2141"/>
      <c r="CTY24" s="2140"/>
      <c r="CTZ24" s="2141"/>
      <c r="CUA24" s="2141"/>
      <c r="CUB24" s="2140"/>
      <c r="CUC24" s="2141"/>
      <c r="CUD24" s="2141"/>
      <c r="CUE24" s="2140"/>
      <c r="CUF24" s="2141"/>
      <c r="CUG24" s="2141"/>
      <c r="CUH24" s="2140"/>
      <c r="CUI24" s="2141"/>
      <c r="CUJ24" s="2141"/>
      <c r="CUK24" s="2140"/>
      <c r="CUL24" s="2141"/>
      <c r="CUM24" s="2141"/>
      <c r="CUN24" s="2140"/>
      <c r="CUO24" s="2141"/>
      <c r="CUP24" s="2141"/>
      <c r="CUQ24" s="2140"/>
      <c r="CUR24" s="2141"/>
      <c r="CUS24" s="2141"/>
      <c r="CUT24" s="2140"/>
      <c r="CUU24" s="2141"/>
      <c r="CUV24" s="2141"/>
      <c r="CUW24" s="2140"/>
      <c r="CUX24" s="2141"/>
      <c r="CUY24" s="2141"/>
      <c r="CUZ24" s="2140"/>
      <c r="CVA24" s="2141"/>
      <c r="CVB24" s="2141"/>
      <c r="CVC24" s="2140"/>
      <c r="CVD24" s="2141"/>
      <c r="CVE24" s="2141"/>
      <c r="CVF24" s="2140"/>
      <c r="CVG24" s="2141"/>
      <c r="CVH24" s="2141"/>
      <c r="CVI24" s="2140"/>
      <c r="CVJ24" s="2141"/>
      <c r="CVK24" s="2141"/>
      <c r="CVL24" s="2140"/>
      <c r="CVM24" s="2141"/>
      <c r="CVN24" s="2141"/>
      <c r="CVO24" s="2140"/>
      <c r="CVP24" s="2141"/>
      <c r="CVQ24" s="2141"/>
      <c r="CVR24" s="2140"/>
      <c r="CVS24" s="2141"/>
      <c r="CVT24" s="2141"/>
      <c r="CVU24" s="2140"/>
      <c r="CVV24" s="2141"/>
      <c r="CVW24" s="2141"/>
      <c r="CVX24" s="2140"/>
      <c r="CVY24" s="2141"/>
      <c r="CVZ24" s="2141"/>
      <c r="CWA24" s="2140"/>
      <c r="CWB24" s="2141"/>
      <c r="CWC24" s="2141"/>
      <c r="CWD24" s="2140"/>
      <c r="CWE24" s="2141"/>
      <c r="CWF24" s="2141"/>
      <c r="CWG24" s="2140"/>
      <c r="CWH24" s="2141"/>
      <c r="CWI24" s="2141"/>
      <c r="CWJ24" s="2140"/>
      <c r="CWK24" s="2141"/>
      <c r="CWL24" s="2141"/>
      <c r="CWM24" s="2140"/>
      <c r="CWN24" s="2141"/>
      <c r="CWO24" s="2141"/>
      <c r="CWP24" s="2140"/>
      <c r="CWQ24" s="2141"/>
      <c r="CWR24" s="2141"/>
      <c r="CWS24" s="2140"/>
      <c r="CWT24" s="2141"/>
      <c r="CWU24" s="2141"/>
      <c r="CWV24" s="2140"/>
      <c r="CWW24" s="2141"/>
      <c r="CWX24" s="2141"/>
      <c r="CWY24" s="2140"/>
      <c r="CWZ24" s="2141"/>
      <c r="CXA24" s="2141"/>
      <c r="CXB24" s="2140"/>
      <c r="CXC24" s="2141"/>
      <c r="CXD24" s="2141"/>
      <c r="CXE24" s="2140"/>
      <c r="CXF24" s="2141"/>
      <c r="CXG24" s="2141"/>
      <c r="CXH24" s="2140"/>
      <c r="CXI24" s="2141"/>
      <c r="CXJ24" s="2141"/>
      <c r="CXK24" s="2140"/>
      <c r="CXL24" s="2141"/>
      <c r="CXM24" s="2141"/>
      <c r="CXN24" s="2140"/>
      <c r="CXO24" s="2141"/>
      <c r="CXP24" s="2141"/>
      <c r="CXQ24" s="2140"/>
      <c r="CXR24" s="2141"/>
      <c r="CXS24" s="2141"/>
      <c r="CXT24" s="2140"/>
      <c r="CXU24" s="2141"/>
      <c r="CXV24" s="2141"/>
      <c r="CXW24" s="2140"/>
      <c r="CXX24" s="2141"/>
      <c r="CXY24" s="2141"/>
      <c r="CXZ24" s="2140"/>
      <c r="CYA24" s="2141"/>
      <c r="CYB24" s="2141"/>
      <c r="CYC24" s="2140"/>
      <c r="CYD24" s="2141"/>
      <c r="CYE24" s="2141"/>
      <c r="CYF24" s="2140"/>
      <c r="CYG24" s="2141"/>
      <c r="CYH24" s="2141"/>
      <c r="CYI24" s="2140"/>
      <c r="CYJ24" s="2141"/>
      <c r="CYK24" s="2141"/>
      <c r="CYL24" s="2140"/>
      <c r="CYM24" s="2141"/>
      <c r="CYN24" s="2141"/>
      <c r="CYO24" s="2140"/>
      <c r="CYP24" s="2141"/>
      <c r="CYQ24" s="2141"/>
      <c r="CYR24" s="2140"/>
      <c r="CYS24" s="2141"/>
      <c r="CYT24" s="2141"/>
      <c r="CYU24" s="2140"/>
      <c r="CYV24" s="2141"/>
      <c r="CYW24" s="2141"/>
      <c r="CYX24" s="2140"/>
      <c r="CYY24" s="2141"/>
      <c r="CYZ24" s="2141"/>
      <c r="CZA24" s="2140"/>
      <c r="CZB24" s="2141"/>
      <c r="CZC24" s="2141"/>
      <c r="CZD24" s="2140"/>
      <c r="CZE24" s="2141"/>
      <c r="CZF24" s="2141"/>
      <c r="CZG24" s="2140"/>
      <c r="CZH24" s="2141"/>
      <c r="CZI24" s="2141"/>
      <c r="CZJ24" s="2140"/>
      <c r="CZK24" s="2141"/>
      <c r="CZL24" s="2141"/>
      <c r="CZM24" s="2140"/>
      <c r="CZN24" s="2141"/>
      <c r="CZO24" s="2141"/>
      <c r="CZP24" s="2140"/>
      <c r="CZQ24" s="2141"/>
      <c r="CZR24" s="2141"/>
      <c r="CZS24" s="2140"/>
      <c r="CZT24" s="2141"/>
      <c r="CZU24" s="2141"/>
      <c r="CZV24" s="2140"/>
      <c r="CZW24" s="2141"/>
      <c r="CZX24" s="2141"/>
      <c r="CZY24" s="2140"/>
      <c r="CZZ24" s="2141"/>
      <c r="DAA24" s="2141"/>
      <c r="DAB24" s="2140"/>
      <c r="DAC24" s="2141"/>
      <c r="DAD24" s="2141"/>
      <c r="DAE24" s="2140"/>
      <c r="DAF24" s="2141"/>
      <c r="DAG24" s="2141"/>
      <c r="DAH24" s="2140"/>
      <c r="DAI24" s="2141"/>
      <c r="DAJ24" s="2141"/>
      <c r="DAK24" s="2140"/>
      <c r="DAL24" s="2141"/>
      <c r="DAM24" s="2141"/>
      <c r="DAN24" s="2140"/>
      <c r="DAO24" s="2141"/>
      <c r="DAP24" s="2141"/>
      <c r="DAQ24" s="2140"/>
      <c r="DAR24" s="2141"/>
      <c r="DAS24" s="2141"/>
      <c r="DAT24" s="2140"/>
      <c r="DAU24" s="2141"/>
      <c r="DAV24" s="2141"/>
      <c r="DAW24" s="2140"/>
      <c r="DAX24" s="2141"/>
      <c r="DAY24" s="2141"/>
      <c r="DAZ24" s="2140"/>
      <c r="DBA24" s="2141"/>
      <c r="DBB24" s="2141"/>
      <c r="DBC24" s="2140"/>
      <c r="DBD24" s="2141"/>
      <c r="DBE24" s="2141"/>
      <c r="DBF24" s="2140"/>
      <c r="DBG24" s="2141"/>
      <c r="DBH24" s="2141"/>
      <c r="DBI24" s="2140"/>
      <c r="DBJ24" s="2141"/>
      <c r="DBK24" s="2141"/>
      <c r="DBL24" s="2140"/>
      <c r="DBM24" s="2141"/>
      <c r="DBN24" s="2141"/>
      <c r="DBO24" s="2140"/>
      <c r="DBP24" s="2141"/>
      <c r="DBQ24" s="2141"/>
      <c r="DBR24" s="2140"/>
      <c r="DBS24" s="2141"/>
      <c r="DBT24" s="2141"/>
      <c r="DBU24" s="2140"/>
      <c r="DBV24" s="2141"/>
      <c r="DBW24" s="2141"/>
      <c r="DBX24" s="2140"/>
      <c r="DBY24" s="2141"/>
      <c r="DBZ24" s="2141"/>
      <c r="DCA24" s="2140"/>
      <c r="DCB24" s="2141"/>
      <c r="DCC24" s="2141"/>
      <c r="DCD24" s="2140"/>
      <c r="DCE24" s="2141"/>
      <c r="DCF24" s="2141"/>
      <c r="DCG24" s="2140"/>
      <c r="DCH24" s="2141"/>
      <c r="DCI24" s="2141"/>
      <c r="DCJ24" s="2140"/>
      <c r="DCK24" s="2141"/>
      <c r="DCL24" s="2141"/>
      <c r="DCM24" s="2140"/>
      <c r="DCN24" s="2141"/>
      <c r="DCO24" s="2141"/>
      <c r="DCP24" s="2140"/>
      <c r="DCQ24" s="2141"/>
      <c r="DCR24" s="2141"/>
      <c r="DCS24" s="2140"/>
      <c r="DCT24" s="2141"/>
      <c r="DCU24" s="2141"/>
      <c r="DCV24" s="2140"/>
      <c r="DCW24" s="2141"/>
      <c r="DCX24" s="2141"/>
      <c r="DCY24" s="2140"/>
      <c r="DCZ24" s="2141"/>
      <c r="DDA24" s="2141"/>
      <c r="DDB24" s="2140"/>
      <c r="DDC24" s="2141"/>
      <c r="DDD24" s="2141"/>
      <c r="DDE24" s="2140"/>
      <c r="DDF24" s="2141"/>
      <c r="DDG24" s="2141"/>
      <c r="DDH24" s="2140"/>
      <c r="DDI24" s="2141"/>
      <c r="DDJ24" s="2141"/>
      <c r="DDK24" s="2140"/>
      <c r="DDL24" s="2141"/>
      <c r="DDM24" s="2141"/>
      <c r="DDN24" s="2140"/>
      <c r="DDO24" s="2141"/>
      <c r="DDP24" s="2141"/>
      <c r="DDQ24" s="2140"/>
      <c r="DDR24" s="2141"/>
      <c r="DDS24" s="2141"/>
      <c r="DDT24" s="2140"/>
      <c r="DDU24" s="2141"/>
      <c r="DDV24" s="2141"/>
      <c r="DDW24" s="2140"/>
      <c r="DDX24" s="2141"/>
      <c r="DDY24" s="2141"/>
      <c r="DDZ24" s="2140"/>
      <c r="DEA24" s="2141"/>
      <c r="DEB24" s="2141"/>
      <c r="DEC24" s="2140"/>
      <c r="DED24" s="2141"/>
      <c r="DEE24" s="2141"/>
      <c r="DEF24" s="2140"/>
      <c r="DEG24" s="2141"/>
      <c r="DEH24" s="2141"/>
      <c r="DEI24" s="2140"/>
      <c r="DEJ24" s="2141"/>
      <c r="DEK24" s="2141"/>
      <c r="DEL24" s="2140"/>
      <c r="DEM24" s="2141"/>
      <c r="DEN24" s="2141"/>
      <c r="DEO24" s="2140"/>
      <c r="DEP24" s="2141"/>
      <c r="DEQ24" s="2141"/>
      <c r="DER24" s="2140"/>
      <c r="DES24" s="2141"/>
      <c r="DET24" s="2141"/>
      <c r="DEU24" s="2140"/>
      <c r="DEV24" s="2141"/>
      <c r="DEW24" s="2141"/>
      <c r="DEX24" s="2140"/>
      <c r="DEY24" s="2141"/>
      <c r="DEZ24" s="2141"/>
      <c r="DFA24" s="2140"/>
      <c r="DFB24" s="2141"/>
      <c r="DFC24" s="2141"/>
      <c r="DFD24" s="2140"/>
      <c r="DFE24" s="2141"/>
      <c r="DFF24" s="2141"/>
      <c r="DFG24" s="2140"/>
      <c r="DFH24" s="2141"/>
      <c r="DFI24" s="2141"/>
      <c r="DFJ24" s="2140"/>
      <c r="DFK24" s="2141"/>
      <c r="DFL24" s="2141"/>
      <c r="DFM24" s="2140"/>
      <c r="DFN24" s="2141"/>
      <c r="DFO24" s="2141"/>
      <c r="DFP24" s="2140"/>
      <c r="DFQ24" s="2141"/>
      <c r="DFR24" s="2141"/>
      <c r="DFS24" s="2140"/>
      <c r="DFT24" s="2141"/>
      <c r="DFU24" s="2141"/>
      <c r="DFV24" s="2140"/>
      <c r="DFW24" s="2141"/>
      <c r="DFX24" s="2141"/>
      <c r="DFY24" s="2140"/>
      <c r="DFZ24" s="2141"/>
      <c r="DGA24" s="2141"/>
      <c r="DGB24" s="2140"/>
      <c r="DGC24" s="2141"/>
      <c r="DGD24" s="2141"/>
      <c r="DGE24" s="2140"/>
      <c r="DGF24" s="2141"/>
      <c r="DGG24" s="2141"/>
      <c r="DGH24" s="2140"/>
      <c r="DGI24" s="2141"/>
      <c r="DGJ24" s="2141"/>
      <c r="DGK24" s="2140"/>
      <c r="DGL24" s="2141"/>
      <c r="DGM24" s="2141"/>
      <c r="DGN24" s="2140"/>
      <c r="DGO24" s="2141"/>
      <c r="DGP24" s="2141"/>
      <c r="DGQ24" s="2140"/>
      <c r="DGR24" s="2141"/>
      <c r="DGS24" s="2141"/>
      <c r="DGT24" s="2140"/>
      <c r="DGU24" s="2141"/>
      <c r="DGV24" s="2141"/>
      <c r="DGW24" s="2140"/>
      <c r="DGX24" s="2141"/>
      <c r="DGY24" s="2141"/>
      <c r="DGZ24" s="2140"/>
      <c r="DHA24" s="2141"/>
      <c r="DHB24" s="2141"/>
      <c r="DHC24" s="2140"/>
      <c r="DHD24" s="2141"/>
      <c r="DHE24" s="2141"/>
      <c r="DHF24" s="2140"/>
      <c r="DHG24" s="2141"/>
      <c r="DHH24" s="2141"/>
      <c r="DHI24" s="2140"/>
      <c r="DHJ24" s="2141"/>
      <c r="DHK24" s="2141"/>
      <c r="DHL24" s="2140"/>
      <c r="DHM24" s="2141"/>
      <c r="DHN24" s="2141"/>
      <c r="DHO24" s="2140"/>
      <c r="DHP24" s="2141"/>
      <c r="DHQ24" s="2141"/>
      <c r="DHR24" s="2140"/>
      <c r="DHS24" s="2141"/>
      <c r="DHT24" s="2141"/>
      <c r="DHU24" s="2140"/>
      <c r="DHV24" s="2141"/>
      <c r="DHW24" s="2141"/>
      <c r="DHX24" s="2140"/>
      <c r="DHY24" s="2141"/>
      <c r="DHZ24" s="2141"/>
      <c r="DIA24" s="2140"/>
      <c r="DIB24" s="2141"/>
      <c r="DIC24" s="2141"/>
      <c r="DID24" s="2140"/>
      <c r="DIE24" s="2141"/>
      <c r="DIF24" s="2141"/>
      <c r="DIG24" s="2140"/>
      <c r="DIH24" s="2141"/>
      <c r="DII24" s="2141"/>
      <c r="DIJ24" s="2140"/>
      <c r="DIK24" s="2141"/>
      <c r="DIL24" s="2141"/>
      <c r="DIM24" s="2140"/>
      <c r="DIN24" s="2141"/>
      <c r="DIO24" s="2141"/>
      <c r="DIP24" s="2140"/>
      <c r="DIQ24" s="2141"/>
      <c r="DIR24" s="2141"/>
      <c r="DIS24" s="2140"/>
      <c r="DIT24" s="2141"/>
      <c r="DIU24" s="2141"/>
      <c r="DIV24" s="2140"/>
      <c r="DIW24" s="2141"/>
      <c r="DIX24" s="2141"/>
      <c r="DIY24" s="2140"/>
      <c r="DIZ24" s="2141"/>
      <c r="DJA24" s="2141"/>
      <c r="DJB24" s="2140"/>
      <c r="DJC24" s="2141"/>
      <c r="DJD24" s="2141"/>
      <c r="DJE24" s="2140"/>
      <c r="DJF24" s="2141"/>
      <c r="DJG24" s="2141"/>
      <c r="DJH24" s="2140"/>
      <c r="DJI24" s="2141"/>
      <c r="DJJ24" s="2141"/>
      <c r="DJK24" s="2140"/>
      <c r="DJL24" s="2141"/>
      <c r="DJM24" s="2141"/>
      <c r="DJN24" s="2140"/>
      <c r="DJO24" s="2141"/>
      <c r="DJP24" s="2141"/>
      <c r="DJQ24" s="2140"/>
      <c r="DJR24" s="2141"/>
      <c r="DJS24" s="2141"/>
      <c r="DJT24" s="2140"/>
      <c r="DJU24" s="2141"/>
      <c r="DJV24" s="2141"/>
      <c r="DJW24" s="2140"/>
      <c r="DJX24" s="2141"/>
      <c r="DJY24" s="2141"/>
      <c r="DJZ24" s="2140"/>
      <c r="DKA24" s="2141"/>
      <c r="DKB24" s="2141"/>
      <c r="DKC24" s="2140"/>
      <c r="DKD24" s="2141"/>
      <c r="DKE24" s="2141"/>
      <c r="DKF24" s="2140"/>
      <c r="DKG24" s="2141"/>
      <c r="DKH24" s="2141"/>
      <c r="DKI24" s="2140"/>
      <c r="DKJ24" s="2141"/>
      <c r="DKK24" s="2141"/>
      <c r="DKL24" s="2140"/>
      <c r="DKM24" s="2141"/>
      <c r="DKN24" s="2141"/>
      <c r="DKO24" s="2140"/>
      <c r="DKP24" s="2141"/>
      <c r="DKQ24" s="2141"/>
      <c r="DKR24" s="2140"/>
      <c r="DKS24" s="2141"/>
      <c r="DKT24" s="2141"/>
      <c r="DKU24" s="2140"/>
      <c r="DKV24" s="2141"/>
      <c r="DKW24" s="2141"/>
      <c r="DKX24" s="2140"/>
      <c r="DKY24" s="2141"/>
      <c r="DKZ24" s="2141"/>
      <c r="DLA24" s="2140"/>
      <c r="DLB24" s="2141"/>
      <c r="DLC24" s="2141"/>
      <c r="DLD24" s="2140"/>
      <c r="DLE24" s="2141"/>
      <c r="DLF24" s="2141"/>
      <c r="DLG24" s="2140"/>
      <c r="DLH24" s="2141"/>
      <c r="DLI24" s="2141"/>
      <c r="DLJ24" s="2140"/>
      <c r="DLK24" s="2141"/>
      <c r="DLL24" s="2141"/>
      <c r="DLM24" s="2140"/>
      <c r="DLN24" s="2141"/>
      <c r="DLO24" s="2141"/>
      <c r="DLP24" s="2140"/>
      <c r="DLQ24" s="2141"/>
      <c r="DLR24" s="2141"/>
      <c r="DLS24" s="2140"/>
      <c r="DLT24" s="2141"/>
      <c r="DLU24" s="2141"/>
      <c r="DLV24" s="2140"/>
      <c r="DLW24" s="2141"/>
      <c r="DLX24" s="2141"/>
      <c r="DLY24" s="2140"/>
      <c r="DLZ24" s="2141"/>
      <c r="DMA24" s="2141"/>
      <c r="DMB24" s="2140"/>
      <c r="DMC24" s="2141"/>
      <c r="DMD24" s="2141"/>
      <c r="DME24" s="2140"/>
      <c r="DMF24" s="2141"/>
      <c r="DMG24" s="2141"/>
      <c r="DMH24" s="2140"/>
      <c r="DMI24" s="2141"/>
      <c r="DMJ24" s="2141"/>
      <c r="DMK24" s="2140"/>
      <c r="DML24" s="2141"/>
      <c r="DMM24" s="2141"/>
      <c r="DMN24" s="2140"/>
      <c r="DMO24" s="2141"/>
      <c r="DMP24" s="2141"/>
      <c r="DMQ24" s="2140"/>
      <c r="DMR24" s="2141"/>
      <c r="DMS24" s="2141"/>
      <c r="DMT24" s="2140"/>
      <c r="DMU24" s="2141"/>
      <c r="DMV24" s="2141"/>
      <c r="DMW24" s="2140"/>
      <c r="DMX24" s="2141"/>
      <c r="DMY24" s="2141"/>
      <c r="DMZ24" s="2140"/>
      <c r="DNA24" s="2141"/>
      <c r="DNB24" s="2141"/>
      <c r="DNC24" s="2140"/>
      <c r="DND24" s="2141"/>
      <c r="DNE24" s="2141"/>
      <c r="DNF24" s="2140"/>
      <c r="DNG24" s="2141"/>
      <c r="DNH24" s="2141"/>
      <c r="DNI24" s="2140"/>
      <c r="DNJ24" s="2141"/>
      <c r="DNK24" s="2141"/>
      <c r="DNL24" s="2140"/>
      <c r="DNM24" s="2141"/>
      <c r="DNN24" s="2141"/>
      <c r="DNO24" s="2140"/>
      <c r="DNP24" s="2141"/>
      <c r="DNQ24" s="2141"/>
      <c r="DNR24" s="2140"/>
      <c r="DNS24" s="2141"/>
      <c r="DNT24" s="2141"/>
      <c r="DNU24" s="2140"/>
      <c r="DNV24" s="2141"/>
      <c r="DNW24" s="2141"/>
      <c r="DNX24" s="2140"/>
      <c r="DNY24" s="2141"/>
      <c r="DNZ24" s="2141"/>
      <c r="DOA24" s="2140"/>
      <c r="DOB24" s="2141"/>
      <c r="DOC24" s="2141"/>
      <c r="DOD24" s="2140"/>
      <c r="DOE24" s="2141"/>
      <c r="DOF24" s="2141"/>
      <c r="DOG24" s="2140"/>
      <c r="DOH24" s="2141"/>
      <c r="DOI24" s="2141"/>
      <c r="DOJ24" s="2140"/>
      <c r="DOK24" s="2141"/>
      <c r="DOL24" s="2141"/>
      <c r="DOM24" s="2140"/>
      <c r="DON24" s="2141"/>
      <c r="DOO24" s="2141"/>
      <c r="DOP24" s="2140"/>
      <c r="DOQ24" s="2141"/>
      <c r="DOR24" s="2141"/>
      <c r="DOS24" s="2140"/>
      <c r="DOT24" s="2141"/>
      <c r="DOU24" s="2141"/>
      <c r="DOV24" s="2140"/>
      <c r="DOW24" s="2141"/>
      <c r="DOX24" s="2141"/>
      <c r="DOY24" s="2140"/>
      <c r="DOZ24" s="2141"/>
      <c r="DPA24" s="2141"/>
      <c r="DPB24" s="2140"/>
      <c r="DPC24" s="2141"/>
      <c r="DPD24" s="2141"/>
      <c r="DPE24" s="2140"/>
      <c r="DPF24" s="2141"/>
      <c r="DPG24" s="2141"/>
      <c r="DPH24" s="2140"/>
      <c r="DPI24" s="2141"/>
      <c r="DPJ24" s="2141"/>
      <c r="DPK24" s="2140"/>
      <c r="DPL24" s="2141"/>
      <c r="DPM24" s="2141"/>
      <c r="DPN24" s="2140"/>
      <c r="DPO24" s="2141"/>
      <c r="DPP24" s="2141"/>
      <c r="DPQ24" s="2140"/>
      <c r="DPR24" s="2141"/>
      <c r="DPS24" s="2141"/>
      <c r="DPT24" s="2140"/>
      <c r="DPU24" s="2141"/>
      <c r="DPV24" s="2141"/>
      <c r="DPW24" s="2140"/>
      <c r="DPX24" s="2141"/>
      <c r="DPY24" s="2141"/>
      <c r="DPZ24" s="2140"/>
      <c r="DQA24" s="2141"/>
      <c r="DQB24" s="2141"/>
      <c r="DQC24" s="2140"/>
      <c r="DQD24" s="2141"/>
      <c r="DQE24" s="2141"/>
      <c r="DQF24" s="2140"/>
      <c r="DQG24" s="2141"/>
      <c r="DQH24" s="2141"/>
      <c r="DQI24" s="2140"/>
      <c r="DQJ24" s="2141"/>
      <c r="DQK24" s="2141"/>
      <c r="DQL24" s="2140"/>
      <c r="DQM24" s="2141"/>
      <c r="DQN24" s="2141"/>
      <c r="DQO24" s="2140"/>
      <c r="DQP24" s="2141"/>
      <c r="DQQ24" s="2141"/>
      <c r="DQR24" s="2140"/>
      <c r="DQS24" s="2141"/>
      <c r="DQT24" s="2141"/>
      <c r="DQU24" s="2140"/>
      <c r="DQV24" s="2141"/>
      <c r="DQW24" s="2141"/>
      <c r="DQX24" s="2140"/>
      <c r="DQY24" s="2141"/>
      <c r="DQZ24" s="2141"/>
      <c r="DRA24" s="2140"/>
      <c r="DRB24" s="2141"/>
      <c r="DRC24" s="2141"/>
      <c r="DRD24" s="2140"/>
      <c r="DRE24" s="2141"/>
      <c r="DRF24" s="2141"/>
      <c r="DRG24" s="2140"/>
      <c r="DRH24" s="2141"/>
      <c r="DRI24" s="2141"/>
      <c r="DRJ24" s="2140"/>
      <c r="DRK24" s="2141"/>
      <c r="DRL24" s="2141"/>
      <c r="DRM24" s="2140"/>
      <c r="DRN24" s="2141"/>
      <c r="DRO24" s="2141"/>
      <c r="DRP24" s="2140"/>
      <c r="DRQ24" s="2141"/>
      <c r="DRR24" s="2141"/>
      <c r="DRS24" s="2140"/>
      <c r="DRT24" s="2141"/>
      <c r="DRU24" s="2141"/>
      <c r="DRV24" s="2140"/>
      <c r="DRW24" s="2141"/>
      <c r="DRX24" s="2141"/>
      <c r="DRY24" s="2140"/>
      <c r="DRZ24" s="2141"/>
      <c r="DSA24" s="2141"/>
      <c r="DSB24" s="2140"/>
      <c r="DSC24" s="2141"/>
      <c r="DSD24" s="2141"/>
      <c r="DSE24" s="2140"/>
      <c r="DSF24" s="2141"/>
      <c r="DSG24" s="2141"/>
      <c r="DSH24" s="2140"/>
      <c r="DSI24" s="2141"/>
      <c r="DSJ24" s="2141"/>
      <c r="DSK24" s="2140"/>
      <c r="DSL24" s="2141"/>
      <c r="DSM24" s="2141"/>
      <c r="DSN24" s="2140"/>
      <c r="DSO24" s="2141"/>
      <c r="DSP24" s="2141"/>
      <c r="DSQ24" s="2140"/>
      <c r="DSR24" s="2141"/>
      <c r="DSS24" s="2141"/>
      <c r="DST24" s="2140"/>
      <c r="DSU24" s="2141"/>
      <c r="DSV24" s="2141"/>
      <c r="DSW24" s="2140"/>
      <c r="DSX24" s="2141"/>
      <c r="DSY24" s="2141"/>
      <c r="DSZ24" s="2140"/>
      <c r="DTA24" s="2141"/>
      <c r="DTB24" s="2141"/>
      <c r="DTC24" s="2140"/>
      <c r="DTD24" s="2141"/>
      <c r="DTE24" s="2141"/>
      <c r="DTF24" s="2140"/>
      <c r="DTG24" s="2141"/>
      <c r="DTH24" s="2141"/>
      <c r="DTI24" s="2140"/>
      <c r="DTJ24" s="2141"/>
      <c r="DTK24" s="2141"/>
      <c r="DTL24" s="2140"/>
      <c r="DTM24" s="2141"/>
      <c r="DTN24" s="2141"/>
      <c r="DTO24" s="2140"/>
      <c r="DTP24" s="2141"/>
      <c r="DTQ24" s="2141"/>
      <c r="DTR24" s="2140"/>
      <c r="DTS24" s="2141"/>
      <c r="DTT24" s="2141"/>
      <c r="DTU24" s="2140"/>
      <c r="DTV24" s="2141"/>
      <c r="DTW24" s="2141"/>
      <c r="DTX24" s="2140"/>
      <c r="DTY24" s="2141"/>
      <c r="DTZ24" s="2141"/>
      <c r="DUA24" s="2140"/>
      <c r="DUB24" s="2141"/>
      <c r="DUC24" s="2141"/>
      <c r="DUD24" s="2140"/>
      <c r="DUE24" s="2141"/>
      <c r="DUF24" s="2141"/>
      <c r="DUG24" s="2140"/>
      <c r="DUH24" s="2141"/>
      <c r="DUI24" s="2141"/>
      <c r="DUJ24" s="2140"/>
      <c r="DUK24" s="2141"/>
      <c r="DUL24" s="2141"/>
      <c r="DUM24" s="2140"/>
      <c r="DUN24" s="2141"/>
      <c r="DUO24" s="2141"/>
      <c r="DUP24" s="2140"/>
      <c r="DUQ24" s="2141"/>
      <c r="DUR24" s="2141"/>
      <c r="DUS24" s="2140"/>
      <c r="DUT24" s="2141"/>
      <c r="DUU24" s="2141"/>
      <c r="DUV24" s="2140"/>
      <c r="DUW24" s="2141"/>
      <c r="DUX24" s="2141"/>
      <c r="DUY24" s="2140"/>
      <c r="DUZ24" s="2141"/>
      <c r="DVA24" s="2141"/>
      <c r="DVB24" s="2140"/>
      <c r="DVC24" s="2141"/>
      <c r="DVD24" s="2141"/>
      <c r="DVE24" s="2140"/>
      <c r="DVF24" s="2141"/>
      <c r="DVG24" s="2141"/>
      <c r="DVH24" s="2140"/>
      <c r="DVI24" s="2141"/>
      <c r="DVJ24" s="2141"/>
      <c r="DVK24" s="2140"/>
      <c r="DVL24" s="2141"/>
      <c r="DVM24" s="2141"/>
      <c r="DVN24" s="2140"/>
      <c r="DVO24" s="2141"/>
      <c r="DVP24" s="2141"/>
      <c r="DVQ24" s="2140"/>
      <c r="DVR24" s="2141"/>
      <c r="DVS24" s="2141"/>
      <c r="DVT24" s="2140"/>
      <c r="DVU24" s="2141"/>
      <c r="DVV24" s="2141"/>
      <c r="DVW24" s="2140"/>
      <c r="DVX24" s="2141"/>
      <c r="DVY24" s="2141"/>
      <c r="DVZ24" s="2140"/>
      <c r="DWA24" s="2141"/>
      <c r="DWB24" s="2141"/>
      <c r="DWC24" s="2140"/>
      <c r="DWD24" s="2141"/>
      <c r="DWE24" s="2141"/>
      <c r="DWF24" s="2140"/>
      <c r="DWG24" s="2141"/>
      <c r="DWH24" s="2141"/>
      <c r="DWI24" s="2140"/>
      <c r="DWJ24" s="2141"/>
      <c r="DWK24" s="2141"/>
      <c r="DWL24" s="2140"/>
      <c r="DWM24" s="2141"/>
      <c r="DWN24" s="2141"/>
      <c r="DWO24" s="2140"/>
      <c r="DWP24" s="2141"/>
      <c r="DWQ24" s="2141"/>
      <c r="DWR24" s="2140"/>
      <c r="DWS24" s="2141"/>
      <c r="DWT24" s="2141"/>
      <c r="DWU24" s="2140"/>
      <c r="DWV24" s="2141"/>
      <c r="DWW24" s="2141"/>
      <c r="DWX24" s="2140"/>
      <c r="DWY24" s="2141"/>
      <c r="DWZ24" s="2141"/>
      <c r="DXA24" s="2140"/>
      <c r="DXB24" s="2141"/>
      <c r="DXC24" s="2141"/>
      <c r="DXD24" s="2140"/>
      <c r="DXE24" s="2141"/>
      <c r="DXF24" s="2141"/>
      <c r="DXG24" s="2140"/>
      <c r="DXH24" s="2141"/>
      <c r="DXI24" s="2141"/>
      <c r="DXJ24" s="2140"/>
      <c r="DXK24" s="2141"/>
      <c r="DXL24" s="2141"/>
      <c r="DXM24" s="2140"/>
      <c r="DXN24" s="2141"/>
      <c r="DXO24" s="2141"/>
      <c r="DXP24" s="2140"/>
      <c r="DXQ24" s="2141"/>
      <c r="DXR24" s="2141"/>
      <c r="DXS24" s="2140"/>
      <c r="DXT24" s="2141"/>
      <c r="DXU24" s="2141"/>
      <c r="DXV24" s="2140"/>
      <c r="DXW24" s="2141"/>
      <c r="DXX24" s="2141"/>
      <c r="DXY24" s="2140"/>
      <c r="DXZ24" s="2141"/>
      <c r="DYA24" s="2141"/>
      <c r="DYB24" s="2140"/>
      <c r="DYC24" s="2141"/>
      <c r="DYD24" s="2141"/>
      <c r="DYE24" s="2140"/>
      <c r="DYF24" s="2141"/>
      <c r="DYG24" s="2141"/>
      <c r="DYH24" s="2140"/>
      <c r="DYI24" s="2141"/>
      <c r="DYJ24" s="2141"/>
      <c r="DYK24" s="2140"/>
      <c r="DYL24" s="2141"/>
      <c r="DYM24" s="2141"/>
      <c r="DYN24" s="2140"/>
      <c r="DYO24" s="2141"/>
      <c r="DYP24" s="2141"/>
      <c r="DYQ24" s="2140"/>
      <c r="DYR24" s="2141"/>
      <c r="DYS24" s="2141"/>
      <c r="DYT24" s="2140"/>
      <c r="DYU24" s="2141"/>
      <c r="DYV24" s="2141"/>
      <c r="DYW24" s="2140"/>
      <c r="DYX24" s="2141"/>
      <c r="DYY24" s="2141"/>
      <c r="DYZ24" s="2140"/>
      <c r="DZA24" s="2141"/>
      <c r="DZB24" s="2141"/>
      <c r="DZC24" s="2140"/>
      <c r="DZD24" s="2141"/>
      <c r="DZE24" s="2141"/>
      <c r="DZF24" s="2140"/>
      <c r="DZG24" s="2141"/>
      <c r="DZH24" s="2141"/>
      <c r="DZI24" s="2140"/>
      <c r="DZJ24" s="2141"/>
      <c r="DZK24" s="2141"/>
      <c r="DZL24" s="2140"/>
      <c r="DZM24" s="2141"/>
      <c r="DZN24" s="2141"/>
      <c r="DZO24" s="2140"/>
      <c r="DZP24" s="2141"/>
      <c r="DZQ24" s="2141"/>
      <c r="DZR24" s="2140"/>
      <c r="DZS24" s="2141"/>
      <c r="DZT24" s="2141"/>
      <c r="DZU24" s="2140"/>
      <c r="DZV24" s="2141"/>
      <c r="DZW24" s="2141"/>
      <c r="DZX24" s="2140"/>
      <c r="DZY24" s="2141"/>
      <c r="DZZ24" s="2141"/>
      <c r="EAA24" s="2140"/>
      <c r="EAB24" s="2141"/>
      <c r="EAC24" s="2141"/>
      <c r="EAD24" s="2140"/>
      <c r="EAE24" s="2141"/>
      <c r="EAF24" s="2141"/>
      <c r="EAG24" s="2140"/>
      <c r="EAH24" s="2141"/>
      <c r="EAI24" s="2141"/>
      <c r="EAJ24" s="2140"/>
      <c r="EAK24" s="2141"/>
      <c r="EAL24" s="2141"/>
      <c r="EAM24" s="2140"/>
      <c r="EAN24" s="2141"/>
      <c r="EAO24" s="2141"/>
      <c r="EAP24" s="2140"/>
      <c r="EAQ24" s="2141"/>
      <c r="EAR24" s="2141"/>
      <c r="EAS24" s="2140"/>
      <c r="EAT24" s="2141"/>
      <c r="EAU24" s="2141"/>
      <c r="EAV24" s="2140"/>
      <c r="EAW24" s="2141"/>
      <c r="EAX24" s="2141"/>
      <c r="EAY24" s="2140"/>
      <c r="EAZ24" s="2141"/>
      <c r="EBA24" s="2141"/>
      <c r="EBB24" s="2140"/>
      <c r="EBC24" s="2141"/>
      <c r="EBD24" s="2141"/>
      <c r="EBE24" s="2140"/>
      <c r="EBF24" s="2141"/>
      <c r="EBG24" s="2141"/>
      <c r="EBH24" s="2140"/>
      <c r="EBI24" s="2141"/>
      <c r="EBJ24" s="2141"/>
      <c r="EBK24" s="2140"/>
      <c r="EBL24" s="2141"/>
      <c r="EBM24" s="2141"/>
      <c r="EBN24" s="2140"/>
      <c r="EBO24" s="2141"/>
      <c r="EBP24" s="2141"/>
      <c r="EBQ24" s="2140"/>
      <c r="EBR24" s="2141"/>
      <c r="EBS24" s="2141"/>
      <c r="EBT24" s="2140"/>
      <c r="EBU24" s="2141"/>
      <c r="EBV24" s="2141"/>
      <c r="EBW24" s="2140"/>
      <c r="EBX24" s="2141"/>
      <c r="EBY24" s="2141"/>
      <c r="EBZ24" s="2140"/>
      <c r="ECA24" s="2141"/>
      <c r="ECB24" s="2141"/>
      <c r="ECC24" s="2140"/>
      <c r="ECD24" s="2141"/>
      <c r="ECE24" s="2141"/>
      <c r="ECF24" s="2140"/>
      <c r="ECG24" s="2141"/>
      <c r="ECH24" s="2141"/>
      <c r="ECI24" s="2140"/>
      <c r="ECJ24" s="2141"/>
      <c r="ECK24" s="2141"/>
      <c r="ECL24" s="2140"/>
      <c r="ECM24" s="2141"/>
      <c r="ECN24" s="2141"/>
      <c r="ECO24" s="2140"/>
      <c r="ECP24" s="2141"/>
      <c r="ECQ24" s="2141"/>
      <c r="ECR24" s="2140"/>
      <c r="ECS24" s="2141"/>
      <c r="ECT24" s="2141"/>
      <c r="ECU24" s="2140"/>
      <c r="ECV24" s="2141"/>
      <c r="ECW24" s="2141"/>
      <c r="ECX24" s="2140"/>
      <c r="ECY24" s="2141"/>
      <c r="ECZ24" s="2141"/>
      <c r="EDA24" s="2140"/>
      <c r="EDB24" s="2141"/>
      <c r="EDC24" s="2141"/>
      <c r="EDD24" s="2140"/>
      <c r="EDE24" s="2141"/>
      <c r="EDF24" s="2141"/>
      <c r="EDG24" s="2140"/>
      <c r="EDH24" s="2141"/>
      <c r="EDI24" s="2141"/>
      <c r="EDJ24" s="2140"/>
      <c r="EDK24" s="2141"/>
      <c r="EDL24" s="2141"/>
      <c r="EDM24" s="2140"/>
      <c r="EDN24" s="2141"/>
      <c r="EDO24" s="2141"/>
      <c r="EDP24" s="2140"/>
      <c r="EDQ24" s="2141"/>
      <c r="EDR24" s="2141"/>
      <c r="EDS24" s="2140"/>
      <c r="EDT24" s="2141"/>
      <c r="EDU24" s="2141"/>
      <c r="EDV24" s="2140"/>
      <c r="EDW24" s="2141"/>
      <c r="EDX24" s="2141"/>
      <c r="EDY24" s="2140"/>
      <c r="EDZ24" s="2141"/>
      <c r="EEA24" s="2141"/>
      <c r="EEB24" s="2140"/>
      <c r="EEC24" s="2141"/>
      <c r="EED24" s="2141"/>
      <c r="EEE24" s="2140"/>
      <c r="EEF24" s="2141"/>
      <c r="EEG24" s="2141"/>
      <c r="EEH24" s="2140"/>
      <c r="EEI24" s="2141"/>
      <c r="EEJ24" s="2141"/>
      <c r="EEK24" s="2140"/>
      <c r="EEL24" s="2141"/>
      <c r="EEM24" s="2141"/>
      <c r="EEN24" s="2140"/>
      <c r="EEO24" s="2141"/>
      <c r="EEP24" s="2141"/>
      <c r="EEQ24" s="2140"/>
      <c r="EER24" s="2141"/>
      <c r="EES24" s="2141"/>
      <c r="EET24" s="2140"/>
      <c r="EEU24" s="2141"/>
      <c r="EEV24" s="2141"/>
      <c r="EEW24" s="2140"/>
      <c r="EEX24" s="2141"/>
      <c r="EEY24" s="2141"/>
      <c r="EEZ24" s="2140"/>
      <c r="EFA24" s="2141"/>
      <c r="EFB24" s="2141"/>
      <c r="EFC24" s="2140"/>
      <c r="EFD24" s="2141"/>
      <c r="EFE24" s="2141"/>
      <c r="EFF24" s="2140"/>
      <c r="EFG24" s="2141"/>
      <c r="EFH24" s="2141"/>
      <c r="EFI24" s="2140"/>
      <c r="EFJ24" s="2141"/>
      <c r="EFK24" s="2141"/>
      <c r="EFL24" s="2140"/>
      <c r="EFM24" s="2141"/>
      <c r="EFN24" s="2141"/>
      <c r="EFO24" s="2140"/>
      <c r="EFP24" s="2141"/>
      <c r="EFQ24" s="2141"/>
      <c r="EFR24" s="2140"/>
      <c r="EFS24" s="2141"/>
      <c r="EFT24" s="2141"/>
      <c r="EFU24" s="2140"/>
      <c r="EFV24" s="2141"/>
      <c r="EFW24" s="2141"/>
      <c r="EFX24" s="2140"/>
      <c r="EFY24" s="2141"/>
      <c r="EFZ24" s="2141"/>
      <c r="EGA24" s="2140"/>
      <c r="EGB24" s="2141"/>
      <c r="EGC24" s="2141"/>
      <c r="EGD24" s="2140"/>
      <c r="EGE24" s="2141"/>
      <c r="EGF24" s="2141"/>
      <c r="EGG24" s="2140"/>
      <c r="EGH24" s="2141"/>
      <c r="EGI24" s="2141"/>
      <c r="EGJ24" s="2140"/>
      <c r="EGK24" s="2141"/>
      <c r="EGL24" s="2141"/>
      <c r="EGM24" s="2140"/>
      <c r="EGN24" s="2141"/>
      <c r="EGO24" s="2141"/>
      <c r="EGP24" s="2140"/>
      <c r="EGQ24" s="2141"/>
      <c r="EGR24" s="2141"/>
      <c r="EGS24" s="2140"/>
      <c r="EGT24" s="2141"/>
      <c r="EGU24" s="2141"/>
      <c r="EGV24" s="2140"/>
      <c r="EGW24" s="2141"/>
      <c r="EGX24" s="2141"/>
      <c r="EGY24" s="2140"/>
      <c r="EGZ24" s="2141"/>
      <c r="EHA24" s="2141"/>
      <c r="EHB24" s="2140"/>
      <c r="EHC24" s="2141"/>
      <c r="EHD24" s="2141"/>
      <c r="EHE24" s="2140"/>
      <c r="EHF24" s="2141"/>
      <c r="EHG24" s="2141"/>
      <c r="EHH24" s="2140"/>
      <c r="EHI24" s="2141"/>
      <c r="EHJ24" s="2141"/>
      <c r="EHK24" s="2140"/>
      <c r="EHL24" s="2141"/>
      <c r="EHM24" s="2141"/>
      <c r="EHN24" s="2140"/>
      <c r="EHO24" s="2141"/>
      <c r="EHP24" s="2141"/>
      <c r="EHQ24" s="2140"/>
      <c r="EHR24" s="2141"/>
      <c r="EHS24" s="2141"/>
      <c r="EHT24" s="2140"/>
      <c r="EHU24" s="2141"/>
      <c r="EHV24" s="2141"/>
      <c r="EHW24" s="2140"/>
      <c r="EHX24" s="2141"/>
      <c r="EHY24" s="2141"/>
      <c r="EHZ24" s="2140"/>
      <c r="EIA24" s="2141"/>
      <c r="EIB24" s="2141"/>
      <c r="EIC24" s="2140"/>
      <c r="EID24" s="2141"/>
      <c r="EIE24" s="2141"/>
      <c r="EIF24" s="2140"/>
      <c r="EIG24" s="2141"/>
      <c r="EIH24" s="2141"/>
      <c r="EII24" s="2140"/>
      <c r="EIJ24" s="2141"/>
      <c r="EIK24" s="2141"/>
      <c r="EIL24" s="2140"/>
      <c r="EIM24" s="2141"/>
      <c r="EIN24" s="2141"/>
      <c r="EIO24" s="2140"/>
      <c r="EIP24" s="2141"/>
      <c r="EIQ24" s="2141"/>
      <c r="EIR24" s="2140"/>
      <c r="EIS24" s="2141"/>
      <c r="EIT24" s="2141"/>
      <c r="EIU24" s="2140"/>
      <c r="EIV24" s="2141"/>
      <c r="EIW24" s="2141"/>
      <c r="EIX24" s="2140"/>
      <c r="EIY24" s="2141"/>
      <c r="EIZ24" s="2141"/>
      <c r="EJA24" s="2140"/>
      <c r="EJB24" s="2141"/>
      <c r="EJC24" s="2141"/>
      <c r="EJD24" s="2140"/>
      <c r="EJE24" s="2141"/>
      <c r="EJF24" s="2141"/>
      <c r="EJG24" s="2140"/>
      <c r="EJH24" s="2141"/>
      <c r="EJI24" s="2141"/>
      <c r="EJJ24" s="2140"/>
      <c r="EJK24" s="2141"/>
      <c r="EJL24" s="2141"/>
      <c r="EJM24" s="2140"/>
      <c r="EJN24" s="2141"/>
      <c r="EJO24" s="2141"/>
      <c r="EJP24" s="2140"/>
      <c r="EJQ24" s="2141"/>
      <c r="EJR24" s="2141"/>
      <c r="EJS24" s="2140"/>
      <c r="EJT24" s="2141"/>
      <c r="EJU24" s="2141"/>
      <c r="EJV24" s="2140"/>
      <c r="EJW24" s="2141"/>
      <c r="EJX24" s="2141"/>
      <c r="EJY24" s="2140"/>
      <c r="EJZ24" s="2141"/>
      <c r="EKA24" s="2141"/>
      <c r="EKB24" s="2140"/>
      <c r="EKC24" s="2141"/>
      <c r="EKD24" s="2141"/>
      <c r="EKE24" s="2140"/>
      <c r="EKF24" s="2141"/>
      <c r="EKG24" s="2141"/>
      <c r="EKH24" s="2140"/>
      <c r="EKI24" s="2141"/>
      <c r="EKJ24" s="2141"/>
      <c r="EKK24" s="2140"/>
      <c r="EKL24" s="2141"/>
      <c r="EKM24" s="2141"/>
      <c r="EKN24" s="2140"/>
      <c r="EKO24" s="2141"/>
      <c r="EKP24" s="2141"/>
      <c r="EKQ24" s="2140"/>
      <c r="EKR24" s="2141"/>
      <c r="EKS24" s="2141"/>
      <c r="EKT24" s="2140"/>
      <c r="EKU24" s="2141"/>
      <c r="EKV24" s="2141"/>
      <c r="EKW24" s="2140"/>
      <c r="EKX24" s="2141"/>
      <c r="EKY24" s="2141"/>
      <c r="EKZ24" s="2140"/>
      <c r="ELA24" s="2141"/>
      <c r="ELB24" s="2141"/>
      <c r="ELC24" s="2140"/>
      <c r="ELD24" s="2141"/>
      <c r="ELE24" s="2141"/>
      <c r="ELF24" s="2140"/>
      <c r="ELG24" s="2141"/>
      <c r="ELH24" s="2141"/>
      <c r="ELI24" s="2140"/>
      <c r="ELJ24" s="2141"/>
      <c r="ELK24" s="2141"/>
      <c r="ELL24" s="2140"/>
      <c r="ELM24" s="2141"/>
      <c r="ELN24" s="2141"/>
      <c r="ELO24" s="2140"/>
      <c r="ELP24" s="2141"/>
      <c r="ELQ24" s="2141"/>
      <c r="ELR24" s="2140"/>
      <c r="ELS24" s="2141"/>
      <c r="ELT24" s="2141"/>
      <c r="ELU24" s="2140"/>
      <c r="ELV24" s="2141"/>
      <c r="ELW24" s="2141"/>
      <c r="ELX24" s="2140"/>
      <c r="ELY24" s="2141"/>
      <c r="ELZ24" s="2141"/>
      <c r="EMA24" s="2140"/>
      <c r="EMB24" s="2141"/>
      <c r="EMC24" s="2141"/>
      <c r="EMD24" s="2140"/>
      <c r="EME24" s="2141"/>
      <c r="EMF24" s="2141"/>
      <c r="EMG24" s="2140"/>
      <c r="EMH24" s="2141"/>
      <c r="EMI24" s="2141"/>
      <c r="EMJ24" s="2140"/>
      <c r="EMK24" s="2141"/>
      <c r="EML24" s="2141"/>
      <c r="EMM24" s="2140"/>
      <c r="EMN24" s="2141"/>
      <c r="EMO24" s="2141"/>
      <c r="EMP24" s="2140"/>
      <c r="EMQ24" s="2141"/>
      <c r="EMR24" s="2141"/>
      <c r="EMS24" s="2140"/>
      <c r="EMT24" s="2141"/>
      <c r="EMU24" s="2141"/>
      <c r="EMV24" s="2140"/>
      <c r="EMW24" s="2141"/>
      <c r="EMX24" s="2141"/>
      <c r="EMY24" s="2140"/>
      <c r="EMZ24" s="2141"/>
      <c r="ENA24" s="2141"/>
      <c r="ENB24" s="2140"/>
      <c r="ENC24" s="2141"/>
      <c r="END24" s="2141"/>
      <c r="ENE24" s="2140"/>
      <c r="ENF24" s="2141"/>
      <c r="ENG24" s="2141"/>
      <c r="ENH24" s="2140"/>
      <c r="ENI24" s="2141"/>
      <c r="ENJ24" s="2141"/>
      <c r="ENK24" s="2140"/>
      <c r="ENL24" s="2141"/>
      <c r="ENM24" s="2141"/>
      <c r="ENN24" s="2140"/>
      <c r="ENO24" s="2141"/>
      <c r="ENP24" s="2141"/>
      <c r="ENQ24" s="2140"/>
      <c r="ENR24" s="2141"/>
      <c r="ENS24" s="2141"/>
      <c r="ENT24" s="2140"/>
      <c r="ENU24" s="2141"/>
      <c r="ENV24" s="2141"/>
      <c r="ENW24" s="2140"/>
      <c r="ENX24" s="2141"/>
      <c r="ENY24" s="2141"/>
      <c r="ENZ24" s="2140"/>
      <c r="EOA24" s="2141"/>
      <c r="EOB24" s="2141"/>
      <c r="EOC24" s="2140"/>
      <c r="EOD24" s="2141"/>
      <c r="EOE24" s="2141"/>
      <c r="EOF24" s="2140"/>
      <c r="EOG24" s="2141"/>
      <c r="EOH24" s="2141"/>
      <c r="EOI24" s="2140"/>
      <c r="EOJ24" s="2141"/>
      <c r="EOK24" s="2141"/>
      <c r="EOL24" s="2140"/>
      <c r="EOM24" s="2141"/>
      <c r="EON24" s="2141"/>
      <c r="EOO24" s="2140"/>
      <c r="EOP24" s="2141"/>
      <c r="EOQ24" s="2141"/>
      <c r="EOR24" s="2140"/>
      <c r="EOS24" s="2141"/>
      <c r="EOT24" s="2141"/>
      <c r="EOU24" s="2140"/>
      <c r="EOV24" s="2141"/>
      <c r="EOW24" s="2141"/>
      <c r="EOX24" s="2140"/>
      <c r="EOY24" s="2141"/>
      <c r="EOZ24" s="2141"/>
      <c r="EPA24" s="2140"/>
      <c r="EPB24" s="2141"/>
      <c r="EPC24" s="2141"/>
      <c r="EPD24" s="2140"/>
      <c r="EPE24" s="2141"/>
      <c r="EPF24" s="2141"/>
      <c r="EPG24" s="2140"/>
      <c r="EPH24" s="2141"/>
      <c r="EPI24" s="2141"/>
      <c r="EPJ24" s="2140"/>
      <c r="EPK24" s="2141"/>
      <c r="EPL24" s="2141"/>
      <c r="EPM24" s="2140"/>
      <c r="EPN24" s="2141"/>
      <c r="EPO24" s="2141"/>
      <c r="EPP24" s="2140"/>
      <c r="EPQ24" s="2141"/>
      <c r="EPR24" s="2141"/>
      <c r="EPS24" s="2140"/>
      <c r="EPT24" s="2141"/>
      <c r="EPU24" s="2141"/>
      <c r="EPV24" s="2140"/>
      <c r="EPW24" s="2141"/>
      <c r="EPX24" s="2141"/>
      <c r="EPY24" s="2140"/>
      <c r="EPZ24" s="2141"/>
      <c r="EQA24" s="2141"/>
      <c r="EQB24" s="2140"/>
      <c r="EQC24" s="2141"/>
      <c r="EQD24" s="2141"/>
      <c r="EQE24" s="2140"/>
      <c r="EQF24" s="2141"/>
      <c r="EQG24" s="2141"/>
      <c r="EQH24" s="2140"/>
      <c r="EQI24" s="2141"/>
      <c r="EQJ24" s="2141"/>
      <c r="EQK24" s="2140"/>
      <c r="EQL24" s="2141"/>
      <c r="EQM24" s="2141"/>
      <c r="EQN24" s="2140"/>
      <c r="EQO24" s="2141"/>
      <c r="EQP24" s="2141"/>
      <c r="EQQ24" s="2140"/>
      <c r="EQR24" s="2141"/>
      <c r="EQS24" s="2141"/>
      <c r="EQT24" s="2140"/>
      <c r="EQU24" s="2141"/>
      <c r="EQV24" s="2141"/>
      <c r="EQW24" s="2140"/>
      <c r="EQX24" s="2141"/>
      <c r="EQY24" s="2141"/>
      <c r="EQZ24" s="2140"/>
      <c r="ERA24" s="2141"/>
      <c r="ERB24" s="2141"/>
      <c r="ERC24" s="2140"/>
      <c r="ERD24" s="2141"/>
      <c r="ERE24" s="2141"/>
      <c r="ERF24" s="2140"/>
      <c r="ERG24" s="2141"/>
      <c r="ERH24" s="2141"/>
      <c r="ERI24" s="2140"/>
      <c r="ERJ24" s="2141"/>
      <c r="ERK24" s="2141"/>
      <c r="ERL24" s="2140"/>
      <c r="ERM24" s="2141"/>
      <c r="ERN24" s="2141"/>
      <c r="ERO24" s="2140"/>
      <c r="ERP24" s="2141"/>
      <c r="ERQ24" s="2141"/>
      <c r="ERR24" s="2140"/>
      <c r="ERS24" s="2141"/>
      <c r="ERT24" s="2141"/>
      <c r="ERU24" s="2140"/>
      <c r="ERV24" s="2141"/>
      <c r="ERW24" s="2141"/>
      <c r="ERX24" s="2140"/>
      <c r="ERY24" s="2141"/>
      <c r="ERZ24" s="2141"/>
      <c r="ESA24" s="2140"/>
      <c r="ESB24" s="2141"/>
      <c r="ESC24" s="2141"/>
      <c r="ESD24" s="2140"/>
      <c r="ESE24" s="2141"/>
      <c r="ESF24" s="2141"/>
      <c r="ESG24" s="2140"/>
      <c r="ESH24" s="2141"/>
      <c r="ESI24" s="2141"/>
      <c r="ESJ24" s="2140"/>
      <c r="ESK24" s="2141"/>
      <c r="ESL24" s="2141"/>
      <c r="ESM24" s="2140"/>
      <c r="ESN24" s="2141"/>
      <c r="ESO24" s="2141"/>
      <c r="ESP24" s="2140"/>
      <c r="ESQ24" s="2141"/>
      <c r="ESR24" s="2141"/>
      <c r="ESS24" s="2140"/>
      <c r="EST24" s="2141"/>
      <c r="ESU24" s="2141"/>
      <c r="ESV24" s="2140"/>
      <c r="ESW24" s="2141"/>
      <c r="ESX24" s="2141"/>
      <c r="ESY24" s="2140"/>
      <c r="ESZ24" s="2141"/>
      <c r="ETA24" s="2141"/>
      <c r="ETB24" s="2140"/>
      <c r="ETC24" s="2141"/>
      <c r="ETD24" s="2141"/>
      <c r="ETE24" s="2140"/>
      <c r="ETF24" s="2141"/>
      <c r="ETG24" s="2141"/>
      <c r="ETH24" s="2140"/>
      <c r="ETI24" s="2141"/>
      <c r="ETJ24" s="2141"/>
      <c r="ETK24" s="2140"/>
      <c r="ETL24" s="2141"/>
      <c r="ETM24" s="2141"/>
      <c r="ETN24" s="2140"/>
      <c r="ETO24" s="2141"/>
      <c r="ETP24" s="2141"/>
      <c r="ETQ24" s="2140"/>
      <c r="ETR24" s="2141"/>
      <c r="ETS24" s="2141"/>
      <c r="ETT24" s="2140"/>
      <c r="ETU24" s="2141"/>
      <c r="ETV24" s="2141"/>
      <c r="ETW24" s="2140"/>
      <c r="ETX24" s="2141"/>
      <c r="ETY24" s="2141"/>
      <c r="ETZ24" s="2140"/>
      <c r="EUA24" s="2141"/>
      <c r="EUB24" s="2141"/>
      <c r="EUC24" s="2140"/>
      <c r="EUD24" s="2141"/>
      <c r="EUE24" s="2141"/>
      <c r="EUF24" s="2140"/>
      <c r="EUG24" s="2141"/>
      <c r="EUH24" s="2141"/>
      <c r="EUI24" s="2140"/>
      <c r="EUJ24" s="2141"/>
      <c r="EUK24" s="2141"/>
      <c r="EUL24" s="2140"/>
      <c r="EUM24" s="2141"/>
      <c r="EUN24" s="2141"/>
      <c r="EUO24" s="2140"/>
      <c r="EUP24" s="2141"/>
      <c r="EUQ24" s="2141"/>
      <c r="EUR24" s="2140"/>
      <c r="EUS24" s="2141"/>
      <c r="EUT24" s="2141"/>
      <c r="EUU24" s="2140"/>
      <c r="EUV24" s="2141"/>
      <c r="EUW24" s="2141"/>
      <c r="EUX24" s="2140"/>
      <c r="EUY24" s="2141"/>
      <c r="EUZ24" s="2141"/>
      <c r="EVA24" s="2140"/>
      <c r="EVB24" s="2141"/>
      <c r="EVC24" s="2141"/>
      <c r="EVD24" s="2140"/>
      <c r="EVE24" s="2141"/>
      <c r="EVF24" s="2141"/>
      <c r="EVG24" s="2140"/>
      <c r="EVH24" s="2141"/>
      <c r="EVI24" s="2141"/>
      <c r="EVJ24" s="2140"/>
      <c r="EVK24" s="2141"/>
      <c r="EVL24" s="2141"/>
      <c r="EVM24" s="2140"/>
      <c r="EVN24" s="2141"/>
      <c r="EVO24" s="2141"/>
      <c r="EVP24" s="2140"/>
      <c r="EVQ24" s="2141"/>
      <c r="EVR24" s="2141"/>
      <c r="EVS24" s="2140"/>
      <c r="EVT24" s="2141"/>
      <c r="EVU24" s="2141"/>
      <c r="EVV24" s="2140"/>
      <c r="EVW24" s="2141"/>
      <c r="EVX24" s="2141"/>
      <c r="EVY24" s="2140"/>
      <c r="EVZ24" s="2141"/>
      <c r="EWA24" s="2141"/>
      <c r="EWB24" s="2140"/>
      <c r="EWC24" s="2141"/>
      <c r="EWD24" s="2141"/>
      <c r="EWE24" s="2140"/>
      <c r="EWF24" s="2141"/>
      <c r="EWG24" s="2141"/>
      <c r="EWH24" s="2140"/>
      <c r="EWI24" s="2141"/>
      <c r="EWJ24" s="2141"/>
      <c r="EWK24" s="2140"/>
      <c r="EWL24" s="2141"/>
      <c r="EWM24" s="2141"/>
      <c r="EWN24" s="2140"/>
      <c r="EWO24" s="2141"/>
      <c r="EWP24" s="2141"/>
      <c r="EWQ24" s="2140"/>
      <c r="EWR24" s="2141"/>
      <c r="EWS24" s="2141"/>
      <c r="EWT24" s="2140"/>
      <c r="EWU24" s="2141"/>
      <c r="EWV24" s="2141"/>
      <c r="EWW24" s="2140"/>
      <c r="EWX24" s="2141"/>
      <c r="EWY24" s="2141"/>
      <c r="EWZ24" s="2140"/>
      <c r="EXA24" s="2141"/>
      <c r="EXB24" s="2141"/>
      <c r="EXC24" s="2140"/>
      <c r="EXD24" s="2141"/>
      <c r="EXE24" s="2141"/>
      <c r="EXF24" s="2140"/>
      <c r="EXG24" s="2141"/>
      <c r="EXH24" s="2141"/>
      <c r="EXI24" s="2140"/>
      <c r="EXJ24" s="2141"/>
      <c r="EXK24" s="2141"/>
      <c r="EXL24" s="2140"/>
      <c r="EXM24" s="2141"/>
      <c r="EXN24" s="2141"/>
      <c r="EXO24" s="2140"/>
      <c r="EXP24" s="2141"/>
      <c r="EXQ24" s="2141"/>
      <c r="EXR24" s="2140"/>
      <c r="EXS24" s="2141"/>
      <c r="EXT24" s="2141"/>
      <c r="EXU24" s="2140"/>
      <c r="EXV24" s="2141"/>
      <c r="EXW24" s="2141"/>
      <c r="EXX24" s="2140"/>
      <c r="EXY24" s="2141"/>
      <c r="EXZ24" s="2141"/>
      <c r="EYA24" s="2140"/>
      <c r="EYB24" s="2141"/>
      <c r="EYC24" s="2141"/>
      <c r="EYD24" s="2140"/>
      <c r="EYE24" s="2141"/>
      <c r="EYF24" s="2141"/>
      <c r="EYG24" s="2140"/>
      <c r="EYH24" s="2141"/>
      <c r="EYI24" s="2141"/>
      <c r="EYJ24" s="2140"/>
      <c r="EYK24" s="2141"/>
      <c r="EYL24" s="2141"/>
      <c r="EYM24" s="2140"/>
      <c r="EYN24" s="2141"/>
      <c r="EYO24" s="2141"/>
      <c r="EYP24" s="2140"/>
      <c r="EYQ24" s="2141"/>
      <c r="EYR24" s="2141"/>
      <c r="EYS24" s="2140"/>
      <c r="EYT24" s="2141"/>
      <c r="EYU24" s="2141"/>
      <c r="EYV24" s="2140"/>
      <c r="EYW24" s="2141"/>
      <c r="EYX24" s="2141"/>
      <c r="EYY24" s="2140"/>
      <c r="EYZ24" s="2141"/>
      <c r="EZA24" s="2141"/>
      <c r="EZB24" s="2140"/>
      <c r="EZC24" s="2141"/>
      <c r="EZD24" s="2141"/>
      <c r="EZE24" s="2140"/>
      <c r="EZF24" s="2141"/>
      <c r="EZG24" s="2141"/>
      <c r="EZH24" s="2140"/>
      <c r="EZI24" s="2141"/>
      <c r="EZJ24" s="2141"/>
      <c r="EZK24" s="2140"/>
      <c r="EZL24" s="2141"/>
      <c r="EZM24" s="2141"/>
      <c r="EZN24" s="2140"/>
      <c r="EZO24" s="2141"/>
      <c r="EZP24" s="2141"/>
      <c r="EZQ24" s="2140"/>
      <c r="EZR24" s="2141"/>
      <c r="EZS24" s="2141"/>
      <c r="EZT24" s="2140"/>
      <c r="EZU24" s="2141"/>
      <c r="EZV24" s="2141"/>
      <c r="EZW24" s="2140"/>
      <c r="EZX24" s="2141"/>
      <c r="EZY24" s="2141"/>
      <c r="EZZ24" s="2140"/>
      <c r="FAA24" s="2141"/>
      <c r="FAB24" s="2141"/>
      <c r="FAC24" s="2140"/>
      <c r="FAD24" s="2141"/>
      <c r="FAE24" s="2141"/>
      <c r="FAF24" s="2140"/>
      <c r="FAG24" s="2141"/>
      <c r="FAH24" s="2141"/>
      <c r="FAI24" s="2140"/>
      <c r="FAJ24" s="2141"/>
      <c r="FAK24" s="2141"/>
      <c r="FAL24" s="2140"/>
      <c r="FAM24" s="2141"/>
      <c r="FAN24" s="2141"/>
      <c r="FAO24" s="2140"/>
      <c r="FAP24" s="2141"/>
      <c r="FAQ24" s="2141"/>
      <c r="FAR24" s="2140"/>
      <c r="FAS24" s="2141"/>
      <c r="FAT24" s="2141"/>
      <c r="FAU24" s="2140"/>
      <c r="FAV24" s="2141"/>
      <c r="FAW24" s="2141"/>
      <c r="FAX24" s="2140"/>
      <c r="FAY24" s="2141"/>
      <c r="FAZ24" s="2141"/>
      <c r="FBA24" s="2140"/>
      <c r="FBB24" s="2141"/>
      <c r="FBC24" s="2141"/>
      <c r="FBD24" s="2140"/>
      <c r="FBE24" s="2141"/>
      <c r="FBF24" s="2141"/>
      <c r="FBG24" s="2140"/>
      <c r="FBH24" s="2141"/>
      <c r="FBI24" s="2141"/>
      <c r="FBJ24" s="2140"/>
      <c r="FBK24" s="2141"/>
      <c r="FBL24" s="2141"/>
      <c r="FBM24" s="2140"/>
      <c r="FBN24" s="2141"/>
      <c r="FBO24" s="2141"/>
      <c r="FBP24" s="2140"/>
      <c r="FBQ24" s="2141"/>
      <c r="FBR24" s="2141"/>
      <c r="FBS24" s="2140"/>
      <c r="FBT24" s="2141"/>
      <c r="FBU24" s="2141"/>
      <c r="FBV24" s="2140"/>
      <c r="FBW24" s="2141"/>
      <c r="FBX24" s="2141"/>
      <c r="FBY24" s="2140"/>
      <c r="FBZ24" s="2141"/>
      <c r="FCA24" s="2141"/>
      <c r="FCB24" s="2140"/>
      <c r="FCC24" s="2141"/>
      <c r="FCD24" s="2141"/>
      <c r="FCE24" s="2140"/>
      <c r="FCF24" s="2141"/>
      <c r="FCG24" s="2141"/>
      <c r="FCH24" s="2140"/>
      <c r="FCI24" s="2141"/>
      <c r="FCJ24" s="2141"/>
      <c r="FCK24" s="2140"/>
      <c r="FCL24" s="2141"/>
      <c r="FCM24" s="2141"/>
      <c r="FCN24" s="2140"/>
      <c r="FCO24" s="2141"/>
      <c r="FCP24" s="2141"/>
      <c r="FCQ24" s="2140"/>
      <c r="FCR24" s="2141"/>
      <c r="FCS24" s="2141"/>
      <c r="FCT24" s="2140"/>
      <c r="FCU24" s="2141"/>
      <c r="FCV24" s="2141"/>
      <c r="FCW24" s="2140"/>
      <c r="FCX24" s="2141"/>
      <c r="FCY24" s="2141"/>
      <c r="FCZ24" s="2140"/>
      <c r="FDA24" s="2141"/>
      <c r="FDB24" s="2141"/>
      <c r="FDC24" s="2140"/>
      <c r="FDD24" s="2141"/>
      <c r="FDE24" s="2141"/>
      <c r="FDF24" s="2140"/>
      <c r="FDG24" s="2141"/>
      <c r="FDH24" s="2141"/>
      <c r="FDI24" s="2140"/>
      <c r="FDJ24" s="2141"/>
      <c r="FDK24" s="2141"/>
      <c r="FDL24" s="2140"/>
      <c r="FDM24" s="2141"/>
      <c r="FDN24" s="2141"/>
      <c r="FDO24" s="2140"/>
      <c r="FDP24" s="2141"/>
      <c r="FDQ24" s="2141"/>
      <c r="FDR24" s="2140"/>
      <c r="FDS24" s="2141"/>
      <c r="FDT24" s="2141"/>
      <c r="FDU24" s="2140"/>
      <c r="FDV24" s="2141"/>
      <c r="FDW24" s="2141"/>
      <c r="FDX24" s="2140"/>
      <c r="FDY24" s="2141"/>
      <c r="FDZ24" s="2141"/>
      <c r="FEA24" s="2140"/>
      <c r="FEB24" s="2141"/>
      <c r="FEC24" s="2141"/>
      <c r="FED24" s="2140"/>
      <c r="FEE24" s="2141"/>
      <c r="FEF24" s="2141"/>
      <c r="FEG24" s="2140"/>
      <c r="FEH24" s="2141"/>
      <c r="FEI24" s="2141"/>
      <c r="FEJ24" s="2140"/>
      <c r="FEK24" s="2141"/>
      <c r="FEL24" s="2141"/>
      <c r="FEM24" s="2140"/>
      <c r="FEN24" s="2141"/>
      <c r="FEO24" s="2141"/>
      <c r="FEP24" s="2140"/>
      <c r="FEQ24" s="2141"/>
      <c r="FER24" s="2141"/>
      <c r="FES24" s="2140"/>
      <c r="FET24" s="2141"/>
      <c r="FEU24" s="2141"/>
      <c r="FEV24" s="2140"/>
      <c r="FEW24" s="2141"/>
      <c r="FEX24" s="2141"/>
      <c r="FEY24" s="2140"/>
      <c r="FEZ24" s="2141"/>
      <c r="FFA24" s="2141"/>
      <c r="FFB24" s="2140"/>
      <c r="FFC24" s="2141"/>
      <c r="FFD24" s="2141"/>
      <c r="FFE24" s="2140"/>
      <c r="FFF24" s="2141"/>
      <c r="FFG24" s="2141"/>
      <c r="FFH24" s="2140"/>
      <c r="FFI24" s="2141"/>
      <c r="FFJ24" s="2141"/>
      <c r="FFK24" s="2140"/>
      <c r="FFL24" s="2141"/>
      <c r="FFM24" s="2141"/>
      <c r="FFN24" s="2140"/>
      <c r="FFO24" s="2141"/>
      <c r="FFP24" s="2141"/>
      <c r="FFQ24" s="2140"/>
      <c r="FFR24" s="2141"/>
      <c r="FFS24" s="2141"/>
      <c r="FFT24" s="2140"/>
      <c r="FFU24" s="2141"/>
      <c r="FFV24" s="2141"/>
      <c r="FFW24" s="2140"/>
      <c r="FFX24" s="2141"/>
      <c r="FFY24" s="2141"/>
      <c r="FFZ24" s="2140"/>
      <c r="FGA24" s="2141"/>
      <c r="FGB24" s="2141"/>
      <c r="FGC24" s="2140"/>
      <c r="FGD24" s="2141"/>
      <c r="FGE24" s="2141"/>
      <c r="FGF24" s="2140"/>
      <c r="FGG24" s="2141"/>
      <c r="FGH24" s="2141"/>
      <c r="FGI24" s="2140"/>
      <c r="FGJ24" s="2141"/>
      <c r="FGK24" s="2141"/>
      <c r="FGL24" s="2140"/>
      <c r="FGM24" s="2141"/>
      <c r="FGN24" s="2141"/>
      <c r="FGO24" s="2140"/>
      <c r="FGP24" s="2141"/>
      <c r="FGQ24" s="2141"/>
      <c r="FGR24" s="2140"/>
      <c r="FGS24" s="2141"/>
      <c r="FGT24" s="2141"/>
      <c r="FGU24" s="2140"/>
      <c r="FGV24" s="2141"/>
      <c r="FGW24" s="2141"/>
      <c r="FGX24" s="2140"/>
      <c r="FGY24" s="2141"/>
      <c r="FGZ24" s="2141"/>
      <c r="FHA24" s="2140"/>
      <c r="FHB24" s="2141"/>
      <c r="FHC24" s="2141"/>
      <c r="FHD24" s="2140"/>
      <c r="FHE24" s="2141"/>
      <c r="FHF24" s="2141"/>
      <c r="FHG24" s="2140"/>
      <c r="FHH24" s="2141"/>
      <c r="FHI24" s="2141"/>
      <c r="FHJ24" s="2140"/>
      <c r="FHK24" s="2141"/>
      <c r="FHL24" s="2141"/>
      <c r="FHM24" s="2140"/>
      <c r="FHN24" s="2141"/>
      <c r="FHO24" s="2141"/>
      <c r="FHP24" s="2140"/>
      <c r="FHQ24" s="2141"/>
      <c r="FHR24" s="2141"/>
      <c r="FHS24" s="2140"/>
      <c r="FHT24" s="2141"/>
      <c r="FHU24" s="2141"/>
      <c r="FHV24" s="2140"/>
      <c r="FHW24" s="2141"/>
      <c r="FHX24" s="2141"/>
      <c r="FHY24" s="2140"/>
      <c r="FHZ24" s="2141"/>
      <c r="FIA24" s="2141"/>
      <c r="FIB24" s="2140"/>
      <c r="FIC24" s="2141"/>
      <c r="FID24" s="2141"/>
      <c r="FIE24" s="2140"/>
      <c r="FIF24" s="2141"/>
      <c r="FIG24" s="2141"/>
      <c r="FIH24" s="2140"/>
      <c r="FII24" s="2141"/>
      <c r="FIJ24" s="2141"/>
      <c r="FIK24" s="2140"/>
      <c r="FIL24" s="2141"/>
      <c r="FIM24" s="2141"/>
      <c r="FIN24" s="2140"/>
      <c r="FIO24" s="2141"/>
      <c r="FIP24" s="2141"/>
      <c r="FIQ24" s="2140"/>
      <c r="FIR24" s="2141"/>
      <c r="FIS24" s="2141"/>
      <c r="FIT24" s="2140"/>
      <c r="FIU24" s="2141"/>
      <c r="FIV24" s="2141"/>
      <c r="FIW24" s="2140"/>
      <c r="FIX24" s="2141"/>
      <c r="FIY24" s="2141"/>
      <c r="FIZ24" s="2140"/>
      <c r="FJA24" s="2141"/>
      <c r="FJB24" s="2141"/>
      <c r="FJC24" s="2140"/>
      <c r="FJD24" s="2141"/>
      <c r="FJE24" s="2141"/>
      <c r="FJF24" s="2140"/>
      <c r="FJG24" s="2141"/>
      <c r="FJH24" s="2141"/>
      <c r="FJI24" s="2140"/>
      <c r="FJJ24" s="2141"/>
      <c r="FJK24" s="2141"/>
      <c r="FJL24" s="2140"/>
      <c r="FJM24" s="2141"/>
      <c r="FJN24" s="2141"/>
      <c r="FJO24" s="2140"/>
      <c r="FJP24" s="2141"/>
      <c r="FJQ24" s="2141"/>
      <c r="FJR24" s="2140"/>
      <c r="FJS24" s="2141"/>
      <c r="FJT24" s="2141"/>
      <c r="FJU24" s="2140"/>
      <c r="FJV24" s="2141"/>
      <c r="FJW24" s="2141"/>
      <c r="FJX24" s="2140"/>
      <c r="FJY24" s="2141"/>
      <c r="FJZ24" s="2141"/>
      <c r="FKA24" s="2140"/>
      <c r="FKB24" s="2141"/>
      <c r="FKC24" s="2141"/>
      <c r="FKD24" s="2140"/>
      <c r="FKE24" s="2141"/>
      <c r="FKF24" s="2141"/>
      <c r="FKG24" s="2140"/>
      <c r="FKH24" s="2141"/>
      <c r="FKI24" s="2141"/>
      <c r="FKJ24" s="2140"/>
      <c r="FKK24" s="2141"/>
      <c r="FKL24" s="2141"/>
      <c r="FKM24" s="2140"/>
      <c r="FKN24" s="2141"/>
      <c r="FKO24" s="2141"/>
      <c r="FKP24" s="2140"/>
      <c r="FKQ24" s="2141"/>
      <c r="FKR24" s="2141"/>
      <c r="FKS24" s="2140"/>
      <c r="FKT24" s="2141"/>
      <c r="FKU24" s="2141"/>
      <c r="FKV24" s="2140"/>
      <c r="FKW24" s="2141"/>
      <c r="FKX24" s="2141"/>
      <c r="FKY24" s="2140"/>
      <c r="FKZ24" s="2141"/>
      <c r="FLA24" s="2141"/>
      <c r="FLB24" s="2140"/>
      <c r="FLC24" s="2141"/>
      <c r="FLD24" s="2141"/>
      <c r="FLE24" s="2140"/>
      <c r="FLF24" s="2141"/>
      <c r="FLG24" s="2141"/>
      <c r="FLH24" s="2140"/>
      <c r="FLI24" s="2141"/>
      <c r="FLJ24" s="2141"/>
      <c r="FLK24" s="2140"/>
      <c r="FLL24" s="2141"/>
      <c r="FLM24" s="2141"/>
      <c r="FLN24" s="2140"/>
      <c r="FLO24" s="2141"/>
      <c r="FLP24" s="2141"/>
      <c r="FLQ24" s="2140"/>
      <c r="FLR24" s="2141"/>
      <c r="FLS24" s="2141"/>
      <c r="FLT24" s="2140"/>
      <c r="FLU24" s="2141"/>
      <c r="FLV24" s="2141"/>
      <c r="FLW24" s="2140"/>
      <c r="FLX24" s="2141"/>
      <c r="FLY24" s="2141"/>
      <c r="FLZ24" s="2140"/>
      <c r="FMA24" s="2141"/>
      <c r="FMB24" s="2141"/>
      <c r="FMC24" s="2140"/>
      <c r="FMD24" s="2141"/>
      <c r="FME24" s="2141"/>
      <c r="FMF24" s="2140"/>
      <c r="FMG24" s="2141"/>
      <c r="FMH24" s="2141"/>
      <c r="FMI24" s="2140"/>
      <c r="FMJ24" s="2141"/>
      <c r="FMK24" s="2141"/>
      <c r="FML24" s="2140"/>
      <c r="FMM24" s="2141"/>
      <c r="FMN24" s="2141"/>
      <c r="FMO24" s="2140"/>
      <c r="FMP24" s="2141"/>
      <c r="FMQ24" s="2141"/>
      <c r="FMR24" s="2140"/>
      <c r="FMS24" s="2141"/>
      <c r="FMT24" s="2141"/>
      <c r="FMU24" s="2140"/>
      <c r="FMV24" s="2141"/>
      <c r="FMW24" s="2141"/>
      <c r="FMX24" s="2140"/>
      <c r="FMY24" s="2141"/>
      <c r="FMZ24" s="2141"/>
      <c r="FNA24" s="2140"/>
      <c r="FNB24" s="2141"/>
      <c r="FNC24" s="2141"/>
      <c r="FND24" s="2140"/>
      <c r="FNE24" s="2141"/>
      <c r="FNF24" s="2141"/>
      <c r="FNG24" s="2140"/>
      <c r="FNH24" s="2141"/>
      <c r="FNI24" s="2141"/>
      <c r="FNJ24" s="2140"/>
      <c r="FNK24" s="2141"/>
      <c r="FNL24" s="2141"/>
      <c r="FNM24" s="2140"/>
      <c r="FNN24" s="2141"/>
      <c r="FNO24" s="2141"/>
      <c r="FNP24" s="2140"/>
      <c r="FNQ24" s="2141"/>
      <c r="FNR24" s="2141"/>
      <c r="FNS24" s="2140"/>
      <c r="FNT24" s="2141"/>
      <c r="FNU24" s="2141"/>
      <c r="FNV24" s="2140"/>
      <c r="FNW24" s="2141"/>
      <c r="FNX24" s="2141"/>
      <c r="FNY24" s="2140"/>
      <c r="FNZ24" s="2141"/>
      <c r="FOA24" s="2141"/>
      <c r="FOB24" s="2140"/>
      <c r="FOC24" s="2141"/>
      <c r="FOD24" s="2141"/>
      <c r="FOE24" s="2140"/>
      <c r="FOF24" s="2141"/>
      <c r="FOG24" s="2141"/>
      <c r="FOH24" s="2140"/>
      <c r="FOI24" s="2141"/>
      <c r="FOJ24" s="2141"/>
      <c r="FOK24" s="2140"/>
      <c r="FOL24" s="2141"/>
      <c r="FOM24" s="2141"/>
      <c r="FON24" s="2140"/>
      <c r="FOO24" s="2141"/>
      <c r="FOP24" s="2141"/>
      <c r="FOQ24" s="2140"/>
      <c r="FOR24" s="2141"/>
      <c r="FOS24" s="2141"/>
      <c r="FOT24" s="2140"/>
      <c r="FOU24" s="2141"/>
      <c r="FOV24" s="2141"/>
      <c r="FOW24" s="2140"/>
      <c r="FOX24" s="2141"/>
      <c r="FOY24" s="2141"/>
      <c r="FOZ24" s="2140"/>
      <c r="FPA24" s="2141"/>
      <c r="FPB24" s="2141"/>
      <c r="FPC24" s="2140"/>
      <c r="FPD24" s="2141"/>
      <c r="FPE24" s="2141"/>
      <c r="FPF24" s="2140"/>
      <c r="FPG24" s="2141"/>
      <c r="FPH24" s="2141"/>
      <c r="FPI24" s="2140"/>
      <c r="FPJ24" s="2141"/>
      <c r="FPK24" s="2141"/>
      <c r="FPL24" s="2140"/>
      <c r="FPM24" s="2141"/>
      <c r="FPN24" s="2141"/>
      <c r="FPO24" s="2140"/>
      <c r="FPP24" s="2141"/>
      <c r="FPQ24" s="2141"/>
      <c r="FPR24" s="2140"/>
      <c r="FPS24" s="2141"/>
      <c r="FPT24" s="2141"/>
      <c r="FPU24" s="2140"/>
      <c r="FPV24" s="2141"/>
      <c r="FPW24" s="2141"/>
      <c r="FPX24" s="2140"/>
      <c r="FPY24" s="2141"/>
      <c r="FPZ24" s="2141"/>
      <c r="FQA24" s="2140"/>
      <c r="FQB24" s="2141"/>
      <c r="FQC24" s="2141"/>
      <c r="FQD24" s="2140"/>
      <c r="FQE24" s="2141"/>
      <c r="FQF24" s="2141"/>
      <c r="FQG24" s="2140"/>
      <c r="FQH24" s="2141"/>
      <c r="FQI24" s="2141"/>
      <c r="FQJ24" s="2140"/>
      <c r="FQK24" s="2141"/>
      <c r="FQL24" s="2141"/>
      <c r="FQM24" s="2140"/>
      <c r="FQN24" s="2141"/>
      <c r="FQO24" s="2141"/>
      <c r="FQP24" s="2140"/>
      <c r="FQQ24" s="2141"/>
      <c r="FQR24" s="2141"/>
      <c r="FQS24" s="2140"/>
      <c r="FQT24" s="2141"/>
      <c r="FQU24" s="2141"/>
      <c r="FQV24" s="2140"/>
      <c r="FQW24" s="2141"/>
      <c r="FQX24" s="2141"/>
      <c r="FQY24" s="2140"/>
      <c r="FQZ24" s="2141"/>
      <c r="FRA24" s="2141"/>
      <c r="FRB24" s="2140"/>
      <c r="FRC24" s="2141"/>
      <c r="FRD24" s="2141"/>
      <c r="FRE24" s="2140"/>
      <c r="FRF24" s="2141"/>
      <c r="FRG24" s="2141"/>
      <c r="FRH24" s="2140"/>
      <c r="FRI24" s="2141"/>
      <c r="FRJ24" s="2141"/>
      <c r="FRK24" s="2140"/>
      <c r="FRL24" s="2141"/>
      <c r="FRM24" s="2141"/>
      <c r="FRN24" s="2140"/>
      <c r="FRO24" s="2141"/>
      <c r="FRP24" s="2141"/>
      <c r="FRQ24" s="2140"/>
      <c r="FRR24" s="2141"/>
      <c r="FRS24" s="2141"/>
      <c r="FRT24" s="2140"/>
      <c r="FRU24" s="2141"/>
      <c r="FRV24" s="2141"/>
      <c r="FRW24" s="2140"/>
      <c r="FRX24" s="2141"/>
      <c r="FRY24" s="2141"/>
      <c r="FRZ24" s="2140"/>
      <c r="FSA24" s="2141"/>
      <c r="FSB24" s="2141"/>
      <c r="FSC24" s="2140"/>
      <c r="FSD24" s="2141"/>
      <c r="FSE24" s="2141"/>
      <c r="FSF24" s="2140"/>
      <c r="FSG24" s="2141"/>
      <c r="FSH24" s="2141"/>
      <c r="FSI24" s="2140"/>
      <c r="FSJ24" s="2141"/>
      <c r="FSK24" s="2141"/>
      <c r="FSL24" s="2140"/>
      <c r="FSM24" s="2141"/>
      <c r="FSN24" s="2141"/>
      <c r="FSO24" s="2140"/>
      <c r="FSP24" s="2141"/>
      <c r="FSQ24" s="2141"/>
      <c r="FSR24" s="2140"/>
      <c r="FSS24" s="2141"/>
      <c r="FST24" s="2141"/>
      <c r="FSU24" s="2140"/>
      <c r="FSV24" s="2141"/>
      <c r="FSW24" s="2141"/>
      <c r="FSX24" s="2140"/>
      <c r="FSY24" s="2141"/>
      <c r="FSZ24" s="2141"/>
      <c r="FTA24" s="2140"/>
      <c r="FTB24" s="2141"/>
      <c r="FTC24" s="2141"/>
      <c r="FTD24" s="2140"/>
      <c r="FTE24" s="2141"/>
      <c r="FTF24" s="2141"/>
      <c r="FTG24" s="2140"/>
      <c r="FTH24" s="2141"/>
      <c r="FTI24" s="2141"/>
      <c r="FTJ24" s="2140"/>
      <c r="FTK24" s="2141"/>
      <c r="FTL24" s="2141"/>
      <c r="FTM24" s="2140"/>
      <c r="FTN24" s="2141"/>
      <c r="FTO24" s="2141"/>
      <c r="FTP24" s="2140"/>
      <c r="FTQ24" s="2141"/>
      <c r="FTR24" s="2141"/>
      <c r="FTS24" s="2140"/>
      <c r="FTT24" s="2141"/>
      <c r="FTU24" s="2141"/>
      <c r="FTV24" s="2140"/>
      <c r="FTW24" s="2141"/>
      <c r="FTX24" s="2141"/>
      <c r="FTY24" s="2140"/>
      <c r="FTZ24" s="2141"/>
      <c r="FUA24" s="2141"/>
      <c r="FUB24" s="2140"/>
      <c r="FUC24" s="2141"/>
      <c r="FUD24" s="2141"/>
      <c r="FUE24" s="2140"/>
      <c r="FUF24" s="2141"/>
      <c r="FUG24" s="2141"/>
      <c r="FUH24" s="2140"/>
      <c r="FUI24" s="2141"/>
      <c r="FUJ24" s="2141"/>
      <c r="FUK24" s="2140"/>
      <c r="FUL24" s="2141"/>
      <c r="FUM24" s="2141"/>
      <c r="FUN24" s="2140"/>
      <c r="FUO24" s="2141"/>
      <c r="FUP24" s="2141"/>
      <c r="FUQ24" s="2140"/>
      <c r="FUR24" s="2141"/>
      <c r="FUS24" s="2141"/>
      <c r="FUT24" s="2140"/>
      <c r="FUU24" s="2141"/>
      <c r="FUV24" s="2141"/>
      <c r="FUW24" s="2140"/>
      <c r="FUX24" s="2141"/>
      <c r="FUY24" s="2141"/>
      <c r="FUZ24" s="2140"/>
      <c r="FVA24" s="2141"/>
      <c r="FVB24" s="2141"/>
      <c r="FVC24" s="2140"/>
      <c r="FVD24" s="2141"/>
      <c r="FVE24" s="2141"/>
      <c r="FVF24" s="2140"/>
      <c r="FVG24" s="2141"/>
      <c r="FVH24" s="2141"/>
      <c r="FVI24" s="2140"/>
      <c r="FVJ24" s="2141"/>
      <c r="FVK24" s="2141"/>
      <c r="FVL24" s="2140"/>
      <c r="FVM24" s="2141"/>
      <c r="FVN24" s="2141"/>
      <c r="FVO24" s="2140"/>
      <c r="FVP24" s="2141"/>
      <c r="FVQ24" s="2141"/>
      <c r="FVR24" s="2140"/>
      <c r="FVS24" s="2141"/>
      <c r="FVT24" s="2141"/>
      <c r="FVU24" s="2140"/>
      <c r="FVV24" s="2141"/>
      <c r="FVW24" s="2141"/>
      <c r="FVX24" s="2140"/>
      <c r="FVY24" s="2141"/>
      <c r="FVZ24" s="2141"/>
      <c r="FWA24" s="2140"/>
      <c r="FWB24" s="2141"/>
      <c r="FWC24" s="2141"/>
      <c r="FWD24" s="2140"/>
      <c r="FWE24" s="2141"/>
      <c r="FWF24" s="2141"/>
      <c r="FWG24" s="2140"/>
      <c r="FWH24" s="2141"/>
      <c r="FWI24" s="2141"/>
      <c r="FWJ24" s="2140"/>
      <c r="FWK24" s="2141"/>
      <c r="FWL24" s="2141"/>
      <c r="FWM24" s="2140"/>
      <c r="FWN24" s="2141"/>
      <c r="FWO24" s="2141"/>
      <c r="FWP24" s="2140"/>
      <c r="FWQ24" s="2141"/>
      <c r="FWR24" s="2141"/>
      <c r="FWS24" s="2140"/>
      <c r="FWT24" s="2141"/>
      <c r="FWU24" s="2141"/>
      <c r="FWV24" s="2140"/>
      <c r="FWW24" s="2141"/>
      <c r="FWX24" s="2141"/>
      <c r="FWY24" s="2140"/>
      <c r="FWZ24" s="2141"/>
      <c r="FXA24" s="2141"/>
      <c r="FXB24" s="2140"/>
      <c r="FXC24" s="2141"/>
      <c r="FXD24" s="2141"/>
      <c r="FXE24" s="2140"/>
      <c r="FXF24" s="2141"/>
      <c r="FXG24" s="2141"/>
      <c r="FXH24" s="2140"/>
      <c r="FXI24" s="2141"/>
      <c r="FXJ24" s="2141"/>
      <c r="FXK24" s="2140"/>
      <c r="FXL24" s="2141"/>
      <c r="FXM24" s="2141"/>
      <c r="FXN24" s="2140"/>
      <c r="FXO24" s="2141"/>
      <c r="FXP24" s="2141"/>
      <c r="FXQ24" s="2140"/>
      <c r="FXR24" s="2141"/>
      <c r="FXS24" s="2141"/>
      <c r="FXT24" s="2140"/>
      <c r="FXU24" s="2141"/>
      <c r="FXV24" s="2141"/>
      <c r="FXW24" s="2140"/>
      <c r="FXX24" s="2141"/>
      <c r="FXY24" s="2141"/>
      <c r="FXZ24" s="2140"/>
      <c r="FYA24" s="2141"/>
      <c r="FYB24" s="2141"/>
      <c r="FYC24" s="2140"/>
      <c r="FYD24" s="2141"/>
      <c r="FYE24" s="2141"/>
      <c r="FYF24" s="2140"/>
      <c r="FYG24" s="2141"/>
      <c r="FYH24" s="2141"/>
      <c r="FYI24" s="2140"/>
      <c r="FYJ24" s="2141"/>
      <c r="FYK24" s="2141"/>
      <c r="FYL24" s="2140"/>
      <c r="FYM24" s="2141"/>
      <c r="FYN24" s="2141"/>
      <c r="FYO24" s="2140"/>
      <c r="FYP24" s="2141"/>
      <c r="FYQ24" s="2141"/>
      <c r="FYR24" s="2140"/>
      <c r="FYS24" s="2141"/>
      <c r="FYT24" s="2141"/>
      <c r="FYU24" s="2140"/>
      <c r="FYV24" s="2141"/>
      <c r="FYW24" s="2141"/>
      <c r="FYX24" s="2140"/>
      <c r="FYY24" s="2141"/>
      <c r="FYZ24" s="2141"/>
      <c r="FZA24" s="2140"/>
      <c r="FZB24" s="2141"/>
      <c r="FZC24" s="2141"/>
      <c r="FZD24" s="2140"/>
      <c r="FZE24" s="2141"/>
      <c r="FZF24" s="2141"/>
      <c r="FZG24" s="2140"/>
      <c r="FZH24" s="2141"/>
      <c r="FZI24" s="2141"/>
      <c r="FZJ24" s="2140"/>
      <c r="FZK24" s="2141"/>
      <c r="FZL24" s="2141"/>
      <c r="FZM24" s="2140"/>
      <c r="FZN24" s="2141"/>
      <c r="FZO24" s="2141"/>
      <c r="FZP24" s="2140"/>
      <c r="FZQ24" s="2141"/>
      <c r="FZR24" s="2141"/>
      <c r="FZS24" s="2140"/>
      <c r="FZT24" s="2141"/>
      <c r="FZU24" s="2141"/>
      <c r="FZV24" s="2140"/>
      <c r="FZW24" s="2141"/>
      <c r="FZX24" s="2141"/>
      <c r="FZY24" s="2140"/>
      <c r="FZZ24" s="2141"/>
      <c r="GAA24" s="2141"/>
      <c r="GAB24" s="2140"/>
      <c r="GAC24" s="2141"/>
      <c r="GAD24" s="2141"/>
      <c r="GAE24" s="2140"/>
      <c r="GAF24" s="2141"/>
      <c r="GAG24" s="2141"/>
      <c r="GAH24" s="2140"/>
      <c r="GAI24" s="2141"/>
      <c r="GAJ24" s="2141"/>
      <c r="GAK24" s="2140"/>
      <c r="GAL24" s="2141"/>
      <c r="GAM24" s="2141"/>
      <c r="GAN24" s="2140"/>
      <c r="GAO24" s="2141"/>
      <c r="GAP24" s="2141"/>
      <c r="GAQ24" s="2140"/>
      <c r="GAR24" s="2141"/>
      <c r="GAS24" s="2141"/>
      <c r="GAT24" s="2140"/>
      <c r="GAU24" s="2141"/>
      <c r="GAV24" s="2141"/>
      <c r="GAW24" s="2140"/>
      <c r="GAX24" s="2141"/>
      <c r="GAY24" s="2141"/>
      <c r="GAZ24" s="2140"/>
      <c r="GBA24" s="2141"/>
      <c r="GBB24" s="2141"/>
      <c r="GBC24" s="2140"/>
      <c r="GBD24" s="2141"/>
      <c r="GBE24" s="2141"/>
      <c r="GBF24" s="2140"/>
      <c r="GBG24" s="2141"/>
      <c r="GBH24" s="2141"/>
      <c r="GBI24" s="2140"/>
      <c r="GBJ24" s="2141"/>
      <c r="GBK24" s="2141"/>
      <c r="GBL24" s="2140"/>
      <c r="GBM24" s="2141"/>
      <c r="GBN24" s="2141"/>
      <c r="GBO24" s="2140"/>
      <c r="GBP24" s="2141"/>
      <c r="GBQ24" s="2141"/>
      <c r="GBR24" s="2140"/>
      <c r="GBS24" s="2141"/>
      <c r="GBT24" s="2141"/>
      <c r="GBU24" s="2140"/>
      <c r="GBV24" s="2141"/>
      <c r="GBW24" s="2141"/>
      <c r="GBX24" s="2140"/>
      <c r="GBY24" s="2141"/>
      <c r="GBZ24" s="2141"/>
      <c r="GCA24" s="2140"/>
      <c r="GCB24" s="2141"/>
      <c r="GCC24" s="2141"/>
      <c r="GCD24" s="2140"/>
      <c r="GCE24" s="2141"/>
      <c r="GCF24" s="2141"/>
      <c r="GCG24" s="2140"/>
      <c r="GCH24" s="2141"/>
      <c r="GCI24" s="2141"/>
      <c r="GCJ24" s="2140"/>
      <c r="GCK24" s="2141"/>
      <c r="GCL24" s="2141"/>
      <c r="GCM24" s="2140"/>
      <c r="GCN24" s="2141"/>
      <c r="GCO24" s="2141"/>
      <c r="GCP24" s="2140"/>
      <c r="GCQ24" s="2141"/>
      <c r="GCR24" s="2141"/>
      <c r="GCS24" s="2140"/>
      <c r="GCT24" s="2141"/>
      <c r="GCU24" s="2141"/>
      <c r="GCV24" s="2140"/>
      <c r="GCW24" s="2141"/>
      <c r="GCX24" s="2141"/>
      <c r="GCY24" s="2140"/>
      <c r="GCZ24" s="2141"/>
      <c r="GDA24" s="2141"/>
      <c r="GDB24" s="2140"/>
      <c r="GDC24" s="2141"/>
      <c r="GDD24" s="2141"/>
      <c r="GDE24" s="2140"/>
      <c r="GDF24" s="2141"/>
      <c r="GDG24" s="2141"/>
      <c r="GDH24" s="2140"/>
      <c r="GDI24" s="2141"/>
      <c r="GDJ24" s="2141"/>
      <c r="GDK24" s="2140"/>
      <c r="GDL24" s="2141"/>
      <c r="GDM24" s="2141"/>
      <c r="GDN24" s="2140"/>
      <c r="GDO24" s="2141"/>
      <c r="GDP24" s="2141"/>
      <c r="GDQ24" s="2140"/>
      <c r="GDR24" s="2141"/>
      <c r="GDS24" s="2141"/>
      <c r="GDT24" s="2140"/>
      <c r="GDU24" s="2141"/>
      <c r="GDV24" s="2141"/>
      <c r="GDW24" s="2140"/>
      <c r="GDX24" s="2141"/>
      <c r="GDY24" s="2141"/>
      <c r="GDZ24" s="2140"/>
      <c r="GEA24" s="2141"/>
      <c r="GEB24" s="2141"/>
      <c r="GEC24" s="2140"/>
      <c r="GED24" s="2141"/>
      <c r="GEE24" s="2141"/>
      <c r="GEF24" s="2140"/>
      <c r="GEG24" s="2141"/>
      <c r="GEH24" s="2141"/>
      <c r="GEI24" s="2140"/>
      <c r="GEJ24" s="2141"/>
      <c r="GEK24" s="2141"/>
      <c r="GEL24" s="2140"/>
      <c r="GEM24" s="2141"/>
      <c r="GEN24" s="2141"/>
      <c r="GEO24" s="2140"/>
      <c r="GEP24" s="2141"/>
      <c r="GEQ24" s="2141"/>
      <c r="GER24" s="2140"/>
      <c r="GES24" s="2141"/>
      <c r="GET24" s="2141"/>
      <c r="GEU24" s="2140"/>
      <c r="GEV24" s="2141"/>
      <c r="GEW24" s="2141"/>
      <c r="GEX24" s="2140"/>
      <c r="GEY24" s="2141"/>
      <c r="GEZ24" s="2141"/>
      <c r="GFA24" s="2140"/>
      <c r="GFB24" s="2141"/>
      <c r="GFC24" s="2141"/>
      <c r="GFD24" s="2140"/>
      <c r="GFE24" s="2141"/>
      <c r="GFF24" s="2141"/>
      <c r="GFG24" s="2140"/>
      <c r="GFH24" s="2141"/>
      <c r="GFI24" s="2141"/>
      <c r="GFJ24" s="2140"/>
      <c r="GFK24" s="2141"/>
      <c r="GFL24" s="2141"/>
      <c r="GFM24" s="2140"/>
      <c r="GFN24" s="2141"/>
      <c r="GFO24" s="2141"/>
      <c r="GFP24" s="2140"/>
      <c r="GFQ24" s="2141"/>
      <c r="GFR24" s="2141"/>
      <c r="GFS24" s="2140"/>
      <c r="GFT24" s="2141"/>
      <c r="GFU24" s="2141"/>
      <c r="GFV24" s="2140"/>
      <c r="GFW24" s="2141"/>
      <c r="GFX24" s="2141"/>
      <c r="GFY24" s="2140"/>
      <c r="GFZ24" s="2141"/>
      <c r="GGA24" s="2141"/>
      <c r="GGB24" s="2140"/>
      <c r="GGC24" s="2141"/>
      <c r="GGD24" s="2141"/>
      <c r="GGE24" s="2140"/>
      <c r="GGF24" s="2141"/>
      <c r="GGG24" s="2141"/>
      <c r="GGH24" s="2140"/>
      <c r="GGI24" s="2141"/>
      <c r="GGJ24" s="2141"/>
      <c r="GGK24" s="2140"/>
      <c r="GGL24" s="2141"/>
      <c r="GGM24" s="2141"/>
      <c r="GGN24" s="2140"/>
      <c r="GGO24" s="2141"/>
      <c r="GGP24" s="2141"/>
      <c r="GGQ24" s="2140"/>
      <c r="GGR24" s="2141"/>
      <c r="GGS24" s="2141"/>
      <c r="GGT24" s="2140"/>
      <c r="GGU24" s="2141"/>
      <c r="GGV24" s="2141"/>
      <c r="GGW24" s="2140"/>
      <c r="GGX24" s="2141"/>
      <c r="GGY24" s="2141"/>
      <c r="GGZ24" s="2140"/>
      <c r="GHA24" s="2141"/>
      <c r="GHB24" s="2141"/>
      <c r="GHC24" s="2140"/>
      <c r="GHD24" s="2141"/>
      <c r="GHE24" s="2141"/>
      <c r="GHF24" s="2140"/>
      <c r="GHG24" s="2141"/>
      <c r="GHH24" s="2141"/>
      <c r="GHI24" s="2140"/>
      <c r="GHJ24" s="2141"/>
      <c r="GHK24" s="2141"/>
      <c r="GHL24" s="2140"/>
      <c r="GHM24" s="2141"/>
      <c r="GHN24" s="2141"/>
      <c r="GHO24" s="2140"/>
      <c r="GHP24" s="2141"/>
      <c r="GHQ24" s="2141"/>
      <c r="GHR24" s="2140"/>
      <c r="GHS24" s="2141"/>
      <c r="GHT24" s="2141"/>
      <c r="GHU24" s="2140"/>
      <c r="GHV24" s="2141"/>
      <c r="GHW24" s="2141"/>
      <c r="GHX24" s="2140"/>
      <c r="GHY24" s="2141"/>
      <c r="GHZ24" s="2141"/>
      <c r="GIA24" s="2140"/>
      <c r="GIB24" s="2141"/>
      <c r="GIC24" s="2141"/>
      <c r="GID24" s="2140"/>
      <c r="GIE24" s="2141"/>
      <c r="GIF24" s="2141"/>
      <c r="GIG24" s="2140"/>
      <c r="GIH24" s="2141"/>
      <c r="GII24" s="2141"/>
      <c r="GIJ24" s="2140"/>
      <c r="GIK24" s="2141"/>
      <c r="GIL24" s="2141"/>
      <c r="GIM24" s="2140"/>
      <c r="GIN24" s="2141"/>
      <c r="GIO24" s="2141"/>
      <c r="GIP24" s="2140"/>
      <c r="GIQ24" s="2141"/>
      <c r="GIR24" s="2141"/>
      <c r="GIS24" s="2140"/>
      <c r="GIT24" s="2141"/>
      <c r="GIU24" s="2141"/>
      <c r="GIV24" s="2140"/>
      <c r="GIW24" s="2141"/>
      <c r="GIX24" s="2141"/>
      <c r="GIY24" s="2140"/>
      <c r="GIZ24" s="2141"/>
      <c r="GJA24" s="2141"/>
      <c r="GJB24" s="2140"/>
      <c r="GJC24" s="2141"/>
      <c r="GJD24" s="2141"/>
      <c r="GJE24" s="2140"/>
      <c r="GJF24" s="2141"/>
      <c r="GJG24" s="2141"/>
      <c r="GJH24" s="2140"/>
      <c r="GJI24" s="2141"/>
      <c r="GJJ24" s="2141"/>
      <c r="GJK24" s="2140"/>
      <c r="GJL24" s="2141"/>
      <c r="GJM24" s="2141"/>
      <c r="GJN24" s="2140"/>
      <c r="GJO24" s="2141"/>
      <c r="GJP24" s="2141"/>
      <c r="GJQ24" s="2140"/>
      <c r="GJR24" s="2141"/>
      <c r="GJS24" s="2141"/>
      <c r="GJT24" s="2140"/>
      <c r="GJU24" s="2141"/>
      <c r="GJV24" s="2141"/>
      <c r="GJW24" s="2140"/>
      <c r="GJX24" s="2141"/>
      <c r="GJY24" s="2141"/>
      <c r="GJZ24" s="2140"/>
      <c r="GKA24" s="2141"/>
      <c r="GKB24" s="2141"/>
      <c r="GKC24" s="2140"/>
      <c r="GKD24" s="2141"/>
      <c r="GKE24" s="2141"/>
      <c r="GKF24" s="2140"/>
      <c r="GKG24" s="2141"/>
      <c r="GKH24" s="2141"/>
      <c r="GKI24" s="2140"/>
      <c r="GKJ24" s="2141"/>
      <c r="GKK24" s="2141"/>
      <c r="GKL24" s="2140"/>
      <c r="GKM24" s="2141"/>
      <c r="GKN24" s="2141"/>
      <c r="GKO24" s="2140"/>
      <c r="GKP24" s="2141"/>
      <c r="GKQ24" s="2141"/>
      <c r="GKR24" s="2140"/>
      <c r="GKS24" s="2141"/>
      <c r="GKT24" s="2141"/>
      <c r="GKU24" s="2140"/>
      <c r="GKV24" s="2141"/>
      <c r="GKW24" s="2141"/>
      <c r="GKX24" s="2140"/>
      <c r="GKY24" s="2141"/>
      <c r="GKZ24" s="2141"/>
      <c r="GLA24" s="2140"/>
      <c r="GLB24" s="2141"/>
      <c r="GLC24" s="2141"/>
      <c r="GLD24" s="2140"/>
      <c r="GLE24" s="2141"/>
      <c r="GLF24" s="2141"/>
      <c r="GLG24" s="2140"/>
      <c r="GLH24" s="2141"/>
      <c r="GLI24" s="2141"/>
      <c r="GLJ24" s="2140"/>
      <c r="GLK24" s="2141"/>
      <c r="GLL24" s="2141"/>
      <c r="GLM24" s="2140"/>
      <c r="GLN24" s="2141"/>
      <c r="GLO24" s="2141"/>
      <c r="GLP24" s="2140"/>
      <c r="GLQ24" s="2141"/>
      <c r="GLR24" s="2141"/>
      <c r="GLS24" s="2140"/>
      <c r="GLT24" s="2141"/>
      <c r="GLU24" s="2141"/>
      <c r="GLV24" s="2140"/>
      <c r="GLW24" s="2141"/>
      <c r="GLX24" s="2141"/>
      <c r="GLY24" s="2140"/>
      <c r="GLZ24" s="2141"/>
      <c r="GMA24" s="2141"/>
      <c r="GMB24" s="2140"/>
      <c r="GMC24" s="2141"/>
      <c r="GMD24" s="2141"/>
      <c r="GME24" s="2140"/>
      <c r="GMF24" s="2141"/>
      <c r="GMG24" s="2141"/>
      <c r="GMH24" s="2140"/>
      <c r="GMI24" s="2141"/>
      <c r="GMJ24" s="2141"/>
      <c r="GMK24" s="2140"/>
      <c r="GML24" s="2141"/>
      <c r="GMM24" s="2141"/>
      <c r="GMN24" s="2140"/>
      <c r="GMO24" s="2141"/>
      <c r="GMP24" s="2141"/>
      <c r="GMQ24" s="2140"/>
      <c r="GMR24" s="2141"/>
      <c r="GMS24" s="2141"/>
      <c r="GMT24" s="2140"/>
      <c r="GMU24" s="2141"/>
      <c r="GMV24" s="2141"/>
      <c r="GMW24" s="2140"/>
      <c r="GMX24" s="2141"/>
      <c r="GMY24" s="2141"/>
      <c r="GMZ24" s="2140"/>
      <c r="GNA24" s="2141"/>
      <c r="GNB24" s="2141"/>
      <c r="GNC24" s="2140"/>
      <c r="GND24" s="2141"/>
      <c r="GNE24" s="2141"/>
      <c r="GNF24" s="2140"/>
      <c r="GNG24" s="2141"/>
      <c r="GNH24" s="2141"/>
      <c r="GNI24" s="2140"/>
      <c r="GNJ24" s="2141"/>
      <c r="GNK24" s="2141"/>
      <c r="GNL24" s="2140"/>
      <c r="GNM24" s="2141"/>
      <c r="GNN24" s="2141"/>
      <c r="GNO24" s="2140"/>
      <c r="GNP24" s="2141"/>
      <c r="GNQ24" s="2141"/>
      <c r="GNR24" s="2140"/>
      <c r="GNS24" s="2141"/>
      <c r="GNT24" s="2141"/>
      <c r="GNU24" s="2140"/>
      <c r="GNV24" s="2141"/>
      <c r="GNW24" s="2141"/>
      <c r="GNX24" s="2140"/>
      <c r="GNY24" s="2141"/>
      <c r="GNZ24" s="2141"/>
      <c r="GOA24" s="2140"/>
      <c r="GOB24" s="2141"/>
      <c r="GOC24" s="2141"/>
      <c r="GOD24" s="2140"/>
      <c r="GOE24" s="2141"/>
      <c r="GOF24" s="2141"/>
      <c r="GOG24" s="2140"/>
      <c r="GOH24" s="2141"/>
      <c r="GOI24" s="2141"/>
      <c r="GOJ24" s="2140"/>
      <c r="GOK24" s="2141"/>
      <c r="GOL24" s="2141"/>
      <c r="GOM24" s="2140"/>
      <c r="GON24" s="2141"/>
      <c r="GOO24" s="2141"/>
      <c r="GOP24" s="2140"/>
      <c r="GOQ24" s="2141"/>
      <c r="GOR24" s="2141"/>
      <c r="GOS24" s="2140"/>
      <c r="GOT24" s="2141"/>
      <c r="GOU24" s="2141"/>
      <c r="GOV24" s="2140"/>
      <c r="GOW24" s="2141"/>
      <c r="GOX24" s="2141"/>
      <c r="GOY24" s="2140"/>
      <c r="GOZ24" s="2141"/>
      <c r="GPA24" s="2141"/>
      <c r="GPB24" s="2140"/>
      <c r="GPC24" s="2141"/>
      <c r="GPD24" s="2141"/>
      <c r="GPE24" s="2140"/>
      <c r="GPF24" s="2141"/>
      <c r="GPG24" s="2141"/>
      <c r="GPH24" s="2140"/>
      <c r="GPI24" s="2141"/>
      <c r="GPJ24" s="2141"/>
      <c r="GPK24" s="2140"/>
      <c r="GPL24" s="2141"/>
      <c r="GPM24" s="2141"/>
      <c r="GPN24" s="2140"/>
      <c r="GPO24" s="2141"/>
      <c r="GPP24" s="2141"/>
      <c r="GPQ24" s="2140"/>
      <c r="GPR24" s="2141"/>
      <c r="GPS24" s="2141"/>
      <c r="GPT24" s="2140"/>
      <c r="GPU24" s="2141"/>
      <c r="GPV24" s="2141"/>
      <c r="GPW24" s="2140"/>
      <c r="GPX24" s="2141"/>
      <c r="GPY24" s="2141"/>
      <c r="GPZ24" s="2140"/>
      <c r="GQA24" s="2141"/>
      <c r="GQB24" s="2141"/>
      <c r="GQC24" s="2140"/>
      <c r="GQD24" s="2141"/>
      <c r="GQE24" s="2141"/>
      <c r="GQF24" s="2140"/>
      <c r="GQG24" s="2141"/>
      <c r="GQH24" s="2141"/>
      <c r="GQI24" s="2140"/>
      <c r="GQJ24" s="2141"/>
      <c r="GQK24" s="2141"/>
      <c r="GQL24" s="2140"/>
      <c r="GQM24" s="2141"/>
      <c r="GQN24" s="2141"/>
      <c r="GQO24" s="2140"/>
      <c r="GQP24" s="2141"/>
      <c r="GQQ24" s="2141"/>
      <c r="GQR24" s="2140"/>
      <c r="GQS24" s="2141"/>
      <c r="GQT24" s="2141"/>
      <c r="GQU24" s="2140"/>
      <c r="GQV24" s="2141"/>
      <c r="GQW24" s="2141"/>
      <c r="GQX24" s="2140"/>
      <c r="GQY24" s="2141"/>
      <c r="GQZ24" s="2141"/>
      <c r="GRA24" s="2140"/>
      <c r="GRB24" s="2141"/>
      <c r="GRC24" s="2141"/>
      <c r="GRD24" s="2140"/>
      <c r="GRE24" s="2141"/>
      <c r="GRF24" s="2141"/>
      <c r="GRG24" s="2140"/>
      <c r="GRH24" s="2141"/>
      <c r="GRI24" s="2141"/>
      <c r="GRJ24" s="2140"/>
      <c r="GRK24" s="2141"/>
      <c r="GRL24" s="2141"/>
      <c r="GRM24" s="2140"/>
      <c r="GRN24" s="2141"/>
      <c r="GRO24" s="2141"/>
      <c r="GRP24" s="2140"/>
      <c r="GRQ24" s="2141"/>
      <c r="GRR24" s="2141"/>
      <c r="GRS24" s="2140"/>
      <c r="GRT24" s="2141"/>
      <c r="GRU24" s="2141"/>
      <c r="GRV24" s="2140"/>
      <c r="GRW24" s="2141"/>
      <c r="GRX24" s="2141"/>
      <c r="GRY24" s="2140"/>
      <c r="GRZ24" s="2141"/>
      <c r="GSA24" s="2141"/>
      <c r="GSB24" s="2140"/>
      <c r="GSC24" s="2141"/>
      <c r="GSD24" s="2141"/>
      <c r="GSE24" s="2140"/>
      <c r="GSF24" s="2141"/>
      <c r="GSG24" s="2141"/>
      <c r="GSH24" s="2140"/>
      <c r="GSI24" s="2141"/>
      <c r="GSJ24" s="2141"/>
      <c r="GSK24" s="2140"/>
      <c r="GSL24" s="2141"/>
      <c r="GSM24" s="2141"/>
      <c r="GSN24" s="2140"/>
      <c r="GSO24" s="2141"/>
      <c r="GSP24" s="2141"/>
      <c r="GSQ24" s="2140"/>
      <c r="GSR24" s="2141"/>
      <c r="GSS24" s="2141"/>
      <c r="GST24" s="2140"/>
      <c r="GSU24" s="2141"/>
      <c r="GSV24" s="2141"/>
      <c r="GSW24" s="2140"/>
      <c r="GSX24" s="2141"/>
      <c r="GSY24" s="2141"/>
      <c r="GSZ24" s="2140"/>
      <c r="GTA24" s="2141"/>
      <c r="GTB24" s="2141"/>
      <c r="GTC24" s="2140"/>
      <c r="GTD24" s="2141"/>
      <c r="GTE24" s="2141"/>
      <c r="GTF24" s="2140"/>
      <c r="GTG24" s="2141"/>
      <c r="GTH24" s="2141"/>
      <c r="GTI24" s="2140"/>
      <c r="GTJ24" s="2141"/>
      <c r="GTK24" s="2141"/>
      <c r="GTL24" s="2140"/>
      <c r="GTM24" s="2141"/>
      <c r="GTN24" s="2141"/>
      <c r="GTO24" s="2140"/>
      <c r="GTP24" s="2141"/>
      <c r="GTQ24" s="2141"/>
      <c r="GTR24" s="2140"/>
      <c r="GTS24" s="2141"/>
      <c r="GTT24" s="2141"/>
      <c r="GTU24" s="2140"/>
      <c r="GTV24" s="2141"/>
      <c r="GTW24" s="2141"/>
      <c r="GTX24" s="2140"/>
      <c r="GTY24" s="2141"/>
      <c r="GTZ24" s="2141"/>
      <c r="GUA24" s="2140"/>
      <c r="GUB24" s="2141"/>
      <c r="GUC24" s="2141"/>
      <c r="GUD24" s="2140"/>
      <c r="GUE24" s="2141"/>
      <c r="GUF24" s="2141"/>
      <c r="GUG24" s="2140"/>
      <c r="GUH24" s="2141"/>
      <c r="GUI24" s="2141"/>
      <c r="GUJ24" s="2140"/>
      <c r="GUK24" s="2141"/>
      <c r="GUL24" s="2141"/>
      <c r="GUM24" s="2140"/>
      <c r="GUN24" s="2141"/>
      <c r="GUO24" s="2141"/>
      <c r="GUP24" s="2140"/>
      <c r="GUQ24" s="2141"/>
      <c r="GUR24" s="2141"/>
      <c r="GUS24" s="2140"/>
      <c r="GUT24" s="2141"/>
      <c r="GUU24" s="2141"/>
      <c r="GUV24" s="2140"/>
      <c r="GUW24" s="2141"/>
      <c r="GUX24" s="2141"/>
      <c r="GUY24" s="2140"/>
      <c r="GUZ24" s="2141"/>
      <c r="GVA24" s="2141"/>
      <c r="GVB24" s="2140"/>
      <c r="GVC24" s="2141"/>
      <c r="GVD24" s="2141"/>
      <c r="GVE24" s="2140"/>
      <c r="GVF24" s="2141"/>
      <c r="GVG24" s="2141"/>
      <c r="GVH24" s="2140"/>
      <c r="GVI24" s="2141"/>
      <c r="GVJ24" s="2141"/>
      <c r="GVK24" s="2140"/>
      <c r="GVL24" s="2141"/>
      <c r="GVM24" s="2141"/>
      <c r="GVN24" s="2140"/>
      <c r="GVO24" s="2141"/>
      <c r="GVP24" s="2141"/>
      <c r="GVQ24" s="2140"/>
      <c r="GVR24" s="2141"/>
      <c r="GVS24" s="2141"/>
      <c r="GVT24" s="2140"/>
      <c r="GVU24" s="2141"/>
      <c r="GVV24" s="2141"/>
      <c r="GVW24" s="2140"/>
      <c r="GVX24" s="2141"/>
      <c r="GVY24" s="2141"/>
      <c r="GVZ24" s="2140"/>
      <c r="GWA24" s="2141"/>
      <c r="GWB24" s="2141"/>
      <c r="GWC24" s="2140"/>
      <c r="GWD24" s="2141"/>
      <c r="GWE24" s="2141"/>
      <c r="GWF24" s="2140"/>
      <c r="GWG24" s="2141"/>
      <c r="GWH24" s="2141"/>
      <c r="GWI24" s="2140"/>
      <c r="GWJ24" s="2141"/>
      <c r="GWK24" s="2141"/>
      <c r="GWL24" s="2140"/>
      <c r="GWM24" s="2141"/>
      <c r="GWN24" s="2141"/>
      <c r="GWO24" s="2140"/>
      <c r="GWP24" s="2141"/>
      <c r="GWQ24" s="2141"/>
      <c r="GWR24" s="2140"/>
      <c r="GWS24" s="2141"/>
      <c r="GWT24" s="2141"/>
      <c r="GWU24" s="2140"/>
      <c r="GWV24" s="2141"/>
      <c r="GWW24" s="2141"/>
      <c r="GWX24" s="2140"/>
      <c r="GWY24" s="2141"/>
      <c r="GWZ24" s="2141"/>
      <c r="GXA24" s="2140"/>
      <c r="GXB24" s="2141"/>
      <c r="GXC24" s="2141"/>
      <c r="GXD24" s="2140"/>
      <c r="GXE24" s="2141"/>
      <c r="GXF24" s="2141"/>
      <c r="GXG24" s="2140"/>
      <c r="GXH24" s="2141"/>
      <c r="GXI24" s="2141"/>
      <c r="GXJ24" s="2140"/>
      <c r="GXK24" s="2141"/>
      <c r="GXL24" s="2141"/>
      <c r="GXM24" s="2140"/>
      <c r="GXN24" s="2141"/>
      <c r="GXO24" s="2141"/>
      <c r="GXP24" s="2140"/>
      <c r="GXQ24" s="2141"/>
      <c r="GXR24" s="2141"/>
      <c r="GXS24" s="2140"/>
      <c r="GXT24" s="2141"/>
      <c r="GXU24" s="2141"/>
      <c r="GXV24" s="2140"/>
      <c r="GXW24" s="2141"/>
      <c r="GXX24" s="2141"/>
      <c r="GXY24" s="2140"/>
      <c r="GXZ24" s="2141"/>
      <c r="GYA24" s="2141"/>
      <c r="GYB24" s="2140"/>
      <c r="GYC24" s="2141"/>
      <c r="GYD24" s="2141"/>
      <c r="GYE24" s="2140"/>
      <c r="GYF24" s="2141"/>
      <c r="GYG24" s="2141"/>
      <c r="GYH24" s="2140"/>
      <c r="GYI24" s="2141"/>
      <c r="GYJ24" s="2141"/>
      <c r="GYK24" s="2140"/>
      <c r="GYL24" s="2141"/>
      <c r="GYM24" s="2141"/>
      <c r="GYN24" s="2140"/>
      <c r="GYO24" s="2141"/>
      <c r="GYP24" s="2141"/>
      <c r="GYQ24" s="2140"/>
      <c r="GYR24" s="2141"/>
      <c r="GYS24" s="2141"/>
      <c r="GYT24" s="2140"/>
      <c r="GYU24" s="2141"/>
      <c r="GYV24" s="2141"/>
      <c r="GYW24" s="2140"/>
      <c r="GYX24" s="2141"/>
      <c r="GYY24" s="2141"/>
      <c r="GYZ24" s="2140"/>
      <c r="GZA24" s="2141"/>
      <c r="GZB24" s="2141"/>
      <c r="GZC24" s="2140"/>
      <c r="GZD24" s="2141"/>
      <c r="GZE24" s="2141"/>
      <c r="GZF24" s="2140"/>
      <c r="GZG24" s="2141"/>
      <c r="GZH24" s="2141"/>
      <c r="GZI24" s="2140"/>
      <c r="GZJ24" s="2141"/>
      <c r="GZK24" s="2141"/>
      <c r="GZL24" s="2140"/>
      <c r="GZM24" s="2141"/>
      <c r="GZN24" s="2141"/>
      <c r="GZO24" s="2140"/>
      <c r="GZP24" s="2141"/>
      <c r="GZQ24" s="2141"/>
      <c r="GZR24" s="2140"/>
      <c r="GZS24" s="2141"/>
      <c r="GZT24" s="2141"/>
      <c r="GZU24" s="2140"/>
      <c r="GZV24" s="2141"/>
      <c r="GZW24" s="2141"/>
      <c r="GZX24" s="2140"/>
      <c r="GZY24" s="2141"/>
      <c r="GZZ24" s="2141"/>
      <c r="HAA24" s="2140"/>
      <c r="HAB24" s="2141"/>
      <c r="HAC24" s="2141"/>
      <c r="HAD24" s="2140"/>
      <c r="HAE24" s="2141"/>
      <c r="HAF24" s="2141"/>
      <c r="HAG24" s="2140"/>
      <c r="HAH24" s="2141"/>
      <c r="HAI24" s="2141"/>
      <c r="HAJ24" s="2140"/>
      <c r="HAK24" s="2141"/>
      <c r="HAL24" s="2141"/>
      <c r="HAM24" s="2140"/>
      <c r="HAN24" s="2141"/>
      <c r="HAO24" s="2141"/>
      <c r="HAP24" s="2140"/>
      <c r="HAQ24" s="2141"/>
      <c r="HAR24" s="2141"/>
      <c r="HAS24" s="2140"/>
      <c r="HAT24" s="2141"/>
      <c r="HAU24" s="2141"/>
      <c r="HAV24" s="2140"/>
      <c r="HAW24" s="2141"/>
      <c r="HAX24" s="2141"/>
      <c r="HAY24" s="2140"/>
      <c r="HAZ24" s="2141"/>
      <c r="HBA24" s="2141"/>
      <c r="HBB24" s="2140"/>
      <c r="HBC24" s="2141"/>
      <c r="HBD24" s="2141"/>
      <c r="HBE24" s="2140"/>
      <c r="HBF24" s="2141"/>
      <c r="HBG24" s="2141"/>
      <c r="HBH24" s="2140"/>
      <c r="HBI24" s="2141"/>
      <c r="HBJ24" s="2141"/>
      <c r="HBK24" s="2140"/>
      <c r="HBL24" s="2141"/>
      <c r="HBM24" s="2141"/>
      <c r="HBN24" s="2140"/>
      <c r="HBO24" s="2141"/>
      <c r="HBP24" s="2141"/>
      <c r="HBQ24" s="2140"/>
      <c r="HBR24" s="2141"/>
      <c r="HBS24" s="2141"/>
      <c r="HBT24" s="2140"/>
      <c r="HBU24" s="2141"/>
      <c r="HBV24" s="2141"/>
      <c r="HBW24" s="2140"/>
      <c r="HBX24" s="2141"/>
      <c r="HBY24" s="2141"/>
      <c r="HBZ24" s="2140"/>
      <c r="HCA24" s="2141"/>
      <c r="HCB24" s="2141"/>
      <c r="HCC24" s="2140"/>
      <c r="HCD24" s="2141"/>
      <c r="HCE24" s="2141"/>
      <c r="HCF24" s="2140"/>
      <c r="HCG24" s="2141"/>
      <c r="HCH24" s="2141"/>
      <c r="HCI24" s="2140"/>
      <c r="HCJ24" s="2141"/>
      <c r="HCK24" s="2141"/>
      <c r="HCL24" s="2140"/>
      <c r="HCM24" s="2141"/>
      <c r="HCN24" s="2141"/>
      <c r="HCO24" s="2140"/>
      <c r="HCP24" s="2141"/>
      <c r="HCQ24" s="2141"/>
      <c r="HCR24" s="2140"/>
      <c r="HCS24" s="2141"/>
      <c r="HCT24" s="2141"/>
      <c r="HCU24" s="2140"/>
      <c r="HCV24" s="2141"/>
      <c r="HCW24" s="2141"/>
      <c r="HCX24" s="2140"/>
      <c r="HCY24" s="2141"/>
      <c r="HCZ24" s="2141"/>
      <c r="HDA24" s="2140"/>
      <c r="HDB24" s="2141"/>
      <c r="HDC24" s="2141"/>
      <c r="HDD24" s="2140"/>
      <c r="HDE24" s="2141"/>
      <c r="HDF24" s="2141"/>
      <c r="HDG24" s="2140"/>
      <c r="HDH24" s="2141"/>
      <c r="HDI24" s="2141"/>
      <c r="HDJ24" s="2140"/>
      <c r="HDK24" s="2141"/>
      <c r="HDL24" s="2141"/>
      <c r="HDM24" s="2140"/>
      <c r="HDN24" s="2141"/>
      <c r="HDO24" s="2141"/>
      <c r="HDP24" s="2140"/>
      <c r="HDQ24" s="2141"/>
      <c r="HDR24" s="2141"/>
      <c r="HDS24" s="2140"/>
      <c r="HDT24" s="2141"/>
      <c r="HDU24" s="2141"/>
      <c r="HDV24" s="2140"/>
      <c r="HDW24" s="2141"/>
      <c r="HDX24" s="2141"/>
      <c r="HDY24" s="2140"/>
      <c r="HDZ24" s="2141"/>
      <c r="HEA24" s="2141"/>
      <c r="HEB24" s="2140"/>
      <c r="HEC24" s="2141"/>
      <c r="HED24" s="2141"/>
      <c r="HEE24" s="2140"/>
      <c r="HEF24" s="2141"/>
      <c r="HEG24" s="2141"/>
      <c r="HEH24" s="2140"/>
      <c r="HEI24" s="2141"/>
      <c r="HEJ24" s="2141"/>
      <c r="HEK24" s="2140"/>
      <c r="HEL24" s="2141"/>
      <c r="HEM24" s="2141"/>
      <c r="HEN24" s="2140"/>
      <c r="HEO24" s="2141"/>
      <c r="HEP24" s="2141"/>
      <c r="HEQ24" s="2140"/>
      <c r="HER24" s="2141"/>
      <c r="HES24" s="2141"/>
      <c r="HET24" s="2140"/>
      <c r="HEU24" s="2141"/>
      <c r="HEV24" s="2141"/>
      <c r="HEW24" s="2140"/>
      <c r="HEX24" s="2141"/>
      <c r="HEY24" s="2141"/>
      <c r="HEZ24" s="2140"/>
      <c r="HFA24" s="2141"/>
      <c r="HFB24" s="2141"/>
      <c r="HFC24" s="2140"/>
      <c r="HFD24" s="2141"/>
      <c r="HFE24" s="2141"/>
      <c r="HFF24" s="2140"/>
      <c r="HFG24" s="2141"/>
      <c r="HFH24" s="2141"/>
      <c r="HFI24" s="2140"/>
      <c r="HFJ24" s="2141"/>
      <c r="HFK24" s="2141"/>
      <c r="HFL24" s="2140"/>
      <c r="HFM24" s="2141"/>
      <c r="HFN24" s="2141"/>
      <c r="HFO24" s="2140"/>
      <c r="HFP24" s="2141"/>
      <c r="HFQ24" s="2141"/>
      <c r="HFR24" s="2140"/>
      <c r="HFS24" s="2141"/>
      <c r="HFT24" s="2141"/>
      <c r="HFU24" s="2140"/>
      <c r="HFV24" s="2141"/>
      <c r="HFW24" s="2141"/>
      <c r="HFX24" s="2140"/>
      <c r="HFY24" s="2141"/>
      <c r="HFZ24" s="2141"/>
      <c r="HGA24" s="2140"/>
      <c r="HGB24" s="2141"/>
      <c r="HGC24" s="2141"/>
      <c r="HGD24" s="2140"/>
      <c r="HGE24" s="2141"/>
      <c r="HGF24" s="2141"/>
      <c r="HGG24" s="2140"/>
      <c r="HGH24" s="2141"/>
      <c r="HGI24" s="2141"/>
      <c r="HGJ24" s="2140"/>
      <c r="HGK24" s="2141"/>
      <c r="HGL24" s="2141"/>
      <c r="HGM24" s="2140"/>
      <c r="HGN24" s="2141"/>
      <c r="HGO24" s="2141"/>
      <c r="HGP24" s="2140"/>
      <c r="HGQ24" s="2141"/>
      <c r="HGR24" s="2141"/>
      <c r="HGS24" s="2140"/>
      <c r="HGT24" s="2141"/>
      <c r="HGU24" s="2141"/>
      <c r="HGV24" s="2140"/>
      <c r="HGW24" s="2141"/>
      <c r="HGX24" s="2141"/>
      <c r="HGY24" s="2140"/>
      <c r="HGZ24" s="2141"/>
      <c r="HHA24" s="2141"/>
      <c r="HHB24" s="2140"/>
      <c r="HHC24" s="2141"/>
      <c r="HHD24" s="2141"/>
      <c r="HHE24" s="2140"/>
      <c r="HHF24" s="2141"/>
      <c r="HHG24" s="2141"/>
      <c r="HHH24" s="2140"/>
      <c r="HHI24" s="2141"/>
      <c r="HHJ24" s="2141"/>
      <c r="HHK24" s="2140"/>
      <c r="HHL24" s="2141"/>
      <c r="HHM24" s="2141"/>
      <c r="HHN24" s="2140"/>
      <c r="HHO24" s="2141"/>
      <c r="HHP24" s="2141"/>
      <c r="HHQ24" s="2140"/>
      <c r="HHR24" s="2141"/>
      <c r="HHS24" s="2141"/>
      <c r="HHT24" s="2140"/>
      <c r="HHU24" s="2141"/>
      <c r="HHV24" s="2141"/>
      <c r="HHW24" s="2140"/>
      <c r="HHX24" s="2141"/>
      <c r="HHY24" s="2141"/>
      <c r="HHZ24" s="2140"/>
      <c r="HIA24" s="2141"/>
      <c r="HIB24" s="2141"/>
      <c r="HIC24" s="2140"/>
      <c r="HID24" s="2141"/>
      <c r="HIE24" s="2141"/>
      <c r="HIF24" s="2140"/>
      <c r="HIG24" s="2141"/>
      <c r="HIH24" s="2141"/>
      <c r="HII24" s="2140"/>
      <c r="HIJ24" s="2141"/>
      <c r="HIK24" s="2141"/>
      <c r="HIL24" s="2140"/>
      <c r="HIM24" s="2141"/>
      <c r="HIN24" s="2141"/>
      <c r="HIO24" s="2140"/>
      <c r="HIP24" s="2141"/>
      <c r="HIQ24" s="2141"/>
      <c r="HIR24" s="2140"/>
      <c r="HIS24" s="2141"/>
      <c r="HIT24" s="2141"/>
      <c r="HIU24" s="2140"/>
      <c r="HIV24" s="2141"/>
      <c r="HIW24" s="2141"/>
      <c r="HIX24" s="2140"/>
      <c r="HIY24" s="2141"/>
      <c r="HIZ24" s="2141"/>
      <c r="HJA24" s="2140"/>
      <c r="HJB24" s="2141"/>
      <c r="HJC24" s="2141"/>
      <c r="HJD24" s="2140"/>
      <c r="HJE24" s="2141"/>
      <c r="HJF24" s="2141"/>
      <c r="HJG24" s="2140"/>
      <c r="HJH24" s="2141"/>
      <c r="HJI24" s="2141"/>
      <c r="HJJ24" s="2140"/>
      <c r="HJK24" s="2141"/>
      <c r="HJL24" s="2141"/>
      <c r="HJM24" s="2140"/>
      <c r="HJN24" s="2141"/>
      <c r="HJO24" s="2141"/>
      <c r="HJP24" s="2140"/>
      <c r="HJQ24" s="2141"/>
      <c r="HJR24" s="2141"/>
      <c r="HJS24" s="2140"/>
      <c r="HJT24" s="2141"/>
      <c r="HJU24" s="2141"/>
      <c r="HJV24" s="2140"/>
      <c r="HJW24" s="2141"/>
      <c r="HJX24" s="2141"/>
      <c r="HJY24" s="2140"/>
      <c r="HJZ24" s="2141"/>
      <c r="HKA24" s="2141"/>
      <c r="HKB24" s="2140"/>
      <c r="HKC24" s="2141"/>
      <c r="HKD24" s="2141"/>
      <c r="HKE24" s="2140"/>
      <c r="HKF24" s="2141"/>
      <c r="HKG24" s="2141"/>
      <c r="HKH24" s="2140"/>
      <c r="HKI24" s="2141"/>
      <c r="HKJ24" s="2141"/>
      <c r="HKK24" s="2140"/>
      <c r="HKL24" s="2141"/>
      <c r="HKM24" s="2141"/>
      <c r="HKN24" s="2140"/>
      <c r="HKO24" s="2141"/>
      <c r="HKP24" s="2141"/>
      <c r="HKQ24" s="2140"/>
      <c r="HKR24" s="2141"/>
      <c r="HKS24" s="2141"/>
      <c r="HKT24" s="2140"/>
      <c r="HKU24" s="2141"/>
      <c r="HKV24" s="2141"/>
      <c r="HKW24" s="2140"/>
      <c r="HKX24" s="2141"/>
      <c r="HKY24" s="2141"/>
      <c r="HKZ24" s="2140"/>
      <c r="HLA24" s="2141"/>
      <c r="HLB24" s="2141"/>
      <c r="HLC24" s="2140"/>
      <c r="HLD24" s="2141"/>
      <c r="HLE24" s="2141"/>
      <c r="HLF24" s="2140"/>
      <c r="HLG24" s="2141"/>
      <c r="HLH24" s="2141"/>
      <c r="HLI24" s="2140"/>
      <c r="HLJ24" s="2141"/>
      <c r="HLK24" s="2141"/>
      <c r="HLL24" s="2140"/>
      <c r="HLM24" s="2141"/>
      <c r="HLN24" s="2141"/>
      <c r="HLO24" s="2140"/>
      <c r="HLP24" s="2141"/>
      <c r="HLQ24" s="2141"/>
      <c r="HLR24" s="2140"/>
      <c r="HLS24" s="2141"/>
      <c r="HLT24" s="2141"/>
      <c r="HLU24" s="2140"/>
      <c r="HLV24" s="2141"/>
      <c r="HLW24" s="2141"/>
      <c r="HLX24" s="2140"/>
      <c r="HLY24" s="2141"/>
      <c r="HLZ24" s="2141"/>
      <c r="HMA24" s="2140"/>
      <c r="HMB24" s="2141"/>
      <c r="HMC24" s="2141"/>
      <c r="HMD24" s="2140"/>
      <c r="HME24" s="2141"/>
      <c r="HMF24" s="2141"/>
      <c r="HMG24" s="2140"/>
      <c r="HMH24" s="2141"/>
      <c r="HMI24" s="2141"/>
      <c r="HMJ24" s="2140"/>
      <c r="HMK24" s="2141"/>
      <c r="HML24" s="2141"/>
      <c r="HMM24" s="2140"/>
      <c r="HMN24" s="2141"/>
      <c r="HMO24" s="2141"/>
      <c r="HMP24" s="2140"/>
      <c r="HMQ24" s="2141"/>
      <c r="HMR24" s="2141"/>
      <c r="HMS24" s="2140"/>
      <c r="HMT24" s="2141"/>
      <c r="HMU24" s="2141"/>
      <c r="HMV24" s="2140"/>
      <c r="HMW24" s="2141"/>
      <c r="HMX24" s="2141"/>
      <c r="HMY24" s="2140"/>
      <c r="HMZ24" s="2141"/>
      <c r="HNA24" s="2141"/>
      <c r="HNB24" s="2140"/>
      <c r="HNC24" s="2141"/>
      <c r="HND24" s="2141"/>
      <c r="HNE24" s="2140"/>
      <c r="HNF24" s="2141"/>
      <c r="HNG24" s="2141"/>
      <c r="HNH24" s="2140"/>
      <c r="HNI24" s="2141"/>
      <c r="HNJ24" s="2141"/>
      <c r="HNK24" s="2140"/>
      <c r="HNL24" s="2141"/>
      <c r="HNM24" s="2141"/>
      <c r="HNN24" s="2140"/>
      <c r="HNO24" s="2141"/>
      <c r="HNP24" s="2141"/>
      <c r="HNQ24" s="2140"/>
      <c r="HNR24" s="2141"/>
      <c r="HNS24" s="2141"/>
      <c r="HNT24" s="2140"/>
      <c r="HNU24" s="2141"/>
      <c r="HNV24" s="2141"/>
      <c r="HNW24" s="2140"/>
      <c r="HNX24" s="2141"/>
      <c r="HNY24" s="2141"/>
      <c r="HNZ24" s="2140"/>
      <c r="HOA24" s="2141"/>
      <c r="HOB24" s="2141"/>
      <c r="HOC24" s="2140"/>
      <c r="HOD24" s="2141"/>
      <c r="HOE24" s="2141"/>
      <c r="HOF24" s="2140"/>
      <c r="HOG24" s="2141"/>
      <c r="HOH24" s="2141"/>
      <c r="HOI24" s="2140"/>
      <c r="HOJ24" s="2141"/>
      <c r="HOK24" s="2141"/>
      <c r="HOL24" s="2140"/>
      <c r="HOM24" s="2141"/>
      <c r="HON24" s="2141"/>
      <c r="HOO24" s="2140"/>
      <c r="HOP24" s="2141"/>
      <c r="HOQ24" s="2141"/>
      <c r="HOR24" s="2140"/>
      <c r="HOS24" s="2141"/>
      <c r="HOT24" s="2141"/>
      <c r="HOU24" s="2140"/>
      <c r="HOV24" s="2141"/>
      <c r="HOW24" s="2141"/>
      <c r="HOX24" s="2140"/>
      <c r="HOY24" s="2141"/>
      <c r="HOZ24" s="2141"/>
      <c r="HPA24" s="2140"/>
      <c r="HPB24" s="2141"/>
      <c r="HPC24" s="2141"/>
      <c r="HPD24" s="2140"/>
      <c r="HPE24" s="2141"/>
      <c r="HPF24" s="2141"/>
      <c r="HPG24" s="2140"/>
      <c r="HPH24" s="2141"/>
      <c r="HPI24" s="2141"/>
      <c r="HPJ24" s="2140"/>
      <c r="HPK24" s="2141"/>
      <c r="HPL24" s="2141"/>
      <c r="HPM24" s="2140"/>
      <c r="HPN24" s="2141"/>
      <c r="HPO24" s="2141"/>
      <c r="HPP24" s="2140"/>
      <c r="HPQ24" s="2141"/>
      <c r="HPR24" s="2141"/>
      <c r="HPS24" s="2140"/>
      <c r="HPT24" s="2141"/>
      <c r="HPU24" s="2141"/>
      <c r="HPV24" s="2140"/>
      <c r="HPW24" s="2141"/>
      <c r="HPX24" s="2141"/>
      <c r="HPY24" s="2140"/>
      <c r="HPZ24" s="2141"/>
      <c r="HQA24" s="2141"/>
      <c r="HQB24" s="2140"/>
      <c r="HQC24" s="2141"/>
      <c r="HQD24" s="2141"/>
      <c r="HQE24" s="2140"/>
      <c r="HQF24" s="2141"/>
      <c r="HQG24" s="2141"/>
      <c r="HQH24" s="2140"/>
      <c r="HQI24" s="2141"/>
      <c r="HQJ24" s="2141"/>
      <c r="HQK24" s="2140"/>
      <c r="HQL24" s="2141"/>
      <c r="HQM24" s="2141"/>
      <c r="HQN24" s="2140"/>
      <c r="HQO24" s="2141"/>
      <c r="HQP24" s="2141"/>
      <c r="HQQ24" s="2140"/>
      <c r="HQR24" s="2141"/>
      <c r="HQS24" s="2141"/>
      <c r="HQT24" s="2140"/>
      <c r="HQU24" s="2141"/>
      <c r="HQV24" s="2141"/>
      <c r="HQW24" s="2140"/>
      <c r="HQX24" s="2141"/>
      <c r="HQY24" s="2141"/>
      <c r="HQZ24" s="2140"/>
      <c r="HRA24" s="2141"/>
      <c r="HRB24" s="2141"/>
      <c r="HRC24" s="2140"/>
      <c r="HRD24" s="2141"/>
      <c r="HRE24" s="2141"/>
      <c r="HRF24" s="2140"/>
      <c r="HRG24" s="2141"/>
      <c r="HRH24" s="2141"/>
      <c r="HRI24" s="2140"/>
      <c r="HRJ24" s="2141"/>
      <c r="HRK24" s="2141"/>
      <c r="HRL24" s="2140"/>
      <c r="HRM24" s="2141"/>
      <c r="HRN24" s="2141"/>
      <c r="HRO24" s="2140"/>
      <c r="HRP24" s="2141"/>
      <c r="HRQ24" s="2141"/>
      <c r="HRR24" s="2140"/>
      <c r="HRS24" s="2141"/>
      <c r="HRT24" s="2141"/>
      <c r="HRU24" s="2140"/>
      <c r="HRV24" s="2141"/>
      <c r="HRW24" s="2141"/>
      <c r="HRX24" s="2140"/>
      <c r="HRY24" s="2141"/>
      <c r="HRZ24" s="2141"/>
      <c r="HSA24" s="2140"/>
      <c r="HSB24" s="2141"/>
      <c r="HSC24" s="2141"/>
      <c r="HSD24" s="2140"/>
      <c r="HSE24" s="2141"/>
      <c r="HSF24" s="2141"/>
      <c r="HSG24" s="2140"/>
      <c r="HSH24" s="2141"/>
      <c r="HSI24" s="2141"/>
      <c r="HSJ24" s="2140"/>
      <c r="HSK24" s="2141"/>
      <c r="HSL24" s="2141"/>
      <c r="HSM24" s="2140"/>
      <c r="HSN24" s="2141"/>
      <c r="HSO24" s="2141"/>
      <c r="HSP24" s="2140"/>
      <c r="HSQ24" s="2141"/>
      <c r="HSR24" s="2141"/>
      <c r="HSS24" s="2140"/>
      <c r="HST24" s="2141"/>
      <c r="HSU24" s="2141"/>
      <c r="HSV24" s="2140"/>
      <c r="HSW24" s="2141"/>
      <c r="HSX24" s="2141"/>
      <c r="HSY24" s="2140"/>
      <c r="HSZ24" s="2141"/>
      <c r="HTA24" s="2141"/>
      <c r="HTB24" s="2140"/>
      <c r="HTC24" s="2141"/>
      <c r="HTD24" s="2141"/>
      <c r="HTE24" s="2140"/>
      <c r="HTF24" s="2141"/>
      <c r="HTG24" s="2141"/>
      <c r="HTH24" s="2140"/>
      <c r="HTI24" s="2141"/>
      <c r="HTJ24" s="2141"/>
      <c r="HTK24" s="2140"/>
      <c r="HTL24" s="2141"/>
      <c r="HTM24" s="2141"/>
      <c r="HTN24" s="2140"/>
      <c r="HTO24" s="2141"/>
      <c r="HTP24" s="2141"/>
      <c r="HTQ24" s="2140"/>
      <c r="HTR24" s="2141"/>
      <c r="HTS24" s="2141"/>
      <c r="HTT24" s="2140"/>
      <c r="HTU24" s="2141"/>
      <c r="HTV24" s="2141"/>
      <c r="HTW24" s="2140"/>
      <c r="HTX24" s="2141"/>
      <c r="HTY24" s="2141"/>
      <c r="HTZ24" s="2140"/>
      <c r="HUA24" s="2141"/>
      <c r="HUB24" s="2141"/>
      <c r="HUC24" s="2140"/>
      <c r="HUD24" s="2141"/>
      <c r="HUE24" s="2141"/>
      <c r="HUF24" s="2140"/>
      <c r="HUG24" s="2141"/>
      <c r="HUH24" s="2141"/>
      <c r="HUI24" s="2140"/>
      <c r="HUJ24" s="2141"/>
      <c r="HUK24" s="2141"/>
      <c r="HUL24" s="2140"/>
      <c r="HUM24" s="2141"/>
      <c r="HUN24" s="2141"/>
      <c r="HUO24" s="2140"/>
      <c r="HUP24" s="2141"/>
      <c r="HUQ24" s="2141"/>
      <c r="HUR24" s="2140"/>
      <c r="HUS24" s="2141"/>
      <c r="HUT24" s="2141"/>
      <c r="HUU24" s="2140"/>
      <c r="HUV24" s="2141"/>
      <c r="HUW24" s="2141"/>
      <c r="HUX24" s="2140"/>
      <c r="HUY24" s="2141"/>
      <c r="HUZ24" s="2141"/>
      <c r="HVA24" s="2140"/>
      <c r="HVB24" s="2141"/>
      <c r="HVC24" s="2141"/>
      <c r="HVD24" s="2140"/>
      <c r="HVE24" s="2141"/>
      <c r="HVF24" s="2141"/>
      <c r="HVG24" s="2140"/>
      <c r="HVH24" s="2141"/>
      <c r="HVI24" s="2141"/>
      <c r="HVJ24" s="2140"/>
      <c r="HVK24" s="2141"/>
      <c r="HVL24" s="2141"/>
      <c r="HVM24" s="2140"/>
      <c r="HVN24" s="2141"/>
      <c r="HVO24" s="2141"/>
      <c r="HVP24" s="2140"/>
      <c r="HVQ24" s="2141"/>
      <c r="HVR24" s="2141"/>
      <c r="HVS24" s="2140"/>
      <c r="HVT24" s="2141"/>
      <c r="HVU24" s="2141"/>
      <c r="HVV24" s="2140"/>
      <c r="HVW24" s="2141"/>
      <c r="HVX24" s="2141"/>
      <c r="HVY24" s="2140"/>
      <c r="HVZ24" s="2141"/>
      <c r="HWA24" s="2141"/>
      <c r="HWB24" s="2140"/>
      <c r="HWC24" s="2141"/>
      <c r="HWD24" s="2141"/>
      <c r="HWE24" s="2140"/>
      <c r="HWF24" s="2141"/>
      <c r="HWG24" s="2141"/>
      <c r="HWH24" s="2140"/>
      <c r="HWI24" s="2141"/>
      <c r="HWJ24" s="2141"/>
      <c r="HWK24" s="2140"/>
      <c r="HWL24" s="2141"/>
      <c r="HWM24" s="2141"/>
      <c r="HWN24" s="2140"/>
      <c r="HWO24" s="2141"/>
      <c r="HWP24" s="2141"/>
      <c r="HWQ24" s="2140"/>
      <c r="HWR24" s="2141"/>
      <c r="HWS24" s="2141"/>
      <c r="HWT24" s="2140"/>
      <c r="HWU24" s="2141"/>
      <c r="HWV24" s="2141"/>
      <c r="HWW24" s="2140"/>
      <c r="HWX24" s="2141"/>
      <c r="HWY24" s="2141"/>
      <c r="HWZ24" s="2140"/>
      <c r="HXA24" s="2141"/>
      <c r="HXB24" s="2141"/>
      <c r="HXC24" s="2140"/>
      <c r="HXD24" s="2141"/>
      <c r="HXE24" s="2141"/>
      <c r="HXF24" s="2140"/>
      <c r="HXG24" s="2141"/>
      <c r="HXH24" s="2141"/>
      <c r="HXI24" s="2140"/>
      <c r="HXJ24" s="2141"/>
      <c r="HXK24" s="2141"/>
      <c r="HXL24" s="2140"/>
      <c r="HXM24" s="2141"/>
      <c r="HXN24" s="2141"/>
      <c r="HXO24" s="2140"/>
      <c r="HXP24" s="2141"/>
      <c r="HXQ24" s="2141"/>
      <c r="HXR24" s="2140"/>
      <c r="HXS24" s="2141"/>
      <c r="HXT24" s="2141"/>
      <c r="HXU24" s="2140"/>
      <c r="HXV24" s="2141"/>
      <c r="HXW24" s="2141"/>
      <c r="HXX24" s="2140"/>
      <c r="HXY24" s="2141"/>
      <c r="HXZ24" s="2141"/>
      <c r="HYA24" s="2140"/>
      <c r="HYB24" s="2141"/>
      <c r="HYC24" s="2141"/>
      <c r="HYD24" s="2140"/>
      <c r="HYE24" s="2141"/>
      <c r="HYF24" s="2141"/>
      <c r="HYG24" s="2140"/>
      <c r="HYH24" s="2141"/>
      <c r="HYI24" s="2141"/>
      <c r="HYJ24" s="2140"/>
      <c r="HYK24" s="2141"/>
      <c r="HYL24" s="2141"/>
      <c r="HYM24" s="2140"/>
      <c r="HYN24" s="2141"/>
      <c r="HYO24" s="2141"/>
      <c r="HYP24" s="2140"/>
      <c r="HYQ24" s="2141"/>
      <c r="HYR24" s="2141"/>
      <c r="HYS24" s="2140"/>
      <c r="HYT24" s="2141"/>
      <c r="HYU24" s="2141"/>
      <c r="HYV24" s="2140"/>
      <c r="HYW24" s="2141"/>
      <c r="HYX24" s="2141"/>
      <c r="HYY24" s="2140"/>
      <c r="HYZ24" s="2141"/>
      <c r="HZA24" s="2141"/>
      <c r="HZB24" s="2140"/>
      <c r="HZC24" s="2141"/>
      <c r="HZD24" s="2141"/>
      <c r="HZE24" s="2140"/>
      <c r="HZF24" s="2141"/>
      <c r="HZG24" s="2141"/>
      <c r="HZH24" s="2140"/>
      <c r="HZI24" s="2141"/>
      <c r="HZJ24" s="2141"/>
      <c r="HZK24" s="2140"/>
      <c r="HZL24" s="2141"/>
      <c r="HZM24" s="2141"/>
      <c r="HZN24" s="2140"/>
      <c r="HZO24" s="2141"/>
      <c r="HZP24" s="2141"/>
      <c r="HZQ24" s="2140"/>
      <c r="HZR24" s="2141"/>
      <c r="HZS24" s="2141"/>
      <c r="HZT24" s="2140"/>
      <c r="HZU24" s="2141"/>
      <c r="HZV24" s="2141"/>
      <c r="HZW24" s="2140"/>
      <c r="HZX24" s="2141"/>
      <c r="HZY24" s="2141"/>
      <c r="HZZ24" s="2140"/>
      <c r="IAA24" s="2141"/>
      <c r="IAB24" s="2141"/>
      <c r="IAC24" s="2140"/>
      <c r="IAD24" s="2141"/>
      <c r="IAE24" s="2141"/>
      <c r="IAF24" s="2140"/>
      <c r="IAG24" s="2141"/>
      <c r="IAH24" s="2141"/>
      <c r="IAI24" s="2140"/>
      <c r="IAJ24" s="2141"/>
      <c r="IAK24" s="2141"/>
      <c r="IAL24" s="2140"/>
      <c r="IAM24" s="2141"/>
      <c r="IAN24" s="2141"/>
      <c r="IAO24" s="2140"/>
      <c r="IAP24" s="2141"/>
      <c r="IAQ24" s="2141"/>
      <c r="IAR24" s="2140"/>
      <c r="IAS24" s="2141"/>
      <c r="IAT24" s="2141"/>
      <c r="IAU24" s="2140"/>
      <c r="IAV24" s="2141"/>
      <c r="IAW24" s="2141"/>
      <c r="IAX24" s="2140"/>
      <c r="IAY24" s="2141"/>
      <c r="IAZ24" s="2141"/>
      <c r="IBA24" s="2140"/>
      <c r="IBB24" s="2141"/>
      <c r="IBC24" s="2141"/>
      <c r="IBD24" s="2140"/>
      <c r="IBE24" s="2141"/>
      <c r="IBF24" s="2141"/>
      <c r="IBG24" s="2140"/>
      <c r="IBH24" s="2141"/>
      <c r="IBI24" s="2141"/>
      <c r="IBJ24" s="2140"/>
      <c r="IBK24" s="2141"/>
      <c r="IBL24" s="2141"/>
      <c r="IBM24" s="2140"/>
      <c r="IBN24" s="2141"/>
      <c r="IBO24" s="2141"/>
      <c r="IBP24" s="2140"/>
      <c r="IBQ24" s="2141"/>
      <c r="IBR24" s="2141"/>
      <c r="IBS24" s="2140"/>
      <c r="IBT24" s="2141"/>
      <c r="IBU24" s="2141"/>
      <c r="IBV24" s="2140"/>
      <c r="IBW24" s="2141"/>
      <c r="IBX24" s="2141"/>
      <c r="IBY24" s="2140"/>
      <c r="IBZ24" s="2141"/>
      <c r="ICA24" s="2141"/>
      <c r="ICB24" s="2140"/>
      <c r="ICC24" s="2141"/>
      <c r="ICD24" s="2141"/>
      <c r="ICE24" s="2140"/>
      <c r="ICF24" s="2141"/>
      <c r="ICG24" s="2141"/>
      <c r="ICH24" s="2140"/>
      <c r="ICI24" s="2141"/>
      <c r="ICJ24" s="2141"/>
      <c r="ICK24" s="2140"/>
      <c r="ICL24" s="2141"/>
      <c r="ICM24" s="2141"/>
      <c r="ICN24" s="2140"/>
      <c r="ICO24" s="2141"/>
      <c r="ICP24" s="2141"/>
      <c r="ICQ24" s="2140"/>
      <c r="ICR24" s="2141"/>
      <c r="ICS24" s="2141"/>
      <c r="ICT24" s="2140"/>
      <c r="ICU24" s="2141"/>
      <c r="ICV24" s="2141"/>
      <c r="ICW24" s="2140"/>
      <c r="ICX24" s="2141"/>
      <c r="ICY24" s="2141"/>
      <c r="ICZ24" s="2140"/>
      <c r="IDA24" s="2141"/>
      <c r="IDB24" s="2141"/>
      <c r="IDC24" s="2140"/>
      <c r="IDD24" s="2141"/>
      <c r="IDE24" s="2141"/>
      <c r="IDF24" s="2140"/>
      <c r="IDG24" s="2141"/>
      <c r="IDH24" s="2141"/>
      <c r="IDI24" s="2140"/>
      <c r="IDJ24" s="2141"/>
      <c r="IDK24" s="2141"/>
      <c r="IDL24" s="2140"/>
      <c r="IDM24" s="2141"/>
      <c r="IDN24" s="2141"/>
      <c r="IDO24" s="2140"/>
      <c r="IDP24" s="2141"/>
      <c r="IDQ24" s="2141"/>
      <c r="IDR24" s="2140"/>
      <c r="IDS24" s="2141"/>
      <c r="IDT24" s="2141"/>
      <c r="IDU24" s="2140"/>
      <c r="IDV24" s="2141"/>
      <c r="IDW24" s="2141"/>
      <c r="IDX24" s="2140"/>
      <c r="IDY24" s="2141"/>
      <c r="IDZ24" s="2141"/>
      <c r="IEA24" s="2140"/>
      <c r="IEB24" s="2141"/>
      <c r="IEC24" s="2141"/>
      <c r="IED24" s="2140"/>
      <c r="IEE24" s="2141"/>
      <c r="IEF24" s="2141"/>
      <c r="IEG24" s="2140"/>
      <c r="IEH24" s="2141"/>
      <c r="IEI24" s="2141"/>
      <c r="IEJ24" s="2140"/>
      <c r="IEK24" s="2141"/>
      <c r="IEL24" s="2141"/>
      <c r="IEM24" s="2140"/>
      <c r="IEN24" s="2141"/>
      <c r="IEO24" s="2141"/>
      <c r="IEP24" s="2140"/>
      <c r="IEQ24" s="2141"/>
      <c r="IER24" s="2141"/>
      <c r="IES24" s="2140"/>
      <c r="IET24" s="2141"/>
      <c r="IEU24" s="2141"/>
      <c r="IEV24" s="2140"/>
      <c r="IEW24" s="2141"/>
      <c r="IEX24" s="2141"/>
      <c r="IEY24" s="2140"/>
      <c r="IEZ24" s="2141"/>
      <c r="IFA24" s="2141"/>
      <c r="IFB24" s="2140"/>
      <c r="IFC24" s="2141"/>
      <c r="IFD24" s="2141"/>
      <c r="IFE24" s="2140"/>
      <c r="IFF24" s="2141"/>
      <c r="IFG24" s="2141"/>
      <c r="IFH24" s="2140"/>
      <c r="IFI24" s="2141"/>
      <c r="IFJ24" s="2141"/>
      <c r="IFK24" s="2140"/>
      <c r="IFL24" s="2141"/>
      <c r="IFM24" s="2141"/>
      <c r="IFN24" s="2140"/>
      <c r="IFO24" s="2141"/>
      <c r="IFP24" s="2141"/>
      <c r="IFQ24" s="2140"/>
      <c r="IFR24" s="2141"/>
      <c r="IFS24" s="2141"/>
      <c r="IFT24" s="2140"/>
      <c r="IFU24" s="2141"/>
      <c r="IFV24" s="2141"/>
      <c r="IFW24" s="2140"/>
      <c r="IFX24" s="2141"/>
      <c r="IFY24" s="2141"/>
      <c r="IFZ24" s="2140"/>
      <c r="IGA24" s="2141"/>
      <c r="IGB24" s="2141"/>
      <c r="IGC24" s="2140"/>
      <c r="IGD24" s="2141"/>
      <c r="IGE24" s="2141"/>
      <c r="IGF24" s="2140"/>
      <c r="IGG24" s="2141"/>
      <c r="IGH24" s="2141"/>
      <c r="IGI24" s="2140"/>
      <c r="IGJ24" s="2141"/>
      <c r="IGK24" s="2141"/>
      <c r="IGL24" s="2140"/>
      <c r="IGM24" s="2141"/>
      <c r="IGN24" s="2141"/>
      <c r="IGO24" s="2140"/>
      <c r="IGP24" s="2141"/>
      <c r="IGQ24" s="2141"/>
      <c r="IGR24" s="2140"/>
      <c r="IGS24" s="2141"/>
      <c r="IGT24" s="2141"/>
      <c r="IGU24" s="2140"/>
      <c r="IGV24" s="2141"/>
      <c r="IGW24" s="2141"/>
      <c r="IGX24" s="2140"/>
      <c r="IGY24" s="2141"/>
      <c r="IGZ24" s="2141"/>
      <c r="IHA24" s="2140"/>
      <c r="IHB24" s="2141"/>
      <c r="IHC24" s="2141"/>
      <c r="IHD24" s="2140"/>
      <c r="IHE24" s="2141"/>
      <c r="IHF24" s="2141"/>
      <c r="IHG24" s="2140"/>
      <c r="IHH24" s="2141"/>
      <c r="IHI24" s="2141"/>
      <c r="IHJ24" s="2140"/>
      <c r="IHK24" s="2141"/>
      <c r="IHL24" s="2141"/>
      <c r="IHM24" s="2140"/>
      <c r="IHN24" s="2141"/>
      <c r="IHO24" s="2141"/>
      <c r="IHP24" s="2140"/>
      <c r="IHQ24" s="2141"/>
      <c r="IHR24" s="2141"/>
      <c r="IHS24" s="2140"/>
      <c r="IHT24" s="2141"/>
      <c r="IHU24" s="2141"/>
      <c r="IHV24" s="2140"/>
      <c r="IHW24" s="2141"/>
      <c r="IHX24" s="2141"/>
      <c r="IHY24" s="2140"/>
      <c r="IHZ24" s="2141"/>
      <c r="IIA24" s="2141"/>
      <c r="IIB24" s="2140"/>
      <c r="IIC24" s="2141"/>
      <c r="IID24" s="2141"/>
      <c r="IIE24" s="2140"/>
      <c r="IIF24" s="2141"/>
      <c r="IIG24" s="2141"/>
      <c r="IIH24" s="2140"/>
      <c r="III24" s="2141"/>
      <c r="IIJ24" s="2141"/>
      <c r="IIK24" s="2140"/>
      <c r="IIL24" s="2141"/>
      <c r="IIM24" s="2141"/>
      <c r="IIN24" s="2140"/>
      <c r="IIO24" s="2141"/>
      <c r="IIP24" s="2141"/>
      <c r="IIQ24" s="2140"/>
      <c r="IIR24" s="2141"/>
      <c r="IIS24" s="2141"/>
      <c r="IIT24" s="2140"/>
      <c r="IIU24" s="2141"/>
      <c r="IIV24" s="2141"/>
      <c r="IIW24" s="2140"/>
      <c r="IIX24" s="2141"/>
      <c r="IIY24" s="2141"/>
      <c r="IIZ24" s="2140"/>
      <c r="IJA24" s="2141"/>
      <c r="IJB24" s="2141"/>
      <c r="IJC24" s="2140"/>
      <c r="IJD24" s="2141"/>
      <c r="IJE24" s="2141"/>
      <c r="IJF24" s="2140"/>
      <c r="IJG24" s="2141"/>
      <c r="IJH24" s="2141"/>
      <c r="IJI24" s="2140"/>
      <c r="IJJ24" s="2141"/>
      <c r="IJK24" s="2141"/>
      <c r="IJL24" s="2140"/>
      <c r="IJM24" s="2141"/>
      <c r="IJN24" s="2141"/>
      <c r="IJO24" s="2140"/>
      <c r="IJP24" s="2141"/>
      <c r="IJQ24" s="2141"/>
      <c r="IJR24" s="2140"/>
      <c r="IJS24" s="2141"/>
      <c r="IJT24" s="2141"/>
      <c r="IJU24" s="2140"/>
      <c r="IJV24" s="2141"/>
      <c r="IJW24" s="2141"/>
      <c r="IJX24" s="2140"/>
      <c r="IJY24" s="2141"/>
      <c r="IJZ24" s="2141"/>
      <c r="IKA24" s="2140"/>
      <c r="IKB24" s="2141"/>
      <c r="IKC24" s="2141"/>
      <c r="IKD24" s="2140"/>
      <c r="IKE24" s="2141"/>
      <c r="IKF24" s="2141"/>
      <c r="IKG24" s="2140"/>
      <c r="IKH24" s="2141"/>
      <c r="IKI24" s="2141"/>
      <c r="IKJ24" s="2140"/>
      <c r="IKK24" s="2141"/>
      <c r="IKL24" s="2141"/>
      <c r="IKM24" s="2140"/>
      <c r="IKN24" s="2141"/>
      <c r="IKO24" s="2141"/>
      <c r="IKP24" s="2140"/>
      <c r="IKQ24" s="2141"/>
      <c r="IKR24" s="2141"/>
      <c r="IKS24" s="2140"/>
      <c r="IKT24" s="2141"/>
      <c r="IKU24" s="2141"/>
      <c r="IKV24" s="2140"/>
      <c r="IKW24" s="2141"/>
      <c r="IKX24" s="2141"/>
      <c r="IKY24" s="2140"/>
      <c r="IKZ24" s="2141"/>
      <c r="ILA24" s="2141"/>
      <c r="ILB24" s="2140"/>
      <c r="ILC24" s="2141"/>
      <c r="ILD24" s="2141"/>
      <c r="ILE24" s="2140"/>
      <c r="ILF24" s="2141"/>
      <c r="ILG24" s="2141"/>
      <c r="ILH24" s="2140"/>
      <c r="ILI24" s="2141"/>
      <c r="ILJ24" s="2141"/>
      <c r="ILK24" s="2140"/>
      <c r="ILL24" s="2141"/>
      <c r="ILM24" s="2141"/>
      <c r="ILN24" s="2140"/>
      <c r="ILO24" s="2141"/>
      <c r="ILP24" s="2141"/>
      <c r="ILQ24" s="2140"/>
      <c r="ILR24" s="2141"/>
      <c r="ILS24" s="2141"/>
      <c r="ILT24" s="2140"/>
      <c r="ILU24" s="2141"/>
      <c r="ILV24" s="2141"/>
      <c r="ILW24" s="2140"/>
      <c r="ILX24" s="2141"/>
      <c r="ILY24" s="2141"/>
      <c r="ILZ24" s="2140"/>
      <c r="IMA24" s="2141"/>
      <c r="IMB24" s="2141"/>
      <c r="IMC24" s="2140"/>
      <c r="IMD24" s="2141"/>
      <c r="IME24" s="2141"/>
      <c r="IMF24" s="2140"/>
      <c r="IMG24" s="2141"/>
      <c r="IMH24" s="2141"/>
      <c r="IMI24" s="2140"/>
      <c r="IMJ24" s="2141"/>
      <c r="IMK24" s="2141"/>
      <c r="IML24" s="2140"/>
      <c r="IMM24" s="2141"/>
      <c r="IMN24" s="2141"/>
      <c r="IMO24" s="2140"/>
      <c r="IMP24" s="2141"/>
      <c r="IMQ24" s="2141"/>
      <c r="IMR24" s="2140"/>
      <c r="IMS24" s="2141"/>
      <c r="IMT24" s="2141"/>
      <c r="IMU24" s="2140"/>
      <c r="IMV24" s="2141"/>
      <c r="IMW24" s="2141"/>
      <c r="IMX24" s="2140"/>
      <c r="IMY24" s="2141"/>
      <c r="IMZ24" s="2141"/>
      <c r="INA24" s="2140"/>
      <c r="INB24" s="2141"/>
      <c r="INC24" s="2141"/>
      <c r="IND24" s="2140"/>
      <c r="INE24" s="2141"/>
      <c r="INF24" s="2141"/>
      <c r="ING24" s="2140"/>
      <c r="INH24" s="2141"/>
      <c r="INI24" s="2141"/>
      <c r="INJ24" s="2140"/>
      <c r="INK24" s="2141"/>
      <c r="INL24" s="2141"/>
      <c r="INM24" s="2140"/>
      <c r="INN24" s="2141"/>
      <c r="INO24" s="2141"/>
      <c r="INP24" s="2140"/>
      <c r="INQ24" s="2141"/>
      <c r="INR24" s="2141"/>
      <c r="INS24" s="2140"/>
      <c r="INT24" s="2141"/>
      <c r="INU24" s="2141"/>
      <c r="INV24" s="2140"/>
      <c r="INW24" s="2141"/>
      <c r="INX24" s="2141"/>
      <c r="INY24" s="2140"/>
      <c r="INZ24" s="2141"/>
      <c r="IOA24" s="2141"/>
      <c r="IOB24" s="2140"/>
      <c r="IOC24" s="2141"/>
      <c r="IOD24" s="2141"/>
      <c r="IOE24" s="2140"/>
      <c r="IOF24" s="2141"/>
      <c r="IOG24" s="2141"/>
      <c r="IOH24" s="2140"/>
      <c r="IOI24" s="2141"/>
      <c r="IOJ24" s="2141"/>
      <c r="IOK24" s="2140"/>
      <c r="IOL24" s="2141"/>
      <c r="IOM24" s="2141"/>
      <c r="ION24" s="2140"/>
      <c r="IOO24" s="2141"/>
      <c r="IOP24" s="2141"/>
      <c r="IOQ24" s="2140"/>
      <c r="IOR24" s="2141"/>
      <c r="IOS24" s="2141"/>
      <c r="IOT24" s="2140"/>
      <c r="IOU24" s="2141"/>
      <c r="IOV24" s="2141"/>
      <c r="IOW24" s="2140"/>
      <c r="IOX24" s="2141"/>
      <c r="IOY24" s="2141"/>
      <c r="IOZ24" s="2140"/>
      <c r="IPA24" s="2141"/>
      <c r="IPB24" s="2141"/>
      <c r="IPC24" s="2140"/>
      <c r="IPD24" s="2141"/>
      <c r="IPE24" s="2141"/>
      <c r="IPF24" s="2140"/>
      <c r="IPG24" s="2141"/>
      <c r="IPH24" s="2141"/>
      <c r="IPI24" s="2140"/>
      <c r="IPJ24" s="2141"/>
      <c r="IPK24" s="2141"/>
      <c r="IPL24" s="2140"/>
      <c r="IPM24" s="2141"/>
      <c r="IPN24" s="2141"/>
      <c r="IPO24" s="2140"/>
      <c r="IPP24" s="2141"/>
      <c r="IPQ24" s="2141"/>
      <c r="IPR24" s="2140"/>
      <c r="IPS24" s="2141"/>
      <c r="IPT24" s="2141"/>
      <c r="IPU24" s="2140"/>
      <c r="IPV24" s="2141"/>
      <c r="IPW24" s="2141"/>
      <c r="IPX24" s="2140"/>
      <c r="IPY24" s="2141"/>
      <c r="IPZ24" s="2141"/>
      <c r="IQA24" s="2140"/>
      <c r="IQB24" s="2141"/>
      <c r="IQC24" s="2141"/>
      <c r="IQD24" s="2140"/>
      <c r="IQE24" s="2141"/>
      <c r="IQF24" s="2141"/>
      <c r="IQG24" s="2140"/>
      <c r="IQH24" s="2141"/>
      <c r="IQI24" s="2141"/>
      <c r="IQJ24" s="2140"/>
      <c r="IQK24" s="2141"/>
      <c r="IQL24" s="2141"/>
      <c r="IQM24" s="2140"/>
      <c r="IQN24" s="2141"/>
      <c r="IQO24" s="2141"/>
      <c r="IQP24" s="2140"/>
      <c r="IQQ24" s="2141"/>
      <c r="IQR24" s="2141"/>
      <c r="IQS24" s="2140"/>
      <c r="IQT24" s="2141"/>
      <c r="IQU24" s="2141"/>
      <c r="IQV24" s="2140"/>
      <c r="IQW24" s="2141"/>
      <c r="IQX24" s="2141"/>
      <c r="IQY24" s="2140"/>
      <c r="IQZ24" s="2141"/>
      <c r="IRA24" s="2141"/>
      <c r="IRB24" s="2140"/>
      <c r="IRC24" s="2141"/>
      <c r="IRD24" s="2141"/>
      <c r="IRE24" s="2140"/>
      <c r="IRF24" s="2141"/>
      <c r="IRG24" s="2141"/>
      <c r="IRH24" s="2140"/>
      <c r="IRI24" s="2141"/>
      <c r="IRJ24" s="2141"/>
      <c r="IRK24" s="2140"/>
      <c r="IRL24" s="2141"/>
      <c r="IRM24" s="2141"/>
      <c r="IRN24" s="2140"/>
      <c r="IRO24" s="2141"/>
      <c r="IRP24" s="2141"/>
      <c r="IRQ24" s="2140"/>
      <c r="IRR24" s="2141"/>
      <c r="IRS24" s="2141"/>
      <c r="IRT24" s="2140"/>
      <c r="IRU24" s="2141"/>
      <c r="IRV24" s="2141"/>
      <c r="IRW24" s="2140"/>
      <c r="IRX24" s="2141"/>
      <c r="IRY24" s="2141"/>
      <c r="IRZ24" s="2140"/>
      <c r="ISA24" s="2141"/>
      <c r="ISB24" s="2141"/>
      <c r="ISC24" s="2140"/>
      <c r="ISD24" s="2141"/>
      <c r="ISE24" s="2141"/>
      <c r="ISF24" s="2140"/>
      <c r="ISG24" s="2141"/>
      <c r="ISH24" s="2141"/>
      <c r="ISI24" s="2140"/>
      <c r="ISJ24" s="2141"/>
      <c r="ISK24" s="2141"/>
      <c r="ISL24" s="2140"/>
      <c r="ISM24" s="2141"/>
      <c r="ISN24" s="2141"/>
      <c r="ISO24" s="2140"/>
      <c r="ISP24" s="2141"/>
      <c r="ISQ24" s="2141"/>
      <c r="ISR24" s="2140"/>
      <c r="ISS24" s="2141"/>
      <c r="IST24" s="2141"/>
      <c r="ISU24" s="2140"/>
      <c r="ISV24" s="2141"/>
      <c r="ISW24" s="2141"/>
      <c r="ISX24" s="2140"/>
      <c r="ISY24" s="2141"/>
      <c r="ISZ24" s="2141"/>
      <c r="ITA24" s="2140"/>
      <c r="ITB24" s="2141"/>
      <c r="ITC24" s="2141"/>
      <c r="ITD24" s="2140"/>
      <c r="ITE24" s="2141"/>
      <c r="ITF24" s="2141"/>
      <c r="ITG24" s="2140"/>
      <c r="ITH24" s="2141"/>
      <c r="ITI24" s="2141"/>
      <c r="ITJ24" s="2140"/>
      <c r="ITK24" s="2141"/>
      <c r="ITL24" s="2141"/>
      <c r="ITM24" s="2140"/>
      <c r="ITN24" s="2141"/>
      <c r="ITO24" s="2141"/>
      <c r="ITP24" s="2140"/>
      <c r="ITQ24" s="2141"/>
      <c r="ITR24" s="2141"/>
      <c r="ITS24" s="2140"/>
      <c r="ITT24" s="2141"/>
      <c r="ITU24" s="2141"/>
      <c r="ITV24" s="2140"/>
      <c r="ITW24" s="2141"/>
      <c r="ITX24" s="2141"/>
      <c r="ITY24" s="2140"/>
      <c r="ITZ24" s="2141"/>
      <c r="IUA24" s="2141"/>
      <c r="IUB24" s="2140"/>
      <c r="IUC24" s="2141"/>
      <c r="IUD24" s="2141"/>
      <c r="IUE24" s="2140"/>
      <c r="IUF24" s="2141"/>
      <c r="IUG24" s="2141"/>
      <c r="IUH24" s="2140"/>
      <c r="IUI24" s="2141"/>
      <c r="IUJ24" s="2141"/>
      <c r="IUK24" s="2140"/>
      <c r="IUL24" s="2141"/>
      <c r="IUM24" s="2141"/>
      <c r="IUN24" s="2140"/>
      <c r="IUO24" s="2141"/>
      <c r="IUP24" s="2141"/>
      <c r="IUQ24" s="2140"/>
      <c r="IUR24" s="2141"/>
      <c r="IUS24" s="2141"/>
      <c r="IUT24" s="2140"/>
      <c r="IUU24" s="2141"/>
      <c r="IUV24" s="2141"/>
      <c r="IUW24" s="2140"/>
      <c r="IUX24" s="2141"/>
      <c r="IUY24" s="2141"/>
      <c r="IUZ24" s="2140"/>
      <c r="IVA24" s="2141"/>
      <c r="IVB24" s="2141"/>
      <c r="IVC24" s="2140"/>
      <c r="IVD24" s="2141"/>
      <c r="IVE24" s="2141"/>
      <c r="IVF24" s="2140"/>
      <c r="IVG24" s="2141"/>
      <c r="IVH24" s="2141"/>
      <c r="IVI24" s="2140"/>
      <c r="IVJ24" s="2141"/>
      <c r="IVK24" s="2141"/>
      <c r="IVL24" s="2140"/>
      <c r="IVM24" s="2141"/>
      <c r="IVN24" s="2141"/>
      <c r="IVO24" s="2140"/>
      <c r="IVP24" s="2141"/>
      <c r="IVQ24" s="2141"/>
      <c r="IVR24" s="2140"/>
      <c r="IVS24" s="2141"/>
      <c r="IVT24" s="2141"/>
      <c r="IVU24" s="2140"/>
      <c r="IVV24" s="2141"/>
      <c r="IVW24" s="2141"/>
      <c r="IVX24" s="2140"/>
      <c r="IVY24" s="2141"/>
      <c r="IVZ24" s="2141"/>
      <c r="IWA24" s="2140"/>
      <c r="IWB24" s="2141"/>
      <c r="IWC24" s="2141"/>
      <c r="IWD24" s="2140"/>
      <c r="IWE24" s="2141"/>
      <c r="IWF24" s="2141"/>
      <c r="IWG24" s="2140"/>
      <c r="IWH24" s="2141"/>
      <c r="IWI24" s="2141"/>
      <c r="IWJ24" s="2140"/>
      <c r="IWK24" s="2141"/>
      <c r="IWL24" s="2141"/>
      <c r="IWM24" s="2140"/>
      <c r="IWN24" s="2141"/>
      <c r="IWO24" s="2141"/>
      <c r="IWP24" s="2140"/>
      <c r="IWQ24" s="2141"/>
      <c r="IWR24" s="2141"/>
      <c r="IWS24" s="2140"/>
      <c r="IWT24" s="2141"/>
      <c r="IWU24" s="2141"/>
      <c r="IWV24" s="2140"/>
      <c r="IWW24" s="2141"/>
      <c r="IWX24" s="2141"/>
      <c r="IWY24" s="2140"/>
      <c r="IWZ24" s="2141"/>
      <c r="IXA24" s="2141"/>
      <c r="IXB24" s="2140"/>
      <c r="IXC24" s="2141"/>
      <c r="IXD24" s="2141"/>
      <c r="IXE24" s="2140"/>
      <c r="IXF24" s="2141"/>
      <c r="IXG24" s="2141"/>
      <c r="IXH24" s="2140"/>
      <c r="IXI24" s="2141"/>
      <c r="IXJ24" s="2141"/>
      <c r="IXK24" s="2140"/>
      <c r="IXL24" s="2141"/>
      <c r="IXM24" s="2141"/>
      <c r="IXN24" s="2140"/>
      <c r="IXO24" s="2141"/>
      <c r="IXP24" s="2141"/>
      <c r="IXQ24" s="2140"/>
      <c r="IXR24" s="2141"/>
      <c r="IXS24" s="2141"/>
      <c r="IXT24" s="2140"/>
      <c r="IXU24" s="2141"/>
      <c r="IXV24" s="2141"/>
      <c r="IXW24" s="2140"/>
      <c r="IXX24" s="2141"/>
      <c r="IXY24" s="2141"/>
      <c r="IXZ24" s="2140"/>
      <c r="IYA24" s="2141"/>
      <c r="IYB24" s="2141"/>
      <c r="IYC24" s="2140"/>
      <c r="IYD24" s="2141"/>
      <c r="IYE24" s="2141"/>
      <c r="IYF24" s="2140"/>
      <c r="IYG24" s="2141"/>
      <c r="IYH24" s="2141"/>
      <c r="IYI24" s="2140"/>
      <c r="IYJ24" s="2141"/>
      <c r="IYK24" s="2141"/>
      <c r="IYL24" s="2140"/>
      <c r="IYM24" s="2141"/>
      <c r="IYN24" s="2141"/>
      <c r="IYO24" s="2140"/>
      <c r="IYP24" s="2141"/>
      <c r="IYQ24" s="2141"/>
      <c r="IYR24" s="2140"/>
      <c r="IYS24" s="2141"/>
      <c r="IYT24" s="2141"/>
      <c r="IYU24" s="2140"/>
      <c r="IYV24" s="2141"/>
      <c r="IYW24" s="2141"/>
      <c r="IYX24" s="2140"/>
      <c r="IYY24" s="2141"/>
      <c r="IYZ24" s="2141"/>
      <c r="IZA24" s="2140"/>
      <c r="IZB24" s="2141"/>
      <c r="IZC24" s="2141"/>
      <c r="IZD24" s="2140"/>
      <c r="IZE24" s="2141"/>
      <c r="IZF24" s="2141"/>
      <c r="IZG24" s="2140"/>
      <c r="IZH24" s="2141"/>
      <c r="IZI24" s="2141"/>
      <c r="IZJ24" s="2140"/>
      <c r="IZK24" s="2141"/>
      <c r="IZL24" s="2141"/>
      <c r="IZM24" s="2140"/>
      <c r="IZN24" s="2141"/>
      <c r="IZO24" s="2141"/>
      <c r="IZP24" s="2140"/>
      <c r="IZQ24" s="2141"/>
      <c r="IZR24" s="2141"/>
      <c r="IZS24" s="2140"/>
      <c r="IZT24" s="2141"/>
      <c r="IZU24" s="2141"/>
      <c r="IZV24" s="2140"/>
      <c r="IZW24" s="2141"/>
      <c r="IZX24" s="2141"/>
      <c r="IZY24" s="2140"/>
      <c r="IZZ24" s="2141"/>
      <c r="JAA24" s="2141"/>
      <c r="JAB24" s="2140"/>
      <c r="JAC24" s="2141"/>
      <c r="JAD24" s="2141"/>
      <c r="JAE24" s="2140"/>
      <c r="JAF24" s="2141"/>
      <c r="JAG24" s="2141"/>
      <c r="JAH24" s="2140"/>
      <c r="JAI24" s="2141"/>
      <c r="JAJ24" s="2141"/>
      <c r="JAK24" s="2140"/>
      <c r="JAL24" s="2141"/>
      <c r="JAM24" s="2141"/>
      <c r="JAN24" s="2140"/>
      <c r="JAO24" s="2141"/>
      <c r="JAP24" s="2141"/>
      <c r="JAQ24" s="2140"/>
      <c r="JAR24" s="2141"/>
      <c r="JAS24" s="2141"/>
      <c r="JAT24" s="2140"/>
      <c r="JAU24" s="2141"/>
      <c r="JAV24" s="2141"/>
      <c r="JAW24" s="2140"/>
      <c r="JAX24" s="2141"/>
      <c r="JAY24" s="2141"/>
      <c r="JAZ24" s="2140"/>
      <c r="JBA24" s="2141"/>
      <c r="JBB24" s="2141"/>
      <c r="JBC24" s="2140"/>
      <c r="JBD24" s="2141"/>
      <c r="JBE24" s="2141"/>
      <c r="JBF24" s="2140"/>
      <c r="JBG24" s="2141"/>
      <c r="JBH24" s="2141"/>
      <c r="JBI24" s="2140"/>
      <c r="JBJ24" s="2141"/>
      <c r="JBK24" s="2141"/>
      <c r="JBL24" s="2140"/>
      <c r="JBM24" s="2141"/>
      <c r="JBN24" s="2141"/>
      <c r="JBO24" s="2140"/>
      <c r="JBP24" s="2141"/>
      <c r="JBQ24" s="2141"/>
      <c r="JBR24" s="2140"/>
      <c r="JBS24" s="2141"/>
      <c r="JBT24" s="2141"/>
      <c r="JBU24" s="2140"/>
      <c r="JBV24" s="2141"/>
      <c r="JBW24" s="2141"/>
      <c r="JBX24" s="2140"/>
      <c r="JBY24" s="2141"/>
      <c r="JBZ24" s="2141"/>
      <c r="JCA24" s="2140"/>
      <c r="JCB24" s="2141"/>
      <c r="JCC24" s="2141"/>
      <c r="JCD24" s="2140"/>
      <c r="JCE24" s="2141"/>
      <c r="JCF24" s="2141"/>
      <c r="JCG24" s="2140"/>
      <c r="JCH24" s="2141"/>
      <c r="JCI24" s="2141"/>
      <c r="JCJ24" s="2140"/>
      <c r="JCK24" s="2141"/>
      <c r="JCL24" s="2141"/>
      <c r="JCM24" s="2140"/>
      <c r="JCN24" s="2141"/>
      <c r="JCO24" s="2141"/>
      <c r="JCP24" s="2140"/>
      <c r="JCQ24" s="2141"/>
      <c r="JCR24" s="2141"/>
      <c r="JCS24" s="2140"/>
      <c r="JCT24" s="2141"/>
      <c r="JCU24" s="2141"/>
      <c r="JCV24" s="2140"/>
      <c r="JCW24" s="2141"/>
      <c r="JCX24" s="2141"/>
      <c r="JCY24" s="2140"/>
      <c r="JCZ24" s="2141"/>
      <c r="JDA24" s="2141"/>
      <c r="JDB24" s="2140"/>
      <c r="JDC24" s="2141"/>
      <c r="JDD24" s="2141"/>
      <c r="JDE24" s="2140"/>
      <c r="JDF24" s="2141"/>
      <c r="JDG24" s="2141"/>
      <c r="JDH24" s="2140"/>
      <c r="JDI24" s="2141"/>
      <c r="JDJ24" s="2141"/>
      <c r="JDK24" s="2140"/>
      <c r="JDL24" s="2141"/>
      <c r="JDM24" s="2141"/>
      <c r="JDN24" s="2140"/>
      <c r="JDO24" s="2141"/>
      <c r="JDP24" s="2141"/>
      <c r="JDQ24" s="2140"/>
      <c r="JDR24" s="2141"/>
      <c r="JDS24" s="2141"/>
      <c r="JDT24" s="2140"/>
      <c r="JDU24" s="2141"/>
      <c r="JDV24" s="2141"/>
      <c r="JDW24" s="2140"/>
      <c r="JDX24" s="2141"/>
      <c r="JDY24" s="2141"/>
      <c r="JDZ24" s="2140"/>
      <c r="JEA24" s="2141"/>
      <c r="JEB24" s="2141"/>
      <c r="JEC24" s="2140"/>
      <c r="JED24" s="2141"/>
      <c r="JEE24" s="2141"/>
      <c r="JEF24" s="2140"/>
      <c r="JEG24" s="2141"/>
      <c r="JEH24" s="2141"/>
      <c r="JEI24" s="2140"/>
      <c r="JEJ24" s="2141"/>
      <c r="JEK24" s="2141"/>
      <c r="JEL24" s="2140"/>
      <c r="JEM24" s="2141"/>
      <c r="JEN24" s="2141"/>
      <c r="JEO24" s="2140"/>
      <c r="JEP24" s="2141"/>
      <c r="JEQ24" s="2141"/>
      <c r="JER24" s="2140"/>
      <c r="JES24" s="2141"/>
      <c r="JET24" s="2141"/>
      <c r="JEU24" s="2140"/>
      <c r="JEV24" s="2141"/>
      <c r="JEW24" s="2141"/>
      <c r="JEX24" s="2140"/>
      <c r="JEY24" s="2141"/>
      <c r="JEZ24" s="2141"/>
      <c r="JFA24" s="2140"/>
      <c r="JFB24" s="2141"/>
      <c r="JFC24" s="2141"/>
      <c r="JFD24" s="2140"/>
      <c r="JFE24" s="2141"/>
      <c r="JFF24" s="2141"/>
      <c r="JFG24" s="2140"/>
      <c r="JFH24" s="2141"/>
      <c r="JFI24" s="2141"/>
      <c r="JFJ24" s="2140"/>
      <c r="JFK24" s="2141"/>
      <c r="JFL24" s="2141"/>
      <c r="JFM24" s="2140"/>
      <c r="JFN24" s="2141"/>
      <c r="JFO24" s="2141"/>
      <c r="JFP24" s="2140"/>
      <c r="JFQ24" s="2141"/>
      <c r="JFR24" s="2141"/>
      <c r="JFS24" s="2140"/>
      <c r="JFT24" s="2141"/>
      <c r="JFU24" s="2141"/>
      <c r="JFV24" s="2140"/>
      <c r="JFW24" s="2141"/>
      <c r="JFX24" s="2141"/>
      <c r="JFY24" s="2140"/>
      <c r="JFZ24" s="2141"/>
      <c r="JGA24" s="2141"/>
      <c r="JGB24" s="2140"/>
      <c r="JGC24" s="2141"/>
      <c r="JGD24" s="2141"/>
      <c r="JGE24" s="2140"/>
      <c r="JGF24" s="2141"/>
      <c r="JGG24" s="2141"/>
      <c r="JGH24" s="2140"/>
      <c r="JGI24" s="2141"/>
      <c r="JGJ24" s="2141"/>
      <c r="JGK24" s="2140"/>
      <c r="JGL24" s="2141"/>
      <c r="JGM24" s="2141"/>
      <c r="JGN24" s="2140"/>
      <c r="JGO24" s="2141"/>
      <c r="JGP24" s="2141"/>
      <c r="JGQ24" s="2140"/>
      <c r="JGR24" s="2141"/>
      <c r="JGS24" s="2141"/>
      <c r="JGT24" s="2140"/>
      <c r="JGU24" s="2141"/>
      <c r="JGV24" s="2141"/>
      <c r="JGW24" s="2140"/>
      <c r="JGX24" s="2141"/>
      <c r="JGY24" s="2141"/>
      <c r="JGZ24" s="2140"/>
      <c r="JHA24" s="2141"/>
      <c r="JHB24" s="2141"/>
      <c r="JHC24" s="2140"/>
      <c r="JHD24" s="2141"/>
      <c r="JHE24" s="2141"/>
      <c r="JHF24" s="2140"/>
      <c r="JHG24" s="2141"/>
      <c r="JHH24" s="2141"/>
      <c r="JHI24" s="2140"/>
      <c r="JHJ24" s="2141"/>
      <c r="JHK24" s="2141"/>
      <c r="JHL24" s="2140"/>
      <c r="JHM24" s="2141"/>
      <c r="JHN24" s="2141"/>
      <c r="JHO24" s="2140"/>
      <c r="JHP24" s="2141"/>
      <c r="JHQ24" s="2141"/>
      <c r="JHR24" s="2140"/>
      <c r="JHS24" s="2141"/>
      <c r="JHT24" s="2141"/>
      <c r="JHU24" s="2140"/>
      <c r="JHV24" s="2141"/>
      <c r="JHW24" s="2141"/>
      <c r="JHX24" s="2140"/>
      <c r="JHY24" s="2141"/>
      <c r="JHZ24" s="2141"/>
      <c r="JIA24" s="2140"/>
      <c r="JIB24" s="2141"/>
      <c r="JIC24" s="2141"/>
      <c r="JID24" s="2140"/>
      <c r="JIE24" s="2141"/>
      <c r="JIF24" s="2141"/>
      <c r="JIG24" s="2140"/>
      <c r="JIH24" s="2141"/>
      <c r="JII24" s="2141"/>
      <c r="JIJ24" s="2140"/>
      <c r="JIK24" s="2141"/>
      <c r="JIL24" s="2141"/>
      <c r="JIM24" s="2140"/>
      <c r="JIN24" s="2141"/>
      <c r="JIO24" s="2141"/>
      <c r="JIP24" s="2140"/>
      <c r="JIQ24" s="2141"/>
      <c r="JIR24" s="2141"/>
      <c r="JIS24" s="2140"/>
      <c r="JIT24" s="2141"/>
      <c r="JIU24" s="2141"/>
      <c r="JIV24" s="2140"/>
      <c r="JIW24" s="2141"/>
      <c r="JIX24" s="2141"/>
      <c r="JIY24" s="2140"/>
      <c r="JIZ24" s="2141"/>
      <c r="JJA24" s="2141"/>
      <c r="JJB24" s="2140"/>
      <c r="JJC24" s="2141"/>
      <c r="JJD24" s="2141"/>
      <c r="JJE24" s="2140"/>
      <c r="JJF24" s="2141"/>
      <c r="JJG24" s="2141"/>
      <c r="JJH24" s="2140"/>
      <c r="JJI24" s="2141"/>
      <c r="JJJ24" s="2141"/>
      <c r="JJK24" s="2140"/>
      <c r="JJL24" s="2141"/>
      <c r="JJM24" s="2141"/>
      <c r="JJN24" s="2140"/>
      <c r="JJO24" s="2141"/>
      <c r="JJP24" s="2141"/>
      <c r="JJQ24" s="2140"/>
      <c r="JJR24" s="2141"/>
      <c r="JJS24" s="2141"/>
      <c r="JJT24" s="2140"/>
      <c r="JJU24" s="2141"/>
      <c r="JJV24" s="2141"/>
      <c r="JJW24" s="2140"/>
      <c r="JJX24" s="2141"/>
      <c r="JJY24" s="2141"/>
      <c r="JJZ24" s="2140"/>
      <c r="JKA24" s="2141"/>
      <c r="JKB24" s="2141"/>
      <c r="JKC24" s="2140"/>
      <c r="JKD24" s="2141"/>
      <c r="JKE24" s="2141"/>
      <c r="JKF24" s="2140"/>
      <c r="JKG24" s="2141"/>
      <c r="JKH24" s="2141"/>
      <c r="JKI24" s="2140"/>
      <c r="JKJ24" s="2141"/>
      <c r="JKK24" s="2141"/>
      <c r="JKL24" s="2140"/>
      <c r="JKM24" s="2141"/>
      <c r="JKN24" s="2141"/>
      <c r="JKO24" s="2140"/>
      <c r="JKP24" s="2141"/>
      <c r="JKQ24" s="2141"/>
      <c r="JKR24" s="2140"/>
      <c r="JKS24" s="2141"/>
      <c r="JKT24" s="2141"/>
      <c r="JKU24" s="2140"/>
      <c r="JKV24" s="2141"/>
      <c r="JKW24" s="2141"/>
      <c r="JKX24" s="2140"/>
      <c r="JKY24" s="2141"/>
      <c r="JKZ24" s="2141"/>
      <c r="JLA24" s="2140"/>
      <c r="JLB24" s="2141"/>
      <c r="JLC24" s="2141"/>
      <c r="JLD24" s="2140"/>
      <c r="JLE24" s="2141"/>
      <c r="JLF24" s="2141"/>
      <c r="JLG24" s="2140"/>
      <c r="JLH24" s="2141"/>
      <c r="JLI24" s="2141"/>
      <c r="JLJ24" s="2140"/>
      <c r="JLK24" s="2141"/>
      <c r="JLL24" s="2141"/>
      <c r="JLM24" s="2140"/>
      <c r="JLN24" s="2141"/>
      <c r="JLO24" s="2141"/>
      <c r="JLP24" s="2140"/>
      <c r="JLQ24" s="2141"/>
      <c r="JLR24" s="2141"/>
      <c r="JLS24" s="2140"/>
      <c r="JLT24" s="2141"/>
      <c r="JLU24" s="2141"/>
      <c r="JLV24" s="2140"/>
      <c r="JLW24" s="2141"/>
      <c r="JLX24" s="2141"/>
      <c r="JLY24" s="2140"/>
      <c r="JLZ24" s="2141"/>
      <c r="JMA24" s="2141"/>
      <c r="JMB24" s="2140"/>
      <c r="JMC24" s="2141"/>
      <c r="JMD24" s="2141"/>
      <c r="JME24" s="2140"/>
      <c r="JMF24" s="2141"/>
      <c r="JMG24" s="2141"/>
      <c r="JMH24" s="2140"/>
      <c r="JMI24" s="2141"/>
      <c r="JMJ24" s="2141"/>
      <c r="JMK24" s="2140"/>
      <c r="JML24" s="2141"/>
      <c r="JMM24" s="2141"/>
      <c r="JMN24" s="2140"/>
      <c r="JMO24" s="2141"/>
      <c r="JMP24" s="2141"/>
      <c r="JMQ24" s="2140"/>
      <c r="JMR24" s="2141"/>
      <c r="JMS24" s="2141"/>
      <c r="JMT24" s="2140"/>
      <c r="JMU24" s="2141"/>
      <c r="JMV24" s="2141"/>
      <c r="JMW24" s="2140"/>
      <c r="JMX24" s="2141"/>
      <c r="JMY24" s="2141"/>
      <c r="JMZ24" s="2140"/>
      <c r="JNA24" s="2141"/>
      <c r="JNB24" s="2141"/>
      <c r="JNC24" s="2140"/>
      <c r="JND24" s="2141"/>
      <c r="JNE24" s="2141"/>
      <c r="JNF24" s="2140"/>
      <c r="JNG24" s="2141"/>
      <c r="JNH24" s="2141"/>
      <c r="JNI24" s="2140"/>
      <c r="JNJ24" s="2141"/>
      <c r="JNK24" s="2141"/>
      <c r="JNL24" s="2140"/>
      <c r="JNM24" s="2141"/>
      <c r="JNN24" s="2141"/>
      <c r="JNO24" s="2140"/>
      <c r="JNP24" s="2141"/>
      <c r="JNQ24" s="2141"/>
      <c r="JNR24" s="2140"/>
      <c r="JNS24" s="2141"/>
      <c r="JNT24" s="2141"/>
      <c r="JNU24" s="2140"/>
      <c r="JNV24" s="2141"/>
      <c r="JNW24" s="2141"/>
      <c r="JNX24" s="2140"/>
      <c r="JNY24" s="2141"/>
      <c r="JNZ24" s="2141"/>
      <c r="JOA24" s="2140"/>
      <c r="JOB24" s="2141"/>
      <c r="JOC24" s="2141"/>
      <c r="JOD24" s="2140"/>
      <c r="JOE24" s="2141"/>
      <c r="JOF24" s="2141"/>
      <c r="JOG24" s="2140"/>
      <c r="JOH24" s="2141"/>
      <c r="JOI24" s="2141"/>
      <c r="JOJ24" s="2140"/>
      <c r="JOK24" s="2141"/>
      <c r="JOL24" s="2141"/>
      <c r="JOM24" s="2140"/>
      <c r="JON24" s="2141"/>
      <c r="JOO24" s="2141"/>
      <c r="JOP24" s="2140"/>
      <c r="JOQ24" s="2141"/>
      <c r="JOR24" s="2141"/>
      <c r="JOS24" s="2140"/>
      <c r="JOT24" s="2141"/>
      <c r="JOU24" s="2141"/>
      <c r="JOV24" s="2140"/>
      <c r="JOW24" s="2141"/>
      <c r="JOX24" s="2141"/>
      <c r="JOY24" s="2140"/>
      <c r="JOZ24" s="2141"/>
      <c r="JPA24" s="2141"/>
      <c r="JPB24" s="2140"/>
      <c r="JPC24" s="2141"/>
      <c r="JPD24" s="2141"/>
      <c r="JPE24" s="2140"/>
      <c r="JPF24" s="2141"/>
      <c r="JPG24" s="2141"/>
      <c r="JPH24" s="2140"/>
      <c r="JPI24" s="2141"/>
      <c r="JPJ24" s="2141"/>
      <c r="JPK24" s="2140"/>
      <c r="JPL24" s="2141"/>
      <c r="JPM24" s="2141"/>
      <c r="JPN24" s="2140"/>
      <c r="JPO24" s="2141"/>
      <c r="JPP24" s="2141"/>
      <c r="JPQ24" s="2140"/>
      <c r="JPR24" s="2141"/>
      <c r="JPS24" s="2141"/>
      <c r="JPT24" s="2140"/>
      <c r="JPU24" s="2141"/>
      <c r="JPV24" s="2141"/>
      <c r="JPW24" s="2140"/>
      <c r="JPX24" s="2141"/>
      <c r="JPY24" s="2141"/>
      <c r="JPZ24" s="2140"/>
      <c r="JQA24" s="2141"/>
      <c r="JQB24" s="2141"/>
      <c r="JQC24" s="2140"/>
      <c r="JQD24" s="2141"/>
      <c r="JQE24" s="2141"/>
      <c r="JQF24" s="2140"/>
      <c r="JQG24" s="2141"/>
      <c r="JQH24" s="2141"/>
      <c r="JQI24" s="2140"/>
      <c r="JQJ24" s="2141"/>
      <c r="JQK24" s="2141"/>
      <c r="JQL24" s="2140"/>
      <c r="JQM24" s="2141"/>
      <c r="JQN24" s="2141"/>
      <c r="JQO24" s="2140"/>
      <c r="JQP24" s="2141"/>
      <c r="JQQ24" s="2141"/>
      <c r="JQR24" s="2140"/>
      <c r="JQS24" s="2141"/>
      <c r="JQT24" s="2141"/>
      <c r="JQU24" s="2140"/>
      <c r="JQV24" s="2141"/>
      <c r="JQW24" s="2141"/>
      <c r="JQX24" s="2140"/>
      <c r="JQY24" s="2141"/>
      <c r="JQZ24" s="2141"/>
      <c r="JRA24" s="2140"/>
      <c r="JRB24" s="2141"/>
      <c r="JRC24" s="2141"/>
      <c r="JRD24" s="2140"/>
      <c r="JRE24" s="2141"/>
      <c r="JRF24" s="2141"/>
      <c r="JRG24" s="2140"/>
      <c r="JRH24" s="2141"/>
      <c r="JRI24" s="2141"/>
      <c r="JRJ24" s="2140"/>
      <c r="JRK24" s="2141"/>
      <c r="JRL24" s="2141"/>
      <c r="JRM24" s="2140"/>
      <c r="JRN24" s="2141"/>
      <c r="JRO24" s="2141"/>
      <c r="JRP24" s="2140"/>
      <c r="JRQ24" s="2141"/>
      <c r="JRR24" s="2141"/>
      <c r="JRS24" s="2140"/>
      <c r="JRT24" s="2141"/>
      <c r="JRU24" s="2141"/>
      <c r="JRV24" s="2140"/>
      <c r="JRW24" s="2141"/>
      <c r="JRX24" s="2141"/>
      <c r="JRY24" s="2140"/>
      <c r="JRZ24" s="2141"/>
      <c r="JSA24" s="2141"/>
      <c r="JSB24" s="2140"/>
      <c r="JSC24" s="2141"/>
      <c r="JSD24" s="2141"/>
      <c r="JSE24" s="2140"/>
      <c r="JSF24" s="2141"/>
      <c r="JSG24" s="2141"/>
      <c r="JSH24" s="2140"/>
      <c r="JSI24" s="2141"/>
      <c r="JSJ24" s="2141"/>
      <c r="JSK24" s="2140"/>
      <c r="JSL24" s="2141"/>
      <c r="JSM24" s="2141"/>
      <c r="JSN24" s="2140"/>
      <c r="JSO24" s="2141"/>
      <c r="JSP24" s="2141"/>
      <c r="JSQ24" s="2140"/>
      <c r="JSR24" s="2141"/>
      <c r="JSS24" s="2141"/>
      <c r="JST24" s="2140"/>
      <c r="JSU24" s="2141"/>
      <c r="JSV24" s="2141"/>
      <c r="JSW24" s="2140"/>
      <c r="JSX24" s="2141"/>
      <c r="JSY24" s="2141"/>
      <c r="JSZ24" s="2140"/>
      <c r="JTA24" s="2141"/>
      <c r="JTB24" s="2141"/>
      <c r="JTC24" s="2140"/>
      <c r="JTD24" s="2141"/>
      <c r="JTE24" s="2141"/>
      <c r="JTF24" s="2140"/>
      <c r="JTG24" s="2141"/>
      <c r="JTH24" s="2141"/>
      <c r="JTI24" s="2140"/>
      <c r="JTJ24" s="2141"/>
      <c r="JTK24" s="2141"/>
      <c r="JTL24" s="2140"/>
      <c r="JTM24" s="2141"/>
      <c r="JTN24" s="2141"/>
      <c r="JTO24" s="2140"/>
      <c r="JTP24" s="2141"/>
      <c r="JTQ24" s="2141"/>
      <c r="JTR24" s="2140"/>
      <c r="JTS24" s="2141"/>
      <c r="JTT24" s="2141"/>
      <c r="JTU24" s="2140"/>
      <c r="JTV24" s="2141"/>
      <c r="JTW24" s="2141"/>
      <c r="JTX24" s="2140"/>
      <c r="JTY24" s="2141"/>
      <c r="JTZ24" s="2141"/>
      <c r="JUA24" s="2140"/>
      <c r="JUB24" s="2141"/>
      <c r="JUC24" s="2141"/>
      <c r="JUD24" s="2140"/>
      <c r="JUE24" s="2141"/>
      <c r="JUF24" s="2141"/>
      <c r="JUG24" s="2140"/>
      <c r="JUH24" s="2141"/>
      <c r="JUI24" s="2141"/>
      <c r="JUJ24" s="2140"/>
      <c r="JUK24" s="2141"/>
      <c r="JUL24" s="2141"/>
      <c r="JUM24" s="2140"/>
      <c r="JUN24" s="2141"/>
      <c r="JUO24" s="2141"/>
      <c r="JUP24" s="2140"/>
      <c r="JUQ24" s="2141"/>
      <c r="JUR24" s="2141"/>
      <c r="JUS24" s="2140"/>
      <c r="JUT24" s="2141"/>
      <c r="JUU24" s="2141"/>
      <c r="JUV24" s="2140"/>
      <c r="JUW24" s="2141"/>
      <c r="JUX24" s="2141"/>
      <c r="JUY24" s="2140"/>
      <c r="JUZ24" s="2141"/>
      <c r="JVA24" s="2141"/>
      <c r="JVB24" s="2140"/>
      <c r="JVC24" s="2141"/>
      <c r="JVD24" s="2141"/>
      <c r="JVE24" s="2140"/>
      <c r="JVF24" s="2141"/>
      <c r="JVG24" s="2141"/>
      <c r="JVH24" s="2140"/>
      <c r="JVI24" s="2141"/>
      <c r="JVJ24" s="2141"/>
      <c r="JVK24" s="2140"/>
      <c r="JVL24" s="2141"/>
      <c r="JVM24" s="2141"/>
      <c r="JVN24" s="2140"/>
      <c r="JVO24" s="2141"/>
      <c r="JVP24" s="2141"/>
      <c r="JVQ24" s="2140"/>
      <c r="JVR24" s="2141"/>
      <c r="JVS24" s="2141"/>
      <c r="JVT24" s="2140"/>
      <c r="JVU24" s="2141"/>
      <c r="JVV24" s="2141"/>
      <c r="JVW24" s="2140"/>
      <c r="JVX24" s="2141"/>
      <c r="JVY24" s="2141"/>
      <c r="JVZ24" s="2140"/>
      <c r="JWA24" s="2141"/>
      <c r="JWB24" s="2141"/>
      <c r="JWC24" s="2140"/>
      <c r="JWD24" s="2141"/>
      <c r="JWE24" s="2141"/>
      <c r="JWF24" s="2140"/>
      <c r="JWG24" s="2141"/>
      <c r="JWH24" s="2141"/>
      <c r="JWI24" s="2140"/>
      <c r="JWJ24" s="2141"/>
      <c r="JWK24" s="2141"/>
      <c r="JWL24" s="2140"/>
      <c r="JWM24" s="2141"/>
      <c r="JWN24" s="2141"/>
      <c r="JWO24" s="2140"/>
      <c r="JWP24" s="2141"/>
      <c r="JWQ24" s="2141"/>
      <c r="JWR24" s="2140"/>
      <c r="JWS24" s="2141"/>
      <c r="JWT24" s="2141"/>
      <c r="JWU24" s="2140"/>
      <c r="JWV24" s="2141"/>
      <c r="JWW24" s="2141"/>
      <c r="JWX24" s="2140"/>
      <c r="JWY24" s="2141"/>
      <c r="JWZ24" s="2141"/>
      <c r="JXA24" s="2140"/>
      <c r="JXB24" s="2141"/>
      <c r="JXC24" s="2141"/>
      <c r="JXD24" s="2140"/>
      <c r="JXE24" s="2141"/>
      <c r="JXF24" s="2141"/>
      <c r="JXG24" s="2140"/>
      <c r="JXH24" s="2141"/>
      <c r="JXI24" s="2141"/>
      <c r="JXJ24" s="2140"/>
      <c r="JXK24" s="2141"/>
      <c r="JXL24" s="2141"/>
      <c r="JXM24" s="2140"/>
      <c r="JXN24" s="2141"/>
      <c r="JXO24" s="2141"/>
      <c r="JXP24" s="2140"/>
      <c r="JXQ24" s="2141"/>
      <c r="JXR24" s="2141"/>
      <c r="JXS24" s="2140"/>
      <c r="JXT24" s="2141"/>
      <c r="JXU24" s="2141"/>
      <c r="JXV24" s="2140"/>
      <c r="JXW24" s="2141"/>
      <c r="JXX24" s="2141"/>
      <c r="JXY24" s="2140"/>
      <c r="JXZ24" s="2141"/>
      <c r="JYA24" s="2141"/>
      <c r="JYB24" s="2140"/>
      <c r="JYC24" s="2141"/>
      <c r="JYD24" s="2141"/>
      <c r="JYE24" s="2140"/>
      <c r="JYF24" s="2141"/>
      <c r="JYG24" s="2141"/>
      <c r="JYH24" s="2140"/>
      <c r="JYI24" s="2141"/>
      <c r="JYJ24" s="2141"/>
      <c r="JYK24" s="2140"/>
      <c r="JYL24" s="2141"/>
      <c r="JYM24" s="2141"/>
      <c r="JYN24" s="2140"/>
      <c r="JYO24" s="2141"/>
      <c r="JYP24" s="2141"/>
      <c r="JYQ24" s="2140"/>
      <c r="JYR24" s="2141"/>
      <c r="JYS24" s="2141"/>
      <c r="JYT24" s="2140"/>
      <c r="JYU24" s="2141"/>
      <c r="JYV24" s="2141"/>
      <c r="JYW24" s="2140"/>
      <c r="JYX24" s="2141"/>
      <c r="JYY24" s="2141"/>
      <c r="JYZ24" s="2140"/>
      <c r="JZA24" s="2141"/>
      <c r="JZB24" s="2141"/>
      <c r="JZC24" s="2140"/>
      <c r="JZD24" s="2141"/>
      <c r="JZE24" s="2141"/>
      <c r="JZF24" s="2140"/>
      <c r="JZG24" s="2141"/>
      <c r="JZH24" s="2141"/>
      <c r="JZI24" s="2140"/>
      <c r="JZJ24" s="2141"/>
      <c r="JZK24" s="2141"/>
      <c r="JZL24" s="2140"/>
      <c r="JZM24" s="2141"/>
      <c r="JZN24" s="2141"/>
      <c r="JZO24" s="2140"/>
      <c r="JZP24" s="2141"/>
      <c r="JZQ24" s="2141"/>
      <c r="JZR24" s="2140"/>
      <c r="JZS24" s="2141"/>
      <c r="JZT24" s="2141"/>
      <c r="JZU24" s="2140"/>
      <c r="JZV24" s="2141"/>
      <c r="JZW24" s="2141"/>
      <c r="JZX24" s="2140"/>
      <c r="JZY24" s="2141"/>
      <c r="JZZ24" s="2141"/>
      <c r="KAA24" s="2140"/>
      <c r="KAB24" s="2141"/>
      <c r="KAC24" s="2141"/>
      <c r="KAD24" s="2140"/>
      <c r="KAE24" s="2141"/>
      <c r="KAF24" s="2141"/>
      <c r="KAG24" s="2140"/>
      <c r="KAH24" s="2141"/>
      <c r="KAI24" s="2141"/>
      <c r="KAJ24" s="2140"/>
      <c r="KAK24" s="2141"/>
      <c r="KAL24" s="2141"/>
      <c r="KAM24" s="2140"/>
      <c r="KAN24" s="2141"/>
      <c r="KAO24" s="2141"/>
      <c r="KAP24" s="2140"/>
      <c r="KAQ24" s="2141"/>
      <c r="KAR24" s="2141"/>
      <c r="KAS24" s="2140"/>
      <c r="KAT24" s="2141"/>
      <c r="KAU24" s="2141"/>
      <c r="KAV24" s="2140"/>
      <c r="KAW24" s="2141"/>
      <c r="KAX24" s="2141"/>
      <c r="KAY24" s="2140"/>
      <c r="KAZ24" s="2141"/>
      <c r="KBA24" s="2141"/>
      <c r="KBB24" s="2140"/>
      <c r="KBC24" s="2141"/>
      <c r="KBD24" s="2141"/>
      <c r="KBE24" s="2140"/>
      <c r="KBF24" s="2141"/>
      <c r="KBG24" s="2141"/>
      <c r="KBH24" s="2140"/>
      <c r="KBI24" s="2141"/>
      <c r="KBJ24" s="2141"/>
      <c r="KBK24" s="2140"/>
      <c r="KBL24" s="2141"/>
      <c r="KBM24" s="2141"/>
      <c r="KBN24" s="2140"/>
      <c r="KBO24" s="2141"/>
      <c r="KBP24" s="2141"/>
      <c r="KBQ24" s="2140"/>
      <c r="KBR24" s="2141"/>
      <c r="KBS24" s="2141"/>
      <c r="KBT24" s="2140"/>
      <c r="KBU24" s="2141"/>
      <c r="KBV24" s="2141"/>
      <c r="KBW24" s="2140"/>
      <c r="KBX24" s="2141"/>
      <c r="KBY24" s="2141"/>
      <c r="KBZ24" s="2140"/>
      <c r="KCA24" s="2141"/>
      <c r="KCB24" s="2141"/>
      <c r="KCC24" s="2140"/>
      <c r="KCD24" s="2141"/>
      <c r="KCE24" s="2141"/>
      <c r="KCF24" s="2140"/>
      <c r="KCG24" s="2141"/>
      <c r="KCH24" s="2141"/>
      <c r="KCI24" s="2140"/>
      <c r="KCJ24" s="2141"/>
      <c r="KCK24" s="2141"/>
      <c r="KCL24" s="2140"/>
      <c r="KCM24" s="2141"/>
      <c r="KCN24" s="2141"/>
      <c r="KCO24" s="2140"/>
      <c r="KCP24" s="2141"/>
      <c r="KCQ24" s="2141"/>
      <c r="KCR24" s="2140"/>
      <c r="KCS24" s="2141"/>
      <c r="KCT24" s="2141"/>
      <c r="KCU24" s="2140"/>
      <c r="KCV24" s="2141"/>
      <c r="KCW24" s="2141"/>
      <c r="KCX24" s="2140"/>
      <c r="KCY24" s="2141"/>
      <c r="KCZ24" s="2141"/>
      <c r="KDA24" s="2140"/>
      <c r="KDB24" s="2141"/>
      <c r="KDC24" s="2141"/>
      <c r="KDD24" s="2140"/>
      <c r="KDE24" s="2141"/>
      <c r="KDF24" s="2141"/>
      <c r="KDG24" s="2140"/>
      <c r="KDH24" s="2141"/>
      <c r="KDI24" s="2141"/>
      <c r="KDJ24" s="2140"/>
      <c r="KDK24" s="2141"/>
      <c r="KDL24" s="2141"/>
      <c r="KDM24" s="2140"/>
      <c r="KDN24" s="2141"/>
      <c r="KDO24" s="2141"/>
      <c r="KDP24" s="2140"/>
      <c r="KDQ24" s="2141"/>
      <c r="KDR24" s="2141"/>
      <c r="KDS24" s="2140"/>
      <c r="KDT24" s="2141"/>
      <c r="KDU24" s="2141"/>
      <c r="KDV24" s="2140"/>
      <c r="KDW24" s="2141"/>
      <c r="KDX24" s="2141"/>
      <c r="KDY24" s="2140"/>
      <c r="KDZ24" s="2141"/>
      <c r="KEA24" s="2141"/>
      <c r="KEB24" s="2140"/>
      <c r="KEC24" s="2141"/>
      <c r="KED24" s="2141"/>
      <c r="KEE24" s="2140"/>
      <c r="KEF24" s="2141"/>
      <c r="KEG24" s="2141"/>
      <c r="KEH24" s="2140"/>
      <c r="KEI24" s="2141"/>
      <c r="KEJ24" s="2141"/>
      <c r="KEK24" s="2140"/>
      <c r="KEL24" s="2141"/>
      <c r="KEM24" s="2141"/>
      <c r="KEN24" s="2140"/>
      <c r="KEO24" s="2141"/>
      <c r="KEP24" s="2141"/>
      <c r="KEQ24" s="2140"/>
      <c r="KER24" s="2141"/>
      <c r="KES24" s="2141"/>
      <c r="KET24" s="2140"/>
      <c r="KEU24" s="2141"/>
      <c r="KEV24" s="2141"/>
      <c r="KEW24" s="2140"/>
      <c r="KEX24" s="2141"/>
      <c r="KEY24" s="2141"/>
      <c r="KEZ24" s="2140"/>
      <c r="KFA24" s="2141"/>
      <c r="KFB24" s="2141"/>
      <c r="KFC24" s="2140"/>
      <c r="KFD24" s="2141"/>
      <c r="KFE24" s="2141"/>
      <c r="KFF24" s="2140"/>
      <c r="KFG24" s="2141"/>
      <c r="KFH24" s="2141"/>
      <c r="KFI24" s="2140"/>
      <c r="KFJ24" s="2141"/>
      <c r="KFK24" s="2141"/>
      <c r="KFL24" s="2140"/>
      <c r="KFM24" s="2141"/>
      <c r="KFN24" s="2141"/>
      <c r="KFO24" s="2140"/>
      <c r="KFP24" s="2141"/>
      <c r="KFQ24" s="2141"/>
      <c r="KFR24" s="2140"/>
      <c r="KFS24" s="2141"/>
      <c r="KFT24" s="2141"/>
      <c r="KFU24" s="2140"/>
      <c r="KFV24" s="2141"/>
      <c r="KFW24" s="2141"/>
      <c r="KFX24" s="2140"/>
      <c r="KFY24" s="2141"/>
      <c r="KFZ24" s="2141"/>
      <c r="KGA24" s="2140"/>
      <c r="KGB24" s="2141"/>
      <c r="KGC24" s="2141"/>
      <c r="KGD24" s="2140"/>
      <c r="KGE24" s="2141"/>
      <c r="KGF24" s="2141"/>
      <c r="KGG24" s="2140"/>
      <c r="KGH24" s="2141"/>
      <c r="KGI24" s="2141"/>
      <c r="KGJ24" s="2140"/>
      <c r="KGK24" s="2141"/>
      <c r="KGL24" s="2141"/>
      <c r="KGM24" s="2140"/>
      <c r="KGN24" s="2141"/>
      <c r="KGO24" s="2141"/>
      <c r="KGP24" s="2140"/>
      <c r="KGQ24" s="2141"/>
      <c r="KGR24" s="2141"/>
      <c r="KGS24" s="2140"/>
      <c r="KGT24" s="2141"/>
      <c r="KGU24" s="2141"/>
      <c r="KGV24" s="2140"/>
      <c r="KGW24" s="2141"/>
      <c r="KGX24" s="2141"/>
      <c r="KGY24" s="2140"/>
      <c r="KGZ24" s="2141"/>
      <c r="KHA24" s="2141"/>
      <c r="KHB24" s="2140"/>
      <c r="KHC24" s="2141"/>
      <c r="KHD24" s="2141"/>
      <c r="KHE24" s="2140"/>
      <c r="KHF24" s="2141"/>
      <c r="KHG24" s="2141"/>
      <c r="KHH24" s="2140"/>
      <c r="KHI24" s="2141"/>
      <c r="KHJ24" s="2141"/>
      <c r="KHK24" s="2140"/>
      <c r="KHL24" s="2141"/>
      <c r="KHM24" s="2141"/>
      <c r="KHN24" s="2140"/>
      <c r="KHO24" s="2141"/>
      <c r="KHP24" s="2141"/>
      <c r="KHQ24" s="2140"/>
      <c r="KHR24" s="2141"/>
      <c r="KHS24" s="2141"/>
      <c r="KHT24" s="2140"/>
      <c r="KHU24" s="2141"/>
      <c r="KHV24" s="2141"/>
      <c r="KHW24" s="2140"/>
      <c r="KHX24" s="2141"/>
      <c r="KHY24" s="2141"/>
      <c r="KHZ24" s="2140"/>
      <c r="KIA24" s="2141"/>
      <c r="KIB24" s="2141"/>
      <c r="KIC24" s="2140"/>
      <c r="KID24" s="2141"/>
      <c r="KIE24" s="2141"/>
      <c r="KIF24" s="2140"/>
      <c r="KIG24" s="2141"/>
      <c r="KIH24" s="2141"/>
      <c r="KII24" s="2140"/>
      <c r="KIJ24" s="2141"/>
      <c r="KIK24" s="2141"/>
      <c r="KIL24" s="2140"/>
      <c r="KIM24" s="2141"/>
      <c r="KIN24" s="2141"/>
      <c r="KIO24" s="2140"/>
      <c r="KIP24" s="2141"/>
      <c r="KIQ24" s="2141"/>
      <c r="KIR24" s="2140"/>
      <c r="KIS24" s="2141"/>
      <c r="KIT24" s="2141"/>
      <c r="KIU24" s="2140"/>
      <c r="KIV24" s="2141"/>
      <c r="KIW24" s="2141"/>
      <c r="KIX24" s="2140"/>
      <c r="KIY24" s="2141"/>
      <c r="KIZ24" s="2141"/>
      <c r="KJA24" s="2140"/>
      <c r="KJB24" s="2141"/>
      <c r="KJC24" s="2141"/>
      <c r="KJD24" s="2140"/>
      <c r="KJE24" s="2141"/>
      <c r="KJF24" s="2141"/>
      <c r="KJG24" s="2140"/>
      <c r="KJH24" s="2141"/>
      <c r="KJI24" s="2141"/>
      <c r="KJJ24" s="2140"/>
      <c r="KJK24" s="2141"/>
      <c r="KJL24" s="2141"/>
      <c r="KJM24" s="2140"/>
      <c r="KJN24" s="2141"/>
      <c r="KJO24" s="2141"/>
      <c r="KJP24" s="2140"/>
      <c r="KJQ24" s="2141"/>
      <c r="KJR24" s="2141"/>
      <c r="KJS24" s="2140"/>
      <c r="KJT24" s="2141"/>
      <c r="KJU24" s="2141"/>
      <c r="KJV24" s="2140"/>
      <c r="KJW24" s="2141"/>
      <c r="KJX24" s="2141"/>
      <c r="KJY24" s="2140"/>
      <c r="KJZ24" s="2141"/>
      <c r="KKA24" s="2141"/>
      <c r="KKB24" s="2140"/>
      <c r="KKC24" s="2141"/>
      <c r="KKD24" s="2141"/>
      <c r="KKE24" s="2140"/>
      <c r="KKF24" s="2141"/>
      <c r="KKG24" s="2141"/>
      <c r="KKH24" s="2140"/>
      <c r="KKI24" s="2141"/>
      <c r="KKJ24" s="2141"/>
      <c r="KKK24" s="2140"/>
      <c r="KKL24" s="2141"/>
      <c r="KKM24" s="2141"/>
      <c r="KKN24" s="2140"/>
      <c r="KKO24" s="2141"/>
      <c r="KKP24" s="2141"/>
      <c r="KKQ24" s="2140"/>
      <c r="KKR24" s="2141"/>
      <c r="KKS24" s="2141"/>
      <c r="KKT24" s="2140"/>
      <c r="KKU24" s="2141"/>
      <c r="KKV24" s="2141"/>
      <c r="KKW24" s="2140"/>
      <c r="KKX24" s="2141"/>
      <c r="KKY24" s="2141"/>
      <c r="KKZ24" s="2140"/>
      <c r="KLA24" s="2141"/>
      <c r="KLB24" s="2141"/>
      <c r="KLC24" s="2140"/>
      <c r="KLD24" s="2141"/>
      <c r="KLE24" s="2141"/>
      <c r="KLF24" s="2140"/>
      <c r="KLG24" s="2141"/>
      <c r="KLH24" s="2141"/>
      <c r="KLI24" s="2140"/>
      <c r="KLJ24" s="2141"/>
      <c r="KLK24" s="2141"/>
      <c r="KLL24" s="2140"/>
      <c r="KLM24" s="2141"/>
      <c r="KLN24" s="2141"/>
      <c r="KLO24" s="2140"/>
      <c r="KLP24" s="2141"/>
      <c r="KLQ24" s="2141"/>
      <c r="KLR24" s="2140"/>
      <c r="KLS24" s="2141"/>
      <c r="KLT24" s="2141"/>
      <c r="KLU24" s="2140"/>
      <c r="KLV24" s="2141"/>
      <c r="KLW24" s="2141"/>
      <c r="KLX24" s="2140"/>
      <c r="KLY24" s="2141"/>
      <c r="KLZ24" s="2141"/>
      <c r="KMA24" s="2140"/>
      <c r="KMB24" s="2141"/>
      <c r="KMC24" s="2141"/>
      <c r="KMD24" s="2140"/>
      <c r="KME24" s="2141"/>
      <c r="KMF24" s="2141"/>
      <c r="KMG24" s="2140"/>
      <c r="KMH24" s="2141"/>
      <c r="KMI24" s="2141"/>
      <c r="KMJ24" s="2140"/>
      <c r="KMK24" s="2141"/>
      <c r="KML24" s="2141"/>
      <c r="KMM24" s="2140"/>
      <c r="KMN24" s="2141"/>
      <c r="KMO24" s="2141"/>
      <c r="KMP24" s="2140"/>
      <c r="KMQ24" s="2141"/>
      <c r="KMR24" s="2141"/>
      <c r="KMS24" s="2140"/>
      <c r="KMT24" s="2141"/>
      <c r="KMU24" s="2141"/>
      <c r="KMV24" s="2140"/>
      <c r="KMW24" s="2141"/>
      <c r="KMX24" s="2141"/>
      <c r="KMY24" s="2140"/>
      <c r="KMZ24" s="2141"/>
      <c r="KNA24" s="2141"/>
      <c r="KNB24" s="2140"/>
      <c r="KNC24" s="2141"/>
      <c r="KND24" s="2141"/>
      <c r="KNE24" s="2140"/>
      <c r="KNF24" s="2141"/>
      <c r="KNG24" s="2141"/>
      <c r="KNH24" s="2140"/>
      <c r="KNI24" s="2141"/>
      <c r="KNJ24" s="2141"/>
      <c r="KNK24" s="2140"/>
      <c r="KNL24" s="2141"/>
      <c r="KNM24" s="2141"/>
      <c r="KNN24" s="2140"/>
      <c r="KNO24" s="2141"/>
      <c r="KNP24" s="2141"/>
      <c r="KNQ24" s="2140"/>
      <c r="KNR24" s="2141"/>
      <c r="KNS24" s="2141"/>
      <c r="KNT24" s="2140"/>
      <c r="KNU24" s="2141"/>
      <c r="KNV24" s="2141"/>
      <c r="KNW24" s="2140"/>
      <c r="KNX24" s="2141"/>
      <c r="KNY24" s="2141"/>
      <c r="KNZ24" s="2140"/>
      <c r="KOA24" s="2141"/>
      <c r="KOB24" s="2141"/>
      <c r="KOC24" s="2140"/>
      <c r="KOD24" s="2141"/>
      <c r="KOE24" s="2141"/>
      <c r="KOF24" s="2140"/>
      <c r="KOG24" s="2141"/>
      <c r="KOH24" s="2141"/>
      <c r="KOI24" s="2140"/>
      <c r="KOJ24" s="2141"/>
      <c r="KOK24" s="2141"/>
      <c r="KOL24" s="2140"/>
      <c r="KOM24" s="2141"/>
      <c r="KON24" s="2141"/>
      <c r="KOO24" s="2140"/>
      <c r="KOP24" s="2141"/>
      <c r="KOQ24" s="2141"/>
      <c r="KOR24" s="2140"/>
      <c r="KOS24" s="2141"/>
      <c r="KOT24" s="2141"/>
      <c r="KOU24" s="2140"/>
      <c r="KOV24" s="2141"/>
      <c r="KOW24" s="2141"/>
      <c r="KOX24" s="2140"/>
      <c r="KOY24" s="2141"/>
      <c r="KOZ24" s="2141"/>
      <c r="KPA24" s="2140"/>
      <c r="KPB24" s="2141"/>
      <c r="KPC24" s="2141"/>
      <c r="KPD24" s="2140"/>
      <c r="KPE24" s="2141"/>
      <c r="KPF24" s="2141"/>
      <c r="KPG24" s="2140"/>
      <c r="KPH24" s="2141"/>
      <c r="KPI24" s="2141"/>
      <c r="KPJ24" s="2140"/>
      <c r="KPK24" s="2141"/>
      <c r="KPL24" s="2141"/>
      <c r="KPM24" s="2140"/>
      <c r="KPN24" s="2141"/>
      <c r="KPO24" s="2141"/>
      <c r="KPP24" s="2140"/>
      <c r="KPQ24" s="2141"/>
      <c r="KPR24" s="2141"/>
      <c r="KPS24" s="2140"/>
      <c r="KPT24" s="2141"/>
      <c r="KPU24" s="2141"/>
      <c r="KPV24" s="2140"/>
      <c r="KPW24" s="2141"/>
      <c r="KPX24" s="2141"/>
      <c r="KPY24" s="2140"/>
      <c r="KPZ24" s="2141"/>
      <c r="KQA24" s="2141"/>
      <c r="KQB24" s="2140"/>
      <c r="KQC24" s="2141"/>
      <c r="KQD24" s="2141"/>
      <c r="KQE24" s="2140"/>
      <c r="KQF24" s="2141"/>
      <c r="KQG24" s="2141"/>
      <c r="KQH24" s="2140"/>
      <c r="KQI24" s="2141"/>
      <c r="KQJ24" s="2141"/>
      <c r="KQK24" s="2140"/>
      <c r="KQL24" s="2141"/>
      <c r="KQM24" s="2141"/>
      <c r="KQN24" s="2140"/>
      <c r="KQO24" s="2141"/>
      <c r="KQP24" s="2141"/>
      <c r="KQQ24" s="2140"/>
      <c r="KQR24" s="2141"/>
      <c r="KQS24" s="2141"/>
      <c r="KQT24" s="2140"/>
      <c r="KQU24" s="2141"/>
      <c r="KQV24" s="2141"/>
      <c r="KQW24" s="2140"/>
      <c r="KQX24" s="2141"/>
      <c r="KQY24" s="2141"/>
      <c r="KQZ24" s="2140"/>
      <c r="KRA24" s="2141"/>
      <c r="KRB24" s="2141"/>
      <c r="KRC24" s="2140"/>
      <c r="KRD24" s="2141"/>
      <c r="KRE24" s="2141"/>
      <c r="KRF24" s="2140"/>
      <c r="KRG24" s="2141"/>
      <c r="KRH24" s="2141"/>
      <c r="KRI24" s="2140"/>
      <c r="KRJ24" s="2141"/>
      <c r="KRK24" s="2141"/>
      <c r="KRL24" s="2140"/>
      <c r="KRM24" s="2141"/>
      <c r="KRN24" s="2141"/>
      <c r="KRO24" s="2140"/>
      <c r="KRP24" s="2141"/>
      <c r="KRQ24" s="2141"/>
      <c r="KRR24" s="2140"/>
      <c r="KRS24" s="2141"/>
      <c r="KRT24" s="2141"/>
      <c r="KRU24" s="2140"/>
      <c r="KRV24" s="2141"/>
      <c r="KRW24" s="2141"/>
      <c r="KRX24" s="2140"/>
      <c r="KRY24" s="2141"/>
      <c r="KRZ24" s="2141"/>
      <c r="KSA24" s="2140"/>
      <c r="KSB24" s="2141"/>
      <c r="KSC24" s="2141"/>
      <c r="KSD24" s="2140"/>
      <c r="KSE24" s="2141"/>
      <c r="KSF24" s="2141"/>
      <c r="KSG24" s="2140"/>
      <c r="KSH24" s="2141"/>
      <c r="KSI24" s="2141"/>
      <c r="KSJ24" s="2140"/>
      <c r="KSK24" s="2141"/>
      <c r="KSL24" s="2141"/>
      <c r="KSM24" s="2140"/>
      <c r="KSN24" s="2141"/>
      <c r="KSO24" s="2141"/>
      <c r="KSP24" s="2140"/>
      <c r="KSQ24" s="2141"/>
      <c r="KSR24" s="2141"/>
      <c r="KSS24" s="2140"/>
      <c r="KST24" s="2141"/>
      <c r="KSU24" s="2141"/>
      <c r="KSV24" s="2140"/>
      <c r="KSW24" s="2141"/>
      <c r="KSX24" s="2141"/>
      <c r="KSY24" s="2140"/>
      <c r="KSZ24" s="2141"/>
      <c r="KTA24" s="2141"/>
      <c r="KTB24" s="2140"/>
      <c r="KTC24" s="2141"/>
      <c r="KTD24" s="2141"/>
      <c r="KTE24" s="2140"/>
      <c r="KTF24" s="2141"/>
      <c r="KTG24" s="2141"/>
      <c r="KTH24" s="2140"/>
      <c r="KTI24" s="2141"/>
      <c r="KTJ24" s="2141"/>
      <c r="KTK24" s="2140"/>
      <c r="KTL24" s="2141"/>
      <c r="KTM24" s="2141"/>
      <c r="KTN24" s="2140"/>
      <c r="KTO24" s="2141"/>
      <c r="KTP24" s="2141"/>
      <c r="KTQ24" s="2140"/>
      <c r="KTR24" s="2141"/>
      <c r="KTS24" s="2141"/>
      <c r="KTT24" s="2140"/>
      <c r="KTU24" s="2141"/>
      <c r="KTV24" s="2141"/>
      <c r="KTW24" s="2140"/>
      <c r="KTX24" s="2141"/>
      <c r="KTY24" s="2141"/>
      <c r="KTZ24" s="2140"/>
      <c r="KUA24" s="2141"/>
      <c r="KUB24" s="2141"/>
      <c r="KUC24" s="2140"/>
      <c r="KUD24" s="2141"/>
      <c r="KUE24" s="2141"/>
      <c r="KUF24" s="2140"/>
      <c r="KUG24" s="2141"/>
      <c r="KUH24" s="2141"/>
      <c r="KUI24" s="2140"/>
      <c r="KUJ24" s="2141"/>
      <c r="KUK24" s="2141"/>
      <c r="KUL24" s="2140"/>
      <c r="KUM24" s="2141"/>
      <c r="KUN24" s="2141"/>
      <c r="KUO24" s="2140"/>
      <c r="KUP24" s="2141"/>
      <c r="KUQ24" s="2141"/>
      <c r="KUR24" s="2140"/>
      <c r="KUS24" s="2141"/>
      <c r="KUT24" s="2141"/>
      <c r="KUU24" s="2140"/>
      <c r="KUV24" s="2141"/>
      <c r="KUW24" s="2141"/>
      <c r="KUX24" s="2140"/>
      <c r="KUY24" s="2141"/>
      <c r="KUZ24" s="2141"/>
      <c r="KVA24" s="2140"/>
      <c r="KVB24" s="2141"/>
      <c r="KVC24" s="2141"/>
      <c r="KVD24" s="2140"/>
      <c r="KVE24" s="2141"/>
      <c r="KVF24" s="2141"/>
      <c r="KVG24" s="2140"/>
      <c r="KVH24" s="2141"/>
      <c r="KVI24" s="2141"/>
      <c r="KVJ24" s="2140"/>
      <c r="KVK24" s="2141"/>
      <c r="KVL24" s="2141"/>
      <c r="KVM24" s="2140"/>
      <c r="KVN24" s="2141"/>
      <c r="KVO24" s="2141"/>
      <c r="KVP24" s="2140"/>
      <c r="KVQ24" s="2141"/>
      <c r="KVR24" s="2141"/>
      <c r="KVS24" s="2140"/>
      <c r="KVT24" s="2141"/>
      <c r="KVU24" s="2141"/>
      <c r="KVV24" s="2140"/>
      <c r="KVW24" s="2141"/>
      <c r="KVX24" s="2141"/>
      <c r="KVY24" s="2140"/>
      <c r="KVZ24" s="2141"/>
      <c r="KWA24" s="2141"/>
      <c r="KWB24" s="2140"/>
      <c r="KWC24" s="2141"/>
      <c r="KWD24" s="2141"/>
      <c r="KWE24" s="2140"/>
      <c r="KWF24" s="2141"/>
      <c r="KWG24" s="2141"/>
      <c r="KWH24" s="2140"/>
      <c r="KWI24" s="2141"/>
      <c r="KWJ24" s="2141"/>
      <c r="KWK24" s="2140"/>
      <c r="KWL24" s="2141"/>
      <c r="KWM24" s="2141"/>
      <c r="KWN24" s="2140"/>
      <c r="KWO24" s="2141"/>
      <c r="KWP24" s="2141"/>
      <c r="KWQ24" s="2140"/>
      <c r="KWR24" s="2141"/>
      <c r="KWS24" s="2141"/>
      <c r="KWT24" s="2140"/>
      <c r="KWU24" s="2141"/>
      <c r="KWV24" s="2141"/>
      <c r="KWW24" s="2140"/>
      <c r="KWX24" s="2141"/>
      <c r="KWY24" s="2141"/>
      <c r="KWZ24" s="2140"/>
      <c r="KXA24" s="2141"/>
      <c r="KXB24" s="2141"/>
      <c r="KXC24" s="2140"/>
      <c r="KXD24" s="2141"/>
      <c r="KXE24" s="2141"/>
      <c r="KXF24" s="2140"/>
      <c r="KXG24" s="2141"/>
      <c r="KXH24" s="2141"/>
      <c r="KXI24" s="2140"/>
      <c r="KXJ24" s="2141"/>
      <c r="KXK24" s="2141"/>
      <c r="KXL24" s="2140"/>
      <c r="KXM24" s="2141"/>
      <c r="KXN24" s="2141"/>
      <c r="KXO24" s="2140"/>
      <c r="KXP24" s="2141"/>
      <c r="KXQ24" s="2141"/>
      <c r="KXR24" s="2140"/>
      <c r="KXS24" s="2141"/>
      <c r="KXT24" s="2141"/>
      <c r="KXU24" s="2140"/>
      <c r="KXV24" s="2141"/>
      <c r="KXW24" s="2141"/>
      <c r="KXX24" s="2140"/>
      <c r="KXY24" s="2141"/>
      <c r="KXZ24" s="2141"/>
      <c r="KYA24" s="2140"/>
      <c r="KYB24" s="2141"/>
      <c r="KYC24" s="2141"/>
      <c r="KYD24" s="2140"/>
      <c r="KYE24" s="2141"/>
      <c r="KYF24" s="2141"/>
      <c r="KYG24" s="2140"/>
      <c r="KYH24" s="2141"/>
      <c r="KYI24" s="2141"/>
      <c r="KYJ24" s="2140"/>
      <c r="KYK24" s="2141"/>
      <c r="KYL24" s="2141"/>
      <c r="KYM24" s="2140"/>
      <c r="KYN24" s="2141"/>
      <c r="KYO24" s="2141"/>
      <c r="KYP24" s="2140"/>
      <c r="KYQ24" s="2141"/>
      <c r="KYR24" s="2141"/>
      <c r="KYS24" s="2140"/>
      <c r="KYT24" s="2141"/>
      <c r="KYU24" s="2141"/>
      <c r="KYV24" s="2140"/>
      <c r="KYW24" s="2141"/>
      <c r="KYX24" s="2141"/>
      <c r="KYY24" s="2140"/>
      <c r="KYZ24" s="2141"/>
      <c r="KZA24" s="2141"/>
      <c r="KZB24" s="2140"/>
      <c r="KZC24" s="2141"/>
      <c r="KZD24" s="2141"/>
      <c r="KZE24" s="2140"/>
      <c r="KZF24" s="2141"/>
      <c r="KZG24" s="2141"/>
      <c r="KZH24" s="2140"/>
      <c r="KZI24" s="2141"/>
      <c r="KZJ24" s="2141"/>
      <c r="KZK24" s="2140"/>
      <c r="KZL24" s="2141"/>
      <c r="KZM24" s="2141"/>
      <c r="KZN24" s="2140"/>
      <c r="KZO24" s="2141"/>
      <c r="KZP24" s="2141"/>
      <c r="KZQ24" s="2140"/>
      <c r="KZR24" s="2141"/>
      <c r="KZS24" s="2141"/>
      <c r="KZT24" s="2140"/>
      <c r="KZU24" s="2141"/>
      <c r="KZV24" s="2141"/>
      <c r="KZW24" s="2140"/>
      <c r="KZX24" s="2141"/>
      <c r="KZY24" s="2141"/>
      <c r="KZZ24" s="2140"/>
      <c r="LAA24" s="2141"/>
      <c r="LAB24" s="2141"/>
      <c r="LAC24" s="2140"/>
      <c r="LAD24" s="2141"/>
      <c r="LAE24" s="2141"/>
      <c r="LAF24" s="2140"/>
      <c r="LAG24" s="2141"/>
      <c r="LAH24" s="2141"/>
      <c r="LAI24" s="2140"/>
      <c r="LAJ24" s="2141"/>
      <c r="LAK24" s="2141"/>
      <c r="LAL24" s="2140"/>
      <c r="LAM24" s="2141"/>
      <c r="LAN24" s="2141"/>
      <c r="LAO24" s="2140"/>
      <c r="LAP24" s="2141"/>
      <c r="LAQ24" s="2141"/>
      <c r="LAR24" s="2140"/>
      <c r="LAS24" s="2141"/>
      <c r="LAT24" s="2141"/>
      <c r="LAU24" s="2140"/>
      <c r="LAV24" s="2141"/>
      <c r="LAW24" s="2141"/>
      <c r="LAX24" s="2140"/>
      <c r="LAY24" s="2141"/>
      <c r="LAZ24" s="2141"/>
      <c r="LBA24" s="2140"/>
      <c r="LBB24" s="2141"/>
      <c r="LBC24" s="2141"/>
      <c r="LBD24" s="2140"/>
      <c r="LBE24" s="2141"/>
      <c r="LBF24" s="2141"/>
      <c r="LBG24" s="2140"/>
      <c r="LBH24" s="2141"/>
      <c r="LBI24" s="2141"/>
      <c r="LBJ24" s="2140"/>
      <c r="LBK24" s="2141"/>
      <c r="LBL24" s="2141"/>
      <c r="LBM24" s="2140"/>
      <c r="LBN24" s="2141"/>
      <c r="LBO24" s="2141"/>
      <c r="LBP24" s="2140"/>
      <c r="LBQ24" s="2141"/>
      <c r="LBR24" s="2141"/>
      <c r="LBS24" s="2140"/>
      <c r="LBT24" s="2141"/>
      <c r="LBU24" s="2141"/>
      <c r="LBV24" s="2140"/>
      <c r="LBW24" s="2141"/>
      <c r="LBX24" s="2141"/>
      <c r="LBY24" s="2140"/>
      <c r="LBZ24" s="2141"/>
      <c r="LCA24" s="2141"/>
      <c r="LCB24" s="2140"/>
      <c r="LCC24" s="2141"/>
      <c r="LCD24" s="2141"/>
      <c r="LCE24" s="2140"/>
      <c r="LCF24" s="2141"/>
      <c r="LCG24" s="2141"/>
      <c r="LCH24" s="2140"/>
      <c r="LCI24" s="2141"/>
      <c r="LCJ24" s="2141"/>
      <c r="LCK24" s="2140"/>
      <c r="LCL24" s="2141"/>
      <c r="LCM24" s="2141"/>
      <c r="LCN24" s="2140"/>
      <c r="LCO24" s="2141"/>
      <c r="LCP24" s="2141"/>
      <c r="LCQ24" s="2140"/>
      <c r="LCR24" s="2141"/>
      <c r="LCS24" s="2141"/>
      <c r="LCT24" s="2140"/>
      <c r="LCU24" s="2141"/>
      <c r="LCV24" s="2141"/>
      <c r="LCW24" s="2140"/>
      <c r="LCX24" s="2141"/>
      <c r="LCY24" s="2141"/>
      <c r="LCZ24" s="2140"/>
      <c r="LDA24" s="2141"/>
      <c r="LDB24" s="2141"/>
      <c r="LDC24" s="2140"/>
      <c r="LDD24" s="2141"/>
      <c r="LDE24" s="2141"/>
      <c r="LDF24" s="2140"/>
      <c r="LDG24" s="2141"/>
      <c r="LDH24" s="2141"/>
      <c r="LDI24" s="2140"/>
      <c r="LDJ24" s="2141"/>
      <c r="LDK24" s="2141"/>
      <c r="LDL24" s="2140"/>
      <c r="LDM24" s="2141"/>
      <c r="LDN24" s="2141"/>
      <c r="LDO24" s="2140"/>
      <c r="LDP24" s="2141"/>
      <c r="LDQ24" s="2141"/>
      <c r="LDR24" s="2140"/>
      <c r="LDS24" s="2141"/>
      <c r="LDT24" s="2141"/>
      <c r="LDU24" s="2140"/>
      <c r="LDV24" s="2141"/>
      <c r="LDW24" s="2141"/>
      <c r="LDX24" s="2140"/>
      <c r="LDY24" s="2141"/>
      <c r="LDZ24" s="2141"/>
      <c r="LEA24" s="2140"/>
      <c r="LEB24" s="2141"/>
      <c r="LEC24" s="2141"/>
      <c r="LED24" s="2140"/>
      <c r="LEE24" s="2141"/>
      <c r="LEF24" s="2141"/>
      <c r="LEG24" s="2140"/>
      <c r="LEH24" s="2141"/>
      <c r="LEI24" s="2141"/>
      <c r="LEJ24" s="2140"/>
      <c r="LEK24" s="2141"/>
      <c r="LEL24" s="2141"/>
      <c r="LEM24" s="2140"/>
      <c r="LEN24" s="2141"/>
      <c r="LEO24" s="2141"/>
      <c r="LEP24" s="2140"/>
      <c r="LEQ24" s="2141"/>
      <c r="LER24" s="2141"/>
      <c r="LES24" s="2140"/>
      <c r="LET24" s="2141"/>
      <c r="LEU24" s="2141"/>
      <c r="LEV24" s="2140"/>
      <c r="LEW24" s="2141"/>
      <c r="LEX24" s="2141"/>
      <c r="LEY24" s="2140"/>
      <c r="LEZ24" s="2141"/>
      <c r="LFA24" s="2141"/>
      <c r="LFB24" s="2140"/>
      <c r="LFC24" s="2141"/>
      <c r="LFD24" s="2141"/>
      <c r="LFE24" s="2140"/>
      <c r="LFF24" s="2141"/>
      <c r="LFG24" s="2141"/>
      <c r="LFH24" s="2140"/>
      <c r="LFI24" s="2141"/>
      <c r="LFJ24" s="2141"/>
      <c r="LFK24" s="2140"/>
      <c r="LFL24" s="2141"/>
      <c r="LFM24" s="2141"/>
      <c r="LFN24" s="2140"/>
      <c r="LFO24" s="2141"/>
      <c r="LFP24" s="2141"/>
      <c r="LFQ24" s="2140"/>
      <c r="LFR24" s="2141"/>
      <c r="LFS24" s="2141"/>
      <c r="LFT24" s="2140"/>
      <c r="LFU24" s="2141"/>
      <c r="LFV24" s="2141"/>
      <c r="LFW24" s="2140"/>
      <c r="LFX24" s="2141"/>
      <c r="LFY24" s="2141"/>
      <c r="LFZ24" s="2140"/>
      <c r="LGA24" s="2141"/>
      <c r="LGB24" s="2141"/>
      <c r="LGC24" s="2140"/>
      <c r="LGD24" s="2141"/>
      <c r="LGE24" s="2141"/>
      <c r="LGF24" s="2140"/>
      <c r="LGG24" s="2141"/>
      <c r="LGH24" s="2141"/>
      <c r="LGI24" s="2140"/>
      <c r="LGJ24" s="2141"/>
      <c r="LGK24" s="2141"/>
      <c r="LGL24" s="2140"/>
      <c r="LGM24" s="2141"/>
      <c r="LGN24" s="2141"/>
      <c r="LGO24" s="2140"/>
      <c r="LGP24" s="2141"/>
      <c r="LGQ24" s="2141"/>
      <c r="LGR24" s="2140"/>
      <c r="LGS24" s="2141"/>
      <c r="LGT24" s="2141"/>
      <c r="LGU24" s="2140"/>
      <c r="LGV24" s="2141"/>
      <c r="LGW24" s="2141"/>
      <c r="LGX24" s="2140"/>
      <c r="LGY24" s="2141"/>
      <c r="LGZ24" s="2141"/>
      <c r="LHA24" s="2140"/>
      <c r="LHB24" s="2141"/>
      <c r="LHC24" s="2141"/>
      <c r="LHD24" s="2140"/>
      <c r="LHE24" s="2141"/>
      <c r="LHF24" s="2141"/>
      <c r="LHG24" s="2140"/>
      <c r="LHH24" s="2141"/>
      <c r="LHI24" s="2141"/>
      <c r="LHJ24" s="2140"/>
      <c r="LHK24" s="2141"/>
      <c r="LHL24" s="2141"/>
      <c r="LHM24" s="2140"/>
      <c r="LHN24" s="2141"/>
      <c r="LHO24" s="2141"/>
      <c r="LHP24" s="2140"/>
      <c r="LHQ24" s="2141"/>
      <c r="LHR24" s="2141"/>
      <c r="LHS24" s="2140"/>
      <c r="LHT24" s="2141"/>
      <c r="LHU24" s="2141"/>
      <c r="LHV24" s="2140"/>
      <c r="LHW24" s="2141"/>
      <c r="LHX24" s="2141"/>
      <c r="LHY24" s="2140"/>
      <c r="LHZ24" s="2141"/>
      <c r="LIA24" s="2141"/>
      <c r="LIB24" s="2140"/>
      <c r="LIC24" s="2141"/>
      <c r="LID24" s="2141"/>
      <c r="LIE24" s="2140"/>
      <c r="LIF24" s="2141"/>
      <c r="LIG24" s="2141"/>
      <c r="LIH24" s="2140"/>
      <c r="LII24" s="2141"/>
      <c r="LIJ24" s="2141"/>
      <c r="LIK24" s="2140"/>
      <c r="LIL24" s="2141"/>
      <c r="LIM24" s="2141"/>
      <c r="LIN24" s="2140"/>
      <c r="LIO24" s="2141"/>
      <c r="LIP24" s="2141"/>
      <c r="LIQ24" s="2140"/>
      <c r="LIR24" s="2141"/>
      <c r="LIS24" s="2141"/>
      <c r="LIT24" s="2140"/>
      <c r="LIU24" s="2141"/>
      <c r="LIV24" s="2141"/>
      <c r="LIW24" s="2140"/>
      <c r="LIX24" s="2141"/>
      <c r="LIY24" s="2141"/>
      <c r="LIZ24" s="2140"/>
      <c r="LJA24" s="2141"/>
      <c r="LJB24" s="2141"/>
      <c r="LJC24" s="2140"/>
      <c r="LJD24" s="2141"/>
      <c r="LJE24" s="2141"/>
      <c r="LJF24" s="2140"/>
      <c r="LJG24" s="2141"/>
      <c r="LJH24" s="2141"/>
      <c r="LJI24" s="2140"/>
      <c r="LJJ24" s="2141"/>
      <c r="LJK24" s="2141"/>
      <c r="LJL24" s="2140"/>
      <c r="LJM24" s="2141"/>
      <c r="LJN24" s="2141"/>
      <c r="LJO24" s="2140"/>
      <c r="LJP24" s="2141"/>
      <c r="LJQ24" s="2141"/>
      <c r="LJR24" s="2140"/>
      <c r="LJS24" s="2141"/>
      <c r="LJT24" s="2141"/>
      <c r="LJU24" s="2140"/>
      <c r="LJV24" s="2141"/>
      <c r="LJW24" s="2141"/>
      <c r="LJX24" s="2140"/>
      <c r="LJY24" s="2141"/>
      <c r="LJZ24" s="2141"/>
      <c r="LKA24" s="2140"/>
      <c r="LKB24" s="2141"/>
      <c r="LKC24" s="2141"/>
      <c r="LKD24" s="2140"/>
      <c r="LKE24" s="2141"/>
      <c r="LKF24" s="2141"/>
      <c r="LKG24" s="2140"/>
      <c r="LKH24" s="2141"/>
      <c r="LKI24" s="2141"/>
      <c r="LKJ24" s="2140"/>
      <c r="LKK24" s="2141"/>
      <c r="LKL24" s="2141"/>
      <c r="LKM24" s="2140"/>
      <c r="LKN24" s="2141"/>
      <c r="LKO24" s="2141"/>
      <c r="LKP24" s="2140"/>
      <c r="LKQ24" s="2141"/>
      <c r="LKR24" s="2141"/>
      <c r="LKS24" s="2140"/>
      <c r="LKT24" s="2141"/>
      <c r="LKU24" s="2141"/>
      <c r="LKV24" s="2140"/>
      <c r="LKW24" s="2141"/>
      <c r="LKX24" s="2141"/>
      <c r="LKY24" s="2140"/>
      <c r="LKZ24" s="2141"/>
      <c r="LLA24" s="2141"/>
      <c r="LLB24" s="2140"/>
      <c r="LLC24" s="2141"/>
      <c r="LLD24" s="2141"/>
      <c r="LLE24" s="2140"/>
      <c r="LLF24" s="2141"/>
      <c r="LLG24" s="2141"/>
      <c r="LLH24" s="2140"/>
      <c r="LLI24" s="2141"/>
      <c r="LLJ24" s="2141"/>
      <c r="LLK24" s="2140"/>
      <c r="LLL24" s="2141"/>
      <c r="LLM24" s="2141"/>
      <c r="LLN24" s="2140"/>
      <c r="LLO24" s="2141"/>
      <c r="LLP24" s="2141"/>
      <c r="LLQ24" s="2140"/>
      <c r="LLR24" s="2141"/>
      <c r="LLS24" s="2141"/>
      <c r="LLT24" s="2140"/>
      <c r="LLU24" s="2141"/>
      <c r="LLV24" s="2141"/>
      <c r="LLW24" s="2140"/>
      <c r="LLX24" s="2141"/>
      <c r="LLY24" s="2141"/>
      <c r="LLZ24" s="2140"/>
      <c r="LMA24" s="2141"/>
      <c r="LMB24" s="2141"/>
      <c r="LMC24" s="2140"/>
      <c r="LMD24" s="2141"/>
      <c r="LME24" s="2141"/>
      <c r="LMF24" s="2140"/>
      <c r="LMG24" s="2141"/>
      <c r="LMH24" s="2141"/>
      <c r="LMI24" s="2140"/>
      <c r="LMJ24" s="2141"/>
      <c r="LMK24" s="2141"/>
      <c r="LML24" s="2140"/>
      <c r="LMM24" s="2141"/>
      <c r="LMN24" s="2141"/>
      <c r="LMO24" s="2140"/>
      <c r="LMP24" s="2141"/>
      <c r="LMQ24" s="2141"/>
      <c r="LMR24" s="2140"/>
      <c r="LMS24" s="2141"/>
      <c r="LMT24" s="2141"/>
      <c r="LMU24" s="2140"/>
      <c r="LMV24" s="2141"/>
      <c r="LMW24" s="2141"/>
      <c r="LMX24" s="2140"/>
      <c r="LMY24" s="2141"/>
      <c r="LMZ24" s="2141"/>
      <c r="LNA24" s="2140"/>
      <c r="LNB24" s="2141"/>
      <c r="LNC24" s="2141"/>
      <c r="LND24" s="2140"/>
      <c r="LNE24" s="2141"/>
      <c r="LNF24" s="2141"/>
      <c r="LNG24" s="2140"/>
      <c r="LNH24" s="2141"/>
      <c r="LNI24" s="2141"/>
      <c r="LNJ24" s="2140"/>
      <c r="LNK24" s="2141"/>
      <c r="LNL24" s="2141"/>
      <c r="LNM24" s="2140"/>
      <c r="LNN24" s="2141"/>
      <c r="LNO24" s="2141"/>
      <c r="LNP24" s="2140"/>
      <c r="LNQ24" s="2141"/>
      <c r="LNR24" s="2141"/>
      <c r="LNS24" s="2140"/>
      <c r="LNT24" s="2141"/>
      <c r="LNU24" s="2141"/>
      <c r="LNV24" s="2140"/>
      <c r="LNW24" s="2141"/>
      <c r="LNX24" s="2141"/>
      <c r="LNY24" s="2140"/>
      <c r="LNZ24" s="2141"/>
      <c r="LOA24" s="2141"/>
      <c r="LOB24" s="2140"/>
      <c r="LOC24" s="2141"/>
      <c r="LOD24" s="2141"/>
      <c r="LOE24" s="2140"/>
      <c r="LOF24" s="2141"/>
      <c r="LOG24" s="2141"/>
      <c r="LOH24" s="2140"/>
      <c r="LOI24" s="2141"/>
      <c r="LOJ24" s="2141"/>
      <c r="LOK24" s="2140"/>
      <c r="LOL24" s="2141"/>
      <c r="LOM24" s="2141"/>
      <c r="LON24" s="2140"/>
      <c r="LOO24" s="2141"/>
      <c r="LOP24" s="2141"/>
      <c r="LOQ24" s="2140"/>
      <c r="LOR24" s="2141"/>
      <c r="LOS24" s="2141"/>
      <c r="LOT24" s="2140"/>
      <c r="LOU24" s="2141"/>
      <c r="LOV24" s="2141"/>
      <c r="LOW24" s="2140"/>
      <c r="LOX24" s="2141"/>
      <c r="LOY24" s="2141"/>
      <c r="LOZ24" s="2140"/>
      <c r="LPA24" s="2141"/>
      <c r="LPB24" s="2141"/>
      <c r="LPC24" s="2140"/>
      <c r="LPD24" s="2141"/>
      <c r="LPE24" s="2141"/>
      <c r="LPF24" s="2140"/>
      <c r="LPG24" s="2141"/>
      <c r="LPH24" s="2141"/>
      <c r="LPI24" s="2140"/>
      <c r="LPJ24" s="2141"/>
      <c r="LPK24" s="2141"/>
      <c r="LPL24" s="2140"/>
      <c r="LPM24" s="2141"/>
      <c r="LPN24" s="2141"/>
      <c r="LPO24" s="2140"/>
      <c r="LPP24" s="2141"/>
      <c r="LPQ24" s="2141"/>
      <c r="LPR24" s="2140"/>
      <c r="LPS24" s="2141"/>
      <c r="LPT24" s="2141"/>
      <c r="LPU24" s="2140"/>
      <c r="LPV24" s="2141"/>
      <c r="LPW24" s="2141"/>
      <c r="LPX24" s="2140"/>
      <c r="LPY24" s="2141"/>
      <c r="LPZ24" s="2141"/>
      <c r="LQA24" s="2140"/>
      <c r="LQB24" s="2141"/>
      <c r="LQC24" s="2141"/>
      <c r="LQD24" s="2140"/>
      <c r="LQE24" s="2141"/>
      <c r="LQF24" s="2141"/>
      <c r="LQG24" s="2140"/>
      <c r="LQH24" s="2141"/>
      <c r="LQI24" s="2141"/>
      <c r="LQJ24" s="2140"/>
      <c r="LQK24" s="2141"/>
      <c r="LQL24" s="2141"/>
      <c r="LQM24" s="2140"/>
      <c r="LQN24" s="2141"/>
      <c r="LQO24" s="2141"/>
      <c r="LQP24" s="2140"/>
      <c r="LQQ24" s="2141"/>
      <c r="LQR24" s="2141"/>
      <c r="LQS24" s="2140"/>
      <c r="LQT24" s="2141"/>
      <c r="LQU24" s="2141"/>
      <c r="LQV24" s="2140"/>
      <c r="LQW24" s="2141"/>
      <c r="LQX24" s="2141"/>
      <c r="LQY24" s="2140"/>
      <c r="LQZ24" s="2141"/>
      <c r="LRA24" s="2141"/>
      <c r="LRB24" s="2140"/>
      <c r="LRC24" s="2141"/>
      <c r="LRD24" s="2141"/>
      <c r="LRE24" s="2140"/>
      <c r="LRF24" s="2141"/>
      <c r="LRG24" s="2141"/>
      <c r="LRH24" s="2140"/>
      <c r="LRI24" s="2141"/>
      <c r="LRJ24" s="2141"/>
      <c r="LRK24" s="2140"/>
      <c r="LRL24" s="2141"/>
      <c r="LRM24" s="2141"/>
      <c r="LRN24" s="2140"/>
      <c r="LRO24" s="2141"/>
      <c r="LRP24" s="2141"/>
      <c r="LRQ24" s="2140"/>
      <c r="LRR24" s="2141"/>
      <c r="LRS24" s="2141"/>
      <c r="LRT24" s="2140"/>
      <c r="LRU24" s="2141"/>
      <c r="LRV24" s="2141"/>
      <c r="LRW24" s="2140"/>
      <c r="LRX24" s="2141"/>
      <c r="LRY24" s="2141"/>
      <c r="LRZ24" s="2140"/>
      <c r="LSA24" s="2141"/>
      <c r="LSB24" s="2141"/>
      <c r="LSC24" s="2140"/>
      <c r="LSD24" s="2141"/>
      <c r="LSE24" s="2141"/>
      <c r="LSF24" s="2140"/>
      <c r="LSG24" s="2141"/>
      <c r="LSH24" s="2141"/>
      <c r="LSI24" s="2140"/>
      <c r="LSJ24" s="2141"/>
      <c r="LSK24" s="2141"/>
      <c r="LSL24" s="2140"/>
      <c r="LSM24" s="2141"/>
      <c r="LSN24" s="2141"/>
      <c r="LSO24" s="2140"/>
      <c r="LSP24" s="2141"/>
      <c r="LSQ24" s="2141"/>
      <c r="LSR24" s="2140"/>
      <c r="LSS24" s="2141"/>
      <c r="LST24" s="2141"/>
      <c r="LSU24" s="2140"/>
      <c r="LSV24" s="2141"/>
      <c r="LSW24" s="2141"/>
      <c r="LSX24" s="2140"/>
      <c r="LSY24" s="2141"/>
      <c r="LSZ24" s="2141"/>
      <c r="LTA24" s="2140"/>
      <c r="LTB24" s="2141"/>
      <c r="LTC24" s="2141"/>
      <c r="LTD24" s="2140"/>
      <c r="LTE24" s="2141"/>
      <c r="LTF24" s="2141"/>
      <c r="LTG24" s="2140"/>
      <c r="LTH24" s="2141"/>
      <c r="LTI24" s="2141"/>
      <c r="LTJ24" s="2140"/>
      <c r="LTK24" s="2141"/>
      <c r="LTL24" s="2141"/>
      <c r="LTM24" s="2140"/>
      <c r="LTN24" s="2141"/>
      <c r="LTO24" s="2141"/>
      <c r="LTP24" s="2140"/>
      <c r="LTQ24" s="2141"/>
      <c r="LTR24" s="2141"/>
      <c r="LTS24" s="2140"/>
      <c r="LTT24" s="2141"/>
      <c r="LTU24" s="2141"/>
      <c r="LTV24" s="2140"/>
      <c r="LTW24" s="2141"/>
      <c r="LTX24" s="2141"/>
      <c r="LTY24" s="2140"/>
      <c r="LTZ24" s="2141"/>
      <c r="LUA24" s="2141"/>
      <c r="LUB24" s="2140"/>
      <c r="LUC24" s="2141"/>
      <c r="LUD24" s="2141"/>
      <c r="LUE24" s="2140"/>
      <c r="LUF24" s="2141"/>
      <c r="LUG24" s="2141"/>
      <c r="LUH24" s="2140"/>
      <c r="LUI24" s="2141"/>
      <c r="LUJ24" s="2141"/>
      <c r="LUK24" s="2140"/>
      <c r="LUL24" s="2141"/>
      <c r="LUM24" s="2141"/>
      <c r="LUN24" s="2140"/>
      <c r="LUO24" s="2141"/>
      <c r="LUP24" s="2141"/>
      <c r="LUQ24" s="2140"/>
      <c r="LUR24" s="2141"/>
      <c r="LUS24" s="2141"/>
      <c r="LUT24" s="2140"/>
      <c r="LUU24" s="2141"/>
      <c r="LUV24" s="2141"/>
      <c r="LUW24" s="2140"/>
      <c r="LUX24" s="2141"/>
      <c r="LUY24" s="2141"/>
      <c r="LUZ24" s="2140"/>
      <c r="LVA24" s="2141"/>
      <c r="LVB24" s="2141"/>
      <c r="LVC24" s="2140"/>
      <c r="LVD24" s="2141"/>
      <c r="LVE24" s="2141"/>
      <c r="LVF24" s="2140"/>
      <c r="LVG24" s="2141"/>
      <c r="LVH24" s="2141"/>
      <c r="LVI24" s="2140"/>
      <c r="LVJ24" s="2141"/>
      <c r="LVK24" s="2141"/>
      <c r="LVL24" s="2140"/>
      <c r="LVM24" s="2141"/>
      <c r="LVN24" s="2141"/>
      <c r="LVO24" s="2140"/>
      <c r="LVP24" s="2141"/>
      <c r="LVQ24" s="2141"/>
      <c r="LVR24" s="2140"/>
      <c r="LVS24" s="2141"/>
      <c r="LVT24" s="2141"/>
      <c r="LVU24" s="2140"/>
      <c r="LVV24" s="2141"/>
      <c r="LVW24" s="2141"/>
      <c r="LVX24" s="2140"/>
      <c r="LVY24" s="2141"/>
      <c r="LVZ24" s="2141"/>
      <c r="LWA24" s="2140"/>
      <c r="LWB24" s="2141"/>
      <c r="LWC24" s="2141"/>
      <c r="LWD24" s="2140"/>
      <c r="LWE24" s="2141"/>
      <c r="LWF24" s="2141"/>
      <c r="LWG24" s="2140"/>
      <c r="LWH24" s="2141"/>
      <c r="LWI24" s="2141"/>
      <c r="LWJ24" s="2140"/>
      <c r="LWK24" s="2141"/>
      <c r="LWL24" s="2141"/>
      <c r="LWM24" s="2140"/>
      <c r="LWN24" s="2141"/>
      <c r="LWO24" s="2141"/>
      <c r="LWP24" s="2140"/>
      <c r="LWQ24" s="2141"/>
      <c r="LWR24" s="2141"/>
      <c r="LWS24" s="2140"/>
      <c r="LWT24" s="2141"/>
      <c r="LWU24" s="2141"/>
      <c r="LWV24" s="2140"/>
      <c r="LWW24" s="2141"/>
      <c r="LWX24" s="2141"/>
      <c r="LWY24" s="2140"/>
      <c r="LWZ24" s="2141"/>
      <c r="LXA24" s="2141"/>
      <c r="LXB24" s="2140"/>
      <c r="LXC24" s="2141"/>
      <c r="LXD24" s="2141"/>
      <c r="LXE24" s="2140"/>
      <c r="LXF24" s="2141"/>
      <c r="LXG24" s="2141"/>
      <c r="LXH24" s="2140"/>
      <c r="LXI24" s="2141"/>
      <c r="LXJ24" s="2141"/>
      <c r="LXK24" s="2140"/>
      <c r="LXL24" s="2141"/>
      <c r="LXM24" s="2141"/>
      <c r="LXN24" s="2140"/>
      <c r="LXO24" s="2141"/>
      <c r="LXP24" s="2141"/>
      <c r="LXQ24" s="2140"/>
      <c r="LXR24" s="2141"/>
      <c r="LXS24" s="2141"/>
      <c r="LXT24" s="2140"/>
      <c r="LXU24" s="2141"/>
      <c r="LXV24" s="2141"/>
      <c r="LXW24" s="2140"/>
      <c r="LXX24" s="2141"/>
      <c r="LXY24" s="2141"/>
      <c r="LXZ24" s="2140"/>
      <c r="LYA24" s="2141"/>
      <c r="LYB24" s="2141"/>
      <c r="LYC24" s="2140"/>
      <c r="LYD24" s="2141"/>
      <c r="LYE24" s="2141"/>
      <c r="LYF24" s="2140"/>
      <c r="LYG24" s="2141"/>
      <c r="LYH24" s="2141"/>
      <c r="LYI24" s="2140"/>
      <c r="LYJ24" s="2141"/>
      <c r="LYK24" s="2141"/>
      <c r="LYL24" s="2140"/>
      <c r="LYM24" s="2141"/>
      <c r="LYN24" s="2141"/>
      <c r="LYO24" s="2140"/>
      <c r="LYP24" s="2141"/>
      <c r="LYQ24" s="2141"/>
      <c r="LYR24" s="2140"/>
      <c r="LYS24" s="2141"/>
      <c r="LYT24" s="2141"/>
      <c r="LYU24" s="2140"/>
      <c r="LYV24" s="2141"/>
      <c r="LYW24" s="2141"/>
      <c r="LYX24" s="2140"/>
      <c r="LYY24" s="2141"/>
      <c r="LYZ24" s="2141"/>
      <c r="LZA24" s="2140"/>
      <c r="LZB24" s="2141"/>
      <c r="LZC24" s="2141"/>
      <c r="LZD24" s="2140"/>
      <c r="LZE24" s="2141"/>
      <c r="LZF24" s="2141"/>
      <c r="LZG24" s="2140"/>
      <c r="LZH24" s="2141"/>
      <c r="LZI24" s="2141"/>
      <c r="LZJ24" s="2140"/>
      <c r="LZK24" s="2141"/>
      <c r="LZL24" s="2141"/>
      <c r="LZM24" s="2140"/>
      <c r="LZN24" s="2141"/>
      <c r="LZO24" s="2141"/>
      <c r="LZP24" s="2140"/>
      <c r="LZQ24" s="2141"/>
      <c r="LZR24" s="2141"/>
      <c r="LZS24" s="2140"/>
      <c r="LZT24" s="2141"/>
      <c r="LZU24" s="2141"/>
      <c r="LZV24" s="2140"/>
      <c r="LZW24" s="2141"/>
      <c r="LZX24" s="2141"/>
      <c r="LZY24" s="2140"/>
      <c r="LZZ24" s="2141"/>
      <c r="MAA24" s="2141"/>
      <c r="MAB24" s="2140"/>
      <c r="MAC24" s="2141"/>
      <c r="MAD24" s="2141"/>
      <c r="MAE24" s="2140"/>
      <c r="MAF24" s="2141"/>
      <c r="MAG24" s="2141"/>
      <c r="MAH24" s="2140"/>
      <c r="MAI24" s="2141"/>
      <c r="MAJ24" s="2141"/>
      <c r="MAK24" s="2140"/>
      <c r="MAL24" s="2141"/>
      <c r="MAM24" s="2141"/>
      <c r="MAN24" s="2140"/>
      <c r="MAO24" s="2141"/>
      <c r="MAP24" s="2141"/>
      <c r="MAQ24" s="2140"/>
      <c r="MAR24" s="2141"/>
      <c r="MAS24" s="2141"/>
      <c r="MAT24" s="2140"/>
      <c r="MAU24" s="2141"/>
      <c r="MAV24" s="2141"/>
      <c r="MAW24" s="2140"/>
      <c r="MAX24" s="2141"/>
      <c r="MAY24" s="2141"/>
      <c r="MAZ24" s="2140"/>
      <c r="MBA24" s="2141"/>
      <c r="MBB24" s="2141"/>
      <c r="MBC24" s="2140"/>
      <c r="MBD24" s="2141"/>
      <c r="MBE24" s="2141"/>
      <c r="MBF24" s="2140"/>
      <c r="MBG24" s="2141"/>
      <c r="MBH24" s="2141"/>
      <c r="MBI24" s="2140"/>
      <c r="MBJ24" s="2141"/>
      <c r="MBK24" s="2141"/>
      <c r="MBL24" s="2140"/>
      <c r="MBM24" s="2141"/>
      <c r="MBN24" s="2141"/>
      <c r="MBO24" s="2140"/>
      <c r="MBP24" s="2141"/>
      <c r="MBQ24" s="2141"/>
      <c r="MBR24" s="2140"/>
      <c r="MBS24" s="2141"/>
      <c r="MBT24" s="2141"/>
      <c r="MBU24" s="2140"/>
      <c r="MBV24" s="2141"/>
      <c r="MBW24" s="2141"/>
      <c r="MBX24" s="2140"/>
      <c r="MBY24" s="2141"/>
      <c r="MBZ24" s="2141"/>
      <c r="MCA24" s="2140"/>
      <c r="MCB24" s="2141"/>
      <c r="MCC24" s="2141"/>
      <c r="MCD24" s="2140"/>
      <c r="MCE24" s="2141"/>
      <c r="MCF24" s="2141"/>
      <c r="MCG24" s="2140"/>
      <c r="MCH24" s="2141"/>
      <c r="MCI24" s="2141"/>
      <c r="MCJ24" s="2140"/>
      <c r="MCK24" s="2141"/>
      <c r="MCL24" s="2141"/>
      <c r="MCM24" s="2140"/>
      <c r="MCN24" s="2141"/>
      <c r="MCO24" s="2141"/>
      <c r="MCP24" s="2140"/>
      <c r="MCQ24" s="2141"/>
      <c r="MCR24" s="2141"/>
      <c r="MCS24" s="2140"/>
      <c r="MCT24" s="2141"/>
      <c r="MCU24" s="2141"/>
      <c r="MCV24" s="2140"/>
      <c r="MCW24" s="2141"/>
      <c r="MCX24" s="2141"/>
      <c r="MCY24" s="2140"/>
      <c r="MCZ24" s="2141"/>
      <c r="MDA24" s="2141"/>
      <c r="MDB24" s="2140"/>
      <c r="MDC24" s="2141"/>
      <c r="MDD24" s="2141"/>
      <c r="MDE24" s="2140"/>
      <c r="MDF24" s="2141"/>
      <c r="MDG24" s="2141"/>
      <c r="MDH24" s="2140"/>
      <c r="MDI24" s="2141"/>
      <c r="MDJ24" s="2141"/>
      <c r="MDK24" s="2140"/>
      <c r="MDL24" s="2141"/>
      <c r="MDM24" s="2141"/>
      <c r="MDN24" s="2140"/>
      <c r="MDO24" s="2141"/>
      <c r="MDP24" s="2141"/>
      <c r="MDQ24" s="2140"/>
      <c r="MDR24" s="2141"/>
      <c r="MDS24" s="2141"/>
      <c r="MDT24" s="2140"/>
      <c r="MDU24" s="2141"/>
      <c r="MDV24" s="2141"/>
      <c r="MDW24" s="2140"/>
      <c r="MDX24" s="2141"/>
      <c r="MDY24" s="2141"/>
      <c r="MDZ24" s="2140"/>
      <c r="MEA24" s="2141"/>
      <c r="MEB24" s="2141"/>
      <c r="MEC24" s="2140"/>
      <c r="MED24" s="2141"/>
      <c r="MEE24" s="2141"/>
      <c r="MEF24" s="2140"/>
      <c r="MEG24" s="2141"/>
      <c r="MEH24" s="2141"/>
      <c r="MEI24" s="2140"/>
      <c r="MEJ24" s="2141"/>
      <c r="MEK24" s="2141"/>
      <c r="MEL24" s="2140"/>
      <c r="MEM24" s="2141"/>
      <c r="MEN24" s="2141"/>
      <c r="MEO24" s="2140"/>
      <c r="MEP24" s="2141"/>
      <c r="MEQ24" s="2141"/>
      <c r="MER24" s="2140"/>
      <c r="MES24" s="2141"/>
      <c r="MET24" s="2141"/>
      <c r="MEU24" s="2140"/>
      <c r="MEV24" s="2141"/>
      <c r="MEW24" s="2141"/>
      <c r="MEX24" s="2140"/>
      <c r="MEY24" s="2141"/>
      <c r="MEZ24" s="2141"/>
      <c r="MFA24" s="2140"/>
      <c r="MFB24" s="2141"/>
      <c r="MFC24" s="2141"/>
      <c r="MFD24" s="2140"/>
      <c r="MFE24" s="2141"/>
      <c r="MFF24" s="2141"/>
      <c r="MFG24" s="2140"/>
      <c r="MFH24" s="2141"/>
      <c r="MFI24" s="2141"/>
      <c r="MFJ24" s="2140"/>
      <c r="MFK24" s="2141"/>
      <c r="MFL24" s="2141"/>
      <c r="MFM24" s="2140"/>
      <c r="MFN24" s="2141"/>
      <c r="MFO24" s="2141"/>
      <c r="MFP24" s="2140"/>
      <c r="MFQ24" s="2141"/>
      <c r="MFR24" s="2141"/>
      <c r="MFS24" s="2140"/>
      <c r="MFT24" s="2141"/>
      <c r="MFU24" s="2141"/>
      <c r="MFV24" s="2140"/>
      <c r="MFW24" s="2141"/>
      <c r="MFX24" s="2141"/>
      <c r="MFY24" s="2140"/>
      <c r="MFZ24" s="2141"/>
      <c r="MGA24" s="2141"/>
      <c r="MGB24" s="2140"/>
      <c r="MGC24" s="2141"/>
      <c r="MGD24" s="2141"/>
      <c r="MGE24" s="2140"/>
      <c r="MGF24" s="2141"/>
      <c r="MGG24" s="2141"/>
      <c r="MGH24" s="2140"/>
      <c r="MGI24" s="2141"/>
      <c r="MGJ24" s="2141"/>
      <c r="MGK24" s="2140"/>
      <c r="MGL24" s="2141"/>
      <c r="MGM24" s="2141"/>
      <c r="MGN24" s="2140"/>
      <c r="MGO24" s="2141"/>
      <c r="MGP24" s="2141"/>
      <c r="MGQ24" s="2140"/>
      <c r="MGR24" s="2141"/>
      <c r="MGS24" s="2141"/>
      <c r="MGT24" s="2140"/>
      <c r="MGU24" s="2141"/>
      <c r="MGV24" s="2141"/>
      <c r="MGW24" s="2140"/>
      <c r="MGX24" s="2141"/>
      <c r="MGY24" s="2141"/>
      <c r="MGZ24" s="2140"/>
      <c r="MHA24" s="2141"/>
      <c r="MHB24" s="2141"/>
      <c r="MHC24" s="2140"/>
      <c r="MHD24" s="2141"/>
      <c r="MHE24" s="2141"/>
      <c r="MHF24" s="2140"/>
      <c r="MHG24" s="2141"/>
      <c r="MHH24" s="2141"/>
      <c r="MHI24" s="2140"/>
      <c r="MHJ24" s="2141"/>
      <c r="MHK24" s="2141"/>
      <c r="MHL24" s="2140"/>
      <c r="MHM24" s="2141"/>
      <c r="MHN24" s="2141"/>
      <c r="MHO24" s="2140"/>
      <c r="MHP24" s="2141"/>
      <c r="MHQ24" s="2141"/>
      <c r="MHR24" s="2140"/>
      <c r="MHS24" s="2141"/>
      <c r="MHT24" s="2141"/>
      <c r="MHU24" s="2140"/>
      <c r="MHV24" s="2141"/>
      <c r="MHW24" s="2141"/>
      <c r="MHX24" s="2140"/>
      <c r="MHY24" s="2141"/>
      <c r="MHZ24" s="2141"/>
      <c r="MIA24" s="2140"/>
      <c r="MIB24" s="2141"/>
      <c r="MIC24" s="2141"/>
      <c r="MID24" s="2140"/>
      <c r="MIE24" s="2141"/>
      <c r="MIF24" s="2141"/>
      <c r="MIG24" s="2140"/>
      <c r="MIH24" s="2141"/>
      <c r="MII24" s="2141"/>
      <c r="MIJ24" s="2140"/>
      <c r="MIK24" s="2141"/>
      <c r="MIL24" s="2141"/>
      <c r="MIM24" s="2140"/>
      <c r="MIN24" s="2141"/>
      <c r="MIO24" s="2141"/>
      <c r="MIP24" s="2140"/>
      <c r="MIQ24" s="2141"/>
      <c r="MIR24" s="2141"/>
      <c r="MIS24" s="2140"/>
      <c r="MIT24" s="2141"/>
      <c r="MIU24" s="2141"/>
      <c r="MIV24" s="2140"/>
      <c r="MIW24" s="2141"/>
      <c r="MIX24" s="2141"/>
      <c r="MIY24" s="2140"/>
      <c r="MIZ24" s="2141"/>
      <c r="MJA24" s="2141"/>
      <c r="MJB24" s="2140"/>
      <c r="MJC24" s="2141"/>
      <c r="MJD24" s="2141"/>
      <c r="MJE24" s="2140"/>
      <c r="MJF24" s="2141"/>
      <c r="MJG24" s="2141"/>
      <c r="MJH24" s="2140"/>
      <c r="MJI24" s="2141"/>
      <c r="MJJ24" s="2141"/>
      <c r="MJK24" s="2140"/>
      <c r="MJL24" s="2141"/>
      <c r="MJM24" s="2141"/>
      <c r="MJN24" s="2140"/>
      <c r="MJO24" s="2141"/>
      <c r="MJP24" s="2141"/>
      <c r="MJQ24" s="2140"/>
      <c r="MJR24" s="2141"/>
      <c r="MJS24" s="2141"/>
      <c r="MJT24" s="2140"/>
      <c r="MJU24" s="2141"/>
      <c r="MJV24" s="2141"/>
      <c r="MJW24" s="2140"/>
      <c r="MJX24" s="2141"/>
      <c r="MJY24" s="2141"/>
      <c r="MJZ24" s="2140"/>
      <c r="MKA24" s="2141"/>
      <c r="MKB24" s="2141"/>
      <c r="MKC24" s="2140"/>
      <c r="MKD24" s="2141"/>
      <c r="MKE24" s="2141"/>
      <c r="MKF24" s="2140"/>
      <c r="MKG24" s="2141"/>
      <c r="MKH24" s="2141"/>
      <c r="MKI24" s="2140"/>
      <c r="MKJ24" s="2141"/>
      <c r="MKK24" s="2141"/>
      <c r="MKL24" s="2140"/>
      <c r="MKM24" s="2141"/>
      <c r="MKN24" s="2141"/>
      <c r="MKO24" s="2140"/>
      <c r="MKP24" s="2141"/>
      <c r="MKQ24" s="2141"/>
      <c r="MKR24" s="2140"/>
      <c r="MKS24" s="2141"/>
      <c r="MKT24" s="2141"/>
      <c r="MKU24" s="2140"/>
      <c r="MKV24" s="2141"/>
      <c r="MKW24" s="2141"/>
      <c r="MKX24" s="2140"/>
      <c r="MKY24" s="2141"/>
      <c r="MKZ24" s="2141"/>
      <c r="MLA24" s="2140"/>
      <c r="MLB24" s="2141"/>
      <c r="MLC24" s="2141"/>
      <c r="MLD24" s="2140"/>
      <c r="MLE24" s="2141"/>
      <c r="MLF24" s="2141"/>
      <c r="MLG24" s="2140"/>
      <c r="MLH24" s="2141"/>
      <c r="MLI24" s="2141"/>
      <c r="MLJ24" s="2140"/>
      <c r="MLK24" s="2141"/>
      <c r="MLL24" s="2141"/>
      <c r="MLM24" s="2140"/>
      <c r="MLN24" s="2141"/>
      <c r="MLO24" s="2141"/>
      <c r="MLP24" s="2140"/>
      <c r="MLQ24" s="2141"/>
      <c r="MLR24" s="2141"/>
      <c r="MLS24" s="2140"/>
      <c r="MLT24" s="2141"/>
      <c r="MLU24" s="2141"/>
      <c r="MLV24" s="2140"/>
      <c r="MLW24" s="2141"/>
      <c r="MLX24" s="2141"/>
      <c r="MLY24" s="2140"/>
      <c r="MLZ24" s="2141"/>
      <c r="MMA24" s="2141"/>
      <c r="MMB24" s="2140"/>
      <c r="MMC24" s="2141"/>
      <c r="MMD24" s="2141"/>
      <c r="MME24" s="2140"/>
      <c r="MMF24" s="2141"/>
      <c r="MMG24" s="2141"/>
      <c r="MMH24" s="2140"/>
      <c r="MMI24" s="2141"/>
      <c r="MMJ24" s="2141"/>
      <c r="MMK24" s="2140"/>
      <c r="MML24" s="2141"/>
      <c r="MMM24" s="2141"/>
      <c r="MMN24" s="2140"/>
      <c r="MMO24" s="2141"/>
      <c r="MMP24" s="2141"/>
      <c r="MMQ24" s="2140"/>
      <c r="MMR24" s="2141"/>
      <c r="MMS24" s="2141"/>
      <c r="MMT24" s="2140"/>
      <c r="MMU24" s="2141"/>
      <c r="MMV24" s="2141"/>
      <c r="MMW24" s="2140"/>
      <c r="MMX24" s="2141"/>
      <c r="MMY24" s="2141"/>
      <c r="MMZ24" s="2140"/>
      <c r="MNA24" s="2141"/>
      <c r="MNB24" s="2141"/>
      <c r="MNC24" s="2140"/>
      <c r="MND24" s="2141"/>
      <c r="MNE24" s="2141"/>
      <c r="MNF24" s="2140"/>
      <c r="MNG24" s="2141"/>
      <c r="MNH24" s="2141"/>
      <c r="MNI24" s="2140"/>
      <c r="MNJ24" s="2141"/>
      <c r="MNK24" s="2141"/>
      <c r="MNL24" s="2140"/>
      <c r="MNM24" s="2141"/>
      <c r="MNN24" s="2141"/>
      <c r="MNO24" s="2140"/>
      <c r="MNP24" s="2141"/>
      <c r="MNQ24" s="2141"/>
      <c r="MNR24" s="2140"/>
      <c r="MNS24" s="2141"/>
      <c r="MNT24" s="2141"/>
      <c r="MNU24" s="2140"/>
      <c r="MNV24" s="2141"/>
      <c r="MNW24" s="2141"/>
      <c r="MNX24" s="2140"/>
      <c r="MNY24" s="2141"/>
      <c r="MNZ24" s="2141"/>
      <c r="MOA24" s="2140"/>
      <c r="MOB24" s="2141"/>
      <c r="MOC24" s="2141"/>
      <c r="MOD24" s="2140"/>
      <c r="MOE24" s="2141"/>
      <c r="MOF24" s="2141"/>
      <c r="MOG24" s="2140"/>
      <c r="MOH24" s="2141"/>
      <c r="MOI24" s="2141"/>
      <c r="MOJ24" s="2140"/>
      <c r="MOK24" s="2141"/>
      <c r="MOL24" s="2141"/>
      <c r="MOM24" s="2140"/>
      <c r="MON24" s="2141"/>
      <c r="MOO24" s="2141"/>
      <c r="MOP24" s="2140"/>
      <c r="MOQ24" s="2141"/>
      <c r="MOR24" s="2141"/>
      <c r="MOS24" s="2140"/>
      <c r="MOT24" s="2141"/>
      <c r="MOU24" s="2141"/>
      <c r="MOV24" s="2140"/>
      <c r="MOW24" s="2141"/>
      <c r="MOX24" s="2141"/>
      <c r="MOY24" s="2140"/>
      <c r="MOZ24" s="2141"/>
      <c r="MPA24" s="2141"/>
      <c r="MPB24" s="2140"/>
      <c r="MPC24" s="2141"/>
      <c r="MPD24" s="2141"/>
      <c r="MPE24" s="2140"/>
      <c r="MPF24" s="2141"/>
      <c r="MPG24" s="2141"/>
      <c r="MPH24" s="2140"/>
      <c r="MPI24" s="2141"/>
      <c r="MPJ24" s="2141"/>
      <c r="MPK24" s="2140"/>
      <c r="MPL24" s="2141"/>
      <c r="MPM24" s="2141"/>
      <c r="MPN24" s="2140"/>
      <c r="MPO24" s="2141"/>
      <c r="MPP24" s="2141"/>
      <c r="MPQ24" s="2140"/>
      <c r="MPR24" s="2141"/>
      <c r="MPS24" s="2141"/>
      <c r="MPT24" s="2140"/>
      <c r="MPU24" s="2141"/>
      <c r="MPV24" s="2141"/>
      <c r="MPW24" s="2140"/>
      <c r="MPX24" s="2141"/>
      <c r="MPY24" s="2141"/>
      <c r="MPZ24" s="2140"/>
      <c r="MQA24" s="2141"/>
      <c r="MQB24" s="2141"/>
      <c r="MQC24" s="2140"/>
      <c r="MQD24" s="2141"/>
      <c r="MQE24" s="2141"/>
      <c r="MQF24" s="2140"/>
      <c r="MQG24" s="2141"/>
      <c r="MQH24" s="2141"/>
      <c r="MQI24" s="2140"/>
      <c r="MQJ24" s="2141"/>
      <c r="MQK24" s="2141"/>
      <c r="MQL24" s="2140"/>
      <c r="MQM24" s="2141"/>
      <c r="MQN24" s="2141"/>
      <c r="MQO24" s="2140"/>
      <c r="MQP24" s="2141"/>
      <c r="MQQ24" s="2141"/>
      <c r="MQR24" s="2140"/>
      <c r="MQS24" s="2141"/>
      <c r="MQT24" s="2141"/>
      <c r="MQU24" s="2140"/>
      <c r="MQV24" s="2141"/>
      <c r="MQW24" s="2141"/>
      <c r="MQX24" s="2140"/>
      <c r="MQY24" s="2141"/>
      <c r="MQZ24" s="2141"/>
      <c r="MRA24" s="2140"/>
      <c r="MRB24" s="2141"/>
      <c r="MRC24" s="2141"/>
      <c r="MRD24" s="2140"/>
      <c r="MRE24" s="2141"/>
      <c r="MRF24" s="2141"/>
      <c r="MRG24" s="2140"/>
      <c r="MRH24" s="2141"/>
      <c r="MRI24" s="2141"/>
      <c r="MRJ24" s="2140"/>
      <c r="MRK24" s="2141"/>
      <c r="MRL24" s="2141"/>
      <c r="MRM24" s="2140"/>
      <c r="MRN24" s="2141"/>
      <c r="MRO24" s="2141"/>
      <c r="MRP24" s="2140"/>
      <c r="MRQ24" s="2141"/>
      <c r="MRR24" s="2141"/>
      <c r="MRS24" s="2140"/>
      <c r="MRT24" s="2141"/>
      <c r="MRU24" s="2141"/>
      <c r="MRV24" s="2140"/>
      <c r="MRW24" s="2141"/>
      <c r="MRX24" s="2141"/>
      <c r="MRY24" s="2140"/>
      <c r="MRZ24" s="2141"/>
      <c r="MSA24" s="2141"/>
      <c r="MSB24" s="2140"/>
      <c r="MSC24" s="2141"/>
      <c r="MSD24" s="2141"/>
      <c r="MSE24" s="2140"/>
      <c r="MSF24" s="2141"/>
      <c r="MSG24" s="2141"/>
      <c r="MSH24" s="2140"/>
      <c r="MSI24" s="2141"/>
      <c r="MSJ24" s="2141"/>
      <c r="MSK24" s="2140"/>
      <c r="MSL24" s="2141"/>
      <c r="MSM24" s="2141"/>
      <c r="MSN24" s="2140"/>
      <c r="MSO24" s="2141"/>
      <c r="MSP24" s="2141"/>
      <c r="MSQ24" s="2140"/>
      <c r="MSR24" s="2141"/>
      <c r="MSS24" s="2141"/>
      <c r="MST24" s="2140"/>
      <c r="MSU24" s="2141"/>
      <c r="MSV24" s="2141"/>
      <c r="MSW24" s="2140"/>
      <c r="MSX24" s="2141"/>
      <c r="MSY24" s="2141"/>
      <c r="MSZ24" s="2140"/>
      <c r="MTA24" s="2141"/>
      <c r="MTB24" s="2141"/>
      <c r="MTC24" s="2140"/>
      <c r="MTD24" s="2141"/>
      <c r="MTE24" s="2141"/>
      <c r="MTF24" s="2140"/>
      <c r="MTG24" s="2141"/>
      <c r="MTH24" s="2141"/>
      <c r="MTI24" s="2140"/>
      <c r="MTJ24" s="2141"/>
      <c r="MTK24" s="2141"/>
      <c r="MTL24" s="2140"/>
      <c r="MTM24" s="2141"/>
      <c r="MTN24" s="2141"/>
      <c r="MTO24" s="2140"/>
      <c r="MTP24" s="2141"/>
      <c r="MTQ24" s="2141"/>
      <c r="MTR24" s="2140"/>
      <c r="MTS24" s="2141"/>
      <c r="MTT24" s="2141"/>
      <c r="MTU24" s="2140"/>
      <c r="MTV24" s="2141"/>
      <c r="MTW24" s="2141"/>
      <c r="MTX24" s="2140"/>
      <c r="MTY24" s="2141"/>
      <c r="MTZ24" s="2141"/>
      <c r="MUA24" s="2140"/>
      <c r="MUB24" s="2141"/>
      <c r="MUC24" s="2141"/>
      <c r="MUD24" s="2140"/>
      <c r="MUE24" s="2141"/>
      <c r="MUF24" s="2141"/>
      <c r="MUG24" s="2140"/>
      <c r="MUH24" s="2141"/>
      <c r="MUI24" s="2141"/>
      <c r="MUJ24" s="2140"/>
      <c r="MUK24" s="2141"/>
      <c r="MUL24" s="2141"/>
      <c r="MUM24" s="2140"/>
      <c r="MUN24" s="2141"/>
      <c r="MUO24" s="2141"/>
      <c r="MUP24" s="2140"/>
      <c r="MUQ24" s="2141"/>
      <c r="MUR24" s="2141"/>
      <c r="MUS24" s="2140"/>
      <c r="MUT24" s="2141"/>
      <c r="MUU24" s="2141"/>
      <c r="MUV24" s="2140"/>
      <c r="MUW24" s="2141"/>
      <c r="MUX24" s="2141"/>
      <c r="MUY24" s="2140"/>
      <c r="MUZ24" s="2141"/>
      <c r="MVA24" s="2141"/>
      <c r="MVB24" s="2140"/>
      <c r="MVC24" s="2141"/>
      <c r="MVD24" s="2141"/>
      <c r="MVE24" s="2140"/>
      <c r="MVF24" s="2141"/>
      <c r="MVG24" s="2141"/>
      <c r="MVH24" s="2140"/>
      <c r="MVI24" s="2141"/>
      <c r="MVJ24" s="2141"/>
      <c r="MVK24" s="2140"/>
      <c r="MVL24" s="2141"/>
      <c r="MVM24" s="2141"/>
      <c r="MVN24" s="2140"/>
      <c r="MVO24" s="2141"/>
      <c r="MVP24" s="2141"/>
      <c r="MVQ24" s="2140"/>
      <c r="MVR24" s="2141"/>
      <c r="MVS24" s="2141"/>
      <c r="MVT24" s="2140"/>
      <c r="MVU24" s="2141"/>
      <c r="MVV24" s="2141"/>
      <c r="MVW24" s="2140"/>
      <c r="MVX24" s="2141"/>
      <c r="MVY24" s="2141"/>
      <c r="MVZ24" s="2140"/>
      <c r="MWA24" s="2141"/>
      <c r="MWB24" s="2141"/>
      <c r="MWC24" s="2140"/>
      <c r="MWD24" s="2141"/>
      <c r="MWE24" s="2141"/>
      <c r="MWF24" s="2140"/>
      <c r="MWG24" s="2141"/>
      <c r="MWH24" s="2141"/>
      <c r="MWI24" s="2140"/>
      <c r="MWJ24" s="2141"/>
      <c r="MWK24" s="2141"/>
      <c r="MWL24" s="2140"/>
      <c r="MWM24" s="2141"/>
      <c r="MWN24" s="2141"/>
      <c r="MWO24" s="2140"/>
      <c r="MWP24" s="2141"/>
      <c r="MWQ24" s="2141"/>
      <c r="MWR24" s="2140"/>
      <c r="MWS24" s="2141"/>
      <c r="MWT24" s="2141"/>
      <c r="MWU24" s="2140"/>
      <c r="MWV24" s="2141"/>
      <c r="MWW24" s="2141"/>
      <c r="MWX24" s="2140"/>
      <c r="MWY24" s="2141"/>
      <c r="MWZ24" s="2141"/>
      <c r="MXA24" s="2140"/>
      <c r="MXB24" s="2141"/>
      <c r="MXC24" s="2141"/>
      <c r="MXD24" s="2140"/>
      <c r="MXE24" s="2141"/>
      <c r="MXF24" s="2141"/>
      <c r="MXG24" s="2140"/>
      <c r="MXH24" s="2141"/>
      <c r="MXI24" s="2141"/>
      <c r="MXJ24" s="2140"/>
      <c r="MXK24" s="2141"/>
      <c r="MXL24" s="2141"/>
      <c r="MXM24" s="2140"/>
      <c r="MXN24" s="2141"/>
      <c r="MXO24" s="2141"/>
      <c r="MXP24" s="2140"/>
      <c r="MXQ24" s="2141"/>
      <c r="MXR24" s="2141"/>
      <c r="MXS24" s="2140"/>
      <c r="MXT24" s="2141"/>
      <c r="MXU24" s="2141"/>
      <c r="MXV24" s="2140"/>
      <c r="MXW24" s="2141"/>
      <c r="MXX24" s="2141"/>
      <c r="MXY24" s="2140"/>
      <c r="MXZ24" s="2141"/>
      <c r="MYA24" s="2141"/>
      <c r="MYB24" s="2140"/>
      <c r="MYC24" s="2141"/>
      <c r="MYD24" s="2141"/>
      <c r="MYE24" s="2140"/>
      <c r="MYF24" s="2141"/>
      <c r="MYG24" s="2141"/>
      <c r="MYH24" s="2140"/>
      <c r="MYI24" s="2141"/>
      <c r="MYJ24" s="2141"/>
      <c r="MYK24" s="2140"/>
      <c r="MYL24" s="2141"/>
      <c r="MYM24" s="2141"/>
      <c r="MYN24" s="2140"/>
      <c r="MYO24" s="2141"/>
      <c r="MYP24" s="2141"/>
      <c r="MYQ24" s="2140"/>
      <c r="MYR24" s="2141"/>
      <c r="MYS24" s="2141"/>
      <c r="MYT24" s="2140"/>
      <c r="MYU24" s="2141"/>
      <c r="MYV24" s="2141"/>
      <c r="MYW24" s="2140"/>
      <c r="MYX24" s="2141"/>
      <c r="MYY24" s="2141"/>
      <c r="MYZ24" s="2140"/>
      <c r="MZA24" s="2141"/>
      <c r="MZB24" s="2141"/>
      <c r="MZC24" s="2140"/>
      <c r="MZD24" s="2141"/>
      <c r="MZE24" s="2141"/>
      <c r="MZF24" s="2140"/>
      <c r="MZG24" s="2141"/>
      <c r="MZH24" s="2141"/>
      <c r="MZI24" s="2140"/>
      <c r="MZJ24" s="2141"/>
      <c r="MZK24" s="2141"/>
      <c r="MZL24" s="2140"/>
      <c r="MZM24" s="2141"/>
      <c r="MZN24" s="2141"/>
      <c r="MZO24" s="2140"/>
      <c r="MZP24" s="2141"/>
      <c r="MZQ24" s="2141"/>
      <c r="MZR24" s="2140"/>
      <c r="MZS24" s="2141"/>
      <c r="MZT24" s="2141"/>
      <c r="MZU24" s="2140"/>
      <c r="MZV24" s="2141"/>
      <c r="MZW24" s="2141"/>
      <c r="MZX24" s="2140"/>
      <c r="MZY24" s="2141"/>
      <c r="MZZ24" s="2141"/>
      <c r="NAA24" s="2140"/>
      <c r="NAB24" s="2141"/>
      <c r="NAC24" s="2141"/>
      <c r="NAD24" s="2140"/>
      <c r="NAE24" s="2141"/>
      <c r="NAF24" s="2141"/>
      <c r="NAG24" s="2140"/>
      <c r="NAH24" s="2141"/>
      <c r="NAI24" s="2141"/>
      <c r="NAJ24" s="2140"/>
      <c r="NAK24" s="2141"/>
      <c r="NAL24" s="2141"/>
      <c r="NAM24" s="2140"/>
      <c r="NAN24" s="2141"/>
      <c r="NAO24" s="2141"/>
      <c r="NAP24" s="2140"/>
      <c r="NAQ24" s="2141"/>
      <c r="NAR24" s="2141"/>
      <c r="NAS24" s="2140"/>
      <c r="NAT24" s="2141"/>
      <c r="NAU24" s="2141"/>
      <c r="NAV24" s="2140"/>
      <c r="NAW24" s="2141"/>
      <c r="NAX24" s="2141"/>
      <c r="NAY24" s="2140"/>
      <c r="NAZ24" s="2141"/>
      <c r="NBA24" s="2141"/>
      <c r="NBB24" s="2140"/>
      <c r="NBC24" s="2141"/>
      <c r="NBD24" s="2141"/>
      <c r="NBE24" s="2140"/>
      <c r="NBF24" s="2141"/>
      <c r="NBG24" s="2141"/>
      <c r="NBH24" s="2140"/>
      <c r="NBI24" s="2141"/>
      <c r="NBJ24" s="2141"/>
      <c r="NBK24" s="2140"/>
      <c r="NBL24" s="2141"/>
      <c r="NBM24" s="2141"/>
      <c r="NBN24" s="2140"/>
      <c r="NBO24" s="2141"/>
      <c r="NBP24" s="2141"/>
      <c r="NBQ24" s="2140"/>
      <c r="NBR24" s="2141"/>
      <c r="NBS24" s="2141"/>
      <c r="NBT24" s="2140"/>
      <c r="NBU24" s="2141"/>
      <c r="NBV24" s="2141"/>
      <c r="NBW24" s="2140"/>
      <c r="NBX24" s="2141"/>
      <c r="NBY24" s="2141"/>
      <c r="NBZ24" s="2140"/>
      <c r="NCA24" s="2141"/>
      <c r="NCB24" s="2141"/>
      <c r="NCC24" s="2140"/>
      <c r="NCD24" s="2141"/>
      <c r="NCE24" s="2141"/>
      <c r="NCF24" s="2140"/>
      <c r="NCG24" s="2141"/>
      <c r="NCH24" s="2141"/>
      <c r="NCI24" s="2140"/>
      <c r="NCJ24" s="2141"/>
      <c r="NCK24" s="2141"/>
      <c r="NCL24" s="2140"/>
      <c r="NCM24" s="2141"/>
      <c r="NCN24" s="2141"/>
      <c r="NCO24" s="2140"/>
      <c r="NCP24" s="2141"/>
      <c r="NCQ24" s="2141"/>
      <c r="NCR24" s="2140"/>
      <c r="NCS24" s="2141"/>
      <c r="NCT24" s="2141"/>
      <c r="NCU24" s="2140"/>
      <c r="NCV24" s="2141"/>
      <c r="NCW24" s="2141"/>
      <c r="NCX24" s="2140"/>
      <c r="NCY24" s="2141"/>
      <c r="NCZ24" s="2141"/>
      <c r="NDA24" s="2140"/>
      <c r="NDB24" s="2141"/>
      <c r="NDC24" s="2141"/>
      <c r="NDD24" s="2140"/>
      <c r="NDE24" s="2141"/>
      <c r="NDF24" s="2141"/>
      <c r="NDG24" s="2140"/>
      <c r="NDH24" s="2141"/>
      <c r="NDI24" s="2141"/>
      <c r="NDJ24" s="2140"/>
      <c r="NDK24" s="2141"/>
      <c r="NDL24" s="2141"/>
      <c r="NDM24" s="2140"/>
      <c r="NDN24" s="2141"/>
      <c r="NDO24" s="2141"/>
      <c r="NDP24" s="2140"/>
      <c r="NDQ24" s="2141"/>
      <c r="NDR24" s="2141"/>
      <c r="NDS24" s="2140"/>
      <c r="NDT24" s="2141"/>
      <c r="NDU24" s="2141"/>
      <c r="NDV24" s="2140"/>
      <c r="NDW24" s="2141"/>
      <c r="NDX24" s="2141"/>
      <c r="NDY24" s="2140"/>
      <c r="NDZ24" s="2141"/>
      <c r="NEA24" s="2141"/>
      <c r="NEB24" s="2140"/>
      <c r="NEC24" s="2141"/>
      <c r="NED24" s="2141"/>
      <c r="NEE24" s="2140"/>
      <c r="NEF24" s="2141"/>
      <c r="NEG24" s="2141"/>
      <c r="NEH24" s="2140"/>
      <c r="NEI24" s="2141"/>
      <c r="NEJ24" s="2141"/>
      <c r="NEK24" s="2140"/>
      <c r="NEL24" s="2141"/>
      <c r="NEM24" s="2141"/>
      <c r="NEN24" s="2140"/>
      <c r="NEO24" s="2141"/>
      <c r="NEP24" s="2141"/>
      <c r="NEQ24" s="2140"/>
      <c r="NER24" s="2141"/>
      <c r="NES24" s="2141"/>
      <c r="NET24" s="2140"/>
      <c r="NEU24" s="2141"/>
      <c r="NEV24" s="2141"/>
      <c r="NEW24" s="2140"/>
      <c r="NEX24" s="2141"/>
      <c r="NEY24" s="2141"/>
      <c r="NEZ24" s="2140"/>
      <c r="NFA24" s="2141"/>
      <c r="NFB24" s="2141"/>
      <c r="NFC24" s="2140"/>
      <c r="NFD24" s="2141"/>
      <c r="NFE24" s="2141"/>
      <c r="NFF24" s="2140"/>
      <c r="NFG24" s="2141"/>
      <c r="NFH24" s="2141"/>
      <c r="NFI24" s="2140"/>
      <c r="NFJ24" s="2141"/>
      <c r="NFK24" s="2141"/>
      <c r="NFL24" s="2140"/>
      <c r="NFM24" s="2141"/>
      <c r="NFN24" s="2141"/>
      <c r="NFO24" s="2140"/>
      <c r="NFP24" s="2141"/>
      <c r="NFQ24" s="2141"/>
      <c r="NFR24" s="2140"/>
      <c r="NFS24" s="2141"/>
      <c r="NFT24" s="2141"/>
      <c r="NFU24" s="2140"/>
      <c r="NFV24" s="2141"/>
      <c r="NFW24" s="2141"/>
      <c r="NFX24" s="2140"/>
      <c r="NFY24" s="2141"/>
      <c r="NFZ24" s="2141"/>
      <c r="NGA24" s="2140"/>
      <c r="NGB24" s="2141"/>
      <c r="NGC24" s="2141"/>
      <c r="NGD24" s="2140"/>
      <c r="NGE24" s="2141"/>
      <c r="NGF24" s="2141"/>
      <c r="NGG24" s="2140"/>
      <c r="NGH24" s="2141"/>
      <c r="NGI24" s="2141"/>
      <c r="NGJ24" s="2140"/>
      <c r="NGK24" s="2141"/>
      <c r="NGL24" s="2141"/>
      <c r="NGM24" s="2140"/>
      <c r="NGN24" s="2141"/>
      <c r="NGO24" s="2141"/>
      <c r="NGP24" s="2140"/>
      <c r="NGQ24" s="2141"/>
      <c r="NGR24" s="2141"/>
      <c r="NGS24" s="2140"/>
      <c r="NGT24" s="2141"/>
      <c r="NGU24" s="2141"/>
      <c r="NGV24" s="2140"/>
      <c r="NGW24" s="2141"/>
      <c r="NGX24" s="2141"/>
      <c r="NGY24" s="2140"/>
      <c r="NGZ24" s="2141"/>
      <c r="NHA24" s="2141"/>
      <c r="NHB24" s="2140"/>
      <c r="NHC24" s="2141"/>
      <c r="NHD24" s="2141"/>
      <c r="NHE24" s="2140"/>
      <c r="NHF24" s="2141"/>
      <c r="NHG24" s="2141"/>
      <c r="NHH24" s="2140"/>
      <c r="NHI24" s="2141"/>
      <c r="NHJ24" s="2141"/>
      <c r="NHK24" s="2140"/>
      <c r="NHL24" s="2141"/>
      <c r="NHM24" s="2141"/>
      <c r="NHN24" s="2140"/>
      <c r="NHO24" s="2141"/>
      <c r="NHP24" s="2141"/>
      <c r="NHQ24" s="2140"/>
      <c r="NHR24" s="2141"/>
      <c r="NHS24" s="2141"/>
      <c r="NHT24" s="2140"/>
      <c r="NHU24" s="2141"/>
      <c r="NHV24" s="2141"/>
      <c r="NHW24" s="2140"/>
      <c r="NHX24" s="2141"/>
      <c r="NHY24" s="2141"/>
      <c r="NHZ24" s="2140"/>
      <c r="NIA24" s="2141"/>
      <c r="NIB24" s="2141"/>
      <c r="NIC24" s="2140"/>
      <c r="NID24" s="2141"/>
      <c r="NIE24" s="2141"/>
      <c r="NIF24" s="2140"/>
      <c r="NIG24" s="2141"/>
      <c r="NIH24" s="2141"/>
      <c r="NII24" s="2140"/>
      <c r="NIJ24" s="2141"/>
      <c r="NIK24" s="2141"/>
      <c r="NIL24" s="2140"/>
      <c r="NIM24" s="2141"/>
      <c r="NIN24" s="2141"/>
      <c r="NIO24" s="2140"/>
      <c r="NIP24" s="2141"/>
      <c r="NIQ24" s="2141"/>
      <c r="NIR24" s="2140"/>
      <c r="NIS24" s="2141"/>
      <c r="NIT24" s="2141"/>
      <c r="NIU24" s="2140"/>
      <c r="NIV24" s="2141"/>
      <c r="NIW24" s="2141"/>
      <c r="NIX24" s="2140"/>
      <c r="NIY24" s="2141"/>
      <c r="NIZ24" s="2141"/>
      <c r="NJA24" s="2140"/>
      <c r="NJB24" s="2141"/>
      <c r="NJC24" s="2141"/>
      <c r="NJD24" s="2140"/>
      <c r="NJE24" s="2141"/>
      <c r="NJF24" s="2141"/>
      <c r="NJG24" s="2140"/>
      <c r="NJH24" s="2141"/>
      <c r="NJI24" s="2141"/>
      <c r="NJJ24" s="2140"/>
      <c r="NJK24" s="2141"/>
      <c r="NJL24" s="2141"/>
      <c r="NJM24" s="2140"/>
      <c r="NJN24" s="2141"/>
      <c r="NJO24" s="2141"/>
      <c r="NJP24" s="2140"/>
      <c r="NJQ24" s="2141"/>
      <c r="NJR24" s="2141"/>
      <c r="NJS24" s="2140"/>
      <c r="NJT24" s="2141"/>
      <c r="NJU24" s="2141"/>
      <c r="NJV24" s="2140"/>
      <c r="NJW24" s="2141"/>
      <c r="NJX24" s="2141"/>
      <c r="NJY24" s="2140"/>
      <c r="NJZ24" s="2141"/>
      <c r="NKA24" s="2141"/>
      <c r="NKB24" s="2140"/>
      <c r="NKC24" s="2141"/>
      <c r="NKD24" s="2141"/>
      <c r="NKE24" s="2140"/>
      <c r="NKF24" s="2141"/>
      <c r="NKG24" s="2141"/>
      <c r="NKH24" s="2140"/>
      <c r="NKI24" s="2141"/>
      <c r="NKJ24" s="2141"/>
      <c r="NKK24" s="2140"/>
      <c r="NKL24" s="2141"/>
      <c r="NKM24" s="2141"/>
      <c r="NKN24" s="2140"/>
      <c r="NKO24" s="2141"/>
      <c r="NKP24" s="2141"/>
      <c r="NKQ24" s="2140"/>
      <c r="NKR24" s="2141"/>
      <c r="NKS24" s="2141"/>
      <c r="NKT24" s="2140"/>
      <c r="NKU24" s="2141"/>
      <c r="NKV24" s="2141"/>
      <c r="NKW24" s="2140"/>
      <c r="NKX24" s="2141"/>
      <c r="NKY24" s="2141"/>
      <c r="NKZ24" s="2140"/>
      <c r="NLA24" s="2141"/>
      <c r="NLB24" s="2141"/>
      <c r="NLC24" s="2140"/>
      <c r="NLD24" s="2141"/>
      <c r="NLE24" s="2141"/>
      <c r="NLF24" s="2140"/>
      <c r="NLG24" s="2141"/>
      <c r="NLH24" s="2141"/>
      <c r="NLI24" s="2140"/>
      <c r="NLJ24" s="2141"/>
      <c r="NLK24" s="2141"/>
      <c r="NLL24" s="2140"/>
      <c r="NLM24" s="2141"/>
      <c r="NLN24" s="2141"/>
      <c r="NLO24" s="2140"/>
      <c r="NLP24" s="2141"/>
      <c r="NLQ24" s="2141"/>
      <c r="NLR24" s="2140"/>
      <c r="NLS24" s="2141"/>
      <c r="NLT24" s="2141"/>
      <c r="NLU24" s="2140"/>
      <c r="NLV24" s="2141"/>
      <c r="NLW24" s="2141"/>
      <c r="NLX24" s="2140"/>
      <c r="NLY24" s="2141"/>
      <c r="NLZ24" s="2141"/>
      <c r="NMA24" s="2140"/>
      <c r="NMB24" s="2141"/>
      <c r="NMC24" s="2141"/>
      <c r="NMD24" s="2140"/>
      <c r="NME24" s="2141"/>
      <c r="NMF24" s="2141"/>
      <c r="NMG24" s="2140"/>
      <c r="NMH24" s="2141"/>
      <c r="NMI24" s="2141"/>
      <c r="NMJ24" s="2140"/>
      <c r="NMK24" s="2141"/>
      <c r="NML24" s="2141"/>
      <c r="NMM24" s="2140"/>
      <c r="NMN24" s="2141"/>
      <c r="NMO24" s="2141"/>
      <c r="NMP24" s="2140"/>
      <c r="NMQ24" s="2141"/>
      <c r="NMR24" s="2141"/>
      <c r="NMS24" s="2140"/>
      <c r="NMT24" s="2141"/>
      <c r="NMU24" s="2141"/>
      <c r="NMV24" s="2140"/>
      <c r="NMW24" s="2141"/>
      <c r="NMX24" s="2141"/>
      <c r="NMY24" s="2140"/>
      <c r="NMZ24" s="2141"/>
      <c r="NNA24" s="2141"/>
      <c r="NNB24" s="2140"/>
      <c r="NNC24" s="2141"/>
      <c r="NND24" s="2141"/>
      <c r="NNE24" s="2140"/>
      <c r="NNF24" s="2141"/>
      <c r="NNG24" s="2141"/>
      <c r="NNH24" s="2140"/>
      <c r="NNI24" s="2141"/>
      <c r="NNJ24" s="2141"/>
      <c r="NNK24" s="2140"/>
      <c r="NNL24" s="2141"/>
      <c r="NNM24" s="2141"/>
      <c r="NNN24" s="2140"/>
      <c r="NNO24" s="2141"/>
      <c r="NNP24" s="2141"/>
      <c r="NNQ24" s="2140"/>
      <c r="NNR24" s="2141"/>
      <c r="NNS24" s="2141"/>
      <c r="NNT24" s="2140"/>
      <c r="NNU24" s="2141"/>
      <c r="NNV24" s="2141"/>
      <c r="NNW24" s="2140"/>
      <c r="NNX24" s="2141"/>
      <c r="NNY24" s="2141"/>
      <c r="NNZ24" s="2140"/>
      <c r="NOA24" s="2141"/>
      <c r="NOB24" s="2141"/>
      <c r="NOC24" s="2140"/>
      <c r="NOD24" s="2141"/>
      <c r="NOE24" s="2141"/>
      <c r="NOF24" s="2140"/>
      <c r="NOG24" s="2141"/>
      <c r="NOH24" s="2141"/>
      <c r="NOI24" s="2140"/>
      <c r="NOJ24" s="2141"/>
      <c r="NOK24" s="2141"/>
      <c r="NOL24" s="2140"/>
      <c r="NOM24" s="2141"/>
      <c r="NON24" s="2141"/>
      <c r="NOO24" s="2140"/>
      <c r="NOP24" s="2141"/>
      <c r="NOQ24" s="2141"/>
      <c r="NOR24" s="2140"/>
      <c r="NOS24" s="2141"/>
      <c r="NOT24" s="2141"/>
      <c r="NOU24" s="2140"/>
      <c r="NOV24" s="2141"/>
      <c r="NOW24" s="2141"/>
      <c r="NOX24" s="2140"/>
      <c r="NOY24" s="2141"/>
      <c r="NOZ24" s="2141"/>
      <c r="NPA24" s="2140"/>
      <c r="NPB24" s="2141"/>
      <c r="NPC24" s="2141"/>
      <c r="NPD24" s="2140"/>
      <c r="NPE24" s="2141"/>
      <c r="NPF24" s="2141"/>
      <c r="NPG24" s="2140"/>
      <c r="NPH24" s="2141"/>
      <c r="NPI24" s="2141"/>
      <c r="NPJ24" s="2140"/>
      <c r="NPK24" s="2141"/>
      <c r="NPL24" s="2141"/>
      <c r="NPM24" s="2140"/>
      <c r="NPN24" s="2141"/>
      <c r="NPO24" s="2141"/>
      <c r="NPP24" s="2140"/>
      <c r="NPQ24" s="2141"/>
      <c r="NPR24" s="2141"/>
      <c r="NPS24" s="2140"/>
      <c r="NPT24" s="2141"/>
      <c r="NPU24" s="2141"/>
      <c r="NPV24" s="2140"/>
      <c r="NPW24" s="2141"/>
      <c r="NPX24" s="2141"/>
      <c r="NPY24" s="2140"/>
      <c r="NPZ24" s="2141"/>
      <c r="NQA24" s="2141"/>
      <c r="NQB24" s="2140"/>
      <c r="NQC24" s="2141"/>
      <c r="NQD24" s="2141"/>
      <c r="NQE24" s="2140"/>
      <c r="NQF24" s="2141"/>
      <c r="NQG24" s="2141"/>
      <c r="NQH24" s="2140"/>
      <c r="NQI24" s="2141"/>
      <c r="NQJ24" s="2141"/>
      <c r="NQK24" s="2140"/>
      <c r="NQL24" s="2141"/>
      <c r="NQM24" s="2141"/>
      <c r="NQN24" s="2140"/>
      <c r="NQO24" s="2141"/>
      <c r="NQP24" s="2141"/>
      <c r="NQQ24" s="2140"/>
      <c r="NQR24" s="2141"/>
      <c r="NQS24" s="2141"/>
      <c r="NQT24" s="2140"/>
      <c r="NQU24" s="2141"/>
      <c r="NQV24" s="2141"/>
      <c r="NQW24" s="2140"/>
      <c r="NQX24" s="2141"/>
      <c r="NQY24" s="2141"/>
      <c r="NQZ24" s="2140"/>
      <c r="NRA24" s="2141"/>
      <c r="NRB24" s="2141"/>
      <c r="NRC24" s="2140"/>
      <c r="NRD24" s="2141"/>
      <c r="NRE24" s="2141"/>
      <c r="NRF24" s="2140"/>
      <c r="NRG24" s="2141"/>
      <c r="NRH24" s="2141"/>
      <c r="NRI24" s="2140"/>
      <c r="NRJ24" s="2141"/>
      <c r="NRK24" s="2141"/>
      <c r="NRL24" s="2140"/>
      <c r="NRM24" s="2141"/>
      <c r="NRN24" s="2141"/>
      <c r="NRO24" s="2140"/>
      <c r="NRP24" s="2141"/>
      <c r="NRQ24" s="2141"/>
      <c r="NRR24" s="2140"/>
      <c r="NRS24" s="2141"/>
      <c r="NRT24" s="2141"/>
      <c r="NRU24" s="2140"/>
      <c r="NRV24" s="2141"/>
      <c r="NRW24" s="2141"/>
      <c r="NRX24" s="2140"/>
      <c r="NRY24" s="2141"/>
      <c r="NRZ24" s="2141"/>
      <c r="NSA24" s="2140"/>
      <c r="NSB24" s="2141"/>
      <c r="NSC24" s="2141"/>
      <c r="NSD24" s="2140"/>
      <c r="NSE24" s="2141"/>
      <c r="NSF24" s="2141"/>
      <c r="NSG24" s="2140"/>
      <c r="NSH24" s="2141"/>
      <c r="NSI24" s="2141"/>
      <c r="NSJ24" s="2140"/>
      <c r="NSK24" s="2141"/>
      <c r="NSL24" s="2141"/>
      <c r="NSM24" s="2140"/>
      <c r="NSN24" s="2141"/>
      <c r="NSO24" s="2141"/>
      <c r="NSP24" s="2140"/>
      <c r="NSQ24" s="2141"/>
      <c r="NSR24" s="2141"/>
      <c r="NSS24" s="2140"/>
      <c r="NST24" s="2141"/>
      <c r="NSU24" s="2141"/>
      <c r="NSV24" s="2140"/>
      <c r="NSW24" s="2141"/>
      <c r="NSX24" s="2141"/>
      <c r="NSY24" s="2140"/>
      <c r="NSZ24" s="2141"/>
      <c r="NTA24" s="2141"/>
      <c r="NTB24" s="2140"/>
      <c r="NTC24" s="2141"/>
      <c r="NTD24" s="2141"/>
      <c r="NTE24" s="2140"/>
      <c r="NTF24" s="2141"/>
      <c r="NTG24" s="2141"/>
      <c r="NTH24" s="2140"/>
      <c r="NTI24" s="2141"/>
      <c r="NTJ24" s="2141"/>
      <c r="NTK24" s="2140"/>
      <c r="NTL24" s="2141"/>
      <c r="NTM24" s="2141"/>
      <c r="NTN24" s="2140"/>
      <c r="NTO24" s="2141"/>
      <c r="NTP24" s="2141"/>
      <c r="NTQ24" s="2140"/>
      <c r="NTR24" s="2141"/>
      <c r="NTS24" s="2141"/>
      <c r="NTT24" s="2140"/>
      <c r="NTU24" s="2141"/>
      <c r="NTV24" s="2141"/>
      <c r="NTW24" s="2140"/>
      <c r="NTX24" s="2141"/>
      <c r="NTY24" s="2141"/>
      <c r="NTZ24" s="2140"/>
      <c r="NUA24" s="2141"/>
      <c r="NUB24" s="2141"/>
      <c r="NUC24" s="2140"/>
      <c r="NUD24" s="2141"/>
      <c r="NUE24" s="2141"/>
      <c r="NUF24" s="2140"/>
      <c r="NUG24" s="2141"/>
      <c r="NUH24" s="2141"/>
      <c r="NUI24" s="2140"/>
      <c r="NUJ24" s="2141"/>
      <c r="NUK24" s="2141"/>
      <c r="NUL24" s="2140"/>
      <c r="NUM24" s="2141"/>
      <c r="NUN24" s="2141"/>
      <c r="NUO24" s="2140"/>
      <c r="NUP24" s="2141"/>
      <c r="NUQ24" s="2141"/>
      <c r="NUR24" s="2140"/>
      <c r="NUS24" s="2141"/>
      <c r="NUT24" s="2141"/>
      <c r="NUU24" s="2140"/>
      <c r="NUV24" s="2141"/>
      <c r="NUW24" s="2141"/>
      <c r="NUX24" s="2140"/>
      <c r="NUY24" s="2141"/>
      <c r="NUZ24" s="2141"/>
      <c r="NVA24" s="2140"/>
      <c r="NVB24" s="2141"/>
      <c r="NVC24" s="2141"/>
      <c r="NVD24" s="2140"/>
      <c r="NVE24" s="2141"/>
      <c r="NVF24" s="2141"/>
      <c r="NVG24" s="2140"/>
      <c r="NVH24" s="2141"/>
      <c r="NVI24" s="2141"/>
      <c r="NVJ24" s="2140"/>
      <c r="NVK24" s="2141"/>
      <c r="NVL24" s="2141"/>
      <c r="NVM24" s="2140"/>
      <c r="NVN24" s="2141"/>
      <c r="NVO24" s="2141"/>
      <c r="NVP24" s="2140"/>
      <c r="NVQ24" s="2141"/>
      <c r="NVR24" s="2141"/>
      <c r="NVS24" s="2140"/>
      <c r="NVT24" s="2141"/>
      <c r="NVU24" s="2141"/>
      <c r="NVV24" s="2140"/>
      <c r="NVW24" s="2141"/>
      <c r="NVX24" s="2141"/>
      <c r="NVY24" s="2140"/>
      <c r="NVZ24" s="2141"/>
      <c r="NWA24" s="2141"/>
      <c r="NWB24" s="2140"/>
      <c r="NWC24" s="2141"/>
      <c r="NWD24" s="2141"/>
      <c r="NWE24" s="2140"/>
      <c r="NWF24" s="2141"/>
      <c r="NWG24" s="2141"/>
      <c r="NWH24" s="2140"/>
      <c r="NWI24" s="2141"/>
      <c r="NWJ24" s="2141"/>
      <c r="NWK24" s="2140"/>
      <c r="NWL24" s="2141"/>
      <c r="NWM24" s="2141"/>
      <c r="NWN24" s="2140"/>
      <c r="NWO24" s="2141"/>
      <c r="NWP24" s="2141"/>
      <c r="NWQ24" s="2140"/>
      <c r="NWR24" s="2141"/>
      <c r="NWS24" s="2141"/>
      <c r="NWT24" s="2140"/>
      <c r="NWU24" s="2141"/>
      <c r="NWV24" s="2141"/>
      <c r="NWW24" s="2140"/>
      <c r="NWX24" s="2141"/>
      <c r="NWY24" s="2141"/>
      <c r="NWZ24" s="2140"/>
      <c r="NXA24" s="2141"/>
      <c r="NXB24" s="2141"/>
      <c r="NXC24" s="2140"/>
      <c r="NXD24" s="2141"/>
      <c r="NXE24" s="2141"/>
      <c r="NXF24" s="2140"/>
      <c r="NXG24" s="2141"/>
      <c r="NXH24" s="2141"/>
      <c r="NXI24" s="2140"/>
      <c r="NXJ24" s="2141"/>
      <c r="NXK24" s="2141"/>
      <c r="NXL24" s="2140"/>
      <c r="NXM24" s="2141"/>
      <c r="NXN24" s="2141"/>
      <c r="NXO24" s="2140"/>
      <c r="NXP24" s="2141"/>
      <c r="NXQ24" s="2141"/>
      <c r="NXR24" s="2140"/>
      <c r="NXS24" s="2141"/>
      <c r="NXT24" s="2141"/>
      <c r="NXU24" s="2140"/>
      <c r="NXV24" s="2141"/>
      <c r="NXW24" s="2141"/>
      <c r="NXX24" s="2140"/>
      <c r="NXY24" s="2141"/>
      <c r="NXZ24" s="2141"/>
      <c r="NYA24" s="2140"/>
      <c r="NYB24" s="2141"/>
      <c r="NYC24" s="2141"/>
      <c r="NYD24" s="2140"/>
      <c r="NYE24" s="2141"/>
      <c r="NYF24" s="2141"/>
      <c r="NYG24" s="2140"/>
      <c r="NYH24" s="2141"/>
      <c r="NYI24" s="2141"/>
      <c r="NYJ24" s="2140"/>
      <c r="NYK24" s="2141"/>
      <c r="NYL24" s="2141"/>
      <c r="NYM24" s="2140"/>
      <c r="NYN24" s="2141"/>
      <c r="NYO24" s="2141"/>
      <c r="NYP24" s="2140"/>
      <c r="NYQ24" s="2141"/>
      <c r="NYR24" s="2141"/>
      <c r="NYS24" s="2140"/>
      <c r="NYT24" s="2141"/>
      <c r="NYU24" s="2141"/>
      <c r="NYV24" s="2140"/>
      <c r="NYW24" s="2141"/>
      <c r="NYX24" s="2141"/>
      <c r="NYY24" s="2140"/>
      <c r="NYZ24" s="2141"/>
      <c r="NZA24" s="2141"/>
      <c r="NZB24" s="2140"/>
      <c r="NZC24" s="2141"/>
      <c r="NZD24" s="2141"/>
      <c r="NZE24" s="2140"/>
      <c r="NZF24" s="2141"/>
      <c r="NZG24" s="2141"/>
      <c r="NZH24" s="2140"/>
      <c r="NZI24" s="2141"/>
      <c r="NZJ24" s="2141"/>
      <c r="NZK24" s="2140"/>
      <c r="NZL24" s="2141"/>
      <c r="NZM24" s="2141"/>
      <c r="NZN24" s="2140"/>
      <c r="NZO24" s="2141"/>
      <c r="NZP24" s="2141"/>
      <c r="NZQ24" s="2140"/>
      <c r="NZR24" s="2141"/>
      <c r="NZS24" s="2141"/>
      <c r="NZT24" s="2140"/>
      <c r="NZU24" s="2141"/>
      <c r="NZV24" s="2141"/>
      <c r="NZW24" s="2140"/>
      <c r="NZX24" s="2141"/>
      <c r="NZY24" s="2141"/>
      <c r="NZZ24" s="2140"/>
      <c r="OAA24" s="2141"/>
      <c r="OAB24" s="2141"/>
      <c r="OAC24" s="2140"/>
      <c r="OAD24" s="2141"/>
      <c r="OAE24" s="2141"/>
      <c r="OAF24" s="2140"/>
      <c r="OAG24" s="2141"/>
      <c r="OAH24" s="2141"/>
      <c r="OAI24" s="2140"/>
      <c r="OAJ24" s="2141"/>
      <c r="OAK24" s="2141"/>
      <c r="OAL24" s="2140"/>
      <c r="OAM24" s="2141"/>
      <c r="OAN24" s="2141"/>
      <c r="OAO24" s="2140"/>
      <c r="OAP24" s="2141"/>
      <c r="OAQ24" s="2141"/>
      <c r="OAR24" s="2140"/>
      <c r="OAS24" s="2141"/>
      <c r="OAT24" s="2141"/>
      <c r="OAU24" s="2140"/>
      <c r="OAV24" s="2141"/>
      <c r="OAW24" s="2141"/>
      <c r="OAX24" s="2140"/>
      <c r="OAY24" s="2141"/>
      <c r="OAZ24" s="2141"/>
      <c r="OBA24" s="2140"/>
      <c r="OBB24" s="2141"/>
      <c r="OBC24" s="2141"/>
      <c r="OBD24" s="2140"/>
      <c r="OBE24" s="2141"/>
      <c r="OBF24" s="2141"/>
      <c r="OBG24" s="2140"/>
      <c r="OBH24" s="2141"/>
      <c r="OBI24" s="2141"/>
      <c r="OBJ24" s="2140"/>
      <c r="OBK24" s="2141"/>
      <c r="OBL24" s="2141"/>
      <c r="OBM24" s="2140"/>
      <c r="OBN24" s="2141"/>
      <c r="OBO24" s="2141"/>
      <c r="OBP24" s="2140"/>
      <c r="OBQ24" s="2141"/>
      <c r="OBR24" s="2141"/>
      <c r="OBS24" s="2140"/>
      <c r="OBT24" s="2141"/>
      <c r="OBU24" s="2141"/>
      <c r="OBV24" s="2140"/>
      <c r="OBW24" s="2141"/>
      <c r="OBX24" s="2141"/>
      <c r="OBY24" s="2140"/>
      <c r="OBZ24" s="2141"/>
      <c r="OCA24" s="2141"/>
      <c r="OCB24" s="2140"/>
      <c r="OCC24" s="2141"/>
      <c r="OCD24" s="2141"/>
      <c r="OCE24" s="2140"/>
      <c r="OCF24" s="2141"/>
      <c r="OCG24" s="2141"/>
      <c r="OCH24" s="2140"/>
      <c r="OCI24" s="2141"/>
      <c r="OCJ24" s="2141"/>
      <c r="OCK24" s="2140"/>
      <c r="OCL24" s="2141"/>
      <c r="OCM24" s="2141"/>
      <c r="OCN24" s="2140"/>
      <c r="OCO24" s="2141"/>
      <c r="OCP24" s="2141"/>
      <c r="OCQ24" s="2140"/>
      <c r="OCR24" s="2141"/>
      <c r="OCS24" s="2141"/>
      <c r="OCT24" s="2140"/>
      <c r="OCU24" s="2141"/>
      <c r="OCV24" s="2141"/>
      <c r="OCW24" s="2140"/>
      <c r="OCX24" s="2141"/>
      <c r="OCY24" s="2141"/>
      <c r="OCZ24" s="2140"/>
      <c r="ODA24" s="2141"/>
      <c r="ODB24" s="2141"/>
      <c r="ODC24" s="2140"/>
      <c r="ODD24" s="2141"/>
      <c r="ODE24" s="2141"/>
      <c r="ODF24" s="2140"/>
      <c r="ODG24" s="2141"/>
      <c r="ODH24" s="2141"/>
      <c r="ODI24" s="2140"/>
      <c r="ODJ24" s="2141"/>
      <c r="ODK24" s="2141"/>
      <c r="ODL24" s="2140"/>
      <c r="ODM24" s="2141"/>
      <c r="ODN24" s="2141"/>
      <c r="ODO24" s="2140"/>
      <c r="ODP24" s="2141"/>
      <c r="ODQ24" s="2141"/>
      <c r="ODR24" s="2140"/>
      <c r="ODS24" s="2141"/>
      <c r="ODT24" s="2141"/>
      <c r="ODU24" s="2140"/>
      <c r="ODV24" s="2141"/>
      <c r="ODW24" s="2141"/>
      <c r="ODX24" s="2140"/>
      <c r="ODY24" s="2141"/>
      <c r="ODZ24" s="2141"/>
      <c r="OEA24" s="2140"/>
      <c r="OEB24" s="2141"/>
      <c r="OEC24" s="2141"/>
      <c r="OED24" s="2140"/>
      <c r="OEE24" s="2141"/>
      <c r="OEF24" s="2141"/>
      <c r="OEG24" s="2140"/>
      <c r="OEH24" s="2141"/>
      <c r="OEI24" s="2141"/>
      <c r="OEJ24" s="2140"/>
      <c r="OEK24" s="2141"/>
      <c r="OEL24" s="2141"/>
      <c r="OEM24" s="2140"/>
      <c r="OEN24" s="2141"/>
      <c r="OEO24" s="2141"/>
      <c r="OEP24" s="2140"/>
      <c r="OEQ24" s="2141"/>
      <c r="OER24" s="2141"/>
      <c r="OES24" s="2140"/>
      <c r="OET24" s="2141"/>
      <c r="OEU24" s="2141"/>
      <c r="OEV24" s="2140"/>
      <c r="OEW24" s="2141"/>
      <c r="OEX24" s="2141"/>
      <c r="OEY24" s="2140"/>
      <c r="OEZ24" s="2141"/>
      <c r="OFA24" s="2141"/>
      <c r="OFB24" s="2140"/>
      <c r="OFC24" s="2141"/>
      <c r="OFD24" s="2141"/>
      <c r="OFE24" s="2140"/>
      <c r="OFF24" s="2141"/>
      <c r="OFG24" s="2141"/>
      <c r="OFH24" s="2140"/>
      <c r="OFI24" s="2141"/>
      <c r="OFJ24" s="2141"/>
      <c r="OFK24" s="2140"/>
      <c r="OFL24" s="2141"/>
      <c r="OFM24" s="2141"/>
      <c r="OFN24" s="2140"/>
      <c r="OFO24" s="2141"/>
      <c r="OFP24" s="2141"/>
      <c r="OFQ24" s="2140"/>
      <c r="OFR24" s="2141"/>
      <c r="OFS24" s="2141"/>
      <c r="OFT24" s="2140"/>
      <c r="OFU24" s="2141"/>
      <c r="OFV24" s="2141"/>
      <c r="OFW24" s="2140"/>
      <c r="OFX24" s="2141"/>
      <c r="OFY24" s="2141"/>
      <c r="OFZ24" s="2140"/>
      <c r="OGA24" s="2141"/>
      <c r="OGB24" s="2141"/>
      <c r="OGC24" s="2140"/>
      <c r="OGD24" s="2141"/>
      <c r="OGE24" s="2141"/>
      <c r="OGF24" s="2140"/>
      <c r="OGG24" s="2141"/>
      <c r="OGH24" s="2141"/>
      <c r="OGI24" s="2140"/>
      <c r="OGJ24" s="2141"/>
      <c r="OGK24" s="2141"/>
      <c r="OGL24" s="2140"/>
      <c r="OGM24" s="2141"/>
      <c r="OGN24" s="2141"/>
      <c r="OGO24" s="2140"/>
      <c r="OGP24" s="2141"/>
      <c r="OGQ24" s="2141"/>
      <c r="OGR24" s="2140"/>
      <c r="OGS24" s="2141"/>
      <c r="OGT24" s="2141"/>
      <c r="OGU24" s="2140"/>
      <c r="OGV24" s="2141"/>
      <c r="OGW24" s="2141"/>
      <c r="OGX24" s="2140"/>
      <c r="OGY24" s="2141"/>
      <c r="OGZ24" s="2141"/>
      <c r="OHA24" s="2140"/>
      <c r="OHB24" s="2141"/>
      <c r="OHC24" s="2141"/>
      <c r="OHD24" s="2140"/>
      <c r="OHE24" s="2141"/>
      <c r="OHF24" s="2141"/>
      <c r="OHG24" s="2140"/>
      <c r="OHH24" s="2141"/>
      <c r="OHI24" s="2141"/>
      <c r="OHJ24" s="2140"/>
      <c r="OHK24" s="2141"/>
      <c r="OHL24" s="2141"/>
      <c r="OHM24" s="2140"/>
      <c r="OHN24" s="2141"/>
      <c r="OHO24" s="2141"/>
      <c r="OHP24" s="2140"/>
      <c r="OHQ24" s="2141"/>
      <c r="OHR24" s="2141"/>
      <c r="OHS24" s="2140"/>
      <c r="OHT24" s="2141"/>
      <c r="OHU24" s="2141"/>
      <c r="OHV24" s="2140"/>
      <c r="OHW24" s="2141"/>
      <c r="OHX24" s="2141"/>
      <c r="OHY24" s="2140"/>
      <c r="OHZ24" s="2141"/>
      <c r="OIA24" s="2141"/>
      <c r="OIB24" s="2140"/>
      <c r="OIC24" s="2141"/>
      <c r="OID24" s="2141"/>
      <c r="OIE24" s="2140"/>
      <c r="OIF24" s="2141"/>
      <c r="OIG24" s="2141"/>
      <c r="OIH24" s="2140"/>
      <c r="OII24" s="2141"/>
      <c r="OIJ24" s="2141"/>
      <c r="OIK24" s="2140"/>
      <c r="OIL24" s="2141"/>
      <c r="OIM24" s="2141"/>
      <c r="OIN24" s="2140"/>
      <c r="OIO24" s="2141"/>
      <c r="OIP24" s="2141"/>
      <c r="OIQ24" s="2140"/>
      <c r="OIR24" s="2141"/>
      <c r="OIS24" s="2141"/>
      <c r="OIT24" s="2140"/>
      <c r="OIU24" s="2141"/>
      <c r="OIV24" s="2141"/>
      <c r="OIW24" s="2140"/>
      <c r="OIX24" s="2141"/>
      <c r="OIY24" s="2141"/>
      <c r="OIZ24" s="2140"/>
      <c r="OJA24" s="2141"/>
      <c r="OJB24" s="2141"/>
      <c r="OJC24" s="2140"/>
      <c r="OJD24" s="2141"/>
      <c r="OJE24" s="2141"/>
      <c r="OJF24" s="2140"/>
      <c r="OJG24" s="2141"/>
      <c r="OJH24" s="2141"/>
      <c r="OJI24" s="2140"/>
      <c r="OJJ24" s="2141"/>
      <c r="OJK24" s="2141"/>
      <c r="OJL24" s="2140"/>
      <c r="OJM24" s="2141"/>
      <c r="OJN24" s="2141"/>
      <c r="OJO24" s="2140"/>
      <c r="OJP24" s="2141"/>
      <c r="OJQ24" s="2141"/>
      <c r="OJR24" s="2140"/>
      <c r="OJS24" s="2141"/>
      <c r="OJT24" s="2141"/>
      <c r="OJU24" s="2140"/>
      <c r="OJV24" s="2141"/>
      <c r="OJW24" s="2141"/>
      <c r="OJX24" s="2140"/>
      <c r="OJY24" s="2141"/>
      <c r="OJZ24" s="2141"/>
      <c r="OKA24" s="2140"/>
      <c r="OKB24" s="2141"/>
      <c r="OKC24" s="2141"/>
      <c r="OKD24" s="2140"/>
      <c r="OKE24" s="2141"/>
      <c r="OKF24" s="2141"/>
      <c r="OKG24" s="2140"/>
      <c r="OKH24" s="2141"/>
      <c r="OKI24" s="2141"/>
      <c r="OKJ24" s="2140"/>
      <c r="OKK24" s="2141"/>
      <c r="OKL24" s="2141"/>
      <c r="OKM24" s="2140"/>
      <c r="OKN24" s="2141"/>
      <c r="OKO24" s="2141"/>
      <c r="OKP24" s="2140"/>
      <c r="OKQ24" s="2141"/>
      <c r="OKR24" s="2141"/>
      <c r="OKS24" s="2140"/>
      <c r="OKT24" s="2141"/>
      <c r="OKU24" s="2141"/>
      <c r="OKV24" s="2140"/>
      <c r="OKW24" s="2141"/>
      <c r="OKX24" s="2141"/>
      <c r="OKY24" s="2140"/>
      <c r="OKZ24" s="2141"/>
      <c r="OLA24" s="2141"/>
      <c r="OLB24" s="2140"/>
      <c r="OLC24" s="2141"/>
      <c r="OLD24" s="2141"/>
      <c r="OLE24" s="2140"/>
      <c r="OLF24" s="2141"/>
      <c r="OLG24" s="2141"/>
      <c r="OLH24" s="2140"/>
      <c r="OLI24" s="2141"/>
      <c r="OLJ24" s="2141"/>
      <c r="OLK24" s="2140"/>
      <c r="OLL24" s="2141"/>
      <c r="OLM24" s="2141"/>
      <c r="OLN24" s="2140"/>
      <c r="OLO24" s="2141"/>
      <c r="OLP24" s="2141"/>
      <c r="OLQ24" s="2140"/>
      <c r="OLR24" s="2141"/>
      <c r="OLS24" s="2141"/>
      <c r="OLT24" s="2140"/>
      <c r="OLU24" s="2141"/>
      <c r="OLV24" s="2141"/>
      <c r="OLW24" s="2140"/>
      <c r="OLX24" s="2141"/>
      <c r="OLY24" s="2141"/>
      <c r="OLZ24" s="2140"/>
      <c r="OMA24" s="2141"/>
      <c r="OMB24" s="2141"/>
      <c r="OMC24" s="2140"/>
      <c r="OMD24" s="2141"/>
      <c r="OME24" s="2141"/>
      <c r="OMF24" s="2140"/>
      <c r="OMG24" s="2141"/>
      <c r="OMH24" s="2141"/>
      <c r="OMI24" s="2140"/>
      <c r="OMJ24" s="2141"/>
      <c r="OMK24" s="2141"/>
      <c r="OML24" s="2140"/>
      <c r="OMM24" s="2141"/>
      <c r="OMN24" s="2141"/>
      <c r="OMO24" s="2140"/>
      <c r="OMP24" s="2141"/>
      <c r="OMQ24" s="2141"/>
      <c r="OMR24" s="2140"/>
      <c r="OMS24" s="2141"/>
      <c r="OMT24" s="2141"/>
      <c r="OMU24" s="2140"/>
      <c r="OMV24" s="2141"/>
      <c r="OMW24" s="2141"/>
      <c r="OMX24" s="2140"/>
      <c r="OMY24" s="2141"/>
      <c r="OMZ24" s="2141"/>
      <c r="ONA24" s="2140"/>
      <c r="ONB24" s="2141"/>
      <c r="ONC24" s="2141"/>
      <c r="OND24" s="2140"/>
      <c r="ONE24" s="2141"/>
      <c r="ONF24" s="2141"/>
      <c r="ONG24" s="2140"/>
      <c r="ONH24" s="2141"/>
      <c r="ONI24" s="2141"/>
      <c r="ONJ24" s="2140"/>
      <c r="ONK24" s="2141"/>
      <c r="ONL24" s="2141"/>
      <c r="ONM24" s="2140"/>
      <c r="ONN24" s="2141"/>
      <c r="ONO24" s="2141"/>
      <c r="ONP24" s="2140"/>
      <c r="ONQ24" s="2141"/>
      <c r="ONR24" s="2141"/>
      <c r="ONS24" s="2140"/>
      <c r="ONT24" s="2141"/>
      <c r="ONU24" s="2141"/>
      <c r="ONV24" s="2140"/>
      <c r="ONW24" s="2141"/>
      <c r="ONX24" s="2141"/>
      <c r="ONY24" s="2140"/>
      <c r="ONZ24" s="2141"/>
      <c r="OOA24" s="2141"/>
      <c r="OOB24" s="2140"/>
      <c r="OOC24" s="2141"/>
      <c r="OOD24" s="2141"/>
      <c r="OOE24" s="2140"/>
      <c r="OOF24" s="2141"/>
      <c r="OOG24" s="2141"/>
      <c r="OOH24" s="2140"/>
      <c r="OOI24" s="2141"/>
      <c r="OOJ24" s="2141"/>
      <c r="OOK24" s="2140"/>
      <c r="OOL24" s="2141"/>
      <c r="OOM24" s="2141"/>
      <c r="OON24" s="2140"/>
      <c r="OOO24" s="2141"/>
      <c r="OOP24" s="2141"/>
      <c r="OOQ24" s="2140"/>
      <c r="OOR24" s="2141"/>
      <c r="OOS24" s="2141"/>
      <c r="OOT24" s="2140"/>
      <c r="OOU24" s="2141"/>
      <c r="OOV24" s="2141"/>
      <c r="OOW24" s="2140"/>
      <c r="OOX24" s="2141"/>
      <c r="OOY24" s="2141"/>
      <c r="OOZ24" s="2140"/>
      <c r="OPA24" s="2141"/>
      <c r="OPB24" s="2141"/>
      <c r="OPC24" s="2140"/>
      <c r="OPD24" s="2141"/>
      <c r="OPE24" s="2141"/>
      <c r="OPF24" s="2140"/>
      <c r="OPG24" s="2141"/>
      <c r="OPH24" s="2141"/>
      <c r="OPI24" s="2140"/>
      <c r="OPJ24" s="2141"/>
      <c r="OPK24" s="2141"/>
      <c r="OPL24" s="2140"/>
      <c r="OPM24" s="2141"/>
      <c r="OPN24" s="2141"/>
      <c r="OPO24" s="2140"/>
      <c r="OPP24" s="2141"/>
      <c r="OPQ24" s="2141"/>
      <c r="OPR24" s="2140"/>
      <c r="OPS24" s="2141"/>
      <c r="OPT24" s="2141"/>
      <c r="OPU24" s="2140"/>
      <c r="OPV24" s="2141"/>
      <c r="OPW24" s="2141"/>
      <c r="OPX24" s="2140"/>
      <c r="OPY24" s="2141"/>
      <c r="OPZ24" s="2141"/>
      <c r="OQA24" s="2140"/>
      <c r="OQB24" s="2141"/>
      <c r="OQC24" s="2141"/>
      <c r="OQD24" s="2140"/>
      <c r="OQE24" s="2141"/>
      <c r="OQF24" s="2141"/>
      <c r="OQG24" s="2140"/>
      <c r="OQH24" s="2141"/>
      <c r="OQI24" s="2141"/>
      <c r="OQJ24" s="2140"/>
      <c r="OQK24" s="2141"/>
      <c r="OQL24" s="2141"/>
      <c r="OQM24" s="2140"/>
      <c r="OQN24" s="2141"/>
      <c r="OQO24" s="2141"/>
      <c r="OQP24" s="2140"/>
      <c r="OQQ24" s="2141"/>
      <c r="OQR24" s="2141"/>
      <c r="OQS24" s="2140"/>
      <c r="OQT24" s="2141"/>
      <c r="OQU24" s="2141"/>
      <c r="OQV24" s="2140"/>
      <c r="OQW24" s="2141"/>
      <c r="OQX24" s="2141"/>
      <c r="OQY24" s="2140"/>
      <c r="OQZ24" s="2141"/>
      <c r="ORA24" s="2141"/>
      <c r="ORB24" s="2140"/>
      <c r="ORC24" s="2141"/>
      <c r="ORD24" s="2141"/>
      <c r="ORE24" s="2140"/>
      <c r="ORF24" s="2141"/>
      <c r="ORG24" s="2141"/>
      <c r="ORH24" s="2140"/>
      <c r="ORI24" s="2141"/>
      <c r="ORJ24" s="2141"/>
      <c r="ORK24" s="2140"/>
      <c r="ORL24" s="2141"/>
      <c r="ORM24" s="2141"/>
      <c r="ORN24" s="2140"/>
      <c r="ORO24" s="2141"/>
      <c r="ORP24" s="2141"/>
      <c r="ORQ24" s="2140"/>
      <c r="ORR24" s="2141"/>
      <c r="ORS24" s="2141"/>
      <c r="ORT24" s="2140"/>
      <c r="ORU24" s="2141"/>
      <c r="ORV24" s="2141"/>
      <c r="ORW24" s="2140"/>
      <c r="ORX24" s="2141"/>
      <c r="ORY24" s="2141"/>
      <c r="ORZ24" s="2140"/>
      <c r="OSA24" s="2141"/>
      <c r="OSB24" s="2141"/>
      <c r="OSC24" s="2140"/>
      <c r="OSD24" s="2141"/>
      <c r="OSE24" s="2141"/>
      <c r="OSF24" s="2140"/>
      <c r="OSG24" s="2141"/>
      <c r="OSH24" s="2141"/>
      <c r="OSI24" s="2140"/>
      <c r="OSJ24" s="2141"/>
      <c r="OSK24" s="2141"/>
      <c r="OSL24" s="2140"/>
      <c r="OSM24" s="2141"/>
      <c r="OSN24" s="2141"/>
      <c r="OSO24" s="2140"/>
      <c r="OSP24" s="2141"/>
      <c r="OSQ24" s="2141"/>
      <c r="OSR24" s="2140"/>
      <c r="OSS24" s="2141"/>
      <c r="OST24" s="2141"/>
      <c r="OSU24" s="2140"/>
      <c r="OSV24" s="2141"/>
      <c r="OSW24" s="2141"/>
      <c r="OSX24" s="2140"/>
      <c r="OSY24" s="2141"/>
      <c r="OSZ24" s="2141"/>
      <c r="OTA24" s="2140"/>
      <c r="OTB24" s="2141"/>
      <c r="OTC24" s="2141"/>
      <c r="OTD24" s="2140"/>
      <c r="OTE24" s="2141"/>
      <c r="OTF24" s="2141"/>
      <c r="OTG24" s="2140"/>
      <c r="OTH24" s="2141"/>
      <c r="OTI24" s="2141"/>
      <c r="OTJ24" s="2140"/>
      <c r="OTK24" s="2141"/>
      <c r="OTL24" s="2141"/>
      <c r="OTM24" s="2140"/>
      <c r="OTN24" s="2141"/>
      <c r="OTO24" s="2141"/>
      <c r="OTP24" s="2140"/>
      <c r="OTQ24" s="2141"/>
      <c r="OTR24" s="2141"/>
      <c r="OTS24" s="2140"/>
      <c r="OTT24" s="2141"/>
      <c r="OTU24" s="2141"/>
      <c r="OTV24" s="2140"/>
      <c r="OTW24" s="2141"/>
      <c r="OTX24" s="2141"/>
      <c r="OTY24" s="2140"/>
      <c r="OTZ24" s="2141"/>
      <c r="OUA24" s="2141"/>
      <c r="OUB24" s="2140"/>
      <c r="OUC24" s="2141"/>
      <c r="OUD24" s="2141"/>
      <c r="OUE24" s="2140"/>
      <c r="OUF24" s="2141"/>
      <c r="OUG24" s="2141"/>
      <c r="OUH24" s="2140"/>
      <c r="OUI24" s="2141"/>
      <c r="OUJ24" s="2141"/>
      <c r="OUK24" s="2140"/>
      <c r="OUL24" s="2141"/>
      <c r="OUM24" s="2141"/>
      <c r="OUN24" s="2140"/>
      <c r="OUO24" s="2141"/>
      <c r="OUP24" s="2141"/>
      <c r="OUQ24" s="2140"/>
      <c r="OUR24" s="2141"/>
      <c r="OUS24" s="2141"/>
      <c r="OUT24" s="2140"/>
      <c r="OUU24" s="2141"/>
      <c r="OUV24" s="2141"/>
      <c r="OUW24" s="2140"/>
      <c r="OUX24" s="2141"/>
      <c r="OUY24" s="2141"/>
      <c r="OUZ24" s="2140"/>
      <c r="OVA24" s="2141"/>
      <c r="OVB24" s="2141"/>
      <c r="OVC24" s="2140"/>
      <c r="OVD24" s="2141"/>
      <c r="OVE24" s="2141"/>
      <c r="OVF24" s="2140"/>
      <c r="OVG24" s="2141"/>
      <c r="OVH24" s="2141"/>
      <c r="OVI24" s="2140"/>
      <c r="OVJ24" s="2141"/>
      <c r="OVK24" s="2141"/>
      <c r="OVL24" s="2140"/>
      <c r="OVM24" s="2141"/>
      <c r="OVN24" s="2141"/>
      <c r="OVO24" s="2140"/>
      <c r="OVP24" s="2141"/>
      <c r="OVQ24" s="2141"/>
      <c r="OVR24" s="2140"/>
      <c r="OVS24" s="2141"/>
      <c r="OVT24" s="2141"/>
      <c r="OVU24" s="2140"/>
      <c r="OVV24" s="2141"/>
      <c r="OVW24" s="2141"/>
      <c r="OVX24" s="2140"/>
      <c r="OVY24" s="2141"/>
      <c r="OVZ24" s="2141"/>
      <c r="OWA24" s="2140"/>
      <c r="OWB24" s="2141"/>
      <c r="OWC24" s="2141"/>
      <c r="OWD24" s="2140"/>
      <c r="OWE24" s="2141"/>
      <c r="OWF24" s="2141"/>
      <c r="OWG24" s="2140"/>
      <c r="OWH24" s="2141"/>
      <c r="OWI24" s="2141"/>
      <c r="OWJ24" s="2140"/>
      <c r="OWK24" s="2141"/>
      <c r="OWL24" s="2141"/>
      <c r="OWM24" s="2140"/>
      <c r="OWN24" s="2141"/>
      <c r="OWO24" s="2141"/>
      <c r="OWP24" s="2140"/>
      <c r="OWQ24" s="2141"/>
      <c r="OWR24" s="2141"/>
      <c r="OWS24" s="2140"/>
      <c r="OWT24" s="2141"/>
      <c r="OWU24" s="2141"/>
      <c r="OWV24" s="2140"/>
      <c r="OWW24" s="2141"/>
      <c r="OWX24" s="2141"/>
      <c r="OWY24" s="2140"/>
      <c r="OWZ24" s="2141"/>
      <c r="OXA24" s="2141"/>
      <c r="OXB24" s="2140"/>
      <c r="OXC24" s="2141"/>
      <c r="OXD24" s="2141"/>
      <c r="OXE24" s="2140"/>
      <c r="OXF24" s="2141"/>
      <c r="OXG24" s="2141"/>
      <c r="OXH24" s="2140"/>
      <c r="OXI24" s="2141"/>
      <c r="OXJ24" s="2141"/>
      <c r="OXK24" s="2140"/>
      <c r="OXL24" s="2141"/>
      <c r="OXM24" s="2141"/>
      <c r="OXN24" s="2140"/>
      <c r="OXO24" s="2141"/>
      <c r="OXP24" s="2141"/>
      <c r="OXQ24" s="2140"/>
      <c r="OXR24" s="2141"/>
      <c r="OXS24" s="2141"/>
      <c r="OXT24" s="2140"/>
      <c r="OXU24" s="2141"/>
      <c r="OXV24" s="2141"/>
      <c r="OXW24" s="2140"/>
      <c r="OXX24" s="2141"/>
      <c r="OXY24" s="2141"/>
      <c r="OXZ24" s="2140"/>
      <c r="OYA24" s="2141"/>
      <c r="OYB24" s="2141"/>
      <c r="OYC24" s="2140"/>
      <c r="OYD24" s="2141"/>
      <c r="OYE24" s="2141"/>
      <c r="OYF24" s="2140"/>
      <c r="OYG24" s="2141"/>
      <c r="OYH24" s="2141"/>
      <c r="OYI24" s="2140"/>
      <c r="OYJ24" s="2141"/>
      <c r="OYK24" s="2141"/>
      <c r="OYL24" s="2140"/>
      <c r="OYM24" s="2141"/>
      <c r="OYN24" s="2141"/>
      <c r="OYO24" s="2140"/>
      <c r="OYP24" s="2141"/>
      <c r="OYQ24" s="2141"/>
      <c r="OYR24" s="2140"/>
      <c r="OYS24" s="2141"/>
      <c r="OYT24" s="2141"/>
      <c r="OYU24" s="2140"/>
      <c r="OYV24" s="2141"/>
      <c r="OYW24" s="2141"/>
      <c r="OYX24" s="2140"/>
      <c r="OYY24" s="2141"/>
      <c r="OYZ24" s="2141"/>
      <c r="OZA24" s="2140"/>
      <c r="OZB24" s="2141"/>
      <c r="OZC24" s="2141"/>
      <c r="OZD24" s="2140"/>
      <c r="OZE24" s="2141"/>
      <c r="OZF24" s="2141"/>
      <c r="OZG24" s="2140"/>
      <c r="OZH24" s="2141"/>
      <c r="OZI24" s="2141"/>
      <c r="OZJ24" s="2140"/>
      <c r="OZK24" s="2141"/>
      <c r="OZL24" s="2141"/>
      <c r="OZM24" s="2140"/>
      <c r="OZN24" s="2141"/>
      <c r="OZO24" s="2141"/>
      <c r="OZP24" s="2140"/>
      <c r="OZQ24" s="2141"/>
      <c r="OZR24" s="2141"/>
      <c r="OZS24" s="2140"/>
      <c r="OZT24" s="2141"/>
      <c r="OZU24" s="2141"/>
      <c r="OZV24" s="2140"/>
      <c r="OZW24" s="2141"/>
      <c r="OZX24" s="2141"/>
      <c r="OZY24" s="2140"/>
      <c r="OZZ24" s="2141"/>
      <c r="PAA24" s="2141"/>
      <c r="PAB24" s="2140"/>
      <c r="PAC24" s="2141"/>
      <c r="PAD24" s="2141"/>
      <c r="PAE24" s="2140"/>
      <c r="PAF24" s="2141"/>
      <c r="PAG24" s="2141"/>
      <c r="PAH24" s="2140"/>
      <c r="PAI24" s="2141"/>
      <c r="PAJ24" s="2141"/>
      <c r="PAK24" s="2140"/>
      <c r="PAL24" s="2141"/>
      <c r="PAM24" s="2141"/>
      <c r="PAN24" s="2140"/>
      <c r="PAO24" s="2141"/>
      <c r="PAP24" s="2141"/>
      <c r="PAQ24" s="2140"/>
      <c r="PAR24" s="2141"/>
      <c r="PAS24" s="2141"/>
      <c r="PAT24" s="2140"/>
      <c r="PAU24" s="2141"/>
      <c r="PAV24" s="2141"/>
      <c r="PAW24" s="2140"/>
      <c r="PAX24" s="2141"/>
      <c r="PAY24" s="2141"/>
      <c r="PAZ24" s="2140"/>
      <c r="PBA24" s="2141"/>
      <c r="PBB24" s="2141"/>
      <c r="PBC24" s="2140"/>
      <c r="PBD24" s="2141"/>
      <c r="PBE24" s="2141"/>
      <c r="PBF24" s="2140"/>
      <c r="PBG24" s="2141"/>
      <c r="PBH24" s="2141"/>
      <c r="PBI24" s="2140"/>
      <c r="PBJ24" s="2141"/>
      <c r="PBK24" s="2141"/>
      <c r="PBL24" s="2140"/>
      <c r="PBM24" s="2141"/>
      <c r="PBN24" s="2141"/>
      <c r="PBO24" s="2140"/>
      <c r="PBP24" s="2141"/>
      <c r="PBQ24" s="2141"/>
      <c r="PBR24" s="2140"/>
      <c r="PBS24" s="2141"/>
      <c r="PBT24" s="2141"/>
      <c r="PBU24" s="2140"/>
      <c r="PBV24" s="2141"/>
      <c r="PBW24" s="2141"/>
      <c r="PBX24" s="2140"/>
      <c r="PBY24" s="2141"/>
      <c r="PBZ24" s="2141"/>
      <c r="PCA24" s="2140"/>
      <c r="PCB24" s="2141"/>
      <c r="PCC24" s="2141"/>
      <c r="PCD24" s="2140"/>
      <c r="PCE24" s="2141"/>
      <c r="PCF24" s="2141"/>
      <c r="PCG24" s="2140"/>
      <c r="PCH24" s="2141"/>
      <c r="PCI24" s="2141"/>
      <c r="PCJ24" s="2140"/>
      <c r="PCK24" s="2141"/>
      <c r="PCL24" s="2141"/>
      <c r="PCM24" s="2140"/>
      <c r="PCN24" s="2141"/>
      <c r="PCO24" s="2141"/>
      <c r="PCP24" s="2140"/>
      <c r="PCQ24" s="2141"/>
      <c r="PCR24" s="2141"/>
      <c r="PCS24" s="2140"/>
      <c r="PCT24" s="2141"/>
      <c r="PCU24" s="2141"/>
      <c r="PCV24" s="2140"/>
      <c r="PCW24" s="2141"/>
      <c r="PCX24" s="2141"/>
      <c r="PCY24" s="2140"/>
      <c r="PCZ24" s="2141"/>
      <c r="PDA24" s="2141"/>
      <c r="PDB24" s="2140"/>
      <c r="PDC24" s="2141"/>
      <c r="PDD24" s="2141"/>
      <c r="PDE24" s="2140"/>
      <c r="PDF24" s="2141"/>
      <c r="PDG24" s="2141"/>
      <c r="PDH24" s="2140"/>
      <c r="PDI24" s="2141"/>
      <c r="PDJ24" s="2141"/>
      <c r="PDK24" s="2140"/>
      <c r="PDL24" s="2141"/>
      <c r="PDM24" s="2141"/>
      <c r="PDN24" s="2140"/>
      <c r="PDO24" s="2141"/>
      <c r="PDP24" s="2141"/>
      <c r="PDQ24" s="2140"/>
      <c r="PDR24" s="2141"/>
      <c r="PDS24" s="2141"/>
      <c r="PDT24" s="2140"/>
      <c r="PDU24" s="2141"/>
      <c r="PDV24" s="2141"/>
      <c r="PDW24" s="2140"/>
      <c r="PDX24" s="2141"/>
      <c r="PDY24" s="2141"/>
      <c r="PDZ24" s="2140"/>
      <c r="PEA24" s="2141"/>
      <c r="PEB24" s="2141"/>
      <c r="PEC24" s="2140"/>
      <c r="PED24" s="2141"/>
      <c r="PEE24" s="2141"/>
      <c r="PEF24" s="2140"/>
      <c r="PEG24" s="2141"/>
      <c r="PEH24" s="2141"/>
      <c r="PEI24" s="2140"/>
      <c r="PEJ24" s="2141"/>
      <c r="PEK24" s="2141"/>
      <c r="PEL24" s="2140"/>
      <c r="PEM24" s="2141"/>
      <c r="PEN24" s="2141"/>
      <c r="PEO24" s="2140"/>
      <c r="PEP24" s="2141"/>
      <c r="PEQ24" s="2141"/>
      <c r="PER24" s="2140"/>
      <c r="PES24" s="2141"/>
      <c r="PET24" s="2141"/>
      <c r="PEU24" s="2140"/>
      <c r="PEV24" s="2141"/>
      <c r="PEW24" s="2141"/>
      <c r="PEX24" s="2140"/>
      <c r="PEY24" s="2141"/>
      <c r="PEZ24" s="2141"/>
      <c r="PFA24" s="2140"/>
      <c r="PFB24" s="2141"/>
      <c r="PFC24" s="2141"/>
      <c r="PFD24" s="2140"/>
      <c r="PFE24" s="2141"/>
      <c r="PFF24" s="2141"/>
      <c r="PFG24" s="2140"/>
      <c r="PFH24" s="2141"/>
      <c r="PFI24" s="2141"/>
      <c r="PFJ24" s="2140"/>
      <c r="PFK24" s="2141"/>
      <c r="PFL24" s="2141"/>
      <c r="PFM24" s="2140"/>
      <c r="PFN24" s="2141"/>
      <c r="PFO24" s="2141"/>
      <c r="PFP24" s="2140"/>
      <c r="PFQ24" s="2141"/>
      <c r="PFR24" s="2141"/>
      <c r="PFS24" s="2140"/>
      <c r="PFT24" s="2141"/>
      <c r="PFU24" s="2141"/>
      <c r="PFV24" s="2140"/>
      <c r="PFW24" s="2141"/>
      <c r="PFX24" s="2141"/>
      <c r="PFY24" s="2140"/>
      <c r="PFZ24" s="2141"/>
      <c r="PGA24" s="2141"/>
      <c r="PGB24" s="2140"/>
      <c r="PGC24" s="2141"/>
      <c r="PGD24" s="2141"/>
      <c r="PGE24" s="2140"/>
      <c r="PGF24" s="2141"/>
      <c r="PGG24" s="2141"/>
      <c r="PGH24" s="2140"/>
      <c r="PGI24" s="2141"/>
      <c r="PGJ24" s="2141"/>
      <c r="PGK24" s="2140"/>
      <c r="PGL24" s="2141"/>
      <c r="PGM24" s="2141"/>
      <c r="PGN24" s="2140"/>
      <c r="PGO24" s="2141"/>
      <c r="PGP24" s="2141"/>
      <c r="PGQ24" s="2140"/>
      <c r="PGR24" s="2141"/>
      <c r="PGS24" s="2141"/>
      <c r="PGT24" s="2140"/>
      <c r="PGU24" s="2141"/>
      <c r="PGV24" s="2141"/>
      <c r="PGW24" s="2140"/>
      <c r="PGX24" s="2141"/>
      <c r="PGY24" s="2141"/>
      <c r="PGZ24" s="2140"/>
      <c r="PHA24" s="2141"/>
      <c r="PHB24" s="2141"/>
      <c r="PHC24" s="2140"/>
      <c r="PHD24" s="2141"/>
      <c r="PHE24" s="2141"/>
      <c r="PHF24" s="2140"/>
      <c r="PHG24" s="2141"/>
      <c r="PHH24" s="2141"/>
      <c r="PHI24" s="2140"/>
      <c r="PHJ24" s="2141"/>
      <c r="PHK24" s="2141"/>
      <c r="PHL24" s="2140"/>
      <c r="PHM24" s="2141"/>
      <c r="PHN24" s="2141"/>
      <c r="PHO24" s="2140"/>
      <c r="PHP24" s="2141"/>
      <c r="PHQ24" s="2141"/>
      <c r="PHR24" s="2140"/>
      <c r="PHS24" s="2141"/>
      <c r="PHT24" s="2141"/>
      <c r="PHU24" s="2140"/>
      <c r="PHV24" s="2141"/>
      <c r="PHW24" s="2141"/>
      <c r="PHX24" s="2140"/>
      <c r="PHY24" s="2141"/>
      <c r="PHZ24" s="2141"/>
      <c r="PIA24" s="2140"/>
      <c r="PIB24" s="2141"/>
      <c r="PIC24" s="2141"/>
      <c r="PID24" s="2140"/>
      <c r="PIE24" s="2141"/>
      <c r="PIF24" s="2141"/>
      <c r="PIG24" s="2140"/>
      <c r="PIH24" s="2141"/>
      <c r="PII24" s="2141"/>
      <c r="PIJ24" s="2140"/>
      <c r="PIK24" s="2141"/>
      <c r="PIL24" s="2141"/>
      <c r="PIM24" s="2140"/>
      <c r="PIN24" s="2141"/>
      <c r="PIO24" s="2141"/>
      <c r="PIP24" s="2140"/>
      <c r="PIQ24" s="2141"/>
      <c r="PIR24" s="2141"/>
      <c r="PIS24" s="2140"/>
      <c r="PIT24" s="2141"/>
      <c r="PIU24" s="2141"/>
      <c r="PIV24" s="2140"/>
      <c r="PIW24" s="2141"/>
      <c r="PIX24" s="2141"/>
      <c r="PIY24" s="2140"/>
      <c r="PIZ24" s="2141"/>
      <c r="PJA24" s="2141"/>
      <c r="PJB24" s="2140"/>
      <c r="PJC24" s="2141"/>
      <c r="PJD24" s="2141"/>
      <c r="PJE24" s="2140"/>
      <c r="PJF24" s="2141"/>
      <c r="PJG24" s="2141"/>
      <c r="PJH24" s="2140"/>
      <c r="PJI24" s="2141"/>
      <c r="PJJ24" s="2141"/>
      <c r="PJK24" s="2140"/>
      <c r="PJL24" s="2141"/>
      <c r="PJM24" s="2141"/>
      <c r="PJN24" s="2140"/>
      <c r="PJO24" s="2141"/>
      <c r="PJP24" s="2141"/>
      <c r="PJQ24" s="2140"/>
      <c r="PJR24" s="2141"/>
      <c r="PJS24" s="2141"/>
      <c r="PJT24" s="2140"/>
      <c r="PJU24" s="2141"/>
      <c r="PJV24" s="2141"/>
      <c r="PJW24" s="2140"/>
      <c r="PJX24" s="2141"/>
      <c r="PJY24" s="2141"/>
      <c r="PJZ24" s="2140"/>
      <c r="PKA24" s="2141"/>
      <c r="PKB24" s="2141"/>
      <c r="PKC24" s="2140"/>
      <c r="PKD24" s="2141"/>
      <c r="PKE24" s="2141"/>
      <c r="PKF24" s="2140"/>
      <c r="PKG24" s="2141"/>
      <c r="PKH24" s="2141"/>
      <c r="PKI24" s="2140"/>
      <c r="PKJ24" s="2141"/>
      <c r="PKK24" s="2141"/>
      <c r="PKL24" s="2140"/>
      <c r="PKM24" s="2141"/>
      <c r="PKN24" s="2141"/>
      <c r="PKO24" s="2140"/>
      <c r="PKP24" s="2141"/>
      <c r="PKQ24" s="2141"/>
      <c r="PKR24" s="2140"/>
      <c r="PKS24" s="2141"/>
      <c r="PKT24" s="2141"/>
      <c r="PKU24" s="2140"/>
      <c r="PKV24" s="2141"/>
      <c r="PKW24" s="2141"/>
      <c r="PKX24" s="2140"/>
      <c r="PKY24" s="2141"/>
      <c r="PKZ24" s="2141"/>
      <c r="PLA24" s="2140"/>
      <c r="PLB24" s="2141"/>
      <c r="PLC24" s="2141"/>
      <c r="PLD24" s="2140"/>
      <c r="PLE24" s="2141"/>
      <c r="PLF24" s="2141"/>
      <c r="PLG24" s="2140"/>
      <c r="PLH24" s="2141"/>
      <c r="PLI24" s="2141"/>
      <c r="PLJ24" s="2140"/>
      <c r="PLK24" s="2141"/>
      <c r="PLL24" s="2141"/>
      <c r="PLM24" s="2140"/>
      <c r="PLN24" s="2141"/>
      <c r="PLO24" s="2141"/>
      <c r="PLP24" s="2140"/>
      <c r="PLQ24" s="2141"/>
      <c r="PLR24" s="2141"/>
      <c r="PLS24" s="2140"/>
      <c r="PLT24" s="2141"/>
      <c r="PLU24" s="2141"/>
      <c r="PLV24" s="2140"/>
      <c r="PLW24" s="2141"/>
      <c r="PLX24" s="2141"/>
      <c r="PLY24" s="2140"/>
      <c r="PLZ24" s="2141"/>
      <c r="PMA24" s="2141"/>
      <c r="PMB24" s="2140"/>
      <c r="PMC24" s="2141"/>
      <c r="PMD24" s="2141"/>
      <c r="PME24" s="2140"/>
      <c r="PMF24" s="2141"/>
      <c r="PMG24" s="2141"/>
      <c r="PMH24" s="2140"/>
      <c r="PMI24" s="2141"/>
      <c r="PMJ24" s="2141"/>
      <c r="PMK24" s="2140"/>
      <c r="PML24" s="2141"/>
      <c r="PMM24" s="2141"/>
      <c r="PMN24" s="2140"/>
      <c r="PMO24" s="2141"/>
      <c r="PMP24" s="2141"/>
      <c r="PMQ24" s="2140"/>
      <c r="PMR24" s="2141"/>
      <c r="PMS24" s="2141"/>
      <c r="PMT24" s="2140"/>
      <c r="PMU24" s="2141"/>
      <c r="PMV24" s="2141"/>
      <c r="PMW24" s="2140"/>
      <c r="PMX24" s="2141"/>
      <c r="PMY24" s="2141"/>
      <c r="PMZ24" s="2140"/>
      <c r="PNA24" s="2141"/>
      <c r="PNB24" s="2141"/>
      <c r="PNC24" s="2140"/>
      <c r="PND24" s="2141"/>
      <c r="PNE24" s="2141"/>
      <c r="PNF24" s="2140"/>
      <c r="PNG24" s="2141"/>
      <c r="PNH24" s="2141"/>
      <c r="PNI24" s="2140"/>
      <c r="PNJ24" s="2141"/>
      <c r="PNK24" s="2141"/>
      <c r="PNL24" s="2140"/>
      <c r="PNM24" s="2141"/>
      <c r="PNN24" s="2141"/>
      <c r="PNO24" s="2140"/>
      <c r="PNP24" s="2141"/>
      <c r="PNQ24" s="2141"/>
      <c r="PNR24" s="2140"/>
      <c r="PNS24" s="2141"/>
      <c r="PNT24" s="2141"/>
      <c r="PNU24" s="2140"/>
      <c r="PNV24" s="2141"/>
      <c r="PNW24" s="2141"/>
      <c r="PNX24" s="2140"/>
      <c r="PNY24" s="2141"/>
      <c r="PNZ24" s="2141"/>
      <c r="POA24" s="2140"/>
      <c r="POB24" s="2141"/>
      <c r="POC24" s="2141"/>
      <c r="POD24" s="2140"/>
      <c r="POE24" s="2141"/>
      <c r="POF24" s="2141"/>
      <c r="POG24" s="2140"/>
      <c r="POH24" s="2141"/>
      <c r="POI24" s="2141"/>
      <c r="POJ24" s="2140"/>
      <c r="POK24" s="2141"/>
      <c r="POL24" s="2141"/>
      <c r="POM24" s="2140"/>
      <c r="PON24" s="2141"/>
      <c r="POO24" s="2141"/>
      <c r="POP24" s="2140"/>
      <c r="POQ24" s="2141"/>
      <c r="POR24" s="2141"/>
      <c r="POS24" s="2140"/>
      <c r="POT24" s="2141"/>
      <c r="POU24" s="2141"/>
      <c r="POV24" s="2140"/>
      <c r="POW24" s="2141"/>
      <c r="POX24" s="2141"/>
      <c r="POY24" s="2140"/>
      <c r="POZ24" s="2141"/>
      <c r="PPA24" s="2141"/>
      <c r="PPB24" s="2140"/>
      <c r="PPC24" s="2141"/>
      <c r="PPD24" s="2141"/>
      <c r="PPE24" s="2140"/>
      <c r="PPF24" s="2141"/>
      <c r="PPG24" s="2141"/>
      <c r="PPH24" s="2140"/>
      <c r="PPI24" s="2141"/>
      <c r="PPJ24" s="2141"/>
      <c r="PPK24" s="2140"/>
      <c r="PPL24" s="2141"/>
      <c r="PPM24" s="2141"/>
      <c r="PPN24" s="2140"/>
      <c r="PPO24" s="2141"/>
      <c r="PPP24" s="2141"/>
      <c r="PPQ24" s="2140"/>
      <c r="PPR24" s="2141"/>
      <c r="PPS24" s="2141"/>
      <c r="PPT24" s="2140"/>
      <c r="PPU24" s="2141"/>
      <c r="PPV24" s="2141"/>
      <c r="PPW24" s="2140"/>
      <c r="PPX24" s="2141"/>
      <c r="PPY24" s="2141"/>
      <c r="PPZ24" s="2140"/>
      <c r="PQA24" s="2141"/>
      <c r="PQB24" s="2141"/>
      <c r="PQC24" s="2140"/>
      <c r="PQD24" s="2141"/>
      <c r="PQE24" s="2141"/>
      <c r="PQF24" s="2140"/>
      <c r="PQG24" s="2141"/>
      <c r="PQH24" s="2141"/>
      <c r="PQI24" s="2140"/>
      <c r="PQJ24" s="2141"/>
      <c r="PQK24" s="2141"/>
      <c r="PQL24" s="2140"/>
      <c r="PQM24" s="2141"/>
      <c r="PQN24" s="2141"/>
      <c r="PQO24" s="2140"/>
      <c r="PQP24" s="2141"/>
      <c r="PQQ24" s="2141"/>
      <c r="PQR24" s="2140"/>
      <c r="PQS24" s="2141"/>
      <c r="PQT24" s="2141"/>
      <c r="PQU24" s="2140"/>
      <c r="PQV24" s="2141"/>
      <c r="PQW24" s="2141"/>
      <c r="PQX24" s="2140"/>
      <c r="PQY24" s="2141"/>
      <c r="PQZ24" s="2141"/>
      <c r="PRA24" s="2140"/>
      <c r="PRB24" s="2141"/>
      <c r="PRC24" s="2141"/>
      <c r="PRD24" s="2140"/>
      <c r="PRE24" s="2141"/>
      <c r="PRF24" s="2141"/>
      <c r="PRG24" s="2140"/>
      <c r="PRH24" s="2141"/>
      <c r="PRI24" s="2141"/>
      <c r="PRJ24" s="2140"/>
      <c r="PRK24" s="2141"/>
      <c r="PRL24" s="2141"/>
      <c r="PRM24" s="2140"/>
      <c r="PRN24" s="2141"/>
      <c r="PRO24" s="2141"/>
      <c r="PRP24" s="2140"/>
      <c r="PRQ24" s="2141"/>
      <c r="PRR24" s="2141"/>
      <c r="PRS24" s="2140"/>
      <c r="PRT24" s="2141"/>
      <c r="PRU24" s="2141"/>
      <c r="PRV24" s="2140"/>
      <c r="PRW24" s="2141"/>
      <c r="PRX24" s="2141"/>
      <c r="PRY24" s="2140"/>
      <c r="PRZ24" s="2141"/>
      <c r="PSA24" s="2141"/>
      <c r="PSB24" s="2140"/>
      <c r="PSC24" s="2141"/>
      <c r="PSD24" s="2141"/>
      <c r="PSE24" s="2140"/>
      <c r="PSF24" s="2141"/>
      <c r="PSG24" s="2141"/>
      <c r="PSH24" s="2140"/>
      <c r="PSI24" s="2141"/>
      <c r="PSJ24" s="2141"/>
      <c r="PSK24" s="2140"/>
      <c r="PSL24" s="2141"/>
      <c r="PSM24" s="2141"/>
      <c r="PSN24" s="2140"/>
      <c r="PSO24" s="2141"/>
      <c r="PSP24" s="2141"/>
      <c r="PSQ24" s="2140"/>
      <c r="PSR24" s="2141"/>
      <c r="PSS24" s="2141"/>
      <c r="PST24" s="2140"/>
      <c r="PSU24" s="2141"/>
      <c r="PSV24" s="2141"/>
      <c r="PSW24" s="2140"/>
      <c r="PSX24" s="2141"/>
      <c r="PSY24" s="2141"/>
      <c r="PSZ24" s="2140"/>
      <c r="PTA24" s="2141"/>
      <c r="PTB24" s="2141"/>
      <c r="PTC24" s="2140"/>
      <c r="PTD24" s="2141"/>
      <c r="PTE24" s="2141"/>
      <c r="PTF24" s="2140"/>
      <c r="PTG24" s="2141"/>
      <c r="PTH24" s="2141"/>
      <c r="PTI24" s="2140"/>
      <c r="PTJ24" s="2141"/>
      <c r="PTK24" s="2141"/>
      <c r="PTL24" s="2140"/>
      <c r="PTM24" s="2141"/>
      <c r="PTN24" s="2141"/>
      <c r="PTO24" s="2140"/>
      <c r="PTP24" s="2141"/>
      <c r="PTQ24" s="2141"/>
      <c r="PTR24" s="2140"/>
      <c r="PTS24" s="2141"/>
      <c r="PTT24" s="2141"/>
      <c r="PTU24" s="2140"/>
      <c r="PTV24" s="2141"/>
      <c r="PTW24" s="2141"/>
      <c r="PTX24" s="2140"/>
      <c r="PTY24" s="2141"/>
      <c r="PTZ24" s="2141"/>
      <c r="PUA24" s="2140"/>
      <c r="PUB24" s="2141"/>
      <c r="PUC24" s="2141"/>
      <c r="PUD24" s="2140"/>
      <c r="PUE24" s="2141"/>
      <c r="PUF24" s="2141"/>
      <c r="PUG24" s="2140"/>
      <c r="PUH24" s="2141"/>
      <c r="PUI24" s="2141"/>
      <c r="PUJ24" s="2140"/>
      <c r="PUK24" s="2141"/>
      <c r="PUL24" s="2141"/>
      <c r="PUM24" s="2140"/>
      <c r="PUN24" s="2141"/>
      <c r="PUO24" s="2141"/>
      <c r="PUP24" s="2140"/>
      <c r="PUQ24" s="2141"/>
      <c r="PUR24" s="2141"/>
      <c r="PUS24" s="2140"/>
      <c r="PUT24" s="2141"/>
      <c r="PUU24" s="2141"/>
      <c r="PUV24" s="2140"/>
      <c r="PUW24" s="2141"/>
      <c r="PUX24" s="2141"/>
      <c r="PUY24" s="2140"/>
      <c r="PUZ24" s="2141"/>
      <c r="PVA24" s="2141"/>
      <c r="PVB24" s="2140"/>
      <c r="PVC24" s="2141"/>
      <c r="PVD24" s="2141"/>
      <c r="PVE24" s="2140"/>
      <c r="PVF24" s="2141"/>
      <c r="PVG24" s="2141"/>
      <c r="PVH24" s="2140"/>
      <c r="PVI24" s="2141"/>
      <c r="PVJ24" s="2141"/>
      <c r="PVK24" s="2140"/>
      <c r="PVL24" s="2141"/>
      <c r="PVM24" s="2141"/>
      <c r="PVN24" s="2140"/>
      <c r="PVO24" s="2141"/>
      <c r="PVP24" s="2141"/>
      <c r="PVQ24" s="2140"/>
      <c r="PVR24" s="2141"/>
      <c r="PVS24" s="2141"/>
      <c r="PVT24" s="2140"/>
      <c r="PVU24" s="2141"/>
      <c r="PVV24" s="2141"/>
      <c r="PVW24" s="2140"/>
      <c r="PVX24" s="2141"/>
      <c r="PVY24" s="2141"/>
      <c r="PVZ24" s="2140"/>
      <c r="PWA24" s="2141"/>
      <c r="PWB24" s="2141"/>
      <c r="PWC24" s="2140"/>
      <c r="PWD24" s="2141"/>
      <c r="PWE24" s="2141"/>
      <c r="PWF24" s="2140"/>
      <c r="PWG24" s="2141"/>
      <c r="PWH24" s="2141"/>
      <c r="PWI24" s="2140"/>
      <c r="PWJ24" s="2141"/>
      <c r="PWK24" s="2141"/>
      <c r="PWL24" s="2140"/>
      <c r="PWM24" s="2141"/>
      <c r="PWN24" s="2141"/>
      <c r="PWO24" s="2140"/>
      <c r="PWP24" s="2141"/>
      <c r="PWQ24" s="2141"/>
      <c r="PWR24" s="2140"/>
      <c r="PWS24" s="2141"/>
      <c r="PWT24" s="2141"/>
      <c r="PWU24" s="2140"/>
      <c r="PWV24" s="2141"/>
      <c r="PWW24" s="2141"/>
      <c r="PWX24" s="2140"/>
      <c r="PWY24" s="2141"/>
      <c r="PWZ24" s="2141"/>
      <c r="PXA24" s="2140"/>
      <c r="PXB24" s="2141"/>
      <c r="PXC24" s="2141"/>
      <c r="PXD24" s="2140"/>
      <c r="PXE24" s="2141"/>
      <c r="PXF24" s="2141"/>
      <c r="PXG24" s="2140"/>
      <c r="PXH24" s="2141"/>
      <c r="PXI24" s="2141"/>
      <c r="PXJ24" s="2140"/>
      <c r="PXK24" s="2141"/>
      <c r="PXL24" s="2141"/>
      <c r="PXM24" s="2140"/>
      <c r="PXN24" s="2141"/>
      <c r="PXO24" s="2141"/>
      <c r="PXP24" s="2140"/>
      <c r="PXQ24" s="2141"/>
      <c r="PXR24" s="2141"/>
      <c r="PXS24" s="2140"/>
      <c r="PXT24" s="2141"/>
      <c r="PXU24" s="2141"/>
      <c r="PXV24" s="2140"/>
      <c r="PXW24" s="2141"/>
      <c r="PXX24" s="2141"/>
      <c r="PXY24" s="2140"/>
      <c r="PXZ24" s="2141"/>
      <c r="PYA24" s="2141"/>
      <c r="PYB24" s="2140"/>
      <c r="PYC24" s="2141"/>
      <c r="PYD24" s="2141"/>
      <c r="PYE24" s="2140"/>
      <c r="PYF24" s="2141"/>
      <c r="PYG24" s="2141"/>
      <c r="PYH24" s="2140"/>
      <c r="PYI24" s="2141"/>
      <c r="PYJ24" s="2141"/>
      <c r="PYK24" s="2140"/>
      <c r="PYL24" s="2141"/>
      <c r="PYM24" s="2141"/>
      <c r="PYN24" s="2140"/>
      <c r="PYO24" s="2141"/>
      <c r="PYP24" s="2141"/>
      <c r="PYQ24" s="2140"/>
      <c r="PYR24" s="2141"/>
      <c r="PYS24" s="2141"/>
      <c r="PYT24" s="2140"/>
      <c r="PYU24" s="2141"/>
      <c r="PYV24" s="2141"/>
      <c r="PYW24" s="2140"/>
      <c r="PYX24" s="2141"/>
      <c r="PYY24" s="2141"/>
      <c r="PYZ24" s="2140"/>
      <c r="PZA24" s="2141"/>
      <c r="PZB24" s="2141"/>
      <c r="PZC24" s="2140"/>
      <c r="PZD24" s="2141"/>
      <c r="PZE24" s="2141"/>
      <c r="PZF24" s="2140"/>
      <c r="PZG24" s="2141"/>
      <c r="PZH24" s="2141"/>
      <c r="PZI24" s="2140"/>
      <c r="PZJ24" s="2141"/>
      <c r="PZK24" s="2141"/>
      <c r="PZL24" s="2140"/>
      <c r="PZM24" s="2141"/>
      <c r="PZN24" s="2141"/>
      <c r="PZO24" s="2140"/>
      <c r="PZP24" s="2141"/>
      <c r="PZQ24" s="2141"/>
      <c r="PZR24" s="2140"/>
      <c r="PZS24" s="2141"/>
      <c r="PZT24" s="2141"/>
      <c r="PZU24" s="2140"/>
      <c r="PZV24" s="2141"/>
      <c r="PZW24" s="2141"/>
      <c r="PZX24" s="2140"/>
      <c r="PZY24" s="2141"/>
      <c r="PZZ24" s="2141"/>
      <c r="QAA24" s="2140"/>
      <c r="QAB24" s="2141"/>
      <c r="QAC24" s="2141"/>
      <c r="QAD24" s="2140"/>
      <c r="QAE24" s="2141"/>
      <c r="QAF24" s="2141"/>
      <c r="QAG24" s="2140"/>
      <c r="QAH24" s="2141"/>
      <c r="QAI24" s="2141"/>
      <c r="QAJ24" s="2140"/>
      <c r="QAK24" s="2141"/>
      <c r="QAL24" s="2141"/>
      <c r="QAM24" s="2140"/>
      <c r="QAN24" s="2141"/>
      <c r="QAO24" s="2141"/>
      <c r="QAP24" s="2140"/>
      <c r="QAQ24" s="2141"/>
      <c r="QAR24" s="2141"/>
      <c r="QAS24" s="2140"/>
      <c r="QAT24" s="2141"/>
      <c r="QAU24" s="2141"/>
      <c r="QAV24" s="2140"/>
      <c r="QAW24" s="2141"/>
      <c r="QAX24" s="2141"/>
      <c r="QAY24" s="2140"/>
      <c r="QAZ24" s="2141"/>
      <c r="QBA24" s="2141"/>
      <c r="QBB24" s="2140"/>
      <c r="QBC24" s="2141"/>
      <c r="QBD24" s="2141"/>
      <c r="QBE24" s="2140"/>
      <c r="QBF24" s="2141"/>
      <c r="QBG24" s="2141"/>
      <c r="QBH24" s="2140"/>
      <c r="QBI24" s="2141"/>
      <c r="QBJ24" s="2141"/>
      <c r="QBK24" s="2140"/>
      <c r="QBL24" s="2141"/>
      <c r="QBM24" s="2141"/>
      <c r="QBN24" s="2140"/>
      <c r="QBO24" s="2141"/>
      <c r="QBP24" s="2141"/>
      <c r="QBQ24" s="2140"/>
      <c r="QBR24" s="2141"/>
      <c r="QBS24" s="2141"/>
      <c r="QBT24" s="2140"/>
      <c r="QBU24" s="2141"/>
      <c r="QBV24" s="2141"/>
      <c r="QBW24" s="2140"/>
      <c r="QBX24" s="2141"/>
      <c r="QBY24" s="2141"/>
      <c r="QBZ24" s="2140"/>
      <c r="QCA24" s="2141"/>
      <c r="QCB24" s="2141"/>
      <c r="QCC24" s="2140"/>
      <c r="QCD24" s="2141"/>
      <c r="QCE24" s="2141"/>
      <c r="QCF24" s="2140"/>
      <c r="QCG24" s="2141"/>
      <c r="QCH24" s="2141"/>
      <c r="QCI24" s="2140"/>
      <c r="QCJ24" s="2141"/>
      <c r="QCK24" s="2141"/>
      <c r="QCL24" s="2140"/>
      <c r="QCM24" s="2141"/>
      <c r="QCN24" s="2141"/>
      <c r="QCO24" s="2140"/>
      <c r="QCP24" s="2141"/>
      <c r="QCQ24" s="2141"/>
      <c r="QCR24" s="2140"/>
      <c r="QCS24" s="2141"/>
      <c r="QCT24" s="2141"/>
      <c r="QCU24" s="2140"/>
      <c r="QCV24" s="2141"/>
      <c r="QCW24" s="2141"/>
      <c r="QCX24" s="2140"/>
      <c r="QCY24" s="2141"/>
      <c r="QCZ24" s="2141"/>
      <c r="QDA24" s="2140"/>
      <c r="QDB24" s="2141"/>
      <c r="QDC24" s="2141"/>
      <c r="QDD24" s="2140"/>
      <c r="QDE24" s="2141"/>
      <c r="QDF24" s="2141"/>
      <c r="QDG24" s="2140"/>
      <c r="QDH24" s="2141"/>
      <c r="QDI24" s="2141"/>
      <c r="QDJ24" s="2140"/>
      <c r="QDK24" s="2141"/>
      <c r="QDL24" s="2141"/>
      <c r="QDM24" s="2140"/>
      <c r="QDN24" s="2141"/>
      <c r="QDO24" s="2141"/>
      <c r="QDP24" s="2140"/>
      <c r="QDQ24" s="2141"/>
      <c r="QDR24" s="2141"/>
      <c r="QDS24" s="2140"/>
      <c r="QDT24" s="2141"/>
      <c r="QDU24" s="2141"/>
      <c r="QDV24" s="2140"/>
      <c r="QDW24" s="2141"/>
      <c r="QDX24" s="2141"/>
      <c r="QDY24" s="2140"/>
      <c r="QDZ24" s="2141"/>
      <c r="QEA24" s="2141"/>
      <c r="QEB24" s="2140"/>
      <c r="QEC24" s="2141"/>
      <c r="QED24" s="2141"/>
      <c r="QEE24" s="2140"/>
      <c r="QEF24" s="2141"/>
      <c r="QEG24" s="2141"/>
      <c r="QEH24" s="2140"/>
      <c r="QEI24" s="2141"/>
      <c r="QEJ24" s="2141"/>
      <c r="QEK24" s="2140"/>
      <c r="QEL24" s="2141"/>
      <c r="QEM24" s="2141"/>
      <c r="QEN24" s="2140"/>
      <c r="QEO24" s="2141"/>
      <c r="QEP24" s="2141"/>
      <c r="QEQ24" s="2140"/>
      <c r="QER24" s="2141"/>
      <c r="QES24" s="2141"/>
      <c r="QET24" s="2140"/>
      <c r="QEU24" s="2141"/>
      <c r="QEV24" s="2141"/>
      <c r="QEW24" s="2140"/>
      <c r="QEX24" s="2141"/>
      <c r="QEY24" s="2141"/>
      <c r="QEZ24" s="2140"/>
      <c r="QFA24" s="2141"/>
      <c r="QFB24" s="2141"/>
      <c r="QFC24" s="2140"/>
      <c r="QFD24" s="2141"/>
      <c r="QFE24" s="2141"/>
      <c r="QFF24" s="2140"/>
      <c r="QFG24" s="2141"/>
      <c r="QFH24" s="2141"/>
      <c r="QFI24" s="2140"/>
      <c r="QFJ24" s="2141"/>
      <c r="QFK24" s="2141"/>
      <c r="QFL24" s="2140"/>
      <c r="QFM24" s="2141"/>
      <c r="QFN24" s="2141"/>
      <c r="QFO24" s="2140"/>
      <c r="QFP24" s="2141"/>
      <c r="QFQ24" s="2141"/>
      <c r="QFR24" s="2140"/>
      <c r="QFS24" s="2141"/>
      <c r="QFT24" s="2141"/>
      <c r="QFU24" s="2140"/>
      <c r="QFV24" s="2141"/>
      <c r="QFW24" s="2141"/>
      <c r="QFX24" s="2140"/>
      <c r="QFY24" s="2141"/>
      <c r="QFZ24" s="2141"/>
      <c r="QGA24" s="2140"/>
      <c r="QGB24" s="2141"/>
      <c r="QGC24" s="2141"/>
      <c r="QGD24" s="2140"/>
      <c r="QGE24" s="2141"/>
      <c r="QGF24" s="2141"/>
      <c r="QGG24" s="2140"/>
      <c r="QGH24" s="2141"/>
      <c r="QGI24" s="2141"/>
      <c r="QGJ24" s="2140"/>
      <c r="QGK24" s="2141"/>
      <c r="QGL24" s="2141"/>
      <c r="QGM24" s="2140"/>
      <c r="QGN24" s="2141"/>
      <c r="QGO24" s="2141"/>
      <c r="QGP24" s="2140"/>
      <c r="QGQ24" s="2141"/>
      <c r="QGR24" s="2141"/>
      <c r="QGS24" s="2140"/>
      <c r="QGT24" s="2141"/>
      <c r="QGU24" s="2141"/>
      <c r="QGV24" s="2140"/>
      <c r="QGW24" s="2141"/>
      <c r="QGX24" s="2141"/>
      <c r="QGY24" s="2140"/>
      <c r="QGZ24" s="2141"/>
      <c r="QHA24" s="2141"/>
      <c r="QHB24" s="2140"/>
      <c r="QHC24" s="2141"/>
      <c r="QHD24" s="2141"/>
      <c r="QHE24" s="2140"/>
      <c r="QHF24" s="2141"/>
      <c r="QHG24" s="2141"/>
      <c r="QHH24" s="2140"/>
      <c r="QHI24" s="2141"/>
      <c r="QHJ24" s="2141"/>
      <c r="QHK24" s="2140"/>
      <c r="QHL24" s="2141"/>
      <c r="QHM24" s="2141"/>
      <c r="QHN24" s="2140"/>
      <c r="QHO24" s="2141"/>
      <c r="QHP24" s="2141"/>
      <c r="QHQ24" s="2140"/>
      <c r="QHR24" s="2141"/>
      <c r="QHS24" s="2141"/>
      <c r="QHT24" s="2140"/>
      <c r="QHU24" s="2141"/>
      <c r="QHV24" s="2141"/>
      <c r="QHW24" s="2140"/>
      <c r="QHX24" s="2141"/>
      <c r="QHY24" s="2141"/>
      <c r="QHZ24" s="2140"/>
      <c r="QIA24" s="2141"/>
      <c r="QIB24" s="2141"/>
      <c r="QIC24" s="2140"/>
      <c r="QID24" s="2141"/>
      <c r="QIE24" s="2141"/>
      <c r="QIF24" s="2140"/>
      <c r="QIG24" s="2141"/>
      <c r="QIH24" s="2141"/>
      <c r="QII24" s="2140"/>
      <c r="QIJ24" s="2141"/>
      <c r="QIK24" s="2141"/>
      <c r="QIL24" s="2140"/>
      <c r="QIM24" s="2141"/>
      <c r="QIN24" s="2141"/>
      <c r="QIO24" s="2140"/>
      <c r="QIP24" s="2141"/>
      <c r="QIQ24" s="2141"/>
      <c r="QIR24" s="2140"/>
      <c r="QIS24" s="2141"/>
      <c r="QIT24" s="2141"/>
      <c r="QIU24" s="2140"/>
      <c r="QIV24" s="2141"/>
      <c r="QIW24" s="2141"/>
      <c r="QIX24" s="2140"/>
      <c r="QIY24" s="2141"/>
      <c r="QIZ24" s="2141"/>
      <c r="QJA24" s="2140"/>
      <c r="QJB24" s="2141"/>
      <c r="QJC24" s="2141"/>
      <c r="QJD24" s="2140"/>
      <c r="QJE24" s="2141"/>
      <c r="QJF24" s="2141"/>
      <c r="QJG24" s="2140"/>
      <c r="QJH24" s="2141"/>
      <c r="QJI24" s="2141"/>
      <c r="QJJ24" s="2140"/>
      <c r="QJK24" s="2141"/>
      <c r="QJL24" s="2141"/>
      <c r="QJM24" s="2140"/>
      <c r="QJN24" s="2141"/>
      <c r="QJO24" s="2141"/>
      <c r="QJP24" s="2140"/>
      <c r="QJQ24" s="2141"/>
      <c r="QJR24" s="2141"/>
      <c r="QJS24" s="2140"/>
      <c r="QJT24" s="2141"/>
      <c r="QJU24" s="2141"/>
      <c r="QJV24" s="2140"/>
      <c r="QJW24" s="2141"/>
      <c r="QJX24" s="2141"/>
      <c r="QJY24" s="2140"/>
      <c r="QJZ24" s="2141"/>
      <c r="QKA24" s="2141"/>
      <c r="QKB24" s="2140"/>
      <c r="QKC24" s="2141"/>
      <c r="QKD24" s="2141"/>
      <c r="QKE24" s="2140"/>
      <c r="QKF24" s="2141"/>
      <c r="QKG24" s="2141"/>
      <c r="QKH24" s="2140"/>
      <c r="QKI24" s="2141"/>
      <c r="QKJ24" s="2141"/>
      <c r="QKK24" s="2140"/>
      <c r="QKL24" s="2141"/>
      <c r="QKM24" s="2141"/>
      <c r="QKN24" s="2140"/>
      <c r="QKO24" s="2141"/>
      <c r="QKP24" s="2141"/>
      <c r="QKQ24" s="2140"/>
      <c r="QKR24" s="2141"/>
      <c r="QKS24" s="2141"/>
      <c r="QKT24" s="2140"/>
      <c r="QKU24" s="2141"/>
      <c r="QKV24" s="2141"/>
      <c r="QKW24" s="2140"/>
      <c r="QKX24" s="2141"/>
      <c r="QKY24" s="2141"/>
      <c r="QKZ24" s="2140"/>
      <c r="QLA24" s="2141"/>
      <c r="QLB24" s="2141"/>
      <c r="QLC24" s="2140"/>
      <c r="QLD24" s="2141"/>
      <c r="QLE24" s="2141"/>
      <c r="QLF24" s="2140"/>
      <c r="QLG24" s="2141"/>
      <c r="QLH24" s="2141"/>
      <c r="QLI24" s="2140"/>
      <c r="QLJ24" s="2141"/>
      <c r="QLK24" s="2141"/>
      <c r="QLL24" s="2140"/>
      <c r="QLM24" s="2141"/>
      <c r="QLN24" s="2141"/>
      <c r="QLO24" s="2140"/>
      <c r="QLP24" s="2141"/>
      <c r="QLQ24" s="2141"/>
      <c r="QLR24" s="2140"/>
      <c r="QLS24" s="2141"/>
      <c r="QLT24" s="2141"/>
      <c r="QLU24" s="2140"/>
      <c r="QLV24" s="2141"/>
      <c r="QLW24" s="2141"/>
      <c r="QLX24" s="2140"/>
      <c r="QLY24" s="2141"/>
      <c r="QLZ24" s="2141"/>
      <c r="QMA24" s="2140"/>
      <c r="QMB24" s="2141"/>
      <c r="QMC24" s="2141"/>
      <c r="QMD24" s="2140"/>
      <c r="QME24" s="2141"/>
      <c r="QMF24" s="2141"/>
      <c r="QMG24" s="2140"/>
      <c r="QMH24" s="2141"/>
      <c r="QMI24" s="2141"/>
      <c r="QMJ24" s="2140"/>
      <c r="QMK24" s="2141"/>
      <c r="QML24" s="2141"/>
      <c r="QMM24" s="2140"/>
      <c r="QMN24" s="2141"/>
      <c r="QMO24" s="2141"/>
      <c r="QMP24" s="2140"/>
      <c r="QMQ24" s="2141"/>
      <c r="QMR24" s="2141"/>
      <c r="QMS24" s="2140"/>
      <c r="QMT24" s="2141"/>
      <c r="QMU24" s="2141"/>
      <c r="QMV24" s="2140"/>
      <c r="QMW24" s="2141"/>
      <c r="QMX24" s="2141"/>
      <c r="QMY24" s="2140"/>
      <c r="QMZ24" s="2141"/>
      <c r="QNA24" s="2141"/>
      <c r="QNB24" s="2140"/>
      <c r="QNC24" s="2141"/>
      <c r="QND24" s="2141"/>
      <c r="QNE24" s="2140"/>
      <c r="QNF24" s="2141"/>
      <c r="QNG24" s="2141"/>
      <c r="QNH24" s="2140"/>
      <c r="QNI24" s="2141"/>
      <c r="QNJ24" s="2141"/>
      <c r="QNK24" s="2140"/>
      <c r="QNL24" s="2141"/>
      <c r="QNM24" s="2141"/>
      <c r="QNN24" s="2140"/>
      <c r="QNO24" s="2141"/>
      <c r="QNP24" s="2141"/>
      <c r="QNQ24" s="2140"/>
      <c r="QNR24" s="2141"/>
      <c r="QNS24" s="2141"/>
      <c r="QNT24" s="2140"/>
      <c r="QNU24" s="2141"/>
      <c r="QNV24" s="2141"/>
      <c r="QNW24" s="2140"/>
      <c r="QNX24" s="2141"/>
      <c r="QNY24" s="2141"/>
      <c r="QNZ24" s="2140"/>
      <c r="QOA24" s="2141"/>
      <c r="QOB24" s="2141"/>
      <c r="QOC24" s="2140"/>
      <c r="QOD24" s="2141"/>
      <c r="QOE24" s="2141"/>
      <c r="QOF24" s="2140"/>
      <c r="QOG24" s="2141"/>
      <c r="QOH24" s="2141"/>
      <c r="QOI24" s="2140"/>
      <c r="QOJ24" s="2141"/>
      <c r="QOK24" s="2141"/>
      <c r="QOL24" s="2140"/>
      <c r="QOM24" s="2141"/>
      <c r="QON24" s="2141"/>
      <c r="QOO24" s="2140"/>
      <c r="QOP24" s="2141"/>
      <c r="QOQ24" s="2141"/>
      <c r="QOR24" s="2140"/>
      <c r="QOS24" s="2141"/>
      <c r="QOT24" s="2141"/>
      <c r="QOU24" s="2140"/>
      <c r="QOV24" s="2141"/>
      <c r="QOW24" s="2141"/>
      <c r="QOX24" s="2140"/>
      <c r="QOY24" s="2141"/>
      <c r="QOZ24" s="2141"/>
      <c r="QPA24" s="2140"/>
      <c r="QPB24" s="2141"/>
      <c r="QPC24" s="2141"/>
      <c r="QPD24" s="2140"/>
      <c r="QPE24" s="2141"/>
      <c r="QPF24" s="2141"/>
      <c r="QPG24" s="2140"/>
      <c r="QPH24" s="2141"/>
      <c r="QPI24" s="2141"/>
      <c r="QPJ24" s="2140"/>
      <c r="QPK24" s="2141"/>
      <c r="QPL24" s="2141"/>
      <c r="QPM24" s="2140"/>
      <c r="QPN24" s="2141"/>
      <c r="QPO24" s="2141"/>
      <c r="QPP24" s="2140"/>
      <c r="QPQ24" s="2141"/>
      <c r="QPR24" s="2141"/>
      <c r="QPS24" s="2140"/>
      <c r="QPT24" s="2141"/>
      <c r="QPU24" s="2141"/>
      <c r="QPV24" s="2140"/>
      <c r="QPW24" s="2141"/>
      <c r="QPX24" s="2141"/>
      <c r="QPY24" s="2140"/>
      <c r="QPZ24" s="2141"/>
      <c r="QQA24" s="2141"/>
      <c r="QQB24" s="2140"/>
      <c r="QQC24" s="2141"/>
      <c r="QQD24" s="2141"/>
      <c r="QQE24" s="2140"/>
      <c r="QQF24" s="2141"/>
      <c r="QQG24" s="2141"/>
      <c r="QQH24" s="2140"/>
      <c r="QQI24" s="2141"/>
      <c r="QQJ24" s="2141"/>
      <c r="QQK24" s="2140"/>
      <c r="QQL24" s="2141"/>
      <c r="QQM24" s="2141"/>
      <c r="QQN24" s="2140"/>
      <c r="QQO24" s="2141"/>
      <c r="QQP24" s="2141"/>
      <c r="QQQ24" s="2140"/>
      <c r="QQR24" s="2141"/>
      <c r="QQS24" s="2141"/>
      <c r="QQT24" s="2140"/>
      <c r="QQU24" s="2141"/>
      <c r="QQV24" s="2141"/>
      <c r="QQW24" s="2140"/>
      <c r="QQX24" s="2141"/>
      <c r="QQY24" s="2141"/>
      <c r="QQZ24" s="2140"/>
      <c r="QRA24" s="2141"/>
      <c r="QRB24" s="2141"/>
      <c r="QRC24" s="2140"/>
      <c r="QRD24" s="2141"/>
      <c r="QRE24" s="2141"/>
      <c r="QRF24" s="2140"/>
      <c r="QRG24" s="2141"/>
      <c r="QRH24" s="2141"/>
      <c r="QRI24" s="2140"/>
      <c r="QRJ24" s="2141"/>
      <c r="QRK24" s="2141"/>
      <c r="QRL24" s="2140"/>
      <c r="QRM24" s="2141"/>
      <c r="QRN24" s="2141"/>
      <c r="QRO24" s="2140"/>
      <c r="QRP24" s="2141"/>
      <c r="QRQ24" s="2141"/>
      <c r="QRR24" s="2140"/>
      <c r="QRS24" s="2141"/>
      <c r="QRT24" s="2141"/>
      <c r="QRU24" s="2140"/>
      <c r="QRV24" s="2141"/>
      <c r="QRW24" s="2141"/>
      <c r="QRX24" s="2140"/>
      <c r="QRY24" s="2141"/>
      <c r="QRZ24" s="2141"/>
      <c r="QSA24" s="2140"/>
      <c r="QSB24" s="2141"/>
      <c r="QSC24" s="2141"/>
      <c r="QSD24" s="2140"/>
      <c r="QSE24" s="2141"/>
      <c r="QSF24" s="2141"/>
      <c r="QSG24" s="2140"/>
      <c r="QSH24" s="2141"/>
      <c r="QSI24" s="2141"/>
      <c r="QSJ24" s="2140"/>
      <c r="QSK24" s="2141"/>
      <c r="QSL24" s="2141"/>
      <c r="QSM24" s="2140"/>
      <c r="QSN24" s="2141"/>
      <c r="QSO24" s="2141"/>
      <c r="QSP24" s="2140"/>
      <c r="QSQ24" s="2141"/>
      <c r="QSR24" s="2141"/>
      <c r="QSS24" s="2140"/>
      <c r="QST24" s="2141"/>
      <c r="QSU24" s="2141"/>
      <c r="QSV24" s="2140"/>
      <c r="QSW24" s="2141"/>
      <c r="QSX24" s="2141"/>
      <c r="QSY24" s="2140"/>
      <c r="QSZ24" s="2141"/>
      <c r="QTA24" s="2141"/>
      <c r="QTB24" s="2140"/>
      <c r="QTC24" s="2141"/>
      <c r="QTD24" s="2141"/>
      <c r="QTE24" s="2140"/>
      <c r="QTF24" s="2141"/>
      <c r="QTG24" s="2141"/>
      <c r="QTH24" s="2140"/>
      <c r="QTI24" s="2141"/>
      <c r="QTJ24" s="2141"/>
      <c r="QTK24" s="2140"/>
      <c r="QTL24" s="2141"/>
      <c r="QTM24" s="2141"/>
      <c r="QTN24" s="2140"/>
      <c r="QTO24" s="2141"/>
      <c r="QTP24" s="2141"/>
      <c r="QTQ24" s="2140"/>
      <c r="QTR24" s="2141"/>
      <c r="QTS24" s="2141"/>
      <c r="QTT24" s="2140"/>
      <c r="QTU24" s="2141"/>
      <c r="QTV24" s="2141"/>
      <c r="QTW24" s="2140"/>
      <c r="QTX24" s="2141"/>
      <c r="QTY24" s="2141"/>
      <c r="QTZ24" s="2140"/>
      <c r="QUA24" s="2141"/>
      <c r="QUB24" s="2141"/>
      <c r="QUC24" s="2140"/>
      <c r="QUD24" s="2141"/>
      <c r="QUE24" s="2141"/>
      <c r="QUF24" s="2140"/>
      <c r="QUG24" s="2141"/>
      <c r="QUH24" s="2141"/>
      <c r="QUI24" s="2140"/>
      <c r="QUJ24" s="2141"/>
      <c r="QUK24" s="2141"/>
      <c r="QUL24" s="2140"/>
      <c r="QUM24" s="2141"/>
      <c r="QUN24" s="2141"/>
      <c r="QUO24" s="2140"/>
      <c r="QUP24" s="2141"/>
      <c r="QUQ24" s="2141"/>
      <c r="QUR24" s="2140"/>
      <c r="QUS24" s="2141"/>
      <c r="QUT24" s="2141"/>
      <c r="QUU24" s="2140"/>
      <c r="QUV24" s="2141"/>
      <c r="QUW24" s="2141"/>
      <c r="QUX24" s="2140"/>
      <c r="QUY24" s="2141"/>
      <c r="QUZ24" s="2141"/>
      <c r="QVA24" s="2140"/>
      <c r="QVB24" s="2141"/>
      <c r="QVC24" s="2141"/>
      <c r="QVD24" s="2140"/>
      <c r="QVE24" s="2141"/>
      <c r="QVF24" s="2141"/>
      <c r="QVG24" s="2140"/>
      <c r="QVH24" s="2141"/>
      <c r="QVI24" s="2141"/>
      <c r="QVJ24" s="2140"/>
      <c r="QVK24" s="2141"/>
      <c r="QVL24" s="2141"/>
      <c r="QVM24" s="2140"/>
      <c r="QVN24" s="2141"/>
      <c r="QVO24" s="2141"/>
      <c r="QVP24" s="2140"/>
      <c r="QVQ24" s="2141"/>
      <c r="QVR24" s="2141"/>
      <c r="QVS24" s="2140"/>
      <c r="QVT24" s="2141"/>
      <c r="QVU24" s="2141"/>
      <c r="QVV24" s="2140"/>
      <c r="QVW24" s="2141"/>
      <c r="QVX24" s="2141"/>
      <c r="QVY24" s="2140"/>
      <c r="QVZ24" s="2141"/>
      <c r="QWA24" s="2141"/>
      <c r="QWB24" s="2140"/>
      <c r="QWC24" s="2141"/>
      <c r="QWD24" s="2141"/>
      <c r="QWE24" s="2140"/>
      <c r="QWF24" s="2141"/>
      <c r="QWG24" s="2141"/>
      <c r="QWH24" s="2140"/>
      <c r="QWI24" s="2141"/>
      <c r="QWJ24" s="2141"/>
      <c r="QWK24" s="2140"/>
      <c r="QWL24" s="2141"/>
      <c r="QWM24" s="2141"/>
      <c r="QWN24" s="2140"/>
      <c r="QWO24" s="2141"/>
      <c r="QWP24" s="2141"/>
      <c r="QWQ24" s="2140"/>
      <c r="QWR24" s="2141"/>
      <c r="QWS24" s="2141"/>
      <c r="QWT24" s="2140"/>
      <c r="QWU24" s="2141"/>
      <c r="QWV24" s="2141"/>
      <c r="QWW24" s="2140"/>
      <c r="QWX24" s="2141"/>
      <c r="QWY24" s="2141"/>
      <c r="QWZ24" s="2140"/>
      <c r="QXA24" s="2141"/>
      <c r="QXB24" s="2141"/>
      <c r="QXC24" s="2140"/>
      <c r="QXD24" s="2141"/>
      <c r="QXE24" s="2141"/>
      <c r="QXF24" s="2140"/>
      <c r="QXG24" s="2141"/>
      <c r="QXH24" s="2141"/>
      <c r="QXI24" s="2140"/>
      <c r="QXJ24" s="2141"/>
      <c r="QXK24" s="2141"/>
      <c r="QXL24" s="2140"/>
      <c r="QXM24" s="2141"/>
      <c r="QXN24" s="2141"/>
      <c r="QXO24" s="2140"/>
      <c r="QXP24" s="2141"/>
      <c r="QXQ24" s="2141"/>
      <c r="QXR24" s="2140"/>
      <c r="QXS24" s="2141"/>
      <c r="QXT24" s="2141"/>
      <c r="QXU24" s="2140"/>
      <c r="QXV24" s="2141"/>
      <c r="QXW24" s="2141"/>
      <c r="QXX24" s="2140"/>
      <c r="QXY24" s="2141"/>
      <c r="QXZ24" s="2141"/>
      <c r="QYA24" s="2140"/>
      <c r="QYB24" s="2141"/>
      <c r="QYC24" s="2141"/>
      <c r="QYD24" s="2140"/>
      <c r="QYE24" s="2141"/>
      <c r="QYF24" s="2141"/>
      <c r="QYG24" s="2140"/>
      <c r="QYH24" s="2141"/>
      <c r="QYI24" s="2141"/>
      <c r="QYJ24" s="2140"/>
      <c r="QYK24" s="2141"/>
      <c r="QYL24" s="2141"/>
      <c r="QYM24" s="2140"/>
      <c r="QYN24" s="2141"/>
      <c r="QYO24" s="2141"/>
      <c r="QYP24" s="2140"/>
      <c r="QYQ24" s="2141"/>
      <c r="QYR24" s="2141"/>
      <c r="QYS24" s="2140"/>
      <c r="QYT24" s="2141"/>
      <c r="QYU24" s="2141"/>
      <c r="QYV24" s="2140"/>
      <c r="QYW24" s="2141"/>
      <c r="QYX24" s="2141"/>
      <c r="QYY24" s="2140"/>
      <c r="QYZ24" s="2141"/>
      <c r="QZA24" s="2141"/>
      <c r="QZB24" s="2140"/>
      <c r="QZC24" s="2141"/>
      <c r="QZD24" s="2141"/>
      <c r="QZE24" s="2140"/>
      <c r="QZF24" s="2141"/>
      <c r="QZG24" s="2141"/>
      <c r="QZH24" s="2140"/>
      <c r="QZI24" s="2141"/>
      <c r="QZJ24" s="2141"/>
      <c r="QZK24" s="2140"/>
      <c r="QZL24" s="2141"/>
      <c r="QZM24" s="2141"/>
      <c r="QZN24" s="2140"/>
      <c r="QZO24" s="2141"/>
      <c r="QZP24" s="2141"/>
      <c r="QZQ24" s="2140"/>
      <c r="QZR24" s="2141"/>
      <c r="QZS24" s="2141"/>
      <c r="QZT24" s="2140"/>
      <c r="QZU24" s="2141"/>
      <c r="QZV24" s="2141"/>
      <c r="QZW24" s="2140"/>
      <c r="QZX24" s="2141"/>
      <c r="QZY24" s="2141"/>
      <c r="QZZ24" s="2140"/>
      <c r="RAA24" s="2141"/>
      <c r="RAB24" s="2141"/>
      <c r="RAC24" s="2140"/>
      <c r="RAD24" s="2141"/>
      <c r="RAE24" s="2141"/>
      <c r="RAF24" s="2140"/>
      <c r="RAG24" s="2141"/>
      <c r="RAH24" s="2141"/>
      <c r="RAI24" s="2140"/>
      <c r="RAJ24" s="2141"/>
      <c r="RAK24" s="2141"/>
      <c r="RAL24" s="2140"/>
      <c r="RAM24" s="2141"/>
      <c r="RAN24" s="2141"/>
      <c r="RAO24" s="2140"/>
      <c r="RAP24" s="2141"/>
      <c r="RAQ24" s="2141"/>
      <c r="RAR24" s="2140"/>
      <c r="RAS24" s="2141"/>
      <c r="RAT24" s="2141"/>
      <c r="RAU24" s="2140"/>
      <c r="RAV24" s="2141"/>
      <c r="RAW24" s="2141"/>
      <c r="RAX24" s="2140"/>
      <c r="RAY24" s="2141"/>
      <c r="RAZ24" s="2141"/>
      <c r="RBA24" s="2140"/>
      <c r="RBB24" s="2141"/>
      <c r="RBC24" s="2141"/>
      <c r="RBD24" s="2140"/>
      <c r="RBE24" s="2141"/>
      <c r="RBF24" s="2141"/>
      <c r="RBG24" s="2140"/>
      <c r="RBH24" s="2141"/>
      <c r="RBI24" s="2141"/>
      <c r="RBJ24" s="2140"/>
      <c r="RBK24" s="2141"/>
      <c r="RBL24" s="2141"/>
      <c r="RBM24" s="2140"/>
      <c r="RBN24" s="2141"/>
      <c r="RBO24" s="2141"/>
      <c r="RBP24" s="2140"/>
      <c r="RBQ24" s="2141"/>
      <c r="RBR24" s="2141"/>
      <c r="RBS24" s="2140"/>
      <c r="RBT24" s="2141"/>
      <c r="RBU24" s="2141"/>
      <c r="RBV24" s="2140"/>
      <c r="RBW24" s="2141"/>
      <c r="RBX24" s="2141"/>
      <c r="RBY24" s="2140"/>
      <c r="RBZ24" s="2141"/>
      <c r="RCA24" s="2141"/>
      <c r="RCB24" s="2140"/>
      <c r="RCC24" s="2141"/>
      <c r="RCD24" s="2141"/>
      <c r="RCE24" s="2140"/>
      <c r="RCF24" s="2141"/>
      <c r="RCG24" s="2141"/>
      <c r="RCH24" s="2140"/>
      <c r="RCI24" s="2141"/>
      <c r="RCJ24" s="2141"/>
      <c r="RCK24" s="2140"/>
      <c r="RCL24" s="2141"/>
      <c r="RCM24" s="2141"/>
      <c r="RCN24" s="2140"/>
      <c r="RCO24" s="2141"/>
      <c r="RCP24" s="2141"/>
      <c r="RCQ24" s="2140"/>
      <c r="RCR24" s="2141"/>
      <c r="RCS24" s="2141"/>
      <c r="RCT24" s="2140"/>
      <c r="RCU24" s="2141"/>
      <c r="RCV24" s="2141"/>
      <c r="RCW24" s="2140"/>
      <c r="RCX24" s="2141"/>
      <c r="RCY24" s="2141"/>
      <c r="RCZ24" s="2140"/>
      <c r="RDA24" s="2141"/>
      <c r="RDB24" s="2141"/>
      <c r="RDC24" s="2140"/>
      <c r="RDD24" s="2141"/>
      <c r="RDE24" s="2141"/>
      <c r="RDF24" s="2140"/>
      <c r="RDG24" s="2141"/>
      <c r="RDH24" s="2141"/>
      <c r="RDI24" s="2140"/>
      <c r="RDJ24" s="2141"/>
      <c r="RDK24" s="2141"/>
      <c r="RDL24" s="2140"/>
      <c r="RDM24" s="2141"/>
      <c r="RDN24" s="2141"/>
      <c r="RDO24" s="2140"/>
      <c r="RDP24" s="2141"/>
      <c r="RDQ24" s="2141"/>
      <c r="RDR24" s="2140"/>
      <c r="RDS24" s="2141"/>
      <c r="RDT24" s="2141"/>
      <c r="RDU24" s="2140"/>
      <c r="RDV24" s="2141"/>
      <c r="RDW24" s="2141"/>
      <c r="RDX24" s="2140"/>
      <c r="RDY24" s="2141"/>
      <c r="RDZ24" s="2141"/>
      <c r="REA24" s="2140"/>
      <c r="REB24" s="2141"/>
      <c r="REC24" s="2141"/>
      <c r="RED24" s="2140"/>
      <c r="REE24" s="2141"/>
      <c r="REF24" s="2141"/>
      <c r="REG24" s="2140"/>
      <c r="REH24" s="2141"/>
      <c r="REI24" s="2141"/>
      <c r="REJ24" s="2140"/>
      <c r="REK24" s="2141"/>
      <c r="REL24" s="2141"/>
      <c r="REM24" s="2140"/>
      <c r="REN24" s="2141"/>
      <c r="REO24" s="2141"/>
      <c r="REP24" s="2140"/>
      <c r="REQ24" s="2141"/>
      <c r="RER24" s="2141"/>
      <c r="RES24" s="2140"/>
      <c r="RET24" s="2141"/>
      <c r="REU24" s="2141"/>
      <c r="REV24" s="2140"/>
      <c r="REW24" s="2141"/>
      <c r="REX24" s="2141"/>
      <c r="REY24" s="2140"/>
      <c r="REZ24" s="2141"/>
      <c r="RFA24" s="2141"/>
      <c r="RFB24" s="2140"/>
      <c r="RFC24" s="2141"/>
      <c r="RFD24" s="2141"/>
      <c r="RFE24" s="2140"/>
      <c r="RFF24" s="2141"/>
      <c r="RFG24" s="2141"/>
      <c r="RFH24" s="2140"/>
      <c r="RFI24" s="2141"/>
      <c r="RFJ24" s="2141"/>
      <c r="RFK24" s="2140"/>
      <c r="RFL24" s="2141"/>
      <c r="RFM24" s="2141"/>
      <c r="RFN24" s="2140"/>
      <c r="RFO24" s="2141"/>
      <c r="RFP24" s="2141"/>
      <c r="RFQ24" s="2140"/>
      <c r="RFR24" s="2141"/>
      <c r="RFS24" s="2141"/>
      <c r="RFT24" s="2140"/>
      <c r="RFU24" s="2141"/>
      <c r="RFV24" s="2141"/>
      <c r="RFW24" s="2140"/>
      <c r="RFX24" s="2141"/>
      <c r="RFY24" s="2141"/>
      <c r="RFZ24" s="2140"/>
      <c r="RGA24" s="2141"/>
      <c r="RGB24" s="2141"/>
      <c r="RGC24" s="2140"/>
      <c r="RGD24" s="2141"/>
      <c r="RGE24" s="2141"/>
      <c r="RGF24" s="2140"/>
      <c r="RGG24" s="2141"/>
      <c r="RGH24" s="2141"/>
      <c r="RGI24" s="2140"/>
      <c r="RGJ24" s="2141"/>
      <c r="RGK24" s="2141"/>
      <c r="RGL24" s="2140"/>
      <c r="RGM24" s="2141"/>
      <c r="RGN24" s="2141"/>
      <c r="RGO24" s="2140"/>
      <c r="RGP24" s="2141"/>
      <c r="RGQ24" s="2141"/>
      <c r="RGR24" s="2140"/>
      <c r="RGS24" s="2141"/>
      <c r="RGT24" s="2141"/>
      <c r="RGU24" s="2140"/>
      <c r="RGV24" s="2141"/>
      <c r="RGW24" s="2141"/>
      <c r="RGX24" s="2140"/>
      <c r="RGY24" s="2141"/>
      <c r="RGZ24" s="2141"/>
      <c r="RHA24" s="2140"/>
      <c r="RHB24" s="2141"/>
      <c r="RHC24" s="2141"/>
      <c r="RHD24" s="2140"/>
      <c r="RHE24" s="2141"/>
      <c r="RHF24" s="2141"/>
      <c r="RHG24" s="2140"/>
      <c r="RHH24" s="2141"/>
      <c r="RHI24" s="2141"/>
      <c r="RHJ24" s="2140"/>
      <c r="RHK24" s="2141"/>
      <c r="RHL24" s="2141"/>
      <c r="RHM24" s="2140"/>
      <c r="RHN24" s="2141"/>
      <c r="RHO24" s="2141"/>
      <c r="RHP24" s="2140"/>
      <c r="RHQ24" s="2141"/>
      <c r="RHR24" s="2141"/>
      <c r="RHS24" s="2140"/>
      <c r="RHT24" s="2141"/>
      <c r="RHU24" s="2141"/>
      <c r="RHV24" s="2140"/>
      <c r="RHW24" s="2141"/>
      <c r="RHX24" s="2141"/>
      <c r="RHY24" s="2140"/>
      <c r="RHZ24" s="2141"/>
      <c r="RIA24" s="2141"/>
      <c r="RIB24" s="2140"/>
      <c r="RIC24" s="2141"/>
      <c r="RID24" s="2141"/>
      <c r="RIE24" s="2140"/>
      <c r="RIF24" s="2141"/>
      <c r="RIG24" s="2141"/>
      <c r="RIH24" s="2140"/>
      <c r="RII24" s="2141"/>
      <c r="RIJ24" s="2141"/>
      <c r="RIK24" s="2140"/>
      <c r="RIL24" s="2141"/>
      <c r="RIM24" s="2141"/>
      <c r="RIN24" s="2140"/>
      <c r="RIO24" s="2141"/>
      <c r="RIP24" s="2141"/>
      <c r="RIQ24" s="2140"/>
      <c r="RIR24" s="2141"/>
      <c r="RIS24" s="2141"/>
      <c r="RIT24" s="2140"/>
      <c r="RIU24" s="2141"/>
      <c r="RIV24" s="2141"/>
      <c r="RIW24" s="2140"/>
      <c r="RIX24" s="2141"/>
      <c r="RIY24" s="2141"/>
      <c r="RIZ24" s="2140"/>
      <c r="RJA24" s="2141"/>
      <c r="RJB24" s="2141"/>
      <c r="RJC24" s="2140"/>
      <c r="RJD24" s="2141"/>
      <c r="RJE24" s="2141"/>
      <c r="RJF24" s="2140"/>
      <c r="RJG24" s="2141"/>
      <c r="RJH24" s="2141"/>
      <c r="RJI24" s="2140"/>
      <c r="RJJ24" s="2141"/>
      <c r="RJK24" s="2141"/>
      <c r="RJL24" s="2140"/>
      <c r="RJM24" s="2141"/>
      <c r="RJN24" s="2141"/>
      <c r="RJO24" s="2140"/>
      <c r="RJP24" s="2141"/>
      <c r="RJQ24" s="2141"/>
      <c r="RJR24" s="2140"/>
      <c r="RJS24" s="2141"/>
      <c r="RJT24" s="2141"/>
      <c r="RJU24" s="2140"/>
      <c r="RJV24" s="2141"/>
      <c r="RJW24" s="2141"/>
      <c r="RJX24" s="2140"/>
      <c r="RJY24" s="2141"/>
      <c r="RJZ24" s="2141"/>
      <c r="RKA24" s="2140"/>
      <c r="RKB24" s="2141"/>
      <c r="RKC24" s="2141"/>
      <c r="RKD24" s="2140"/>
      <c r="RKE24" s="2141"/>
      <c r="RKF24" s="2141"/>
      <c r="RKG24" s="2140"/>
      <c r="RKH24" s="2141"/>
      <c r="RKI24" s="2141"/>
      <c r="RKJ24" s="2140"/>
      <c r="RKK24" s="2141"/>
      <c r="RKL24" s="2141"/>
      <c r="RKM24" s="2140"/>
      <c r="RKN24" s="2141"/>
      <c r="RKO24" s="2141"/>
      <c r="RKP24" s="2140"/>
      <c r="RKQ24" s="2141"/>
      <c r="RKR24" s="2141"/>
      <c r="RKS24" s="2140"/>
      <c r="RKT24" s="2141"/>
      <c r="RKU24" s="2141"/>
      <c r="RKV24" s="2140"/>
      <c r="RKW24" s="2141"/>
      <c r="RKX24" s="2141"/>
      <c r="RKY24" s="2140"/>
      <c r="RKZ24" s="2141"/>
      <c r="RLA24" s="2141"/>
      <c r="RLB24" s="2140"/>
      <c r="RLC24" s="2141"/>
      <c r="RLD24" s="2141"/>
      <c r="RLE24" s="2140"/>
      <c r="RLF24" s="2141"/>
      <c r="RLG24" s="2141"/>
      <c r="RLH24" s="2140"/>
      <c r="RLI24" s="2141"/>
      <c r="RLJ24" s="2141"/>
      <c r="RLK24" s="2140"/>
      <c r="RLL24" s="2141"/>
      <c r="RLM24" s="2141"/>
      <c r="RLN24" s="2140"/>
      <c r="RLO24" s="2141"/>
      <c r="RLP24" s="2141"/>
      <c r="RLQ24" s="2140"/>
      <c r="RLR24" s="2141"/>
      <c r="RLS24" s="2141"/>
      <c r="RLT24" s="2140"/>
      <c r="RLU24" s="2141"/>
      <c r="RLV24" s="2141"/>
      <c r="RLW24" s="2140"/>
      <c r="RLX24" s="2141"/>
      <c r="RLY24" s="2141"/>
      <c r="RLZ24" s="2140"/>
      <c r="RMA24" s="2141"/>
      <c r="RMB24" s="2141"/>
      <c r="RMC24" s="2140"/>
      <c r="RMD24" s="2141"/>
      <c r="RME24" s="2141"/>
      <c r="RMF24" s="2140"/>
      <c r="RMG24" s="2141"/>
      <c r="RMH24" s="2141"/>
      <c r="RMI24" s="2140"/>
      <c r="RMJ24" s="2141"/>
      <c r="RMK24" s="2141"/>
      <c r="RML24" s="2140"/>
      <c r="RMM24" s="2141"/>
      <c r="RMN24" s="2141"/>
      <c r="RMO24" s="2140"/>
      <c r="RMP24" s="2141"/>
      <c r="RMQ24" s="2141"/>
      <c r="RMR24" s="2140"/>
      <c r="RMS24" s="2141"/>
      <c r="RMT24" s="2141"/>
      <c r="RMU24" s="2140"/>
      <c r="RMV24" s="2141"/>
      <c r="RMW24" s="2141"/>
      <c r="RMX24" s="2140"/>
      <c r="RMY24" s="2141"/>
      <c r="RMZ24" s="2141"/>
      <c r="RNA24" s="2140"/>
      <c r="RNB24" s="2141"/>
      <c r="RNC24" s="2141"/>
      <c r="RND24" s="2140"/>
      <c r="RNE24" s="2141"/>
      <c r="RNF24" s="2141"/>
      <c r="RNG24" s="2140"/>
      <c r="RNH24" s="2141"/>
      <c r="RNI24" s="2141"/>
      <c r="RNJ24" s="2140"/>
      <c r="RNK24" s="2141"/>
      <c r="RNL24" s="2141"/>
      <c r="RNM24" s="2140"/>
      <c r="RNN24" s="2141"/>
      <c r="RNO24" s="2141"/>
      <c r="RNP24" s="2140"/>
      <c r="RNQ24" s="2141"/>
      <c r="RNR24" s="2141"/>
      <c r="RNS24" s="2140"/>
      <c r="RNT24" s="2141"/>
      <c r="RNU24" s="2141"/>
      <c r="RNV24" s="2140"/>
      <c r="RNW24" s="2141"/>
      <c r="RNX24" s="2141"/>
      <c r="RNY24" s="2140"/>
      <c r="RNZ24" s="2141"/>
      <c r="ROA24" s="2141"/>
      <c r="ROB24" s="2140"/>
      <c r="ROC24" s="2141"/>
      <c r="ROD24" s="2141"/>
      <c r="ROE24" s="2140"/>
      <c r="ROF24" s="2141"/>
      <c r="ROG24" s="2141"/>
      <c r="ROH24" s="2140"/>
      <c r="ROI24" s="2141"/>
      <c r="ROJ24" s="2141"/>
      <c r="ROK24" s="2140"/>
      <c r="ROL24" s="2141"/>
      <c r="ROM24" s="2141"/>
      <c r="RON24" s="2140"/>
      <c r="ROO24" s="2141"/>
      <c r="ROP24" s="2141"/>
      <c r="ROQ24" s="2140"/>
      <c r="ROR24" s="2141"/>
      <c r="ROS24" s="2141"/>
      <c r="ROT24" s="2140"/>
      <c r="ROU24" s="2141"/>
      <c r="ROV24" s="2141"/>
      <c r="ROW24" s="2140"/>
      <c r="ROX24" s="2141"/>
      <c r="ROY24" s="2141"/>
      <c r="ROZ24" s="2140"/>
      <c r="RPA24" s="2141"/>
      <c r="RPB24" s="2141"/>
      <c r="RPC24" s="2140"/>
      <c r="RPD24" s="2141"/>
      <c r="RPE24" s="2141"/>
      <c r="RPF24" s="2140"/>
      <c r="RPG24" s="2141"/>
      <c r="RPH24" s="2141"/>
      <c r="RPI24" s="2140"/>
      <c r="RPJ24" s="2141"/>
      <c r="RPK24" s="2141"/>
      <c r="RPL24" s="2140"/>
      <c r="RPM24" s="2141"/>
      <c r="RPN24" s="2141"/>
      <c r="RPO24" s="2140"/>
      <c r="RPP24" s="2141"/>
      <c r="RPQ24" s="2141"/>
      <c r="RPR24" s="2140"/>
      <c r="RPS24" s="2141"/>
      <c r="RPT24" s="2141"/>
      <c r="RPU24" s="2140"/>
      <c r="RPV24" s="2141"/>
      <c r="RPW24" s="2141"/>
      <c r="RPX24" s="2140"/>
      <c r="RPY24" s="2141"/>
      <c r="RPZ24" s="2141"/>
      <c r="RQA24" s="2140"/>
      <c r="RQB24" s="2141"/>
      <c r="RQC24" s="2141"/>
      <c r="RQD24" s="2140"/>
      <c r="RQE24" s="2141"/>
      <c r="RQF24" s="2141"/>
      <c r="RQG24" s="2140"/>
      <c r="RQH24" s="2141"/>
      <c r="RQI24" s="2141"/>
      <c r="RQJ24" s="2140"/>
      <c r="RQK24" s="2141"/>
      <c r="RQL24" s="2141"/>
      <c r="RQM24" s="2140"/>
      <c r="RQN24" s="2141"/>
      <c r="RQO24" s="2141"/>
      <c r="RQP24" s="2140"/>
      <c r="RQQ24" s="2141"/>
      <c r="RQR24" s="2141"/>
      <c r="RQS24" s="2140"/>
      <c r="RQT24" s="2141"/>
      <c r="RQU24" s="2141"/>
      <c r="RQV24" s="2140"/>
      <c r="RQW24" s="2141"/>
      <c r="RQX24" s="2141"/>
      <c r="RQY24" s="2140"/>
      <c r="RQZ24" s="2141"/>
      <c r="RRA24" s="2141"/>
      <c r="RRB24" s="2140"/>
      <c r="RRC24" s="2141"/>
      <c r="RRD24" s="2141"/>
      <c r="RRE24" s="2140"/>
      <c r="RRF24" s="2141"/>
      <c r="RRG24" s="2141"/>
      <c r="RRH24" s="2140"/>
      <c r="RRI24" s="2141"/>
      <c r="RRJ24" s="2141"/>
      <c r="RRK24" s="2140"/>
      <c r="RRL24" s="2141"/>
      <c r="RRM24" s="2141"/>
      <c r="RRN24" s="2140"/>
      <c r="RRO24" s="2141"/>
      <c r="RRP24" s="2141"/>
      <c r="RRQ24" s="2140"/>
      <c r="RRR24" s="2141"/>
      <c r="RRS24" s="2141"/>
      <c r="RRT24" s="2140"/>
      <c r="RRU24" s="2141"/>
      <c r="RRV24" s="2141"/>
      <c r="RRW24" s="2140"/>
      <c r="RRX24" s="2141"/>
      <c r="RRY24" s="2141"/>
      <c r="RRZ24" s="2140"/>
      <c r="RSA24" s="2141"/>
      <c r="RSB24" s="2141"/>
      <c r="RSC24" s="2140"/>
      <c r="RSD24" s="2141"/>
      <c r="RSE24" s="2141"/>
      <c r="RSF24" s="2140"/>
      <c r="RSG24" s="2141"/>
      <c r="RSH24" s="2141"/>
      <c r="RSI24" s="2140"/>
      <c r="RSJ24" s="2141"/>
      <c r="RSK24" s="2141"/>
      <c r="RSL24" s="2140"/>
      <c r="RSM24" s="2141"/>
      <c r="RSN24" s="2141"/>
      <c r="RSO24" s="2140"/>
      <c r="RSP24" s="2141"/>
      <c r="RSQ24" s="2141"/>
      <c r="RSR24" s="2140"/>
      <c r="RSS24" s="2141"/>
      <c r="RST24" s="2141"/>
      <c r="RSU24" s="2140"/>
      <c r="RSV24" s="2141"/>
      <c r="RSW24" s="2141"/>
      <c r="RSX24" s="2140"/>
      <c r="RSY24" s="2141"/>
      <c r="RSZ24" s="2141"/>
      <c r="RTA24" s="2140"/>
      <c r="RTB24" s="2141"/>
      <c r="RTC24" s="2141"/>
      <c r="RTD24" s="2140"/>
      <c r="RTE24" s="2141"/>
      <c r="RTF24" s="2141"/>
      <c r="RTG24" s="2140"/>
      <c r="RTH24" s="2141"/>
      <c r="RTI24" s="2141"/>
      <c r="RTJ24" s="2140"/>
      <c r="RTK24" s="2141"/>
      <c r="RTL24" s="2141"/>
      <c r="RTM24" s="2140"/>
      <c r="RTN24" s="2141"/>
      <c r="RTO24" s="2141"/>
      <c r="RTP24" s="2140"/>
      <c r="RTQ24" s="2141"/>
      <c r="RTR24" s="2141"/>
      <c r="RTS24" s="2140"/>
      <c r="RTT24" s="2141"/>
      <c r="RTU24" s="2141"/>
      <c r="RTV24" s="2140"/>
      <c r="RTW24" s="2141"/>
      <c r="RTX24" s="2141"/>
      <c r="RTY24" s="2140"/>
      <c r="RTZ24" s="2141"/>
      <c r="RUA24" s="2141"/>
      <c r="RUB24" s="2140"/>
      <c r="RUC24" s="2141"/>
      <c r="RUD24" s="2141"/>
      <c r="RUE24" s="2140"/>
      <c r="RUF24" s="2141"/>
      <c r="RUG24" s="2141"/>
      <c r="RUH24" s="2140"/>
      <c r="RUI24" s="2141"/>
      <c r="RUJ24" s="2141"/>
      <c r="RUK24" s="2140"/>
      <c r="RUL24" s="2141"/>
      <c r="RUM24" s="2141"/>
      <c r="RUN24" s="2140"/>
      <c r="RUO24" s="2141"/>
      <c r="RUP24" s="2141"/>
      <c r="RUQ24" s="2140"/>
      <c r="RUR24" s="2141"/>
      <c r="RUS24" s="2141"/>
      <c r="RUT24" s="2140"/>
      <c r="RUU24" s="2141"/>
      <c r="RUV24" s="2141"/>
      <c r="RUW24" s="2140"/>
      <c r="RUX24" s="2141"/>
      <c r="RUY24" s="2141"/>
      <c r="RUZ24" s="2140"/>
      <c r="RVA24" s="2141"/>
      <c r="RVB24" s="2141"/>
      <c r="RVC24" s="2140"/>
      <c r="RVD24" s="2141"/>
      <c r="RVE24" s="2141"/>
      <c r="RVF24" s="2140"/>
      <c r="RVG24" s="2141"/>
      <c r="RVH24" s="2141"/>
      <c r="RVI24" s="2140"/>
      <c r="RVJ24" s="2141"/>
      <c r="RVK24" s="2141"/>
      <c r="RVL24" s="2140"/>
      <c r="RVM24" s="2141"/>
      <c r="RVN24" s="2141"/>
      <c r="RVO24" s="2140"/>
      <c r="RVP24" s="2141"/>
      <c r="RVQ24" s="2141"/>
      <c r="RVR24" s="2140"/>
      <c r="RVS24" s="2141"/>
      <c r="RVT24" s="2141"/>
      <c r="RVU24" s="2140"/>
      <c r="RVV24" s="2141"/>
      <c r="RVW24" s="2141"/>
      <c r="RVX24" s="2140"/>
      <c r="RVY24" s="2141"/>
      <c r="RVZ24" s="2141"/>
      <c r="RWA24" s="2140"/>
      <c r="RWB24" s="2141"/>
      <c r="RWC24" s="2141"/>
      <c r="RWD24" s="2140"/>
      <c r="RWE24" s="2141"/>
      <c r="RWF24" s="2141"/>
      <c r="RWG24" s="2140"/>
      <c r="RWH24" s="2141"/>
      <c r="RWI24" s="2141"/>
      <c r="RWJ24" s="2140"/>
      <c r="RWK24" s="2141"/>
      <c r="RWL24" s="2141"/>
      <c r="RWM24" s="2140"/>
      <c r="RWN24" s="2141"/>
      <c r="RWO24" s="2141"/>
      <c r="RWP24" s="2140"/>
      <c r="RWQ24" s="2141"/>
      <c r="RWR24" s="2141"/>
      <c r="RWS24" s="2140"/>
      <c r="RWT24" s="2141"/>
      <c r="RWU24" s="2141"/>
      <c r="RWV24" s="2140"/>
      <c r="RWW24" s="2141"/>
      <c r="RWX24" s="2141"/>
      <c r="RWY24" s="2140"/>
      <c r="RWZ24" s="2141"/>
      <c r="RXA24" s="2141"/>
      <c r="RXB24" s="2140"/>
      <c r="RXC24" s="2141"/>
      <c r="RXD24" s="2141"/>
      <c r="RXE24" s="2140"/>
      <c r="RXF24" s="2141"/>
      <c r="RXG24" s="2141"/>
      <c r="RXH24" s="2140"/>
      <c r="RXI24" s="2141"/>
      <c r="RXJ24" s="2141"/>
      <c r="RXK24" s="2140"/>
      <c r="RXL24" s="2141"/>
      <c r="RXM24" s="2141"/>
      <c r="RXN24" s="2140"/>
      <c r="RXO24" s="2141"/>
      <c r="RXP24" s="2141"/>
      <c r="RXQ24" s="2140"/>
      <c r="RXR24" s="2141"/>
      <c r="RXS24" s="2141"/>
      <c r="RXT24" s="2140"/>
      <c r="RXU24" s="2141"/>
      <c r="RXV24" s="2141"/>
      <c r="RXW24" s="2140"/>
      <c r="RXX24" s="2141"/>
      <c r="RXY24" s="2141"/>
      <c r="RXZ24" s="2140"/>
      <c r="RYA24" s="2141"/>
      <c r="RYB24" s="2141"/>
      <c r="RYC24" s="2140"/>
      <c r="RYD24" s="2141"/>
      <c r="RYE24" s="2141"/>
      <c r="RYF24" s="2140"/>
      <c r="RYG24" s="2141"/>
      <c r="RYH24" s="2141"/>
      <c r="RYI24" s="2140"/>
      <c r="RYJ24" s="2141"/>
      <c r="RYK24" s="2141"/>
      <c r="RYL24" s="2140"/>
      <c r="RYM24" s="2141"/>
      <c r="RYN24" s="2141"/>
      <c r="RYO24" s="2140"/>
      <c r="RYP24" s="2141"/>
      <c r="RYQ24" s="2141"/>
      <c r="RYR24" s="2140"/>
      <c r="RYS24" s="2141"/>
      <c r="RYT24" s="2141"/>
      <c r="RYU24" s="2140"/>
      <c r="RYV24" s="2141"/>
      <c r="RYW24" s="2141"/>
      <c r="RYX24" s="2140"/>
      <c r="RYY24" s="2141"/>
      <c r="RYZ24" s="2141"/>
      <c r="RZA24" s="2140"/>
      <c r="RZB24" s="2141"/>
      <c r="RZC24" s="2141"/>
      <c r="RZD24" s="2140"/>
      <c r="RZE24" s="2141"/>
      <c r="RZF24" s="2141"/>
      <c r="RZG24" s="2140"/>
      <c r="RZH24" s="2141"/>
      <c r="RZI24" s="2141"/>
      <c r="RZJ24" s="2140"/>
      <c r="RZK24" s="2141"/>
      <c r="RZL24" s="2141"/>
      <c r="RZM24" s="2140"/>
      <c r="RZN24" s="2141"/>
      <c r="RZO24" s="2141"/>
      <c r="RZP24" s="2140"/>
      <c r="RZQ24" s="2141"/>
      <c r="RZR24" s="2141"/>
      <c r="RZS24" s="2140"/>
      <c r="RZT24" s="2141"/>
      <c r="RZU24" s="2141"/>
      <c r="RZV24" s="2140"/>
      <c r="RZW24" s="2141"/>
      <c r="RZX24" s="2141"/>
      <c r="RZY24" s="2140"/>
      <c r="RZZ24" s="2141"/>
      <c r="SAA24" s="2141"/>
      <c r="SAB24" s="2140"/>
      <c r="SAC24" s="2141"/>
      <c r="SAD24" s="2141"/>
      <c r="SAE24" s="2140"/>
      <c r="SAF24" s="2141"/>
      <c r="SAG24" s="2141"/>
      <c r="SAH24" s="2140"/>
      <c r="SAI24" s="2141"/>
      <c r="SAJ24" s="2141"/>
      <c r="SAK24" s="2140"/>
      <c r="SAL24" s="2141"/>
      <c r="SAM24" s="2141"/>
      <c r="SAN24" s="2140"/>
      <c r="SAO24" s="2141"/>
      <c r="SAP24" s="2141"/>
      <c r="SAQ24" s="2140"/>
      <c r="SAR24" s="2141"/>
      <c r="SAS24" s="2141"/>
      <c r="SAT24" s="2140"/>
      <c r="SAU24" s="2141"/>
      <c r="SAV24" s="2141"/>
      <c r="SAW24" s="2140"/>
      <c r="SAX24" s="2141"/>
      <c r="SAY24" s="2141"/>
      <c r="SAZ24" s="2140"/>
      <c r="SBA24" s="2141"/>
      <c r="SBB24" s="2141"/>
      <c r="SBC24" s="2140"/>
      <c r="SBD24" s="2141"/>
      <c r="SBE24" s="2141"/>
      <c r="SBF24" s="2140"/>
      <c r="SBG24" s="2141"/>
      <c r="SBH24" s="2141"/>
      <c r="SBI24" s="2140"/>
      <c r="SBJ24" s="2141"/>
      <c r="SBK24" s="2141"/>
      <c r="SBL24" s="2140"/>
      <c r="SBM24" s="2141"/>
      <c r="SBN24" s="2141"/>
      <c r="SBO24" s="2140"/>
      <c r="SBP24" s="2141"/>
      <c r="SBQ24" s="2141"/>
      <c r="SBR24" s="2140"/>
      <c r="SBS24" s="2141"/>
      <c r="SBT24" s="2141"/>
      <c r="SBU24" s="2140"/>
      <c r="SBV24" s="2141"/>
      <c r="SBW24" s="2141"/>
      <c r="SBX24" s="2140"/>
      <c r="SBY24" s="2141"/>
      <c r="SBZ24" s="2141"/>
      <c r="SCA24" s="2140"/>
      <c r="SCB24" s="2141"/>
      <c r="SCC24" s="2141"/>
      <c r="SCD24" s="2140"/>
      <c r="SCE24" s="2141"/>
      <c r="SCF24" s="2141"/>
      <c r="SCG24" s="2140"/>
      <c r="SCH24" s="2141"/>
      <c r="SCI24" s="2141"/>
      <c r="SCJ24" s="2140"/>
      <c r="SCK24" s="2141"/>
      <c r="SCL24" s="2141"/>
      <c r="SCM24" s="2140"/>
      <c r="SCN24" s="2141"/>
      <c r="SCO24" s="2141"/>
      <c r="SCP24" s="2140"/>
      <c r="SCQ24" s="2141"/>
      <c r="SCR24" s="2141"/>
      <c r="SCS24" s="2140"/>
      <c r="SCT24" s="2141"/>
      <c r="SCU24" s="2141"/>
      <c r="SCV24" s="2140"/>
      <c r="SCW24" s="2141"/>
      <c r="SCX24" s="2141"/>
      <c r="SCY24" s="2140"/>
      <c r="SCZ24" s="2141"/>
      <c r="SDA24" s="2141"/>
      <c r="SDB24" s="2140"/>
      <c r="SDC24" s="2141"/>
      <c r="SDD24" s="2141"/>
      <c r="SDE24" s="2140"/>
      <c r="SDF24" s="2141"/>
      <c r="SDG24" s="2141"/>
      <c r="SDH24" s="2140"/>
      <c r="SDI24" s="2141"/>
      <c r="SDJ24" s="2141"/>
      <c r="SDK24" s="2140"/>
      <c r="SDL24" s="2141"/>
      <c r="SDM24" s="2141"/>
      <c r="SDN24" s="2140"/>
      <c r="SDO24" s="2141"/>
      <c r="SDP24" s="2141"/>
      <c r="SDQ24" s="2140"/>
      <c r="SDR24" s="2141"/>
      <c r="SDS24" s="2141"/>
      <c r="SDT24" s="2140"/>
      <c r="SDU24" s="2141"/>
      <c r="SDV24" s="2141"/>
      <c r="SDW24" s="2140"/>
      <c r="SDX24" s="2141"/>
      <c r="SDY24" s="2141"/>
      <c r="SDZ24" s="2140"/>
      <c r="SEA24" s="2141"/>
      <c r="SEB24" s="2141"/>
      <c r="SEC24" s="2140"/>
      <c r="SED24" s="2141"/>
      <c r="SEE24" s="2141"/>
      <c r="SEF24" s="2140"/>
      <c r="SEG24" s="2141"/>
      <c r="SEH24" s="2141"/>
      <c r="SEI24" s="2140"/>
      <c r="SEJ24" s="2141"/>
      <c r="SEK24" s="2141"/>
      <c r="SEL24" s="2140"/>
      <c r="SEM24" s="2141"/>
      <c r="SEN24" s="2141"/>
      <c r="SEO24" s="2140"/>
      <c r="SEP24" s="2141"/>
      <c r="SEQ24" s="2141"/>
      <c r="SER24" s="2140"/>
      <c r="SES24" s="2141"/>
      <c r="SET24" s="2141"/>
      <c r="SEU24" s="2140"/>
      <c r="SEV24" s="2141"/>
      <c r="SEW24" s="2141"/>
      <c r="SEX24" s="2140"/>
      <c r="SEY24" s="2141"/>
      <c r="SEZ24" s="2141"/>
      <c r="SFA24" s="2140"/>
      <c r="SFB24" s="2141"/>
      <c r="SFC24" s="2141"/>
      <c r="SFD24" s="2140"/>
      <c r="SFE24" s="2141"/>
      <c r="SFF24" s="2141"/>
      <c r="SFG24" s="2140"/>
      <c r="SFH24" s="2141"/>
      <c r="SFI24" s="2141"/>
      <c r="SFJ24" s="2140"/>
      <c r="SFK24" s="2141"/>
      <c r="SFL24" s="2141"/>
      <c r="SFM24" s="2140"/>
      <c r="SFN24" s="2141"/>
      <c r="SFO24" s="2141"/>
      <c r="SFP24" s="2140"/>
      <c r="SFQ24" s="2141"/>
      <c r="SFR24" s="2141"/>
      <c r="SFS24" s="2140"/>
      <c r="SFT24" s="2141"/>
      <c r="SFU24" s="2141"/>
      <c r="SFV24" s="2140"/>
      <c r="SFW24" s="2141"/>
      <c r="SFX24" s="2141"/>
      <c r="SFY24" s="2140"/>
      <c r="SFZ24" s="2141"/>
      <c r="SGA24" s="2141"/>
      <c r="SGB24" s="2140"/>
      <c r="SGC24" s="2141"/>
      <c r="SGD24" s="2141"/>
      <c r="SGE24" s="2140"/>
      <c r="SGF24" s="2141"/>
      <c r="SGG24" s="2141"/>
      <c r="SGH24" s="2140"/>
      <c r="SGI24" s="2141"/>
      <c r="SGJ24" s="2141"/>
      <c r="SGK24" s="2140"/>
      <c r="SGL24" s="2141"/>
      <c r="SGM24" s="2141"/>
      <c r="SGN24" s="2140"/>
      <c r="SGO24" s="2141"/>
      <c r="SGP24" s="2141"/>
      <c r="SGQ24" s="2140"/>
      <c r="SGR24" s="2141"/>
      <c r="SGS24" s="2141"/>
      <c r="SGT24" s="2140"/>
      <c r="SGU24" s="2141"/>
      <c r="SGV24" s="2141"/>
      <c r="SGW24" s="2140"/>
      <c r="SGX24" s="2141"/>
      <c r="SGY24" s="2141"/>
      <c r="SGZ24" s="2140"/>
      <c r="SHA24" s="2141"/>
      <c r="SHB24" s="2141"/>
      <c r="SHC24" s="2140"/>
      <c r="SHD24" s="2141"/>
      <c r="SHE24" s="2141"/>
      <c r="SHF24" s="2140"/>
      <c r="SHG24" s="2141"/>
      <c r="SHH24" s="2141"/>
      <c r="SHI24" s="2140"/>
      <c r="SHJ24" s="2141"/>
      <c r="SHK24" s="2141"/>
      <c r="SHL24" s="2140"/>
      <c r="SHM24" s="2141"/>
      <c r="SHN24" s="2141"/>
      <c r="SHO24" s="2140"/>
      <c r="SHP24" s="2141"/>
      <c r="SHQ24" s="2141"/>
      <c r="SHR24" s="2140"/>
      <c r="SHS24" s="2141"/>
      <c r="SHT24" s="2141"/>
      <c r="SHU24" s="2140"/>
      <c r="SHV24" s="2141"/>
      <c r="SHW24" s="2141"/>
      <c r="SHX24" s="2140"/>
      <c r="SHY24" s="2141"/>
      <c r="SHZ24" s="2141"/>
      <c r="SIA24" s="2140"/>
      <c r="SIB24" s="2141"/>
      <c r="SIC24" s="2141"/>
      <c r="SID24" s="2140"/>
      <c r="SIE24" s="2141"/>
      <c r="SIF24" s="2141"/>
      <c r="SIG24" s="2140"/>
      <c r="SIH24" s="2141"/>
      <c r="SII24" s="2141"/>
      <c r="SIJ24" s="2140"/>
      <c r="SIK24" s="2141"/>
      <c r="SIL24" s="2141"/>
      <c r="SIM24" s="2140"/>
      <c r="SIN24" s="2141"/>
      <c r="SIO24" s="2141"/>
      <c r="SIP24" s="2140"/>
      <c r="SIQ24" s="2141"/>
      <c r="SIR24" s="2141"/>
      <c r="SIS24" s="2140"/>
      <c r="SIT24" s="2141"/>
      <c r="SIU24" s="2141"/>
      <c r="SIV24" s="2140"/>
      <c r="SIW24" s="2141"/>
      <c r="SIX24" s="2141"/>
      <c r="SIY24" s="2140"/>
      <c r="SIZ24" s="2141"/>
      <c r="SJA24" s="2141"/>
      <c r="SJB24" s="2140"/>
      <c r="SJC24" s="2141"/>
      <c r="SJD24" s="2141"/>
      <c r="SJE24" s="2140"/>
      <c r="SJF24" s="2141"/>
      <c r="SJG24" s="2141"/>
      <c r="SJH24" s="2140"/>
      <c r="SJI24" s="2141"/>
      <c r="SJJ24" s="2141"/>
      <c r="SJK24" s="2140"/>
      <c r="SJL24" s="2141"/>
      <c r="SJM24" s="2141"/>
      <c r="SJN24" s="2140"/>
      <c r="SJO24" s="2141"/>
      <c r="SJP24" s="2141"/>
      <c r="SJQ24" s="2140"/>
      <c r="SJR24" s="2141"/>
      <c r="SJS24" s="2141"/>
      <c r="SJT24" s="2140"/>
      <c r="SJU24" s="2141"/>
      <c r="SJV24" s="2141"/>
      <c r="SJW24" s="2140"/>
      <c r="SJX24" s="2141"/>
      <c r="SJY24" s="2141"/>
      <c r="SJZ24" s="2140"/>
      <c r="SKA24" s="2141"/>
      <c r="SKB24" s="2141"/>
      <c r="SKC24" s="2140"/>
      <c r="SKD24" s="2141"/>
      <c r="SKE24" s="2141"/>
      <c r="SKF24" s="2140"/>
      <c r="SKG24" s="2141"/>
      <c r="SKH24" s="2141"/>
      <c r="SKI24" s="2140"/>
      <c r="SKJ24" s="2141"/>
      <c r="SKK24" s="2141"/>
      <c r="SKL24" s="2140"/>
      <c r="SKM24" s="2141"/>
      <c r="SKN24" s="2141"/>
      <c r="SKO24" s="2140"/>
      <c r="SKP24" s="2141"/>
      <c r="SKQ24" s="2141"/>
      <c r="SKR24" s="2140"/>
      <c r="SKS24" s="2141"/>
      <c r="SKT24" s="2141"/>
      <c r="SKU24" s="2140"/>
      <c r="SKV24" s="2141"/>
      <c r="SKW24" s="2141"/>
      <c r="SKX24" s="2140"/>
      <c r="SKY24" s="2141"/>
      <c r="SKZ24" s="2141"/>
      <c r="SLA24" s="2140"/>
      <c r="SLB24" s="2141"/>
      <c r="SLC24" s="2141"/>
      <c r="SLD24" s="2140"/>
      <c r="SLE24" s="2141"/>
      <c r="SLF24" s="2141"/>
      <c r="SLG24" s="2140"/>
      <c r="SLH24" s="2141"/>
      <c r="SLI24" s="2141"/>
      <c r="SLJ24" s="2140"/>
      <c r="SLK24" s="2141"/>
      <c r="SLL24" s="2141"/>
      <c r="SLM24" s="2140"/>
      <c r="SLN24" s="2141"/>
      <c r="SLO24" s="2141"/>
      <c r="SLP24" s="2140"/>
      <c r="SLQ24" s="2141"/>
      <c r="SLR24" s="2141"/>
      <c r="SLS24" s="2140"/>
      <c r="SLT24" s="2141"/>
      <c r="SLU24" s="2141"/>
      <c r="SLV24" s="2140"/>
      <c r="SLW24" s="2141"/>
      <c r="SLX24" s="2141"/>
      <c r="SLY24" s="2140"/>
      <c r="SLZ24" s="2141"/>
      <c r="SMA24" s="2141"/>
      <c r="SMB24" s="2140"/>
      <c r="SMC24" s="2141"/>
      <c r="SMD24" s="2141"/>
      <c r="SME24" s="2140"/>
      <c r="SMF24" s="2141"/>
      <c r="SMG24" s="2141"/>
      <c r="SMH24" s="2140"/>
      <c r="SMI24" s="2141"/>
      <c r="SMJ24" s="2141"/>
      <c r="SMK24" s="2140"/>
      <c r="SML24" s="2141"/>
      <c r="SMM24" s="2141"/>
      <c r="SMN24" s="2140"/>
      <c r="SMO24" s="2141"/>
      <c r="SMP24" s="2141"/>
      <c r="SMQ24" s="2140"/>
      <c r="SMR24" s="2141"/>
      <c r="SMS24" s="2141"/>
      <c r="SMT24" s="2140"/>
      <c r="SMU24" s="2141"/>
      <c r="SMV24" s="2141"/>
      <c r="SMW24" s="2140"/>
      <c r="SMX24" s="2141"/>
      <c r="SMY24" s="2141"/>
      <c r="SMZ24" s="2140"/>
      <c r="SNA24" s="2141"/>
      <c r="SNB24" s="2141"/>
      <c r="SNC24" s="2140"/>
      <c r="SND24" s="2141"/>
      <c r="SNE24" s="2141"/>
      <c r="SNF24" s="2140"/>
      <c r="SNG24" s="2141"/>
      <c r="SNH24" s="2141"/>
      <c r="SNI24" s="2140"/>
      <c r="SNJ24" s="2141"/>
      <c r="SNK24" s="2141"/>
      <c r="SNL24" s="2140"/>
      <c r="SNM24" s="2141"/>
      <c r="SNN24" s="2141"/>
      <c r="SNO24" s="2140"/>
      <c r="SNP24" s="2141"/>
      <c r="SNQ24" s="2141"/>
      <c r="SNR24" s="2140"/>
      <c r="SNS24" s="2141"/>
      <c r="SNT24" s="2141"/>
      <c r="SNU24" s="2140"/>
      <c r="SNV24" s="2141"/>
      <c r="SNW24" s="2141"/>
      <c r="SNX24" s="2140"/>
      <c r="SNY24" s="2141"/>
      <c r="SNZ24" s="2141"/>
      <c r="SOA24" s="2140"/>
      <c r="SOB24" s="2141"/>
      <c r="SOC24" s="2141"/>
      <c r="SOD24" s="2140"/>
      <c r="SOE24" s="2141"/>
      <c r="SOF24" s="2141"/>
      <c r="SOG24" s="2140"/>
      <c r="SOH24" s="2141"/>
      <c r="SOI24" s="2141"/>
      <c r="SOJ24" s="2140"/>
      <c r="SOK24" s="2141"/>
      <c r="SOL24" s="2141"/>
      <c r="SOM24" s="2140"/>
      <c r="SON24" s="2141"/>
      <c r="SOO24" s="2141"/>
      <c r="SOP24" s="2140"/>
      <c r="SOQ24" s="2141"/>
      <c r="SOR24" s="2141"/>
      <c r="SOS24" s="2140"/>
      <c r="SOT24" s="2141"/>
      <c r="SOU24" s="2141"/>
      <c r="SOV24" s="2140"/>
      <c r="SOW24" s="2141"/>
      <c r="SOX24" s="2141"/>
      <c r="SOY24" s="2140"/>
      <c r="SOZ24" s="2141"/>
      <c r="SPA24" s="2141"/>
      <c r="SPB24" s="2140"/>
      <c r="SPC24" s="2141"/>
      <c r="SPD24" s="2141"/>
      <c r="SPE24" s="2140"/>
      <c r="SPF24" s="2141"/>
      <c r="SPG24" s="2141"/>
      <c r="SPH24" s="2140"/>
      <c r="SPI24" s="2141"/>
      <c r="SPJ24" s="2141"/>
      <c r="SPK24" s="2140"/>
      <c r="SPL24" s="2141"/>
      <c r="SPM24" s="2141"/>
      <c r="SPN24" s="2140"/>
      <c r="SPO24" s="2141"/>
      <c r="SPP24" s="2141"/>
      <c r="SPQ24" s="2140"/>
      <c r="SPR24" s="2141"/>
      <c r="SPS24" s="2141"/>
      <c r="SPT24" s="2140"/>
      <c r="SPU24" s="2141"/>
      <c r="SPV24" s="2141"/>
      <c r="SPW24" s="2140"/>
      <c r="SPX24" s="2141"/>
      <c r="SPY24" s="2141"/>
      <c r="SPZ24" s="2140"/>
      <c r="SQA24" s="2141"/>
      <c r="SQB24" s="2141"/>
      <c r="SQC24" s="2140"/>
      <c r="SQD24" s="2141"/>
      <c r="SQE24" s="2141"/>
      <c r="SQF24" s="2140"/>
      <c r="SQG24" s="2141"/>
      <c r="SQH24" s="2141"/>
      <c r="SQI24" s="2140"/>
      <c r="SQJ24" s="2141"/>
      <c r="SQK24" s="2141"/>
      <c r="SQL24" s="2140"/>
      <c r="SQM24" s="2141"/>
      <c r="SQN24" s="2141"/>
      <c r="SQO24" s="2140"/>
      <c r="SQP24" s="2141"/>
      <c r="SQQ24" s="2141"/>
      <c r="SQR24" s="2140"/>
      <c r="SQS24" s="2141"/>
      <c r="SQT24" s="2141"/>
      <c r="SQU24" s="2140"/>
      <c r="SQV24" s="2141"/>
      <c r="SQW24" s="2141"/>
      <c r="SQX24" s="2140"/>
      <c r="SQY24" s="2141"/>
      <c r="SQZ24" s="2141"/>
      <c r="SRA24" s="2140"/>
      <c r="SRB24" s="2141"/>
      <c r="SRC24" s="2141"/>
      <c r="SRD24" s="2140"/>
      <c r="SRE24" s="2141"/>
      <c r="SRF24" s="2141"/>
      <c r="SRG24" s="2140"/>
      <c r="SRH24" s="2141"/>
      <c r="SRI24" s="2141"/>
      <c r="SRJ24" s="2140"/>
      <c r="SRK24" s="2141"/>
      <c r="SRL24" s="2141"/>
      <c r="SRM24" s="2140"/>
      <c r="SRN24" s="2141"/>
      <c r="SRO24" s="2141"/>
      <c r="SRP24" s="2140"/>
      <c r="SRQ24" s="2141"/>
      <c r="SRR24" s="2141"/>
      <c r="SRS24" s="2140"/>
      <c r="SRT24" s="2141"/>
      <c r="SRU24" s="2141"/>
      <c r="SRV24" s="2140"/>
      <c r="SRW24" s="2141"/>
      <c r="SRX24" s="2141"/>
      <c r="SRY24" s="2140"/>
      <c r="SRZ24" s="2141"/>
      <c r="SSA24" s="2141"/>
      <c r="SSB24" s="2140"/>
      <c r="SSC24" s="2141"/>
      <c r="SSD24" s="2141"/>
      <c r="SSE24" s="2140"/>
      <c r="SSF24" s="2141"/>
      <c r="SSG24" s="2141"/>
      <c r="SSH24" s="2140"/>
      <c r="SSI24" s="2141"/>
      <c r="SSJ24" s="2141"/>
      <c r="SSK24" s="2140"/>
      <c r="SSL24" s="2141"/>
      <c r="SSM24" s="2141"/>
      <c r="SSN24" s="2140"/>
      <c r="SSO24" s="2141"/>
      <c r="SSP24" s="2141"/>
      <c r="SSQ24" s="2140"/>
      <c r="SSR24" s="2141"/>
      <c r="SSS24" s="2141"/>
      <c r="SST24" s="2140"/>
      <c r="SSU24" s="2141"/>
      <c r="SSV24" s="2141"/>
      <c r="SSW24" s="2140"/>
      <c r="SSX24" s="2141"/>
      <c r="SSY24" s="2141"/>
      <c r="SSZ24" s="2140"/>
      <c r="STA24" s="2141"/>
      <c r="STB24" s="2141"/>
      <c r="STC24" s="2140"/>
      <c r="STD24" s="2141"/>
      <c r="STE24" s="2141"/>
      <c r="STF24" s="2140"/>
      <c r="STG24" s="2141"/>
      <c r="STH24" s="2141"/>
      <c r="STI24" s="2140"/>
      <c r="STJ24" s="2141"/>
      <c r="STK24" s="2141"/>
      <c r="STL24" s="2140"/>
      <c r="STM24" s="2141"/>
      <c r="STN24" s="2141"/>
      <c r="STO24" s="2140"/>
      <c r="STP24" s="2141"/>
      <c r="STQ24" s="2141"/>
      <c r="STR24" s="2140"/>
      <c r="STS24" s="2141"/>
      <c r="STT24" s="2141"/>
      <c r="STU24" s="2140"/>
      <c r="STV24" s="2141"/>
      <c r="STW24" s="2141"/>
      <c r="STX24" s="2140"/>
      <c r="STY24" s="2141"/>
      <c r="STZ24" s="2141"/>
      <c r="SUA24" s="2140"/>
      <c r="SUB24" s="2141"/>
      <c r="SUC24" s="2141"/>
      <c r="SUD24" s="2140"/>
      <c r="SUE24" s="2141"/>
      <c r="SUF24" s="2141"/>
      <c r="SUG24" s="2140"/>
      <c r="SUH24" s="2141"/>
      <c r="SUI24" s="2141"/>
      <c r="SUJ24" s="2140"/>
      <c r="SUK24" s="2141"/>
      <c r="SUL24" s="2141"/>
      <c r="SUM24" s="2140"/>
      <c r="SUN24" s="2141"/>
      <c r="SUO24" s="2141"/>
      <c r="SUP24" s="2140"/>
      <c r="SUQ24" s="2141"/>
      <c r="SUR24" s="2141"/>
      <c r="SUS24" s="2140"/>
      <c r="SUT24" s="2141"/>
      <c r="SUU24" s="2141"/>
      <c r="SUV24" s="2140"/>
      <c r="SUW24" s="2141"/>
      <c r="SUX24" s="2141"/>
      <c r="SUY24" s="2140"/>
      <c r="SUZ24" s="2141"/>
      <c r="SVA24" s="2141"/>
      <c r="SVB24" s="2140"/>
      <c r="SVC24" s="2141"/>
      <c r="SVD24" s="2141"/>
      <c r="SVE24" s="2140"/>
      <c r="SVF24" s="2141"/>
      <c r="SVG24" s="2141"/>
      <c r="SVH24" s="2140"/>
      <c r="SVI24" s="2141"/>
      <c r="SVJ24" s="2141"/>
      <c r="SVK24" s="2140"/>
      <c r="SVL24" s="2141"/>
      <c r="SVM24" s="2141"/>
      <c r="SVN24" s="2140"/>
      <c r="SVO24" s="2141"/>
      <c r="SVP24" s="2141"/>
      <c r="SVQ24" s="2140"/>
      <c r="SVR24" s="2141"/>
      <c r="SVS24" s="2141"/>
      <c r="SVT24" s="2140"/>
      <c r="SVU24" s="2141"/>
      <c r="SVV24" s="2141"/>
      <c r="SVW24" s="2140"/>
      <c r="SVX24" s="2141"/>
      <c r="SVY24" s="2141"/>
      <c r="SVZ24" s="2140"/>
      <c r="SWA24" s="2141"/>
      <c r="SWB24" s="2141"/>
      <c r="SWC24" s="2140"/>
      <c r="SWD24" s="2141"/>
      <c r="SWE24" s="2141"/>
      <c r="SWF24" s="2140"/>
      <c r="SWG24" s="2141"/>
      <c r="SWH24" s="2141"/>
      <c r="SWI24" s="2140"/>
      <c r="SWJ24" s="2141"/>
      <c r="SWK24" s="2141"/>
      <c r="SWL24" s="2140"/>
      <c r="SWM24" s="2141"/>
      <c r="SWN24" s="2141"/>
      <c r="SWO24" s="2140"/>
      <c r="SWP24" s="2141"/>
      <c r="SWQ24" s="2141"/>
      <c r="SWR24" s="2140"/>
      <c r="SWS24" s="2141"/>
      <c r="SWT24" s="2141"/>
      <c r="SWU24" s="2140"/>
      <c r="SWV24" s="2141"/>
      <c r="SWW24" s="2141"/>
      <c r="SWX24" s="2140"/>
      <c r="SWY24" s="2141"/>
      <c r="SWZ24" s="2141"/>
      <c r="SXA24" s="2140"/>
      <c r="SXB24" s="2141"/>
      <c r="SXC24" s="2141"/>
      <c r="SXD24" s="2140"/>
      <c r="SXE24" s="2141"/>
      <c r="SXF24" s="2141"/>
      <c r="SXG24" s="2140"/>
      <c r="SXH24" s="2141"/>
      <c r="SXI24" s="2141"/>
      <c r="SXJ24" s="2140"/>
      <c r="SXK24" s="2141"/>
      <c r="SXL24" s="2141"/>
      <c r="SXM24" s="2140"/>
      <c r="SXN24" s="2141"/>
      <c r="SXO24" s="2141"/>
      <c r="SXP24" s="2140"/>
      <c r="SXQ24" s="2141"/>
      <c r="SXR24" s="2141"/>
      <c r="SXS24" s="2140"/>
      <c r="SXT24" s="2141"/>
      <c r="SXU24" s="2141"/>
      <c r="SXV24" s="2140"/>
      <c r="SXW24" s="2141"/>
      <c r="SXX24" s="2141"/>
      <c r="SXY24" s="2140"/>
      <c r="SXZ24" s="2141"/>
      <c r="SYA24" s="2141"/>
      <c r="SYB24" s="2140"/>
      <c r="SYC24" s="2141"/>
      <c r="SYD24" s="2141"/>
      <c r="SYE24" s="2140"/>
      <c r="SYF24" s="2141"/>
      <c r="SYG24" s="2141"/>
      <c r="SYH24" s="2140"/>
      <c r="SYI24" s="2141"/>
      <c r="SYJ24" s="2141"/>
      <c r="SYK24" s="2140"/>
      <c r="SYL24" s="2141"/>
      <c r="SYM24" s="2141"/>
      <c r="SYN24" s="2140"/>
      <c r="SYO24" s="2141"/>
      <c r="SYP24" s="2141"/>
      <c r="SYQ24" s="2140"/>
      <c r="SYR24" s="2141"/>
      <c r="SYS24" s="2141"/>
      <c r="SYT24" s="2140"/>
      <c r="SYU24" s="2141"/>
      <c r="SYV24" s="2141"/>
      <c r="SYW24" s="2140"/>
      <c r="SYX24" s="2141"/>
      <c r="SYY24" s="2141"/>
      <c r="SYZ24" s="2140"/>
      <c r="SZA24" s="2141"/>
      <c r="SZB24" s="2141"/>
      <c r="SZC24" s="2140"/>
      <c r="SZD24" s="2141"/>
      <c r="SZE24" s="2141"/>
      <c r="SZF24" s="2140"/>
      <c r="SZG24" s="2141"/>
      <c r="SZH24" s="2141"/>
      <c r="SZI24" s="2140"/>
      <c r="SZJ24" s="2141"/>
      <c r="SZK24" s="2141"/>
      <c r="SZL24" s="2140"/>
      <c r="SZM24" s="2141"/>
      <c r="SZN24" s="2141"/>
      <c r="SZO24" s="2140"/>
      <c r="SZP24" s="2141"/>
      <c r="SZQ24" s="2141"/>
      <c r="SZR24" s="2140"/>
      <c r="SZS24" s="2141"/>
      <c r="SZT24" s="2141"/>
      <c r="SZU24" s="2140"/>
      <c r="SZV24" s="2141"/>
      <c r="SZW24" s="2141"/>
      <c r="SZX24" s="2140"/>
      <c r="SZY24" s="2141"/>
      <c r="SZZ24" s="2141"/>
      <c r="TAA24" s="2140"/>
      <c r="TAB24" s="2141"/>
      <c r="TAC24" s="2141"/>
      <c r="TAD24" s="2140"/>
      <c r="TAE24" s="2141"/>
      <c r="TAF24" s="2141"/>
      <c r="TAG24" s="2140"/>
      <c r="TAH24" s="2141"/>
      <c r="TAI24" s="2141"/>
      <c r="TAJ24" s="2140"/>
      <c r="TAK24" s="2141"/>
      <c r="TAL24" s="2141"/>
      <c r="TAM24" s="2140"/>
      <c r="TAN24" s="2141"/>
      <c r="TAO24" s="2141"/>
      <c r="TAP24" s="2140"/>
      <c r="TAQ24" s="2141"/>
      <c r="TAR24" s="2141"/>
      <c r="TAS24" s="2140"/>
      <c r="TAT24" s="2141"/>
      <c r="TAU24" s="2141"/>
      <c r="TAV24" s="2140"/>
      <c r="TAW24" s="2141"/>
      <c r="TAX24" s="2141"/>
      <c r="TAY24" s="2140"/>
      <c r="TAZ24" s="2141"/>
      <c r="TBA24" s="2141"/>
      <c r="TBB24" s="2140"/>
      <c r="TBC24" s="2141"/>
      <c r="TBD24" s="2141"/>
      <c r="TBE24" s="2140"/>
      <c r="TBF24" s="2141"/>
      <c r="TBG24" s="2141"/>
      <c r="TBH24" s="2140"/>
      <c r="TBI24" s="2141"/>
      <c r="TBJ24" s="2141"/>
      <c r="TBK24" s="2140"/>
      <c r="TBL24" s="2141"/>
      <c r="TBM24" s="2141"/>
      <c r="TBN24" s="2140"/>
      <c r="TBO24" s="2141"/>
      <c r="TBP24" s="2141"/>
      <c r="TBQ24" s="2140"/>
      <c r="TBR24" s="2141"/>
      <c r="TBS24" s="2141"/>
      <c r="TBT24" s="2140"/>
      <c r="TBU24" s="2141"/>
      <c r="TBV24" s="2141"/>
      <c r="TBW24" s="2140"/>
      <c r="TBX24" s="2141"/>
      <c r="TBY24" s="2141"/>
      <c r="TBZ24" s="2140"/>
      <c r="TCA24" s="2141"/>
      <c r="TCB24" s="2141"/>
      <c r="TCC24" s="2140"/>
      <c r="TCD24" s="2141"/>
      <c r="TCE24" s="2141"/>
      <c r="TCF24" s="2140"/>
      <c r="TCG24" s="2141"/>
      <c r="TCH24" s="2141"/>
      <c r="TCI24" s="2140"/>
      <c r="TCJ24" s="2141"/>
      <c r="TCK24" s="2141"/>
      <c r="TCL24" s="2140"/>
      <c r="TCM24" s="2141"/>
      <c r="TCN24" s="2141"/>
      <c r="TCO24" s="2140"/>
      <c r="TCP24" s="2141"/>
      <c r="TCQ24" s="2141"/>
      <c r="TCR24" s="2140"/>
      <c r="TCS24" s="2141"/>
      <c r="TCT24" s="2141"/>
      <c r="TCU24" s="2140"/>
      <c r="TCV24" s="2141"/>
      <c r="TCW24" s="2141"/>
      <c r="TCX24" s="2140"/>
      <c r="TCY24" s="2141"/>
      <c r="TCZ24" s="2141"/>
      <c r="TDA24" s="2140"/>
      <c r="TDB24" s="2141"/>
      <c r="TDC24" s="2141"/>
      <c r="TDD24" s="2140"/>
      <c r="TDE24" s="2141"/>
      <c r="TDF24" s="2141"/>
      <c r="TDG24" s="2140"/>
      <c r="TDH24" s="2141"/>
      <c r="TDI24" s="2141"/>
      <c r="TDJ24" s="2140"/>
      <c r="TDK24" s="2141"/>
      <c r="TDL24" s="2141"/>
      <c r="TDM24" s="2140"/>
      <c r="TDN24" s="2141"/>
      <c r="TDO24" s="2141"/>
      <c r="TDP24" s="2140"/>
      <c r="TDQ24" s="2141"/>
      <c r="TDR24" s="2141"/>
      <c r="TDS24" s="2140"/>
      <c r="TDT24" s="2141"/>
      <c r="TDU24" s="2141"/>
      <c r="TDV24" s="2140"/>
      <c r="TDW24" s="2141"/>
      <c r="TDX24" s="2141"/>
      <c r="TDY24" s="2140"/>
      <c r="TDZ24" s="2141"/>
      <c r="TEA24" s="2141"/>
      <c r="TEB24" s="2140"/>
      <c r="TEC24" s="2141"/>
      <c r="TED24" s="2141"/>
      <c r="TEE24" s="2140"/>
      <c r="TEF24" s="2141"/>
      <c r="TEG24" s="2141"/>
      <c r="TEH24" s="2140"/>
      <c r="TEI24" s="2141"/>
      <c r="TEJ24" s="2141"/>
      <c r="TEK24" s="2140"/>
      <c r="TEL24" s="2141"/>
      <c r="TEM24" s="2141"/>
      <c r="TEN24" s="2140"/>
      <c r="TEO24" s="2141"/>
      <c r="TEP24" s="2141"/>
      <c r="TEQ24" s="2140"/>
      <c r="TER24" s="2141"/>
      <c r="TES24" s="2141"/>
      <c r="TET24" s="2140"/>
      <c r="TEU24" s="2141"/>
      <c r="TEV24" s="2141"/>
      <c r="TEW24" s="2140"/>
      <c r="TEX24" s="2141"/>
      <c r="TEY24" s="2141"/>
      <c r="TEZ24" s="2140"/>
      <c r="TFA24" s="2141"/>
      <c r="TFB24" s="2141"/>
      <c r="TFC24" s="2140"/>
      <c r="TFD24" s="2141"/>
      <c r="TFE24" s="2141"/>
      <c r="TFF24" s="2140"/>
      <c r="TFG24" s="2141"/>
      <c r="TFH24" s="2141"/>
      <c r="TFI24" s="2140"/>
      <c r="TFJ24" s="2141"/>
      <c r="TFK24" s="2141"/>
      <c r="TFL24" s="2140"/>
      <c r="TFM24" s="2141"/>
      <c r="TFN24" s="2141"/>
      <c r="TFO24" s="2140"/>
      <c r="TFP24" s="2141"/>
      <c r="TFQ24" s="2141"/>
      <c r="TFR24" s="2140"/>
      <c r="TFS24" s="2141"/>
      <c r="TFT24" s="2141"/>
      <c r="TFU24" s="2140"/>
      <c r="TFV24" s="2141"/>
      <c r="TFW24" s="2141"/>
      <c r="TFX24" s="2140"/>
      <c r="TFY24" s="2141"/>
      <c r="TFZ24" s="2141"/>
      <c r="TGA24" s="2140"/>
      <c r="TGB24" s="2141"/>
      <c r="TGC24" s="2141"/>
      <c r="TGD24" s="2140"/>
      <c r="TGE24" s="2141"/>
      <c r="TGF24" s="2141"/>
      <c r="TGG24" s="2140"/>
      <c r="TGH24" s="2141"/>
      <c r="TGI24" s="2141"/>
      <c r="TGJ24" s="2140"/>
      <c r="TGK24" s="2141"/>
      <c r="TGL24" s="2141"/>
      <c r="TGM24" s="2140"/>
      <c r="TGN24" s="2141"/>
      <c r="TGO24" s="2141"/>
      <c r="TGP24" s="2140"/>
      <c r="TGQ24" s="2141"/>
      <c r="TGR24" s="2141"/>
      <c r="TGS24" s="2140"/>
      <c r="TGT24" s="2141"/>
      <c r="TGU24" s="2141"/>
      <c r="TGV24" s="2140"/>
      <c r="TGW24" s="2141"/>
      <c r="TGX24" s="2141"/>
      <c r="TGY24" s="2140"/>
      <c r="TGZ24" s="2141"/>
      <c r="THA24" s="2141"/>
      <c r="THB24" s="2140"/>
      <c r="THC24" s="2141"/>
      <c r="THD24" s="2141"/>
      <c r="THE24" s="2140"/>
      <c r="THF24" s="2141"/>
      <c r="THG24" s="2141"/>
      <c r="THH24" s="2140"/>
      <c r="THI24" s="2141"/>
      <c r="THJ24" s="2141"/>
      <c r="THK24" s="2140"/>
      <c r="THL24" s="2141"/>
      <c r="THM24" s="2141"/>
      <c r="THN24" s="2140"/>
      <c r="THO24" s="2141"/>
      <c r="THP24" s="2141"/>
      <c r="THQ24" s="2140"/>
      <c r="THR24" s="2141"/>
      <c r="THS24" s="2141"/>
      <c r="THT24" s="2140"/>
      <c r="THU24" s="2141"/>
      <c r="THV24" s="2141"/>
      <c r="THW24" s="2140"/>
      <c r="THX24" s="2141"/>
      <c r="THY24" s="2141"/>
      <c r="THZ24" s="2140"/>
      <c r="TIA24" s="2141"/>
      <c r="TIB24" s="2141"/>
      <c r="TIC24" s="2140"/>
      <c r="TID24" s="2141"/>
      <c r="TIE24" s="2141"/>
      <c r="TIF24" s="2140"/>
      <c r="TIG24" s="2141"/>
      <c r="TIH24" s="2141"/>
      <c r="TII24" s="2140"/>
      <c r="TIJ24" s="2141"/>
      <c r="TIK24" s="2141"/>
      <c r="TIL24" s="2140"/>
      <c r="TIM24" s="2141"/>
      <c r="TIN24" s="2141"/>
      <c r="TIO24" s="2140"/>
      <c r="TIP24" s="2141"/>
      <c r="TIQ24" s="2141"/>
      <c r="TIR24" s="2140"/>
      <c r="TIS24" s="2141"/>
      <c r="TIT24" s="2141"/>
      <c r="TIU24" s="2140"/>
      <c r="TIV24" s="2141"/>
      <c r="TIW24" s="2141"/>
      <c r="TIX24" s="2140"/>
      <c r="TIY24" s="2141"/>
      <c r="TIZ24" s="2141"/>
      <c r="TJA24" s="2140"/>
      <c r="TJB24" s="2141"/>
      <c r="TJC24" s="2141"/>
      <c r="TJD24" s="2140"/>
      <c r="TJE24" s="2141"/>
      <c r="TJF24" s="2141"/>
      <c r="TJG24" s="2140"/>
      <c r="TJH24" s="2141"/>
      <c r="TJI24" s="2141"/>
      <c r="TJJ24" s="2140"/>
      <c r="TJK24" s="2141"/>
      <c r="TJL24" s="2141"/>
      <c r="TJM24" s="2140"/>
      <c r="TJN24" s="2141"/>
      <c r="TJO24" s="2141"/>
      <c r="TJP24" s="2140"/>
      <c r="TJQ24" s="2141"/>
      <c r="TJR24" s="2141"/>
      <c r="TJS24" s="2140"/>
      <c r="TJT24" s="2141"/>
      <c r="TJU24" s="2141"/>
      <c r="TJV24" s="2140"/>
      <c r="TJW24" s="2141"/>
      <c r="TJX24" s="2141"/>
      <c r="TJY24" s="2140"/>
      <c r="TJZ24" s="2141"/>
      <c r="TKA24" s="2141"/>
      <c r="TKB24" s="2140"/>
      <c r="TKC24" s="2141"/>
      <c r="TKD24" s="2141"/>
      <c r="TKE24" s="2140"/>
      <c r="TKF24" s="2141"/>
      <c r="TKG24" s="2141"/>
      <c r="TKH24" s="2140"/>
      <c r="TKI24" s="2141"/>
      <c r="TKJ24" s="2141"/>
      <c r="TKK24" s="2140"/>
      <c r="TKL24" s="2141"/>
      <c r="TKM24" s="2141"/>
      <c r="TKN24" s="2140"/>
      <c r="TKO24" s="2141"/>
      <c r="TKP24" s="2141"/>
      <c r="TKQ24" s="2140"/>
      <c r="TKR24" s="2141"/>
      <c r="TKS24" s="2141"/>
      <c r="TKT24" s="2140"/>
      <c r="TKU24" s="2141"/>
      <c r="TKV24" s="2141"/>
      <c r="TKW24" s="2140"/>
      <c r="TKX24" s="2141"/>
      <c r="TKY24" s="2141"/>
      <c r="TKZ24" s="2140"/>
      <c r="TLA24" s="2141"/>
      <c r="TLB24" s="2141"/>
      <c r="TLC24" s="2140"/>
      <c r="TLD24" s="2141"/>
      <c r="TLE24" s="2141"/>
      <c r="TLF24" s="2140"/>
      <c r="TLG24" s="2141"/>
      <c r="TLH24" s="2141"/>
      <c r="TLI24" s="2140"/>
      <c r="TLJ24" s="2141"/>
      <c r="TLK24" s="2141"/>
      <c r="TLL24" s="2140"/>
      <c r="TLM24" s="2141"/>
      <c r="TLN24" s="2141"/>
      <c r="TLO24" s="2140"/>
      <c r="TLP24" s="2141"/>
      <c r="TLQ24" s="2141"/>
      <c r="TLR24" s="2140"/>
      <c r="TLS24" s="2141"/>
      <c r="TLT24" s="2141"/>
      <c r="TLU24" s="2140"/>
      <c r="TLV24" s="2141"/>
      <c r="TLW24" s="2141"/>
      <c r="TLX24" s="2140"/>
      <c r="TLY24" s="2141"/>
      <c r="TLZ24" s="2141"/>
      <c r="TMA24" s="2140"/>
      <c r="TMB24" s="2141"/>
      <c r="TMC24" s="2141"/>
      <c r="TMD24" s="2140"/>
      <c r="TME24" s="2141"/>
      <c r="TMF24" s="2141"/>
      <c r="TMG24" s="2140"/>
      <c r="TMH24" s="2141"/>
      <c r="TMI24" s="2141"/>
      <c r="TMJ24" s="2140"/>
      <c r="TMK24" s="2141"/>
      <c r="TML24" s="2141"/>
      <c r="TMM24" s="2140"/>
      <c r="TMN24" s="2141"/>
      <c r="TMO24" s="2141"/>
      <c r="TMP24" s="2140"/>
      <c r="TMQ24" s="2141"/>
      <c r="TMR24" s="2141"/>
      <c r="TMS24" s="2140"/>
      <c r="TMT24" s="2141"/>
      <c r="TMU24" s="2141"/>
      <c r="TMV24" s="2140"/>
      <c r="TMW24" s="2141"/>
      <c r="TMX24" s="2141"/>
      <c r="TMY24" s="2140"/>
      <c r="TMZ24" s="2141"/>
      <c r="TNA24" s="2141"/>
      <c r="TNB24" s="2140"/>
      <c r="TNC24" s="2141"/>
      <c r="TND24" s="2141"/>
      <c r="TNE24" s="2140"/>
      <c r="TNF24" s="2141"/>
      <c r="TNG24" s="2141"/>
      <c r="TNH24" s="2140"/>
      <c r="TNI24" s="2141"/>
      <c r="TNJ24" s="2141"/>
      <c r="TNK24" s="2140"/>
      <c r="TNL24" s="2141"/>
      <c r="TNM24" s="2141"/>
      <c r="TNN24" s="2140"/>
      <c r="TNO24" s="2141"/>
      <c r="TNP24" s="2141"/>
      <c r="TNQ24" s="2140"/>
      <c r="TNR24" s="2141"/>
      <c r="TNS24" s="2141"/>
      <c r="TNT24" s="2140"/>
      <c r="TNU24" s="2141"/>
      <c r="TNV24" s="2141"/>
      <c r="TNW24" s="2140"/>
      <c r="TNX24" s="2141"/>
      <c r="TNY24" s="2141"/>
      <c r="TNZ24" s="2140"/>
      <c r="TOA24" s="2141"/>
      <c r="TOB24" s="2141"/>
      <c r="TOC24" s="2140"/>
      <c r="TOD24" s="2141"/>
      <c r="TOE24" s="2141"/>
      <c r="TOF24" s="2140"/>
      <c r="TOG24" s="2141"/>
      <c r="TOH24" s="2141"/>
      <c r="TOI24" s="2140"/>
      <c r="TOJ24" s="2141"/>
      <c r="TOK24" s="2141"/>
      <c r="TOL24" s="2140"/>
      <c r="TOM24" s="2141"/>
      <c r="TON24" s="2141"/>
      <c r="TOO24" s="2140"/>
      <c r="TOP24" s="2141"/>
      <c r="TOQ24" s="2141"/>
      <c r="TOR24" s="2140"/>
      <c r="TOS24" s="2141"/>
      <c r="TOT24" s="2141"/>
      <c r="TOU24" s="2140"/>
      <c r="TOV24" s="2141"/>
      <c r="TOW24" s="2141"/>
      <c r="TOX24" s="2140"/>
      <c r="TOY24" s="2141"/>
      <c r="TOZ24" s="2141"/>
      <c r="TPA24" s="2140"/>
      <c r="TPB24" s="2141"/>
      <c r="TPC24" s="2141"/>
      <c r="TPD24" s="2140"/>
      <c r="TPE24" s="2141"/>
      <c r="TPF24" s="2141"/>
      <c r="TPG24" s="2140"/>
      <c r="TPH24" s="2141"/>
      <c r="TPI24" s="2141"/>
      <c r="TPJ24" s="2140"/>
      <c r="TPK24" s="2141"/>
      <c r="TPL24" s="2141"/>
      <c r="TPM24" s="2140"/>
      <c r="TPN24" s="2141"/>
      <c r="TPO24" s="2141"/>
      <c r="TPP24" s="2140"/>
      <c r="TPQ24" s="2141"/>
      <c r="TPR24" s="2141"/>
      <c r="TPS24" s="2140"/>
      <c r="TPT24" s="2141"/>
      <c r="TPU24" s="2141"/>
      <c r="TPV24" s="2140"/>
      <c r="TPW24" s="2141"/>
      <c r="TPX24" s="2141"/>
      <c r="TPY24" s="2140"/>
      <c r="TPZ24" s="2141"/>
      <c r="TQA24" s="2141"/>
      <c r="TQB24" s="2140"/>
      <c r="TQC24" s="2141"/>
      <c r="TQD24" s="2141"/>
      <c r="TQE24" s="2140"/>
      <c r="TQF24" s="2141"/>
      <c r="TQG24" s="2141"/>
      <c r="TQH24" s="2140"/>
      <c r="TQI24" s="2141"/>
      <c r="TQJ24" s="2141"/>
      <c r="TQK24" s="2140"/>
      <c r="TQL24" s="2141"/>
      <c r="TQM24" s="2141"/>
      <c r="TQN24" s="2140"/>
      <c r="TQO24" s="2141"/>
      <c r="TQP24" s="2141"/>
      <c r="TQQ24" s="2140"/>
      <c r="TQR24" s="2141"/>
      <c r="TQS24" s="2141"/>
      <c r="TQT24" s="2140"/>
      <c r="TQU24" s="2141"/>
      <c r="TQV24" s="2141"/>
      <c r="TQW24" s="2140"/>
      <c r="TQX24" s="2141"/>
      <c r="TQY24" s="2141"/>
      <c r="TQZ24" s="2140"/>
      <c r="TRA24" s="2141"/>
      <c r="TRB24" s="2141"/>
      <c r="TRC24" s="2140"/>
      <c r="TRD24" s="2141"/>
      <c r="TRE24" s="2141"/>
      <c r="TRF24" s="2140"/>
      <c r="TRG24" s="2141"/>
      <c r="TRH24" s="2141"/>
      <c r="TRI24" s="2140"/>
      <c r="TRJ24" s="2141"/>
      <c r="TRK24" s="2141"/>
      <c r="TRL24" s="2140"/>
      <c r="TRM24" s="2141"/>
      <c r="TRN24" s="2141"/>
      <c r="TRO24" s="2140"/>
      <c r="TRP24" s="2141"/>
      <c r="TRQ24" s="2141"/>
      <c r="TRR24" s="2140"/>
      <c r="TRS24" s="2141"/>
      <c r="TRT24" s="2141"/>
      <c r="TRU24" s="2140"/>
      <c r="TRV24" s="2141"/>
      <c r="TRW24" s="2141"/>
      <c r="TRX24" s="2140"/>
      <c r="TRY24" s="2141"/>
      <c r="TRZ24" s="2141"/>
      <c r="TSA24" s="2140"/>
      <c r="TSB24" s="2141"/>
      <c r="TSC24" s="2141"/>
      <c r="TSD24" s="2140"/>
      <c r="TSE24" s="2141"/>
      <c r="TSF24" s="2141"/>
      <c r="TSG24" s="2140"/>
      <c r="TSH24" s="2141"/>
      <c r="TSI24" s="2141"/>
      <c r="TSJ24" s="2140"/>
      <c r="TSK24" s="2141"/>
      <c r="TSL24" s="2141"/>
      <c r="TSM24" s="2140"/>
      <c r="TSN24" s="2141"/>
      <c r="TSO24" s="2141"/>
      <c r="TSP24" s="2140"/>
      <c r="TSQ24" s="2141"/>
      <c r="TSR24" s="2141"/>
      <c r="TSS24" s="2140"/>
      <c r="TST24" s="2141"/>
      <c r="TSU24" s="2141"/>
      <c r="TSV24" s="2140"/>
      <c r="TSW24" s="2141"/>
      <c r="TSX24" s="2141"/>
      <c r="TSY24" s="2140"/>
      <c r="TSZ24" s="2141"/>
      <c r="TTA24" s="2141"/>
      <c r="TTB24" s="2140"/>
      <c r="TTC24" s="2141"/>
      <c r="TTD24" s="2141"/>
      <c r="TTE24" s="2140"/>
      <c r="TTF24" s="2141"/>
      <c r="TTG24" s="2141"/>
      <c r="TTH24" s="2140"/>
      <c r="TTI24" s="2141"/>
      <c r="TTJ24" s="2141"/>
      <c r="TTK24" s="2140"/>
      <c r="TTL24" s="2141"/>
      <c r="TTM24" s="2141"/>
      <c r="TTN24" s="2140"/>
      <c r="TTO24" s="2141"/>
      <c r="TTP24" s="2141"/>
      <c r="TTQ24" s="2140"/>
      <c r="TTR24" s="2141"/>
      <c r="TTS24" s="2141"/>
      <c r="TTT24" s="2140"/>
      <c r="TTU24" s="2141"/>
      <c r="TTV24" s="2141"/>
      <c r="TTW24" s="2140"/>
      <c r="TTX24" s="2141"/>
      <c r="TTY24" s="2141"/>
      <c r="TTZ24" s="2140"/>
      <c r="TUA24" s="2141"/>
      <c r="TUB24" s="2141"/>
      <c r="TUC24" s="2140"/>
      <c r="TUD24" s="2141"/>
      <c r="TUE24" s="2141"/>
      <c r="TUF24" s="2140"/>
      <c r="TUG24" s="2141"/>
      <c r="TUH24" s="2141"/>
      <c r="TUI24" s="2140"/>
      <c r="TUJ24" s="2141"/>
      <c r="TUK24" s="2141"/>
      <c r="TUL24" s="2140"/>
      <c r="TUM24" s="2141"/>
      <c r="TUN24" s="2141"/>
      <c r="TUO24" s="2140"/>
      <c r="TUP24" s="2141"/>
      <c r="TUQ24" s="2141"/>
      <c r="TUR24" s="2140"/>
      <c r="TUS24" s="2141"/>
      <c r="TUT24" s="2141"/>
      <c r="TUU24" s="2140"/>
      <c r="TUV24" s="2141"/>
      <c r="TUW24" s="2141"/>
      <c r="TUX24" s="2140"/>
      <c r="TUY24" s="2141"/>
      <c r="TUZ24" s="2141"/>
      <c r="TVA24" s="2140"/>
      <c r="TVB24" s="2141"/>
      <c r="TVC24" s="2141"/>
      <c r="TVD24" s="2140"/>
      <c r="TVE24" s="2141"/>
      <c r="TVF24" s="2141"/>
      <c r="TVG24" s="2140"/>
      <c r="TVH24" s="2141"/>
      <c r="TVI24" s="2141"/>
      <c r="TVJ24" s="2140"/>
      <c r="TVK24" s="2141"/>
      <c r="TVL24" s="2141"/>
      <c r="TVM24" s="2140"/>
      <c r="TVN24" s="2141"/>
      <c r="TVO24" s="2141"/>
      <c r="TVP24" s="2140"/>
      <c r="TVQ24" s="2141"/>
      <c r="TVR24" s="2141"/>
      <c r="TVS24" s="2140"/>
      <c r="TVT24" s="2141"/>
      <c r="TVU24" s="2141"/>
      <c r="TVV24" s="2140"/>
      <c r="TVW24" s="2141"/>
      <c r="TVX24" s="2141"/>
      <c r="TVY24" s="2140"/>
      <c r="TVZ24" s="2141"/>
      <c r="TWA24" s="2141"/>
      <c r="TWB24" s="2140"/>
      <c r="TWC24" s="2141"/>
      <c r="TWD24" s="2141"/>
      <c r="TWE24" s="2140"/>
      <c r="TWF24" s="2141"/>
      <c r="TWG24" s="2141"/>
      <c r="TWH24" s="2140"/>
      <c r="TWI24" s="2141"/>
      <c r="TWJ24" s="2141"/>
      <c r="TWK24" s="2140"/>
      <c r="TWL24" s="2141"/>
      <c r="TWM24" s="2141"/>
      <c r="TWN24" s="2140"/>
      <c r="TWO24" s="2141"/>
      <c r="TWP24" s="2141"/>
      <c r="TWQ24" s="2140"/>
      <c r="TWR24" s="2141"/>
      <c r="TWS24" s="2141"/>
      <c r="TWT24" s="2140"/>
      <c r="TWU24" s="2141"/>
      <c r="TWV24" s="2141"/>
      <c r="TWW24" s="2140"/>
      <c r="TWX24" s="2141"/>
      <c r="TWY24" s="2141"/>
      <c r="TWZ24" s="2140"/>
      <c r="TXA24" s="2141"/>
      <c r="TXB24" s="2141"/>
      <c r="TXC24" s="2140"/>
      <c r="TXD24" s="2141"/>
      <c r="TXE24" s="2141"/>
      <c r="TXF24" s="2140"/>
      <c r="TXG24" s="2141"/>
      <c r="TXH24" s="2141"/>
      <c r="TXI24" s="2140"/>
      <c r="TXJ24" s="2141"/>
      <c r="TXK24" s="2141"/>
      <c r="TXL24" s="2140"/>
      <c r="TXM24" s="2141"/>
      <c r="TXN24" s="2141"/>
      <c r="TXO24" s="2140"/>
      <c r="TXP24" s="2141"/>
      <c r="TXQ24" s="2141"/>
      <c r="TXR24" s="2140"/>
      <c r="TXS24" s="2141"/>
      <c r="TXT24" s="2141"/>
      <c r="TXU24" s="2140"/>
      <c r="TXV24" s="2141"/>
      <c r="TXW24" s="2141"/>
      <c r="TXX24" s="2140"/>
      <c r="TXY24" s="2141"/>
      <c r="TXZ24" s="2141"/>
      <c r="TYA24" s="2140"/>
      <c r="TYB24" s="2141"/>
      <c r="TYC24" s="2141"/>
      <c r="TYD24" s="2140"/>
      <c r="TYE24" s="2141"/>
      <c r="TYF24" s="2141"/>
      <c r="TYG24" s="2140"/>
      <c r="TYH24" s="2141"/>
      <c r="TYI24" s="2141"/>
      <c r="TYJ24" s="2140"/>
      <c r="TYK24" s="2141"/>
      <c r="TYL24" s="2141"/>
      <c r="TYM24" s="2140"/>
      <c r="TYN24" s="2141"/>
      <c r="TYO24" s="2141"/>
      <c r="TYP24" s="2140"/>
      <c r="TYQ24" s="2141"/>
      <c r="TYR24" s="2141"/>
      <c r="TYS24" s="2140"/>
      <c r="TYT24" s="2141"/>
      <c r="TYU24" s="2141"/>
      <c r="TYV24" s="2140"/>
      <c r="TYW24" s="2141"/>
      <c r="TYX24" s="2141"/>
      <c r="TYY24" s="2140"/>
      <c r="TYZ24" s="2141"/>
      <c r="TZA24" s="2141"/>
      <c r="TZB24" s="2140"/>
      <c r="TZC24" s="2141"/>
      <c r="TZD24" s="2141"/>
      <c r="TZE24" s="2140"/>
      <c r="TZF24" s="2141"/>
      <c r="TZG24" s="2141"/>
      <c r="TZH24" s="2140"/>
      <c r="TZI24" s="2141"/>
      <c r="TZJ24" s="2141"/>
      <c r="TZK24" s="2140"/>
      <c r="TZL24" s="2141"/>
      <c r="TZM24" s="2141"/>
      <c r="TZN24" s="2140"/>
      <c r="TZO24" s="2141"/>
      <c r="TZP24" s="2141"/>
      <c r="TZQ24" s="2140"/>
      <c r="TZR24" s="2141"/>
      <c r="TZS24" s="2141"/>
      <c r="TZT24" s="2140"/>
      <c r="TZU24" s="2141"/>
      <c r="TZV24" s="2141"/>
      <c r="TZW24" s="2140"/>
      <c r="TZX24" s="2141"/>
      <c r="TZY24" s="2141"/>
      <c r="TZZ24" s="2140"/>
      <c r="UAA24" s="2141"/>
      <c r="UAB24" s="2141"/>
      <c r="UAC24" s="2140"/>
      <c r="UAD24" s="2141"/>
      <c r="UAE24" s="2141"/>
      <c r="UAF24" s="2140"/>
      <c r="UAG24" s="2141"/>
      <c r="UAH24" s="2141"/>
      <c r="UAI24" s="2140"/>
      <c r="UAJ24" s="2141"/>
      <c r="UAK24" s="2141"/>
      <c r="UAL24" s="2140"/>
      <c r="UAM24" s="2141"/>
      <c r="UAN24" s="2141"/>
      <c r="UAO24" s="2140"/>
      <c r="UAP24" s="2141"/>
      <c r="UAQ24" s="2141"/>
      <c r="UAR24" s="2140"/>
      <c r="UAS24" s="2141"/>
      <c r="UAT24" s="2141"/>
      <c r="UAU24" s="2140"/>
      <c r="UAV24" s="2141"/>
      <c r="UAW24" s="2141"/>
      <c r="UAX24" s="2140"/>
      <c r="UAY24" s="2141"/>
      <c r="UAZ24" s="2141"/>
      <c r="UBA24" s="2140"/>
      <c r="UBB24" s="2141"/>
      <c r="UBC24" s="2141"/>
      <c r="UBD24" s="2140"/>
      <c r="UBE24" s="2141"/>
      <c r="UBF24" s="2141"/>
      <c r="UBG24" s="2140"/>
      <c r="UBH24" s="2141"/>
      <c r="UBI24" s="2141"/>
      <c r="UBJ24" s="2140"/>
      <c r="UBK24" s="2141"/>
      <c r="UBL24" s="2141"/>
      <c r="UBM24" s="2140"/>
      <c r="UBN24" s="2141"/>
      <c r="UBO24" s="2141"/>
      <c r="UBP24" s="2140"/>
      <c r="UBQ24" s="2141"/>
      <c r="UBR24" s="2141"/>
      <c r="UBS24" s="2140"/>
      <c r="UBT24" s="2141"/>
      <c r="UBU24" s="2141"/>
      <c r="UBV24" s="2140"/>
      <c r="UBW24" s="2141"/>
      <c r="UBX24" s="2141"/>
      <c r="UBY24" s="2140"/>
      <c r="UBZ24" s="2141"/>
      <c r="UCA24" s="2141"/>
      <c r="UCB24" s="2140"/>
      <c r="UCC24" s="2141"/>
      <c r="UCD24" s="2141"/>
      <c r="UCE24" s="2140"/>
      <c r="UCF24" s="2141"/>
      <c r="UCG24" s="2141"/>
      <c r="UCH24" s="2140"/>
      <c r="UCI24" s="2141"/>
      <c r="UCJ24" s="2141"/>
      <c r="UCK24" s="2140"/>
      <c r="UCL24" s="2141"/>
      <c r="UCM24" s="2141"/>
      <c r="UCN24" s="2140"/>
      <c r="UCO24" s="2141"/>
      <c r="UCP24" s="2141"/>
      <c r="UCQ24" s="2140"/>
      <c r="UCR24" s="2141"/>
      <c r="UCS24" s="2141"/>
      <c r="UCT24" s="2140"/>
      <c r="UCU24" s="2141"/>
      <c r="UCV24" s="2141"/>
      <c r="UCW24" s="2140"/>
      <c r="UCX24" s="2141"/>
      <c r="UCY24" s="2141"/>
      <c r="UCZ24" s="2140"/>
      <c r="UDA24" s="2141"/>
      <c r="UDB24" s="2141"/>
      <c r="UDC24" s="2140"/>
      <c r="UDD24" s="2141"/>
      <c r="UDE24" s="2141"/>
      <c r="UDF24" s="2140"/>
      <c r="UDG24" s="2141"/>
      <c r="UDH24" s="2141"/>
      <c r="UDI24" s="2140"/>
      <c r="UDJ24" s="2141"/>
      <c r="UDK24" s="2141"/>
      <c r="UDL24" s="2140"/>
      <c r="UDM24" s="2141"/>
      <c r="UDN24" s="2141"/>
      <c r="UDO24" s="2140"/>
      <c r="UDP24" s="2141"/>
      <c r="UDQ24" s="2141"/>
      <c r="UDR24" s="2140"/>
      <c r="UDS24" s="2141"/>
      <c r="UDT24" s="2141"/>
      <c r="UDU24" s="2140"/>
      <c r="UDV24" s="2141"/>
      <c r="UDW24" s="2141"/>
      <c r="UDX24" s="2140"/>
      <c r="UDY24" s="2141"/>
      <c r="UDZ24" s="2141"/>
      <c r="UEA24" s="2140"/>
      <c r="UEB24" s="2141"/>
      <c r="UEC24" s="2141"/>
      <c r="UED24" s="2140"/>
      <c r="UEE24" s="2141"/>
      <c r="UEF24" s="2141"/>
      <c r="UEG24" s="2140"/>
      <c r="UEH24" s="2141"/>
      <c r="UEI24" s="2141"/>
      <c r="UEJ24" s="2140"/>
      <c r="UEK24" s="2141"/>
      <c r="UEL24" s="2141"/>
      <c r="UEM24" s="2140"/>
      <c r="UEN24" s="2141"/>
      <c r="UEO24" s="2141"/>
      <c r="UEP24" s="2140"/>
      <c r="UEQ24" s="2141"/>
      <c r="UER24" s="2141"/>
      <c r="UES24" s="2140"/>
      <c r="UET24" s="2141"/>
      <c r="UEU24" s="2141"/>
      <c r="UEV24" s="2140"/>
      <c r="UEW24" s="2141"/>
      <c r="UEX24" s="2141"/>
      <c r="UEY24" s="2140"/>
      <c r="UEZ24" s="2141"/>
      <c r="UFA24" s="2141"/>
      <c r="UFB24" s="2140"/>
      <c r="UFC24" s="2141"/>
      <c r="UFD24" s="2141"/>
      <c r="UFE24" s="2140"/>
      <c r="UFF24" s="2141"/>
      <c r="UFG24" s="2141"/>
      <c r="UFH24" s="2140"/>
      <c r="UFI24" s="2141"/>
      <c r="UFJ24" s="2141"/>
      <c r="UFK24" s="2140"/>
      <c r="UFL24" s="2141"/>
      <c r="UFM24" s="2141"/>
      <c r="UFN24" s="2140"/>
      <c r="UFO24" s="2141"/>
      <c r="UFP24" s="2141"/>
      <c r="UFQ24" s="2140"/>
      <c r="UFR24" s="2141"/>
      <c r="UFS24" s="2141"/>
      <c r="UFT24" s="2140"/>
      <c r="UFU24" s="2141"/>
      <c r="UFV24" s="2141"/>
      <c r="UFW24" s="2140"/>
      <c r="UFX24" s="2141"/>
      <c r="UFY24" s="2141"/>
      <c r="UFZ24" s="2140"/>
      <c r="UGA24" s="2141"/>
      <c r="UGB24" s="2141"/>
      <c r="UGC24" s="2140"/>
      <c r="UGD24" s="2141"/>
      <c r="UGE24" s="2141"/>
      <c r="UGF24" s="2140"/>
      <c r="UGG24" s="2141"/>
      <c r="UGH24" s="2141"/>
      <c r="UGI24" s="2140"/>
      <c r="UGJ24" s="2141"/>
      <c r="UGK24" s="2141"/>
      <c r="UGL24" s="2140"/>
      <c r="UGM24" s="2141"/>
      <c r="UGN24" s="2141"/>
      <c r="UGO24" s="2140"/>
      <c r="UGP24" s="2141"/>
      <c r="UGQ24" s="2141"/>
      <c r="UGR24" s="2140"/>
      <c r="UGS24" s="2141"/>
      <c r="UGT24" s="2141"/>
      <c r="UGU24" s="2140"/>
      <c r="UGV24" s="2141"/>
      <c r="UGW24" s="2141"/>
      <c r="UGX24" s="2140"/>
      <c r="UGY24" s="2141"/>
      <c r="UGZ24" s="2141"/>
      <c r="UHA24" s="2140"/>
      <c r="UHB24" s="2141"/>
      <c r="UHC24" s="2141"/>
      <c r="UHD24" s="2140"/>
      <c r="UHE24" s="2141"/>
      <c r="UHF24" s="2141"/>
      <c r="UHG24" s="2140"/>
      <c r="UHH24" s="2141"/>
      <c r="UHI24" s="2141"/>
      <c r="UHJ24" s="2140"/>
      <c r="UHK24" s="2141"/>
      <c r="UHL24" s="2141"/>
      <c r="UHM24" s="2140"/>
      <c r="UHN24" s="2141"/>
      <c r="UHO24" s="2141"/>
      <c r="UHP24" s="2140"/>
      <c r="UHQ24" s="2141"/>
      <c r="UHR24" s="2141"/>
      <c r="UHS24" s="2140"/>
      <c r="UHT24" s="2141"/>
      <c r="UHU24" s="2141"/>
      <c r="UHV24" s="2140"/>
      <c r="UHW24" s="2141"/>
      <c r="UHX24" s="2141"/>
      <c r="UHY24" s="2140"/>
      <c r="UHZ24" s="2141"/>
      <c r="UIA24" s="2141"/>
      <c r="UIB24" s="2140"/>
      <c r="UIC24" s="2141"/>
      <c r="UID24" s="2141"/>
      <c r="UIE24" s="2140"/>
      <c r="UIF24" s="2141"/>
      <c r="UIG24" s="2141"/>
      <c r="UIH24" s="2140"/>
      <c r="UII24" s="2141"/>
      <c r="UIJ24" s="2141"/>
      <c r="UIK24" s="2140"/>
      <c r="UIL24" s="2141"/>
      <c r="UIM24" s="2141"/>
      <c r="UIN24" s="2140"/>
      <c r="UIO24" s="2141"/>
      <c r="UIP24" s="2141"/>
      <c r="UIQ24" s="2140"/>
      <c r="UIR24" s="2141"/>
      <c r="UIS24" s="2141"/>
      <c r="UIT24" s="2140"/>
      <c r="UIU24" s="2141"/>
      <c r="UIV24" s="2141"/>
      <c r="UIW24" s="2140"/>
      <c r="UIX24" s="2141"/>
      <c r="UIY24" s="2141"/>
      <c r="UIZ24" s="2140"/>
      <c r="UJA24" s="2141"/>
      <c r="UJB24" s="2141"/>
      <c r="UJC24" s="2140"/>
      <c r="UJD24" s="2141"/>
      <c r="UJE24" s="2141"/>
      <c r="UJF24" s="2140"/>
      <c r="UJG24" s="2141"/>
      <c r="UJH24" s="2141"/>
      <c r="UJI24" s="2140"/>
      <c r="UJJ24" s="2141"/>
      <c r="UJK24" s="2141"/>
      <c r="UJL24" s="2140"/>
      <c r="UJM24" s="2141"/>
      <c r="UJN24" s="2141"/>
      <c r="UJO24" s="2140"/>
      <c r="UJP24" s="2141"/>
      <c r="UJQ24" s="2141"/>
      <c r="UJR24" s="2140"/>
      <c r="UJS24" s="2141"/>
      <c r="UJT24" s="2141"/>
      <c r="UJU24" s="2140"/>
      <c r="UJV24" s="2141"/>
      <c r="UJW24" s="2141"/>
      <c r="UJX24" s="2140"/>
      <c r="UJY24" s="2141"/>
      <c r="UJZ24" s="2141"/>
      <c r="UKA24" s="2140"/>
      <c r="UKB24" s="2141"/>
      <c r="UKC24" s="2141"/>
      <c r="UKD24" s="2140"/>
      <c r="UKE24" s="2141"/>
      <c r="UKF24" s="2141"/>
      <c r="UKG24" s="2140"/>
      <c r="UKH24" s="2141"/>
      <c r="UKI24" s="2141"/>
      <c r="UKJ24" s="2140"/>
      <c r="UKK24" s="2141"/>
      <c r="UKL24" s="2141"/>
      <c r="UKM24" s="2140"/>
      <c r="UKN24" s="2141"/>
      <c r="UKO24" s="2141"/>
      <c r="UKP24" s="2140"/>
      <c r="UKQ24" s="2141"/>
      <c r="UKR24" s="2141"/>
      <c r="UKS24" s="2140"/>
      <c r="UKT24" s="2141"/>
      <c r="UKU24" s="2141"/>
      <c r="UKV24" s="2140"/>
      <c r="UKW24" s="2141"/>
      <c r="UKX24" s="2141"/>
      <c r="UKY24" s="2140"/>
      <c r="UKZ24" s="2141"/>
      <c r="ULA24" s="2141"/>
      <c r="ULB24" s="2140"/>
      <c r="ULC24" s="2141"/>
      <c r="ULD24" s="2141"/>
      <c r="ULE24" s="2140"/>
      <c r="ULF24" s="2141"/>
      <c r="ULG24" s="2141"/>
      <c r="ULH24" s="2140"/>
      <c r="ULI24" s="2141"/>
      <c r="ULJ24" s="2141"/>
      <c r="ULK24" s="2140"/>
      <c r="ULL24" s="2141"/>
      <c r="ULM24" s="2141"/>
      <c r="ULN24" s="2140"/>
      <c r="ULO24" s="2141"/>
      <c r="ULP24" s="2141"/>
      <c r="ULQ24" s="2140"/>
      <c r="ULR24" s="2141"/>
      <c r="ULS24" s="2141"/>
      <c r="ULT24" s="2140"/>
      <c r="ULU24" s="2141"/>
      <c r="ULV24" s="2141"/>
      <c r="ULW24" s="2140"/>
      <c r="ULX24" s="2141"/>
      <c r="ULY24" s="2141"/>
      <c r="ULZ24" s="2140"/>
      <c r="UMA24" s="2141"/>
      <c r="UMB24" s="2141"/>
      <c r="UMC24" s="2140"/>
      <c r="UMD24" s="2141"/>
      <c r="UME24" s="2141"/>
      <c r="UMF24" s="2140"/>
      <c r="UMG24" s="2141"/>
      <c r="UMH24" s="2141"/>
      <c r="UMI24" s="2140"/>
      <c r="UMJ24" s="2141"/>
      <c r="UMK24" s="2141"/>
      <c r="UML24" s="2140"/>
      <c r="UMM24" s="2141"/>
      <c r="UMN24" s="2141"/>
      <c r="UMO24" s="2140"/>
      <c r="UMP24" s="2141"/>
      <c r="UMQ24" s="2141"/>
      <c r="UMR24" s="2140"/>
      <c r="UMS24" s="2141"/>
      <c r="UMT24" s="2141"/>
      <c r="UMU24" s="2140"/>
      <c r="UMV24" s="2141"/>
      <c r="UMW24" s="2141"/>
      <c r="UMX24" s="2140"/>
      <c r="UMY24" s="2141"/>
      <c r="UMZ24" s="2141"/>
      <c r="UNA24" s="2140"/>
      <c r="UNB24" s="2141"/>
      <c r="UNC24" s="2141"/>
      <c r="UND24" s="2140"/>
      <c r="UNE24" s="2141"/>
      <c r="UNF24" s="2141"/>
      <c r="UNG24" s="2140"/>
      <c r="UNH24" s="2141"/>
      <c r="UNI24" s="2141"/>
      <c r="UNJ24" s="2140"/>
      <c r="UNK24" s="2141"/>
      <c r="UNL24" s="2141"/>
      <c r="UNM24" s="2140"/>
      <c r="UNN24" s="2141"/>
      <c r="UNO24" s="2141"/>
      <c r="UNP24" s="2140"/>
      <c r="UNQ24" s="2141"/>
      <c r="UNR24" s="2141"/>
      <c r="UNS24" s="2140"/>
      <c r="UNT24" s="2141"/>
      <c r="UNU24" s="2141"/>
      <c r="UNV24" s="2140"/>
      <c r="UNW24" s="2141"/>
      <c r="UNX24" s="2141"/>
      <c r="UNY24" s="2140"/>
      <c r="UNZ24" s="2141"/>
      <c r="UOA24" s="2141"/>
      <c r="UOB24" s="2140"/>
      <c r="UOC24" s="2141"/>
      <c r="UOD24" s="2141"/>
      <c r="UOE24" s="2140"/>
      <c r="UOF24" s="2141"/>
      <c r="UOG24" s="2141"/>
      <c r="UOH24" s="2140"/>
      <c r="UOI24" s="2141"/>
      <c r="UOJ24" s="2141"/>
      <c r="UOK24" s="2140"/>
      <c r="UOL24" s="2141"/>
      <c r="UOM24" s="2141"/>
      <c r="UON24" s="2140"/>
      <c r="UOO24" s="2141"/>
      <c r="UOP24" s="2141"/>
      <c r="UOQ24" s="2140"/>
      <c r="UOR24" s="2141"/>
      <c r="UOS24" s="2141"/>
      <c r="UOT24" s="2140"/>
      <c r="UOU24" s="2141"/>
      <c r="UOV24" s="2141"/>
      <c r="UOW24" s="2140"/>
      <c r="UOX24" s="2141"/>
      <c r="UOY24" s="2141"/>
      <c r="UOZ24" s="2140"/>
      <c r="UPA24" s="2141"/>
      <c r="UPB24" s="2141"/>
      <c r="UPC24" s="2140"/>
      <c r="UPD24" s="2141"/>
      <c r="UPE24" s="2141"/>
      <c r="UPF24" s="2140"/>
      <c r="UPG24" s="2141"/>
      <c r="UPH24" s="2141"/>
      <c r="UPI24" s="2140"/>
      <c r="UPJ24" s="2141"/>
      <c r="UPK24" s="2141"/>
      <c r="UPL24" s="2140"/>
      <c r="UPM24" s="2141"/>
      <c r="UPN24" s="2141"/>
      <c r="UPO24" s="2140"/>
      <c r="UPP24" s="2141"/>
      <c r="UPQ24" s="2141"/>
      <c r="UPR24" s="2140"/>
      <c r="UPS24" s="2141"/>
      <c r="UPT24" s="2141"/>
      <c r="UPU24" s="2140"/>
      <c r="UPV24" s="2141"/>
      <c r="UPW24" s="2141"/>
      <c r="UPX24" s="2140"/>
      <c r="UPY24" s="2141"/>
      <c r="UPZ24" s="2141"/>
      <c r="UQA24" s="2140"/>
      <c r="UQB24" s="2141"/>
      <c r="UQC24" s="2141"/>
      <c r="UQD24" s="2140"/>
      <c r="UQE24" s="2141"/>
      <c r="UQF24" s="2141"/>
      <c r="UQG24" s="2140"/>
      <c r="UQH24" s="2141"/>
      <c r="UQI24" s="2141"/>
      <c r="UQJ24" s="2140"/>
      <c r="UQK24" s="2141"/>
      <c r="UQL24" s="2141"/>
      <c r="UQM24" s="2140"/>
      <c r="UQN24" s="2141"/>
      <c r="UQO24" s="2141"/>
      <c r="UQP24" s="2140"/>
      <c r="UQQ24" s="2141"/>
      <c r="UQR24" s="2141"/>
      <c r="UQS24" s="2140"/>
      <c r="UQT24" s="2141"/>
      <c r="UQU24" s="2141"/>
      <c r="UQV24" s="2140"/>
      <c r="UQW24" s="2141"/>
      <c r="UQX24" s="2141"/>
      <c r="UQY24" s="2140"/>
      <c r="UQZ24" s="2141"/>
      <c r="URA24" s="2141"/>
      <c r="URB24" s="2140"/>
      <c r="URC24" s="2141"/>
      <c r="URD24" s="2141"/>
      <c r="URE24" s="2140"/>
      <c r="URF24" s="2141"/>
      <c r="URG24" s="2141"/>
      <c r="URH24" s="2140"/>
      <c r="URI24" s="2141"/>
      <c r="URJ24" s="2141"/>
      <c r="URK24" s="2140"/>
      <c r="URL24" s="2141"/>
      <c r="URM24" s="2141"/>
      <c r="URN24" s="2140"/>
      <c r="URO24" s="2141"/>
      <c r="URP24" s="2141"/>
      <c r="URQ24" s="2140"/>
      <c r="URR24" s="2141"/>
      <c r="URS24" s="2141"/>
      <c r="URT24" s="2140"/>
      <c r="URU24" s="2141"/>
      <c r="URV24" s="2141"/>
      <c r="URW24" s="2140"/>
      <c r="URX24" s="2141"/>
      <c r="URY24" s="2141"/>
      <c r="URZ24" s="2140"/>
      <c r="USA24" s="2141"/>
      <c r="USB24" s="2141"/>
      <c r="USC24" s="2140"/>
      <c r="USD24" s="2141"/>
      <c r="USE24" s="2141"/>
      <c r="USF24" s="2140"/>
      <c r="USG24" s="2141"/>
      <c r="USH24" s="2141"/>
      <c r="USI24" s="2140"/>
      <c r="USJ24" s="2141"/>
      <c r="USK24" s="2141"/>
      <c r="USL24" s="2140"/>
      <c r="USM24" s="2141"/>
      <c r="USN24" s="2141"/>
      <c r="USO24" s="2140"/>
      <c r="USP24" s="2141"/>
      <c r="USQ24" s="2141"/>
      <c r="USR24" s="2140"/>
      <c r="USS24" s="2141"/>
      <c r="UST24" s="2141"/>
      <c r="USU24" s="2140"/>
      <c r="USV24" s="2141"/>
      <c r="USW24" s="2141"/>
      <c r="USX24" s="2140"/>
      <c r="USY24" s="2141"/>
      <c r="USZ24" s="2141"/>
      <c r="UTA24" s="2140"/>
      <c r="UTB24" s="2141"/>
      <c r="UTC24" s="2141"/>
      <c r="UTD24" s="2140"/>
      <c r="UTE24" s="2141"/>
      <c r="UTF24" s="2141"/>
      <c r="UTG24" s="2140"/>
      <c r="UTH24" s="2141"/>
      <c r="UTI24" s="2141"/>
      <c r="UTJ24" s="2140"/>
      <c r="UTK24" s="2141"/>
      <c r="UTL24" s="2141"/>
      <c r="UTM24" s="2140"/>
      <c r="UTN24" s="2141"/>
      <c r="UTO24" s="2141"/>
      <c r="UTP24" s="2140"/>
      <c r="UTQ24" s="2141"/>
      <c r="UTR24" s="2141"/>
      <c r="UTS24" s="2140"/>
      <c r="UTT24" s="2141"/>
      <c r="UTU24" s="2141"/>
      <c r="UTV24" s="2140"/>
      <c r="UTW24" s="2141"/>
      <c r="UTX24" s="2141"/>
      <c r="UTY24" s="2140"/>
      <c r="UTZ24" s="2141"/>
      <c r="UUA24" s="2141"/>
      <c r="UUB24" s="2140"/>
      <c r="UUC24" s="2141"/>
      <c r="UUD24" s="2141"/>
      <c r="UUE24" s="2140"/>
      <c r="UUF24" s="2141"/>
      <c r="UUG24" s="2141"/>
      <c r="UUH24" s="2140"/>
      <c r="UUI24" s="2141"/>
      <c r="UUJ24" s="2141"/>
      <c r="UUK24" s="2140"/>
      <c r="UUL24" s="2141"/>
      <c r="UUM24" s="2141"/>
      <c r="UUN24" s="2140"/>
      <c r="UUO24" s="2141"/>
      <c r="UUP24" s="2141"/>
      <c r="UUQ24" s="2140"/>
      <c r="UUR24" s="2141"/>
      <c r="UUS24" s="2141"/>
      <c r="UUT24" s="2140"/>
      <c r="UUU24" s="2141"/>
      <c r="UUV24" s="2141"/>
      <c r="UUW24" s="2140"/>
      <c r="UUX24" s="2141"/>
      <c r="UUY24" s="2141"/>
      <c r="UUZ24" s="2140"/>
      <c r="UVA24" s="2141"/>
      <c r="UVB24" s="2141"/>
      <c r="UVC24" s="2140"/>
      <c r="UVD24" s="2141"/>
      <c r="UVE24" s="2141"/>
      <c r="UVF24" s="2140"/>
      <c r="UVG24" s="2141"/>
      <c r="UVH24" s="2141"/>
      <c r="UVI24" s="2140"/>
      <c r="UVJ24" s="2141"/>
      <c r="UVK24" s="2141"/>
      <c r="UVL24" s="2140"/>
      <c r="UVM24" s="2141"/>
      <c r="UVN24" s="2141"/>
      <c r="UVO24" s="2140"/>
      <c r="UVP24" s="2141"/>
      <c r="UVQ24" s="2141"/>
      <c r="UVR24" s="2140"/>
      <c r="UVS24" s="2141"/>
      <c r="UVT24" s="2141"/>
      <c r="UVU24" s="2140"/>
      <c r="UVV24" s="2141"/>
      <c r="UVW24" s="2141"/>
      <c r="UVX24" s="2140"/>
      <c r="UVY24" s="2141"/>
      <c r="UVZ24" s="2141"/>
      <c r="UWA24" s="2140"/>
      <c r="UWB24" s="2141"/>
      <c r="UWC24" s="2141"/>
      <c r="UWD24" s="2140"/>
      <c r="UWE24" s="2141"/>
      <c r="UWF24" s="2141"/>
      <c r="UWG24" s="2140"/>
      <c r="UWH24" s="2141"/>
      <c r="UWI24" s="2141"/>
      <c r="UWJ24" s="2140"/>
      <c r="UWK24" s="2141"/>
      <c r="UWL24" s="2141"/>
      <c r="UWM24" s="2140"/>
      <c r="UWN24" s="2141"/>
      <c r="UWO24" s="2141"/>
      <c r="UWP24" s="2140"/>
      <c r="UWQ24" s="2141"/>
      <c r="UWR24" s="2141"/>
      <c r="UWS24" s="2140"/>
      <c r="UWT24" s="2141"/>
      <c r="UWU24" s="2141"/>
      <c r="UWV24" s="2140"/>
      <c r="UWW24" s="2141"/>
      <c r="UWX24" s="2141"/>
      <c r="UWY24" s="2140"/>
      <c r="UWZ24" s="2141"/>
      <c r="UXA24" s="2141"/>
      <c r="UXB24" s="2140"/>
      <c r="UXC24" s="2141"/>
      <c r="UXD24" s="2141"/>
      <c r="UXE24" s="2140"/>
      <c r="UXF24" s="2141"/>
      <c r="UXG24" s="2141"/>
      <c r="UXH24" s="2140"/>
      <c r="UXI24" s="2141"/>
      <c r="UXJ24" s="2141"/>
      <c r="UXK24" s="2140"/>
      <c r="UXL24" s="2141"/>
      <c r="UXM24" s="2141"/>
      <c r="UXN24" s="2140"/>
      <c r="UXO24" s="2141"/>
      <c r="UXP24" s="2141"/>
      <c r="UXQ24" s="2140"/>
      <c r="UXR24" s="2141"/>
      <c r="UXS24" s="2141"/>
      <c r="UXT24" s="2140"/>
      <c r="UXU24" s="2141"/>
      <c r="UXV24" s="2141"/>
      <c r="UXW24" s="2140"/>
      <c r="UXX24" s="2141"/>
      <c r="UXY24" s="2141"/>
      <c r="UXZ24" s="2140"/>
      <c r="UYA24" s="2141"/>
      <c r="UYB24" s="2141"/>
      <c r="UYC24" s="2140"/>
      <c r="UYD24" s="2141"/>
      <c r="UYE24" s="2141"/>
      <c r="UYF24" s="2140"/>
      <c r="UYG24" s="2141"/>
      <c r="UYH24" s="2141"/>
      <c r="UYI24" s="2140"/>
      <c r="UYJ24" s="2141"/>
      <c r="UYK24" s="2141"/>
      <c r="UYL24" s="2140"/>
      <c r="UYM24" s="2141"/>
      <c r="UYN24" s="2141"/>
      <c r="UYO24" s="2140"/>
      <c r="UYP24" s="2141"/>
      <c r="UYQ24" s="2141"/>
      <c r="UYR24" s="2140"/>
      <c r="UYS24" s="2141"/>
      <c r="UYT24" s="2141"/>
      <c r="UYU24" s="2140"/>
      <c r="UYV24" s="2141"/>
      <c r="UYW24" s="2141"/>
      <c r="UYX24" s="2140"/>
      <c r="UYY24" s="2141"/>
      <c r="UYZ24" s="2141"/>
      <c r="UZA24" s="2140"/>
      <c r="UZB24" s="2141"/>
      <c r="UZC24" s="2141"/>
      <c r="UZD24" s="2140"/>
      <c r="UZE24" s="2141"/>
      <c r="UZF24" s="2141"/>
      <c r="UZG24" s="2140"/>
      <c r="UZH24" s="2141"/>
      <c r="UZI24" s="2141"/>
      <c r="UZJ24" s="2140"/>
      <c r="UZK24" s="2141"/>
      <c r="UZL24" s="2141"/>
      <c r="UZM24" s="2140"/>
      <c r="UZN24" s="2141"/>
      <c r="UZO24" s="2141"/>
      <c r="UZP24" s="2140"/>
      <c r="UZQ24" s="2141"/>
      <c r="UZR24" s="2141"/>
      <c r="UZS24" s="2140"/>
      <c r="UZT24" s="2141"/>
      <c r="UZU24" s="2141"/>
      <c r="UZV24" s="2140"/>
      <c r="UZW24" s="2141"/>
      <c r="UZX24" s="2141"/>
      <c r="UZY24" s="2140"/>
      <c r="UZZ24" s="2141"/>
      <c r="VAA24" s="2141"/>
      <c r="VAB24" s="2140"/>
      <c r="VAC24" s="2141"/>
      <c r="VAD24" s="2141"/>
      <c r="VAE24" s="2140"/>
      <c r="VAF24" s="2141"/>
      <c r="VAG24" s="2141"/>
      <c r="VAH24" s="2140"/>
      <c r="VAI24" s="2141"/>
      <c r="VAJ24" s="2141"/>
      <c r="VAK24" s="2140"/>
      <c r="VAL24" s="2141"/>
      <c r="VAM24" s="2141"/>
      <c r="VAN24" s="2140"/>
      <c r="VAO24" s="2141"/>
      <c r="VAP24" s="2141"/>
      <c r="VAQ24" s="2140"/>
      <c r="VAR24" s="2141"/>
      <c r="VAS24" s="2141"/>
      <c r="VAT24" s="2140"/>
      <c r="VAU24" s="2141"/>
      <c r="VAV24" s="2141"/>
      <c r="VAW24" s="2140"/>
      <c r="VAX24" s="2141"/>
      <c r="VAY24" s="2141"/>
      <c r="VAZ24" s="2140"/>
      <c r="VBA24" s="2141"/>
      <c r="VBB24" s="2141"/>
      <c r="VBC24" s="2140"/>
      <c r="VBD24" s="2141"/>
      <c r="VBE24" s="2141"/>
      <c r="VBF24" s="2140"/>
      <c r="VBG24" s="2141"/>
      <c r="VBH24" s="2141"/>
      <c r="VBI24" s="2140"/>
      <c r="VBJ24" s="2141"/>
      <c r="VBK24" s="2141"/>
      <c r="VBL24" s="2140"/>
      <c r="VBM24" s="2141"/>
      <c r="VBN24" s="2141"/>
      <c r="VBO24" s="2140"/>
      <c r="VBP24" s="2141"/>
      <c r="VBQ24" s="2141"/>
      <c r="VBR24" s="2140"/>
      <c r="VBS24" s="2141"/>
      <c r="VBT24" s="2141"/>
      <c r="VBU24" s="2140"/>
      <c r="VBV24" s="2141"/>
      <c r="VBW24" s="2141"/>
      <c r="VBX24" s="2140"/>
      <c r="VBY24" s="2141"/>
      <c r="VBZ24" s="2141"/>
      <c r="VCA24" s="2140"/>
      <c r="VCB24" s="2141"/>
      <c r="VCC24" s="2141"/>
      <c r="VCD24" s="2140"/>
      <c r="VCE24" s="2141"/>
      <c r="VCF24" s="2141"/>
      <c r="VCG24" s="2140"/>
      <c r="VCH24" s="2141"/>
      <c r="VCI24" s="2141"/>
      <c r="VCJ24" s="2140"/>
      <c r="VCK24" s="2141"/>
      <c r="VCL24" s="2141"/>
      <c r="VCM24" s="2140"/>
      <c r="VCN24" s="2141"/>
      <c r="VCO24" s="2141"/>
      <c r="VCP24" s="2140"/>
      <c r="VCQ24" s="2141"/>
      <c r="VCR24" s="2141"/>
      <c r="VCS24" s="2140"/>
      <c r="VCT24" s="2141"/>
      <c r="VCU24" s="2141"/>
      <c r="VCV24" s="2140"/>
      <c r="VCW24" s="2141"/>
      <c r="VCX24" s="2141"/>
      <c r="VCY24" s="2140"/>
      <c r="VCZ24" s="2141"/>
      <c r="VDA24" s="2141"/>
      <c r="VDB24" s="2140"/>
      <c r="VDC24" s="2141"/>
      <c r="VDD24" s="2141"/>
      <c r="VDE24" s="2140"/>
      <c r="VDF24" s="2141"/>
      <c r="VDG24" s="2141"/>
      <c r="VDH24" s="2140"/>
      <c r="VDI24" s="2141"/>
      <c r="VDJ24" s="2141"/>
      <c r="VDK24" s="2140"/>
      <c r="VDL24" s="2141"/>
      <c r="VDM24" s="2141"/>
      <c r="VDN24" s="2140"/>
      <c r="VDO24" s="2141"/>
      <c r="VDP24" s="2141"/>
      <c r="VDQ24" s="2140"/>
      <c r="VDR24" s="2141"/>
      <c r="VDS24" s="2141"/>
      <c r="VDT24" s="2140"/>
      <c r="VDU24" s="2141"/>
      <c r="VDV24" s="2141"/>
      <c r="VDW24" s="2140"/>
      <c r="VDX24" s="2141"/>
      <c r="VDY24" s="2141"/>
      <c r="VDZ24" s="2140"/>
      <c r="VEA24" s="2141"/>
      <c r="VEB24" s="2141"/>
      <c r="VEC24" s="2140"/>
      <c r="VED24" s="2141"/>
      <c r="VEE24" s="2141"/>
      <c r="VEF24" s="2140"/>
      <c r="VEG24" s="2141"/>
      <c r="VEH24" s="2141"/>
      <c r="VEI24" s="2140"/>
      <c r="VEJ24" s="2141"/>
      <c r="VEK24" s="2141"/>
      <c r="VEL24" s="2140"/>
      <c r="VEM24" s="2141"/>
      <c r="VEN24" s="2141"/>
      <c r="VEO24" s="2140"/>
      <c r="VEP24" s="2141"/>
      <c r="VEQ24" s="2141"/>
      <c r="VER24" s="2140"/>
      <c r="VES24" s="2141"/>
      <c r="VET24" s="2141"/>
      <c r="VEU24" s="2140"/>
      <c r="VEV24" s="2141"/>
      <c r="VEW24" s="2141"/>
      <c r="VEX24" s="2140"/>
      <c r="VEY24" s="2141"/>
      <c r="VEZ24" s="2141"/>
      <c r="VFA24" s="2140"/>
      <c r="VFB24" s="2141"/>
      <c r="VFC24" s="2141"/>
      <c r="VFD24" s="2140"/>
      <c r="VFE24" s="2141"/>
      <c r="VFF24" s="2141"/>
      <c r="VFG24" s="2140"/>
      <c r="VFH24" s="2141"/>
      <c r="VFI24" s="2141"/>
      <c r="VFJ24" s="2140"/>
      <c r="VFK24" s="2141"/>
      <c r="VFL24" s="2141"/>
      <c r="VFM24" s="2140"/>
      <c r="VFN24" s="2141"/>
      <c r="VFO24" s="2141"/>
      <c r="VFP24" s="2140"/>
      <c r="VFQ24" s="2141"/>
      <c r="VFR24" s="2141"/>
      <c r="VFS24" s="2140"/>
      <c r="VFT24" s="2141"/>
      <c r="VFU24" s="2141"/>
      <c r="VFV24" s="2140"/>
      <c r="VFW24" s="2141"/>
      <c r="VFX24" s="2141"/>
      <c r="VFY24" s="2140"/>
      <c r="VFZ24" s="2141"/>
      <c r="VGA24" s="2141"/>
      <c r="VGB24" s="2140"/>
      <c r="VGC24" s="2141"/>
      <c r="VGD24" s="2141"/>
      <c r="VGE24" s="2140"/>
      <c r="VGF24" s="2141"/>
      <c r="VGG24" s="2141"/>
      <c r="VGH24" s="2140"/>
      <c r="VGI24" s="2141"/>
      <c r="VGJ24" s="2141"/>
      <c r="VGK24" s="2140"/>
      <c r="VGL24" s="2141"/>
      <c r="VGM24" s="2141"/>
      <c r="VGN24" s="2140"/>
      <c r="VGO24" s="2141"/>
      <c r="VGP24" s="2141"/>
      <c r="VGQ24" s="2140"/>
      <c r="VGR24" s="2141"/>
      <c r="VGS24" s="2141"/>
      <c r="VGT24" s="2140"/>
      <c r="VGU24" s="2141"/>
      <c r="VGV24" s="2141"/>
      <c r="VGW24" s="2140"/>
      <c r="VGX24" s="2141"/>
      <c r="VGY24" s="2141"/>
      <c r="VGZ24" s="2140"/>
      <c r="VHA24" s="2141"/>
      <c r="VHB24" s="2141"/>
      <c r="VHC24" s="2140"/>
      <c r="VHD24" s="2141"/>
      <c r="VHE24" s="2141"/>
      <c r="VHF24" s="2140"/>
      <c r="VHG24" s="2141"/>
      <c r="VHH24" s="2141"/>
      <c r="VHI24" s="2140"/>
      <c r="VHJ24" s="2141"/>
      <c r="VHK24" s="2141"/>
      <c r="VHL24" s="2140"/>
      <c r="VHM24" s="2141"/>
      <c r="VHN24" s="2141"/>
      <c r="VHO24" s="2140"/>
      <c r="VHP24" s="2141"/>
      <c r="VHQ24" s="2141"/>
      <c r="VHR24" s="2140"/>
      <c r="VHS24" s="2141"/>
      <c r="VHT24" s="2141"/>
      <c r="VHU24" s="2140"/>
      <c r="VHV24" s="2141"/>
      <c r="VHW24" s="2141"/>
      <c r="VHX24" s="2140"/>
      <c r="VHY24" s="2141"/>
      <c r="VHZ24" s="2141"/>
      <c r="VIA24" s="2140"/>
      <c r="VIB24" s="2141"/>
      <c r="VIC24" s="2141"/>
      <c r="VID24" s="2140"/>
      <c r="VIE24" s="2141"/>
      <c r="VIF24" s="2141"/>
      <c r="VIG24" s="2140"/>
      <c r="VIH24" s="2141"/>
      <c r="VII24" s="2141"/>
      <c r="VIJ24" s="2140"/>
      <c r="VIK24" s="2141"/>
      <c r="VIL24" s="2141"/>
      <c r="VIM24" s="2140"/>
      <c r="VIN24" s="2141"/>
      <c r="VIO24" s="2141"/>
      <c r="VIP24" s="2140"/>
      <c r="VIQ24" s="2141"/>
      <c r="VIR24" s="2141"/>
      <c r="VIS24" s="2140"/>
      <c r="VIT24" s="2141"/>
      <c r="VIU24" s="2141"/>
      <c r="VIV24" s="2140"/>
      <c r="VIW24" s="2141"/>
      <c r="VIX24" s="2141"/>
      <c r="VIY24" s="2140"/>
      <c r="VIZ24" s="2141"/>
      <c r="VJA24" s="2141"/>
      <c r="VJB24" s="2140"/>
      <c r="VJC24" s="2141"/>
      <c r="VJD24" s="2141"/>
      <c r="VJE24" s="2140"/>
      <c r="VJF24" s="2141"/>
      <c r="VJG24" s="2141"/>
      <c r="VJH24" s="2140"/>
      <c r="VJI24" s="2141"/>
      <c r="VJJ24" s="2141"/>
      <c r="VJK24" s="2140"/>
      <c r="VJL24" s="2141"/>
      <c r="VJM24" s="2141"/>
      <c r="VJN24" s="2140"/>
      <c r="VJO24" s="2141"/>
      <c r="VJP24" s="2141"/>
      <c r="VJQ24" s="2140"/>
      <c r="VJR24" s="2141"/>
      <c r="VJS24" s="2141"/>
      <c r="VJT24" s="2140"/>
      <c r="VJU24" s="2141"/>
      <c r="VJV24" s="2141"/>
      <c r="VJW24" s="2140"/>
      <c r="VJX24" s="2141"/>
      <c r="VJY24" s="2141"/>
      <c r="VJZ24" s="2140"/>
      <c r="VKA24" s="2141"/>
      <c r="VKB24" s="2141"/>
      <c r="VKC24" s="2140"/>
      <c r="VKD24" s="2141"/>
      <c r="VKE24" s="2141"/>
      <c r="VKF24" s="2140"/>
      <c r="VKG24" s="2141"/>
      <c r="VKH24" s="2141"/>
      <c r="VKI24" s="2140"/>
      <c r="VKJ24" s="2141"/>
      <c r="VKK24" s="2141"/>
      <c r="VKL24" s="2140"/>
      <c r="VKM24" s="2141"/>
      <c r="VKN24" s="2141"/>
      <c r="VKO24" s="2140"/>
      <c r="VKP24" s="2141"/>
      <c r="VKQ24" s="2141"/>
      <c r="VKR24" s="2140"/>
      <c r="VKS24" s="2141"/>
      <c r="VKT24" s="2141"/>
      <c r="VKU24" s="2140"/>
      <c r="VKV24" s="2141"/>
      <c r="VKW24" s="2141"/>
      <c r="VKX24" s="2140"/>
      <c r="VKY24" s="2141"/>
      <c r="VKZ24" s="2141"/>
      <c r="VLA24" s="2140"/>
      <c r="VLB24" s="2141"/>
      <c r="VLC24" s="2141"/>
      <c r="VLD24" s="2140"/>
      <c r="VLE24" s="2141"/>
      <c r="VLF24" s="2141"/>
      <c r="VLG24" s="2140"/>
      <c r="VLH24" s="2141"/>
      <c r="VLI24" s="2141"/>
      <c r="VLJ24" s="2140"/>
      <c r="VLK24" s="2141"/>
      <c r="VLL24" s="2141"/>
      <c r="VLM24" s="2140"/>
      <c r="VLN24" s="2141"/>
      <c r="VLO24" s="2141"/>
      <c r="VLP24" s="2140"/>
      <c r="VLQ24" s="2141"/>
      <c r="VLR24" s="2141"/>
      <c r="VLS24" s="2140"/>
      <c r="VLT24" s="2141"/>
      <c r="VLU24" s="2141"/>
      <c r="VLV24" s="2140"/>
      <c r="VLW24" s="2141"/>
      <c r="VLX24" s="2141"/>
      <c r="VLY24" s="2140"/>
      <c r="VLZ24" s="2141"/>
      <c r="VMA24" s="2141"/>
      <c r="VMB24" s="2140"/>
      <c r="VMC24" s="2141"/>
      <c r="VMD24" s="2141"/>
      <c r="VME24" s="2140"/>
      <c r="VMF24" s="2141"/>
      <c r="VMG24" s="2141"/>
      <c r="VMH24" s="2140"/>
      <c r="VMI24" s="2141"/>
      <c r="VMJ24" s="2141"/>
      <c r="VMK24" s="2140"/>
      <c r="VML24" s="2141"/>
      <c r="VMM24" s="2141"/>
      <c r="VMN24" s="2140"/>
      <c r="VMO24" s="2141"/>
      <c r="VMP24" s="2141"/>
      <c r="VMQ24" s="2140"/>
      <c r="VMR24" s="2141"/>
      <c r="VMS24" s="2141"/>
      <c r="VMT24" s="2140"/>
      <c r="VMU24" s="2141"/>
      <c r="VMV24" s="2141"/>
      <c r="VMW24" s="2140"/>
      <c r="VMX24" s="2141"/>
      <c r="VMY24" s="2141"/>
      <c r="VMZ24" s="2140"/>
      <c r="VNA24" s="2141"/>
      <c r="VNB24" s="2141"/>
      <c r="VNC24" s="2140"/>
      <c r="VND24" s="2141"/>
      <c r="VNE24" s="2141"/>
      <c r="VNF24" s="2140"/>
      <c r="VNG24" s="2141"/>
      <c r="VNH24" s="2141"/>
      <c r="VNI24" s="2140"/>
      <c r="VNJ24" s="2141"/>
      <c r="VNK24" s="2141"/>
      <c r="VNL24" s="2140"/>
      <c r="VNM24" s="2141"/>
      <c r="VNN24" s="2141"/>
      <c r="VNO24" s="2140"/>
      <c r="VNP24" s="2141"/>
      <c r="VNQ24" s="2141"/>
      <c r="VNR24" s="2140"/>
      <c r="VNS24" s="2141"/>
      <c r="VNT24" s="2141"/>
      <c r="VNU24" s="2140"/>
      <c r="VNV24" s="2141"/>
      <c r="VNW24" s="2141"/>
      <c r="VNX24" s="2140"/>
      <c r="VNY24" s="2141"/>
      <c r="VNZ24" s="2141"/>
      <c r="VOA24" s="2140"/>
      <c r="VOB24" s="2141"/>
      <c r="VOC24" s="2141"/>
      <c r="VOD24" s="2140"/>
      <c r="VOE24" s="2141"/>
      <c r="VOF24" s="2141"/>
      <c r="VOG24" s="2140"/>
      <c r="VOH24" s="2141"/>
      <c r="VOI24" s="2141"/>
      <c r="VOJ24" s="2140"/>
      <c r="VOK24" s="2141"/>
      <c r="VOL24" s="2141"/>
      <c r="VOM24" s="2140"/>
      <c r="VON24" s="2141"/>
      <c r="VOO24" s="2141"/>
      <c r="VOP24" s="2140"/>
      <c r="VOQ24" s="2141"/>
      <c r="VOR24" s="2141"/>
      <c r="VOS24" s="2140"/>
      <c r="VOT24" s="2141"/>
      <c r="VOU24" s="2141"/>
      <c r="VOV24" s="2140"/>
      <c r="VOW24" s="2141"/>
      <c r="VOX24" s="2141"/>
      <c r="VOY24" s="2140"/>
      <c r="VOZ24" s="2141"/>
      <c r="VPA24" s="2141"/>
      <c r="VPB24" s="2140"/>
      <c r="VPC24" s="2141"/>
      <c r="VPD24" s="2141"/>
      <c r="VPE24" s="2140"/>
      <c r="VPF24" s="2141"/>
      <c r="VPG24" s="2141"/>
      <c r="VPH24" s="2140"/>
      <c r="VPI24" s="2141"/>
      <c r="VPJ24" s="2141"/>
      <c r="VPK24" s="2140"/>
      <c r="VPL24" s="2141"/>
      <c r="VPM24" s="2141"/>
      <c r="VPN24" s="2140"/>
      <c r="VPO24" s="2141"/>
      <c r="VPP24" s="2141"/>
      <c r="VPQ24" s="2140"/>
      <c r="VPR24" s="2141"/>
      <c r="VPS24" s="2141"/>
      <c r="VPT24" s="2140"/>
      <c r="VPU24" s="2141"/>
      <c r="VPV24" s="2141"/>
      <c r="VPW24" s="2140"/>
      <c r="VPX24" s="2141"/>
      <c r="VPY24" s="2141"/>
      <c r="VPZ24" s="2140"/>
      <c r="VQA24" s="2141"/>
      <c r="VQB24" s="2141"/>
      <c r="VQC24" s="2140"/>
      <c r="VQD24" s="2141"/>
      <c r="VQE24" s="2141"/>
      <c r="VQF24" s="2140"/>
      <c r="VQG24" s="2141"/>
      <c r="VQH24" s="2141"/>
      <c r="VQI24" s="2140"/>
      <c r="VQJ24" s="2141"/>
      <c r="VQK24" s="2141"/>
      <c r="VQL24" s="2140"/>
      <c r="VQM24" s="2141"/>
      <c r="VQN24" s="2141"/>
      <c r="VQO24" s="2140"/>
      <c r="VQP24" s="2141"/>
      <c r="VQQ24" s="2141"/>
      <c r="VQR24" s="2140"/>
      <c r="VQS24" s="2141"/>
      <c r="VQT24" s="2141"/>
      <c r="VQU24" s="2140"/>
      <c r="VQV24" s="2141"/>
      <c r="VQW24" s="2141"/>
      <c r="VQX24" s="2140"/>
      <c r="VQY24" s="2141"/>
      <c r="VQZ24" s="2141"/>
      <c r="VRA24" s="2140"/>
      <c r="VRB24" s="2141"/>
      <c r="VRC24" s="2141"/>
      <c r="VRD24" s="2140"/>
      <c r="VRE24" s="2141"/>
      <c r="VRF24" s="2141"/>
      <c r="VRG24" s="2140"/>
      <c r="VRH24" s="2141"/>
      <c r="VRI24" s="2141"/>
      <c r="VRJ24" s="2140"/>
      <c r="VRK24" s="2141"/>
      <c r="VRL24" s="2141"/>
      <c r="VRM24" s="2140"/>
      <c r="VRN24" s="2141"/>
      <c r="VRO24" s="2141"/>
      <c r="VRP24" s="2140"/>
      <c r="VRQ24" s="2141"/>
      <c r="VRR24" s="2141"/>
      <c r="VRS24" s="2140"/>
      <c r="VRT24" s="2141"/>
      <c r="VRU24" s="2141"/>
      <c r="VRV24" s="2140"/>
      <c r="VRW24" s="2141"/>
      <c r="VRX24" s="2141"/>
      <c r="VRY24" s="2140"/>
      <c r="VRZ24" s="2141"/>
      <c r="VSA24" s="2141"/>
      <c r="VSB24" s="2140"/>
      <c r="VSC24" s="2141"/>
      <c r="VSD24" s="2141"/>
      <c r="VSE24" s="2140"/>
      <c r="VSF24" s="2141"/>
      <c r="VSG24" s="2141"/>
      <c r="VSH24" s="2140"/>
      <c r="VSI24" s="2141"/>
      <c r="VSJ24" s="2141"/>
      <c r="VSK24" s="2140"/>
      <c r="VSL24" s="2141"/>
      <c r="VSM24" s="2141"/>
      <c r="VSN24" s="2140"/>
      <c r="VSO24" s="2141"/>
      <c r="VSP24" s="2141"/>
      <c r="VSQ24" s="2140"/>
      <c r="VSR24" s="2141"/>
      <c r="VSS24" s="2141"/>
      <c r="VST24" s="2140"/>
      <c r="VSU24" s="2141"/>
      <c r="VSV24" s="2141"/>
      <c r="VSW24" s="2140"/>
      <c r="VSX24" s="2141"/>
      <c r="VSY24" s="2141"/>
      <c r="VSZ24" s="2140"/>
      <c r="VTA24" s="2141"/>
      <c r="VTB24" s="2141"/>
      <c r="VTC24" s="2140"/>
      <c r="VTD24" s="2141"/>
      <c r="VTE24" s="2141"/>
      <c r="VTF24" s="2140"/>
      <c r="VTG24" s="2141"/>
      <c r="VTH24" s="2141"/>
      <c r="VTI24" s="2140"/>
      <c r="VTJ24" s="2141"/>
      <c r="VTK24" s="2141"/>
      <c r="VTL24" s="2140"/>
      <c r="VTM24" s="2141"/>
      <c r="VTN24" s="2141"/>
      <c r="VTO24" s="2140"/>
      <c r="VTP24" s="2141"/>
      <c r="VTQ24" s="2141"/>
      <c r="VTR24" s="2140"/>
      <c r="VTS24" s="2141"/>
      <c r="VTT24" s="2141"/>
      <c r="VTU24" s="2140"/>
      <c r="VTV24" s="2141"/>
      <c r="VTW24" s="2141"/>
      <c r="VTX24" s="2140"/>
      <c r="VTY24" s="2141"/>
      <c r="VTZ24" s="2141"/>
      <c r="VUA24" s="2140"/>
      <c r="VUB24" s="2141"/>
      <c r="VUC24" s="2141"/>
      <c r="VUD24" s="2140"/>
      <c r="VUE24" s="2141"/>
      <c r="VUF24" s="2141"/>
      <c r="VUG24" s="2140"/>
      <c r="VUH24" s="2141"/>
      <c r="VUI24" s="2141"/>
      <c r="VUJ24" s="2140"/>
      <c r="VUK24" s="2141"/>
      <c r="VUL24" s="2141"/>
      <c r="VUM24" s="2140"/>
      <c r="VUN24" s="2141"/>
      <c r="VUO24" s="2141"/>
      <c r="VUP24" s="2140"/>
      <c r="VUQ24" s="2141"/>
      <c r="VUR24" s="2141"/>
      <c r="VUS24" s="2140"/>
      <c r="VUT24" s="2141"/>
      <c r="VUU24" s="2141"/>
      <c r="VUV24" s="2140"/>
      <c r="VUW24" s="2141"/>
      <c r="VUX24" s="2141"/>
      <c r="VUY24" s="2140"/>
      <c r="VUZ24" s="2141"/>
      <c r="VVA24" s="2141"/>
      <c r="VVB24" s="2140"/>
      <c r="VVC24" s="2141"/>
      <c r="VVD24" s="2141"/>
      <c r="VVE24" s="2140"/>
      <c r="VVF24" s="2141"/>
      <c r="VVG24" s="2141"/>
      <c r="VVH24" s="2140"/>
      <c r="VVI24" s="2141"/>
      <c r="VVJ24" s="2141"/>
      <c r="VVK24" s="2140"/>
      <c r="VVL24" s="2141"/>
      <c r="VVM24" s="2141"/>
      <c r="VVN24" s="2140"/>
      <c r="VVO24" s="2141"/>
      <c r="VVP24" s="2141"/>
      <c r="VVQ24" s="2140"/>
      <c r="VVR24" s="2141"/>
      <c r="VVS24" s="2141"/>
      <c r="VVT24" s="2140"/>
      <c r="VVU24" s="2141"/>
      <c r="VVV24" s="2141"/>
      <c r="VVW24" s="2140"/>
      <c r="VVX24" s="2141"/>
      <c r="VVY24" s="2141"/>
      <c r="VVZ24" s="2140"/>
      <c r="VWA24" s="2141"/>
      <c r="VWB24" s="2141"/>
      <c r="VWC24" s="2140"/>
      <c r="VWD24" s="2141"/>
      <c r="VWE24" s="2141"/>
      <c r="VWF24" s="2140"/>
      <c r="VWG24" s="2141"/>
      <c r="VWH24" s="2141"/>
      <c r="VWI24" s="2140"/>
      <c r="VWJ24" s="2141"/>
      <c r="VWK24" s="2141"/>
      <c r="VWL24" s="2140"/>
      <c r="VWM24" s="2141"/>
      <c r="VWN24" s="2141"/>
      <c r="VWO24" s="2140"/>
      <c r="VWP24" s="2141"/>
      <c r="VWQ24" s="2141"/>
      <c r="VWR24" s="2140"/>
      <c r="VWS24" s="2141"/>
      <c r="VWT24" s="2141"/>
      <c r="VWU24" s="2140"/>
      <c r="VWV24" s="2141"/>
      <c r="VWW24" s="2141"/>
      <c r="VWX24" s="2140"/>
      <c r="VWY24" s="2141"/>
      <c r="VWZ24" s="2141"/>
      <c r="VXA24" s="2140"/>
      <c r="VXB24" s="2141"/>
      <c r="VXC24" s="2141"/>
      <c r="VXD24" s="2140"/>
      <c r="VXE24" s="2141"/>
      <c r="VXF24" s="2141"/>
      <c r="VXG24" s="2140"/>
      <c r="VXH24" s="2141"/>
      <c r="VXI24" s="2141"/>
      <c r="VXJ24" s="2140"/>
      <c r="VXK24" s="2141"/>
      <c r="VXL24" s="2141"/>
      <c r="VXM24" s="2140"/>
      <c r="VXN24" s="2141"/>
      <c r="VXO24" s="2141"/>
      <c r="VXP24" s="2140"/>
      <c r="VXQ24" s="2141"/>
      <c r="VXR24" s="2141"/>
      <c r="VXS24" s="2140"/>
      <c r="VXT24" s="2141"/>
      <c r="VXU24" s="2141"/>
      <c r="VXV24" s="2140"/>
      <c r="VXW24" s="2141"/>
      <c r="VXX24" s="2141"/>
      <c r="VXY24" s="2140"/>
      <c r="VXZ24" s="2141"/>
      <c r="VYA24" s="2141"/>
      <c r="VYB24" s="2140"/>
      <c r="VYC24" s="2141"/>
      <c r="VYD24" s="2141"/>
      <c r="VYE24" s="2140"/>
      <c r="VYF24" s="2141"/>
      <c r="VYG24" s="2141"/>
      <c r="VYH24" s="2140"/>
      <c r="VYI24" s="2141"/>
      <c r="VYJ24" s="2141"/>
      <c r="VYK24" s="2140"/>
      <c r="VYL24" s="2141"/>
      <c r="VYM24" s="2141"/>
      <c r="VYN24" s="2140"/>
      <c r="VYO24" s="2141"/>
      <c r="VYP24" s="2141"/>
      <c r="VYQ24" s="2140"/>
      <c r="VYR24" s="2141"/>
      <c r="VYS24" s="2141"/>
      <c r="VYT24" s="2140"/>
      <c r="VYU24" s="2141"/>
      <c r="VYV24" s="2141"/>
      <c r="VYW24" s="2140"/>
      <c r="VYX24" s="2141"/>
      <c r="VYY24" s="2141"/>
      <c r="VYZ24" s="2140"/>
      <c r="VZA24" s="2141"/>
      <c r="VZB24" s="2141"/>
      <c r="VZC24" s="2140"/>
      <c r="VZD24" s="2141"/>
      <c r="VZE24" s="2141"/>
      <c r="VZF24" s="2140"/>
      <c r="VZG24" s="2141"/>
      <c r="VZH24" s="2141"/>
      <c r="VZI24" s="2140"/>
      <c r="VZJ24" s="2141"/>
      <c r="VZK24" s="2141"/>
      <c r="VZL24" s="2140"/>
      <c r="VZM24" s="2141"/>
      <c r="VZN24" s="2141"/>
      <c r="VZO24" s="2140"/>
      <c r="VZP24" s="2141"/>
      <c r="VZQ24" s="2141"/>
      <c r="VZR24" s="2140"/>
      <c r="VZS24" s="2141"/>
      <c r="VZT24" s="2141"/>
      <c r="VZU24" s="2140"/>
      <c r="VZV24" s="2141"/>
      <c r="VZW24" s="2141"/>
      <c r="VZX24" s="2140"/>
      <c r="VZY24" s="2141"/>
      <c r="VZZ24" s="2141"/>
      <c r="WAA24" s="2140"/>
      <c r="WAB24" s="2141"/>
      <c r="WAC24" s="2141"/>
      <c r="WAD24" s="2140"/>
      <c r="WAE24" s="2141"/>
      <c r="WAF24" s="2141"/>
      <c r="WAG24" s="2140"/>
      <c r="WAH24" s="2141"/>
      <c r="WAI24" s="2141"/>
      <c r="WAJ24" s="2140"/>
      <c r="WAK24" s="2141"/>
      <c r="WAL24" s="2141"/>
      <c r="WAM24" s="2140"/>
      <c r="WAN24" s="2141"/>
      <c r="WAO24" s="2141"/>
      <c r="WAP24" s="2140"/>
      <c r="WAQ24" s="2141"/>
      <c r="WAR24" s="2141"/>
      <c r="WAS24" s="2140"/>
      <c r="WAT24" s="2141"/>
      <c r="WAU24" s="2141"/>
      <c r="WAV24" s="2140"/>
      <c r="WAW24" s="2141"/>
      <c r="WAX24" s="2141"/>
      <c r="WAY24" s="2140"/>
      <c r="WAZ24" s="2141"/>
      <c r="WBA24" s="2141"/>
      <c r="WBB24" s="2140"/>
      <c r="WBC24" s="2141"/>
      <c r="WBD24" s="2141"/>
      <c r="WBE24" s="2140"/>
      <c r="WBF24" s="2141"/>
      <c r="WBG24" s="2141"/>
      <c r="WBH24" s="2140"/>
      <c r="WBI24" s="2141"/>
      <c r="WBJ24" s="2141"/>
      <c r="WBK24" s="2140"/>
      <c r="WBL24" s="2141"/>
      <c r="WBM24" s="2141"/>
      <c r="WBN24" s="2140"/>
      <c r="WBO24" s="2141"/>
      <c r="WBP24" s="2141"/>
      <c r="WBQ24" s="2140"/>
      <c r="WBR24" s="2141"/>
      <c r="WBS24" s="2141"/>
      <c r="WBT24" s="2140"/>
      <c r="WBU24" s="2141"/>
      <c r="WBV24" s="2141"/>
      <c r="WBW24" s="2140"/>
      <c r="WBX24" s="2141"/>
      <c r="WBY24" s="2141"/>
      <c r="WBZ24" s="2140"/>
      <c r="WCA24" s="2141"/>
      <c r="WCB24" s="2141"/>
      <c r="WCC24" s="2140"/>
      <c r="WCD24" s="2141"/>
      <c r="WCE24" s="2141"/>
      <c r="WCF24" s="2140"/>
      <c r="WCG24" s="2141"/>
      <c r="WCH24" s="2141"/>
      <c r="WCI24" s="2140"/>
      <c r="WCJ24" s="2141"/>
      <c r="WCK24" s="2141"/>
      <c r="WCL24" s="2140"/>
      <c r="WCM24" s="2141"/>
      <c r="WCN24" s="2141"/>
      <c r="WCO24" s="2140"/>
      <c r="WCP24" s="2141"/>
      <c r="WCQ24" s="2141"/>
      <c r="WCR24" s="2140"/>
      <c r="WCS24" s="2141"/>
      <c r="WCT24" s="2141"/>
      <c r="WCU24" s="2140"/>
      <c r="WCV24" s="2141"/>
      <c r="WCW24" s="2141"/>
      <c r="WCX24" s="2140"/>
      <c r="WCY24" s="2141"/>
      <c r="WCZ24" s="2141"/>
      <c r="WDA24" s="2140"/>
      <c r="WDB24" s="2141"/>
      <c r="WDC24" s="2141"/>
      <c r="WDD24" s="2140"/>
      <c r="WDE24" s="2141"/>
      <c r="WDF24" s="2141"/>
      <c r="WDG24" s="2140"/>
      <c r="WDH24" s="2141"/>
      <c r="WDI24" s="2141"/>
      <c r="WDJ24" s="2140"/>
      <c r="WDK24" s="2141"/>
      <c r="WDL24" s="2141"/>
      <c r="WDM24" s="2140"/>
      <c r="WDN24" s="2141"/>
      <c r="WDO24" s="2141"/>
      <c r="WDP24" s="2140"/>
      <c r="WDQ24" s="2141"/>
      <c r="WDR24" s="2141"/>
      <c r="WDS24" s="2140"/>
      <c r="WDT24" s="2141"/>
      <c r="WDU24" s="2141"/>
      <c r="WDV24" s="2140"/>
      <c r="WDW24" s="2141"/>
      <c r="WDX24" s="2141"/>
      <c r="WDY24" s="2140"/>
      <c r="WDZ24" s="2141"/>
      <c r="WEA24" s="2141"/>
      <c r="WEB24" s="2140"/>
      <c r="WEC24" s="2141"/>
      <c r="WED24" s="2141"/>
      <c r="WEE24" s="2140"/>
      <c r="WEF24" s="2141"/>
      <c r="WEG24" s="2141"/>
      <c r="WEH24" s="2140"/>
      <c r="WEI24" s="2141"/>
      <c r="WEJ24" s="2141"/>
      <c r="WEK24" s="2140"/>
      <c r="WEL24" s="2141"/>
      <c r="WEM24" s="2141"/>
      <c r="WEN24" s="2140"/>
      <c r="WEO24" s="2141"/>
      <c r="WEP24" s="2141"/>
      <c r="WEQ24" s="2140"/>
      <c r="WER24" s="2141"/>
      <c r="WES24" s="2141"/>
      <c r="WET24" s="2140"/>
      <c r="WEU24" s="2141"/>
      <c r="WEV24" s="2141"/>
      <c r="WEW24" s="2140"/>
      <c r="WEX24" s="2141"/>
      <c r="WEY24" s="2141"/>
      <c r="WEZ24" s="2140"/>
      <c r="WFA24" s="2141"/>
      <c r="WFB24" s="2141"/>
      <c r="WFC24" s="2140"/>
      <c r="WFD24" s="2141"/>
      <c r="WFE24" s="2141"/>
      <c r="WFF24" s="2140"/>
      <c r="WFG24" s="2141"/>
      <c r="WFH24" s="2141"/>
      <c r="WFI24" s="2140"/>
      <c r="WFJ24" s="2141"/>
      <c r="WFK24" s="2141"/>
      <c r="WFL24" s="2140"/>
      <c r="WFM24" s="2141"/>
      <c r="WFN24" s="2141"/>
      <c r="WFO24" s="2140"/>
      <c r="WFP24" s="2141"/>
      <c r="WFQ24" s="2141"/>
      <c r="WFR24" s="2140"/>
      <c r="WFS24" s="2141"/>
      <c r="WFT24" s="2141"/>
      <c r="WFU24" s="2140"/>
      <c r="WFV24" s="2141"/>
      <c r="WFW24" s="2141"/>
      <c r="WFX24" s="2140"/>
      <c r="WFY24" s="2141"/>
      <c r="WFZ24" s="2141"/>
      <c r="WGA24" s="2140"/>
      <c r="WGB24" s="2141"/>
      <c r="WGC24" s="2141"/>
      <c r="WGD24" s="2140"/>
      <c r="WGE24" s="2141"/>
      <c r="WGF24" s="2141"/>
      <c r="WGG24" s="2140"/>
      <c r="WGH24" s="2141"/>
      <c r="WGI24" s="2141"/>
      <c r="WGJ24" s="2140"/>
      <c r="WGK24" s="2141"/>
      <c r="WGL24" s="2141"/>
      <c r="WGM24" s="2140"/>
      <c r="WGN24" s="2141"/>
      <c r="WGO24" s="2141"/>
      <c r="WGP24" s="2140"/>
      <c r="WGQ24" s="2141"/>
      <c r="WGR24" s="2141"/>
      <c r="WGS24" s="2140"/>
      <c r="WGT24" s="2141"/>
      <c r="WGU24" s="2141"/>
      <c r="WGV24" s="2140"/>
      <c r="WGW24" s="2141"/>
      <c r="WGX24" s="2141"/>
      <c r="WGY24" s="2140"/>
      <c r="WGZ24" s="2141"/>
      <c r="WHA24" s="2141"/>
      <c r="WHB24" s="2140"/>
      <c r="WHC24" s="2141"/>
      <c r="WHD24" s="2141"/>
      <c r="WHE24" s="2140"/>
      <c r="WHF24" s="2141"/>
      <c r="WHG24" s="2141"/>
      <c r="WHH24" s="2140"/>
      <c r="WHI24" s="2141"/>
      <c r="WHJ24" s="2141"/>
      <c r="WHK24" s="2140"/>
      <c r="WHL24" s="2141"/>
      <c r="WHM24" s="2141"/>
      <c r="WHN24" s="2140"/>
      <c r="WHO24" s="2141"/>
      <c r="WHP24" s="2141"/>
      <c r="WHQ24" s="2140"/>
      <c r="WHR24" s="2141"/>
      <c r="WHS24" s="2141"/>
      <c r="WHT24" s="2140"/>
      <c r="WHU24" s="2141"/>
      <c r="WHV24" s="2141"/>
      <c r="WHW24" s="2140"/>
      <c r="WHX24" s="2141"/>
      <c r="WHY24" s="2141"/>
      <c r="WHZ24" s="2140"/>
      <c r="WIA24" s="2141"/>
      <c r="WIB24" s="2141"/>
      <c r="WIC24" s="2140"/>
      <c r="WID24" s="2141"/>
      <c r="WIE24" s="2141"/>
      <c r="WIF24" s="2140"/>
      <c r="WIG24" s="2141"/>
      <c r="WIH24" s="2141"/>
      <c r="WII24" s="2140"/>
      <c r="WIJ24" s="2141"/>
      <c r="WIK24" s="2141"/>
      <c r="WIL24" s="2140"/>
      <c r="WIM24" s="2141"/>
      <c r="WIN24" s="2141"/>
      <c r="WIO24" s="2140"/>
      <c r="WIP24" s="2141"/>
      <c r="WIQ24" s="2141"/>
      <c r="WIR24" s="2140"/>
      <c r="WIS24" s="2141"/>
      <c r="WIT24" s="2141"/>
      <c r="WIU24" s="2140"/>
      <c r="WIV24" s="2141"/>
      <c r="WIW24" s="2141"/>
      <c r="WIX24" s="2140"/>
      <c r="WIY24" s="2141"/>
      <c r="WIZ24" s="2141"/>
      <c r="WJA24" s="2140"/>
      <c r="WJB24" s="2141"/>
      <c r="WJC24" s="2141"/>
      <c r="WJD24" s="2140"/>
      <c r="WJE24" s="2141"/>
      <c r="WJF24" s="2141"/>
      <c r="WJG24" s="2140"/>
      <c r="WJH24" s="2141"/>
      <c r="WJI24" s="2141"/>
      <c r="WJJ24" s="2140"/>
      <c r="WJK24" s="2141"/>
      <c r="WJL24" s="2141"/>
      <c r="WJM24" s="2140"/>
      <c r="WJN24" s="2141"/>
      <c r="WJO24" s="2141"/>
      <c r="WJP24" s="2140"/>
      <c r="WJQ24" s="2141"/>
      <c r="WJR24" s="2141"/>
      <c r="WJS24" s="2140"/>
      <c r="WJT24" s="2141"/>
      <c r="WJU24" s="2141"/>
      <c r="WJV24" s="2140"/>
      <c r="WJW24" s="2141"/>
      <c r="WJX24" s="2141"/>
      <c r="WJY24" s="2140"/>
      <c r="WJZ24" s="2141"/>
      <c r="WKA24" s="2141"/>
      <c r="WKB24" s="2140"/>
      <c r="WKC24" s="2141"/>
      <c r="WKD24" s="2141"/>
      <c r="WKE24" s="2140"/>
      <c r="WKF24" s="2141"/>
      <c r="WKG24" s="2141"/>
      <c r="WKH24" s="2140"/>
      <c r="WKI24" s="2141"/>
      <c r="WKJ24" s="2141"/>
      <c r="WKK24" s="2140"/>
      <c r="WKL24" s="2141"/>
      <c r="WKM24" s="2141"/>
      <c r="WKN24" s="2140"/>
      <c r="WKO24" s="2141"/>
      <c r="WKP24" s="2141"/>
      <c r="WKQ24" s="2140"/>
      <c r="WKR24" s="2141"/>
      <c r="WKS24" s="2141"/>
      <c r="WKT24" s="2140"/>
      <c r="WKU24" s="2141"/>
      <c r="WKV24" s="2141"/>
      <c r="WKW24" s="2140"/>
      <c r="WKX24" s="2141"/>
      <c r="WKY24" s="2141"/>
      <c r="WKZ24" s="2140"/>
      <c r="WLA24" s="2141"/>
      <c r="WLB24" s="2141"/>
      <c r="WLC24" s="2140"/>
      <c r="WLD24" s="2141"/>
      <c r="WLE24" s="2141"/>
      <c r="WLF24" s="2140"/>
      <c r="WLG24" s="2141"/>
      <c r="WLH24" s="2141"/>
      <c r="WLI24" s="2140"/>
      <c r="WLJ24" s="2141"/>
      <c r="WLK24" s="2141"/>
      <c r="WLL24" s="2140"/>
      <c r="WLM24" s="2141"/>
      <c r="WLN24" s="2141"/>
      <c r="WLO24" s="2140"/>
      <c r="WLP24" s="2141"/>
      <c r="WLQ24" s="2141"/>
      <c r="WLR24" s="2140"/>
      <c r="WLS24" s="2141"/>
      <c r="WLT24" s="2141"/>
      <c r="WLU24" s="2140"/>
      <c r="WLV24" s="2141"/>
      <c r="WLW24" s="2141"/>
      <c r="WLX24" s="2140"/>
      <c r="WLY24" s="2141"/>
      <c r="WLZ24" s="2141"/>
      <c r="WMA24" s="2140"/>
      <c r="WMB24" s="2141"/>
      <c r="WMC24" s="2141"/>
      <c r="WMD24" s="2140"/>
      <c r="WME24" s="2141"/>
      <c r="WMF24" s="2141"/>
      <c r="WMG24" s="2140"/>
      <c r="WMH24" s="2141"/>
      <c r="WMI24" s="2141"/>
      <c r="WMJ24" s="2140"/>
      <c r="WMK24" s="2141"/>
      <c r="WML24" s="2141"/>
      <c r="WMM24" s="2140"/>
      <c r="WMN24" s="2141"/>
      <c r="WMO24" s="2141"/>
      <c r="WMP24" s="2140"/>
      <c r="WMQ24" s="2141"/>
      <c r="WMR24" s="2141"/>
      <c r="WMS24" s="2140"/>
      <c r="WMT24" s="2141"/>
      <c r="WMU24" s="2141"/>
      <c r="WMV24" s="2140"/>
      <c r="WMW24" s="2141"/>
      <c r="WMX24" s="2141"/>
      <c r="WMY24" s="2140"/>
      <c r="WMZ24" s="2141"/>
      <c r="WNA24" s="2141"/>
      <c r="WNB24" s="2140"/>
      <c r="WNC24" s="2141"/>
      <c r="WND24" s="2141"/>
      <c r="WNE24" s="2140"/>
      <c r="WNF24" s="2141"/>
      <c r="WNG24" s="2141"/>
      <c r="WNH24" s="2140"/>
      <c r="WNI24" s="2141"/>
      <c r="WNJ24" s="2141"/>
      <c r="WNK24" s="2140"/>
      <c r="WNL24" s="2141"/>
      <c r="WNM24" s="2141"/>
      <c r="WNN24" s="2140"/>
      <c r="WNO24" s="2141"/>
      <c r="WNP24" s="2141"/>
      <c r="WNQ24" s="2140"/>
      <c r="WNR24" s="2141"/>
      <c r="WNS24" s="2141"/>
      <c r="WNT24" s="2140"/>
      <c r="WNU24" s="2141"/>
      <c r="WNV24" s="2141"/>
      <c r="WNW24" s="2140"/>
      <c r="WNX24" s="2141"/>
      <c r="WNY24" s="2141"/>
      <c r="WNZ24" s="2140"/>
      <c r="WOA24" s="2141"/>
      <c r="WOB24" s="2141"/>
      <c r="WOC24" s="2140"/>
      <c r="WOD24" s="2141"/>
      <c r="WOE24" s="2141"/>
      <c r="WOF24" s="2140"/>
      <c r="WOG24" s="2141"/>
      <c r="WOH24" s="2141"/>
      <c r="WOI24" s="2140"/>
      <c r="WOJ24" s="2141"/>
      <c r="WOK24" s="2141"/>
      <c r="WOL24" s="2140"/>
      <c r="WOM24" s="2141"/>
      <c r="WON24" s="2141"/>
      <c r="WOO24" s="2140"/>
      <c r="WOP24" s="2141"/>
      <c r="WOQ24" s="2141"/>
      <c r="WOR24" s="2140"/>
      <c r="WOS24" s="2141"/>
      <c r="WOT24" s="2141"/>
      <c r="WOU24" s="2140"/>
      <c r="WOV24" s="2141"/>
      <c r="WOW24" s="2141"/>
      <c r="WOX24" s="2140"/>
      <c r="WOY24" s="2141"/>
      <c r="WOZ24" s="2141"/>
      <c r="WPA24" s="2140"/>
      <c r="WPB24" s="2141"/>
      <c r="WPC24" s="2141"/>
      <c r="WPD24" s="2140"/>
      <c r="WPE24" s="2141"/>
      <c r="WPF24" s="2141"/>
      <c r="WPG24" s="2140"/>
      <c r="WPH24" s="2141"/>
      <c r="WPI24" s="2141"/>
      <c r="WPJ24" s="2140"/>
      <c r="WPK24" s="2141"/>
      <c r="WPL24" s="2141"/>
      <c r="WPM24" s="2140"/>
      <c r="WPN24" s="2141"/>
      <c r="WPO24" s="2141"/>
      <c r="WPP24" s="2140"/>
      <c r="WPQ24" s="2141"/>
      <c r="WPR24" s="2141"/>
      <c r="WPS24" s="2140"/>
      <c r="WPT24" s="2141"/>
      <c r="WPU24" s="2141"/>
      <c r="WPV24" s="2140"/>
      <c r="WPW24" s="2141"/>
      <c r="WPX24" s="2141"/>
      <c r="WPY24" s="2140"/>
      <c r="WPZ24" s="2141"/>
      <c r="WQA24" s="2141"/>
      <c r="WQB24" s="2140"/>
      <c r="WQC24" s="2141"/>
      <c r="WQD24" s="2141"/>
      <c r="WQE24" s="2140"/>
      <c r="WQF24" s="2141"/>
      <c r="WQG24" s="2141"/>
      <c r="WQH24" s="2140"/>
      <c r="WQI24" s="2141"/>
      <c r="WQJ24" s="2141"/>
      <c r="WQK24" s="2140"/>
      <c r="WQL24" s="2141"/>
      <c r="WQM24" s="2141"/>
      <c r="WQN24" s="2140"/>
      <c r="WQO24" s="2141"/>
      <c r="WQP24" s="2141"/>
      <c r="WQQ24" s="2140"/>
      <c r="WQR24" s="2141"/>
      <c r="WQS24" s="2141"/>
      <c r="WQT24" s="2140"/>
      <c r="WQU24" s="2141"/>
      <c r="WQV24" s="2141"/>
      <c r="WQW24" s="2140"/>
      <c r="WQX24" s="2141"/>
      <c r="WQY24" s="2141"/>
      <c r="WQZ24" s="2140"/>
      <c r="WRA24" s="2141"/>
      <c r="WRB24" s="2141"/>
      <c r="WRC24" s="2140"/>
      <c r="WRD24" s="2141"/>
      <c r="WRE24" s="2141"/>
      <c r="WRF24" s="2140"/>
      <c r="WRG24" s="2141"/>
      <c r="WRH24" s="2141"/>
      <c r="WRI24" s="2140"/>
      <c r="WRJ24" s="2141"/>
      <c r="WRK24" s="2141"/>
      <c r="WRL24" s="2140"/>
      <c r="WRM24" s="2141"/>
      <c r="WRN24" s="2141"/>
      <c r="WRO24" s="2140"/>
      <c r="WRP24" s="2141"/>
      <c r="WRQ24" s="2141"/>
      <c r="WRR24" s="2140"/>
      <c r="WRS24" s="2141"/>
      <c r="WRT24" s="2141"/>
      <c r="WRU24" s="2140"/>
      <c r="WRV24" s="2141"/>
      <c r="WRW24" s="2141"/>
      <c r="WRX24" s="2140"/>
      <c r="WRY24" s="2141"/>
      <c r="WRZ24" s="2141"/>
      <c r="WSA24" s="2140"/>
      <c r="WSB24" s="2141"/>
      <c r="WSC24" s="2141"/>
      <c r="WSD24" s="2140"/>
      <c r="WSE24" s="2141"/>
      <c r="WSF24" s="2141"/>
      <c r="WSG24" s="2140"/>
      <c r="WSH24" s="2141"/>
      <c r="WSI24" s="2141"/>
      <c r="WSJ24" s="2140"/>
      <c r="WSK24" s="2141"/>
      <c r="WSL24" s="2141"/>
      <c r="WSM24" s="2140"/>
      <c r="WSN24" s="2141"/>
      <c r="WSO24" s="2141"/>
      <c r="WSP24" s="2140"/>
      <c r="WSQ24" s="2141"/>
      <c r="WSR24" s="2141"/>
      <c r="WSS24" s="2140"/>
      <c r="WST24" s="2141"/>
      <c r="WSU24" s="2141"/>
      <c r="WSV24" s="2140"/>
      <c r="WSW24" s="2141"/>
      <c r="WSX24" s="2141"/>
      <c r="WSY24" s="2140"/>
      <c r="WSZ24" s="2141"/>
      <c r="WTA24" s="2141"/>
      <c r="WTB24" s="2140"/>
      <c r="WTC24" s="2141"/>
      <c r="WTD24" s="2141"/>
      <c r="WTE24" s="2140"/>
      <c r="WTF24" s="2141"/>
      <c r="WTG24" s="2141"/>
      <c r="WTH24" s="2140"/>
      <c r="WTI24" s="2141"/>
      <c r="WTJ24" s="2141"/>
      <c r="WTK24" s="2140"/>
      <c r="WTL24" s="2141"/>
      <c r="WTM24" s="2141"/>
      <c r="WTN24" s="2140"/>
      <c r="WTO24" s="2141"/>
      <c r="WTP24" s="2141"/>
      <c r="WTQ24" s="2140"/>
      <c r="WTR24" s="2141"/>
      <c r="WTS24" s="2141"/>
      <c r="WTT24" s="2140"/>
      <c r="WTU24" s="2141"/>
      <c r="WTV24" s="2141"/>
      <c r="WTW24" s="2140"/>
      <c r="WTX24" s="2141"/>
      <c r="WTY24" s="2141"/>
      <c r="WTZ24" s="2140"/>
      <c r="WUA24" s="2141"/>
      <c r="WUB24" s="2141"/>
      <c r="WUC24" s="2140"/>
      <c r="WUD24" s="2141"/>
      <c r="WUE24" s="2141"/>
      <c r="WUF24" s="2140"/>
      <c r="WUG24" s="2141"/>
      <c r="WUH24" s="2141"/>
      <c r="WUI24" s="2140"/>
      <c r="WUJ24" s="2141"/>
      <c r="WUK24" s="2141"/>
      <c r="WUL24" s="2140"/>
      <c r="WUM24" s="2141"/>
      <c r="WUN24" s="2141"/>
      <c r="WUO24" s="2140"/>
      <c r="WUP24" s="2141"/>
      <c r="WUQ24" s="2141"/>
      <c r="WUR24" s="2140"/>
      <c r="WUS24" s="2141"/>
      <c r="WUT24" s="2141"/>
      <c r="WUU24" s="2140"/>
      <c r="WUV24" s="2141"/>
      <c r="WUW24" s="2141"/>
      <c r="WUX24" s="2140"/>
      <c r="WUY24" s="2141"/>
      <c r="WUZ24" s="2141"/>
      <c r="WVA24" s="2140"/>
      <c r="WVB24" s="2141"/>
      <c r="WVC24" s="2141"/>
      <c r="WVD24" s="2140"/>
      <c r="WVE24" s="2141"/>
      <c r="WVF24" s="2141"/>
      <c r="WVG24" s="2140"/>
      <c r="WVH24" s="2141"/>
      <c r="WVI24" s="2141"/>
      <c r="WVJ24" s="2140"/>
      <c r="WVK24" s="2141"/>
      <c r="WVL24" s="2141"/>
      <c r="WVM24" s="2140"/>
      <c r="WVN24" s="2141"/>
      <c r="WVO24" s="2141"/>
      <c r="WVP24" s="2140"/>
      <c r="WVQ24" s="2141"/>
      <c r="WVR24" s="2141"/>
      <c r="WVS24" s="2140"/>
      <c r="WVT24" s="2141"/>
      <c r="WVU24" s="2141"/>
      <c r="WVV24" s="2140"/>
      <c r="WVW24" s="2141"/>
      <c r="WVX24" s="2141"/>
      <c r="WVY24" s="2140"/>
      <c r="WVZ24" s="2141"/>
      <c r="WWA24" s="2141"/>
      <c r="WWB24" s="2140"/>
      <c r="WWC24" s="2141"/>
      <c r="WWD24" s="2141"/>
      <c r="WWE24" s="2140"/>
      <c r="WWF24" s="2141"/>
      <c r="WWG24" s="2141"/>
      <c r="WWH24" s="2140"/>
      <c r="WWI24" s="2141"/>
      <c r="WWJ24" s="2141"/>
      <c r="WWK24" s="2140"/>
      <c r="WWL24" s="2141"/>
      <c r="WWM24" s="2141"/>
      <c r="WWN24" s="2140"/>
      <c r="WWO24" s="2141"/>
      <c r="WWP24" s="2141"/>
      <c r="WWQ24" s="2140"/>
      <c r="WWR24" s="2141"/>
      <c r="WWS24" s="2141"/>
      <c r="WWT24" s="2140"/>
      <c r="WWU24" s="2141"/>
      <c r="WWV24" s="2141"/>
      <c r="WWW24" s="2140"/>
      <c r="WWX24" s="2141"/>
      <c r="WWY24" s="2141"/>
      <c r="WWZ24" s="2140"/>
      <c r="WXA24" s="2141"/>
      <c r="WXB24" s="2141"/>
      <c r="WXC24" s="2140"/>
      <c r="WXD24" s="2141"/>
      <c r="WXE24" s="2141"/>
      <c r="WXF24" s="2140"/>
      <c r="WXG24" s="2141"/>
      <c r="WXH24" s="2141"/>
      <c r="WXI24" s="2140"/>
      <c r="WXJ24" s="2141"/>
      <c r="WXK24" s="2141"/>
      <c r="WXL24" s="2140"/>
      <c r="WXM24" s="2141"/>
      <c r="WXN24" s="2141"/>
      <c r="WXO24" s="2140"/>
      <c r="WXP24" s="2141"/>
      <c r="WXQ24" s="2141"/>
      <c r="WXR24" s="2140"/>
      <c r="WXS24" s="2141"/>
      <c r="WXT24" s="2141"/>
      <c r="WXU24" s="2140"/>
      <c r="WXV24" s="2141"/>
      <c r="WXW24" s="2141"/>
      <c r="WXX24" s="2140"/>
      <c r="WXY24" s="2141"/>
      <c r="WXZ24" s="2141"/>
      <c r="WYA24" s="2140"/>
      <c r="WYB24" s="2141"/>
      <c r="WYC24" s="2141"/>
      <c r="WYD24" s="2140"/>
      <c r="WYE24" s="2141"/>
      <c r="WYF24" s="2141"/>
      <c r="WYG24" s="2140"/>
      <c r="WYH24" s="2141"/>
      <c r="WYI24" s="2141"/>
      <c r="WYJ24" s="2140"/>
      <c r="WYK24" s="2141"/>
      <c r="WYL24" s="2141"/>
      <c r="WYM24" s="2140"/>
      <c r="WYN24" s="2141"/>
      <c r="WYO24" s="2141"/>
      <c r="WYP24" s="2140"/>
      <c r="WYQ24" s="2141"/>
      <c r="WYR24" s="2141"/>
      <c r="WYS24" s="2140"/>
      <c r="WYT24" s="2141"/>
      <c r="WYU24" s="2141"/>
      <c r="WYV24" s="2140"/>
      <c r="WYW24" s="2141"/>
      <c r="WYX24" s="2141"/>
      <c r="WYY24" s="2140"/>
      <c r="WYZ24" s="2141"/>
      <c r="WZA24" s="2141"/>
      <c r="WZB24" s="2140"/>
      <c r="WZC24" s="2141"/>
      <c r="WZD24" s="2141"/>
      <c r="WZE24" s="2140"/>
      <c r="WZF24" s="2141"/>
      <c r="WZG24" s="2141"/>
      <c r="WZH24" s="2140"/>
      <c r="WZI24" s="2141"/>
      <c r="WZJ24" s="2141"/>
      <c r="WZK24" s="2140"/>
      <c r="WZL24" s="2141"/>
      <c r="WZM24" s="2141"/>
      <c r="WZN24" s="2140"/>
      <c r="WZO24" s="2141"/>
      <c r="WZP24" s="2141"/>
      <c r="WZQ24" s="2140"/>
      <c r="WZR24" s="2141"/>
      <c r="WZS24" s="2141"/>
      <c r="WZT24" s="2140"/>
      <c r="WZU24" s="2141"/>
      <c r="WZV24" s="2141"/>
      <c r="WZW24" s="2140"/>
      <c r="WZX24" s="2141"/>
      <c r="WZY24" s="2141"/>
      <c r="WZZ24" s="2140"/>
      <c r="XAA24" s="2141"/>
      <c r="XAB24" s="2141"/>
      <c r="XAC24" s="2140"/>
      <c r="XAD24" s="2141"/>
      <c r="XAE24" s="2141"/>
      <c r="XAF24" s="2140"/>
      <c r="XAG24" s="2141"/>
      <c r="XAH24" s="2141"/>
      <c r="XAI24" s="2140"/>
      <c r="XAJ24" s="2141"/>
      <c r="XAK24" s="2141"/>
      <c r="XAL24" s="2140"/>
      <c r="XAM24" s="2141"/>
      <c r="XAN24" s="2141"/>
      <c r="XAO24" s="2140"/>
      <c r="XAP24" s="2141"/>
      <c r="XAQ24" s="2141"/>
      <c r="XAR24" s="2140"/>
      <c r="XAS24" s="2141"/>
      <c r="XAT24" s="2141"/>
      <c r="XAU24" s="2140"/>
      <c r="XAV24" s="2141"/>
      <c r="XAW24" s="2141"/>
      <c r="XAX24" s="2140"/>
      <c r="XAY24" s="2141"/>
      <c r="XAZ24" s="2141"/>
      <c r="XBA24" s="2140"/>
      <c r="XBB24" s="2141"/>
      <c r="XBC24" s="2141"/>
      <c r="XBD24" s="2140"/>
      <c r="XBE24" s="2141"/>
      <c r="XBF24" s="2141"/>
      <c r="XBG24" s="2140"/>
      <c r="XBH24" s="2141"/>
      <c r="XBI24" s="2141"/>
      <c r="XBJ24" s="2140"/>
      <c r="XBK24" s="2141"/>
      <c r="XBL24" s="2141"/>
      <c r="XBM24" s="2140"/>
      <c r="XBN24" s="2141"/>
      <c r="XBO24" s="2141"/>
      <c r="XBP24" s="2140"/>
      <c r="XBQ24" s="2141"/>
      <c r="XBR24" s="2141"/>
      <c r="XBS24" s="2140"/>
      <c r="XBT24" s="2141"/>
      <c r="XBU24" s="2141"/>
      <c r="XBV24" s="2140"/>
      <c r="XBW24" s="2141"/>
      <c r="XBX24" s="2141"/>
      <c r="XBY24" s="2140"/>
      <c r="XBZ24" s="2141"/>
      <c r="XCA24" s="2141"/>
      <c r="XCB24" s="2140"/>
      <c r="XCC24" s="2141"/>
      <c r="XCD24" s="2141"/>
      <c r="XCE24" s="2140"/>
      <c r="XCF24" s="2141"/>
      <c r="XCG24" s="2141"/>
      <c r="XCH24" s="2140"/>
      <c r="XCI24" s="2141"/>
      <c r="XCJ24" s="2141"/>
      <c r="XCK24" s="2140"/>
      <c r="XCL24" s="2141"/>
      <c r="XCM24" s="2141"/>
      <c r="XCN24" s="2140"/>
      <c r="XCO24" s="2141"/>
      <c r="XCP24" s="2141"/>
      <c r="XCQ24" s="2140"/>
      <c r="XCR24" s="2141"/>
      <c r="XCS24" s="2141"/>
      <c r="XCT24" s="2140"/>
      <c r="XCU24" s="2141"/>
      <c r="XCV24" s="2141"/>
      <c r="XCW24" s="2140"/>
      <c r="XCX24" s="2141"/>
      <c r="XCY24" s="2141"/>
      <c r="XCZ24" s="2140"/>
      <c r="XDA24" s="2141"/>
      <c r="XDB24" s="2141"/>
      <c r="XDC24" s="2140"/>
      <c r="XDD24" s="2141"/>
      <c r="XDE24" s="2141"/>
      <c r="XDF24" s="2140"/>
      <c r="XDG24" s="2141"/>
      <c r="XDH24" s="2141"/>
      <c r="XDI24" s="2140"/>
      <c r="XDJ24" s="2141"/>
      <c r="XDK24" s="2141"/>
      <c r="XDL24" s="2140"/>
      <c r="XDM24" s="2141"/>
      <c r="XDN24" s="2141"/>
      <c r="XDO24" s="2140"/>
      <c r="XDP24" s="2141"/>
      <c r="XDQ24" s="2141"/>
      <c r="XDR24" s="2140"/>
      <c r="XDS24" s="2141"/>
      <c r="XDT24" s="2141"/>
      <c r="XDU24" s="2140"/>
      <c r="XDV24" s="2141"/>
      <c r="XDW24" s="2141"/>
      <c r="XDX24" s="2140"/>
      <c r="XDY24" s="2141"/>
      <c r="XDZ24" s="2141"/>
      <c r="XEA24" s="2140"/>
      <c r="XEB24" s="2141"/>
      <c r="XEC24" s="2141"/>
      <c r="XED24" s="2140"/>
      <c r="XEE24" s="2141"/>
      <c r="XEF24" s="2141"/>
      <c r="XEG24" s="2140"/>
      <c r="XEH24" s="2141"/>
      <c r="XEI24" s="2141"/>
      <c r="XEJ24" s="2140"/>
      <c r="XEK24" s="2141"/>
      <c r="XEL24" s="2141"/>
      <c r="XEM24" s="2140"/>
      <c r="XEN24" s="2141"/>
      <c r="XEO24" s="2141"/>
      <c r="XEP24" s="2140"/>
      <c r="XEQ24" s="2141"/>
      <c r="XER24" s="2141"/>
      <c r="XES24" s="2140"/>
      <c r="XET24" s="2141"/>
      <c r="XEU24" s="2141"/>
      <c r="XEV24" s="2140"/>
      <c r="XEW24" s="2141"/>
      <c r="XEX24" s="2141"/>
      <c r="XEY24" s="2140"/>
      <c r="XEZ24" s="2141"/>
      <c r="XFA24" s="2141"/>
      <c r="XFB24" s="2140"/>
      <c r="XFC24" s="2141"/>
      <c r="XFD24" s="2141"/>
    </row>
    <row r="25" spans="1:16384" s="874" customFormat="1" ht="15.6">
      <c r="A25" s="2142"/>
      <c r="B25" s="2142"/>
      <c r="C25" s="2142"/>
      <c r="D25" s="2142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18"/>
  <sheetViews>
    <sheetView view="pageBreakPreview" topLeftCell="B1" zoomScale="115" zoomScaleSheetLayoutView="115" workbookViewId="0">
      <pane xSplit="1" ySplit="201" topLeftCell="G699" activePane="bottomRight" state="frozen"/>
      <selection activeCell="G291" sqref="G291"/>
      <selection pane="topRight" activeCell="G291" sqref="G291"/>
      <selection pane="bottomLeft" activeCell="G291" sqref="G291"/>
      <selection pane="bottomRight" activeCell="Q713" sqref="Q713:AD714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3" customFormat="1" ht="24" customHeight="1">
      <c r="B2" s="2545" t="s">
        <v>3397</v>
      </c>
      <c r="C2" s="2545"/>
      <c r="D2" s="2545"/>
      <c r="E2" s="2545"/>
      <c r="F2" s="2545"/>
      <c r="G2" s="2545"/>
      <c r="H2" s="2545"/>
      <c r="I2" s="2545"/>
      <c r="J2" s="2545"/>
      <c r="K2" s="2545"/>
      <c r="L2" s="2545"/>
      <c r="M2" s="2545"/>
      <c r="N2" s="2545"/>
      <c r="O2" s="2545"/>
      <c r="P2" s="2545"/>
      <c r="Q2" s="2545"/>
      <c r="R2" s="2545"/>
      <c r="S2" s="2545"/>
      <c r="T2" s="2545"/>
      <c r="U2" s="2545"/>
      <c r="V2" s="2545"/>
      <c r="W2" s="2545"/>
      <c r="X2" s="2545"/>
      <c r="Y2" s="2545"/>
      <c r="Z2" s="2545"/>
      <c r="AA2" s="2545"/>
      <c r="AB2" s="2545"/>
      <c r="AC2" s="2545"/>
      <c r="AD2" s="2545"/>
      <c r="AE2" s="2545"/>
    </row>
    <row r="3" spans="2:82" s="393" customFormat="1" ht="24" customHeight="1">
      <c r="B3" s="2546" t="s">
        <v>3398</v>
      </c>
      <c r="C3" s="2546"/>
      <c r="D3" s="2546"/>
      <c r="E3" s="2546"/>
      <c r="F3" s="2546"/>
      <c r="G3" s="2546"/>
      <c r="H3" s="2546"/>
      <c r="I3" s="2546"/>
      <c r="J3" s="2546"/>
      <c r="K3" s="2546"/>
      <c r="L3" s="2546"/>
      <c r="M3" s="2546"/>
      <c r="N3" s="2546"/>
      <c r="O3" s="2546"/>
      <c r="P3" s="2546"/>
      <c r="Q3" s="2546"/>
      <c r="R3" s="2546"/>
      <c r="S3" s="2546"/>
      <c r="T3" s="2546"/>
      <c r="U3" s="2546"/>
      <c r="V3" s="2546"/>
      <c r="W3" s="2546"/>
      <c r="X3" s="2546"/>
      <c r="Y3" s="2546"/>
      <c r="Z3" s="2546"/>
      <c r="AA3" s="2546"/>
      <c r="AB3" s="2546"/>
      <c r="AC3" s="2546"/>
      <c r="AD3" s="2546"/>
      <c r="AE3" s="2546"/>
    </row>
    <row r="4" spans="2:82" s="393" customFormat="1" ht="11.25" customHeight="1"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</row>
    <row r="5" spans="2:82" s="393" customFormat="1" ht="11.25" customHeight="1" thickBot="1"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</row>
    <row r="6" spans="2:82" ht="10.8" thickBot="1">
      <c r="B6" s="2547" t="s">
        <v>182</v>
      </c>
      <c r="C6" s="2536" t="s">
        <v>3085</v>
      </c>
      <c r="D6" s="2539"/>
      <c r="E6" s="2539"/>
      <c r="F6" s="2539"/>
      <c r="G6" s="2539"/>
      <c r="H6" s="2539"/>
      <c r="I6" s="2539"/>
      <c r="J6" s="2539"/>
      <c r="K6" s="2539"/>
      <c r="L6" s="2540"/>
      <c r="M6" s="2536" t="s">
        <v>312</v>
      </c>
      <c r="N6" s="2539"/>
      <c r="O6" s="2539"/>
      <c r="P6" s="2539"/>
      <c r="Q6" s="2539"/>
      <c r="R6" s="2539"/>
      <c r="S6" s="2539"/>
      <c r="T6" s="2539"/>
      <c r="U6" s="2539"/>
      <c r="V6" s="2539"/>
      <c r="W6" s="2539"/>
      <c r="X6" s="2540"/>
      <c r="Y6" s="2536" t="s">
        <v>313</v>
      </c>
      <c r="Z6" s="2539"/>
      <c r="AA6" s="2539"/>
      <c r="AB6" s="2539"/>
      <c r="AC6" s="2539"/>
      <c r="AD6" s="2540"/>
      <c r="AE6" s="2547" t="s">
        <v>304</v>
      </c>
    </row>
    <row r="7" spans="2:82" ht="10.199999999999999">
      <c r="B7" s="2548"/>
      <c r="C7" s="670" t="s">
        <v>314</v>
      </c>
      <c r="D7" s="671" t="s">
        <v>315</v>
      </c>
      <c r="E7" s="671" t="s">
        <v>316</v>
      </c>
      <c r="F7" s="671" t="s">
        <v>317</v>
      </c>
      <c r="G7" s="671" t="s">
        <v>318</v>
      </c>
      <c r="H7" s="671" t="s">
        <v>319</v>
      </c>
      <c r="I7" s="671" t="s">
        <v>320</v>
      </c>
      <c r="J7" s="671" t="s">
        <v>321</v>
      </c>
      <c r="K7" s="671" t="s">
        <v>322</v>
      </c>
      <c r="L7" s="672" t="s">
        <v>323</v>
      </c>
      <c r="M7" s="670" t="s">
        <v>314</v>
      </c>
      <c r="N7" s="671" t="s">
        <v>315</v>
      </c>
      <c r="O7" s="671" t="s">
        <v>316</v>
      </c>
      <c r="P7" s="671" t="s">
        <v>317</v>
      </c>
      <c r="Q7" s="671" t="s">
        <v>318</v>
      </c>
      <c r="R7" s="671" t="s">
        <v>319</v>
      </c>
      <c r="S7" s="671" t="s">
        <v>320</v>
      </c>
      <c r="T7" s="671" t="s">
        <v>321</v>
      </c>
      <c r="U7" s="671" t="s">
        <v>322</v>
      </c>
      <c r="V7" s="671" t="s">
        <v>324</v>
      </c>
      <c r="W7" s="673" t="s">
        <v>323</v>
      </c>
      <c r="X7" s="674" t="s">
        <v>325</v>
      </c>
      <c r="Y7" s="670" t="s">
        <v>314</v>
      </c>
      <c r="Z7" s="671">
        <v>30</v>
      </c>
      <c r="AA7" s="671" t="s">
        <v>326</v>
      </c>
      <c r="AB7" s="671" t="s">
        <v>327</v>
      </c>
      <c r="AC7" s="671" t="s">
        <v>328</v>
      </c>
      <c r="AD7" s="672" t="s">
        <v>329</v>
      </c>
      <c r="AE7" s="2548"/>
    </row>
    <row r="8" spans="2:82" ht="14.25" customHeight="1" thickBot="1">
      <c r="B8" s="2548"/>
      <c r="C8" s="675" t="s">
        <v>330</v>
      </c>
      <c r="D8" s="676" t="s">
        <v>331</v>
      </c>
      <c r="E8" s="676" t="s">
        <v>331</v>
      </c>
      <c r="F8" s="676" t="s">
        <v>332</v>
      </c>
      <c r="G8" s="676" t="s">
        <v>333</v>
      </c>
      <c r="H8" s="676" t="s">
        <v>334</v>
      </c>
      <c r="I8" s="676" t="s">
        <v>335</v>
      </c>
      <c r="J8" s="676" t="s">
        <v>336</v>
      </c>
      <c r="K8" s="676" t="s">
        <v>337</v>
      </c>
      <c r="L8" s="677" t="s">
        <v>338</v>
      </c>
      <c r="M8" s="675" t="s">
        <v>330</v>
      </c>
      <c r="N8" s="676" t="s">
        <v>331</v>
      </c>
      <c r="O8" s="676" t="s">
        <v>331</v>
      </c>
      <c r="P8" s="676" t="s">
        <v>332</v>
      </c>
      <c r="Q8" s="676" t="s">
        <v>333</v>
      </c>
      <c r="R8" s="676" t="s">
        <v>334</v>
      </c>
      <c r="S8" s="676" t="s">
        <v>335</v>
      </c>
      <c r="T8" s="676" t="s">
        <v>336</v>
      </c>
      <c r="U8" s="676" t="s">
        <v>339</v>
      </c>
      <c r="V8" s="676" t="s">
        <v>337</v>
      </c>
      <c r="W8" s="678" t="s">
        <v>340</v>
      </c>
      <c r="X8" s="674" t="s">
        <v>338</v>
      </c>
      <c r="Y8" s="675" t="s">
        <v>330</v>
      </c>
      <c r="Z8" s="676" t="s">
        <v>341</v>
      </c>
      <c r="AA8" s="676" t="s">
        <v>342</v>
      </c>
      <c r="AB8" s="676" t="s">
        <v>342</v>
      </c>
      <c r="AC8" s="676" t="s">
        <v>342</v>
      </c>
      <c r="AD8" s="677" t="s">
        <v>343</v>
      </c>
      <c r="AE8" s="2548"/>
      <c r="CC8" s="342"/>
      <c r="CD8" s="349"/>
    </row>
    <row r="9" spans="2:82" ht="12" customHeight="1" thickBot="1">
      <c r="B9" s="2548"/>
      <c r="C9" s="2536" t="s">
        <v>3086</v>
      </c>
      <c r="D9" s="2539"/>
      <c r="E9" s="2539"/>
      <c r="F9" s="2539"/>
      <c r="G9" s="2539"/>
      <c r="H9" s="2539"/>
      <c r="I9" s="2539"/>
      <c r="J9" s="2539"/>
      <c r="K9" s="2539"/>
      <c r="L9" s="2540"/>
      <c r="M9" s="2536" t="s">
        <v>1210</v>
      </c>
      <c r="N9" s="2537"/>
      <c r="O9" s="2537"/>
      <c r="P9" s="2537"/>
      <c r="Q9" s="2537"/>
      <c r="R9" s="2537"/>
      <c r="S9" s="2537"/>
      <c r="T9" s="2537"/>
      <c r="U9" s="2537"/>
      <c r="V9" s="2537"/>
      <c r="W9" s="2537"/>
      <c r="X9" s="2538"/>
      <c r="Y9" s="2536" t="s">
        <v>1211</v>
      </c>
      <c r="Z9" s="2539"/>
      <c r="AA9" s="2539"/>
      <c r="AB9" s="2539"/>
      <c r="AC9" s="2539"/>
      <c r="AD9" s="2540"/>
      <c r="AE9" s="2548"/>
      <c r="CD9" s="283"/>
    </row>
    <row r="10" spans="2:82" ht="17.25" customHeight="1">
      <c r="B10" s="2548"/>
      <c r="C10" s="2541" t="s">
        <v>2954</v>
      </c>
      <c r="D10" s="679" t="s">
        <v>344</v>
      </c>
      <c r="E10" s="2543" t="s">
        <v>345</v>
      </c>
      <c r="F10" s="679" t="s">
        <v>346</v>
      </c>
      <c r="G10" s="679" t="s">
        <v>347</v>
      </c>
      <c r="H10" s="679" t="s">
        <v>348</v>
      </c>
      <c r="I10" s="679" t="s">
        <v>349</v>
      </c>
      <c r="J10" s="679" t="s">
        <v>350</v>
      </c>
      <c r="K10" s="679" t="s">
        <v>351</v>
      </c>
      <c r="L10" s="680" t="s">
        <v>354</v>
      </c>
      <c r="M10" s="2541" t="s">
        <v>2954</v>
      </c>
      <c r="N10" s="679" t="s">
        <v>344</v>
      </c>
      <c r="O10" s="2543" t="s">
        <v>345</v>
      </c>
      <c r="P10" s="679" t="s">
        <v>346</v>
      </c>
      <c r="Q10" s="679" t="s">
        <v>347</v>
      </c>
      <c r="R10" s="679" t="s">
        <v>348</v>
      </c>
      <c r="S10" s="679" t="s">
        <v>349</v>
      </c>
      <c r="T10" s="679" t="s">
        <v>350</v>
      </c>
      <c r="U10" s="679" t="s">
        <v>351</v>
      </c>
      <c r="V10" s="679" t="s">
        <v>352</v>
      </c>
      <c r="W10" s="679" t="s">
        <v>353</v>
      </c>
      <c r="X10" s="681" t="s">
        <v>354</v>
      </c>
      <c r="Y10" s="2541" t="s">
        <v>2954</v>
      </c>
      <c r="Z10" s="679" t="s">
        <v>355</v>
      </c>
      <c r="AA10" s="679" t="s">
        <v>326</v>
      </c>
      <c r="AB10" s="679" t="s">
        <v>327</v>
      </c>
      <c r="AC10" s="679" t="s">
        <v>328</v>
      </c>
      <c r="AD10" s="680" t="s">
        <v>354</v>
      </c>
      <c r="AE10" s="2548"/>
      <c r="CD10" s="283"/>
    </row>
    <row r="11" spans="2:82" ht="10.5" customHeight="1" thickBot="1">
      <c r="B11" s="2549"/>
      <c r="C11" s="2542"/>
      <c r="D11" s="682" t="s">
        <v>356</v>
      </c>
      <c r="E11" s="2544"/>
      <c r="F11" s="682" t="s">
        <v>357</v>
      </c>
      <c r="G11" s="682" t="s">
        <v>358</v>
      </c>
      <c r="H11" s="682" t="s">
        <v>359</v>
      </c>
      <c r="I11" s="682" t="s">
        <v>360</v>
      </c>
      <c r="J11" s="682" t="s">
        <v>361</v>
      </c>
      <c r="K11" s="682" t="s">
        <v>362</v>
      </c>
      <c r="L11" s="683" t="s">
        <v>363</v>
      </c>
      <c r="M11" s="2542"/>
      <c r="N11" s="682" t="s">
        <v>356</v>
      </c>
      <c r="O11" s="2544"/>
      <c r="P11" s="682" t="s">
        <v>357</v>
      </c>
      <c r="Q11" s="682" t="s">
        <v>358</v>
      </c>
      <c r="R11" s="682" t="s">
        <v>359</v>
      </c>
      <c r="S11" s="682" t="s">
        <v>360</v>
      </c>
      <c r="T11" s="682" t="s">
        <v>361</v>
      </c>
      <c r="U11" s="682" t="s">
        <v>364</v>
      </c>
      <c r="V11" s="682" t="s">
        <v>362</v>
      </c>
      <c r="W11" s="682" t="s">
        <v>365</v>
      </c>
      <c r="X11" s="684" t="s">
        <v>366</v>
      </c>
      <c r="Y11" s="2542"/>
      <c r="Z11" s="682" t="s">
        <v>367</v>
      </c>
      <c r="AA11" s="682" t="s">
        <v>368</v>
      </c>
      <c r="AB11" s="682" t="s">
        <v>368</v>
      </c>
      <c r="AC11" s="682" t="s">
        <v>368</v>
      </c>
      <c r="AD11" s="683" t="s">
        <v>369</v>
      </c>
      <c r="AE11" s="2549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3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41"/>
      <c r="C57" s="442"/>
      <c r="D57" s="443"/>
      <c r="E57" s="443"/>
      <c r="F57" s="443"/>
      <c r="G57" s="443"/>
      <c r="H57" s="443"/>
      <c r="I57" s="443"/>
      <c r="J57" s="443"/>
      <c r="K57" s="443"/>
      <c r="L57" s="444"/>
      <c r="M57" s="445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4"/>
      <c r="Y57" s="442"/>
      <c r="Z57" s="446"/>
      <c r="AA57" s="446"/>
      <c r="AB57" s="446"/>
      <c r="AC57" s="446"/>
      <c r="AD57" s="446"/>
      <c r="AE57" s="501"/>
      <c r="CD57" s="283"/>
    </row>
    <row r="58" spans="2:82" ht="12.75" hidden="1" customHeight="1">
      <c r="B58" s="447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8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8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7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8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8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7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8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8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7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8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8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7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8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8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7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8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8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9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61">
        <v>38899</v>
      </c>
    </row>
    <row r="77" spans="2:31" hidden="1">
      <c r="B77" s="448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8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9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61">
        <v>38930</v>
      </c>
    </row>
    <row r="80" spans="2:31" hidden="1">
      <c r="B80" s="448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8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9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61">
        <v>38961</v>
      </c>
    </row>
    <row r="83" spans="2:31" hidden="1">
      <c r="B83" s="448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8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9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61">
        <v>38991</v>
      </c>
    </row>
    <row r="86" spans="2:31" hidden="1">
      <c r="B86" s="448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8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9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61">
        <v>39022</v>
      </c>
    </row>
    <row r="89" spans="2:31" hidden="1">
      <c r="B89" s="448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8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9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61">
        <v>39052</v>
      </c>
    </row>
    <row r="92" spans="2:31" ht="11.1" hidden="1" customHeight="1">
      <c r="B92" s="448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8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9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61">
        <v>39083</v>
      </c>
    </row>
    <row r="95" spans="2:31" hidden="1">
      <c r="B95" s="448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8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9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61">
        <v>39114</v>
      </c>
    </row>
    <row r="98" spans="2:31" hidden="1">
      <c r="B98" s="448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8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9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61">
        <v>39142</v>
      </c>
    </row>
    <row r="101" spans="2:31" hidden="1">
      <c r="B101" s="448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8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9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61">
        <v>39173</v>
      </c>
    </row>
    <row r="104" spans="2:31" hidden="1">
      <c r="B104" s="448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8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9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61">
        <v>39203</v>
      </c>
    </row>
    <row r="107" spans="2:31" hidden="1">
      <c r="B107" s="448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8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9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61">
        <v>39234</v>
      </c>
    </row>
    <row r="110" spans="2:31" hidden="1">
      <c r="B110" s="448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8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9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61">
        <v>39264</v>
      </c>
    </row>
    <row r="113" spans="2:31" hidden="1">
      <c r="B113" s="448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8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9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61">
        <v>39295</v>
      </c>
    </row>
    <row r="116" spans="2:31" hidden="1">
      <c r="B116" s="448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8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9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61">
        <v>39326</v>
      </c>
    </row>
    <row r="119" spans="2:31" hidden="1">
      <c r="B119" s="448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8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9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61">
        <v>39356</v>
      </c>
    </row>
    <row r="122" spans="2:31" ht="11.1" hidden="1" customHeight="1">
      <c r="B122" s="448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8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9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61">
        <v>39387</v>
      </c>
    </row>
    <row r="125" spans="2:31" hidden="1">
      <c r="B125" s="448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8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9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61">
        <v>39417</v>
      </c>
    </row>
    <row r="128" spans="2:31" ht="12" hidden="1" customHeight="1">
      <c r="B128" s="448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8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9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61">
        <v>39448</v>
      </c>
    </row>
    <row r="131" spans="2:31" ht="12" hidden="1" customHeight="1">
      <c r="B131" s="448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8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9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61">
        <v>39479</v>
      </c>
    </row>
    <row r="134" spans="2:31" ht="12" hidden="1" customHeight="1">
      <c r="B134" s="448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8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9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61">
        <v>39508</v>
      </c>
    </row>
    <row r="137" spans="2:31" ht="12" hidden="1" customHeight="1">
      <c r="B137" s="448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8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9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61">
        <v>39539</v>
      </c>
    </row>
    <row r="140" spans="2:31" hidden="1">
      <c r="B140" s="448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8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9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61">
        <v>39569</v>
      </c>
    </row>
    <row r="143" spans="2:31" hidden="1">
      <c r="B143" s="448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8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9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61">
        <v>39600</v>
      </c>
    </row>
    <row r="146" spans="1:31" hidden="1">
      <c r="B146" s="448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8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9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61">
        <v>39630</v>
      </c>
    </row>
    <row r="149" spans="1:31" hidden="1">
      <c r="B149" s="448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8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9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61">
        <v>39661</v>
      </c>
    </row>
    <row r="152" spans="1:31" hidden="1">
      <c r="B152" s="448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8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9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61">
        <v>39692</v>
      </c>
    </row>
    <row r="155" spans="1:31" hidden="1">
      <c r="B155" s="448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8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9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61">
        <v>39722</v>
      </c>
    </row>
    <row r="158" spans="1:31" hidden="1">
      <c r="B158" s="448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8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9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61">
        <v>39753</v>
      </c>
    </row>
    <row r="161" spans="1:31" hidden="1">
      <c r="B161" s="448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8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9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61">
        <v>39783</v>
      </c>
    </row>
    <row r="164" spans="1:31" hidden="1">
      <c r="B164" s="448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8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9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61">
        <v>39814</v>
      </c>
    </row>
    <row r="167" spans="1:31" hidden="1">
      <c r="B167" s="448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8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9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61">
        <v>39845</v>
      </c>
    </row>
    <row r="170" spans="1:31" ht="12" hidden="1" customHeight="1">
      <c r="B170" s="448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8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9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61">
        <v>39873</v>
      </c>
    </row>
    <row r="173" spans="1:31" ht="12" hidden="1" customHeight="1">
      <c r="B173" s="448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8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9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61">
        <v>39904</v>
      </c>
    </row>
    <row r="176" spans="1:31" ht="12" hidden="1" customHeight="1">
      <c r="B176" s="448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8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9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61">
        <v>39934</v>
      </c>
    </row>
    <row r="179" spans="2:31" ht="12" hidden="1" customHeight="1">
      <c r="B179" s="448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8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9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61">
        <v>39965</v>
      </c>
    </row>
    <row r="182" spans="2:31" ht="12" hidden="1" customHeight="1">
      <c r="B182" s="448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8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9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61">
        <f>+B184</f>
        <v>39995</v>
      </c>
    </row>
    <row r="185" spans="2:31" ht="12" hidden="1" customHeight="1">
      <c r="B185" s="448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8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9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61">
        <f>+B187</f>
        <v>40026</v>
      </c>
    </row>
    <row r="188" spans="2:31" ht="12" hidden="1" customHeight="1">
      <c r="B188" s="448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8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9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61">
        <f>+B190</f>
        <v>40057</v>
      </c>
    </row>
    <row r="191" spans="2:31" ht="12" hidden="1" customHeight="1">
      <c r="B191" s="448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8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9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61">
        <f>+B193</f>
        <v>40087</v>
      </c>
    </row>
    <row r="194" spans="2:31" ht="12" hidden="1" customHeight="1">
      <c r="B194" s="448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8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9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61">
        <f>+B196</f>
        <v>40118</v>
      </c>
    </row>
    <row r="197" spans="2:31" ht="12" hidden="1" customHeight="1">
      <c r="B197" s="448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8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9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61">
        <f>+B199</f>
        <v>40148</v>
      </c>
    </row>
    <row r="200" spans="2:31" ht="12" hidden="1" customHeight="1">
      <c r="B200" s="448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8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9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61">
        <f>+B202</f>
        <v>40179</v>
      </c>
    </row>
    <row r="203" spans="2:31" ht="12" customHeight="1">
      <c r="B203" s="448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8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9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61">
        <f>+B205</f>
        <v>40180</v>
      </c>
    </row>
    <row r="206" spans="2:31" ht="12" hidden="1" customHeight="1">
      <c r="B206" s="448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8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9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61">
        <f>+B208</f>
        <v>40181</v>
      </c>
    </row>
    <row r="209" spans="2:31" ht="12" hidden="1" customHeight="1">
      <c r="B209" s="448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8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9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61">
        <f>+B211</f>
        <v>40182</v>
      </c>
    </row>
    <row r="212" spans="2:31" ht="12" hidden="1" customHeight="1">
      <c r="B212" s="448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8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9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61">
        <f>+B214</f>
        <v>40183</v>
      </c>
    </row>
    <row r="215" spans="2:31" ht="12" hidden="1" customHeight="1">
      <c r="B215" s="448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8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9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61">
        <f>+B217</f>
        <v>40184</v>
      </c>
    </row>
    <row r="218" spans="2:31" ht="12" hidden="1" customHeight="1">
      <c r="B218" s="448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8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9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61">
        <f>+B220</f>
        <v>40185</v>
      </c>
    </row>
    <row r="221" spans="2:31" ht="12" hidden="1" customHeight="1">
      <c r="B221" s="448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8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9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61">
        <f>+B223</f>
        <v>40186</v>
      </c>
    </row>
    <row r="224" spans="2:31" ht="12" hidden="1" customHeight="1">
      <c r="B224" s="448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8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9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61">
        <f>+B226</f>
        <v>40187</v>
      </c>
    </row>
    <row r="227" spans="2:31" ht="12" hidden="1" customHeight="1">
      <c r="B227" s="448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8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9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61">
        <f>+B229</f>
        <v>40188</v>
      </c>
    </row>
    <row r="230" spans="2:31" ht="12" hidden="1" customHeight="1">
      <c r="B230" s="448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8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9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61">
        <f>+B232</f>
        <v>40189</v>
      </c>
    </row>
    <row r="233" spans="2:31" ht="12" hidden="1" customHeight="1">
      <c r="B233" s="448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8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9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61">
        <f>+B235</f>
        <v>40190</v>
      </c>
    </row>
    <row r="236" spans="2:31" ht="12" hidden="1" customHeight="1">
      <c r="B236" s="448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8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9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61">
        <f>+B238</f>
        <v>40544</v>
      </c>
    </row>
    <row r="239" spans="2:31" ht="12" customHeight="1">
      <c r="B239" s="448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8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9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61">
        <f>+B241</f>
        <v>40545</v>
      </c>
    </row>
    <row r="242" spans="1:31" ht="12" hidden="1" customHeight="1">
      <c r="B242" s="448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8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9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61">
        <f>+B244</f>
        <v>40546</v>
      </c>
    </row>
    <row r="245" spans="1:31" ht="12" hidden="1" customHeight="1">
      <c r="A245" s="215"/>
      <c r="B245" s="448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8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9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61">
        <f>+B247</f>
        <v>40547</v>
      </c>
    </row>
    <row r="248" spans="1:31" ht="12" hidden="1" customHeight="1">
      <c r="A248" s="215"/>
      <c r="B248" s="448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8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9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61">
        <f>+B250</f>
        <v>40548</v>
      </c>
    </row>
    <row r="251" spans="1:31" ht="12" hidden="1" customHeight="1">
      <c r="A251" s="215"/>
      <c r="B251" s="448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8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9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61">
        <f>+B253</f>
        <v>40549</v>
      </c>
    </row>
    <row r="254" spans="1:31" ht="12" hidden="1" customHeight="1">
      <c r="A254" s="215"/>
      <c r="B254" s="448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8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9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61">
        <f>+B256</f>
        <v>40550</v>
      </c>
    </row>
    <row r="257" spans="1:31" ht="12" hidden="1" customHeight="1">
      <c r="A257" s="215"/>
      <c r="B257" s="448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8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9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61">
        <f>+B259</f>
        <v>40551</v>
      </c>
    </row>
    <row r="260" spans="1:31" ht="12" hidden="1" customHeight="1">
      <c r="A260" s="215"/>
      <c r="B260" s="448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8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9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61">
        <f>+B262</f>
        <v>40552</v>
      </c>
    </row>
    <row r="263" spans="1:31" ht="12" hidden="1" customHeight="1">
      <c r="A263" s="215"/>
      <c r="B263" s="448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8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9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61">
        <f>+B265</f>
        <v>40553</v>
      </c>
    </row>
    <row r="266" spans="1:31" ht="12" hidden="1" customHeight="1">
      <c r="A266" s="215"/>
      <c r="B266" s="448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8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9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61">
        <f>+B268</f>
        <v>40554</v>
      </c>
    </row>
    <row r="269" spans="1:31" ht="12" hidden="1" customHeight="1">
      <c r="A269" s="215"/>
      <c r="B269" s="448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8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9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61">
        <f>+B271</f>
        <v>40555</v>
      </c>
    </row>
    <row r="272" spans="1:31" ht="12" hidden="1" customHeight="1">
      <c r="A272" s="215"/>
      <c r="B272" s="448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8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9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61">
        <f>+B274</f>
        <v>40909</v>
      </c>
    </row>
    <row r="275" spans="1:31" ht="12" customHeight="1">
      <c r="A275" s="215"/>
      <c r="B275" s="448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8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9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61">
        <f>+B277</f>
        <v>40910</v>
      </c>
    </row>
    <row r="278" spans="1:31" ht="12" hidden="1" customHeight="1">
      <c r="A278" s="215"/>
      <c r="B278" s="448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8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9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61">
        <f>+B280</f>
        <v>40911</v>
      </c>
    </row>
    <row r="281" spans="1:31" ht="12" hidden="1" customHeight="1">
      <c r="A281" s="215"/>
      <c r="B281" s="448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8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9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61">
        <f>+B283</f>
        <v>40912</v>
      </c>
    </row>
    <row r="284" spans="1:31" ht="12" hidden="1" customHeight="1">
      <c r="A284" s="215"/>
      <c r="B284" s="448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50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51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61">
        <f>+B286</f>
        <v>40913</v>
      </c>
    </row>
    <row r="287" spans="1:31" ht="12" hidden="1" customHeight="1">
      <c r="A287" s="215"/>
      <c r="B287" s="450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50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51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61">
        <f>+B289</f>
        <v>40914</v>
      </c>
    </row>
    <row r="290" spans="1:31" ht="12" hidden="1" customHeight="1">
      <c r="A290" s="215"/>
      <c r="B290" s="450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50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51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61">
        <f>+B292</f>
        <v>40915</v>
      </c>
    </row>
    <row r="293" spans="1:31" ht="12" hidden="1" customHeight="1">
      <c r="A293" s="215"/>
      <c r="B293" s="450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50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51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61">
        <f>+B295</f>
        <v>40916</v>
      </c>
    </row>
    <row r="296" spans="1:31" ht="12" hidden="1" customHeight="1">
      <c r="A296" s="215"/>
      <c r="B296" s="450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50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51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61">
        <f>+B298</f>
        <v>40917</v>
      </c>
    </row>
    <row r="299" spans="1:31" ht="12" hidden="1" customHeight="1">
      <c r="A299" s="215"/>
      <c r="B299" s="450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50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51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61">
        <f>+B301</f>
        <v>40918</v>
      </c>
    </row>
    <row r="302" spans="1:31" ht="12" hidden="1" customHeight="1">
      <c r="A302" s="215"/>
      <c r="B302" s="450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50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51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61">
        <f>+B304</f>
        <v>40919</v>
      </c>
    </row>
    <row r="305" spans="1:31" ht="12" hidden="1" customHeight="1">
      <c r="A305" s="215"/>
      <c r="B305" s="450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50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51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61">
        <f>+B307</f>
        <v>40920</v>
      </c>
    </row>
    <row r="308" spans="1:31" ht="12" hidden="1" customHeight="1">
      <c r="A308" s="215"/>
      <c r="B308" s="450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50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51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61">
        <f>+B310</f>
        <v>41275</v>
      </c>
    </row>
    <row r="311" spans="1:31" ht="12" customHeight="1">
      <c r="A311" s="215"/>
      <c r="B311" s="450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50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51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61">
        <f>+B313</f>
        <v>41276</v>
      </c>
    </row>
    <row r="314" spans="1:31" ht="12" hidden="1" customHeight="1">
      <c r="A314" s="215"/>
      <c r="B314" s="450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50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51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61">
        <f>+B316</f>
        <v>41277</v>
      </c>
    </row>
    <row r="317" spans="1:31" ht="12" hidden="1" customHeight="1">
      <c r="A317" s="215"/>
      <c r="B317" s="450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50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51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61">
        <f>+B319</f>
        <v>41278</v>
      </c>
    </row>
    <row r="320" spans="1:31" ht="12" hidden="1" customHeight="1">
      <c r="A320" s="215"/>
      <c r="B320" s="450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50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51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61">
        <f>+B322</f>
        <v>41279</v>
      </c>
    </row>
    <row r="323" spans="1:31" ht="12" hidden="1" customHeight="1">
      <c r="A323" s="215"/>
      <c r="B323" s="450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50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51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61">
        <f>+B325</f>
        <v>41280</v>
      </c>
    </row>
    <row r="326" spans="1:31" ht="12" hidden="1" customHeight="1">
      <c r="A326" s="215"/>
      <c r="B326" s="450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50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51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61">
        <f>+B328</f>
        <v>41281</v>
      </c>
    </row>
    <row r="329" spans="1:31" ht="12" hidden="1" customHeight="1">
      <c r="A329" s="215"/>
      <c r="B329" s="450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50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51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61">
        <f>+B331</f>
        <v>41282</v>
      </c>
    </row>
    <row r="332" spans="1:31" ht="12" hidden="1" customHeight="1">
      <c r="A332" s="215"/>
      <c r="B332" s="450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50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51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61">
        <f>+B334</f>
        <v>41283</v>
      </c>
    </row>
    <row r="335" spans="1:31" ht="12" hidden="1" customHeight="1">
      <c r="A335" s="215"/>
      <c r="B335" s="450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50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51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61">
        <f>+B337</f>
        <v>41284</v>
      </c>
    </row>
    <row r="338" spans="1:31" ht="12" hidden="1" customHeight="1">
      <c r="A338" s="215"/>
      <c r="B338" s="450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50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51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61">
        <f>+B340</f>
        <v>41285</v>
      </c>
    </row>
    <row r="341" spans="1:31" ht="12" hidden="1" customHeight="1">
      <c r="A341" s="215"/>
      <c r="B341" s="450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50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51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61">
        <f>+B343</f>
        <v>41286</v>
      </c>
    </row>
    <row r="344" spans="1:31" ht="12" hidden="1" customHeight="1">
      <c r="A344" s="215"/>
      <c r="B344" s="450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50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51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61">
        <f>+B346</f>
        <v>41640</v>
      </c>
    </row>
    <row r="347" spans="1:31" ht="12" customHeight="1">
      <c r="A347" s="215"/>
      <c r="B347" s="450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50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51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61">
        <f>+B349</f>
        <v>41641</v>
      </c>
    </row>
    <row r="350" spans="1:31" ht="12" hidden="1" customHeight="1">
      <c r="A350" s="215"/>
      <c r="B350" s="450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50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51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61">
        <f>+B352</f>
        <v>41642</v>
      </c>
    </row>
    <row r="353" spans="1:31" ht="12" hidden="1" customHeight="1">
      <c r="A353" s="215"/>
      <c r="B353" s="450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50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51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61">
        <f>+B355</f>
        <v>41643</v>
      </c>
    </row>
    <row r="356" spans="1:31" ht="12" hidden="1" customHeight="1">
      <c r="B356" s="450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50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51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61">
        <f>+B358</f>
        <v>41644</v>
      </c>
    </row>
    <row r="359" spans="1:31" ht="12" hidden="1" customHeight="1">
      <c r="B359" s="450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50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51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61">
        <f>+B361</f>
        <v>41645</v>
      </c>
    </row>
    <row r="362" spans="1:31" ht="12" hidden="1" customHeight="1">
      <c r="B362" s="450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50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51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61">
        <f>+B364</f>
        <v>41646</v>
      </c>
    </row>
    <row r="365" spans="1:31" ht="12" hidden="1" customHeight="1">
      <c r="B365" s="450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50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51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61">
        <f>+B367</f>
        <v>41647</v>
      </c>
    </row>
    <row r="368" spans="1:31" ht="12" hidden="1" customHeight="1">
      <c r="B368" s="450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50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51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61">
        <f>+B370</f>
        <v>41648</v>
      </c>
    </row>
    <row r="371" spans="2:31" ht="12" hidden="1" customHeight="1">
      <c r="B371" s="450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50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51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61">
        <f>+B373</f>
        <v>41649</v>
      </c>
    </row>
    <row r="374" spans="2:31" ht="12" hidden="1" customHeight="1">
      <c r="B374" s="450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50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51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61">
        <f>+B376</f>
        <v>41650</v>
      </c>
    </row>
    <row r="377" spans="2:31" ht="12" hidden="1" customHeight="1">
      <c r="B377" s="450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50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51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61">
        <v>41651</v>
      </c>
    </row>
    <row r="380" spans="2:31" ht="12" hidden="1" customHeight="1">
      <c r="B380" s="450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50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51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61">
        <v>42005</v>
      </c>
    </row>
    <row r="383" spans="2:31" ht="12" customHeight="1">
      <c r="B383" s="450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50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51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61">
        <v>42006</v>
      </c>
    </row>
    <row r="386" spans="2:31" ht="12" hidden="1" customHeight="1">
      <c r="B386" s="450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50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51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61">
        <v>42007</v>
      </c>
    </row>
    <row r="389" spans="2:31" ht="12" hidden="1" customHeight="1">
      <c r="B389" s="450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50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51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61">
        <v>42008</v>
      </c>
    </row>
    <row r="392" spans="2:31" ht="12" hidden="1" customHeight="1">
      <c r="B392" s="450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50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51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61">
        <v>42009</v>
      </c>
    </row>
    <row r="395" spans="2:31" ht="12" hidden="1" customHeight="1">
      <c r="B395" s="450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50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51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61">
        <v>42010</v>
      </c>
    </row>
    <row r="398" spans="2:31" ht="12" hidden="1" customHeight="1">
      <c r="B398" s="450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50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51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61">
        <v>42011</v>
      </c>
    </row>
    <row r="401" spans="2:31" ht="14.25" hidden="1" customHeight="1">
      <c r="B401" s="450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50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51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61">
        <v>42012</v>
      </c>
    </row>
    <row r="404" spans="2:31" ht="14.25" hidden="1" customHeight="1">
      <c r="B404" s="450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50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51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61">
        <v>42013</v>
      </c>
    </row>
    <row r="407" spans="2:31" ht="14.25" hidden="1" customHeight="1">
      <c r="B407" s="450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50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51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61">
        <v>42014</v>
      </c>
    </row>
    <row r="410" spans="2:31" ht="14.25" hidden="1" customHeight="1">
      <c r="B410" s="450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50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51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61">
        <v>42015</v>
      </c>
    </row>
    <row r="413" spans="2:31" ht="14.25" hidden="1" customHeight="1">
      <c r="B413" s="450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50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51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61">
        <v>42016</v>
      </c>
    </row>
    <row r="416" spans="2:31" ht="14.25" hidden="1" customHeight="1">
      <c r="B416" s="450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50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51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61">
        <v>42370</v>
      </c>
    </row>
    <row r="419" spans="2:31" ht="14.25" customHeight="1">
      <c r="B419" s="450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50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51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61">
        <v>42371</v>
      </c>
    </row>
    <row r="422" spans="2:31" ht="14.25" hidden="1" customHeight="1">
      <c r="B422" s="450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50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51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61">
        <v>42372</v>
      </c>
    </row>
    <row r="425" spans="2:31" ht="14.25" hidden="1" customHeight="1">
      <c r="B425" s="450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50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51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61">
        <v>42373</v>
      </c>
    </row>
    <row r="428" spans="2:31" ht="12" hidden="1" customHeight="1">
      <c r="B428" s="450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50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51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61">
        <v>42374</v>
      </c>
    </row>
    <row r="431" spans="2:31" ht="12" hidden="1" customHeight="1">
      <c r="B431" s="450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50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51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61">
        <v>42375</v>
      </c>
    </row>
    <row r="434" spans="2:31" ht="12" hidden="1" customHeight="1">
      <c r="B434" s="450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50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51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61">
        <v>42376</v>
      </c>
    </row>
    <row r="437" spans="2:31" ht="12" hidden="1" customHeight="1">
      <c r="B437" s="450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50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51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61">
        <v>42377</v>
      </c>
    </row>
    <row r="440" spans="2:31" ht="12" hidden="1" customHeight="1">
      <c r="B440" s="450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50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51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61">
        <v>42378</v>
      </c>
    </row>
    <row r="443" spans="2:31" ht="12" hidden="1" customHeight="1">
      <c r="B443" s="450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50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51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61">
        <v>42379</v>
      </c>
    </row>
    <row r="446" spans="2:31" ht="12" hidden="1" customHeight="1">
      <c r="B446" s="450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50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51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61">
        <v>42380</v>
      </c>
    </row>
    <row r="449" spans="2:31" ht="12" hidden="1" customHeight="1">
      <c r="B449" s="450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50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51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61">
        <v>42381</v>
      </c>
    </row>
    <row r="452" spans="2:31" ht="12" hidden="1" customHeight="1">
      <c r="B452" s="450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50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51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61">
        <v>42736</v>
      </c>
    </row>
    <row r="455" spans="2:31" ht="12" customHeight="1">
      <c r="B455" s="450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50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51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61">
        <v>42737</v>
      </c>
    </row>
    <row r="458" spans="2:31" ht="12" hidden="1" customHeight="1">
      <c r="B458" s="450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50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51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61">
        <v>42738</v>
      </c>
    </row>
    <row r="461" spans="2:31" ht="12" hidden="1" customHeight="1">
      <c r="B461" s="450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50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51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61">
        <v>42739</v>
      </c>
    </row>
    <row r="464" spans="2:31" ht="12" hidden="1" customHeight="1">
      <c r="B464" s="450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50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51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61">
        <v>42740</v>
      </c>
    </row>
    <row r="467" spans="2:31" ht="12" hidden="1" customHeight="1">
      <c r="B467" s="450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50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51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61">
        <v>42741</v>
      </c>
    </row>
    <row r="470" spans="2:31" ht="12" hidden="1" customHeight="1">
      <c r="B470" s="450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50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51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61">
        <v>42742</v>
      </c>
    </row>
    <row r="473" spans="2:31" ht="12" hidden="1" customHeight="1">
      <c r="B473" s="450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50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51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61">
        <v>42743</v>
      </c>
    </row>
    <row r="476" spans="2:31" ht="12" hidden="1" customHeight="1">
      <c r="B476" s="450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50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51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61">
        <v>42744</v>
      </c>
    </row>
    <row r="479" spans="2:31" ht="12" hidden="1" customHeight="1">
      <c r="B479" s="450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50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51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61">
        <v>42745</v>
      </c>
    </row>
    <row r="482" spans="2:31" ht="12" hidden="1" customHeight="1">
      <c r="B482" s="450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50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51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61">
        <v>42746</v>
      </c>
    </row>
    <row r="485" spans="2:31" ht="12" hidden="1" customHeight="1">
      <c r="B485" s="450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50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51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61">
        <v>42747</v>
      </c>
    </row>
    <row r="488" spans="2:31" ht="12" hidden="1" customHeight="1">
      <c r="B488" s="450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50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51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61">
        <v>43101</v>
      </c>
    </row>
    <row r="491" spans="2:31" ht="12" customHeight="1">
      <c r="B491" s="450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50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51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61">
        <v>43102</v>
      </c>
    </row>
    <row r="494" spans="2:31" ht="12" hidden="1" customHeight="1">
      <c r="B494" s="450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50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51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61">
        <v>43103</v>
      </c>
    </row>
    <row r="497" spans="2:31" ht="12" hidden="1" customHeight="1">
      <c r="B497" s="450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50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51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61">
        <v>43104</v>
      </c>
    </row>
    <row r="500" spans="2:31" ht="12" hidden="1" customHeight="1">
      <c r="B500" s="450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50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51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61">
        <v>43105</v>
      </c>
    </row>
    <row r="503" spans="2:31" ht="12" hidden="1" customHeight="1">
      <c r="B503" s="450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50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51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61">
        <v>43106</v>
      </c>
    </row>
    <row r="506" spans="2:31" ht="12" hidden="1" customHeight="1">
      <c r="B506" s="450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50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51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61">
        <v>43107</v>
      </c>
    </row>
    <row r="509" spans="2:31" ht="12" customHeight="1">
      <c r="B509" s="450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50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51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61">
        <v>43108</v>
      </c>
    </row>
    <row r="512" spans="2:31" ht="12" customHeight="1">
      <c r="B512" s="450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50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51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61">
        <v>43109</v>
      </c>
    </row>
    <row r="515" spans="2:31" ht="12" customHeight="1">
      <c r="B515" s="450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50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51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61">
        <v>43110</v>
      </c>
    </row>
    <row r="518" spans="2:31" ht="12" customHeight="1">
      <c r="B518" s="450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50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51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61">
        <v>43111</v>
      </c>
    </row>
    <row r="521" spans="2:31" ht="12" customHeight="1">
      <c r="B521" s="450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50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51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61">
        <v>43112</v>
      </c>
    </row>
    <row r="524" spans="2:31" ht="12" customHeight="1">
      <c r="B524" s="450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50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51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61">
        <v>43466</v>
      </c>
    </row>
    <row r="527" spans="2:31" ht="12" customHeight="1">
      <c r="B527" s="450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50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51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61">
        <v>43467</v>
      </c>
    </row>
    <row r="530" spans="2:31" ht="12" customHeight="1">
      <c r="B530" s="450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50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51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61">
        <v>43468</v>
      </c>
    </row>
    <row r="533" spans="2:31" ht="12" customHeight="1">
      <c r="B533" s="450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50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51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61">
        <v>43469</v>
      </c>
    </row>
    <row r="536" spans="2:31" ht="12" customHeight="1">
      <c r="B536" s="450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50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51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61">
        <v>43470</v>
      </c>
    </row>
    <row r="539" spans="2:31" ht="12" customHeight="1">
      <c r="B539" s="450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50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51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61">
        <v>43471</v>
      </c>
    </row>
    <row r="542" spans="2:31" ht="12" customHeight="1">
      <c r="B542" s="450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50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51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61">
        <v>43472</v>
      </c>
    </row>
    <row r="545" spans="2:31" ht="12" customHeight="1">
      <c r="B545" s="450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50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51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61">
        <v>43473</v>
      </c>
    </row>
    <row r="548" spans="2:31" ht="12" customHeight="1">
      <c r="B548" s="450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50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51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61">
        <v>43474</v>
      </c>
    </row>
    <row r="551" spans="2:31" s="283" customFormat="1" ht="12" customHeight="1">
      <c r="B551" s="450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50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51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61">
        <f>B553</f>
        <v>43475</v>
      </c>
    </row>
    <row r="554" spans="2:31" s="283" customFormat="1" ht="12" customHeight="1">
      <c r="B554" s="450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50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51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61">
        <f>B556</f>
        <v>43476</v>
      </c>
    </row>
    <row r="557" spans="2:31" s="283" customFormat="1" ht="12" customHeight="1">
      <c r="B557" s="450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50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51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61">
        <f>B559</f>
        <v>43477</v>
      </c>
    </row>
    <row r="560" spans="2:31" s="283" customFormat="1" ht="12" customHeight="1">
      <c r="B560" s="450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50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51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61">
        <f>B562</f>
        <v>43831</v>
      </c>
    </row>
    <row r="563" spans="2:31" s="283" customFormat="1" ht="12" customHeight="1">
      <c r="B563" s="450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50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502" t="s">
        <v>213</v>
      </c>
    </row>
    <row r="565" spans="2:31" s="283" customFormat="1" ht="12" customHeight="1">
      <c r="B565" s="451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61">
        <f>B565</f>
        <v>43832</v>
      </c>
    </row>
    <row r="566" spans="2:31" s="283" customFormat="1" ht="12" customHeight="1">
      <c r="B566" s="450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50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51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61">
        <f>B568</f>
        <v>43833</v>
      </c>
    </row>
    <row r="569" spans="2:31">
      <c r="B569" s="450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50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51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61">
        <f>B571</f>
        <v>43834</v>
      </c>
    </row>
    <row r="572" spans="2:31">
      <c r="B572" s="450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50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51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61">
        <f>B574</f>
        <v>43835</v>
      </c>
    </row>
    <row r="575" spans="2:31">
      <c r="B575" s="450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50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51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61">
        <f>B577</f>
        <v>43836</v>
      </c>
    </row>
    <row r="578" spans="2:31">
      <c r="B578" s="450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50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51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61">
        <f>B580</f>
        <v>43837</v>
      </c>
    </row>
    <row r="581" spans="2:31">
      <c r="B581" s="450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50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51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61">
        <f>B583</f>
        <v>43838</v>
      </c>
    </row>
    <row r="584" spans="2:31">
      <c r="B584" s="450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50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51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61">
        <f>B586</f>
        <v>43839</v>
      </c>
    </row>
    <row r="587" spans="2:31">
      <c r="B587" s="450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50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51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61">
        <v>43840</v>
      </c>
    </row>
    <row r="590" spans="2:31">
      <c r="B590" s="450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50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6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6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6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6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500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5" t="s">
        <v>213</v>
      </c>
      <c r="AF597" s="215"/>
    </row>
    <row r="598" spans="2:32" ht="11.4">
      <c r="B598" s="46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6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500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6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6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6">
        <v>6.8487443471567397</v>
      </c>
      <c r="AE602" s="212" t="s">
        <v>371</v>
      </c>
      <c r="AF602" s="215"/>
    </row>
    <row r="603" spans="2:32">
      <c r="B603" s="500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6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61">
        <v>44256</v>
      </c>
    </row>
    <row r="605" spans="2:32">
      <c r="B605" s="50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500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6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61">
        <v>44287</v>
      </c>
    </row>
    <row r="608" spans="2:32">
      <c r="B608" s="50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500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6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61">
        <v>44317</v>
      </c>
    </row>
    <row r="611" spans="2:32">
      <c r="B611" s="50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6">
        <v>6.8487443471567397</v>
      </c>
      <c r="AE611" s="212" t="s">
        <v>371</v>
      </c>
      <c r="AF611" s="215"/>
    </row>
    <row r="612" spans="2:32">
      <c r="B612" s="500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6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61">
        <v>44348</v>
      </c>
    </row>
    <row r="614" spans="2:32">
      <c r="B614" s="50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6">
        <v>6.8487443471567397</v>
      </c>
      <c r="AE614" s="212" t="s">
        <v>371</v>
      </c>
      <c r="AF614" s="215"/>
    </row>
    <row r="615" spans="2:32">
      <c r="B615" s="500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6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6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6">
        <v>6.8487443471567397</v>
      </c>
      <c r="AE617" s="212" t="s">
        <v>371</v>
      </c>
      <c r="AF617" s="215"/>
    </row>
    <row r="618" spans="2:32">
      <c r="B618" s="500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6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6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6">
        <v>6.8487443471567397</v>
      </c>
      <c r="AE620" s="212" t="s">
        <v>371</v>
      </c>
      <c r="AF620" s="215"/>
    </row>
    <row r="621" spans="2:32">
      <c r="B621" s="500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6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6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6">
        <v>6.8487443471567397</v>
      </c>
      <c r="AE623" s="212" t="s">
        <v>371</v>
      </c>
      <c r="AF623" s="215"/>
    </row>
    <row r="624" spans="2:32">
      <c r="B624" s="500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6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6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6">
        <v>6.9719511597116703</v>
      </c>
      <c r="AE626" s="212" t="s">
        <v>371</v>
      </c>
      <c r="AF626" s="215"/>
    </row>
    <row r="627" spans="2:32">
      <c r="B627" s="500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6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6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6">
        <v>6.9719511597116703</v>
      </c>
      <c r="AE629" s="212" t="s">
        <v>371</v>
      </c>
      <c r="AF629" s="215"/>
    </row>
    <row r="630" spans="2:32">
      <c r="B630" s="500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6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61">
        <v>44531</v>
      </c>
    </row>
    <row r="632" spans="2:32">
      <c r="B632" s="50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500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6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61">
        <v>44562</v>
      </c>
    </row>
    <row r="635" spans="2:32">
      <c r="B635" s="50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6">
        <v>9.30867815806468</v>
      </c>
      <c r="AE635" s="212" t="s">
        <v>371</v>
      </c>
      <c r="AF635" s="215"/>
    </row>
    <row r="636" spans="2:32">
      <c r="B636" s="500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6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61">
        <v>44593</v>
      </c>
    </row>
    <row r="638" spans="2:32">
      <c r="B638" s="50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500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6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61">
        <v>44621</v>
      </c>
    </row>
    <row r="641" spans="2:32">
      <c r="B641" s="50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500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6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61">
        <v>44652</v>
      </c>
    </row>
    <row r="644" spans="2:32">
      <c r="B644" s="50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500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6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61">
        <v>44682</v>
      </c>
    </row>
    <row r="647" spans="2:32">
      <c r="B647" s="50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6">
        <v>9.30867815806468</v>
      </c>
      <c r="AE647" s="212" t="s">
        <v>371</v>
      </c>
      <c r="AF647" s="215"/>
    </row>
    <row r="648" spans="2:32">
      <c r="B648" s="500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6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61">
        <v>44713</v>
      </c>
    </row>
    <row r="650" spans="2:32">
      <c r="B650" s="50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500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6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61">
        <v>44743</v>
      </c>
    </row>
    <row r="653" spans="2:32">
      <c r="B653" s="50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500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6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61">
        <v>44774</v>
      </c>
    </row>
    <row r="656" spans="2:32">
      <c r="B656" s="50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6">
        <v>9.30867815806468</v>
      </c>
      <c r="AE656" s="212" t="s">
        <v>371</v>
      </c>
    </row>
    <row r="657" spans="2:31">
      <c r="B657" s="500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6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61">
        <v>44805</v>
      </c>
    </row>
    <row r="659" spans="2:31">
      <c r="B659" s="50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500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6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61">
        <v>44835</v>
      </c>
    </row>
    <row r="662" spans="2:31">
      <c r="B662" s="50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500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6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61">
        <v>44866</v>
      </c>
    </row>
    <row r="665" spans="2:31">
      <c r="B665" s="50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500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6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61">
        <v>44896</v>
      </c>
    </row>
    <row r="668" spans="2:31">
      <c r="B668" s="50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500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6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61">
        <v>44927</v>
      </c>
    </row>
    <row r="671" spans="2:31">
      <c r="B671" s="50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500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6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61">
        <v>44958</v>
      </c>
    </row>
    <row r="674" spans="2:31">
      <c r="B674" s="50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500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6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61">
        <v>44986</v>
      </c>
    </row>
    <row r="677" spans="2:31">
      <c r="B677" s="50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500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6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61">
        <v>45017</v>
      </c>
    </row>
    <row r="680" spans="2:31">
      <c r="B680" s="50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500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6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61">
        <v>45047</v>
      </c>
    </row>
    <row r="683" spans="2:31">
      <c r="B683" s="50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500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6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61">
        <v>45078</v>
      </c>
    </row>
    <row r="686" spans="2:31">
      <c r="B686" s="50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500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6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61">
        <v>45108</v>
      </c>
    </row>
    <row r="689" spans="2:32">
      <c r="B689" s="50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500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6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61">
        <v>45139</v>
      </c>
    </row>
    <row r="692" spans="2:32">
      <c r="B692" s="50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500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6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61">
        <v>45170</v>
      </c>
    </row>
    <row r="695" spans="2:32">
      <c r="B695" s="50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500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6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61">
        <v>45200</v>
      </c>
    </row>
    <row r="698" spans="2:32">
      <c r="B698" s="50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500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6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61">
        <v>45231</v>
      </c>
    </row>
    <row r="701" spans="2:32">
      <c r="B701" s="50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6">
        <v>9.8000000000000007</v>
      </c>
      <c r="AE701" s="212" t="s">
        <v>371</v>
      </c>
      <c r="AF701" s="215"/>
    </row>
    <row r="702" spans="2:32">
      <c r="B702" s="500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6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61">
        <v>45261</v>
      </c>
    </row>
    <row r="704" spans="2:32">
      <c r="B704" s="50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500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6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61">
        <v>45292</v>
      </c>
    </row>
    <row r="707" spans="2:32">
      <c r="B707" s="50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500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6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61">
        <v>45323</v>
      </c>
    </row>
    <row r="710" spans="2:32">
      <c r="B710" s="50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500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6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61">
        <v>45352</v>
      </c>
    </row>
    <row r="713" spans="2:32">
      <c r="B713" s="212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25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506">
        <v>9.8000000000000007</v>
      </c>
      <c r="AE713" s="212" t="s">
        <v>371</v>
      </c>
      <c r="AF713" s="215"/>
    </row>
    <row r="714" spans="2:32" ht="12.6" thickBot="1">
      <c r="B714" s="499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25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499" t="s">
        <v>213</v>
      </c>
    </row>
    <row r="715" spans="2:32" s="901" customFormat="1" ht="29.25" customHeight="1">
      <c r="B715" s="2533" t="s">
        <v>2773</v>
      </c>
      <c r="C715" s="2534"/>
      <c r="D715" s="2534"/>
      <c r="E715" s="2534"/>
      <c r="F715" s="2534"/>
      <c r="G715" s="2534"/>
      <c r="H715" s="2534"/>
      <c r="I715" s="2534"/>
      <c r="J715" s="2534"/>
      <c r="K715" s="2534"/>
      <c r="L715" s="2534"/>
      <c r="M715" s="2534"/>
      <c r="N715" s="2534"/>
      <c r="O715" s="2534"/>
      <c r="P715" s="2534"/>
      <c r="Q715" s="2534"/>
      <c r="R715" s="2534"/>
      <c r="S715" s="2534"/>
      <c r="T715" s="2534"/>
      <c r="U715" s="2534"/>
      <c r="V715" s="2534"/>
      <c r="W715" s="2534"/>
      <c r="X715" s="2534"/>
      <c r="Y715" s="2534"/>
      <c r="Z715" s="2534"/>
      <c r="AA715" s="2534"/>
      <c r="AB715" s="2534"/>
      <c r="AC715" s="2534"/>
      <c r="AD715" s="2534"/>
      <c r="AE715" s="2535"/>
    </row>
    <row r="717" spans="2:32"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</row>
    <row r="718" spans="2:32"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15:AE715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06"/>
  <sheetViews>
    <sheetView view="pageBreakPreview" topLeftCell="B1" zoomScale="160" zoomScaleNormal="100" zoomScaleSheetLayoutView="160" workbookViewId="0">
      <pane ySplit="7" topLeftCell="A185" activePane="bottomLeft" state="frozen"/>
      <selection activeCell="G291" sqref="G291"/>
      <selection pane="bottomLeft" activeCell="C195" sqref="C195:D196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3" customFormat="1" ht="17.25" customHeight="1">
      <c r="B2" s="2553" t="s">
        <v>3427</v>
      </c>
      <c r="C2" s="2553"/>
      <c r="D2" s="2553"/>
      <c r="E2" s="2553"/>
    </row>
    <row r="3" spans="1:5" s="393" customFormat="1" ht="20.25" customHeight="1">
      <c r="B3" s="2554" t="s">
        <v>3428</v>
      </c>
      <c r="C3" s="2554"/>
      <c r="D3" s="2554"/>
      <c r="E3" s="2554"/>
    </row>
    <row r="4" spans="1:5" s="393" customFormat="1" ht="9.75" customHeight="1">
      <c r="B4" s="627"/>
      <c r="C4" s="627"/>
      <c r="D4" s="627"/>
      <c r="E4" s="627"/>
    </row>
    <row r="5" spans="1:5" s="393" customFormat="1" ht="9.75" customHeight="1">
      <c r="B5" s="1489"/>
      <c r="C5" s="1489"/>
      <c r="D5" s="1489"/>
      <c r="E5" s="1489"/>
    </row>
    <row r="6" spans="1:5" ht="33.75" customHeight="1">
      <c r="A6" s="1478"/>
      <c r="B6" s="2557" t="s">
        <v>182</v>
      </c>
      <c r="C6" s="1487" t="s">
        <v>3429</v>
      </c>
      <c r="D6" s="1487" t="s">
        <v>3423</v>
      </c>
      <c r="E6" s="2555" t="s">
        <v>304</v>
      </c>
    </row>
    <row r="7" spans="1:5" ht="30" customHeight="1">
      <c r="A7" s="1478"/>
      <c r="B7" s="2558"/>
      <c r="C7" s="1488" t="s">
        <v>3430</v>
      </c>
      <c r="D7" s="1488" t="s">
        <v>3424</v>
      </c>
      <c r="E7" s="2556"/>
    </row>
    <row r="8" spans="1:5" ht="10.5" customHeight="1">
      <c r="B8" s="1490">
        <v>43466</v>
      </c>
      <c r="C8" s="1479"/>
      <c r="D8" s="1480"/>
      <c r="E8" s="1491">
        <v>43466</v>
      </c>
    </row>
    <row r="9" spans="1:5" ht="10.5" customHeight="1">
      <c r="B9" s="1492" t="s">
        <v>187</v>
      </c>
      <c r="C9" s="715">
        <v>9.2507924231679102</v>
      </c>
      <c r="D9" s="1481">
        <v>15.871369294883699</v>
      </c>
      <c r="E9" s="1492" t="s">
        <v>371</v>
      </c>
    </row>
    <row r="10" spans="1:5" ht="10.5" customHeight="1">
      <c r="B10" s="1492" t="s">
        <v>372</v>
      </c>
      <c r="C10" s="715">
        <v>1.7567331000052901</v>
      </c>
      <c r="D10" s="1481">
        <v>5.1798710586902397</v>
      </c>
      <c r="E10" s="1492" t="s">
        <v>213</v>
      </c>
    </row>
    <row r="11" spans="1:5" ht="10.5" hidden="1" customHeight="1">
      <c r="B11" s="1490">
        <v>43467</v>
      </c>
      <c r="C11" s="715"/>
      <c r="D11" s="1482"/>
      <c r="E11" s="1491">
        <v>43467</v>
      </c>
    </row>
    <row r="12" spans="1:5" ht="10.5" hidden="1" customHeight="1">
      <c r="B12" s="1492" t="s">
        <v>187</v>
      </c>
      <c r="C12" s="715">
        <v>9.0818033753120506</v>
      </c>
      <c r="D12" s="1481">
        <v>19.096257750949</v>
      </c>
      <c r="E12" s="1492" t="s">
        <v>371</v>
      </c>
    </row>
    <row r="13" spans="1:5" ht="10.5" hidden="1" customHeight="1">
      <c r="B13" s="1492" t="s">
        <v>372</v>
      </c>
      <c r="C13" s="715">
        <v>1.3298038332329101</v>
      </c>
      <c r="D13" s="1481">
        <v>6.6945903236952597</v>
      </c>
      <c r="E13" s="1492" t="s">
        <v>213</v>
      </c>
    </row>
    <row r="14" spans="1:5" ht="10.5" hidden="1" customHeight="1">
      <c r="B14" s="1490">
        <v>43468</v>
      </c>
      <c r="C14" s="715"/>
      <c r="D14" s="1482"/>
      <c r="E14" s="1491">
        <v>43468</v>
      </c>
    </row>
    <row r="15" spans="1:5" ht="10.5" hidden="1" customHeight="1">
      <c r="B15" s="1492" t="s">
        <v>187</v>
      </c>
      <c r="C15" s="715">
        <v>10.0597940166189</v>
      </c>
      <c r="D15" s="1482">
        <v>18.267952224541801</v>
      </c>
      <c r="E15" s="1492" t="s">
        <v>371</v>
      </c>
    </row>
    <row r="16" spans="1:5" ht="10.5" hidden="1" customHeight="1">
      <c r="B16" s="1492" t="s">
        <v>372</v>
      </c>
      <c r="C16" s="715">
        <v>2.1086955502722002</v>
      </c>
      <c r="D16" s="1482">
        <v>6.6738475106790096</v>
      </c>
      <c r="E16" s="1492" t="s">
        <v>213</v>
      </c>
    </row>
    <row r="17" spans="2:5" ht="10.5" hidden="1" customHeight="1">
      <c r="B17" s="1490">
        <v>43469</v>
      </c>
      <c r="C17" s="715"/>
      <c r="D17" s="1482"/>
      <c r="E17" s="1491">
        <v>43469</v>
      </c>
    </row>
    <row r="18" spans="2:5" ht="10.5" hidden="1" customHeight="1">
      <c r="B18" s="1492" t="s">
        <v>187</v>
      </c>
      <c r="C18" s="715">
        <v>7.2835565575847898</v>
      </c>
      <c r="D18" s="1482">
        <v>18.4220846791696</v>
      </c>
      <c r="E18" s="1492" t="s">
        <v>371</v>
      </c>
    </row>
    <row r="19" spans="2:5" ht="10.5" hidden="1" customHeight="1">
      <c r="B19" s="1492" t="s">
        <v>372</v>
      </c>
      <c r="C19" s="715">
        <v>1.9199223356286199</v>
      </c>
      <c r="D19" s="1482">
        <v>6.2708673600068696</v>
      </c>
      <c r="E19" s="1492" t="s">
        <v>213</v>
      </c>
    </row>
    <row r="20" spans="2:5" ht="10.5" hidden="1" customHeight="1">
      <c r="B20" s="1490">
        <v>43470</v>
      </c>
      <c r="C20" s="715"/>
      <c r="D20" s="1482"/>
      <c r="E20" s="1491">
        <v>43470</v>
      </c>
    </row>
    <row r="21" spans="2:5" ht="10.5" hidden="1" customHeight="1">
      <c r="B21" s="1492" t="s">
        <v>187</v>
      </c>
      <c r="C21" s="715">
        <v>8.0634565335777104</v>
      </c>
      <c r="D21" s="1482">
        <v>18.354390231396</v>
      </c>
      <c r="E21" s="1492" t="s">
        <v>371</v>
      </c>
    </row>
    <row r="22" spans="2:5" ht="10.5" hidden="1" customHeight="1">
      <c r="B22" s="1492" t="s">
        <v>372</v>
      </c>
      <c r="C22" s="715">
        <v>1.7257733148166798</v>
      </c>
      <c r="D22" s="1482">
        <v>7.7664344200580606</v>
      </c>
      <c r="E22" s="1492" t="s">
        <v>213</v>
      </c>
    </row>
    <row r="23" spans="2:5" ht="10.5" hidden="1" customHeight="1">
      <c r="B23" s="1490">
        <v>43471</v>
      </c>
      <c r="C23" s="715"/>
      <c r="D23" s="1482"/>
      <c r="E23" s="1491">
        <v>43471</v>
      </c>
    </row>
    <row r="24" spans="2:5" ht="10.5" hidden="1" customHeight="1">
      <c r="B24" s="1492" t="s">
        <v>187</v>
      </c>
      <c r="C24" s="715">
        <v>9.17696185540537</v>
      </c>
      <c r="D24" s="1482">
        <v>18.1101882582002</v>
      </c>
      <c r="E24" s="1492" t="s">
        <v>371</v>
      </c>
    </row>
    <row r="25" spans="2:5" ht="10.5" hidden="1" customHeight="1">
      <c r="B25" s="1492" t="s">
        <v>372</v>
      </c>
      <c r="C25" s="715">
        <v>1.17659426215979</v>
      </c>
      <c r="D25" s="1482">
        <v>5.2873916970415298</v>
      </c>
      <c r="E25" s="1492" t="s">
        <v>213</v>
      </c>
    </row>
    <row r="26" spans="2:5" ht="10.5" hidden="1" customHeight="1">
      <c r="B26" s="1490">
        <v>43472</v>
      </c>
      <c r="C26" s="715"/>
      <c r="D26" s="1482"/>
      <c r="E26" s="1491">
        <v>43472</v>
      </c>
    </row>
    <row r="27" spans="2:5" ht="10.5" hidden="1" customHeight="1">
      <c r="B27" s="1492" t="s">
        <v>187</v>
      </c>
      <c r="C27" s="715">
        <v>8.5500162208111394</v>
      </c>
      <c r="D27" s="1482">
        <v>17.771181581088001</v>
      </c>
      <c r="E27" s="1492" t="s">
        <v>371</v>
      </c>
    </row>
    <row r="28" spans="2:5" ht="10.5" hidden="1" customHeight="1">
      <c r="B28" s="1492" t="s">
        <v>372</v>
      </c>
      <c r="C28" s="715">
        <v>1.6245197650887702</v>
      </c>
      <c r="D28" s="1482">
        <v>5.23929423595676</v>
      </c>
      <c r="E28" s="1492" t="s">
        <v>213</v>
      </c>
    </row>
    <row r="29" spans="2:5" ht="10.5" hidden="1" customHeight="1">
      <c r="B29" s="1490">
        <v>43473</v>
      </c>
      <c r="C29" s="715"/>
      <c r="D29" s="1482"/>
      <c r="E29" s="1491">
        <v>43473</v>
      </c>
    </row>
    <row r="30" spans="2:5" ht="10.5" hidden="1" customHeight="1">
      <c r="B30" s="1492" t="s">
        <v>187</v>
      </c>
      <c r="C30" s="715">
        <v>8.3250088892515706</v>
      </c>
      <c r="D30" s="1482">
        <v>16.877089259292699</v>
      </c>
      <c r="E30" s="1492" t="s">
        <v>187</v>
      </c>
    </row>
    <row r="31" spans="2:5" ht="10.5" hidden="1" customHeight="1">
      <c r="B31" s="1492" t="s">
        <v>372</v>
      </c>
      <c r="C31" s="715">
        <v>1.2393760507771299</v>
      </c>
      <c r="D31" s="1482">
        <v>5.9161768999769597</v>
      </c>
      <c r="E31" s="1492" t="s">
        <v>372</v>
      </c>
    </row>
    <row r="32" spans="2:5" ht="10.5" hidden="1" customHeight="1">
      <c r="B32" s="1490">
        <v>43474</v>
      </c>
      <c r="C32" s="715"/>
      <c r="D32" s="1482"/>
      <c r="E32" s="1491">
        <v>43474</v>
      </c>
    </row>
    <row r="33" spans="2:5" ht="10.5" hidden="1" customHeight="1">
      <c r="B33" s="1492" t="s">
        <v>187</v>
      </c>
      <c r="C33" s="715">
        <v>7.7565583471179798</v>
      </c>
      <c r="D33" s="1482">
        <v>17.217579225133999</v>
      </c>
      <c r="E33" s="1492" t="s">
        <v>371</v>
      </c>
    </row>
    <row r="34" spans="2:5" ht="10.5" hidden="1" customHeight="1">
      <c r="B34" s="1492" t="s">
        <v>372</v>
      </c>
      <c r="C34" s="715">
        <v>1.6382996091606601</v>
      </c>
      <c r="D34" s="1482">
        <v>5.7210269829543199</v>
      </c>
      <c r="E34" s="1492" t="s">
        <v>213</v>
      </c>
    </row>
    <row r="35" spans="2:5" ht="10.5" hidden="1" customHeight="1">
      <c r="B35" s="1490">
        <v>43475</v>
      </c>
      <c r="C35" s="715"/>
      <c r="D35" s="1482"/>
      <c r="E35" s="1491">
        <v>43475</v>
      </c>
    </row>
    <row r="36" spans="2:5" ht="10.5" hidden="1" customHeight="1">
      <c r="B36" s="1492" t="s">
        <v>187</v>
      </c>
      <c r="C36" s="715">
        <v>8.0509338654700802</v>
      </c>
      <c r="D36" s="1482">
        <v>17.313918109880401</v>
      </c>
      <c r="E36" s="1492" t="s">
        <v>371</v>
      </c>
    </row>
    <row r="37" spans="2:5" ht="10.5" hidden="1" customHeight="1">
      <c r="B37" s="1492" t="s">
        <v>372</v>
      </c>
      <c r="C37" s="715">
        <v>1.2301330597273201</v>
      </c>
      <c r="D37" s="1482">
        <v>5.3389482132214399</v>
      </c>
      <c r="E37" s="1492" t="s">
        <v>213</v>
      </c>
    </row>
    <row r="38" spans="2:5" ht="10.5" hidden="1" customHeight="1">
      <c r="B38" s="1490">
        <v>43476</v>
      </c>
      <c r="C38" s="715"/>
      <c r="D38" s="1482"/>
      <c r="E38" s="1491">
        <v>43476</v>
      </c>
    </row>
    <row r="39" spans="2:5" ht="10.5" hidden="1" customHeight="1">
      <c r="B39" s="1492" t="s">
        <v>187</v>
      </c>
      <c r="C39" s="715">
        <v>8.2428389203660899</v>
      </c>
      <c r="D39" s="1482">
        <v>17.8930663841289</v>
      </c>
      <c r="E39" s="1492" t="s">
        <v>371</v>
      </c>
    </row>
    <row r="40" spans="2:5" ht="10.5" hidden="1" customHeight="1">
      <c r="B40" s="1492" t="s">
        <v>372</v>
      </c>
      <c r="C40" s="715">
        <v>1.4867544834161199</v>
      </c>
      <c r="D40" s="1482">
        <v>5.5234333773663602</v>
      </c>
      <c r="E40" s="1492" t="s">
        <v>213</v>
      </c>
    </row>
    <row r="41" spans="2:5" ht="10.5" hidden="1" customHeight="1">
      <c r="B41" s="1490">
        <v>43477</v>
      </c>
      <c r="C41" s="715"/>
      <c r="D41" s="1482"/>
      <c r="E41" s="1491">
        <v>43477</v>
      </c>
    </row>
    <row r="42" spans="2:5" ht="10.5" hidden="1" customHeight="1">
      <c r="B42" s="1492" t="s">
        <v>187</v>
      </c>
      <c r="C42" s="715">
        <v>7.5247787256899707</v>
      </c>
      <c r="D42" s="1482">
        <v>16.148499991607302</v>
      </c>
      <c r="E42" s="1492" t="s">
        <v>371</v>
      </c>
    </row>
    <row r="43" spans="2:5" ht="10.5" hidden="1" customHeight="1">
      <c r="B43" s="1492" t="s">
        <v>372</v>
      </c>
      <c r="C43" s="715">
        <v>1.20589072416816</v>
      </c>
      <c r="D43" s="1482">
        <v>3.47154246115148</v>
      </c>
      <c r="E43" s="1492" t="s">
        <v>213</v>
      </c>
    </row>
    <row r="44" spans="2:5" ht="12" hidden="1" customHeight="1">
      <c r="B44" s="1490">
        <v>43831</v>
      </c>
      <c r="C44" s="715"/>
      <c r="D44" s="1482"/>
      <c r="E44" s="1491">
        <v>43831</v>
      </c>
    </row>
    <row r="45" spans="2:5" ht="12" hidden="1" customHeight="1">
      <c r="B45" s="1492" t="s">
        <v>187</v>
      </c>
      <c r="C45" s="715">
        <v>8.3475755687774189</v>
      </c>
      <c r="D45" s="1482">
        <v>14.668835307017</v>
      </c>
      <c r="E45" s="1492" t="s">
        <v>371</v>
      </c>
    </row>
    <row r="46" spans="2:5" ht="12" hidden="1" customHeight="1">
      <c r="B46" s="1492" t="s">
        <v>372</v>
      </c>
      <c r="C46" s="715">
        <v>1.4504183922695602</v>
      </c>
      <c r="D46" s="1482">
        <v>5.0018797721393202</v>
      </c>
      <c r="E46" s="1492" t="s">
        <v>213</v>
      </c>
    </row>
    <row r="47" spans="2:5" ht="12" hidden="1" customHeight="1">
      <c r="B47" s="1490">
        <v>43832</v>
      </c>
      <c r="C47" s="715"/>
      <c r="D47" s="1482"/>
      <c r="E47" s="1491">
        <v>43832</v>
      </c>
    </row>
    <row r="48" spans="2:5" ht="12" hidden="1" customHeight="1">
      <c r="B48" s="1492" t="s">
        <v>187</v>
      </c>
      <c r="C48" s="715">
        <v>8.3800000000000008</v>
      </c>
      <c r="D48" s="1482">
        <v>17.420000000000002</v>
      </c>
      <c r="E48" s="1492" t="s">
        <v>371</v>
      </c>
    </row>
    <row r="49" spans="2:7" ht="12" hidden="1" customHeight="1">
      <c r="B49" s="1492" t="s">
        <v>372</v>
      </c>
      <c r="C49" s="715">
        <v>1.44</v>
      </c>
      <c r="D49" s="1482">
        <v>5.03</v>
      </c>
      <c r="E49" s="1492" t="s">
        <v>213</v>
      </c>
    </row>
    <row r="50" spans="2:7" ht="12" hidden="1" customHeight="1">
      <c r="B50" s="1490">
        <v>43833</v>
      </c>
      <c r="C50" s="715"/>
      <c r="D50" s="1482"/>
      <c r="E50" s="1491">
        <v>43833</v>
      </c>
    </row>
    <row r="51" spans="2:7" ht="12" hidden="1" customHeight="1">
      <c r="B51" s="1492" t="s">
        <v>187</v>
      </c>
      <c r="C51" s="715">
        <v>7.91</v>
      </c>
      <c r="D51" s="1482">
        <v>16.39</v>
      </c>
      <c r="E51" s="1492" t="s">
        <v>371</v>
      </c>
    </row>
    <row r="52" spans="2:7" ht="12" hidden="1" customHeight="1">
      <c r="B52" s="1492" t="s">
        <v>372</v>
      </c>
      <c r="C52" s="715">
        <v>1.17</v>
      </c>
      <c r="D52" s="1482">
        <v>5.5</v>
      </c>
      <c r="E52" s="1492" t="s">
        <v>213</v>
      </c>
    </row>
    <row r="53" spans="2:7" ht="12" hidden="1" customHeight="1">
      <c r="B53" s="1490">
        <v>43834</v>
      </c>
      <c r="C53" s="715"/>
      <c r="D53" s="1482"/>
      <c r="E53" s="1491">
        <v>43834</v>
      </c>
    </row>
    <row r="54" spans="2:7" ht="12" hidden="1" customHeight="1">
      <c r="B54" s="1492" t="s">
        <v>187</v>
      </c>
      <c r="C54" s="715">
        <v>6.74</v>
      </c>
      <c r="D54" s="1482">
        <v>15.03</v>
      </c>
      <c r="E54" s="1492" t="s">
        <v>371</v>
      </c>
    </row>
    <row r="55" spans="2:7" ht="12" hidden="1" customHeight="1">
      <c r="B55" s="1492" t="s">
        <v>372</v>
      </c>
      <c r="C55" s="715">
        <v>1.32</v>
      </c>
      <c r="D55" s="1482">
        <v>5.81</v>
      </c>
      <c r="E55" s="1492" t="s">
        <v>213</v>
      </c>
    </row>
    <row r="56" spans="2:7" ht="12" hidden="1" customHeight="1">
      <c r="B56" s="1490">
        <v>43835</v>
      </c>
      <c r="C56" s="715"/>
      <c r="D56" s="1482"/>
      <c r="E56" s="1491">
        <v>43835</v>
      </c>
    </row>
    <row r="57" spans="2:7" ht="12" hidden="1" customHeight="1">
      <c r="B57" s="1492" t="s">
        <v>187</v>
      </c>
      <c r="C57" s="715">
        <v>6.19</v>
      </c>
      <c r="D57" s="1482">
        <v>11.31</v>
      </c>
      <c r="E57" s="1492" t="s">
        <v>371</v>
      </c>
    </row>
    <row r="58" spans="2:7" ht="12" hidden="1" customHeight="1">
      <c r="B58" s="1492" t="s">
        <v>372</v>
      </c>
      <c r="C58" s="715">
        <v>1.05</v>
      </c>
      <c r="D58" s="1482">
        <v>4.63</v>
      </c>
      <c r="E58" s="1492" t="s">
        <v>213</v>
      </c>
    </row>
    <row r="59" spans="2:7" ht="12" hidden="1" customHeight="1">
      <c r="B59" s="1490">
        <v>43836</v>
      </c>
      <c r="C59" s="715"/>
      <c r="D59" s="1482"/>
      <c r="E59" s="1491">
        <v>43836</v>
      </c>
    </row>
    <row r="60" spans="2:7" ht="12" hidden="1" customHeight="1">
      <c r="B60" s="1492" t="s">
        <v>187</v>
      </c>
      <c r="C60" s="715">
        <v>7.71</v>
      </c>
      <c r="D60" s="1482">
        <v>14.16</v>
      </c>
      <c r="E60" s="1492" t="s">
        <v>371</v>
      </c>
    </row>
    <row r="61" spans="2:7" ht="12" hidden="1" customHeight="1">
      <c r="B61" s="1492" t="s">
        <v>372</v>
      </c>
      <c r="C61" s="715">
        <v>3.22</v>
      </c>
      <c r="D61" s="1482">
        <v>3.97</v>
      </c>
      <c r="E61" s="1492" t="s">
        <v>213</v>
      </c>
    </row>
    <row r="62" spans="2:7" ht="12" hidden="1" customHeight="1">
      <c r="B62" s="1490">
        <v>43837</v>
      </c>
      <c r="C62" s="715"/>
      <c r="D62" s="1482"/>
      <c r="E62" s="1491">
        <v>43837</v>
      </c>
      <c r="G62" s="1483"/>
    </row>
    <row r="63" spans="2:7" ht="12" hidden="1" customHeight="1">
      <c r="B63" s="1492" t="s">
        <v>187</v>
      </c>
      <c r="C63" s="715">
        <v>9.09</v>
      </c>
      <c r="D63" s="1482">
        <v>17.239999999999998</v>
      </c>
      <c r="E63" s="1492" t="s">
        <v>371</v>
      </c>
    </row>
    <row r="64" spans="2:7" ht="12" hidden="1" customHeight="1">
      <c r="B64" s="1492" t="s">
        <v>372</v>
      </c>
      <c r="C64" s="715">
        <v>0.82</v>
      </c>
      <c r="D64" s="1482">
        <v>4.76</v>
      </c>
      <c r="E64" s="1492" t="s">
        <v>213</v>
      </c>
    </row>
    <row r="65" spans="2:5" ht="12" hidden="1" customHeight="1">
      <c r="B65" s="1490">
        <v>43838</v>
      </c>
      <c r="C65" s="715"/>
      <c r="D65" s="1482"/>
      <c r="E65" s="1491">
        <v>43838</v>
      </c>
    </row>
    <row r="66" spans="2:5" ht="12" hidden="1" customHeight="1">
      <c r="B66" s="1492" t="s">
        <v>187</v>
      </c>
      <c r="C66" s="715">
        <v>8.61</v>
      </c>
      <c r="D66" s="1482">
        <v>16.37</v>
      </c>
      <c r="E66" s="1492" t="s">
        <v>371</v>
      </c>
    </row>
    <row r="67" spans="2:5" ht="12" hidden="1" customHeight="1">
      <c r="B67" s="1492" t="s">
        <v>372</v>
      </c>
      <c r="C67" s="715">
        <v>0.77</v>
      </c>
      <c r="D67" s="1482">
        <v>5.78</v>
      </c>
      <c r="E67" s="1492" t="s">
        <v>213</v>
      </c>
    </row>
    <row r="68" spans="2:5" ht="12" hidden="1" customHeight="1">
      <c r="B68" s="1490">
        <v>43839</v>
      </c>
      <c r="C68" s="715"/>
      <c r="D68" s="1482"/>
      <c r="E68" s="1491">
        <v>43838</v>
      </c>
    </row>
    <row r="69" spans="2:5" ht="12" hidden="1" customHeight="1">
      <c r="B69" s="1492" t="s">
        <v>187</v>
      </c>
      <c r="C69" s="715">
        <v>8.61</v>
      </c>
      <c r="D69" s="1482">
        <v>17.53</v>
      </c>
      <c r="E69" s="1492" t="s">
        <v>371</v>
      </c>
    </row>
    <row r="70" spans="2:5" ht="12" hidden="1" customHeight="1">
      <c r="B70" s="1492" t="s">
        <v>372</v>
      </c>
      <c r="C70" s="715">
        <v>1.62</v>
      </c>
      <c r="D70" s="1482">
        <v>5.81</v>
      </c>
      <c r="E70" s="1492" t="s">
        <v>213</v>
      </c>
    </row>
    <row r="71" spans="2:5" ht="12" hidden="1" customHeight="1">
      <c r="B71" s="1490">
        <v>43840</v>
      </c>
      <c r="C71" s="715"/>
      <c r="D71" s="1482"/>
      <c r="E71" s="1491">
        <v>43840</v>
      </c>
    </row>
    <row r="72" spans="2:5" ht="12" hidden="1" customHeight="1">
      <c r="B72" s="1492" t="s">
        <v>187</v>
      </c>
      <c r="C72" s="715">
        <v>7.41</v>
      </c>
      <c r="D72" s="1482">
        <v>17.170000000000002</v>
      </c>
      <c r="E72" s="1492" t="s">
        <v>371</v>
      </c>
    </row>
    <row r="73" spans="2:5" ht="12" hidden="1" customHeight="1">
      <c r="B73" s="1492" t="s">
        <v>372</v>
      </c>
      <c r="C73" s="715">
        <v>0.84</v>
      </c>
      <c r="D73" s="1482">
        <v>4.8899999999999997</v>
      </c>
      <c r="E73" s="1492" t="s">
        <v>213</v>
      </c>
    </row>
    <row r="74" spans="2:5" ht="12" hidden="1" customHeight="1">
      <c r="B74" s="1490">
        <v>43841</v>
      </c>
      <c r="C74" s="1481"/>
      <c r="D74" s="1481"/>
      <c r="E74" s="1491">
        <v>43841</v>
      </c>
    </row>
    <row r="75" spans="2:5" ht="12" hidden="1" customHeight="1">
      <c r="B75" s="1492" t="s">
        <v>187</v>
      </c>
      <c r="C75" s="1481">
        <v>7.84</v>
      </c>
      <c r="D75" s="1481">
        <v>14.95</v>
      </c>
      <c r="E75" s="1492" t="s">
        <v>371</v>
      </c>
    </row>
    <row r="76" spans="2:5" ht="12" hidden="1" customHeight="1">
      <c r="B76" s="1492" t="s">
        <v>372</v>
      </c>
      <c r="C76" s="1481">
        <v>0.73</v>
      </c>
      <c r="D76" s="1481">
        <v>5.17</v>
      </c>
      <c r="E76" s="1492" t="s">
        <v>213</v>
      </c>
    </row>
    <row r="77" spans="2:5" ht="12" hidden="1" customHeight="1">
      <c r="B77" s="1490">
        <v>43842</v>
      </c>
      <c r="C77" s="1481"/>
      <c r="D77" s="1481"/>
      <c r="E77" s="1490">
        <v>43842</v>
      </c>
    </row>
    <row r="78" spans="2:5" ht="12" hidden="1" customHeight="1">
      <c r="B78" s="1492" t="s">
        <v>187</v>
      </c>
      <c r="C78" s="1481">
        <v>8.01</v>
      </c>
      <c r="D78" s="1481">
        <v>14.13</v>
      </c>
      <c r="E78" s="1492" t="s">
        <v>371</v>
      </c>
    </row>
    <row r="79" spans="2:5" ht="12" hidden="1" customHeight="1">
      <c r="B79" s="1492" t="s">
        <v>372</v>
      </c>
      <c r="C79" s="1481">
        <v>2.31</v>
      </c>
      <c r="D79" s="1481">
        <v>5.4</v>
      </c>
      <c r="E79" s="1492" t="s">
        <v>213</v>
      </c>
    </row>
    <row r="80" spans="2:5" ht="12" customHeight="1">
      <c r="B80" s="1490">
        <v>44197</v>
      </c>
      <c r="C80" s="1481"/>
      <c r="D80" s="1481"/>
      <c r="E80" s="1490">
        <v>44197</v>
      </c>
    </row>
    <row r="81" spans="2:9" ht="12" customHeight="1">
      <c r="B81" s="1492" t="s">
        <v>187</v>
      </c>
      <c r="C81" s="1481">
        <v>8.24</v>
      </c>
      <c r="D81" s="1481">
        <v>15.65</v>
      </c>
      <c r="E81" s="1492" t="s">
        <v>371</v>
      </c>
    </row>
    <row r="82" spans="2:9" ht="12" customHeight="1">
      <c r="B82" s="1492" t="s">
        <v>372</v>
      </c>
      <c r="C82" s="1481">
        <v>1.1499999999999999</v>
      </c>
      <c r="D82" s="1481">
        <v>3.43</v>
      </c>
      <c r="E82" s="1492" t="s">
        <v>213</v>
      </c>
    </row>
    <row r="83" spans="2:9" ht="12" customHeight="1">
      <c r="B83" s="1490">
        <v>44198</v>
      </c>
      <c r="C83" s="1481"/>
      <c r="D83" s="1481"/>
      <c r="E83" s="1490">
        <v>44198</v>
      </c>
    </row>
    <row r="84" spans="2:9" ht="12" customHeight="1">
      <c r="B84" s="1492" t="s">
        <v>187</v>
      </c>
      <c r="C84" s="1481">
        <v>6.78</v>
      </c>
      <c r="D84" s="1481">
        <v>17</v>
      </c>
      <c r="E84" s="1492" t="s">
        <v>371</v>
      </c>
    </row>
    <row r="85" spans="2:9" ht="12" customHeight="1">
      <c r="B85" s="1492" t="s">
        <v>372</v>
      </c>
      <c r="C85" s="1481">
        <v>1.55</v>
      </c>
      <c r="D85" s="1481">
        <v>3.97</v>
      </c>
      <c r="E85" s="1492" t="s">
        <v>213</v>
      </c>
    </row>
    <row r="86" spans="2:9" ht="12" customHeight="1">
      <c r="B86" s="1490">
        <v>44199</v>
      </c>
      <c r="C86" s="1481"/>
      <c r="D86" s="1481"/>
      <c r="E86" s="1490">
        <v>44199</v>
      </c>
    </row>
    <row r="87" spans="2:9" ht="12" customHeight="1">
      <c r="B87" s="1492" t="s">
        <v>187</v>
      </c>
      <c r="C87" s="1481">
        <v>8.18</v>
      </c>
      <c r="D87" s="1481">
        <v>17.62</v>
      </c>
      <c r="E87" s="1492" t="s">
        <v>371</v>
      </c>
    </row>
    <row r="88" spans="2:9" ht="12" customHeight="1">
      <c r="B88" s="1492" t="s">
        <v>372</v>
      </c>
      <c r="C88" s="1481">
        <v>1.07</v>
      </c>
      <c r="D88" s="1481">
        <v>5.07</v>
      </c>
      <c r="E88" s="1492" t="s">
        <v>213</v>
      </c>
    </row>
    <row r="89" spans="2:9" ht="12" customHeight="1">
      <c r="B89" s="1490">
        <v>44200</v>
      </c>
      <c r="C89" s="1481"/>
      <c r="D89" s="1481"/>
      <c r="E89" s="1490">
        <v>44200</v>
      </c>
    </row>
    <row r="90" spans="2:9" ht="12" customHeight="1">
      <c r="B90" s="1492" t="s">
        <v>187</v>
      </c>
      <c r="C90" s="1481">
        <v>7.62</v>
      </c>
      <c r="D90" s="1481">
        <v>17.18</v>
      </c>
      <c r="E90" s="1492" t="s">
        <v>371</v>
      </c>
    </row>
    <row r="91" spans="2:9" ht="12" customHeight="1">
      <c r="B91" s="1492" t="s">
        <v>372</v>
      </c>
      <c r="C91" s="1481">
        <v>0.84</v>
      </c>
      <c r="D91" s="1481">
        <v>5.83</v>
      </c>
      <c r="E91" s="1492" t="s">
        <v>213</v>
      </c>
    </row>
    <row r="92" spans="2:9" ht="12" customHeight="1">
      <c r="B92" s="1490">
        <v>44201</v>
      </c>
      <c r="C92" s="1481"/>
      <c r="D92" s="1481"/>
      <c r="E92" s="1490">
        <v>44201</v>
      </c>
    </row>
    <row r="93" spans="2:9" ht="12" customHeight="1">
      <c r="B93" s="1492" t="s">
        <v>187</v>
      </c>
      <c r="C93" s="1481">
        <v>8.0500000000000007</v>
      </c>
      <c r="D93" s="1481">
        <v>17.61</v>
      </c>
      <c r="E93" s="1492" t="s">
        <v>371</v>
      </c>
      <c r="I93" s="1484"/>
    </row>
    <row r="94" spans="2:9" ht="12" customHeight="1">
      <c r="B94" s="1492" t="s">
        <v>372</v>
      </c>
      <c r="C94" s="1481">
        <v>1.18</v>
      </c>
      <c r="D94" s="1481">
        <v>5.38</v>
      </c>
      <c r="E94" s="1492" t="s">
        <v>213</v>
      </c>
    </row>
    <row r="95" spans="2:9" ht="12" customHeight="1">
      <c r="B95" s="1490">
        <v>44202</v>
      </c>
      <c r="C95" s="1481"/>
      <c r="D95" s="1481"/>
      <c r="E95" s="1490">
        <v>44202</v>
      </c>
    </row>
    <row r="96" spans="2:9" ht="12" customHeight="1">
      <c r="B96" s="1492" t="s">
        <v>187</v>
      </c>
      <c r="C96" s="1481">
        <v>8.83</v>
      </c>
      <c r="D96" s="1481">
        <v>17.57</v>
      </c>
      <c r="E96" s="1492" t="s">
        <v>371</v>
      </c>
    </row>
    <row r="97" spans="2:5" ht="12" customHeight="1">
      <c r="B97" s="1492" t="s">
        <v>372</v>
      </c>
      <c r="C97" s="1481">
        <v>0.68</v>
      </c>
      <c r="D97" s="1481">
        <v>5.21</v>
      </c>
      <c r="E97" s="1492" t="s">
        <v>213</v>
      </c>
    </row>
    <row r="98" spans="2:5" ht="12" customHeight="1">
      <c r="B98" s="1490">
        <v>44203</v>
      </c>
      <c r="C98" s="1481"/>
      <c r="D98" s="1481"/>
      <c r="E98" s="1490">
        <v>44203</v>
      </c>
    </row>
    <row r="99" spans="2:5" ht="12" customHeight="1">
      <c r="B99" s="1492" t="s">
        <v>187</v>
      </c>
      <c r="C99" s="1481">
        <v>8.9600000000000009</v>
      </c>
      <c r="D99" s="1481">
        <v>17.38</v>
      </c>
      <c r="E99" s="1492" t="s">
        <v>371</v>
      </c>
    </row>
    <row r="100" spans="2:5" ht="12" customHeight="1">
      <c r="B100" s="1492" t="s">
        <v>372</v>
      </c>
      <c r="C100" s="1481">
        <v>1.06</v>
      </c>
      <c r="D100" s="1481">
        <v>6.02</v>
      </c>
      <c r="E100" s="1492" t="s">
        <v>213</v>
      </c>
    </row>
    <row r="101" spans="2:5" ht="12" customHeight="1">
      <c r="B101" s="1490">
        <v>44204</v>
      </c>
      <c r="C101" s="1481"/>
      <c r="D101" s="1481"/>
      <c r="E101" s="1490">
        <v>44204</v>
      </c>
    </row>
    <row r="102" spans="2:5" ht="12" customHeight="1">
      <c r="B102" s="1492" t="s">
        <v>187</v>
      </c>
      <c r="C102" s="1481">
        <v>8.0399999999999991</v>
      </c>
      <c r="D102" s="1481">
        <v>17.579999999999998</v>
      </c>
      <c r="E102" s="1492" t="s">
        <v>371</v>
      </c>
    </row>
    <row r="103" spans="2:5" ht="12" customHeight="1">
      <c r="B103" s="1492" t="s">
        <v>372</v>
      </c>
      <c r="C103" s="1481">
        <v>1.19</v>
      </c>
      <c r="D103" s="1481">
        <v>5.72</v>
      </c>
      <c r="E103" s="1492" t="s">
        <v>213</v>
      </c>
    </row>
    <row r="104" spans="2:5" ht="12" customHeight="1">
      <c r="B104" s="1490">
        <v>44205</v>
      </c>
      <c r="C104" s="1481"/>
      <c r="D104" s="1481"/>
      <c r="E104" s="1490">
        <v>44205</v>
      </c>
    </row>
    <row r="105" spans="2:5" ht="12" customHeight="1">
      <c r="B105" s="1492" t="s">
        <v>187</v>
      </c>
      <c r="C105" s="1481">
        <v>8.6300000000000008</v>
      </c>
      <c r="D105" s="1481">
        <v>17.84</v>
      </c>
      <c r="E105" s="1492" t="s">
        <v>371</v>
      </c>
    </row>
    <row r="106" spans="2:5" ht="10.5" customHeight="1">
      <c r="B106" s="1492" t="s">
        <v>372</v>
      </c>
      <c r="C106" s="1481">
        <v>0.9</v>
      </c>
      <c r="D106" s="1481">
        <v>4.55</v>
      </c>
      <c r="E106" s="1492" t="s">
        <v>213</v>
      </c>
    </row>
    <row r="107" spans="2:5" ht="10.5" customHeight="1">
      <c r="B107" s="1490">
        <v>44206</v>
      </c>
      <c r="C107" s="1481"/>
      <c r="D107" s="1481"/>
      <c r="E107" s="1490">
        <v>44206</v>
      </c>
    </row>
    <row r="108" spans="2:5" ht="10.5" customHeight="1">
      <c r="B108" s="1492" t="s">
        <v>187</v>
      </c>
      <c r="C108" s="1481">
        <v>7.89</v>
      </c>
      <c r="D108" s="1481">
        <v>17.739999999999998</v>
      </c>
      <c r="E108" s="1492" t="s">
        <v>371</v>
      </c>
    </row>
    <row r="109" spans="2:5" ht="10.5" customHeight="1">
      <c r="B109" s="1492" t="s">
        <v>372</v>
      </c>
      <c r="C109" s="1481">
        <v>0.89</v>
      </c>
      <c r="D109" s="1481">
        <v>5.52</v>
      </c>
      <c r="E109" s="1492" t="s">
        <v>213</v>
      </c>
    </row>
    <row r="110" spans="2:5" ht="10.5" customHeight="1">
      <c r="B110" s="1490">
        <v>44207</v>
      </c>
      <c r="C110" s="1481"/>
      <c r="D110" s="1481"/>
      <c r="E110" s="1490">
        <v>44207</v>
      </c>
    </row>
    <row r="111" spans="2:5" ht="10.5" customHeight="1">
      <c r="B111" s="1492" t="s">
        <v>187</v>
      </c>
      <c r="C111" s="1481">
        <v>8.4852166087593996</v>
      </c>
      <c r="D111" s="1481">
        <v>17.126320129385</v>
      </c>
      <c r="E111" s="1492" t="s">
        <v>371</v>
      </c>
    </row>
    <row r="112" spans="2:5" ht="10.5" customHeight="1">
      <c r="B112" s="1492" t="s">
        <v>372</v>
      </c>
      <c r="C112" s="1481">
        <v>0.869302402393618</v>
      </c>
      <c r="D112" s="1481">
        <v>4.73917110856347</v>
      </c>
      <c r="E112" s="1492" t="s">
        <v>213</v>
      </c>
    </row>
    <row r="113" spans="2:5" ht="10.5" customHeight="1">
      <c r="B113" s="1490">
        <v>44208</v>
      </c>
      <c r="C113" s="1481"/>
      <c r="D113" s="1481"/>
      <c r="E113" s="1490">
        <v>44208</v>
      </c>
    </row>
    <row r="114" spans="2:5" ht="10.5" customHeight="1">
      <c r="B114" s="1492" t="s">
        <v>187</v>
      </c>
      <c r="C114" s="1481">
        <v>8.4499999999999993</v>
      </c>
      <c r="D114" s="1481">
        <v>16.96</v>
      </c>
      <c r="E114" s="1492" t="s">
        <v>371</v>
      </c>
    </row>
    <row r="115" spans="2:5" ht="10.5" customHeight="1">
      <c r="B115" s="1492" t="s">
        <v>372</v>
      </c>
      <c r="C115" s="1481">
        <v>1.01</v>
      </c>
      <c r="D115" s="1481">
        <v>5.5</v>
      </c>
      <c r="E115" s="1492" t="s">
        <v>213</v>
      </c>
    </row>
    <row r="116" spans="2:5" ht="10.5" customHeight="1">
      <c r="B116" s="1490">
        <v>44562</v>
      </c>
      <c r="C116" s="1481"/>
      <c r="D116" s="1481"/>
      <c r="E116" s="1490">
        <v>44562</v>
      </c>
    </row>
    <row r="117" spans="2:5" ht="10.5" customHeight="1">
      <c r="B117" s="1492" t="s">
        <v>187</v>
      </c>
      <c r="C117" s="1481">
        <v>9.0734050578463101</v>
      </c>
      <c r="D117" s="1481">
        <v>16.430556473376999</v>
      </c>
      <c r="E117" s="1492" t="s">
        <v>371</v>
      </c>
    </row>
    <row r="118" spans="2:5" ht="10.5" customHeight="1">
      <c r="B118" s="1492" t="s">
        <v>372</v>
      </c>
      <c r="C118" s="1481">
        <v>1.34607710298501</v>
      </c>
      <c r="D118" s="1481">
        <v>5.0647932762014198</v>
      </c>
      <c r="E118" s="1492" t="s">
        <v>213</v>
      </c>
    </row>
    <row r="119" spans="2:5" ht="10.5" customHeight="1">
      <c r="B119" s="1490">
        <v>44563</v>
      </c>
      <c r="C119" s="1481"/>
      <c r="D119" s="1481"/>
      <c r="E119" s="1490">
        <v>44563</v>
      </c>
    </row>
    <row r="120" spans="2:5" ht="10.5" customHeight="1">
      <c r="B120" s="1492" t="s">
        <v>187</v>
      </c>
      <c r="C120" s="1481">
        <v>6.41</v>
      </c>
      <c r="D120" s="1481">
        <v>17.55</v>
      </c>
      <c r="E120" s="1492" t="s">
        <v>371</v>
      </c>
    </row>
    <row r="121" spans="2:5" ht="10.5" customHeight="1">
      <c r="B121" s="1492" t="s">
        <v>372</v>
      </c>
      <c r="C121" s="1481">
        <v>1.38</v>
      </c>
      <c r="D121" s="1481">
        <v>4.55</v>
      </c>
      <c r="E121" s="1492" t="s">
        <v>213</v>
      </c>
    </row>
    <row r="122" spans="2:5" ht="10.5" customHeight="1">
      <c r="B122" s="1490">
        <v>44564</v>
      </c>
      <c r="C122" s="1481"/>
      <c r="D122" s="1481"/>
      <c r="E122" s="1490">
        <v>44564</v>
      </c>
    </row>
    <row r="123" spans="2:5" ht="10.5" customHeight="1">
      <c r="B123" s="1492" t="s">
        <v>187</v>
      </c>
      <c r="C123" s="1481">
        <v>8.5260057543494501</v>
      </c>
      <c r="D123" s="1481">
        <v>16.4929505198802</v>
      </c>
      <c r="E123" s="1492" t="s">
        <v>371</v>
      </c>
    </row>
    <row r="124" spans="2:5" ht="10.5" customHeight="1">
      <c r="B124" s="1492" t="s">
        <v>372</v>
      </c>
      <c r="C124" s="1481">
        <v>1.40290192566995</v>
      </c>
      <c r="D124" s="1481">
        <v>4.7976959432738298</v>
      </c>
      <c r="E124" s="1492" t="s">
        <v>213</v>
      </c>
    </row>
    <row r="125" spans="2:5" ht="10.5" customHeight="1">
      <c r="B125" s="1490">
        <v>44565</v>
      </c>
      <c r="C125" s="1481"/>
      <c r="D125" s="1481"/>
      <c r="E125" s="1490">
        <v>44565</v>
      </c>
    </row>
    <row r="126" spans="2:5" ht="10.5" customHeight="1">
      <c r="B126" s="1492" t="s">
        <v>187</v>
      </c>
      <c r="C126" s="1481">
        <v>8.7200000000000006</v>
      </c>
      <c r="D126" s="1481">
        <v>17.11</v>
      </c>
      <c r="E126" s="1492" t="s">
        <v>371</v>
      </c>
    </row>
    <row r="127" spans="2:5" ht="10.5" customHeight="1">
      <c r="B127" s="1492" t="s">
        <v>372</v>
      </c>
      <c r="C127" s="1481">
        <v>1.31</v>
      </c>
      <c r="D127" s="1481">
        <v>4.71</v>
      </c>
      <c r="E127" s="1492" t="s">
        <v>213</v>
      </c>
    </row>
    <row r="128" spans="2:5" ht="10.5" customHeight="1">
      <c r="B128" s="1490">
        <v>44566</v>
      </c>
      <c r="C128" s="1481"/>
      <c r="D128" s="1481"/>
      <c r="E128" s="1490">
        <v>44566</v>
      </c>
    </row>
    <row r="129" spans="2:5" ht="10.5" customHeight="1">
      <c r="B129" s="1492" t="s">
        <v>187</v>
      </c>
      <c r="C129" s="1481">
        <v>8.68</v>
      </c>
      <c r="D129" s="1481">
        <v>16.34</v>
      </c>
      <c r="E129" s="1492" t="s">
        <v>371</v>
      </c>
    </row>
    <row r="130" spans="2:5" ht="10.5" customHeight="1">
      <c r="B130" s="1492" t="s">
        <v>372</v>
      </c>
      <c r="C130" s="1481">
        <v>0.8</v>
      </c>
      <c r="D130" s="1481">
        <v>4.8499999999999996</v>
      </c>
      <c r="E130" s="1492" t="s">
        <v>213</v>
      </c>
    </row>
    <row r="131" spans="2:5" ht="10.5" customHeight="1">
      <c r="B131" s="1490">
        <v>44567</v>
      </c>
      <c r="C131" s="1481"/>
      <c r="D131" s="1481"/>
      <c r="E131" s="1490">
        <v>44567</v>
      </c>
    </row>
    <row r="132" spans="2:5" ht="10.5" customHeight="1">
      <c r="B132" s="1492" t="s">
        <v>187</v>
      </c>
      <c r="C132" s="1481">
        <v>8.77</v>
      </c>
      <c r="D132" s="1481">
        <v>16.940000000000001</v>
      </c>
      <c r="E132" s="1492" t="s">
        <v>371</v>
      </c>
    </row>
    <row r="133" spans="2:5" ht="10.5" customHeight="1">
      <c r="B133" s="1492" t="s">
        <v>372</v>
      </c>
      <c r="C133" s="1481">
        <v>0.95</v>
      </c>
      <c r="D133" s="1481">
        <v>4.53</v>
      </c>
      <c r="E133" s="1492" t="s">
        <v>213</v>
      </c>
    </row>
    <row r="134" spans="2:5" ht="10.5" customHeight="1">
      <c r="B134" s="1490">
        <v>44568</v>
      </c>
      <c r="C134" s="1481"/>
      <c r="D134" s="1481"/>
      <c r="E134" s="1490">
        <v>44568</v>
      </c>
    </row>
    <row r="135" spans="2:5" ht="10.5" customHeight="1">
      <c r="B135" s="1492" t="s">
        <v>187</v>
      </c>
      <c r="C135" s="1481">
        <v>8.15</v>
      </c>
      <c r="D135" s="1481">
        <v>16.170000000000002</v>
      </c>
      <c r="E135" s="1492" t="s">
        <v>371</v>
      </c>
    </row>
    <row r="136" spans="2:5" ht="10.5" customHeight="1">
      <c r="B136" s="1492" t="s">
        <v>372</v>
      </c>
      <c r="C136" s="1481">
        <v>0.76</v>
      </c>
      <c r="D136" s="1481">
        <v>4.4400000000000004</v>
      </c>
      <c r="E136" s="1492" t="s">
        <v>213</v>
      </c>
    </row>
    <row r="137" spans="2:5" ht="10.5" customHeight="1">
      <c r="B137" s="1490">
        <v>44569</v>
      </c>
      <c r="C137" s="1481"/>
      <c r="D137" s="1481"/>
      <c r="E137" s="1490">
        <v>44569</v>
      </c>
    </row>
    <row r="138" spans="2:5" ht="10.5" customHeight="1">
      <c r="B138" s="1492" t="s">
        <v>187</v>
      </c>
      <c r="C138" s="1481">
        <v>7.44</v>
      </c>
      <c r="D138" s="1481">
        <v>16.670000000000002</v>
      </c>
      <c r="E138" s="1492" t="s">
        <v>371</v>
      </c>
    </row>
    <row r="139" spans="2:5" ht="10.5" customHeight="1">
      <c r="B139" s="1492" t="s">
        <v>372</v>
      </c>
      <c r="C139" s="1481">
        <v>1.3</v>
      </c>
      <c r="D139" s="1481">
        <v>4.08</v>
      </c>
      <c r="E139" s="1492" t="s">
        <v>213</v>
      </c>
    </row>
    <row r="140" spans="2:5" ht="10.5" customHeight="1">
      <c r="B140" s="1490">
        <v>44570</v>
      </c>
      <c r="C140" s="1481"/>
      <c r="D140" s="1481"/>
      <c r="E140" s="1490">
        <v>44570</v>
      </c>
    </row>
    <row r="141" spans="2:5" ht="10.5" customHeight="1">
      <c r="B141" s="1492" t="s">
        <v>187</v>
      </c>
      <c r="C141" s="1481">
        <v>8.86</v>
      </c>
      <c r="D141" s="1481">
        <v>17.16</v>
      </c>
      <c r="E141" s="1492" t="s">
        <v>371</v>
      </c>
    </row>
    <row r="142" spans="2:5" ht="10.5" customHeight="1">
      <c r="B142" s="1492" t="s">
        <v>372</v>
      </c>
      <c r="C142" s="1481">
        <v>1.62</v>
      </c>
      <c r="D142" s="1481">
        <v>5.07</v>
      </c>
      <c r="E142" s="1492" t="s">
        <v>213</v>
      </c>
    </row>
    <row r="143" spans="2:5" ht="10.5" customHeight="1">
      <c r="B143" s="1490">
        <v>44571</v>
      </c>
      <c r="C143" s="1481"/>
      <c r="D143" s="1481"/>
      <c r="E143" s="1490">
        <v>44571</v>
      </c>
    </row>
    <row r="144" spans="2:5" ht="10.5" customHeight="1">
      <c r="B144" s="1492" t="s">
        <v>187</v>
      </c>
      <c r="C144" s="1481">
        <v>8.9466000000000001</v>
      </c>
      <c r="D144" s="1481">
        <v>16.350000000000001</v>
      </c>
      <c r="E144" s="1492" t="s">
        <v>371</v>
      </c>
    </row>
    <row r="145" spans="2:5" ht="10.5" customHeight="1">
      <c r="B145" s="1492" t="s">
        <v>372</v>
      </c>
      <c r="C145" s="1481">
        <v>1.57</v>
      </c>
      <c r="D145" s="1481">
        <v>4.63</v>
      </c>
      <c r="E145" s="1492" t="s">
        <v>213</v>
      </c>
    </row>
    <row r="146" spans="2:5" ht="10.5" customHeight="1">
      <c r="B146" s="1490">
        <v>44572</v>
      </c>
      <c r="C146" s="1481"/>
      <c r="D146" s="1481"/>
      <c r="E146" s="1490">
        <v>44572</v>
      </c>
    </row>
    <row r="147" spans="2:5" ht="10.5" customHeight="1">
      <c r="B147" s="1492" t="s">
        <v>187</v>
      </c>
      <c r="C147" s="1481">
        <v>8.61</v>
      </c>
      <c r="D147" s="1481">
        <v>15.87</v>
      </c>
      <c r="E147" s="1492" t="s">
        <v>371</v>
      </c>
    </row>
    <row r="148" spans="2:5" ht="10.5" customHeight="1">
      <c r="B148" s="1492" t="s">
        <v>372</v>
      </c>
      <c r="C148" s="1481">
        <v>2</v>
      </c>
      <c r="D148" s="1481">
        <v>4.4400000000000004</v>
      </c>
      <c r="E148" s="1492" t="s">
        <v>213</v>
      </c>
    </row>
    <row r="149" spans="2:5" ht="10.5" customHeight="1">
      <c r="B149" s="1490">
        <v>44573</v>
      </c>
      <c r="C149" s="1481"/>
      <c r="D149" s="1481"/>
      <c r="E149" s="1490">
        <v>44573</v>
      </c>
    </row>
    <row r="150" spans="2:5" ht="10.5" customHeight="1">
      <c r="B150" s="1492" t="s">
        <v>187</v>
      </c>
      <c r="C150" s="1481">
        <v>8.1255699968013797</v>
      </c>
      <c r="D150" s="1481">
        <v>15.8221124672479</v>
      </c>
      <c r="E150" s="1492" t="s">
        <v>371</v>
      </c>
    </row>
    <row r="151" spans="2:5" ht="10.5" customHeight="1">
      <c r="B151" s="1492" t="s">
        <v>372</v>
      </c>
      <c r="C151" s="1481">
        <v>2.4274596949307199</v>
      </c>
      <c r="D151" s="1481">
        <v>4.0818775446556099</v>
      </c>
      <c r="E151" s="1492" t="s">
        <v>213</v>
      </c>
    </row>
    <row r="152" spans="2:5" ht="10.5" customHeight="1">
      <c r="B152" s="1490">
        <v>44927</v>
      </c>
      <c r="C152" s="1481"/>
      <c r="D152" s="1481"/>
      <c r="E152" s="1490">
        <v>44927</v>
      </c>
    </row>
    <row r="153" spans="2:5" ht="10.5" customHeight="1">
      <c r="B153" s="1492" t="s">
        <v>187</v>
      </c>
      <c r="C153" s="1481">
        <v>8.35</v>
      </c>
      <c r="D153" s="1481">
        <v>15.85</v>
      </c>
      <c r="E153" s="1492" t="s">
        <v>371</v>
      </c>
    </row>
    <row r="154" spans="2:5" ht="10.5" customHeight="1">
      <c r="B154" s="1492" t="s">
        <v>372</v>
      </c>
      <c r="C154" s="1481">
        <v>1.79</v>
      </c>
      <c r="D154" s="1481">
        <v>4.6900000000000004</v>
      </c>
      <c r="E154" s="1492" t="s">
        <v>213</v>
      </c>
    </row>
    <row r="155" spans="2:5" ht="10.5" customHeight="1">
      <c r="B155" s="1490">
        <v>44958</v>
      </c>
      <c r="C155" s="1481"/>
      <c r="D155" s="1481"/>
      <c r="E155" s="1490">
        <v>44958</v>
      </c>
    </row>
    <row r="156" spans="2:5" ht="10.5" customHeight="1">
      <c r="B156" s="1492" t="s">
        <v>187</v>
      </c>
      <c r="C156" s="1481">
        <v>7.8</v>
      </c>
      <c r="D156" s="1481">
        <v>16.43</v>
      </c>
      <c r="E156" s="1492" t="s">
        <v>371</v>
      </c>
    </row>
    <row r="157" spans="2:5" ht="10.5" customHeight="1">
      <c r="B157" s="1492" t="s">
        <v>372</v>
      </c>
      <c r="C157" s="1481">
        <v>2.4900000000000002</v>
      </c>
      <c r="D157" s="1481">
        <v>4.8600000000000003</v>
      </c>
      <c r="E157" s="1492" t="s">
        <v>213</v>
      </c>
    </row>
    <row r="158" spans="2:5" ht="10.5" customHeight="1">
      <c r="B158" s="1490">
        <v>44986</v>
      </c>
      <c r="C158" s="1481"/>
      <c r="D158" s="1481"/>
      <c r="E158" s="1490">
        <v>44986</v>
      </c>
    </row>
    <row r="159" spans="2:5" ht="10.5" customHeight="1">
      <c r="B159" s="1492" t="s">
        <v>187</v>
      </c>
      <c r="C159" s="1481">
        <v>7.51</v>
      </c>
      <c r="D159" s="1481">
        <v>16.809999999999999</v>
      </c>
      <c r="E159" s="1492" t="s">
        <v>371</v>
      </c>
    </row>
    <row r="160" spans="2:5" ht="10.5" customHeight="1">
      <c r="B160" s="1492" t="s">
        <v>372</v>
      </c>
      <c r="C160" s="1481">
        <v>2.02</v>
      </c>
      <c r="D160" s="1481">
        <v>4.91</v>
      </c>
      <c r="E160" s="1492" t="s">
        <v>213</v>
      </c>
    </row>
    <row r="161" spans="2:5" ht="10.5" customHeight="1">
      <c r="B161" s="1490">
        <v>45017</v>
      </c>
      <c r="C161" s="1481"/>
      <c r="D161" s="1481"/>
      <c r="E161" s="1490">
        <v>45017</v>
      </c>
    </row>
    <row r="162" spans="2:5" ht="10.5" customHeight="1">
      <c r="B162" s="1492" t="s">
        <v>187</v>
      </c>
      <c r="C162" s="1481">
        <v>7.8352970978728296</v>
      </c>
      <c r="D162" s="1481">
        <v>15.994237383635101</v>
      </c>
      <c r="E162" s="1492" t="s">
        <v>371</v>
      </c>
    </row>
    <row r="163" spans="2:5" ht="10.5" customHeight="1">
      <c r="B163" s="1492" t="s">
        <v>372</v>
      </c>
      <c r="C163" s="1481">
        <v>1.6658552923039001</v>
      </c>
      <c r="D163" s="1481">
        <v>5.2627029938083103</v>
      </c>
      <c r="E163" s="1492" t="s">
        <v>213</v>
      </c>
    </row>
    <row r="164" spans="2:5" ht="10.5" customHeight="1">
      <c r="B164" s="1490">
        <v>45047</v>
      </c>
      <c r="C164" s="1481"/>
      <c r="D164" s="1481"/>
      <c r="E164" s="1490">
        <v>45047</v>
      </c>
    </row>
    <row r="165" spans="2:5" ht="10.5" customHeight="1">
      <c r="B165" s="1492" t="s">
        <v>187</v>
      </c>
      <c r="C165" s="1481">
        <v>7.72</v>
      </c>
      <c r="D165" s="1481">
        <v>15.92</v>
      </c>
      <c r="E165" s="1492" t="s">
        <v>371</v>
      </c>
    </row>
    <row r="166" spans="2:5" ht="10.5" customHeight="1">
      <c r="B166" s="1492" t="s">
        <v>372</v>
      </c>
      <c r="C166" s="1481">
        <v>2.34</v>
      </c>
      <c r="D166" s="1481">
        <v>4.92</v>
      </c>
      <c r="E166" s="1492" t="s">
        <v>213</v>
      </c>
    </row>
    <row r="167" spans="2:5" ht="10.5" customHeight="1">
      <c r="B167" s="1490">
        <v>45078</v>
      </c>
      <c r="C167" s="1481"/>
      <c r="D167" s="1481"/>
      <c r="E167" s="1490">
        <v>45078</v>
      </c>
    </row>
    <row r="168" spans="2:5" ht="10.5" customHeight="1">
      <c r="B168" s="1492" t="s">
        <v>187</v>
      </c>
      <c r="C168" s="1481">
        <v>7.94</v>
      </c>
      <c r="D168" s="1481">
        <v>15.49</v>
      </c>
      <c r="E168" s="1492" t="s">
        <v>371</v>
      </c>
    </row>
    <row r="169" spans="2:5" ht="10.5" customHeight="1">
      <c r="B169" s="1492" t="s">
        <v>372</v>
      </c>
      <c r="C169" s="1481">
        <v>1.48</v>
      </c>
      <c r="D169" s="1481">
        <v>5.34</v>
      </c>
      <c r="E169" s="1492" t="s">
        <v>213</v>
      </c>
    </row>
    <row r="170" spans="2:5" ht="10.5" customHeight="1">
      <c r="B170" s="1490">
        <v>45108</v>
      </c>
      <c r="C170" s="1481"/>
      <c r="D170" s="1481"/>
      <c r="E170" s="1490">
        <v>45108</v>
      </c>
    </row>
    <row r="171" spans="2:5" ht="10.5" customHeight="1">
      <c r="B171" s="1492" t="s">
        <v>187</v>
      </c>
      <c r="C171" s="1481">
        <v>7.51</v>
      </c>
      <c r="D171" s="1481">
        <v>15.68</v>
      </c>
      <c r="E171" s="1492" t="s">
        <v>371</v>
      </c>
    </row>
    <row r="172" spans="2:5" ht="10.5" customHeight="1">
      <c r="B172" s="1492" t="s">
        <v>372</v>
      </c>
      <c r="C172" s="1481">
        <v>1.83</v>
      </c>
      <c r="D172" s="1481">
        <v>6.05</v>
      </c>
      <c r="E172" s="1492" t="s">
        <v>213</v>
      </c>
    </row>
    <row r="173" spans="2:5" ht="10.5" customHeight="1">
      <c r="B173" s="1490">
        <v>45139</v>
      </c>
      <c r="C173" s="1481"/>
      <c r="D173" s="1481"/>
      <c r="E173" s="1490">
        <v>45139</v>
      </c>
    </row>
    <row r="174" spans="2:5" ht="10.5" customHeight="1">
      <c r="B174" s="1492" t="s">
        <v>187</v>
      </c>
      <c r="C174" s="1481">
        <v>7.96</v>
      </c>
      <c r="D174" s="1481">
        <v>15.31</v>
      </c>
      <c r="E174" s="1492" t="s">
        <v>371</v>
      </c>
    </row>
    <row r="175" spans="2:5" ht="10.5" customHeight="1">
      <c r="B175" s="1492" t="s">
        <v>372</v>
      </c>
      <c r="C175" s="1481">
        <v>2.06</v>
      </c>
      <c r="D175" s="1481">
        <v>5.57</v>
      </c>
      <c r="E175" s="1492" t="s">
        <v>213</v>
      </c>
    </row>
    <row r="176" spans="2:5" ht="10.5" customHeight="1">
      <c r="B176" s="1490">
        <v>44935</v>
      </c>
      <c r="C176" s="1481"/>
      <c r="D176" s="1481"/>
      <c r="E176" s="1490">
        <v>44935</v>
      </c>
    </row>
    <row r="177" spans="2:5" ht="10.5" customHeight="1">
      <c r="B177" s="1492" t="s">
        <v>187</v>
      </c>
      <c r="C177" s="1481">
        <v>7.7</v>
      </c>
      <c r="D177" s="1481">
        <v>15.79</v>
      </c>
      <c r="E177" s="1492" t="s">
        <v>371</v>
      </c>
    </row>
    <row r="178" spans="2:5" ht="10.5" customHeight="1">
      <c r="B178" s="1492" t="s">
        <v>372</v>
      </c>
      <c r="C178" s="1481">
        <v>2.39</v>
      </c>
      <c r="D178" s="1481">
        <v>5.18</v>
      </c>
      <c r="E178" s="1492" t="s">
        <v>213</v>
      </c>
    </row>
    <row r="179" spans="2:5" ht="10.5" customHeight="1">
      <c r="B179" s="1490">
        <v>44936</v>
      </c>
      <c r="C179" s="1481"/>
      <c r="D179" s="1481"/>
      <c r="E179" s="1490">
        <v>44936</v>
      </c>
    </row>
    <row r="180" spans="2:5" ht="10.5" customHeight="1">
      <c r="B180" s="1492" t="s">
        <v>187</v>
      </c>
      <c r="C180" s="1481">
        <v>8.16</v>
      </c>
      <c r="D180" s="1481">
        <v>16.09</v>
      </c>
      <c r="E180" s="1492" t="s">
        <v>371</v>
      </c>
    </row>
    <row r="181" spans="2:5" ht="10.5" customHeight="1">
      <c r="B181" s="1492" t="s">
        <v>372</v>
      </c>
      <c r="C181" s="1481">
        <v>1.49</v>
      </c>
      <c r="D181" s="1481">
        <v>5.33</v>
      </c>
      <c r="E181" s="1492" t="s">
        <v>213</v>
      </c>
    </row>
    <row r="182" spans="2:5" ht="10.5" customHeight="1">
      <c r="B182" s="1490">
        <v>44937</v>
      </c>
      <c r="C182" s="1481"/>
      <c r="D182" s="1481"/>
      <c r="E182" s="1490">
        <v>44937</v>
      </c>
    </row>
    <row r="183" spans="2:5" ht="10.5" customHeight="1">
      <c r="B183" s="1492" t="s">
        <v>187</v>
      </c>
      <c r="C183" s="1481">
        <v>7.31</v>
      </c>
      <c r="D183" s="1481">
        <v>15.79</v>
      </c>
      <c r="E183" s="1492" t="s">
        <v>371</v>
      </c>
    </row>
    <row r="184" spans="2:5" ht="10.5" customHeight="1">
      <c r="B184" s="1492" t="s">
        <v>372</v>
      </c>
      <c r="C184" s="1481">
        <v>1.67</v>
      </c>
      <c r="D184" s="1481">
        <v>6.33</v>
      </c>
      <c r="E184" s="1492" t="s">
        <v>213</v>
      </c>
    </row>
    <row r="185" spans="2:5" ht="10.5" customHeight="1">
      <c r="B185" s="1490">
        <v>44938</v>
      </c>
      <c r="C185" s="1481"/>
      <c r="D185" s="1481"/>
      <c r="E185" s="1490">
        <v>44938</v>
      </c>
    </row>
    <row r="186" spans="2:5" ht="10.5" customHeight="1">
      <c r="B186" s="1492" t="s">
        <v>187</v>
      </c>
      <c r="C186" s="1481">
        <v>8.27</v>
      </c>
      <c r="D186" s="1481">
        <v>15.41</v>
      </c>
      <c r="E186" s="1492" t="s">
        <v>371</v>
      </c>
    </row>
    <row r="187" spans="2:5" ht="10.5" customHeight="1">
      <c r="B187" s="1492" t="s">
        <v>372</v>
      </c>
      <c r="C187" s="1481">
        <v>2.69</v>
      </c>
      <c r="D187" s="1481">
        <v>5.76</v>
      </c>
      <c r="E187" s="1492" t="s">
        <v>213</v>
      </c>
    </row>
    <row r="188" spans="2:5" ht="12" customHeight="1">
      <c r="B188" s="1490">
        <v>45292</v>
      </c>
      <c r="C188" s="1481"/>
      <c r="D188" s="1481"/>
      <c r="E188" s="1490">
        <v>45292</v>
      </c>
    </row>
    <row r="189" spans="2:5" ht="10.5" customHeight="1">
      <c r="B189" s="1492" t="s">
        <v>187</v>
      </c>
      <c r="C189" s="1481">
        <v>7.34</v>
      </c>
      <c r="D189" s="1481">
        <v>15.14</v>
      </c>
      <c r="E189" s="1492" t="s">
        <v>371</v>
      </c>
    </row>
    <row r="190" spans="2:5" ht="10.5" customHeight="1">
      <c r="B190" s="1492" t="s">
        <v>372</v>
      </c>
      <c r="C190" s="1481">
        <v>2.17</v>
      </c>
      <c r="D190" s="1481">
        <v>5.07</v>
      </c>
      <c r="E190" s="1492" t="s">
        <v>213</v>
      </c>
    </row>
    <row r="191" spans="2:5" ht="10.5" customHeight="1">
      <c r="B191" s="1490">
        <v>45323</v>
      </c>
      <c r="C191" s="1481"/>
      <c r="D191" s="1481"/>
      <c r="E191" s="1490">
        <v>45323</v>
      </c>
    </row>
    <row r="192" spans="2:5" ht="10.5" customHeight="1">
      <c r="B192" s="1492" t="s">
        <v>187</v>
      </c>
      <c r="C192" s="1481">
        <v>8.16</v>
      </c>
      <c r="D192" s="1481">
        <v>16</v>
      </c>
      <c r="E192" s="1492" t="s">
        <v>371</v>
      </c>
    </row>
    <row r="193" spans="2:5" ht="10.5" customHeight="1">
      <c r="B193" s="1492" t="s">
        <v>372</v>
      </c>
      <c r="C193" s="1481">
        <v>4.16</v>
      </c>
      <c r="D193" s="1481">
        <v>6.66</v>
      </c>
      <c r="E193" s="1492" t="s">
        <v>213</v>
      </c>
    </row>
    <row r="194" spans="2:5" ht="12" customHeight="1">
      <c r="B194" s="1490">
        <v>45352</v>
      </c>
      <c r="C194" s="1481"/>
      <c r="D194" s="1481"/>
      <c r="E194" s="1490">
        <v>45352</v>
      </c>
    </row>
    <row r="195" spans="2:5" ht="12" customHeight="1">
      <c r="B195" s="1492" t="s">
        <v>187</v>
      </c>
      <c r="C195" s="1481">
        <v>8.41</v>
      </c>
      <c r="D195" s="1481">
        <v>16.07</v>
      </c>
      <c r="E195" s="1492" t="s">
        <v>371</v>
      </c>
    </row>
    <row r="196" spans="2:5" ht="12" customHeight="1">
      <c r="B196" s="1493" t="s">
        <v>372</v>
      </c>
      <c r="C196" s="1494">
        <v>2.34</v>
      </c>
      <c r="D196" s="1494">
        <v>5.21</v>
      </c>
      <c r="E196" s="1493" t="s">
        <v>213</v>
      </c>
    </row>
    <row r="197" spans="2:5" s="901" customFormat="1" ht="29.25" customHeight="1">
      <c r="B197" s="2550" t="s">
        <v>3425</v>
      </c>
      <c r="C197" s="2551"/>
      <c r="D197" s="2551"/>
      <c r="E197" s="2552"/>
    </row>
    <row r="198" spans="2:5">
      <c r="C198" s="211"/>
      <c r="D198" s="211"/>
    </row>
    <row r="199" spans="2:5">
      <c r="C199" s="211"/>
      <c r="D199" s="211"/>
    </row>
    <row r="200" spans="2:5" ht="10.199999999999999">
      <c r="B200" s="196"/>
      <c r="C200" s="211"/>
      <c r="D200" s="211"/>
      <c r="E200" s="196"/>
    </row>
    <row r="201" spans="2:5" ht="10.199999999999999">
      <c r="B201" s="196"/>
      <c r="C201" s="211"/>
      <c r="D201" s="211" t="s">
        <v>115</v>
      </c>
      <c r="E201" s="196"/>
    </row>
    <row r="202" spans="2:5" ht="10.199999999999999">
      <c r="B202" s="1485"/>
      <c r="C202" s="211"/>
      <c r="D202" s="211"/>
      <c r="E202" s="1485"/>
    </row>
    <row r="203" spans="2:5" ht="10.199999999999999">
      <c r="B203" s="196"/>
      <c r="C203" s="211"/>
      <c r="D203" s="1486"/>
      <c r="E203" s="196"/>
    </row>
    <row r="205" spans="2:5">
      <c r="C205" s="211"/>
      <c r="D205" s="211"/>
    </row>
    <row r="206" spans="2:5">
      <c r="C206" s="211"/>
      <c r="D206" s="211"/>
    </row>
  </sheetData>
  <mergeCells count="5">
    <mergeCell ref="B197:E197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72"/>
  <sheetViews>
    <sheetView showGridLines="0" view="pageBreakPreview" zoomScale="115" zoomScaleNormal="100" zoomScaleSheetLayoutView="115" workbookViewId="0">
      <pane ySplit="809" topLeftCell="A1163" activePane="bottomLeft" state="frozen"/>
      <selection activeCell="G291" sqref="G291"/>
      <selection pane="bottomLeft" activeCell="M1192" sqref="M1192"/>
    </sheetView>
  </sheetViews>
  <sheetFormatPr defaultColWidth="9.109375" defaultRowHeight="13.2"/>
  <cols>
    <col min="1" max="1" width="10.5546875" style="402" customWidth="1"/>
    <col min="2" max="2" width="14.5546875" style="402" customWidth="1"/>
    <col min="3" max="3" width="9.109375" style="402"/>
    <col min="4" max="5" width="11.109375" style="402" customWidth="1"/>
    <col min="6" max="6" width="10.33203125" style="402" customWidth="1"/>
    <col min="7" max="7" width="12.88671875" style="425" customWidth="1"/>
    <col min="8" max="10" width="9.109375" style="402"/>
    <col min="11" max="11" width="9.109375" style="402" hidden="1" customWidth="1"/>
    <col min="12" max="12" width="13.33203125" style="402" customWidth="1"/>
    <col min="13" max="79" width="9.109375" style="402"/>
    <col min="80" max="80" width="0" style="402" hidden="1" customWidth="1"/>
    <col min="81" max="16384" width="9.109375" style="402"/>
  </cols>
  <sheetData>
    <row r="1" spans="1:82" ht="10.5" customHeight="1"/>
    <row r="2" spans="1:82" ht="15.75" customHeight="1">
      <c r="A2" s="2570" t="s">
        <v>2816</v>
      </c>
      <c r="B2" s="2570"/>
      <c r="C2" s="2570"/>
      <c r="D2" s="2570"/>
      <c r="E2" s="2570"/>
      <c r="F2" s="2570"/>
      <c r="G2" s="2570"/>
      <c r="H2" s="2570"/>
      <c r="I2" s="2570"/>
      <c r="J2" s="2570"/>
      <c r="K2" s="2570"/>
      <c r="L2" s="2570"/>
    </row>
    <row r="3" spans="1:82" ht="21" customHeight="1">
      <c r="A3" s="2571" t="s">
        <v>2439</v>
      </c>
      <c r="B3" s="2571"/>
      <c r="C3" s="2571"/>
      <c r="D3" s="2571"/>
      <c r="E3" s="2571"/>
      <c r="F3" s="2571"/>
      <c r="G3" s="2571"/>
      <c r="H3" s="2571"/>
      <c r="I3" s="2571"/>
      <c r="J3" s="2571"/>
      <c r="K3" s="2571"/>
      <c r="L3" s="2571"/>
    </row>
    <row r="4" spans="1:82" ht="10.5" customHeight="1">
      <c r="A4" s="2006"/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</row>
    <row r="5" spans="1:82" ht="10.5" customHeight="1">
      <c r="A5" s="596"/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</row>
    <row r="6" spans="1:82" s="403" customFormat="1">
      <c r="A6" s="2569" t="s">
        <v>389</v>
      </c>
      <c r="B6" s="2569" t="s">
        <v>2440</v>
      </c>
      <c r="C6" s="2572" t="s">
        <v>390</v>
      </c>
      <c r="D6" s="2573" t="s">
        <v>391</v>
      </c>
      <c r="E6" s="2574" t="s">
        <v>392</v>
      </c>
      <c r="F6" s="2574"/>
      <c r="G6" s="2574"/>
      <c r="H6" s="2574" t="s">
        <v>393</v>
      </c>
      <c r="I6" s="2574"/>
      <c r="J6" s="2574"/>
      <c r="K6" s="2569" t="s">
        <v>3402</v>
      </c>
      <c r="L6" s="2569" t="s">
        <v>394</v>
      </c>
    </row>
    <row r="7" spans="1:82" s="403" customFormat="1" ht="12.75" customHeight="1">
      <c r="A7" s="2569"/>
      <c r="B7" s="2569"/>
      <c r="C7" s="2572"/>
      <c r="D7" s="2573"/>
      <c r="E7" s="2569" t="s">
        <v>395</v>
      </c>
      <c r="F7" s="2575" t="s">
        <v>396</v>
      </c>
      <c r="G7" s="2578" t="s">
        <v>2611</v>
      </c>
      <c r="H7" s="2569" t="s">
        <v>397</v>
      </c>
      <c r="I7" s="2569" t="s">
        <v>3403</v>
      </c>
      <c r="J7" s="2569" t="s">
        <v>399</v>
      </c>
      <c r="K7" s="2569"/>
      <c r="L7" s="2569"/>
    </row>
    <row r="8" spans="1:82" s="403" customFormat="1">
      <c r="A8" s="2569"/>
      <c r="B8" s="2569"/>
      <c r="C8" s="2572"/>
      <c r="D8" s="2573"/>
      <c r="E8" s="2569"/>
      <c r="F8" s="2576"/>
      <c r="G8" s="2578"/>
      <c r="H8" s="2569"/>
      <c r="I8" s="2569"/>
      <c r="J8" s="2569"/>
      <c r="K8" s="2569"/>
      <c r="L8" s="2569"/>
      <c r="CC8" s="404" t="s">
        <v>2089</v>
      </c>
      <c r="CD8" s="405" t="s">
        <v>2090</v>
      </c>
    </row>
    <row r="9" spans="1:82" s="403" customFormat="1" ht="29.25" customHeight="1">
      <c r="A9" s="2569"/>
      <c r="B9" s="2569"/>
      <c r="C9" s="2572"/>
      <c r="D9" s="2573"/>
      <c r="E9" s="2569"/>
      <c r="F9" s="2577"/>
      <c r="G9" s="2578"/>
      <c r="H9" s="2569"/>
      <c r="I9" s="2569"/>
      <c r="J9" s="2569"/>
      <c r="K9" s="2569"/>
      <c r="L9" s="2569"/>
      <c r="BY9" s="403">
        <f>BY10+BY22+BY32+BY40</f>
        <v>0</v>
      </c>
      <c r="CC9" s="403">
        <f>CC10+CC22+CC32+CC40</f>
        <v>622</v>
      </c>
      <c r="CD9" s="406">
        <f>BY9+BZ9+CA9+CC9</f>
        <v>622</v>
      </c>
    </row>
    <row r="10" spans="1:82">
      <c r="A10" s="2561" t="s">
        <v>400</v>
      </c>
      <c r="B10" s="2563" t="s">
        <v>3404</v>
      </c>
      <c r="C10" s="2565" t="s">
        <v>401</v>
      </c>
      <c r="D10" s="2567" t="s">
        <v>402</v>
      </c>
      <c r="E10" s="1469" t="s">
        <v>403</v>
      </c>
      <c r="F10" s="1470" t="s">
        <v>3405</v>
      </c>
      <c r="G10" s="1471"/>
      <c r="H10" s="1469"/>
      <c r="I10" s="1470" t="s">
        <v>404</v>
      </c>
      <c r="J10" s="1472"/>
      <c r="K10" s="2563" t="s">
        <v>3406</v>
      </c>
      <c r="L10" s="2563" t="s">
        <v>405</v>
      </c>
      <c r="CC10" s="402">
        <f>CC12+CC17</f>
        <v>1713</v>
      </c>
      <c r="CD10" s="407">
        <f>BY10+BZ10+CA10+CC10</f>
        <v>1713</v>
      </c>
    </row>
    <row r="11" spans="1:82" ht="39.6">
      <c r="A11" s="2562"/>
      <c r="B11" s="2564"/>
      <c r="C11" s="2566"/>
      <c r="D11" s="2568"/>
      <c r="E11" s="1473" t="s">
        <v>1809</v>
      </c>
      <c r="F11" s="1473" t="s">
        <v>406</v>
      </c>
      <c r="G11" s="1474" t="s">
        <v>1810</v>
      </c>
      <c r="H11" s="1475" t="s">
        <v>397</v>
      </c>
      <c r="I11" s="1473" t="s">
        <v>4099</v>
      </c>
      <c r="J11" s="1473" t="s">
        <v>408</v>
      </c>
      <c r="K11" s="2564"/>
      <c r="L11" s="2564"/>
      <c r="CD11" s="407"/>
    </row>
    <row r="12" spans="1:82" hidden="1">
      <c r="A12" s="408">
        <v>38730</v>
      </c>
      <c r="B12" s="409" t="s">
        <v>409</v>
      </c>
      <c r="C12" s="410">
        <v>91</v>
      </c>
      <c r="D12" s="408">
        <v>38821</v>
      </c>
      <c r="E12" s="411">
        <v>3</v>
      </c>
      <c r="F12" s="409">
        <v>4.67</v>
      </c>
      <c r="G12" s="412">
        <v>3</v>
      </c>
      <c r="H12" s="413">
        <v>0.124</v>
      </c>
      <c r="I12" s="413">
        <v>0.1244</v>
      </c>
      <c r="J12" s="413">
        <v>0.1244</v>
      </c>
      <c r="K12" s="409"/>
      <c r="L12" s="410">
        <v>4</v>
      </c>
      <c r="CC12" s="402">
        <f>CC14+CC15</f>
        <v>4361</v>
      </c>
      <c r="CD12" s="407">
        <f>BY12+BZ12+CA12+CC12</f>
        <v>4361</v>
      </c>
    </row>
    <row r="13" spans="1:82" hidden="1">
      <c r="A13" s="408">
        <v>38733</v>
      </c>
      <c r="B13" s="409" t="s">
        <v>410</v>
      </c>
      <c r="C13" s="410">
        <v>91</v>
      </c>
      <c r="D13" s="408">
        <v>38824</v>
      </c>
      <c r="E13" s="411">
        <v>5</v>
      </c>
      <c r="F13" s="409">
        <v>6.96</v>
      </c>
      <c r="G13" s="412">
        <v>5</v>
      </c>
      <c r="H13" s="413">
        <v>0.1227</v>
      </c>
      <c r="I13" s="413">
        <v>0.1249</v>
      </c>
      <c r="J13" s="413">
        <v>0.124</v>
      </c>
      <c r="K13" s="409"/>
      <c r="L13" s="410">
        <v>6</v>
      </c>
      <c r="CD13" s="407"/>
    </row>
    <row r="14" spans="1:82" hidden="1">
      <c r="A14" s="408">
        <v>38740</v>
      </c>
      <c r="B14" s="409" t="s">
        <v>411</v>
      </c>
      <c r="C14" s="410">
        <v>91</v>
      </c>
      <c r="D14" s="408">
        <v>38831</v>
      </c>
      <c r="E14" s="411">
        <v>2</v>
      </c>
      <c r="F14" s="409">
        <v>3.3</v>
      </c>
      <c r="G14" s="412">
        <v>2</v>
      </c>
      <c r="H14" s="413">
        <v>0.11550000000000001</v>
      </c>
      <c r="I14" s="413">
        <v>0.1193</v>
      </c>
      <c r="J14" s="413">
        <v>0.1172</v>
      </c>
      <c r="K14" s="409"/>
      <c r="L14" s="410">
        <v>4</v>
      </c>
      <c r="CC14" s="402">
        <v>3917</v>
      </c>
      <c r="CD14" s="407">
        <f>BY14+BZ14+CA14+CC14</f>
        <v>3917</v>
      </c>
    </row>
    <row r="15" spans="1:82" hidden="1">
      <c r="A15" s="408">
        <v>38761</v>
      </c>
      <c r="B15" s="409" t="s">
        <v>412</v>
      </c>
      <c r="C15" s="410">
        <v>120</v>
      </c>
      <c r="D15" s="408">
        <v>38881</v>
      </c>
      <c r="E15" s="411">
        <v>2</v>
      </c>
      <c r="F15" s="409">
        <v>6.79</v>
      </c>
      <c r="G15" s="412">
        <v>1.95</v>
      </c>
      <c r="H15" s="413">
        <v>0.1002</v>
      </c>
      <c r="I15" s="413">
        <v>0.1002</v>
      </c>
      <c r="J15" s="413">
        <v>0.1002</v>
      </c>
      <c r="K15" s="409"/>
      <c r="L15" s="410">
        <v>7</v>
      </c>
      <c r="CC15" s="402">
        <v>444</v>
      </c>
      <c r="CD15" s="407">
        <f t="shared" ref="CD15:CD56" si="0">BY15+BZ15+CA15+CC15</f>
        <v>444</v>
      </c>
    </row>
    <row r="16" spans="1:82" hidden="1">
      <c r="A16" s="408">
        <v>38772</v>
      </c>
      <c r="B16" s="409" t="s">
        <v>413</v>
      </c>
      <c r="C16" s="410">
        <v>334</v>
      </c>
      <c r="D16" s="408">
        <v>39106</v>
      </c>
      <c r="E16" s="411">
        <v>6</v>
      </c>
      <c r="F16" s="409">
        <v>8.0500000000000007</v>
      </c>
      <c r="G16" s="412">
        <v>1.59</v>
      </c>
      <c r="H16" s="413">
        <v>0.09</v>
      </c>
      <c r="I16" s="413">
        <v>0.1</v>
      </c>
      <c r="J16" s="413">
        <v>9.7699999999999995E-2</v>
      </c>
      <c r="K16" s="409"/>
      <c r="L16" s="410">
        <v>7</v>
      </c>
      <c r="CD16" s="407"/>
    </row>
    <row r="17" spans="1:82" hidden="1">
      <c r="A17" s="408">
        <v>38791</v>
      </c>
      <c r="B17" s="409" t="s">
        <v>414</v>
      </c>
      <c r="C17" s="410">
        <v>91</v>
      </c>
      <c r="D17" s="408">
        <v>38882</v>
      </c>
      <c r="E17" s="411">
        <v>5</v>
      </c>
      <c r="F17" s="409">
        <v>15.32</v>
      </c>
      <c r="G17" s="412">
        <v>5</v>
      </c>
      <c r="H17" s="413">
        <v>5.5300000000000002E-2</v>
      </c>
      <c r="I17" s="413">
        <v>5.8999999999999997E-2</v>
      </c>
      <c r="J17" s="413">
        <v>5.6099999999999997E-2</v>
      </c>
      <c r="K17" s="409"/>
      <c r="L17" s="410">
        <v>10</v>
      </c>
      <c r="CC17" s="402">
        <f>CC19+CC20</f>
        <v>-2648</v>
      </c>
      <c r="CD17" s="407">
        <f t="shared" si="0"/>
        <v>-2648</v>
      </c>
    </row>
    <row r="18" spans="1:82" hidden="1">
      <c r="A18" s="408">
        <v>38821</v>
      </c>
      <c r="B18" s="409" t="s">
        <v>415</v>
      </c>
      <c r="C18" s="410">
        <v>91</v>
      </c>
      <c r="D18" s="408">
        <v>38912</v>
      </c>
      <c r="E18" s="411">
        <v>4</v>
      </c>
      <c r="F18" s="409">
        <v>5.04</v>
      </c>
      <c r="G18" s="412">
        <v>4</v>
      </c>
      <c r="H18" s="413">
        <v>4.99E-2</v>
      </c>
      <c r="I18" s="413">
        <v>5.9799999999999999E-2</v>
      </c>
      <c r="J18" s="413">
        <v>5.4100000000000002E-2</v>
      </c>
      <c r="K18" s="409"/>
      <c r="L18" s="410">
        <v>5</v>
      </c>
      <c r="CD18" s="407"/>
    </row>
    <row r="19" spans="1:82" hidden="1">
      <c r="A19" s="408">
        <v>38831</v>
      </c>
      <c r="B19" s="409" t="s">
        <v>416</v>
      </c>
      <c r="C19" s="410">
        <v>91</v>
      </c>
      <c r="D19" s="408">
        <v>38922</v>
      </c>
      <c r="E19" s="411">
        <v>3</v>
      </c>
      <c r="F19" s="409">
        <v>2.23</v>
      </c>
      <c r="G19" s="412">
        <v>2.23</v>
      </c>
      <c r="H19" s="413">
        <v>4.99E-2</v>
      </c>
      <c r="I19" s="413">
        <v>6.4799999999999996E-2</v>
      </c>
      <c r="J19" s="413">
        <v>5.3199999999999997E-2</v>
      </c>
      <c r="K19" s="409"/>
      <c r="L19" s="410">
        <v>4</v>
      </c>
      <c r="CC19" s="402">
        <v>-367</v>
      </c>
      <c r="CD19" s="407">
        <f t="shared" si="0"/>
        <v>-367</v>
      </c>
    </row>
    <row r="20" spans="1:82" hidden="1">
      <c r="A20" s="408">
        <v>38845</v>
      </c>
      <c r="B20" s="409" t="s">
        <v>417</v>
      </c>
      <c r="C20" s="410">
        <v>91</v>
      </c>
      <c r="D20" s="408">
        <v>38936</v>
      </c>
      <c r="E20" s="411">
        <v>5</v>
      </c>
      <c r="F20" s="409">
        <v>0.3</v>
      </c>
      <c r="G20" s="412">
        <v>0.3</v>
      </c>
      <c r="H20" s="413">
        <v>6.6900000000000001E-2</v>
      </c>
      <c r="I20" s="413">
        <v>7.0199999999999999E-2</v>
      </c>
      <c r="J20" s="413">
        <v>6.8500000000000005E-2</v>
      </c>
      <c r="K20" s="409"/>
      <c r="L20" s="410">
        <v>2</v>
      </c>
      <c r="CC20" s="402">
        <v>-2281</v>
      </c>
      <c r="CD20" s="407">
        <f t="shared" si="0"/>
        <v>-2281</v>
      </c>
    </row>
    <row r="21" spans="1:82" hidden="1">
      <c r="A21" s="408">
        <v>38852</v>
      </c>
      <c r="B21" s="409" t="s">
        <v>418</v>
      </c>
      <c r="C21" s="410">
        <v>182</v>
      </c>
      <c r="D21" s="408">
        <v>39034</v>
      </c>
      <c r="E21" s="411">
        <v>4</v>
      </c>
      <c r="F21" s="409">
        <v>0.52</v>
      </c>
      <c r="G21" s="412">
        <v>0.52</v>
      </c>
      <c r="H21" s="413">
        <v>7.0999999999999994E-2</v>
      </c>
      <c r="I21" s="413">
        <v>7.4899999999999994E-2</v>
      </c>
      <c r="J21" s="413">
        <v>7.2999999999999995E-2</v>
      </c>
      <c r="K21" s="409"/>
      <c r="L21" s="410">
        <v>2</v>
      </c>
      <c r="CD21" s="407"/>
    </row>
    <row r="22" spans="1:82" hidden="1">
      <c r="A22" s="408">
        <v>38859</v>
      </c>
      <c r="B22" s="409" t="s">
        <v>419</v>
      </c>
      <c r="C22" s="410">
        <v>364</v>
      </c>
      <c r="D22" s="408">
        <v>39223</v>
      </c>
      <c r="E22" s="411">
        <v>6</v>
      </c>
      <c r="F22" s="409">
        <v>0.33</v>
      </c>
      <c r="G22" s="412">
        <v>0.33</v>
      </c>
      <c r="H22" s="413">
        <v>8.5099999999999995E-2</v>
      </c>
      <c r="I22" s="413">
        <v>9.8000000000000004E-2</v>
      </c>
      <c r="J22" s="413">
        <v>9.6299999999999997E-2</v>
      </c>
      <c r="K22" s="409"/>
      <c r="L22" s="410">
        <v>2</v>
      </c>
      <c r="CC22" s="402">
        <f>CC24+CC25</f>
        <v>-797</v>
      </c>
      <c r="CD22" s="407">
        <f t="shared" si="0"/>
        <v>-797</v>
      </c>
    </row>
    <row r="23" spans="1:82" hidden="1">
      <c r="A23" s="408">
        <v>38859</v>
      </c>
      <c r="B23" s="414" t="s">
        <v>419</v>
      </c>
      <c r="C23" s="415">
        <v>364</v>
      </c>
      <c r="D23" s="414">
        <v>39223</v>
      </c>
      <c r="E23" s="411">
        <v>6</v>
      </c>
      <c r="F23" s="238">
        <v>4.91</v>
      </c>
      <c r="G23" s="416">
        <v>4.91</v>
      </c>
      <c r="H23" s="417">
        <v>8.48E-2</v>
      </c>
      <c r="I23" s="417">
        <v>9.8000000000000004E-2</v>
      </c>
      <c r="J23" s="417">
        <v>9.6299999999999997E-2</v>
      </c>
      <c r="K23" s="238"/>
      <c r="L23" s="415">
        <v>2</v>
      </c>
      <c r="CD23" s="407"/>
    </row>
    <row r="24" spans="1:82" hidden="1">
      <c r="A24" s="408">
        <v>38873</v>
      </c>
      <c r="B24" s="414" t="s">
        <v>2499</v>
      </c>
      <c r="C24" s="415">
        <v>91</v>
      </c>
      <c r="D24" s="414">
        <v>38964</v>
      </c>
      <c r="E24" s="411">
        <v>5</v>
      </c>
      <c r="F24" s="238">
        <v>2.1800000000000002</v>
      </c>
      <c r="G24" s="416">
        <v>2.1800000000000002</v>
      </c>
      <c r="H24" s="417">
        <v>9.2899999999999996E-2</v>
      </c>
      <c r="I24" s="417">
        <v>9.3200000000000005E-2</v>
      </c>
      <c r="J24" s="417">
        <v>8.9800000000000005E-2</v>
      </c>
      <c r="K24" s="238"/>
      <c r="L24" s="415">
        <v>2</v>
      </c>
      <c r="CC24" s="402">
        <v>-644</v>
      </c>
      <c r="CD24" s="407">
        <f t="shared" si="0"/>
        <v>-644</v>
      </c>
    </row>
    <row r="25" spans="1:82" hidden="1">
      <c r="A25" s="408">
        <v>38881</v>
      </c>
      <c r="B25" s="414" t="s">
        <v>2500</v>
      </c>
      <c r="C25" s="415">
        <v>90</v>
      </c>
      <c r="D25" s="414">
        <v>38971</v>
      </c>
      <c r="E25" s="411">
        <v>6</v>
      </c>
      <c r="F25" s="238">
        <v>5.08</v>
      </c>
      <c r="G25" s="416">
        <v>5.08</v>
      </c>
      <c r="H25" s="417">
        <v>0.1052</v>
      </c>
      <c r="I25" s="417">
        <v>0.1198</v>
      </c>
      <c r="J25" s="417">
        <v>9.8900000000000002E-2</v>
      </c>
      <c r="K25" s="238"/>
      <c r="L25" s="415">
        <v>3</v>
      </c>
      <c r="CC25" s="402">
        <v>-153</v>
      </c>
      <c r="CD25" s="407">
        <f t="shared" si="0"/>
        <v>-153</v>
      </c>
    </row>
    <row r="26" spans="1:82" hidden="1">
      <c r="A26" s="408">
        <v>38882</v>
      </c>
      <c r="B26" s="414" t="s">
        <v>2501</v>
      </c>
      <c r="C26" s="415">
        <v>362</v>
      </c>
      <c r="D26" s="414">
        <v>39244</v>
      </c>
      <c r="E26" s="411">
        <v>6</v>
      </c>
      <c r="F26" s="238">
        <v>2.36</v>
      </c>
      <c r="G26" s="416">
        <v>2.36</v>
      </c>
      <c r="H26" s="417">
        <v>0.11550000000000001</v>
      </c>
      <c r="I26" s="417">
        <v>0.14000000000000001</v>
      </c>
      <c r="J26" s="417">
        <v>0.1178</v>
      </c>
      <c r="K26" s="238"/>
      <c r="L26" s="415">
        <v>3</v>
      </c>
      <c r="CD26" s="407"/>
    </row>
    <row r="27" spans="1:82" hidden="1">
      <c r="A27" s="408">
        <v>38887</v>
      </c>
      <c r="B27" s="414" t="s">
        <v>2502</v>
      </c>
      <c r="C27" s="415">
        <v>91</v>
      </c>
      <c r="D27" s="414">
        <v>38978</v>
      </c>
      <c r="E27" s="411">
        <v>3</v>
      </c>
      <c r="F27" s="416">
        <v>1.6745999999999999</v>
      </c>
      <c r="G27" s="416">
        <v>1.45</v>
      </c>
      <c r="H27" s="417">
        <v>0.13489999999999999</v>
      </c>
      <c r="I27" s="417">
        <v>0.13</v>
      </c>
      <c r="J27" s="417">
        <v>0.12280000000000001</v>
      </c>
      <c r="K27" s="238"/>
      <c r="L27" s="415">
        <v>5</v>
      </c>
      <c r="CD27" s="407"/>
    </row>
    <row r="28" spans="1:82" hidden="1">
      <c r="A28" s="408">
        <v>38895</v>
      </c>
      <c r="B28" s="414" t="s">
        <v>2503</v>
      </c>
      <c r="C28" s="415">
        <v>181</v>
      </c>
      <c r="D28" s="414">
        <v>39076</v>
      </c>
      <c r="E28" s="411">
        <v>4</v>
      </c>
      <c r="F28" s="416" t="e">
        <v>#REF!</v>
      </c>
      <c r="G28" s="416">
        <v>1.4514</v>
      </c>
      <c r="H28" s="1476">
        <v>0.12620000000000001</v>
      </c>
      <c r="I28" s="417">
        <v>0.14000000000000001</v>
      </c>
      <c r="J28" s="417">
        <v>0.13900000000000001</v>
      </c>
      <c r="K28" s="238"/>
      <c r="L28" s="415">
        <v>4</v>
      </c>
      <c r="CD28" s="407"/>
    </row>
    <row r="29" spans="1:82" hidden="1">
      <c r="A29" s="408">
        <v>38901</v>
      </c>
      <c r="B29" s="414" t="s">
        <v>2504</v>
      </c>
      <c r="C29" s="415">
        <v>91</v>
      </c>
      <c r="D29" s="414">
        <v>38992</v>
      </c>
      <c r="E29" s="411">
        <v>3</v>
      </c>
      <c r="F29" s="416">
        <v>3.1741999999999999</v>
      </c>
      <c r="G29" s="416">
        <v>3</v>
      </c>
      <c r="H29" s="1476">
        <v>0.14000000000000001</v>
      </c>
      <c r="I29" s="417">
        <v>0.13900000000000001</v>
      </c>
      <c r="J29" s="417">
        <v>0.1356</v>
      </c>
      <c r="K29" s="238"/>
      <c r="L29" s="415">
        <v>4</v>
      </c>
      <c r="CC29" s="402">
        <v>-31</v>
      </c>
      <c r="CD29" s="407">
        <f t="shared" si="0"/>
        <v>-31</v>
      </c>
    </row>
    <row r="30" spans="1:82" hidden="1">
      <c r="A30" s="408">
        <v>38929</v>
      </c>
      <c r="B30" s="414" t="e">
        <v>#REF!</v>
      </c>
      <c r="C30" s="415">
        <v>364</v>
      </c>
      <c r="D30" s="414">
        <v>39293</v>
      </c>
      <c r="E30" s="411">
        <v>6</v>
      </c>
      <c r="F30" s="416">
        <v>1.8084</v>
      </c>
      <c r="G30" s="416" t="e">
        <v>#REF!</v>
      </c>
      <c r="H30" s="1476">
        <v>0.105</v>
      </c>
      <c r="I30" s="417" t="e">
        <v>#REF!</v>
      </c>
      <c r="J30" s="417" t="e">
        <v>#REF!</v>
      </c>
      <c r="K30" s="238"/>
      <c r="L30" s="415" t="e">
        <v>#REF!</v>
      </c>
      <c r="CC30" s="402">
        <v>-440</v>
      </c>
      <c r="CD30" s="407">
        <f t="shared" si="0"/>
        <v>-440</v>
      </c>
    </row>
    <row r="31" spans="1:82" hidden="1">
      <c r="A31" s="408">
        <v>38936</v>
      </c>
      <c r="B31" s="414" t="s">
        <v>2505</v>
      </c>
      <c r="C31" s="415">
        <v>91</v>
      </c>
      <c r="D31" s="414">
        <v>39027</v>
      </c>
      <c r="E31" s="411">
        <v>6</v>
      </c>
      <c r="F31" s="416">
        <v>3.331</v>
      </c>
      <c r="G31" s="416">
        <v>0.49480000000000002</v>
      </c>
      <c r="H31" s="1476">
        <v>8.9599999999999999E-2</v>
      </c>
      <c r="I31" s="417">
        <v>0.1399</v>
      </c>
      <c r="J31" s="417">
        <v>0.105</v>
      </c>
      <c r="K31" s="238"/>
      <c r="L31" s="415">
        <v>3</v>
      </c>
      <c r="CD31" s="407"/>
    </row>
    <row r="32" spans="1:82" hidden="1">
      <c r="A32" s="408">
        <v>38944</v>
      </c>
      <c r="B32" s="414" t="s">
        <v>2506</v>
      </c>
      <c r="C32" s="415">
        <v>98</v>
      </c>
      <c r="D32" s="414">
        <v>39042</v>
      </c>
      <c r="E32" s="411">
        <v>3</v>
      </c>
      <c r="F32" s="416">
        <v>2.3717999999999999</v>
      </c>
      <c r="G32" s="416">
        <v>1.9328000000000001</v>
      </c>
      <c r="H32" s="1476">
        <v>0.12509999999999999</v>
      </c>
      <c r="I32" s="417">
        <v>0.12990000000000002</v>
      </c>
      <c r="J32" s="417">
        <v>0.10059999999999999</v>
      </c>
      <c r="K32" s="238"/>
      <c r="L32" s="415">
        <v>4</v>
      </c>
      <c r="CC32" s="402">
        <f>CC34+CC35</f>
        <v>-498</v>
      </c>
      <c r="CD32" s="407">
        <f>BY32+BZ32+CA32+CC32</f>
        <v>-498</v>
      </c>
    </row>
    <row r="33" spans="1:82" hidden="1">
      <c r="A33" s="414">
        <v>38951</v>
      </c>
      <c r="B33" s="414" t="s">
        <v>2507</v>
      </c>
      <c r="C33" s="415">
        <v>182</v>
      </c>
      <c r="D33" s="414">
        <v>39133</v>
      </c>
      <c r="E33" s="411">
        <v>6</v>
      </c>
      <c r="F33" s="416">
        <v>0.53059999999999996</v>
      </c>
      <c r="G33" s="416">
        <v>0.53059999999999996</v>
      </c>
      <c r="H33" s="1476">
        <v>0.12509999999999999</v>
      </c>
      <c r="I33" s="417">
        <v>0.12509999999999999</v>
      </c>
      <c r="J33" s="417">
        <v>0.12509999999999999</v>
      </c>
      <c r="K33" s="238"/>
      <c r="L33" s="415">
        <v>1</v>
      </c>
      <c r="CD33" s="407"/>
    </row>
    <row r="34" spans="1:82" hidden="1">
      <c r="A34" s="414">
        <v>38958</v>
      </c>
      <c r="B34" s="414" t="s">
        <v>2508</v>
      </c>
      <c r="C34" s="415">
        <v>364</v>
      </c>
      <c r="D34" s="414">
        <v>39322</v>
      </c>
      <c r="E34" s="411">
        <v>6</v>
      </c>
      <c r="F34" s="416">
        <v>0.6966</v>
      </c>
      <c r="G34" s="416">
        <v>0.6966</v>
      </c>
      <c r="H34" s="417">
        <v>0.1193</v>
      </c>
      <c r="I34" s="417">
        <v>0.12970000000000001</v>
      </c>
      <c r="J34" s="417">
        <v>0.12620000000000001</v>
      </c>
      <c r="K34" s="238"/>
      <c r="L34" s="415">
        <v>2</v>
      </c>
      <c r="CC34" s="402">
        <v>-521</v>
      </c>
      <c r="CD34" s="407">
        <f>BY34+BZ34+CA34+CC34</f>
        <v>-521</v>
      </c>
    </row>
    <row r="35" spans="1:82" hidden="1">
      <c r="A35" s="414">
        <v>38964</v>
      </c>
      <c r="B35" s="414" t="s">
        <v>2509</v>
      </c>
      <c r="C35" s="415">
        <v>92</v>
      </c>
      <c r="D35" s="414">
        <v>39056</v>
      </c>
      <c r="E35" s="411">
        <v>6</v>
      </c>
      <c r="F35" s="416">
        <v>9.0594999999999999</v>
      </c>
      <c r="G35" s="416">
        <v>6</v>
      </c>
      <c r="H35" s="417">
        <v>0.11890000000000001</v>
      </c>
      <c r="I35" s="417">
        <v>0.12990000000000002</v>
      </c>
      <c r="J35" s="417">
        <v>0.1198</v>
      </c>
      <c r="K35" s="238"/>
      <c r="L35" s="415">
        <v>5</v>
      </c>
      <c r="CC35" s="402">
        <v>23</v>
      </c>
      <c r="CD35" s="407">
        <f>BY35+BZ35+CA35+CC35</f>
        <v>23</v>
      </c>
    </row>
    <row r="36" spans="1:82" hidden="1">
      <c r="A36" s="414">
        <v>38971</v>
      </c>
      <c r="B36" s="414" t="s">
        <v>2510</v>
      </c>
      <c r="C36" s="415">
        <v>92</v>
      </c>
      <c r="D36" s="414">
        <v>39063</v>
      </c>
      <c r="E36" s="411">
        <v>5</v>
      </c>
      <c r="F36" s="416">
        <v>2.2544</v>
      </c>
      <c r="G36" s="416">
        <v>1.5938000000000001</v>
      </c>
      <c r="H36" s="417">
        <v>0.1237</v>
      </c>
      <c r="I36" s="417">
        <v>0.1198</v>
      </c>
      <c r="J36" s="417">
        <v>0.11890000000000001</v>
      </c>
      <c r="K36" s="238"/>
      <c r="L36" s="415">
        <v>6</v>
      </c>
      <c r="CD36" s="407"/>
    </row>
    <row r="37" spans="1:82" hidden="1">
      <c r="A37" s="414">
        <v>38978</v>
      </c>
      <c r="B37" s="414" t="s">
        <v>2511</v>
      </c>
      <c r="C37" s="415">
        <v>182</v>
      </c>
      <c r="D37" s="414">
        <v>39160</v>
      </c>
      <c r="E37" s="418">
        <v>6</v>
      </c>
      <c r="F37" s="416">
        <v>2.5863999999999998</v>
      </c>
      <c r="G37" s="416">
        <v>2.5863999999999998</v>
      </c>
      <c r="H37" s="417">
        <v>0.1249</v>
      </c>
      <c r="I37" s="417">
        <v>0.13009999999999999</v>
      </c>
      <c r="J37" s="417">
        <v>0.1237</v>
      </c>
      <c r="K37" s="238"/>
      <c r="L37" s="415">
        <v>4</v>
      </c>
      <c r="CC37" s="402">
        <v>433</v>
      </c>
      <c r="CD37" s="407">
        <f t="shared" si="0"/>
        <v>433</v>
      </c>
    </row>
    <row r="38" spans="1:82" hidden="1">
      <c r="A38" s="414">
        <v>38986</v>
      </c>
      <c r="B38" s="414" t="s">
        <v>2512</v>
      </c>
      <c r="C38" s="415">
        <v>364</v>
      </c>
      <c r="D38" s="414">
        <v>39350</v>
      </c>
      <c r="E38" s="418">
        <v>5</v>
      </c>
      <c r="F38" s="416">
        <v>0.89439999999999997</v>
      </c>
      <c r="G38" s="416">
        <v>0.3352</v>
      </c>
      <c r="H38" s="417">
        <v>0.1242</v>
      </c>
      <c r="I38" s="417">
        <v>0.1249</v>
      </c>
      <c r="J38" s="417">
        <v>0.1249</v>
      </c>
      <c r="K38" s="238"/>
      <c r="L38" s="415">
        <v>2</v>
      </c>
      <c r="CC38" s="402">
        <v>-931</v>
      </c>
      <c r="CD38" s="407">
        <f t="shared" si="0"/>
        <v>-931</v>
      </c>
    </row>
    <row r="39" spans="1:82" hidden="1">
      <c r="A39" s="414">
        <v>38992</v>
      </c>
      <c r="B39" s="414" t="s">
        <v>2513</v>
      </c>
      <c r="C39" s="415">
        <v>94</v>
      </c>
      <c r="D39" s="414">
        <v>39086</v>
      </c>
      <c r="E39" s="418">
        <v>4</v>
      </c>
      <c r="F39" s="416">
        <v>2.81</v>
      </c>
      <c r="G39" s="416">
        <v>2.81</v>
      </c>
      <c r="H39" s="417">
        <v>0.13</v>
      </c>
      <c r="I39" s="417">
        <v>0.13</v>
      </c>
      <c r="J39" s="417">
        <v>0.1242</v>
      </c>
      <c r="K39" s="238"/>
      <c r="L39" s="415">
        <v>4</v>
      </c>
      <c r="CD39" s="407"/>
    </row>
    <row r="40" spans="1:82" hidden="1">
      <c r="A40" s="414">
        <v>39000</v>
      </c>
      <c r="B40" s="414" t="s">
        <v>2514</v>
      </c>
      <c r="C40" s="415">
        <v>91</v>
      </c>
      <c r="D40" s="414">
        <v>39091</v>
      </c>
      <c r="E40" s="418">
        <v>5</v>
      </c>
      <c r="F40" s="416">
        <v>0.15440000000000001</v>
      </c>
      <c r="G40" s="416">
        <v>0.15440000000000001</v>
      </c>
      <c r="H40" s="417">
        <v>0.1227</v>
      </c>
      <c r="I40" s="417">
        <v>0.13</v>
      </c>
      <c r="J40" s="417">
        <v>0.13</v>
      </c>
      <c r="K40" s="238"/>
      <c r="L40" s="415">
        <v>2</v>
      </c>
      <c r="CC40" s="402">
        <v>204</v>
      </c>
      <c r="CD40" s="407">
        <f t="shared" si="0"/>
        <v>204</v>
      </c>
    </row>
    <row r="41" spans="1:82" hidden="1">
      <c r="A41" s="414">
        <v>39006</v>
      </c>
      <c r="B41" s="414" t="s">
        <v>2515</v>
      </c>
      <c r="C41" s="415">
        <v>92</v>
      </c>
      <c r="D41" s="414">
        <v>39098</v>
      </c>
      <c r="E41" s="418">
        <v>5</v>
      </c>
      <c r="F41" s="416">
        <v>3.6562000000000001</v>
      </c>
      <c r="G41" s="416">
        <v>2.75</v>
      </c>
      <c r="H41" s="417">
        <v>0.12989999999999999</v>
      </c>
      <c r="I41" s="417">
        <v>0.12990000000000002</v>
      </c>
      <c r="J41" s="417">
        <v>0.1227</v>
      </c>
      <c r="K41" s="238"/>
      <c r="L41" s="415">
        <v>5</v>
      </c>
      <c r="CC41" s="402">
        <v>200</v>
      </c>
      <c r="CD41" s="407">
        <f t="shared" si="0"/>
        <v>200</v>
      </c>
    </row>
    <row r="42" spans="1:82" hidden="1">
      <c r="A42" s="414">
        <v>39016</v>
      </c>
      <c r="B42" s="414" t="s">
        <v>2516</v>
      </c>
      <c r="C42" s="415">
        <v>180</v>
      </c>
      <c r="D42" s="414">
        <v>39196</v>
      </c>
      <c r="E42" s="418">
        <v>6</v>
      </c>
      <c r="F42" s="416">
        <v>4.0628000000000002</v>
      </c>
      <c r="G42" s="416">
        <v>3.5228000000000002</v>
      </c>
      <c r="H42" s="417">
        <v>0.12909999999999999</v>
      </c>
      <c r="I42" s="417">
        <v>0.12990000000000002</v>
      </c>
      <c r="J42" s="417">
        <v>0.12989999999999999</v>
      </c>
      <c r="K42" s="238"/>
      <c r="L42" s="415">
        <v>4</v>
      </c>
      <c r="CD42" s="407"/>
    </row>
    <row r="43" spans="1:82" hidden="1">
      <c r="A43" s="414">
        <v>39021</v>
      </c>
      <c r="B43" s="414" t="s">
        <v>2517</v>
      </c>
      <c r="C43" s="415">
        <v>364</v>
      </c>
      <c r="D43" s="414">
        <v>39385</v>
      </c>
      <c r="E43" s="418">
        <v>6</v>
      </c>
      <c r="F43" s="416">
        <v>2.2728000000000002</v>
      </c>
      <c r="G43" s="416">
        <v>2.2728000000000002</v>
      </c>
      <c r="H43" s="417">
        <v>9.9599999999999994E-2</v>
      </c>
      <c r="I43" s="417">
        <v>0.12990000000000002</v>
      </c>
      <c r="J43" s="417">
        <v>0.12909999999999999</v>
      </c>
      <c r="K43" s="238"/>
      <c r="L43" s="415">
        <v>2</v>
      </c>
      <c r="CC43" s="402">
        <v>295</v>
      </c>
      <c r="CD43" s="407">
        <f t="shared" si="0"/>
        <v>295</v>
      </c>
    </row>
    <row r="44" spans="1:82" hidden="1">
      <c r="A44" s="414">
        <v>39027</v>
      </c>
      <c r="B44" s="414" t="s">
        <v>2518</v>
      </c>
      <c r="C44" s="415">
        <v>92</v>
      </c>
      <c r="D44" s="414">
        <v>39119</v>
      </c>
      <c r="E44" s="418">
        <v>6</v>
      </c>
      <c r="F44" s="416">
        <v>7.1470000000000002</v>
      </c>
      <c r="G44" s="416">
        <v>6</v>
      </c>
      <c r="H44" s="417">
        <v>9.4799999999999995E-2</v>
      </c>
      <c r="I44" s="417">
        <v>9.9600000000000008E-2</v>
      </c>
      <c r="J44" s="417">
        <v>9.9599999999999994E-2</v>
      </c>
      <c r="K44" s="238"/>
      <c r="L44" s="415">
        <v>5</v>
      </c>
      <c r="CC44" s="402">
        <v>-95</v>
      </c>
      <c r="CD44" s="407">
        <f t="shared" si="0"/>
        <v>-95</v>
      </c>
    </row>
    <row r="45" spans="1:82" hidden="1">
      <c r="A45" s="414">
        <v>39035</v>
      </c>
      <c r="B45" s="414" t="s">
        <v>2519</v>
      </c>
      <c r="C45" s="415">
        <v>91</v>
      </c>
      <c r="D45" s="414">
        <v>39126</v>
      </c>
      <c r="E45" s="418">
        <v>6</v>
      </c>
      <c r="F45" s="416">
        <v>9.6999999999999993</v>
      </c>
      <c r="G45" s="416">
        <v>6</v>
      </c>
      <c r="H45" s="417">
        <v>9.5799999999999996E-2</v>
      </c>
      <c r="I45" s="417">
        <v>9.4800000000000009E-2</v>
      </c>
      <c r="J45" s="417">
        <v>9.4600000000000004E-2</v>
      </c>
      <c r="K45" s="238"/>
      <c r="L45" s="415">
        <v>6</v>
      </c>
      <c r="CD45" s="407"/>
    </row>
    <row r="46" spans="1:82" hidden="1">
      <c r="A46" s="414">
        <v>39042</v>
      </c>
      <c r="B46" s="414" t="s">
        <v>2520</v>
      </c>
      <c r="C46" s="415">
        <v>175</v>
      </c>
      <c r="D46" s="414">
        <v>39217</v>
      </c>
      <c r="E46" s="418">
        <v>5</v>
      </c>
      <c r="F46" s="416">
        <v>8.9810000000000016</v>
      </c>
      <c r="G46" s="416">
        <v>5</v>
      </c>
      <c r="H46" s="417">
        <v>9.6000000000000002E-2</v>
      </c>
      <c r="I46" s="417">
        <v>9.69E-2</v>
      </c>
      <c r="J46" s="417">
        <v>9.5799999999999996E-2</v>
      </c>
      <c r="K46" s="238"/>
      <c r="L46" s="415">
        <v>4</v>
      </c>
      <c r="CC46" s="402">
        <v>0</v>
      </c>
      <c r="CD46" s="407">
        <f t="shared" si="0"/>
        <v>0</v>
      </c>
    </row>
    <row r="47" spans="1:82" hidden="1">
      <c r="A47" s="414">
        <v>39049</v>
      </c>
      <c r="B47" s="414" t="s">
        <v>2521</v>
      </c>
      <c r="C47" s="415">
        <v>364</v>
      </c>
      <c r="D47" s="414">
        <v>39413</v>
      </c>
      <c r="E47" s="418">
        <v>6</v>
      </c>
      <c r="F47" s="416">
        <v>5.7102000000000004</v>
      </c>
      <c r="G47" s="416">
        <v>2.5943999999999998</v>
      </c>
      <c r="H47" s="417">
        <v>9.9099999999999994E-2</v>
      </c>
      <c r="I47" s="417">
        <v>0.1</v>
      </c>
      <c r="J47" s="417">
        <v>9.6000000000000002E-2</v>
      </c>
      <c r="K47" s="238"/>
      <c r="L47" s="415">
        <v>5</v>
      </c>
      <c r="CD47" s="407"/>
    </row>
    <row r="48" spans="1:82" hidden="1">
      <c r="A48" s="414">
        <v>39056</v>
      </c>
      <c r="B48" s="414" t="s">
        <v>2522</v>
      </c>
      <c r="C48" s="415">
        <v>91</v>
      </c>
      <c r="D48" s="414">
        <v>39147</v>
      </c>
      <c r="E48" s="418">
        <v>7</v>
      </c>
      <c r="F48" s="416">
        <v>5.6942000000000004</v>
      </c>
      <c r="G48" s="416">
        <v>5.6942000000000004</v>
      </c>
      <c r="H48" s="1477">
        <v>0.10829999999999999</v>
      </c>
      <c r="I48" s="417">
        <v>0.105</v>
      </c>
      <c r="J48" s="417">
        <v>0.1003</v>
      </c>
      <c r="K48" s="238"/>
      <c r="L48" s="415">
        <v>4</v>
      </c>
      <c r="CC48" s="402">
        <f>CC49-CC53</f>
        <v>481</v>
      </c>
      <c r="CD48" s="407">
        <f t="shared" si="0"/>
        <v>481</v>
      </c>
    </row>
    <row r="49" spans="1:82" hidden="1">
      <c r="A49" s="414">
        <v>39063</v>
      </c>
      <c r="B49" s="414" t="s">
        <v>2523</v>
      </c>
      <c r="C49" s="415">
        <v>91</v>
      </c>
      <c r="D49" s="414">
        <v>39154</v>
      </c>
      <c r="E49" s="418">
        <v>6</v>
      </c>
      <c r="F49" s="416">
        <v>6</v>
      </c>
      <c r="G49" s="416">
        <v>6</v>
      </c>
      <c r="H49" s="1477">
        <v>0.11</v>
      </c>
      <c r="I49" s="417">
        <v>0.11</v>
      </c>
      <c r="J49" s="417">
        <v>0.10920000000000001</v>
      </c>
      <c r="K49" s="238"/>
      <c r="L49" s="415">
        <v>2</v>
      </c>
      <c r="CC49" s="402">
        <f>CC51+CC52</f>
        <v>965</v>
      </c>
      <c r="CD49" s="407">
        <f t="shared" si="0"/>
        <v>965</v>
      </c>
    </row>
    <row r="50" spans="1:82" hidden="1">
      <c r="A50" s="414">
        <v>39070</v>
      </c>
      <c r="B50" s="414" t="s">
        <v>2524</v>
      </c>
      <c r="C50" s="415">
        <v>182</v>
      </c>
      <c r="D50" s="414">
        <v>39252</v>
      </c>
      <c r="E50" s="418">
        <v>2</v>
      </c>
      <c r="F50" s="416">
        <v>0.158</v>
      </c>
      <c r="G50" s="416">
        <v>0.105</v>
      </c>
      <c r="H50" s="1477">
        <v>9.9099999999999994E-2</v>
      </c>
      <c r="I50" s="417">
        <v>0.11</v>
      </c>
      <c r="J50" s="417">
        <v>0.11</v>
      </c>
      <c r="K50" s="238"/>
      <c r="L50" s="415">
        <v>3</v>
      </c>
      <c r="CD50" s="407"/>
    </row>
    <row r="51" spans="1:82" hidden="1">
      <c r="A51" s="414">
        <v>39073</v>
      </c>
      <c r="B51" s="414" t="s">
        <v>2525</v>
      </c>
      <c r="C51" s="415">
        <v>91</v>
      </c>
      <c r="D51" s="414">
        <v>39164</v>
      </c>
      <c r="E51" s="418">
        <v>5</v>
      </c>
      <c r="F51" s="416">
        <v>1.1994</v>
      </c>
      <c r="G51" s="416">
        <v>1.1994</v>
      </c>
      <c r="H51" s="1477">
        <v>0.1028</v>
      </c>
      <c r="I51" s="417">
        <v>9.9100000000000008E-2</v>
      </c>
      <c r="J51" s="417">
        <v>9.9099999999999994E-2</v>
      </c>
      <c r="K51" s="238"/>
      <c r="L51" s="415">
        <v>1</v>
      </c>
      <c r="CC51" s="402">
        <v>954</v>
      </c>
      <c r="CD51" s="407">
        <f t="shared" si="0"/>
        <v>954</v>
      </c>
    </row>
    <row r="52" spans="1:82" hidden="1">
      <c r="A52" s="414">
        <v>39076</v>
      </c>
      <c r="B52" s="414" t="s">
        <v>2526</v>
      </c>
      <c r="C52" s="415">
        <v>91</v>
      </c>
      <c r="D52" s="414">
        <v>39167</v>
      </c>
      <c r="E52" s="418">
        <v>6</v>
      </c>
      <c r="F52" s="416">
        <v>0.39119999999999999</v>
      </c>
      <c r="G52" s="416">
        <v>0.39119999999999999</v>
      </c>
      <c r="H52" s="1477">
        <v>0.1091</v>
      </c>
      <c r="I52" s="417">
        <v>0.11890000000000001</v>
      </c>
      <c r="J52" s="417">
        <v>0.1164</v>
      </c>
      <c r="K52" s="238"/>
      <c r="L52" s="415">
        <v>2</v>
      </c>
      <c r="CC52" s="402">
        <v>11</v>
      </c>
      <c r="CD52" s="407">
        <f t="shared" si="0"/>
        <v>11</v>
      </c>
    </row>
    <row r="53" spans="1:82" hidden="1">
      <c r="A53" s="414">
        <v>39079</v>
      </c>
      <c r="B53" s="414" t="s">
        <v>2527</v>
      </c>
      <c r="C53" s="415">
        <v>96</v>
      </c>
      <c r="D53" s="414">
        <v>39175</v>
      </c>
      <c r="E53" s="418">
        <v>4</v>
      </c>
      <c r="F53" s="416">
        <v>3.3719999999999999</v>
      </c>
      <c r="G53" s="416">
        <v>3.3719999999999999</v>
      </c>
      <c r="H53" s="1477">
        <v>0.11559999999999999</v>
      </c>
      <c r="I53" s="417">
        <v>0.11599999999999999</v>
      </c>
      <c r="J53" s="417">
        <v>0.114</v>
      </c>
      <c r="K53" s="238"/>
      <c r="L53" s="415">
        <v>2</v>
      </c>
      <c r="CC53" s="402">
        <f>CC55+CC56+CC57+CC58</f>
        <v>484</v>
      </c>
      <c r="CD53" s="407">
        <f t="shared" si="0"/>
        <v>484</v>
      </c>
    </row>
    <row r="54" spans="1:82" hidden="1">
      <c r="A54" s="2007"/>
      <c r="B54" s="2007"/>
      <c r="C54" s="2008"/>
      <c r="D54" s="2007"/>
      <c r="E54" s="2009"/>
      <c r="F54" s="2010"/>
      <c r="G54" s="2010"/>
      <c r="H54" s="2011"/>
      <c r="I54" s="2011"/>
      <c r="J54" s="2011"/>
      <c r="K54" s="2012"/>
      <c r="L54" s="2008"/>
      <c r="CD54" s="407"/>
    </row>
    <row r="55" spans="1:82" hidden="1">
      <c r="A55" s="2008">
        <v>2007</v>
      </c>
      <c r="B55" s="2007"/>
      <c r="C55" s="2008"/>
      <c r="D55" s="2007"/>
      <c r="E55" s="2009"/>
      <c r="F55" s="2010"/>
      <c r="G55" s="2010"/>
      <c r="H55" s="2011"/>
      <c r="I55" s="2011"/>
      <c r="J55" s="2011"/>
      <c r="K55" s="2012"/>
      <c r="L55" s="2008"/>
      <c r="CC55" s="402">
        <v>1214</v>
      </c>
      <c r="CD55" s="407">
        <f t="shared" si="0"/>
        <v>1214</v>
      </c>
    </row>
    <row r="56" spans="1:82" s="423" customFormat="1" hidden="1">
      <c r="A56" s="419">
        <v>39090</v>
      </c>
      <c r="B56" s="419" t="s">
        <v>420</v>
      </c>
      <c r="C56" s="420">
        <v>92</v>
      </c>
      <c r="D56" s="419">
        <v>39182</v>
      </c>
      <c r="E56" s="421">
        <v>5</v>
      </c>
      <c r="F56" s="422">
        <v>3.6008</v>
      </c>
      <c r="G56" s="422">
        <v>1.1601999999999999</v>
      </c>
      <c r="H56" s="422">
        <v>10.01</v>
      </c>
      <c r="I56" s="422">
        <v>10.01</v>
      </c>
      <c r="J56" s="422">
        <v>10.01</v>
      </c>
      <c r="K56" s="2013"/>
      <c r="L56" s="420">
        <v>4</v>
      </c>
      <c r="CC56" s="423">
        <v>-745</v>
      </c>
      <c r="CD56" s="407">
        <f t="shared" si="0"/>
        <v>-745</v>
      </c>
    </row>
    <row r="57" spans="1:82" hidden="1">
      <c r="A57" s="414">
        <v>39090</v>
      </c>
      <c r="B57" s="414" t="s">
        <v>420</v>
      </c>
      <c r="C57" s="415">
        <v>92</v>
      </c>
      <c r="D57" s="414">
        <v>39182</v>
      </c>
      <c r="E57" s="418">
        <v>5</v>
      </c>
      <c r="F57" s="416">
        <v>3.6008</v>
      </c>
      <c r="G57" s="416">
        <v>1.1601999999999999</v>
      </c>
      <c r="H57" s="416">
        <v>10.01</v>
      </c>
      <c r="I57" s="416">
        <v>10.01</v>
      </c>
      <c r="J57" s="416">
        <v>10.01</v>
      </c>
      <c r="K57" s="238"/>
      <c r="L57" s="415">
        <v>4</v>
      </c>
      <c r="CC57" s="402">
        <v>0</v>
      </c>
      <c r="CD57" s="407">
        <f>BY57+BZ57+CA57+CC57</f>
        <v>0</v>
      </c>
    </row>
    <row r="58" spans="1:82" s="423" customFormat="1" hidden="1">
      <c r="A58" s="419">
        <v>39119</v>
      </c>
      <c r="B58" s="419" t="s">
        <v>421</v>
      </c>
      <c r="C58" s="420">
        <v>91</v>
      </c>
      <c r="D58" s="419">
        <v>39210</v>
      </c>
      <c r="E58" s="421">
        <v>7</v>
      </c>
      <c r="F58" s="422">
        <v>6.9305000000000003</v>
      </c>
      <c r="G58" s="422">
        <v>7</v>
      </c>
      <c r="H58" s="422">
        <v>10.029999999999999</v>
      </c>
      <c r="I58" s="422">
        <v>10.029999999999999</v>
      </c>
      <c r="J58" s="422">
        <v>10.029999999999999</v>
      </c>
      <c r="K58" s="424"/>
      <c r="L58" s="420">
        <v>3</v>
      </c>
      <c r="CC58" s="423">
        <v>15</v>
      </c>
      <c r="CD58" s="407">
        <f>BY58+BZ58+CA58+CC58</f>
        <v>15</v>
      </c>
    </row>
    <row r="59" spans="1:82" hidden="1">
      <c r="A59" s="414">
        <v>39126</v>
      </c>
      <c r="B59" s="414" t="s">
        <v>422</v>
      </c>
      <c r="C59" s="415">
        <v>93</v>
      </c>
      <c r="D59" s="414">
        <v>39219</v>
      </c>
      <c r="E59" s="418">
        <v>7</v>
      </c>
      <c r="F59" s="416">
        <v>8.0876999999999999</v>
      </c>
      <c r="G59" s="416">
        <v>7</v>
      </c>
      <c r="H59" s="416">
        <v>9.9</v>
      </c>
      <c r="I59" s="416">
        <v>10.02</v>
      </c>
      <c r="J59" s="416">
        <v>9.94</v>
      </c>
      <c r="K59" s="238"/>
      <c r="L59" s="415">
        <v>3</v>
      </c>
      <c r="CC59" s="402">
        <v>-372</v>
      </c>
      <c r="CD59" s="407">
        <f>BY59+BZ59+CA59+CC59</f>
        <v>-372</v>
      </c>
    </row>
    <row r="60" spans="1:82" hidden="1">
      <c r="A60" s="414">
        <v>39133</v>
      </c>
      <c r="B60" s="414" t="s">
        <v>423</v>
      </c>
      <c r="C60" s="415">
        <v>182</v>
      </c>
      <c r="D60" s="414">
        <v>39315</v>
      </c>
      <c r="E60" s="418">
        <v>2</v>
      </c>
      <c r="F60" s="416">
        <v>1.8116000000000001</v>
      </c>
      <c r="G60" s="416">
        <v>1.8116000000000001</v>
      </c>
      <c r="H60" s="416">
        <v>10</v>
      </c>
      <c r="I60" s="416">
        <v>10.02</v>
      </c>
      <c r="J60" s="416">
        <v>10.02</v>
      </c>
      <c r="K60" s="238"/>
      <c r="L60" s="415">
        <v>2</v>
      </c>
      <c r="CC60" s="402">
        <v>-231</v>
      </c>
      <c r="CD60" s="407">
        <f>BY60+BZ60+CA60+CC60</f>
        <v>-231</v>
      </c>
    </row>
    <row r="61" spans="1:82" s="423" customFormat="1" hidden="1">
      <c r="A61" s="419">
        <v>39140</v>
      </c>
      <c r="B61" s="419" t="s">
        <v>424</v>
      </c>
      <c r="C61" s="420">
        <v>364</v>
      </c>
      <c r="D61" s="419">
        <v>39504</v>
      </c>
      <c r="E61" s="421">
        <v>2</v>
      </c>
      <c r="F61" s="422">
        <v>0.11119999999999999</v>
      </c>
      <c r="G61" s="422">
        <v>0</v>
      </c>
      <c r="H61" s="422">
        <v>10.029999999999999</v>
      </c>
      <c r="I61" s="422">
        <v>0</v>
      </c>
      <c r="J61" s="422">
        <v>0</v>
      </c>
      <c r="K61" s="424"/>
      <c r="L61" s="420">
        <v>0</v>
      </c>
      <c r="CD61" s="407"/>
    </row>
    <row r="62" spans="1:82" hidden="1">
      <c r="A62" s="414">
        <v>39147</v>
      </c>
      <c r="B62" s="414" t="s">
        <v>425</v>
      </c>
      <c r="C62" s="415">
        <v>91</v>
      </c>
      <c r="D62" s="414">
        <v>39238</v>
      </c>
      <c r="E62" s="418">
        <v>6</v>
      </c>
      <c r="F62" s="416">
        <v>7.0288000000000004</v>
      </c>
      <c r="G62" s="416">
        <v>6</v>
      </c>
      <c r="H62" s="416">
        <v>9.91</v>
      </c>
      <c r="I62" s="416">
        <v>9.99</v>
      </c>
      <c r="J62" s="416">
        <v>9.9500000000000011</v>
      </c>
      <c r="K62" s="238"/>
      <c r="L62" s="415">
        <v>5</v>
      </c>
      <c r="CC62" s="402">
        <f>CC9+CC46-CC48+CC59-CC60</f>
        <v>0</v>
      </c>
      <c r="CD62" s="407">
        <f>BY62+BZ62+CA62+CC62</f>
        <v>0</v>
      </c>
    </row>
    <row r="63" spans="1:82" s="423" customFormat="1" hidden="1">
      <c r="A63" s="419">
        <v>39154</v>
      </c>
      <c r="B63" s="419" t="s">
        <v>426</v>
      </c>
      <c r="C63" s="420">
        <v>182</v>
      </c>
      <c r="D63" s="419">
        <v>39336</v>
      </c>
      <c r="E63" s="421">
        <v>7</v>
      </c>
      <c r="F63" s="422">
        <v>0.65580000000000005</v>
      </c>
      <c r="G63" s="422">
        <v>0.65580000000000005</v>
      </c>
      <c r="H63" s="422">
        <v>9.9599999999999991</v>
      </c>
      <c r="I63" s="422">
        <v>9.9600000000000009</v>
      </c>
      <c r="J63" s="422">
        <v>9.9599999999999991</v>
      </c>
      <c r="K63" s="424"/>
      <c r="L63" s="420">
        <v>3</v>
      </c>
    </row>
    <row r="64" spans="1:82" hidden="1">
      <c r="A64" s="414">
        <v>39160</v>
      </c>
      <c r="B64" s="414" t="s">
        <v>427</v>
      </c>
      <c r="C64" s="415">
        <v>98</v>
      </c>
      <c r="D64" s="414">
        <v>39258</v>
      </c>
      <c r="E64" s="418">
        <v>3</v>
      </c>
      <c r="F64" s="416">
        <v>2.4967999999999999</v>
      </c>
      <c r="G64" s="416">
        <v>2.4967999999999999</v>
      </c>
      <c r="H64" s="416">
        <v>10.02</v>
      </c>
      <c r="I64" s="416">
        <v>10.49</v>
      </c>
      <c r="J64" s="416">
        <v>10.41</v>
      </c>
      <c r="K64" s="238"/>
      <c r="L64" s="415">
        <v>3</v>
      </c>
    </row>
    <row r="65" spans="1:12" hidden="1">
      <c r="A65" s="414">
        <v>39168</v>
      </c>
      <c r="B65" s="414">
        <v>0</v>
      </c>
      <c r="C65" s="415">
        <v>157</v>
      </c>
      <c r="D65" s="414">
        <v>39325</v>
      </c>
      <c r="E65" s="418">
        <v>3</v>
      </c>
      <c r="F65" s="416">
        <v>0</v>
      </c>
      <c r="G65" s="416">
        <v>0</v>
      </c>
      <c r="H65" s="416">
        <v>9.9</v>
      </c>
      <c r="I65" s="416">
        <v>0</v>
      </c>
      <c r="J65" s="416">
        <v>0</v>
      </c>
      <c r="K65" s="238"/>
      <c r="L65" s="415">
        <v>0</v>
      </c>
    </row>
    <row r="66" spans="1:12" s="423" customFormat="1" hidden="1">
      <c r="A66" s="419">
        <v>39175</v>
      </c>
      <c r="B66" s="419" t="s">
        <v>428</v>
      </c>
      <c r="C66" s="420">
        <v>91</v>
      </c>
      <c r="D66" s="419">
        <v>39266</v>
      </c>
      <c r="E66" s="421">
        <v>4</v>
      </c>
      <c r="F66" s="422">
        <v>3.4529999999999998</v>
      </c>
      <c r="G66" s="422">
        <v>3.4529999999999998</v>
      </c>
      <c r="H66" s="422">
        <v>10.199999999999999</v>
      </c>
      <c r="I66" s="422">
        <v>10.5</v>
      </c>
      <c r="J66" s="422">
        <v>10.280000000000001</v>
      </c>
      <c r="K66" s="424"/>
      <c r="L66" s="420">
        <v>2</v>
      </c>
    </row>
    <row r="67" spans="1:12" hidden="1">
      <c r="A67" s="414">
        <v>39182</v>
      </c>
      <c r="B67" s="414" t="s">
        <v>429</v>
      </c>
      <c r="C67" s="415">
        <v>182</v>
      </c>
      <c r="D67" s="414">
        <v>39364</v>
      </c>
      <c r="E67" s="418">
        <v>2</v>
      </c>
      <c r="F67" s="416">
        <v>2.3847999999999998</v>
      </c>
      <c r="G67" s="416">
        <v>2</v>
      </c>
      <c r="H67" s="416">
        <v>10.83</v>
      </c>
      <c r="I67" s="416">
        <v>10.98</v>
      </c>
      <c r="J67" s="416">
        <v>10.6</v>
      </c>
      <c r="K67" s="238"/>
      <c r="L67" s="415">
        <v>4</v>
      </c>
    </row>
    <row r="68" spans="1:12" s="423" customFormat="1" hidden="1">
      <c r="A68" s="419">
        <v>39189</v>
      </c>
      <c r="B68" s="419" t="s">
        <v>430</v>
      </c>
      <c r="C68" s="420">
        <v>91</v>
      </c>
      <c r="D68" s="419">
        <v>39280</v>
      </c>
      <c r="E68" s="421">
        <v>3</v>
      </c>
      <c r="F68" s="422">
        <v>3.1749999999999998</v>
      </c>
      <c r="G68" s="422">
        <v>3</v>
      </c>
      <c r="H68" s="422">
        <v>11.01</v>
      </c>
      <c r="I68" s="422">
        <v>10.88</v>
      </c>
      <c r="J68" s="422">
        <v>10.83</v>
      </c>
      <c r="K68" s="424"/>
      <c r="L68" s="420">
        <v>4</v>
      </c>
    </row>
    <row r="69" spans="1:12" hidden="1">
      <c r="A69" s="414">
        <v>39196</v>
      </c>
      <c r="B69" s="414" t="s">
        <v>431</v>
      </c>
      <c r="C69" s="415">
        <v>364</v>
      </c>
      <c r="D69" s="414">
        <v>39560</v>
      </c>
      <c r="E69" s="418">
        <v>4</v>
      </c>
      <c r="F69" s="416">
        <v>1.14E-2</v>
      </c>
      <c r="G69" s="416">
        <v>1.14E-2</v>
      </c>
      <c r="H69" s="416">
        <v>10.24</v>
      </c>
      <c r="I69" s="416">
        <v>11.01</v>
      </c>
      <c r="J69" s="416">
        <v>11.01</v>
      </c>
      <c r="K69" s="238"/>
      <c r="L69" s="415">
        <v>1</v>
      </c>
    </row>
    <row r="70" spans="1:12" s="423" customFormat="1" hidden="1">
      <c r="A70" s="419">
        <v>39203</v>
      </c>
      <c r="B70" s="419" t="s">
        <v>432</v>
      </c>
      <c r="C70" s="420">
        <v>91</v>
      </c>
      <c r="D70" s="419">
        <v>39294</v>
      </c>
      <c r="E70" s="421">
        <v>5</v>
      </c>
      <c r="F70" s="422">
        <v>5</v>
      </c>
      <c r="G70" s="422">
        <v>5</v>
      </c>
      <c r="H70" s="422">
        <v>10.979999999999999</v>
      </c>
      <c r="I70" s="422">
        <v>10.24</v>
      </c>
      <c r="J70" s="422">
        <v>10.24</v>
      </c>
      <c r="K70" s="424"/>
      <c r="L70" s="420">
        <v>5</v>
      </c>
    </row>
    <row r="71" spans="1:12" hidden="1">
      <c r="A71" s="414">
        <v>39210</v>
      </c>
      <c r="B71" s="414" t="s">
        <v>433</v>
      </c>
      <c r="C71" s="415">
        <v>182</v>
      </c>
      <c r="D71" s="414">
        <v>39392</v>
      </c>
      <c r="E71" s="418">
        <v>8</v>
      </c>
      <c r="F71" s="416">
        <v>4.0819999999999999</v>
      </c>
      <c r="G71" s="416">
        <v>4.0819999999999999</v>
      </c>
      <c r="H71" s="416">
        <v>10.96</v>
      </c>
      <c r="I71" s="416">
        <v>10.98</v>
      </c>
      <c r="J71" s="416">
        <v>10.979999999999999</v>
      </c>
      <c r="K71" s="238"/>
      <c r="L71" s="415">
        <v>2</v>
      </c>
    </row>
    <row r="72" spans="1:12" s="423" customFormat="1" hidden="1">
      <c r="A72" s="419">
        <v>39217</v>
      </c>
      <c r="B72" s="419" t="s">
        <v>434</v>
      </c>
      <c r="C72" s="420">
        <v>91</v>
      </c>
      <c r="D72" s="419">
        <v>39308</v>
      </c>
      <c r="E72" s="421">
        <v>10</v>
      </c>
      <c r="F72" s="422">
        <v>6.3090000000000002</v>
      </c>
      <c r="G72" s="422">
        <v>6.3090000000000002</v>
      </c>
      <c r="H72" s="422">
        <v>11</v>
      </c>
      <c r="I72" s="422">
        <v>10.96</v>
      </c>
      <c r="J72" s="422">
        <v>10.96</v>
      </c>
      <c r="K72" s="424"/>
      <c r="L72" s="420">
        <v>7</v>
      </c>
    </row>
    <row r="73" spans="1:12" hidden="1">
      <c r="A73" s="414">
        <v>39223</v>
      </c>
      <c r="B73" s="414" t="s">
        <v>435</v>
      </c>
      <c r="C73" s="415">
        <v>365</v>
      </c>
      <c r="D73" s="414">
        <v>39588</v>
      </c>
      <c r="E73" s="418">
        <v>2</v>
      </c>
      <c r="F73" s="416">
        <v>1.3262</v>
      </c>
      <c r="G73" s="416">
        <v>1.3262</v>
      </c>
      <c r="H73" s="416">
        <v>10.96</v>
      </c>
      <c r="I73" s="416">
        <v>11</v>
      </c>
      <c r="J73" s="416">
        <v>11</v>
      </c>
      <c r="K73" s="238"/>
      <c r="L73" s="415">
        <v>1</v>
      </c>
    </row>
    <row r="74" spans="1:12" s="423" customFormat="1" hidden="1">
      <c r="A74" s="419">
        <v>39231</v>
      </c>
      <c r="B74" s="419" t="s">
        <v>436</v>
      </c>
      <c r="C74" s="420">
        <v>91</v>
      </c>
      <c r="D74" s="419">
        <v>39322</v>
      </c>
      <c r="E74" s="421">
        <v>10</v>
      </c>
      <c r="F74" s="422">
        <v>1.2996000000000001</v>
      </c>
      <c r="G74" s="422">
        <v>8.2156000000000002</v>
      </c>
      <c r="H74" s="422">
        <v>10.96</v>
      </c>
      <c r="I74" s="422">
        <v>11</v>
      </c>
      <c r="J74" s="422">
        <v>10.96</v>
      </c>
      <c r="K74" s="424"/>
      <c r="L74" s="420">
        <v>2</v>
      </c>
    </row>
    <row r="75" spans="1:12" hidden="1">
      <c r="A75" s="414">
        <v>39238</v>
      </c>
      <c r="B75" s="414" t="s">
        <v>437</v>
      </c>
      <c r="C75" s="415">
        <v>91</v>
      </c>
      <c r="D75" s="414">
        <v>39329</v>
      </c>
      <c r="E75" s="418">
        <v>7</v>
      </c>
      <c r="F75" s="416">
        <v>6.1534000000000004</v>
      </c>
      <c r="G75" s="416">
        <v>6.1534000000000004</v>
      </c>
      <c r="H75" s="416">
        <v>10.979999999999999</v>
      </c>
      <c r="I75" s="416">
        <v>11</v>
      </c>
      <c r="J75" s="416">
        <v>11</v>
      </c>
      <c r="K75" s="238"/>
      <c r="L75" s="415">
        <v>5</v>
      </c>
    </row>
    <row r="76" spans="1:12" s="423" customFormat="1" hidden="1">
      <c r="A76" s="419">
        <v>39245</v>
      </c>
      <c r="B76" s="419" t="s">
        <v>438</v>
      </c>
      <c r="C76" s="420">
        <v>182</v>
      </c>
      <c r="D76" s="419">
        <v>39427</v>
      </c>
      <c r="E76" s="421">
        <v>3</v>
      </c>
      <c r="F76" s="422">
        <v>0.49619999999999997</v>
      </c>
      <c r="G76" s="422">
        <v>3</v>
      </c>
      <c r="H76" s="422">
        <v>12.09</v>
      </c>
      <c r="I76" s="422">
        <v>11</v>
      </c>
      <c r="J76" s="422">
        <v>11</v>
      </c>
      <c r="K76" s="424"/>
      <c r="L76" s="420">
        <v>2</v>
      </c>
    </row>
    <row r="77" spans="1:12" hidden="1">
      <c r="A77" s="414">
        <v>39247</v>
      </c>
      <c r="B77" s="414" t="s">
        <v>439</v>
      </c>
      <c r="C77" s="415">
        <v>365</v>
      </c>
      <c r="D77" s="414">
        <v>39612</v>
      </c>
      <c r="E77" s="418">
        <v>10</v>
      </c>
      <c r="F77" s="416">
        <v>1.3668</v>
      </c>
      <c r="G77" s="416">
        <v>1.3668</v>
      </c>
      <c r="H77" s="416">
        <v>10.96</v>
      </c>
      <c r="I77" s="416">
        <v>12.5</v>
      </c>
      <c r="J77" s="416">
        <v>12.5</v>
      </c>
      <c r="K77" s="238"/>
      <c r="L77" s="415">
        <v>4</v>
      </c>
    </row>
    <row r="78" spans="1:12" s="423" customFormat="1" hidden="1">
      <c r="A78" s="419">
        <v>39252</v>
      </c>
      <c r="B78" s="419" t="s">
        <v>440</v>
      </c>
      <c r="C78" s="420">
        <v>91</v>
      </c>
      <c r="D78" s="419">
        <v>39343</v>
      </c>
      <c r="E78" s="421">
        <v>5</v>
      </c>
      <c r="F78" s="422">
        <v>1.6424000000000001</v>
      </c>
      <c r="G78" s="422">
        <v>1.6424000000000001</v>
      </c>
      <c r="H78" s="422">
        <v>11.55</v>
      </c>
      <c r="I78" s="422">
        <v>11.55</v>
      </c>
      <c r="J78" s="422">
        <v>11.17</v>
      </c>
      <c r="K78" s="424"/>
      <c r="L78" s="420">
        <v>4</v>
      </c>
    </row>
    <row r="79" spans="1:12" hidden="1">
      <c r="A79" s="414">
        <v>39258</v>
      </c>
      <c r="B79" s="414" t="s">
        <v>441</v>
      </c>
      <c r="C79" s="415">
        <v>88</v>
      </c>
      <c r="D79" s="414">
        <v>39346</v>
      </c>
      <c r="E79" s="418">
        <v>3</v>
      </c>
      <c r="F79" s="416">
        <v>1.028</v>
      </c>
      <c r="G79" s="416">
        <v>1.028</v>
      </c>
      <c r="H79" s="416">
        <v>13.08</v>
      </c>
      <c r="I79" s="416">
        <v>11.55</v>
      </c>
      <c r="J79" s="416">
        <v>11.55</v>
      </c>
      <c r="K79" s="238"/>
      <c r="L79" s="415">
        <v>1</v>
      </c>
    </row>
    <row r="80" spans="1:12" s="423" customFormat="1" hidden="1">
      <c r="A80" s="419">
        <v>39261</v>
      </c>
      <c r="B80" s="419" t="s">
        <v>442</v>
      </c>
      <c r="C80" s="420">
        <v>365</v>
      </c>
      <c r="D80" s="419">
        <v>39626</v>
      </c>
      <c r="E80" s="421">
        <v>12</v>
      </c>
      <c r="F80" s="422">
        <v>6.4458000000000002</v>
      </c>
      <c r="G80" s="422">
        <v>6.4458000000000002</v>
      </c>
      <c r="H80" s="422">
        <v>11.57</v>
      </c>
      <c r="I80" s="422">
        <v>13.100000000000001</v>
      </c>
      <c r="J80" s="422">
        <v>13.100000000000001</v>
      </c>
      <c r="K80" s="424"/>
      <c r="L80" s="420">
        <v>3</v>
      </c>
    </row>
    <row r="81" spans="1:12" hidden="1">
      <c r="A81" s="414">
        <v>39266</v>
      </c>
      <c r="B81" s="414" t="s">
        <v>443</v>
      </c>
      <c r="C81" s="415">
        <v>184</v>
      </c>
      <c r="D81" s="414">
        <v>39450</v>
      </c>
      <c r="E81" s="418">
        <v>2</v>
      </c>
      <c r="F81" s="416">
        <v>3.1371000000000002</v>
      </c>
      <c r="G81" s="416">
        <v>2</v>
      </c>
      <c r="H81" s="416">
        <v>13.07</v>
      </c>
      <c r="I81" s="416">
        <v>11.79</v>
      </c>
      <c r="J81" s="416">
        <v>11.57</v>
      </c>
      <c r="K81" s="238"/>
      <c r="L81" s="415">
        <v>4</v>
      </c>
    </row>
    <row r="82" spans="1:12" s="423" customFormat="1" hidden="1">
      <c r="A82" s="419">
        <v>39268</v>
      </c>
      <c r="B82" s="419" t="s">
        <v>444</v>
      </c>
      <c r="C82" s="420">
        <v>365</v>
      </c>
      <c r="D82" s="419">
        <v>39633</v>
      </c>
      <c r="E82" s="421">
        <v>10</v>
      </c>
      <c r="F82" s="422">
        <v>7.2465999999999999</v>
      </c>
      <c r="G82" s="422">
        <v>7.2465999999999999</v>
      </c>
      <c r="H82" s="422">
        <v>11.5</v>
      </c>
      <c r="I82" s="422">
        <v>13.100000000000001</v>
      </c>
      <c r="J82" s="422">
        <v>13.07</v>
      </c>
      <c r="K82" s="424"/>
      <c r="L82" s="420">
        <v>5</v>
      </c>
    </row>
    <row r="83" spans="1:12" hidden="1">
      <c r="A83" s="414">
        <v>39273</v>
      </c>
      <c r="B83" s="414" t="s">
        <v>445</v>
      </c>
      <c r="C83" s="415">
        <v>84</v>
      </c>
      <c r="D83" s="414">
        <v>39357</v>
      </c>
      <c r="E83" s="418">
        <v>2</v>
      </c>
      <c r="F83" s="416">
        <v>2.4557000000000002</v>
      </c>
      <c r="G83" s="416">
        <v>2</v>
      </c>
      <c r="H83" s="416">
        <v>11.74</v>
      </c>
      <c r="I83" s="416">
        <v>11.6</v>
      </c>
      <c r="J83" s="416">
        <v>11.55</v>
      </c>
      <c r="K83" s="238"/>
      <c r="L83" s="415">
        <v>4</v>
      </c>
    </row>
    <row r="84" spans="1:12" s="423" customFormat="1" hidden="1">
      <c r="A84" s="419">
        <v>39280</v>
      </c>
      <c r="B84" s="419" t="s">
        <v>446</v>
      </c>
      <c r="C84" s="420">
        <v>182</v>
      </c>
      <c r="D84" s="419">
        <v>39462</v>
      </c>
      <c r="E84" s="421">
        <v>4</v>
      </c>
      <c r="F84" s="422">
        <v>3.2033999999999998</v>
      </c>
      <c r="G84" s="422">
        <v>3.2033999999999998</v>
      </c>
      <c r="H84" s="422">
        <v>11.63</v>
      </c>
      <c r="I84" s="422">
        <v>11.81</v>
      </c>
      <c r="J84" s="422">
        <v>11.74</v>
      </c>
      <c r="K84" s="424"/>
      <c r="L84" s="420">
        <v>5</v>
      </c>
    </row>
    <row r="85" spans="1:12" hidden="1">
      <c r="A85" s="414">
        <v>39287</v>
      </c>
      <c r="B85" s="414" t="s">
        <v>447</v>
      </c>
      <c r="C85" s="415">
        <v>182</v>
      </c>
      <c r="D85" s="414">
        <v>39469</v>
      </c>
      <c r="E85" s="418">
        <v>5</v>
      </c>
      <c r="F85" s="416">
        <v>10.0381</v>
      </c>
      <c r="G85" s="416">
        <v>5</v>
      </c>
      <c r="H85" s="416">
        <v>12.509999999999998</v>
      </c>
      <c r="I85" s="416">
        <v>11.67</v>
      </c>
      <c r="J85" s="416">
        <v>11.63</v>
      </c>
      <c r="K85" s="238"/>
      <c r="L85" s="415">
        <v>3</v>
      </c>
    </row>
    <row r="86" spans="1:12" s="423" customFormat="1" hidden="1">
      <c r="A86" s="419">
        <v>39290</v>
      </c>
      <c r="B86" s="419" t="s">
        <v>448</v>
      </c>
      <c r="C86" s="420">
        <v>364</v>
      </c>
      <c r="D86" s="419">
        <v>39654</v>
      </c>
      <c r="E86" s="421">
        <v>10</v>
      </c>
      <c r="F86" s="422">
        <v>16.299600000000002</v>
      </c>
      <c r="G86" s="422">
        <v>10</v>
      </c>
      <c r="H86" s="422">
        <v>11.15</v>
      </c>
      <c r="I86" s="422">
        <v>12.98</v>
      </c>
      <c r="J86" s="422">
        <v>12.509999999999998</v>
      </c>
      <c r="K86" s="424"/>
      <c r="L86" s="420">
        <v>7</v>
      </c>
    </row>
    <row r="87" spans="1:12" hidden="1">
      <c r="A87" s="414">
        <v>39294</v>
      </c>
      <c r="B87" s="414" t="s">
        <v>449</v>
      </c>
      <c r="C87" s="415">
        <v>182</v>
      </c>
      <c r="D87" s="414">
        <v>39476</v>
      </c>
      <c r="E87" s="418">
        <v>5</v>
      </c>
      <c r="F87" s="416">
        <v>11.8012</v>
      </c>
      <c r="G87" s="416">
        <v>5</v>
      </c>
      <c r="H87" s="416">
        <v>10.9</v>
      </c>
      <c r="I87" s="416">
        <v>11.2</v>
      </c>
      <c r="J87" s="416">
        <v>11.16</v>
      </c>
      <c r="K87" s="238"/>
      <c r="L87" s="415">
        <v>7</v>
      </c>
    </row>
    <row r="88" spans="1:12" s="423" customFormat="1" hidden="1">
      <c r="A88" s="419">
        <v>39296</v>
      </c>
      <c r="B88" s="419" t="s">
        <v>450</v>
      </c>
      <c r="C88" s="420">
        <v>365</v>
      </c>
      <c r="D88" s="419">
        <v>39661</v>
      </c>
      <c r="E88" s="421">
        <v>12</v>
      </c>
      <c r="F88" s="422">
        <v>26.627400000000002</v>
      </c>
      <c r="G88" s="422">
        <v>12</v>
      </c>
      <c r="H88" s="422">
        <v>10.4</v>
      </c>
      <c r="I88" s="422">
        <v>12.2</v>
      </c>
      <c r="J88" s="422">
        <v>11.74</v>
      </c>
      <c r="K88" s="424"/>
      <c r="L88" s="420">
        <v>10</v>
      </c>
    </row>
    <row r="89" spans="1:12" hidden="1">
      <c r="A89" s="414">
        <v>39301</v>
      </c>
      <c r="B89" s="414" t="s">
        <v>451</v>
      </c>
      <c r="C89" s="415">
        <v>182</v>
      </c>
      <c r="D89" s="414">
        <v>39483</v>
      </c>
      <c r="E89" s="418">
        <v>3</v>
      </c>
      <c r="F89" s="416">
        <v>7.7397999999999998</v>
      </c>
      <c r="G89" s="416">
        <v>3</v>
      </c>
      <c r="H89" s="416">
        <v>9.91</v>
      </c>
      <c r="I89" s="416">
        <v>12.01</v>
      </c>
      <c r="J89" s="416">
        <v>10.42</v>
      </c>
      <c r="K89" s="238"/>
      <c r="L89" s="415">
        <v>9</v>
      </c>
    </row>
    <row r="90" spans="1:12" s="423" customFormat="1" hidden="1">
      <c r="A90" s="419">
        <v>39308</v>
      </c>
      <c r="B90" s="419" t="s">
        <v>452</v>
      </c>
      <c r="C90" s="420">
        <v>364</v>
      </c>
      <c r="D90" s="419">
        <v>39672</v>
      </c>
      <c r="E90" s="421">
        <v>3</v>
      </c>
      <c r="F90" s="422">
        <v>5.8659999999999997</v>
      </c>
      <c r="G90" s="422">
        <v>3</v>
      </c>
      <c r="H90" s="422">
        <v>7.06</v>
      </c>
      <c r="I90" s="422">
        <v>11.01</v>
      </c>
      <c r="J90" s="422">
        <v>9.91</v>
      </c>
      <c r="K90" s="424"/>
      <c r="L90" s="420">
        <v>3</v>
      </c>
    </row>
    <row r="91" spans="1:12" hidden="1">
      <c r="A91" s="414">
        <v>39315</v>
      </c>
      <c r="B91" s="414" t="s">
        <v>453</v>
      </c>
      <c r="C91" s="415">
        <v>182</v>
      </c>
      <c r="D91" s="414">
        <v>39497</v>
      </c>
      <c r="E91" s="418">
        <v>3</v>
      </c>
      <c r="F91" s="416">
        <v>7.1566000000000001</v>
      </c>
      <c r="G91" s="416">
        <v>3</v>
      </c>
      <c r="H91" s="416">
        <v>7.99</v>
      </c>
      <c r="I91" s="416">
        <v>8.01</v>
      </c>
      <c r="J91" s="416">
        <v>7.23</v>
      </c>
      <c r="K91" s="238"/>
      <c r="L91" s="415">
        <v>6</v>
      </c>
    </row>
    <row r="92" spans="1:12" s="423" customFormat="1" hidden="1">
      <c r="A92" s="419">
        <v>39322</v>
      </c>
      <c r="B92" s="419" t="s">
        <v>454</v>
      </c>
      <c r="C92" s="420">
        <v>364</v>
      </c>
      <c r="D92" s="419">
        <v>39686</v>
      </c>
      <c r="E92" s="421">
        <v>3</v>
      </c>
      <c r="F92" s="422">
        <v>0.95220000000000005</v>
      </c>
      <c r="G92" s="422">
        <v>0.95220000000000005</v>
      </c>
      <c r="H92" s="422">
        <v>8.9700000000000006</v>
      </c>
      <c r="I92" s="422">
        <v>9</v>
      </c>
      <c r="J92" s="422">
        <v>8.83</v>
      </c>
      <c r="K92" s="424"/>
      <c r="L92" s="420">
        <v>2</v>
      </c>
    </row>
    <row r="93" spans="1:12" hidden="1">
      <c r="A93" s="414">
        <v>39325</v>
      </c>
      <c r="B93" s="414" t="s">
        <v>455</v>
      </c>
      <c r="C93" s="415">
        <v>364</v>
      </c>
      <c r="D93" s="414">
        <v>39689</v>
      </c>
      <c r="E93" s="418">
        <v>7</v>
      </c>
      <c r="F93" s="416">
        <v>7.8079999999999998</v>
      </c>
      <c r="G93" s="416">
        <v>7</v>
      </c>
      <c r="H93" s="416">
        <v>9.93</v>
      </c>
      <c r="I93" s="416">
        <v>11.01</v>
      </c>
      <c r="J93" s="416">
        <v>9</v>
      </c>
      <c r="K93" s="238"/>
      <c r="L93" s="415">
        <v>3</v>
      </c>
    </row>
    <row r="94" spans="1:12" s="423" customFormat="1" hidden="1">
      <c r="A94" s="419">
        <v>39343</v>
      </c>
      <c r="B94" s="419" t="s">
        <v>456</v>
      </c>
      <c r="C94" s="420">
        <v>182</v>
      </c>
      <c r="D94" s="419">
        <v>39525</v>
      </c>
      <c r="E94" s="421">
        <v>5</v>
      </c>
      <c r="F94" s="422">
        <v>2.9744999999999999</v>
      </c>
      <c r="G94" s="422">
        <v>3.2336</v>
      </c>
      <c r="H94" s="422">
        <v>10.34</v>
      </c>
      <c r="I94" s="422">
        <v>10.51</v>
      </c>
      <c r="J94" s="422">
        <v>9.93</v>
      </c>
      <c r="K94" s="424"/>
      <c r="L94" s="420">
        <v>4</v>
      </c>
    </row>
    <row r="95" spans="1:12" hidden="1">
      <c r="A95" s="414">
        <v>39350</v>
      </c>
      <c r="B95" s="414" t="s">
        <v>457</v>
      </c>
      <c r="C95" s="415">
        <v>364</v>
      </c>
      <c r="D95" s="414">
        <v>39714</v>
      </c>
      <c r="E95" s="418">
        <v>5</v>
      </c>
      <c r="F95" s="416">
        <v>6.0997000000000003</v>
      </c>
      <c r="G95" s="416">
        <v>1.772</v>
      </c>
      <c r="H95" s="416">
        <v>10.4</v>
      </c>
      <c r="I95" s="416">
        <v>10.5</v>
      </c>
      <c r="J95" s="416">
        <v>10.34</v>
      </c>
      <c r="K95" s="238"/>
      <c r="L95" s="415">
        <v>4</v>
      </c>
    </row>
    <row r="96" spans="1:12" s="423" customFormat="1" hidden="1">
      <c r="A96" s="419">
        <v>39353</v>
      </c>
      <c r="B96" s="419" t="s">
        <v>458</v>
      </c>
      <c r="C96" s="420">
        <v>182</v>
      </c>
      <c r="D96" s="419">
        <v>39535</v>
      </c>
      <c r="E96" s="421">
        <v>7</v>
      </c>
      <c r="F96" s="422">
        <v>6.3040000000000003</v>
      </c>
      <c r="G96" s="422">
        <v>2.6282000000000001</v>
      </c>
      <c r="H96" s="422">
        <v>10.5</v>
      </c>
      <c r="I96" s="422">
        <v>10.71</v>
      </c>
      <c r="J96" s="422">
        <v>10.4</v>
      </c>
      <c r="K96" s="424"/>
      <c r="L96" s="420">
        <v>2</v>
      </c>
    </row>
    <row r="97" spans="1:12" hidden="1">
      <c r="A97" s="414">
        <v>39360</v>
      </c>
      <c r="B97" s="414" t="s">
        <v>459</v>
      </c>
      <c r="C97" s="415">
        <v>181</v>
      </c>
      <c r="D97" s="414">
        <v>39541</v>
      </c>
      <c r="E97" s="418">
        <v>10</v>
      </c>
      <c r="F97" s="416">
        <v>1.048</v>
      </c>
      <c r="G97" s="416">
        <v>1.048</v>
      </c>
      <c r="H97" s="416">
        <v>10.45</v>
      </c>
      <c r="I97" s="416">
        <v>10.5</v>
      </c>
      <c r="J97" s="416">
        <v>10.5</v>
      </c>
      <c r="K97" s="238"/>
      <c r="L97" s="415">
        <v>1</v>
      </c>
    </row>
    <row r="98" spans="1:12" s="423" customFormat="1" hidden="1">
      <c r="A98" s="419">
        <v>39364</v>
      </c>
      <c r="B98" s="419" t="s">
        <v>460</v>
      </c>
      <c r="C98" s="420">
        <v>182</v>
      </c>
      <c r="D98" s="419">
        <v>39546</v>
      </c>
      <c r="E98" s="421">
        <v>5</v>
      </c>
      <c r="F98" s="422">
        <v>2.1640000000000001</v>
      </c>
      <c r="G98" s="422">
        <v>2.1640000000000001</v>
      </c>
      <c r="H98" s="422">
        <v>10.5</v>
      </c>
      <c r="I98" s="422">
        <v>10.56</v>
      </c>
      <c r="J98" s="422">
        <v>10.51</v>
      </c>
      <c r="K98" s="424"/>
      <c r="L98" s="420">
        <v>2</v>
      </c>
    </row>
    <row r="99" spans="1:12" hidden="1">
      <c r="A99" s="414">
        <v>39366</v>
      </c>
      <c r="B99" s="414" t="s">
        <v>461</v>
      </c>
      <c r="C99" s="415">
        <v>355</v>
      </c>
      <c r="D99" s="414">
        <v>39721</v>
      </c>
      <c r="E99" s="418">
        <v>8</v>
      </c>
      <c r="F99" s="416">
        <v>0.3286</v>
      </c>
      <c r="G99" s="416">
        <v>8</v>
      </c>
      <c r="H99" s="416">
        <v>10.35</v>
      </c>
      <c r="I99" s="416">
        <v>10.5</v>
      </c>
      <c r="J99" s="416">
        <v>10.5</v>
      </c>
      <c r="K99" s="238"/>
      <c r="L99" s="415">
        <v>1</v>
      </c>
    </row>
    <row r="100" spans="1:12" s="423" customFormat="1" hidden="1">
      <c r="A100" s="419">
        <v>39370</v>
      </c>
      <c r="B100" s="419" t="s">
        <v>462</v>
      </c>
      <c r="C100" s="420">
        <v>91</v>
      </c>
      <c r="D100" s="419">
        <v>39461</v>
      </c>
      <c r="E100" s="421">
        <v>5</v>
      </c>
      <c r="F100" s="422">
        <v>5.4573</v>
      </c>
      <c r="G100" s="422">
        <v>5</v>
      </c>
      <c r="H100" s="422">
        <v>9.99</v>
      </c>
      <c r="I100" s="422">
        <v>10.5</v>
      </c>
      <c r="J100" s="422">
        <v>10.41</v>
      </c>
      <c r="K100" s="424"/>
      <c r="L100" s="420">
        <v>4</v>
      </c>
    </row>
    <row r="101" spans="1:12" hidden="1">
      <c r="A101" s="414">
        <v>39378</v>
      </c>
      <c r="B101" s="414" t="s">
        <v>463</v>
      </c>
      <c r="C101" s="415">
        <v>91</v>
      </c>
      <c r="D101" s="414">
        <v>39469</v>
      </c>
      <c r="E101" s="418">
        <v>3</v>
      </c>
      <c r="F101" s="416">
        <v>3</v>
      </c>
      <c r="G101" s="416">
        <v>3</v>
      </c>
      <c r="H101" s="416">
        <v>10</v>
      </c>
      <c r="I101" s="416">
        <v>9.99</v>
      </c>
      <c r="J101" s="416">
        <v>9.99</v>
      </c>
      <c r="K101" s="238"/>
      <c r="L101" s="415">
        <v>4</v>
      </c>
    </row>
    <row r="102" spans="1:12" s="423" customFormat="1" hidden="1">
      <c r="A102" s="419">
        <v>39385</v>
      </c>
      <c r="B102" s="419" t="s">
        <v>464</v>
      </c>
      <c r="C102" s="420">
        <v>182</v>
      </c>
      <c r="D102" s="419">
        <v>39567</v>
      </c>
      <c r="E102" s="421">
        <v>3</v>
      </c>
      <c r="F102" s="422">
        <v>0.47099999999999997</v>
      </c>
      <c r="G102" s="422">
        <v>0.47099999999999997</v>
      </c>
      <c r="H102" s="422">
        <v>9.99</v>
      </c>
      <c r="I102" s="422">
        <v>10</v>
      </c>
      <c r="J102" s="422">
        <v>10</v>
      </c>
      <c r="K102" s="424"/>
      <c r="L102" s="420">
        <v>1</v>
      </c>
    </row>
    <row r="103" spans="1:12" hidden="1">
      <c r="A103" s="414">
        <v>39392</v>
      </c>
      <c r="B103" s="414" t="s">
        <v>465</v>
      </c>
      <c r="C103" s="415">
        <v>91</v>
      </c>
      <c r="D103" s="414">
        <v>39483</v>
      </c>
      <c r="E103" s="418">
        <v>5</v>
      </c>
      <c r="F103" s="416">
        <v>1.1674</v>
      </c>
      <c r="G103" s="416">
        <v>1.1674</v>
      </c>
      <c r="H103" s="416">
        <v>10.37</v>
      </c>
      <c r="I103" s="416">
        <v>10.55</v>
      </c>
      <c r="J103" s="416">
        <v>9.99</v>
      </c>
      <c r="K103" s="238"/>
      <c r="L103" s="415">
        <v>2</v>
      </c>
    </row>
    <row r="104" spans="1:12" s="423" customFormat="1" hidden="1">
      <c r="A104" s="419">
        <v>39399</v>
      </c>
      <c r="B104" s="419" t="s">
        <v>466</v>
      </c>
      <c r="C104" s="420">
        <v>91</v>
      </c>
      <c r="D104" s="419">
        <v>39490</v>
      </c>
      <c r="E104" s="421">
        <v>3</v>
      </c>
      <c r="F104" s="422">
        <v>1.897</v>
      </c>
      <c r="G104" s="422">
        <v>1.897</v>
      </c>
      <c r="H104" s="422">
        <v>10.47</v>
      </c>
      <c r="I104" s="422">
        <v>10.5</v>
      </c>
      <c r="J104" s="422">
        <v>10.37</v>
      </c>
      <c r="K104" s="424"/>
      <c r="L104" s="420">
        <v>1</v>
      </c>
    </row>
    <row r="105" spans="1:12" hidden="1">
      <c r="A105" s="414">
        <v>39412</v>
      </c>
      <c r="B105" s="414" t="s">
        <v>467</v>
      </c>
      <c r="C105" s="415">
        <v>85</v>
      </c>
      <c r="D105" s="414">
        <v>39497</v>
      </c>
      <c r="E105" s="418">
        <v>3</v>
      </c>
      <c r="F105" s="416">
        <v>0.51060000000000005</v>
      </c>
      <c r="G105" s="416">
        <v>0.51060000000000005</v>
      </c>
      <c r="H105" s="416">
        <v>10.489999999999998</v>
      </c>
      <c r="I105" s="416">
        <v>10.47</v>
      </c>
      <c r="J105" s="416">
        <v>10.47</v>
      </c>
      <c r="K105" s="238"/>
      <c r="L105" s="415">
        <v>1</v>
      </c>
    </row>
    <row r="106" spans="1:12" s="423" customFormat="1" hidden="1">
      <c r="A106" s="419">
        <v>39413</v>
      </c>
      <c r="B106" s="419" t="s">
        <v>468</v>
      </c>
      <c r="C106" s="420">
        <v>91</v>
      </c>
      <c r="D106" s="419">
        <v>39504</v>
      </c>
      <c r="E106" s="421">
        <v>2</v>
      </c>
      <c r="F106" s="422">
        <v>0</v>
      </c>
      <c r="G106" s="422">
        <v>0</v>
      </c>
      <c r="H106" s="422">
        <v>10.489999999999998</v>
      </c>
      <c r="I106" s="422">
        <v>0</v>
      </c>
      <c r="J106" s="422">
        <v>0</v>
      </c>
      <c r="K106" s="424"/>
      <c r="L106" s="420">
        <v>0</v>
      </c>
    </row>
    <row r="107" spans="1:12" hidden="1">
      <c r="H107" s="425">
        <v>0</v>
      </c>
      <c r="I107" s="425">
        <v>0</v>
      </c>
      <c r="J107" s="425">
        <v>0</v>
      </c>
    </row>
    <row r="108" spans="1:12" hidden="1">
      <c r="A108" s="2008">
        <v>2008</v>
      </c>
      <c r="H108" s="425">
        <v>0</v>
      </c>
      <c r="I108" s="425">
        <v>0</v>
      </c>
      <c r="J108" s="425">
        <v>0</v>
      </c>
    </row>
    <row r="109" spans="1:12" hidden="1">
      <c r="A109" s="414">
        <v>39462</v>
      </c>
      <c r="B109" s="414" t="s">
        <v>469</v>
      </c>
      <c r="C109" s="415">
        <v>364</v>
      </c>
      <c r="D109" s="414">
        <v>39826</v>
      </c>
      <c r="E109" s="418">
        <v>5</v>
      </c>
      <c r="F109" s="416">
        <v>4.1074000000000002</v>
      </c>
      <c r="G109" s="416">
        <v>4.1074000000000002</v>
      </c>
      <c r="H109" s="416">
        <v>10.9</v>
      </c>
      <c r="I109" s="416">
        <v>10.99</v>
      </c>
      <c r="J109" s="416">
        <v>10.99</v>
      </c>
      <c r="K109" s="238"/>
      <c r="L109" s="415">
        <v>3</v>
      </c>
    </row>
    <row r="110" spans="1:12" s="423" customFormat="1" hidden="1">
      <c r="A110" s="419">
        <v>39469</v>
      </c>
      <c r="B110" s="419" t="s">
        <v>470</v>
      </c>
      <c r="C110" s="420">
        <v>363</v>
      </c>
      <c r="D110" s="419">
        <v>39832</v>
      </c>
      <c r="E110" s="421">
        <v>8</v>
      </c>
      <c r="F110" s="422">
        <v>3.1871999999999998</v>
      </c>
      <c r="G110" s="422">
        <v>0.99439999999999995</v>
      </c>
      <c r="H110" s="422">
        <v>11</v>
      </c>
      <c r="I110" s="422">
        <v>11</v>
      </c>
      <c r="J110" s="422">
        <v>11</v>
      </c>
      <c r="K110" s="424"/>
      <c r="L110" s="420">
        <v>1</v>
      </c>
    </row>
    <row r="111" spans="1:12" hidden="1">
      <c r="A111" s="414">
        <v>39476</v>
      </c>
      <c r="B111" s="414" t="s">
        <v>471</v>
      </c>
      <c r="C111" s="415">
        <v>182</v>
      </c>
      <c r="D111" s="414">
        <v>39658</v>
      </c>
      <c r="E111" s="418">
        <v>5</v>
      </c>
      <c r="F111" s="416">
        <v>5</v>
      </c>
      <c r="G111" s="416">
        <v>5</v>
      </c>
      <c r="H111" s="416">
        <v>10.89</v>
      </c>
      <c r="I111" s="416">
        <v>10.96</v>
      </c>
      <c r="J111" s="416">
        <v>10.96</v>
      </c>
      <c r="K111" s="238"/>
      <c r="L111" s="415">
        <v>5</v>
      </c>
    </row>
    <row r="112" spans="1:12" s="423" customFormat="1" hidden="1">
      <c r="A112" s="419">
        <v>39483</v>
      </c>
      <c r="B112" s="419" t="s">
        <v>472</v>
      </c>
      <c r="C112" s="420">
        <v>182</v>
      </c>
      <c r="D112" s="419">
        <v>39665</v>
      </c>
      <c r="E112" s="421">
        <v>3</v>
      </c>
      <c r="F112" s="422">
        <v>0.126</v>
      </c>
      <c r="G112" s="422">
        <v>0.126</v>
      </c>
      <c r="H112" s="422">
        <v>10.93</v>
      </c>
      <c r="I112" s="422">
        <v>10.93</v>
      </c>
      <c r="J112" s="422">
        <v>10.93</v>
      </c>
      <c r="L112" s="420">
        <v>1</v>
      </c>
    </row>
    <row r="113" spans="1:12" hidden="1">
      <c r="A113" s="414">
        <v>39483</v>
      </c>
      <c r="B113" s="414" t="s">
        <v>473</v>
      </c>
      <c r="C113" s="415">
        <v>364</v>
      </c>
      <c r="D113" s="414">
        <v>39847</v>
      </c>
      <c r="E113" s="418">
        <v>3</v>
      </c>
      <c r="F113" s="416">
        <v>1.4330000000000001</v>
      </c>
      <c r="G113" s="416">
        <v>1.4330000000000001</v>
      </c>
      <c r="H113" s="416">
        <v>10.5</v>
      </c>
      <c r="I113" s="416">
        <v>11</v>
      </c>
      <c r="J113" s="416">
        <v>11</v>
      </c>
      <c r="L113" s="415">
        <v>2</v>
      </c>
    </row>
    <row r="114" spans="1:12" s="423" customFormat="1" hidden="1">
      <c r="A114" s="419">
        <v>39504</v>
      </c>
      <c r="B114" s="419" t="s">
        <v>474</v>
      </c>
      <c r="C114" s="420">
        <v>182</v>
      </c>
      <c r="D114" s="419">
        <v>39686</v>
      </c>
      <c r="E114" s="421">
        <v>5</v>
      </c>
      <c r="F114" s="422">
        <v>1.0478000000000001</v>
      </c>
      <c r="G114" s="422">
        <v>1.0478000000000001</v>
      </c>
      <c r="H114" s="422">
        <v>10.95</v>
      </c>
      <c r="I114" s="422">
        <v>10.96</v>
      </c>
      <c r="J114" s="422">
        <v>10.71</v>
      </c>
      <c r="L114" s="420">
        <v>2</v>
      </c>
    </row>
    <row r="115" spans="1:12" hidden="1">
      <c r="A115" s="414">
        <v>39511</v>
      </c>
      <c r="B115" s="414" t="s">
        <v>475</v>
      </c>
      <c r="C115" s="415">
        <v>364</v>
      </c>
      <c r="D115" s="414">
        <v>39875</v>
      </c>
      <c r="E115" s="418">
        <v>8</v>
      </c>
      <c r="F115" s="416">
        <v>1.0760000000000001</v>
      </c>
      <c r="G115" s="416">
        <v>1.0760000000000001</v>
      </c>
      <c r="H115" s="416">
        <v>10.979999999999999</v>
      </c>
      <c r="I115" s="416">
        <v>10.98</v>
      </c>
      <c r="J115" s="416">
        <v>10.979999999999999</v>
      </c>
      <c r="L115" s="415">
        <v>1</v>
      </c>
    </row>
    <row r="116" spans="1:12" s="423" customFormat="1" hidden="1">
      <c r="A116" s="419">
        <v>39518</v>
      </c>
      <c r="B116" s="419" t="s">
        <v>476</v>
      </c>
      <c r="C116" s="420">
        <v>364</v>
      </c>
      <c r="D116" s="419">
        <v>39882</v>
      </c>
      <c r="E116" s="421">
        <v>3</v>
      </c>
      <c r="F116" s="422">
        <v>3</v>
      </c>
      <c r="G116" s="422">
        <v>3</v>
      </c>
      <c r="H116" s="422">
        <v>10.5</v>
      </c>
      <c r="I116" s="422">
        <v>11.01</v>
      </c>
      <c r="J116" s="422">
        <v>10.75</v>
      </c>
      <c r="L116" s="420">
        <v>1</v>
      </c>
    </row>
    <row r="117" spans="1:12" hidden="1">
      <c r="A117" s="414">
        <v>39524</v>
      </c>
      <c r="B117" s="414" t="s">
        <v>477</v>
      </c>
      <c r="C117" s="415">
        <v>365</v>
      </c>
      <c r="D117" s="414">
        <v>39889</v>
      </c>
      <c r="E117" s="418">
        <v>10</v>
      </c>
      <c r="F117" s="416">
        <v>10.172800000000001</v>
      </c>
      <c r="G117" s="416">
        <v>10</v>
      </c>
      <c r="H117" s="416">
        <v>10.99</v>
      </c>
      <c r="I117" s="416">
        <v>11</v>
      </c>
      <c r="J117" s="416">
        <v>11</v>
      </c>
      <c r="L117" s="415">
        <v>3</v>
      </c>
    </row>
    <row r="118" spans="1:12" s="423" customFormat="1" hidden="1">
      <c r="A118" s="419">
        <v>39525</v>
      </c>
      <c r="B118" s="419" t="s">
        <v>478</v>
      </c>
      <c r="C118" s="420">
        <v>364</v>
      </c>
      <c r="D118" s="419">
        <v>39889</v>
      </c>
      <c r="E118" s="421">
        <v>5</v>
      </c>
      <c r="F118" s="422">
        <v>1.9732000000000001</v>
      </c>
      <c r="G118" s="422">
        <v>1.9732000000000001</v>
      </c>
      <c r="H118" s="422">
        <v>11</v>
      </c>
      <c r="I118" s="422">
        <v>11</v>
      </c>
      <c r="J118" s="422">
        <v>11</v>
      </c>
      <c r="L118" s="420">
        <v>1</v>
      </c>
    </row>
    <row r="119" spans="1:12" hidden="1">
      <c r="A119" s="414">
        <v>39525</v>
      </c>
      <c r="B119" s="414" t="s">
        <v>479</v>
      </c>
      <c r="C119" s="415">
        <v>182</v>
      </c>
      <c r="D119" s="414">
        <v>39707</v>
      </c>
      <c r="E119" s="418">
        <v>5</v>
      </c>
      <c r="F119" s="416">
        <v>2.5640000000000001</v>
      </c>
      <c r="G119" s="416">
        <v>2.5640000000000001</v>
      </c>
      <c r="H119" s="416">
        <v>10.979999999999999</v>
      </c>
      <c r="I119" s="416">
        <v>11</v>
      </c>
      <c r="J119" s="416">
        <v>10.979999999999999</v>
      </c>
      <c r="L119" s="415">
        <v>2</v>
      </c>
    </row>
    <row r="120" spans="1:12" s="423" customFormat="1" hidden="1">
      <c r="A120" s="419">
        <v>39537</v>
      </c>
      <c r="B120" s="419" t="s">
        <v>480</v>
      </c>
      <c r="C120" s="420">
        <v>366</v>
      </c>
      <c r="D120" s="419">
        <v>39903</v>
      </c>
      <c r="E120" s="421">
        <v>5</v>
      </c>
      <c r="F120" s="422">
        <v>2.2191999999999998</v>
      </c>
      <c r="G120" s="422">
        <v>2.2191999999999998</v>
      </c>
      <c r="H120" s="422">
        <v>10.99</v>
      </c>
      <c r="I120" s="422">
        <v>10.99</v>
      </c>
      <c r="J120" s="422">
        <v>10.99</v>
      </c>
      <c r="L120" s="420">
        <v>1</v>
      </c>
    </row>
    <row r="121" spans="1:12" hidden="1">
      <c r="A121" s="414">
        <v>39538</v>
      </c>
      <c r="B121" s="414" t="s">
        <v>481</v>
      </c>
      <c r="C121" s="415">
        <v>364</v>
      </c>
      <c r="D121" s="414">
        <v>39902</v>
      </c>
      <c r="E121" s="418">
        <v>5</v>
      </c>
      <c r="F121" s="416">
        <v>4.984</v>
      </c>
      <c r="G121" s="416">
        <v>4.984</v>
      </c>
      <c r="H121" s="416">
        <v>11</v>
      </c>
      <c r="I121" s="416">
        <v>11</v>
      </c>
      <c r="J121" s="416">
        <v>11</v>
      </c>
      <c r="L121" s="415">
        <v>1</v>
      </c>
    </row>
    <row r="122" spans="1:12" s="423" customFormat="1" hidden="1">
      <c r="A122" s="419">
        <v>39546</v>
      </c>
      <c r="B122" s="419" t="s">
        <v>482</v>
      </c>
      <c r="C122" s="420">
        <v>182</v>
      </c>
      <c r="D122" s="419">
        <v>39728</v>
      </c>
      <c r="E122" s="421">
        <v>5</v>
      </c>
      <c r="F122" s="422">
        <v>5</v>
      </c>
      <c r="G122" s="422">
        <v>5</v>
      </c>
      <c r="H122" s="422">
        <v>10.71</v>
      </c>
      <c r="I122" s="422">
        <v>10.98</v>
      </c>
      <c r="J122" s="422">
        <v>10.84</v>
      </c>
      <c r="L122" s="420">
        <v>3</v>
      </c>
    </row>
    <row r="123" spans="1:12" hidden="1">
      <c r="A123" s="414">
        <v>39553</v>
      </c>
      <c r="B123" s="414" t="s">
        <v>483</v>
      </c>
      <c r="C123" s="415">
        <v>182</v>
      </c>
      <c r="D123" s="414">
        <v>39735</v>
      </c>
      <c r="E123" s="418">
        <v>5</v>
      </c>
      <c r="F123" s="416">
        <v>2.6568000000000001</v>
      </c>
      <c r="G123" s="416">
        <v>5</v>
      </c>
      <c r="H123" s="416">
        <v>10.979999999999999</v>
      </c>
      <c r="I123" s="416">
        <v>10.98</v>
      </c>
      <c r="J123" s="416">
        <v>10.979999999999999</v>
      </c>
      <c r="L123" s="415">
        <v>1</v>
      </c>
    </row>
    <row r="124" spans="1:12" s="423" customFormat="1" hidden="1">
      <c r="A124" s="419">
        <v>39556</v>
      </c>
      <c r="B124" s="419" t="s">
        <v>484</v>
      </c>
      <c r="C124" s="420">
        <v>364</v>
      </c>
      <c r="D124" s="419">
        <v>39920</v>
      </c>
      <c r="E124" s="421">
        <v>5</v>
      </c>
      <c r="F124" s="422">
        <v>5</v>
      </c>
      <c r="G124" s="422">
        <v>5</v>
      </c>
      <c r="H124" s="422">
        <v>11</v>
      </c>
      <c r="I124" s="422">
        <v>11</v>
      </c>
      <c r="J124" s="422">
        <v>11</v>
      </c>
      <c r="L124" s="420">
        <v>1</v>
      </c>
    </row>
    <row r="125" spans="1:12" hidden="1">
      <c r="A125" s="414">
        <v>39560</v>
      </c>
      <c r="B125" s="414" t="s">
        <v>485</v>
      </c>
      <c r="C125" s="415">
        <v>182</v>
      </c>
      <c r="D125" s="414">
        <v>39742</v>
      </c>
      <c r="E125" s="418">
        <v>5</v>
      </c>
      <c r="F125" s="416">
        <v>4.8368000000000002</v>
      </c>
      <c r="G125" s="416">
        <v>4.8368000000000002</v>
      </c>
      <c r="H125" s="416">
        <v>10.979999999999999</v>
      </c>
      <c r="I125" s="416">
        <v>11</v>
      </c>
      <c r="J125" s="416">
        <v>11</v>
      </c>
      <c r="L125" s="415">
        <v>3</v>
      </c>
    </row>
    <row r="126" spans="1:12" s="423" customFormat="1" hidden="1">
      <c r="A126" s="419">
        <v>39567</v>
      </c>
      <c r="B126" s="419" t="s">
        <v>486</v>
      </c>
      <c r="C126" s="420">
        <v>182</v>
      </c>
      <c r="D126" s="419">
        <v>39749</v>
      </c>
      <c r="E126" s="421">
        <v>5</v>
      </c>
      <c r="F126" s="422">
        <v>0.49519999999999997</v>
      </c>
      <c r="G126" s="422">
        <v>0.49519999999999997</v>
      </c>
      <c r="H126" s="422">
        <v>11</v>
      </c>
      <c r="I126" s="422">
        <v>11</v>
      </c>
      <c r="J126" s="422">
        <v>11</v>
      </c>
      <c r="L126" s="420">
        <v>1</v>
      </c>
    </row>
    <row r="127" spans="1:12" hidden="1">
      <c r="A127" s="414">
        <v>39574</v>
      </c>
      <c r="B127" s="414" t="s">
        <v>487</v>
      </c>
      <c r="C127" s="415">
        <v>364</v>
      </c>
      <c r="D127" s="414">
        <v>39938</v>
      </c>
      <c r="E127" s="418">
        <v>10</v>
      </c>
      <c r="F127" s="416">
        <v>0</v>
      </c>
      <c r="G127" s="416">
        <v>10</v>
      </c>
      <c r="H127" s="416">
        <v>11</v>
      </c>
      <c r="I127" s="416">
        <v>11</v>
      </c>
      <c r="J127" s="416">
        <v>11</v>
      </c>
      <c r="L127" s="415">
        <v>1</v>
      </c>
    </row>
    <row r="128" spans="1:12" hidden="1">
      <c r="A128" s="419">
        <v>39574</v>
      </c>
      <c r="B128" s="419" t="s">
        <v>488</v>
      </c>
      <c r="C128" s="420">
        <v>182</v>
      </c>
      <c r="D128" s="419">
        <v>39756</v>
      </c>
      <c r="E128" s="421">
        <v>5</v>
      </c>
      <c r="F128" s="422">
        <v>0</v>
      </c>
      <c r="G128" s="422">
        <v>5</v>
      </c>
      <c r="H128" s="422">
        <v>11</v>
      </c>
      <c r="I128" s="422">
        <v>11</v>
      </c>
      <c r="J128" s="422">
        <v>11</v>
      </c>
      <c r="K128" s="423"/>
      <c r="L128" s="420">
        <v>1</v>
      </c>
    </row>
    <row r="129" spans="1:12" hidden="1">
      <c r="A129" s="414">
        <v>39581</v>
      </c>
      <c r="B129" s="414" t="s">
        <v>489</v>
      </c>
      <c r="C129" s="415">
        <v>364</v>
      </c>
      <c r="D129" s="414">
        <v>39945</v>
      </c>
      <c r="E129" s="418">
        <v>3</v>
      </c>
      <c r="F129" s="416">
        <v>0</v>
      </c>
      <c r="G129" s="416">
        <v>3</v>
      </c>
      <c r="H129" s="416">
        <v>11</v>
      </c>
      <c r="I129" s="416">
        <v>11</v>
      </c>
      <c r="J129" s="416">
        <v>11</v>
      </c>
      <c r="L129" s="415">
        <v>1</v>
      </c>
    </row>
    <row r="130" spans="1:12" hidden="1">
      <c r="A130" s="419">
        <v>39588</v>
      </c>
      <c r="B130" s="419" t="s">
        <v>490</v>
      </c>
      <c r="C130" s="420">
        <v>91</v>
      </c>
      <c r="D130" s="419">
        <v>39679</v>
      </c>
      <c r="E130" s="421">
        <v>3</v>
      </c>
      <c r="F130" s="422">
        <v>0.30719999999999997</v>
      </c>
      <c r="G130" s="422">
        <v>3</v>
      </c>
      <c r="H130" s="422">
        <v>10.5</v>
      </c>
      <c r="I130" s="422">
        <v>10.5</v>
      </c>
      <c r="J130" s="422">
        <v>10.5</v>
      </c>
      <c r="K130" s="423"/>
      <c r="L130" s="420">
        <v>1</v>
      </c>
    </row>
    <row r="131" spans="1:12" hidden="1">
      <c r="A131" s="414">
        <v>39588</v>
      </c>
      <c r="B131" s="414" t="s">
        <v>491</v>
      </c>
      <c r="C131" s="415">
        <v>182</v>
      </c>
      <c r="D131" s="414">
        <v>39770</v>
      </c>
      <c r="E131" s="418">
        <v>5</v>
      </c>
      <c r="F131" s="416">
        <v>0</v>
      </c>
      <c r="G131" s="416">
        <v>5.0001999999999995</v>
      </c>
      <c r="H131" s="416">
        <v>10.97</v>
      </c>
      <c r="I131" s="416">
        <v>10.97</v>
      </c>
      <c r="J131" s="416">
        <v>10.97</v>
      </c>
      <c r="L131" s="415">
        <v>0</v>
      </c>
    </row>
    <row r="132" spans="1:12" hidden="1">
      <c r="A132" s="419">
        <v>39595</v>
      </c>
      <c r="B132" s="419" t="s">
        <v>492</v>
      </c>
      <c r="C132" s="420">
        <v>182</v>
      </c>
      <c r="D132" s="419">
        <v>39777</v>
      </c>
      <c r="E132" s="421">
        <v>5</v>
      </c>
      <c r="F132" s="422">
        <v>0</v>
      </c>
      <c r="G132" s="422">
        <v>5</v>
      </c>
      <c r="H132" s="422">
        <v>10.979999999999999</v>
      </c>
      <c r="I132" s="422">
        <v>10.98</v>
      </c>
      <c r="J132" s="422">
        <v>10.979999999999999</v>
      </c>
      <c r="K132" s="423"/>
      <c r="L132" s="420">
        <v>0</v>
      </c>
    </row>
    <row r="133" spans="1:12" hidden="1">
      <c r="A133" s="414">
        <v>39595</v>
      </c>
      <c r="B133" s="414" t="s">
        <v>493</v>
      </c>
      <c r="C133" s="415">
        <v>364</v>
      </c>
      <c r="D133" s="414">
        <v>39959</v>
      </c>
      <c r="E133" s="418">
        <v>10</v>
      </c>
      <c r="F133" s="416">
        <v>0</v>
      </c>
      <c r="G133" s="416">
        <v>5</v>
      </c>
      <c r="H133" s="416">
        <v>11</v>
      </c>
      <c r="I133" s="416">
        <v>11</v>
      </c>
      <c r="J133" s="416">
        <v>11</v>
      </c>
      <c r="L133" s="415">
        <v>1</v>
      </c>
    </row>
    <row r="134" spans="1:12" hidden="1">
      <c r="A134" s="419">
        <v>39602</v>
      </c>
      <c r="B134" s="419" t="s">
        <v>494</v>
      </c>
      <c r="C134" s="420">
        <v>91</v>
      </c>
      <c r="D134" s="419">
        <v>39693</v>
      </c>
      <c r="E134" s="421">
        <v>3</v>
      </c>
      <c r="F134" s="422">
        <v>0</v>
      </c>
      <c r="G134" s="422">
        <v>3</v>
      </c>
      <c r="H134" s="422">
        <v>10.99</v>
      </c>
      <c r="I134" s="422">
        <v>10.99</v>
      </c>
      <c r="J134" s="422">
        <v>10.99</v>
      </c>
      <c r="K134" s="423"/>
      <c r="L134" s="420">
        <v>0</v>
      </c>
    </row>
    <row r="135" spans="1:12" hidden="1">
      <c r="A135" s="414">
        <v>39602</v>
      </c>
      <c r="B135" s="414" t="s">
        <v>495</v>
      </c>
      <c r="C135" s="415">
        <v>182</v>
      </c>
      <c r="D135" s="414">
        <v>39784</v>
      </c>
      <c r="E135" s="418">
        <v>3</v>
      </c>
      <c r="F135" s="416">
        <v>0</v>
      </c>
      <c r="G135" s="416">
        <v>3</v>
      </c>
      <c r="H135" s="416">
        <v>11.48</v>
      </c>
      <c r="I135" s="416">
        <v>11.48</v>
      </c>
      <c r="J135" s="416">
        <v>11.48</v>
      </c>
      <c r="L135" s="415">
        <v>0</v>
      </c>
    </row>
    <row r="136" spans="1:12" hidden="1">
      <c r="A136" s="419">
        <v>39609</v>
      </c>
      <c r="B136" s="419" t="s">
        <v>496</v>
      </c>
      <c r="C136" s="420">
        <v>360</v>
      </c>
      <c r="D136" s="419">
        <v>39969</v>
      </c>
      <c r="E136" s="421">
        <v>10</v>
      </c>
      <c r="F136" s="422">
        <v>0</v>
      </c>
      <c r="G136" s="422">
        <v>10</v>
      </c>
      <c r="H136" s="422">
        <v>11.5</v>
      </c>
      <c r="I136" s="422">
        <v>11.5</v>
      </c>
      <c r="J136" s="422">
        <v>11.5</v>
      </c>
      <c r="K136" s="423"/>
      <c r="L136" s="420">
        <v>0</v>
      </c>
    </row>
    <row r="137" spans="1:12" hidden="1">
      <c r="A137" s="414">
        <v>39609</v>
      </c>
      <c r="B137" s="414" t="s">
        <v>497</v>
      </c>
      <c r="C137" s="415">
        <v>182</v>
      </c>
      <c r="D137" s="414">
        <v>39791</v>
      </c>
      <c r="E137" s="418">
        <v>3</v>
      </c>
      <c r="F137" s="416">
        <v>0</v>
      </c>
      <c r="G137" s="416">
        <v>1.6557999999999999</v>
      </c>
      <c r="H137" s="416">
        <v>0</v>
      </c>
      <c r="I137" s="416">
        <v>0</v>
      </c>
      <c r="J137" s="416">
        <v>0</v>
      </c>
      <c r="L137" s="415">
        <v>0</v>
      </c>
    </row>
    <row r="138" spans="1:12" hidden="1">
      <c r="A138" s="419">
        <v>39616</v>
      </c>
      <c r="B138" s="419" t="s">
        <v>498</v>
      </c>
      <c r="C138" s="420">
        <v>91</v>
      </c>
      <c r="D138" s="419">
        <v>39707</v>
      </c>
      <c r="E138" s="421">
        <v>2</v>
      </c>
      <c r="F138" s="422">
        <v>0</v>
      </c>
      <c r="G138" s="422">
        <v>0</v>
      </c>
      <c r="H138" s="422">
        <v>0</v>
      </c>
      <c r="I138" s="422">
        <v>0</v>
      </c>
      <c r="J138" s="422">
        <v>0</v>
      </c>
      <c r="K138" s="423"/>
      <c r="L138" s="420">
        <v>0</v>
      </c>
    </row>
    <row r="139" spans="1:12" hidden="1">
      <c r="A139" s="414">
        <v>39616</v>
      </c>
      <c r="B139" s="414" t="s">
        <v>499</v>
      </c>
      <c r="C139" s="415">
        <v>182</v>
      </c>
      <c r="D139" s="414">
        <v>39798</v>
      </c>
      <c r="E139" s="418">
        <v>2</v>
      </c>
      <c r="F139" s="416">
        <v>0</v>
      </c>
      <c r="G139" s="416">
        <v>0</v>
      </c>
      <c r="H139" s="416">
        <v>0</v>
      </c>
      <c r="I139" s="416">
        <v>0</v>
      </c>
      <c r="J139" s="416">
        <v>0</v>
      </c>
      <c r="L139" s="415">
        <v>0</v>
      </c>
    </row>
    <row r="140" spans="1:12" hidden="1">
      <c r="A140" s="419">
        <v>39616</v>
      </c>
      <c r="B140" s="419" t="s">
        <v>500</v>
      </c>
      <c r="C140" s="420">
        <v>364</v>
      </c>
      <c r="D140" s="419">
        <v>39980</v>
      </c>
      <c r="E140" s="421">
        <v>2</v>
      </c>
      <c r="F140" s="422">
        <v>0</v>
      </c>
      <c r="G140" s="422">
        <v>0</v>
      </c>
      <c r="H140" s="422">
        <v>0</v>
      </c>
      <c r="I140" s="422">
        <v>0</v>
      </c>
      <c r="J140" s="422">
        <v>0</v>
      </c>
      <c r="K140" s="423"/>
      <c r="L140" s="420">
        <v>0</v>
      </c>
    </row>
    <row r="141" spans="1:12" hidden="1">
      <c r="A141" s="414">
        <v>39623</v>
      </c>
      <c r="B141" s="414" t="s">
        <v>501</v>
      </c>
      <c r="C141" s="415">
        <v>182</v>
      </c>
      <c r="D141" s="414">
        <v>39805</v>
      </c>
      <c r="E141" s="418">
        <v>3</v>
      </c>
      <c r="F141" s="416">
        <v>2.0110000000000001</v>
      </c>
      <c r="G141" s="416">
        <v>1.06</v>
      </c>
      <c r="H141" s="416">
        <v>10.190000000000001</v>
      </c>
      <c r="I141" s="416">
        <v>10.49</v>
      </c>
      <c r="J141" s="416">
        <v>10.190000000000001</v>
      </c>
      <c r="L141" s="415">
        <v>1</v>
      </c>
    </row>
    <row r="142" spans="1:12" hidden="1">
      <c r="A142" s="419">
        <v>39637</v>
      </c>
      <c r="B142" s="419" t="s">
        <v>502</v>
      </c>
      <c r="C142" s="420">
        <v>364</v>
      </c>
      <c r="D142" s="419">
        <v>40001</v>
      </c>
      <c r="E142" s="421">
        <v>3</v>
      </c>
      <c r="F142" s="422">
        <v>0</v>
      </c>
      <c r="G142" s="422">
        <v>2</v>
      </c>
      <c r="H142" s="422">
        <v>11.379999999999999</v>
      </c>
      <c r="I142" s="422">
        <v>11.38</v>
      </c>
      <c r="J142" s="422">
        <v>11.379999999999999</v>
      </c>
      <c r="K142" s="423"/>
      <c r="L142" s="420">
        <v>0</v>
      </c>
    </row>
    <row r="143" spans="1:12" hidden="1">
      <c r="A143" s="414">
        <v>39644</v>
      </c>
      <c r="B143" s="414" t="s">
        <v>503</v>
      </c>
      <c r="C143" s="415">
        <v>91</v>
      </c>
      <c r="D143" s="414">
        <v>39735</v>
      </c>
      <c r="E143" s="418">
        <v>7</v>
      </c>
      <c r="F143" s="416">
        <v>0</v>
      </c>
      <c r="G143" s="416">
        <v>7</v>
      </c>
      <c r="H143" s="416">
        <v>11.459999999999999</v>
      </c>
      <c r="I143" s="416">
        <v>11.46</v>
      </c>
      <c r="J143" s="416">
        <v>11.459999999999999</v>
      </c>
      <c r="L143" s="415">
        <v>0</v>
      </c>
    </row>
    <row r="144" spans="1:12" hidden="1">
      <c r="A144" s="419">
        <v>39644</v>
      </c>
      <c r="B144" s="419" t="s">
        <v>504</v>
      </c>
      <c r="C144" s="420">
        <v>182</v>
      </c>
      <c r="D144" s="419">
        <v>39826</v>
      </c>
      <c r="E144" s="421">
        <v>5</v>
      </c>
      <c r="F144" s="422">
        <v>0</v>
      </c>
      <c r="G144" s="422">
        <v>5</v>
      </c>
      <c r="H144" s="422">
        <v>11.5</v>
      </c>
      <c r="I144" s="422">
        <v>11.5</v>
      </c>
      <c r="J144" s="422">
        <v>11.5</v>
      </c>
      <c r="K144" s="423"/>
      <c r="L144" s="420">
        <v>0</v>
      </c>
    </row>
    <row r="145" spans="1:12" hidden="1">
      <c r="A145" s="414">
        <v>39651</v>
      </c>
      <c r="B145" s="414" t="s">
        <v>505</v>
      </c>
      <c r="C145" s="415">
        <v>364</v>
      </c>
      <c r="D145" s="414">
        <v>40015</v>
      </c>
      <c r="E145" s="418">
        <v>5</v>
      </c>
      <c r="F145" s="416">
        <v>2.3934000000000002</v>
      </c>
      <c r="G145" s="416">
        <v>2.3934000000000002</v>
      </c>
      <c r="H145" s="416">
        <v>11.4</v>
      </c>
      <c r="I145" s="416">
        <v>11.46</v>
      </c>
      <c r="J145" s="416">
        <v>11.4</v>
      </c>
      <c r="L145" s="415">
        <v>2</v>
      </c>
    </row>
    <row r="146" spans="1:12" hidden="1">
      <c r="A146" s="419">
        <v>39658</v>
      </c>
      <c r="B146" s="419" t="s">
        <v>506</v>
      </c>
      <c r="C146" s="420">
        <v>91</v>
      </c>
      <c r="D146" s="419">
        <v>39749</v>
      </c>
      <c r="E146" s="421">
        <v>3</v>
      </c>
      <c r="F146" s="422">
        <v>0.1026</v>
      </c>
      <c r="G146" s="422">
        <v>3</v>
      </c>
      <c r="H146" s="422">
        <v>11.469999999999999</v>
      </c>
      <c r="I146" s="422">
        <v>11.47</v>
      </c>
      <c r="J146" s="422">
        <v>11.469999999999999</v>
      </c>
      <c r="K146" s="423"/>
      <c r="L146" s="420">
        <v>1</v>
      </c>
    </row>
    <row r="147" spans="1:12" hidden="1">
      <c r="A147" s="414">
        <v>39658</v>
      </c>
      <c r="B147" s="414" t="s">
        <v>507</v>
      </c>
      <c r="C147" s="415">
        <v>182</v>
      </c>
      <c r="D147" s="414">
        <v>39840</v>
      </c>
      <c r="E147" s="418"/>
      <c r="F147" s="416">
        <v>1.9026000000000001</v>
      </c>
      <c r="G147" s="416">
        <v>5</v>
      </c>
      <c r="H147" s="416">
        <v>11.49</v>
      </c>
      <c r="I147" s="416">
        <v>11.49</v>
      </c>
      <c r="J147" s="416">
        <v>11.49</v>
      </c>
      <c r="L147" s="415">
        <v>1</v>
      </c>
    </row>
    <row r="148" spans="1:12" hidden="1">
      <c r="A148" s="419">
        <v>39658</v>
      </c>
      <c r="B148" s="419" t="s">
        <v>508</v>
      </c>
      <c r="C148" s="420">
        <v>364</v>
      </c>
      <c r="D148" s="419">
        <v>40022</v>
      </c>
      <c r="E148" s="421">
        <v>5</v>
      </c>
      <c r="F148" s="422">
        <v>0</v>
      </c>
      <c r="G148" s="422">
        <v>5</v>
      </c>
      <c r="H148" s="422">
        <v>11.51</v>
      </c>
      <c r="I148" s="422">
        <v>11.51</v>
      </c>
      <c r="J148" s="422">
        <v>11.51</v>
      </c>
      <c r="K148" s="423"/>
      <c r="L148" s="420">
        <v>0</v>
      </c>
    </row>
    <row r="149" spans="1:12" hidden="1">
      <c r="A149" s="414">
        <v>39665</v>
      </c>
      <c r="B149" s="414" t="s">
        <v>509</v>
      </c>
      <c r="C149" s="415">
        <v>182</v>
      </c>
      <c r="D149" s="414">
        <v>39847</v>
      </c>
      <c r="E149" s="418">
        <v>5</v>
      </c>
      <c r="F149" s="416">
        <v>3.1</v>
      </c>
      <c r="G149" s="416">
        <v>5</v>
      </c>
      <c r="H149" s="416">
        <v>11.469999999999999</v>
      </c>
      <c r="I149" s="416">
        <v>11.52</v>
      </c>
      <c r="J149" s="416">
        <v>11.469999999999999</v>
      </c>
      <c r="L149" s="415">
        <v>3</v>
      </c>
    </row>
    <row r="150" spans="1:12" hidden="1">
      <c r="A150" s="419">
        <v>39665</v>
      </c>
      <c r="B150" s="419" t="s">
        <v>510</v>
      </c>
      <c r="C150" s="420">
        <v>364</v>
      </c>
      <c r="D150" s="419">
        <v>40029</v>
      </c>
      <c r="E150" s="421">
        <v>5</v>
      </c>
      <c r="F150" s="422">
        <v>0</v>
      </c>
      <c r="G150" s="422">
        <v>0.50580000000000003</v>
      </c>
      <c r="H150" s="422">
        <v>10.489999999999998</v>
      </c>
      <c r="I150" s="422">
        <v>10.49</v>
      </c>
      <c r="J150" s="422">
        <v>10.489999999999998</v>
      </c>
      <c r="K150" s="423"/>
      <c r="L150" s="420">
        <v>0</v>
      </c>
    </row>
    <row r="151" spans="1:12" hidden="1">
      <c r="A151" s="414">
        <v>39672</v>
      </c>
      <c r="B151" s="414" t="s">
        <v>511</v>
      </c>
      <c r="C151" s="415">
        <v>91</v>
      </c>
      <c r="D151" s="414">
        <v>39763</v>
      </c>
      <c r="E151" s="418">
        <v>5</v>
      </c>
      <c r="F151" s="416">
        <v>0.56559999999999999</v>
      </c>
      <c r="G151" s="416">
        <v>4.9999999999999991</v>
      </c>
      <c r="H151" s="416">
        <v>11.51</v>
      </c>
      <c r="I151" s="416">
        <v>11.51</v>
      </c>
      <c r="J151" s="416">
        <v>11.51</v>
      </c>
      <c r="L151" s="415">
        <v>4</v>
      </c>
    </row>
    <row r="152" spans="1:12" hidden="1">
      <c r="A152" s="419">
        <v>39672</v>
      </c>
      <c r="B152" s="419" t="s">
        <v>512</v>
      </c>
      <c r="C152" s="420">
        <v>182</v>
      </c>
      <c r="D152" s="419">
        <v>39854</v>
      </c>
      <c r="E152" s="421">
        <v>10</v>
      </c>
      <c r="F152" s="422">
        <v>10</v>
      </c>
      <c r="G152" s="422">
        <v>10</v>
      </c>
      <c r="H152" s="422">
        <v>11.49</v>
      </c>
      <c r="I152" s="422">
        <v>11.49</v>
      </c>
      <c r="J152" s="422">
        <v>11.49</v>
      </c>
      <c r="K152" s="423"/>
      <c r="L152" s="420">
        <v>1</v>
      </c>
    </row>
    <row r="153" spans="1:12" hidden="1">
      <c r="A153" s="414">
        <v>39672</v>
      </c>
      <c r="B153" s="414" t="s">
        <v>513</v>
      </c>
      <c r="C153" s="415">
        <v>364</v>
      </c>
      <c r="D153" s="414">
        <v>40036</v>
      </c>
      <c r="E153" s="418">
        <v>5</v>
      </c>
      <c r="F153" s="416">
        <v>0</v>
      </c>
      <c r="G153" s="416">
        <v>5</v>
      </c>
      <c r="H153" s="416">
        <v>11.5</v>
      </c>
      <c r="I153" s="416">
        <v>11.5</v>
      </c>
      <c r="J153" s="416">
        <v>11.5</v>
      </c>
      <c r="L153" s="415">
        <v>0</v>
      </c>
    </row>
    <row r="154" spans="1:12" hidden="1">
      <c r="A154" s="419">
        <v>39679</v>
      </c>
      <c r="B154" s="419" t="s">
        <v>514</v>
      </c>
      <c r="C154" s="420">
        <v>182</v>
      </c>
      <c r="D154" s="419">
        <v>39861</v>
      </c>
      <c r="E154" s="421">
        <v>10</v>
      </c>
      <c r="F154" s="422">
        <v>0</v>
      </c>
      <c r="G154" s="422">
        <v>10</v>
      </c>
      <c r="H154" s="422">
        <v>11.5</v>
      </c>
      <c r="I154" s="422">
        <v>11.5</v>
      </c>
      <c r="J154" s="422">
        <v>11.5</v>
      </c>
      <c r="K154" s="423"/>
      <c r="L154" s="420">
        <v>0</v>
      </c>
    </row>
    <row r="155" spans="1:12" hidden="1">
      <c r="A155" s="414">
        <v>39679</v>
      </c>
      <c r="B155" s="414" t="s">
        <v>515</v>
      </c>
      <c r="C155" s="415">
        <v>364</v>
      </c>
      <c r="D155" s="414">
        <v>40043</v>
      </c>
      <c r="E155" s="418">
        <v>3</v>
      </c>
      <c r="F155" s="416">
        <v>0</v>
      </c>
      <c r="G155" s="416">
        <v>2.2360000000000002</v>
      </c>
      <c r="H155" s="416">
        <v>11.5</v>
      </c>
      <c r="I155" s="416">
        <v>11.5</v>
      </c>
      <c r="J155" s="416">
        <v>11.5</v>
      </c>
      <c r="L155" s="415">
        <v>0</v>
      </c>
    </row>
    <row r="156" spans="1:12" hidden="1">
      <c r="A156" s="419">
        <v>39686</v>
      </c>
      <c r="B156" s="419" t="s">
        <v>516</v>
      </c>
      <c r="C156" s="420">
        <v>91</v>
      </c>
      <c r="D156" s="419">
        <v>39777</v>
      </c>
      <c r="E156" s="421">
        <v>3</v>
      </c>
      <c r="F156" s="422">
        <v>0</v>
      </c>
      <c r="G156" s="422">
        <v>0</v>
      </c>
      <c r="H156" s="422">
        <v>0</v>
      </c>
      <c r="I156" s="422">
        <v>0</v>
      </c>
      <c r="J156" s="422">
        <v>0</v>
      </c>
      <c r="K156" s="423"/>
      <c r="L156" s="420">
        <v>0</v>
      </c>
    </row>
    <row r="157" spans="1:12" hidden="1">
      <c r="A157" s="414">
        <v>39686</v>
      </c>
      <c r="B157" s="414" t="s">
        <v>517</v>
      </c>
      <c r="C157" s="415">
        <v>182</v>
      </c>
      <c r="D157" s="414">
        <v>39868</v>
      </c>
      <c r="E157" s="418">
        <v>5</v>
      </c>
      <c r="F157" s="416">
        <v>1.6588000000000001</v>
      </c>
      <c r="G157" s="416">
        <v>1.6588000000000001</v>
      </c>
      <c r="H157" s="416">
        <v>11.450000000000001</v>
      </c>
      <c r="I157" s="416">
        <v>11.45</v>
      </c>
      <c r="J157" s="416">
        <v>11.450000000000001</v>
      </c>
      <c r="L157" s="415">
        <v>1</v>
      </c>
    </row>
    <row r="158" spans="1:12" hidden="1">
      <c r="A158" s="419">
        <v>39686</v>
      </c>
      <c r="B158" s="419" t="s">
        <v>518</v>
      </c>
      <c r="C158" s="420">
        <v>364</v>
      </c>
      <c r="D158" s="419">
        <v>40050</v>
      </c>
      <c r="E158" s="421">
        <v>3</v>
      </c>
      <c r="F158" s="422">
        <v>0.88019999999999998</v>
      </c>
      <c r="G158" s="422">
        <v>0.88019999999999998</v>
      </c>
      <c r="H158" s="422">
        <v>11.44</v>
      </c>
      <c r="I158" s="422">
        <v>11.44</v>
      </c>
      <c r="J158" s="422">
        <v>11.44</v>
      </c>
      <c r="K158" s="423"/>
      <c r="L158" s="420">
        <v>1</v>
      </c>
    </row>
    <row r="159" spans="1:12" hidden="1">
      <c r="A159" s="414">
        <v>39724</v>
      </c>
      <c r="B159" s="414" t="s">
        <v>519</v>
      </c>
      <c r="C159" s="415">
        <v>95</v>
      </c>
      <c r="D159" s="414">
        <v>39819</v>
      </c>
      <c r="E159" s="418">
        <v>5</v>
      </c>
      <c r="F159" s="416">
        <v>5</v>
      </c>
      <c r="G159" s="426">
        <v>5</v>
      </c>
      <c r="H159" s="426">
        <v>10.639999999999999</v>
      </c>
      <c r="I159" s="416">
        <v>11.51</v>
      </c>
      <c r="J159" s="416">
        <v>10.639999999999999</v>
      </c>
      <c r="L159" s="415">
        <v>2</v>
      </c>
    </row>
    <row r="160" spans="1:12" hidden="1">
      <c r="A160" s="419">
        <v>39724</v>
      </c>
      <c r="B160" s="419" t="s">
        <v>520</v>
      </c>
      <c r="C160" s="420">
        <v>182</v>
      </c>
      <c r="D160" s="419">
        <v>39906</v>
      </c>
      <c r="E160" s="421">
        <v>5</v>
      </c>
      <c r="F160" s="422">
        <v>0.5252</v>
      </c>
      <c r="G160" s="422">
        <v>0.5252</v>
      </c>
      <c r="H160" s="422">
        <v>11.49</v>
      </c>
      <c r="I160" s="422">
        <v>11.49</v>
      </c>
      <c r="J160" s="422">
        <v>11.49</v>
      </c>
      <c r="K160" s="423"/>
      <c r="L160" s="420">
        <v>1</v>
      </c>
    </row>
    <row r="161" spans="1:12" hidden="1">
      <c r="A161" s="414">
        <v>39756</v>
      </c>
      <c r="B161" s="414" t="s">
        <v>521</v>
      </c>
      <c r="C161" s="415">
        <v>91</v>
      </c>
      <c r="D161" s="414">
        <v>39847</v>
      </c>
      <c r="E161" s="418">
        <v>15</v>
      </c>
      <c r="F161" s="416">
        <v>27.520399999999999</v>
      </c>
      <c r="G161" s="416">
        <v>15</v>
      </c>
      <c r="H161" s="416">
        <v>8.98</v>
      </c>
      <c r="I161" s="416">
        <v>11.3</v>
      </c>
      <c r="J161" s="416">
        <v>9.06</v>
      </c>
      <c r="L161" s="415">
        <v>7</v>
      </c>
    </row>
    <row r="162" spans="1:12" hidden="1">
      <c r="A162" s="419">
        <v>39759</v>
      </c>
      <c r="B162" s="419" t="s">
        <v>522</v>
      </c>
      <c r="C162" s="420">
        <v>91</v>
      </c>
      <c r="D162" s="419">
        <v>39850</v>
      </c>
      <c r="E162" s="421">
        <v>20</v>
      </c>
      <c r="F162" s="422">
        <v>0</v>
      </c>
      <c r="G162" s="422">
        <v>0</v>
      </c>
      <c r="H162" s="422">
        <v>0</v>
      </c>
      <c r="I162" s="422">
        <v>0</v>
      </c>
      <c r="J162" s="422">
        <v>0</v>
      </c>
      <c r="K162" s="423"/>
      <c r="L162" s="420">
        <v>0</v>
      </c>
    </row>
    <row r="163" spans="1:12" hidden="1">
      <c r="A163" s="414">
        <v>39763</v>
      </c>
      <c r="B163" s="414" t="s">
        <v>523</v>
      </c>
      <c r="C163" s="415">
        <v>91</v>
      </c>
      <c r="D163" s="414">
        <v>39854</v>
      </c>
      <c r="E163" s="418">
        <v>20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L163" s="415">
        <v>0</v>
      </c>
    </row>
    <row r="164" spans="1:12" hidden="1">
      <c r="A164" s="419">
        <v>39766</v>
      </c>
      <c r="B164" s="419" t="s">
        <v>524</v>
      </c>
      <c r="C164" s="420">
        <v>91</v>
      </c>
      <c r="D164" s="419">
        <v>39857</v>
      </c>
      <c r="E164" s="421">
        <v>15</v>
      </c>
      <c r="F164" s="422">
        <v>19.988600000000002</v>
      </c>
      <c r="G164" s="422">
        <v>15</v>
      </c>
      <c r="H164" s="422">
        <v>8.02</v>
      </c>
      <c r="I164" s="422">
        <v>8.98</v>
      </c>
      <c r="J164" s="422">
        <v>8.81</v>
      </c>
      <c r="K164" s="423"/>
      <c r="L164" s="420">
        <v>4</v>
      </c>
    </row>
    <row r="165" spans="1:12" hidden="1">
      <c r="A165" s="414">
        <v>39770</v>
      </c>
      <c r="B165" s="414" t="s">
        <v>525</v>
      </c>
      <c r="C165" s="415">
        <v>182</v>
      </c>
      <c r="D165" s="414">
        <v>39952</v>
      </c>
      <c r="E165" s="418">
        <v>5</v>
      </c>
      <c r="F165" s="416">
        <v>3.1360000000000001</v>
      </c>
      <c r="G165" s="416">
        <v>1.8355999999999999</v>
      </c>
      <c r="H165" s="416">
        <v>9.49</v>
      </c>
      <c r="I165" s="416">
        <v>0</v>
      </c>
      <c r="J165" s="416">
        <v>9.49</v>
      </c>
      <c r="L165" s="415">
        <v>3</v>
      </c>
    </row>
    <row r="166" spans="1:12" hidden="1">
      <c r="A166" s="419">
        <v>39777</v>
      </c>
      <c r="B166" s="419" t="s">
        <v>526</v>
      </c>
      <c r="C166" s="420">
        <v>182</v>
      </c>
      <c r="D166" s="419">
        <v>39959</v>
      </c>
      <c r="E166" s="421">
        <v>5</v>
      </c>
      <c r="F166" s="422">
        <v>1.044</v>
      </c>
      <c r="G166" s="422">
        <v>1.044</v>
      </c>
      <c r="H166" s="422">
        <v>9.4700000000000006</v>
      </c>
      <c r="I166" s="422">
        <v>9.4700000000000006</v>
      </c>
      <c r="J166" s="422">
        <v>9.4700000000000006</v>
      </c>
      <c r="K166" s="423"/>
      <c r="L166" s="420">
        <v>1</v>
      </c>
    </row>
    <row r="167" spans="1:12" hidden="1">
      <c r="A167" s="414">
        <v>39784</v>
      </c>
      <c r="B167" s="414" t="s">
        <v>527</v>
      </c>
      <c r="C167" s="415">
        <v>182</v>
      </c>
      <c r="D167" s="414">
        <v>39966</v>
      </c>
      <c r="E167" s="418">
        <v>5</v>
      </c>
      <c r="F167" s="416">
        <v>3.6629999999999998</v>
      </c>
      <c r="G167" s="416">
        <v>3.6629999999999998</v>
      </c>
      <c r="H167" s="416">
        <v>8.92</v>
      </c>
      <c r="I167" s="416">
        <v>9.49</v>
      </c>
      <c r="J167" s="416">
        <v>9.2100000000000009</v>
      </c>
      <c r="L167" s="415">
        <v>4</v>
      </c>
    </row>
    <row r="168" spans="1:12" hidden="1">
      <c r="A168" s="419">
        <v>39792</v>
      </c>
      <c r="B168" s="419" t="s">
        <v>528</v>
      </c>
      <c r="C168" s="420">
        <v>181</v>
      </c>
      <c r="D168" s="419">
        <v>39973</v>
      </c>
      <c r="E168" s="421">
        <v>8</v>
      </c>
      <c r="F168" s="422">
        <v>8</v>
      </c>
      <c r="G168" s="422">
        <v>8</v>
      </c>
      <c r="H168" s="422">
        <v>9.3000000000000007</v>
      </c>
      <c r="I168" s="422">
        <v>9.39</v>
      </c>
      <c r="J168" s="422">
        <v>9.39</v>
      </c>
      <c r="K168" s="423"/>
      <c r="L168" s="420">
        <v>3</v>
      </c>
    </row>
    <row r="169" spans="1:12" hidden="1">
      <c r="A169" s="414">
        <v>39805</v>
      </c>
      <c r="B169" s="414" t="s">
        <v>529</v>
      </c>
      <c r="C169" s="415">
        <v>35</v>
      </c>
      <c r="D169" s="414">
        <v>39840</v>
      </c>
      <c r="E169" s="418">
        <v>10</v>
      </c>
      <c r="F169" s="416">
        <v>0</v>
      </c>
      <c r="G169" s="416">
        <v>10</v>
      </c>
      <c r="H169" s="416">
        <v>5.83</v>
      </c>
      <c r="I169" s="416">
        <v>5.94</v>
      </c>
      <c r="J169" s="416">
        <v>5.94</v>
      </c>
      <c r="L169" s="415">
        <v>3</v>
      </c>
    </row>
    <row r="170" spans="1:12" hidden="1">
      <c r="A170" s="419">
        <v>39808</v>
      </c>
      <c r="B170" s="419" t="s">
        <v>530</v>
      </c>
      <c r="C170" s="420">
        <v>35</v>
      </c>
      <c r="D170" s="419">
        <v>39843</v>
      </c>
      <c r="E170" s="421">
        <v>5</v>
      </c>
      <c r="F170" s="422">
        <v>0</v>
      </c>
      <c r="G170" s="422">
        <v>5</v>
      </c>
      <c r="H170" s="422">
        <v>5.96</v>
      </c>
      <c r="I170" s="422">
        <v>5.96</v>
      </c>
      <c r="J170" s="422">
        <v>5.96</v>
      </c>
      <c r="K170" s="423"/>
      <c r="L170" s="420">
        <v>1</v>
      </c>
    </row>
    <row r="171" spans="1:12" hidden="1">
      <c r="A171" s="414">
        <v>39836</v>
      </c>
      <c r="B171" s="414" t="s">
        <v>531</v>
      </c>
      <c r="C171" s="415">
        <v>35</v>
      </c>
      <c r="D171" s="414">
        <v>39871</v>
      </c>
      <c r="E171" s="418">
        <v>18</v>
      </c>
      <c r="F171" s="416">
        <v>0</v>
      </c>
      <c r="G171" s="416">
        <v>9.9024000000000001</v>
      </c>
      <c r="H171" s="416">
        <v>5.6800000000000006</v>
      </c>
      <c r="I171" s="416">
        <v>5.6800000000000003E-2</v>
      </c>
      <c r="J171" s="416">
        <v>5.6800000000000006</v>
      </c>
      <c r="L171" s="415">
        <v>0</v>
      </c>
    </row>
    <row r="172" spans="1:12" hidden="1">
      <c r="A172" s="419">
        <v>39836</v>
      </c>
      <c r="B172" s="419" t="s">
        <v>532</v>
      </c>
      <c r="C172" s="420">
        <v>91</v>
      </c>
      <c r="D172" s="419">
        <v>39927</v>
      </c>
      <c r="E172" s="421">
        <v>25</v>
      </c>
      <c r="F172" s="422">
        <v>0</v>
      </c>
      <c r="G172" s="422">
        <v>2.5861999999999998</v>
      </c>
      <c r="H172" s="422">
        <v>5.7</v>
      </c>
      <c r="I172" s="422">
        <v>5.6999999999999995E-2</v>
      </c>
      <c r="J172" s="422">
        <v>5.7</v>
      </c>
      <c r="K172" s="423"/>
      <c r="L172" s="420">
        <v>1</v>
      </c>
    </row>
    <row r="173" spans="1:12" hidden="1">
      <c r="A173" s="414">
        <v>39836</v>
      </c>
      <c r="B173" s="414" t="s">
        <v>533</v>
      </c>
      <c r="C173" s="415">
        <v>364</v>
      </c>
      <c r="D173" s="414">
        <v>40200</v>
      </c>
      <c r="E173" s="418">
        <v>3</v>
      </c>
      <c r="F173" s="416">
        <v>0</v>
      </c>
      <c r="G173" s="416">
        <v>3</v>
      </c>
      <c r="H173" s="416">
        <v>9</v>
      </c>
      <c r="I173" s="416">
        <v>0.09</v>
      </c>
      <c r="J173" s="416">
        <v>9</v>
      </c>
      <c r="L173" s="415">
        <v>1</v>
      </c>
    </row>
    <row r="174" spans="1:12" hidden="1">
      <c r="A174" s="419">
        <v>39845</v>
      </c>
      <c r="B174" s="419" t="s">
        <v>534</v>
      </c>
      <c r="C174" s="420">
        <v>180</v>
      </c>
      <c r="D174" s="419"/>
      <c r="E174" s="421">
        <v>15</v>
      </c>
      <c r="F174" s="422">
        <v>7.1192000000000002</v>
      </c>
      <c r="G174" s="422">
        <v>12.32</v>
      </c>
      <c r="H174" s="422">
        <v>6.9500000000000011</v>
      </c>
      <c r="I174" s="422">
        <v>7.0000000000000007E-2</v>
      </c>
      <c r="J174" s="422">
        <v>6.9500000000000011</v>
      </c>
      <c r="K174" s="423"/>
      <c r="L174" s="420">
        <v>3</v>
      </c>
    </row>
    <row r="175" spans="1:12" hidden="1">
      <c r="A175" s="414">
        <v>39847</v>
      </c>
      <c r="B175" s="414" t="s">
        <v>535</v>
      </c>
      <c r="C175" s="415">
        <v>35</v>
      </c>
      <c r="D175" s="414">
        <v>39882</v>
      </c>
      <c r="E175" s="418">
        <v>18</v>
      </c>
      <c r="F175" s="416">
        <v>29.989000000000001</v>
      </c>
      <c r="G175" s="416">
        <v>18</v>
      </c>
      <c r="H175" s="416">
        <v>4.71</v>
      </c>
      <c r="I175" s="416">
        <v>5.0299999999999997E-2</v>
      </c>
      <c r="J175" s="416">
        <v>4.92</v>
      </c>
      <c r="L175" s="415">
        <v>5</v>
      </c>
    </row>
    <row r="176" spans="1:12" hidden="1">
      <c r="A176" s="419">
        <v>39850</v>
      </c>
      <c r="B176" s="419" t="s">
        <v>536</v>
      </c>
      <c r="C176" s="420">
        <v>91</v>
      </c>
      <c r="D176" s="419">
        <v>39941</v>
      </c>
      <c r="E176" s="421">
        <v>18</v>
      </c>
      <c r="F176" s="422">
        <v>8.0752000000000006</v>
      </c>
      <c r="G176" s="422">
        <v>10.135200000000001</v>
      </c>
      <c r="H176" s="422">
        <v>5.7700000000000005</v>
      </c>
      <c r="I176" s="422">
        <v>5.7700000000000001E-2</v>
      </c>
      <c r="J176" s="422">
        <v>5.7700000000000005</v>
      </c>
      <c r="K176" s="423"/>
      <c r="L176" s="420">
        <v>1</v>
      </c>
    </row>
    <row r="177" spans="1:12" hidden="1">
      <c r="A177" s="414">
        <v>39850</v>
      </c>
      <c r="B177" s="414" t="s">
        <v>537</v>
      </c>
      <c r="C177" s="415">
        <v>364</v>
      </c>
      <c r="D177" s="414">
        <v>40214</v>
      </c>
      <c r="E177" s="418">
        <v>3</v>
      </c>
      <c r="F177" s="416">
        <v>0</v>
      </c>
      <c r="G177" s="416">
        <v>3</v>
      </c>
      <c r="H177" s="416">
        <v>8.6999999999999993</v>
      </c>
      <c r="I177" s="416">
        <v>8.6999999999999994E-2</v>
      </c>
      <c r="J177" s="416">
        <v>8.6999999999999993</v>
      </c>
      <c r="L177" s="415">
        <v>1</v>
      </c>
    </row>
    <row r="178" spans="1:12" hidden="1">
      <c r="A178" s="419">
        <v>39854</v>
      </c>
      <c r="B178" s="419" t="s">
        <v>538</v>
      </c>
      <c r="C178" s="420">
        <v>182</v>
      </c>
      <c r="D178" s="419">
        <v>40036</v>
      </c>
      <c r="E178" s="421">
        <v>7</v>
      </c>
      <c r="F178" s="422">
        <v>0.62339999999999995</v>
      </c>
      <c r="G178" s="422">
        <v>4.2834000000000003</v>
      </c>
      <c r="H178" s="422">
        <v>6.9099999999999993</v>
      </c>
      <c r="I178" s="422">
        <v>6.9900000000000004E-2</v>
      </c>
      <c r="J178" s="422">
        <v>6.97</v>
      </c>
      <c r="K178" s="423"/>
      <c r="L178" s="420">
        <v>2</v>
      </c>
    </row>
    <row r="179" spans="1:12" hidden="1">
      <c r="A179" s="414">
        <v>39857</v>
      </c>
      <c r="B179" s="414" t="s">
        <v>539</v>
      </c>
      <c r="C179" s="415">
        <v>728</v>
      </c>
      <c r="D179" s="414">
        <v>40585</v>
      </c>
      <c r="E179" s="418">
        <v>2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L179" s="415">
        <v>0</v>
      </c>
    </row>
    <row r="180" spans="1:12" hidden="1">
      <c r="A180" s="419">
        <v>39861</v>
      </c>
      <c r="B180" s="419" t="s">
        <v>540</v>
      </c>
      <c r="C180" s="420">
        <v>91</v>
      </c>
      <c r="D180" s="419">
        <v>39952</v>
      </c>
      <c r="E180" s="421">
        <v>15</v>
      </c>
      <c r="F180" s="422">
        <v>0</v>
      </c>
      <c r="G180" s="422">
        <v>0</v>
      </c>
      <c r="H180" s="422">
        <v>0</v>
      </c>
      <c r="I180" s="422">
        <v>0</v>
      </c>
      <c r="J180" s="422">
        <v>0</v>
      </c>
      <c r="K180" s="423"/>
      <c r="L180" s="420">
        <v>0</v>
      </c>
    </row>
    <row r="181" spans="1:12" hidden="1">
      <c r="A181" s="414">
        <v>39862</v>
      </c>
      <c r="B181" s="414" t="s">
        <v>541</v>
      </c>
      <c r="C181" s="415">
        <v>27</v>
      </c>
      <c r="D181" s="414">
        <v>39889</v>
      </c>
      <c r="E181" s="418">
        <v>20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L181" s="415">
        <v>0</v>
      </c>
    </row>
    <row r="182" spans="1:12" hidden="1">
      <c r="A182" s="419">
        <v>39864</v>
      </c>
      <c r="B182" s="419" t="s">
        <v>542</v>
      </c>
      <c r="C182" s="420">
        <v>364</v>
      </c>
      <c r="D182" s="419">
        <v>40228</v>
      </c>
      <c r="E182" s="421">
        <v>10</v>
      </c>
      <c r="F182" s="422">
        <v>1.08</v>
      </c>
      <c r="G182" s="422">
        <v>1.08</v>
      </c>
      <c r="H182" s="422">
        <v>8.9</v>
      </c>
      <c r="I182" s="422">
        <v>8.8999999999999996E-2</v>
      </c>
      <c r="J182" s="422">
        <v>8.9</v>
      </c>
      <c r="K182" s="423"/>
      <c r="L182" s="420">
        <v>1</v>
      </c>
    </row>
    <row r="183" spans="1:12" hidden="1">
      <c r="A183" s="414">
        <v>39864</v>
      </c>
      <c r="B183" s="414" t="s">
        <v>543</v>
      </c>
      <c r="C183" s="415">
        <v>35</v>
      </c>
      <c r="D183" s="414">
        <v>39899</v>
      </c>
      <c r="E183" s="418">
        <v>12</v>
      </c>
      <c r="F183" s="416">
        <v>5.0229999999999997</v>
      </c>
      <c r="G183" s="416">
        <v>5.0229999999999997</v>
      </c>
      <c r="H183" s="416">
        <v>5.35</v>
      </c>
      <c r="I183" s="416">
        <v>5.3499999999999999E-2</v>
      </c>
      <c r="J183" s="416">
        <v>5.35</v>
      </c>
      <c r="L183" s="415">
        <v>1</v>
      </c>
    </row>
    <row r="184" spans="1:12" hidden="1">
      <c r="A184" s="419">
        <v>39868</v>
      </c>
      <c r="B184" s="419" t="s">
        <v>544</v>
      </c>
      <c r="C184" s="420">
        <v>182</v>
      </c>
      <c r="D184" s="419">
        <v>40050</v>
      </c>
      <c r="E184" s="421">
        <v>8</v>
      </c>
      <c r="F184" s="422">
        <v>1.8</v>
      </c>
      <c r="G184" s="422">
        <v>1.8</v>
      </c>
      <c r="H184" s="422">
        <v>6.99</v>
      </c>
      <c r="I184" s="422">
        <v>6.9900000000000004E-2</v>
      </c>
      <c r="J184" s="422">
        <v>6.99</v>
      </c>
      <c r="K184" s="423"/>
      <c r="L184" s="420">
        <v>1</v>
      </c>
    </row>
    <row r="185" spans="1:12" hidden="1">
      <c r="A185" s="414">
        <v>39871</v>
      </c>
      <c r="B185" s="414" t="s">
        <v>545</v>
      </c>
      <c r="C185" s="415">
        <v>728</v>
      </c>
      <c r="D185" s="414">
        <v>40599</v>
      </c>
      <c r="E185" s="418">
        <v>2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L185" s="415">
        <v>0</v>
      </c>
    </row>
    <row r="186" spans="1:12" hidden="1">
      <c r="A186" s="419">
        <v>39875</v>
      </c>
      <c r="B186" s="419" t="s">
        <v>546</v>
      </c>
      <c r="C186" s="420">
        <v>35</v>
      </c>
      <c r="D186" s="419">
        <v>39910</v>
      </c>
      <c r="E186" s="421">
        <v>18</v>
      </c>
      <c r="F186" s="422"/>
      <c r="G186" s="422">
        <v>0</v>
      </c>
      <c r="H186" s="422">
        <v>0</v>
      </c>
      <c r="I186" s="422">
        <v>0</v>
      </c>
      <c r="J186" s="422">
        <v>0</v>
      </c>
      <c r="K186" s="423"/>
      <c r="L186" s="420">
        <v>0</v>
      </c>
    </row>
    <row r="187" spans="1:12" hidden="1">
      <c r="A187" s="414">
        <v>39878</v>
      </c>
      <c r="B187" s="414" t="s">
        <v>547</v>
      </c>
      <c r="C187" s="415">
        <v>91</v>
      </c>
      <c r="D187" s="414">
        <v>39969</v>
      </c>
      <c r="E187" s="418">
        <v>18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L187" s="415">
        <v>0</v>
      </c>
    </row>
    <row r="188" spans="1:12" hidden="1">
      <c r="A188" s="419">
        <v>39878</v>
      </c>
      <c r="B188" s="419" t="s">
        <v>548</v>
      </c>
      <c r="C188" s="420">
        <v>364</v>
      </c>
      <c r="D188" s="419">
        <v>40242</v>
      </c>
      <c r="E188" s="421">
        <v>3</v>
      </c>
      <c r="F188" s="422">
        <v>0</v>
      </c>
      <c r="G188" s="422">
        <v>0</v>
      </c>
      <c r="H188" s="422">
        <v>0</v>
      </c>
      <c r="I188" s="422">
        <v>0</v>
      </c>
      <c r="J188" s="422">
        <v>0</v>
      </c>
      <c r="K188" s="423"/>
      <c r="L188" s="420">
        <v>0</v>
      </c>
    </row>
    <row r="189" spans="1:12" hidden="1">
      <c r="A189" s="414">
        <v>39882</v>
      </c>
      <c r="B189" s="414" t="s">
        <v>549</v>
      </c>
      <c r="C189" s="415">
        <v>182</v>
      </c>
      <c r="D189" s="414">
        <v>40064</v>
      </c>
      <c r="E189" s="418">
        <v>7</v>
      </c>
      <c r="F189" s="416">
        <v>3.7784</v>
      </c>
      <c r="G189" s="416">
        <v>3.7784</v>
      </c>
      <c r="H189" s="416">
        <v>6.84</v>
      </c>
      <c r="I189" s="416">
        <v>6.9900000000000004E-2</v>
      </c>
      <c r="J189" s="416">
        <v>6.84</v>
      </c>
      <c r="L189" s="415">
        <v>3</v>
      </c>
    </row>
    <row r="190" spans="1:12" hidden="1">
      <c r="A190" s="419">
        <v>39885</v>
      </c>
      <c r="B190" s="419" t="s">
        <v>550</v>
      </c>
      <c r="C190" s="420">
        <v>728</v>
      </c>
      <c r="D190" s="419">
        <v>40613</v>
      </c>
      <c r="E190" s="421">
        <v>2</v>
      </c>
      <c r="F190" s="422">
        <v>0.5</v>
      </c>
      <c r="G190" s="422">
        <v>0.5</v>
      </c>
      <c r="H190" s="422">
        <v>9.5</v>
      </c>
      <c r="I190" s="422">
        <v>9.5000000000000001E-2</v>
      </c>
      <c r="J190" s="422">
        <v>9.5</v>
      </c>
      <c r="K190" s="423"/>
      <c r="L190" s="420">
        <v>1</v>
      </c>
    </row>
    <row r="191" spans="1:12" hidden="1">
      <c r="A191" s="414">
        <v>39889</v>
      </c>
      <c r="B191" s="414" t="s">
        <v>551</v>
      </c>
      <c r="C191" s="415">
        <v>364</v>
      </c>
      <c r="D191" s="414">
        <v>40253</v>
      </c>
      <c r="E191" s="418">
        <v>2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L191" s="415">
        <v>0</v>
      </c>
    </row>
    <row r="192" spans="1:12" hidden="1">
      <c r="A192" s="419">
        <v>39889</v>
      </c>
      <c r="B192" s="419" t="s">
        <v>552</v>
      </c>
      <c r="C192" s="420">
        <v>35</v>
      </c>
      <c r="D192" s="419">
        <v>39924</v>
      </c>
      <c r="E192" s="421">
        <v>20</v>
      </c>
      <c r="F192" s="422">
        <v>5.5948000000000002</v>
      </c>
      <c r="G192" s="422">
        <v>5.5948000000000002</v>
      </c>
      <c r="H192" s="422">
        <v>2.97</v>
      </c>
      <c r="I192" s="422">
        <v>3.0300000000000001E-2</v>
      </c>
      <c r="J192" s="422">
        <v>3.0300000000000002</v>
      </c>
      <c r="K192" s="423"/>
      <c r="L192" s="420">
        <v>2</v>
      </c>
    </row>
    <row r="193" spans="1:256" hidden="1">
      <c r="A193" s="414">
        <v>39901</v>
      </c>
      <c r="B193" s="414" t="s">
        <v>553</v>
      </c>
      <c r="C193" s="415">
        <v>91</v>
      </c>
      <c r="D193" s="414">
        <v>39992</v>
      </c>
      <c r="E193" s="418">
        <v>15</v>
      </c>
      <c r="F193" s="416">
        <v>6.0670000000000002</v>
      </c>
      <c r="G193" s="416">
        <v>6.0670000000000002</v>
      </c>
      <c r="H193" s="416">
        <v>5.04</v>
      </c>
      <c r="I193" s="416">
        <v>5.04E-2</v>
      </c>
      <c r="J193" s="416">
        <v>5.04</v>
      </c>
      <c r="L193" s="415">
        <v>1</v>
      </c>
    </row>
    <row r="194" spans="1:256" hidden="1">
      <c r="A194" s="419">
        <v>39901</v>
      </c>
      <c r="B194" s="419" t="s">
        <v>554</v>
      </c>
      <c r="C194" s="420">
        <v>182</v>
      </c>
      <c r="D194" s="419">
        <v>40083</v>
      </c>
      <c r="E194" s="421">
        <v>8</v>
      </c>
      <c r="F194" s="422">
        <v>0</v>
      </c>
      <c r="G194" s="422">
        <v>0</v>
      </c>
      <c r="H194" s="422">
        <v>0</v>
      </c>
      <c r="I194" s="422">
        <v>0</v>
      </c>
      <c r="J194" s="422">
        <v>0</v>
      </c>
      <c r="K194" s="423"/>
      <c r="L194" s="420">
        <v>0</v>
      </c>
    </row>
    <row r="195" spans="1:256" hidden="1">
      <c r="A195" s="414">
        <v>39903</v>
      </c>
      <c r="B195" s="414" t="s">
        <v>555</v>
      </c>
      <c r="C195" s="415">
        <v>728</v>
      </c>
      <c r="D195" s="414">
        <v>40631</v>
      </c>
      <c r="E195" s="418">
        <v>2</v>
      </c>
      <c r="F195" s="416">
        <v>0</v>
      </c>
      <c r="G195" s="416">
        <v>0</v>
      </c>
      <c r="H195" s="416">
        <v>0</v>
      </c>
      <c r="I195" s="416">
        <v>0</v>
      </c>
      <c r="J195" s="416">
        <v>0</v>
      </c>
      <c r="L195" s="415">
        <v>0</v>
      </c>
    </row>
    <row r="196" spans="1:256" hidden="1">
      <c r="A196" s="419">
        <v>39910</v>
      </c>
      <c r="B196" s="419" t="s">
        <v>556</v>
      </c>
      <c r="C196" s="420">
        <v>364</v>
      </c>
      <c r="D196" s="419">
        <v>40274</v>
      </c>
      <c r="E196" s="421">
        <v>3</v>
      </c>
      <c r="F196" s="422">
        <v>3</v>
      </c>
      <c r="G196" s="422">
        <v>3</v>
      </c>
      <c r="H196" s="422">
        <v>8.49</v>
      </c>
      <c r="I196" s="422">
        <v>8.4900000000000003E-2</v>
      </c>
      <c r="J196" s="422">
        <v>8.49</v>
      </c>
      <c r="K196" s="423"/>
      <c r="L196" s="420">
        <v>1</v>
      </c>
    </row>
    <row r="197" spans="1:256" hidden="1">
      <c r="A197" s="414">
        <v>39910</v>
      </c>
      <c r="B197" s="414" t="s">
        <v>557</v>
      </c>
      <c r="C197" s="415">
        <v>35</v>
      </c>
      <c r="D197" s="414">
        <v>39945</v>
      </c>
      <c r="E197" s="418">
        <v>18</v>
      </c>
      <c r="F197" s="416">
        <v>19.170999999999999</v>
      </c>
      <c r="G197" s="416">
        <v>18</v>
      </c>
      <c r="H197" s="416">
        <v>2.5100000000000002</v>
      </c>
      <c r="I197" s="416">
        <v>3.0300000000000001E-2</v>
      </c>
      <c r="J197" s="416">
        <v>2.93</v>
      </c>
      <c r="L197" s="415">
        <v>5</v>
      </c>
    </row>
    <row r="198" spans="1:256" s="431" customFormat="1" hidden="1">
      <c r="A198" s="427">
        <v>39913</v>
      </c>
      <c r="B198" s="427" t="s">
        <v>558</v>
      </c>
      <c r="C198" s="428">
        <v>91</v>
      </c>
      <c r="D198" s="427">
        <v>40004</v>
      </c>
      <c r="E198" s="429">
        <v>18</v>
      </c>
      <c r="F198" s="430">
        <v>7.5999999999999998E-2</v>
      </c>
      <c r="G198" s="430">
        <v>0</v>
      </c>
      <c r="H198" s="430">
        <v>0</v>
      </c>
      <c r="I198" s="430">
        <v>0</v>
      </c>
      <c r="J198" s="430">
        <v>0</v>
      </c>
      <c r="L198" s="428">
        <v>1</v>
      </c>
      <c r="M198" s="402"/>
      <c r="N198" s="402"/>
      <c r="O198" s="402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  <c r="AF198" s="402"/>
      <c r="AG198" s="402"/>
      <c r="AH198" s="402"/>
      <c r="AI198" s="402"/>
      <c r="AJ198" s="402"/>
      <c r="AK198" s="402"/>
      <c r="AL198" s="402"/>
      <c r="AM198" s="402"/>
      <c r="AN198" s="402"/>
      <c r="AO198" s="402"/>
      <c r="AP198" s="402"/>
      <c r="AQ198" s="402"/>
      <c r="AR198" s="402"/>
      <c r="AS198" s="402"/>
      <c r="AT198" s="402"/>
      <c r="AU198" s="402"/>
      <c r="AV198" s="402"/>
      <c r="AW198" s="402"/>
      <c r="AX198" s="402"/>
      <c r="AY198" s="402"/>
      <c r="AZ198" s="402"/>
      <c r="BA198" s="402"/>
      <c r="BB198" s="402"/>
      <c r="BC198" s="402"/>
      <c r="BD198" s="402"/>
      <c r="BE198" s="402"/>
      <c r="BF198" s="402"/>
      <c r="BG198" s="402"/>
      <c r="BH198" s="402"/>
      <c r="BI198" s="402"/>
      <c r="BJ198" s="402"/>
      <c r="BK198" s="402"/>
      <c r="BL198" s="402"/>
      <c r="BM198" s="402"/>
      <c r="BN198" s="402"/>
      <c r="BO198" s="402"/>
      <c r="BP198" s="402"/>
      <c r="BQ198" s="402"/>
      <c r="BR198" s="402"/>
      <c r="BS198" s="402"/>
      <c r="BT198" s="402"/>
      <c r="BU198" s="402"/>
      <c r="BV198" s="402"/>
      <c r="BW198" s="402"/>
      <c r="BX198" s="402"/>
      <c r="BY198" s="402"/>
      <c r="BZ198" s="402"/>
      <c r="CA198" s="402"/>
      <c r="CB198" s="402"/>
      <c r="CC198" s="402"/>
      <c r="CD198" s="402"/>
      <c r="CE198" s="402"/>
      <c r="CF198" s="402"/>
      <c r="CG198" s="402"/>
      <c r="CH198" s="402"/>
      <c r="CI198" s="402"/>
      <c r="CJ198" s="402"/>
      <c r="CK198" s="402"/>
      <c r="CL198" s="402"/>
      <c r="CM198" s="402"/>
      <c r="CN198" s="402"/>
      <c r="CO198" s="402"/>
      <c r="CP198" s="402"/>
      <c r="CQ198" s="402"/>
      <c r="CR198" s="402"/>
      <c r="CS198" s="402"/>
      <c r="CT198" s="402"/>
      <c r="CU198" s="402"/>
      <c r="CV198" s="402"/>
      <c r="CW198" s="402"/>
      <c r="CX198" s="402"/>
      <c r="CY198" s="402"/>
      <c r="CZ198" s="402"/>
      <c r="DA198" s="402"/>
      <c r="DB198" s="402"/>
      <c r="DC198" s="402"/>
      <c r="DD198" s="402"/>
      <c r="DE198" s="402"/>
      <c r="DF198" s="402"/>
      <c r="DG198" s="402"/>
      <c r="DH198" s="402"/>
      <c r="DI198" s="402"/>
      <c r="DJ198" s="402"/>
      <c r="DK198" s="402"/>
      <c r="DL198" s="402"/>
      <c r="DM198" s="402"/>
      <c r="DN198" s="402"/>
      <c r="DO198" s="402"/>
      <c r="DP198" s="402"/>
      <c r="DQ198" s="402"/>
      <c r="DR198" s="402"/>
      <c r="DS198" s="402"/>
      <c r="DT198" s="402"/>
      <c r="DU198" s="402"/>
      <c r="DV198" s="402"/>
      <c r="DW198" s="402"/>
      <c r="DX198" s="402"/>
      <c r="DY198" s="402"/>
      <c r="DZ198" s="402"/>
      <c r="EA198" s="402"/>
      <c r="EB198" s="402"/>
      <c r="EC198" s="402"/>
      <c r="ED198" s="402"/>
      <c r="EE198" s="402"/>
      <c r="EF198" s="402"/>
      <c r="EG198" s="402"/>
      <c r="EH198" s="402"/>
      <c r="EI198" s="402"/>
      <c r="EJ198" s="402"/>
      <c r="EK198" s="402"/>
      <c r="EL198" s="402"/>
      <c r="EM198" s="402"/>
      <c r="EN198" s="402"/>
      <c r="EO198" s="402"/>
      <c r="EP198" s="402"/>
      <c r="EQ198" s="402"/>
      <c r="ER198" s="402"/>
      <c r="ES198" s="402"/>
      <c r="ET198" s="402"/>
      <c r="EU198" s="402"/>
      <c r="EV198" s="402"/>
      <c r="EW198" s="402"/>
      <c r="EX198" s="402"/>
      <c r="EY198" s="402"/>
      <c r="EZ198" s="402"/>
      <c r="FA198" s="402"/>
      <c r="FB198" s="402"/>
      <c r="FC198" s="402"/>
      <c r="FD198" s="402"/>
      <c r="FE198" s="402"/>
      <c r="FF198" s="402"/>
      <c r="FG198" s="402"/>
      <c r="FH198" s="402"/>
      <c r="FI198" s="402"/>
      <c r="FJ198" s="402"/>
      <c r="FK198" s="402"/>
      <c r="FL198" s="402"/>
      <c r="FM198" s="402"/>
      <c r="FN198" s="402"/>
      <c r="FO198" s="402"/>
      <c r="FP198" s="402"/>
      <c r="FQ198" s="402"/>
      <c r="FR198" s="402"/>
      <c r="FS198" s="402"/>
      <c r="FT198" s="402"/>
      <c r="FU198" s="402"/>
      <c r="FV198" s="402"/>
      <c r="FW198" s="402"/>
      <c r="FX198" s="402"/>
      <c r="FY198" s="402"/>
      <c r="FZ198" s="402"/>
      <c r="GA198" s="402"/>
      <c r="GB198" s="402"/>
      <c r="GC198" s="402"/>
      <c r="GD198" s="402"/>
      <c r="GE198" s="402"/>
      <c r="GF198" s="402"/>
      <c r="GG198" s="402"/>
      <c r="GH198" s="402"/>
      <c r="GI198" s="402"/>
      <c r="GJ198" s="402"/>
      <c r="GK198" s="402"/>
      <c r="GL198" s="402"/>
      <c r="GM198" s="402"/>
      <c r="GN198" s="402"/>
      <c r="GO198" s="402"/>
      <c r="GP198" s="402"/>
      <c r="GQ198" s="402"/>
      <c r="GR198" s="402"/>
      <c r="GS198" s="402"/>
      <c r="GT198" s="402"/>
      <c r="GU198" s="402"/>
      <c r="GV198" s="402"/>
      <c r="GW198" s="402"/>
      <c r="GX198" s="402"/>
      <c r="GY198" s="402"/>
      <c r="GZ198" s="402"/>
      <c r="HA198" s="402"/>
      <c r="HB198" s="402"/>
      <c r="HC198" s="402"/>
      <c r="HD198" s="402"/>
      <c r="HE198" s="402"/>
      <c r="HF198" s="402"/>
      <c r="HG198" s="402"/>
      <c r="HH198" s="402"/>
      <c r="HI198" s="402"/>
      <c r="HJ198" s="402"/>
      <c r="HK198" s="402"/>
      <c r="HL198" s="402"/>
      <c r="HM198" s="402"/>
      <c r="HN198" s="402"/>
      <c r="HO198" s="402"/>
      <c r="HP198" s="402"/>
      <c r="HQ198" s="402"/>
      <c r="HR198" s="402"/>
      <c r="HS198" s="402"/>
      <c r="HT198" s="402"/>
      <c r="HU198" s="402"/>
      <c r="HV198" s="402"/>
      <c r="HW198" s="402"/>
      <c r="HX198" s="402"/>
      <c r="HY198" s="402"/>
      <c r="HZ198" s="402"/>
      <c r="IA198" s="402"/>
      <c r="IB198" s="402"/>
      <c r="IC198" s="402"/>
      <c r="ID198" s="402"/>
      <c r="IE198" s="402"/>
      <c r="IF198" s="402"/>
      <c r="IG198" s="402"/>
      <c r="IH198" s="402"/>
      <c r="II198" s="402"/>
      <c r="IJ198" s="402"/>
      <c r="IK198" s="402"/>
      <c r="IL198" s="402"/>
      <c r="IM198" s="402"/>
      <c r="IN198" s="402"/>
      <c r="IO198" s="402"/>
      <c r="IP198" s="402"/>
      <c r="IQ198" s="402"/>
      <c r="IR198" s="402"/>
      <c r="IS198" s="402"/>
      <c r="IT198" s="402"/>
      <c r="IU198" s="402"/>
      <c r="IV198" s="402"/>
    </row>
    <row r="199" spans="1:256" hidden="1">
      <c r="A199" s="414">
        <v>39917</v>
      </c>
      <c r="B199" s="414" t="s">
        <v>559</v>
      </c>
      <c r="C199" s="415">
        <v>182</v>
      </c>
      <c r="D199" s="414">
        <v>40099</v>
      </c>
      <c r="E199" s="418">
        <v>7</v>
      </c>
      <c r="F199" s="416">
        <v>2.5324</v>
      </c>
      <c r="G199" s="416">
        <v>2.5324</v>
      </c>
      <c r="H199" s="416">
        <v>6.99</v>
      </c>
      <c r="I199" s="416">
        <v>6.9900000000000004E-2</v>
      </c>
      <c r="J199" s="416">
        <v>6.99</v>
      </c>
      <c r="L199" s="415">
        <v>2</v>
      </c>
    </row>
    <row r="200" spans="1:256" s="431" customFormat="1" hidden="1">
      <c r="A200" s="427">
        <v>39920</v>
      </c>
      <c r="B200" s="427" t="s">
        <v>560</v>
      </c>
      <c r="C200" s="428">
        <v>1092</v>
      </c>
      <c r="D200" s="427">
        <v>41012</v>
      </c>
      <c r="E200" s="429">
        <v>2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L200" s="428">
        <v>0</v>
      </c>
      <c r="M200" s="402"/>
      <c r="N200" s="402"/>
      <c r="O200" s="402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  <c r="AF200" s="402"/>
      <c r="AG200" s="402"/>
      <c r="AH200" s="402"/>
      <c r="AI200" s="402"/>
      <c r="AJ200" s="402"/>
      <c r="AK200" s="402"/>
      <c r="AL200" s="402"/>
      <c r="AM200" s="402"/>
      <c r="AN200" s="402"/>
      <c r="AO200" s="402"/>
      <c r="AP200" s="402"/>
      <c r="AQ200" s="402"/>
      <c r="AR200" s="402"/>
      <c r="AS200" s="402"/>
      <c r="AT200" s="402"/>
      <c r="AU200" s="402"/>
      <c r="AV200" s="402"/>
      <c r="AW200" s="402"/>
      <c r="AX200" s="402"/>
      <c r="AY200" s="402"/>
      <c r="AZ200" s="402"/>
      <c r="BA200" s="402"/>
      <c r="BB200" s="402"/>
      <c r="BC200" s="402"/>
      <c r="BD200" s="402"/>
      <c r="BE200" s="402"/>
      <c r="BF200" s="402"/>
      <c r="BG200" s="402"/>
      <c r="BH200" s="402"/>
      <c r="BI200" s="402"/>
      <c r="BJ200" s="402"/>
      <c r="BK200" s="402"/>
      <c r="BL200" s="402"/>
      <c r="BM200" s="402"/>
      <c r="BN200" s="402"/>
      <c r="BO200" s="402"/>
      <c r="BP200" s="402"/>
      <c r="BQ200" s="402"/>
      <c r="BR200" s="402"/>
      <c r="BS200" s="402"/>
      <c r="BT200" s="402"/>
      <c r="BU200" s="402"/>
      <c r="BV200" s="402"/>
      <c r="BW200" s="402"/>
      <c r="BX200" s="402"/>
      <c r="BY200" s="402"/>
      <c r="BZ200" s="402"/>
      <c r="CA200" s="402"/>
      <c r="CB200" s="402"/>
      <c r="CC200" s="402"/>
      <c r="CD200" s="402"/>
      <c r="CE200" s="402"/>
      <c r="CF200" s="402"/>
      <c r="CG200" s="402"/>
      <c r="CH200" s="402"/>
      <c r="CI200" s="402"/>
      <c r="CJ200" s="402"/>
      <c r="CK200" s="402"/>
      <c r="CL200" s="402"/>
      <c r="CM200" s="402"/>
      <c r="CN200" s="402"/>
      <c r="CO200" s="402"/>
      <c r="CP200" s="402"/>
      <c r="CQ200" s="402"/>
      <c r="CR200" s="402"/>
      <c r="CS200" s="402"/>
      <c r="CT200" s="402"/>
      <c r="CU200" s="402"/>
      <c r="CV200" s="402"/>
      <c r="CW200" s="402"/>
      <c r="CX200" s="402"/>
      <c r="CY200" s="402"/>
      <c r="CZ200" s="402"/>
      <c r="DA200" s="402"/>
      <c r="DB200" s="402"/>
      <c r="DC200" s="402"/>
      <c r="DD200" s="402"/>
      <c r="DE200" s="402"/>
      <c r="DF200" s="402"/>
      <c r="DG200" s="402"/>
      <c r="DH200" s="402"/>
      <c r="DI200" s="402"/>
      <c r="DJ200" s="402"/>
      <c r="DK200" s="402"/>
      <c r="DL200" s="402"/>
      <c r="DM200" s="402"/>
      <c r="DN200" s="402"/>
      <c r="DO200" s="402"/>
      <c r="DP200" s="402"/>
      <c r="DQ200" s="402"/>
      <c r="DR200" s="402"/>
      <c r="DS200" s="402"/>
      <c r="DT200" s="402"/>
      <c r="DU200" s="402"/>
      <c r="DV200" s="402"/>
      <c r="DW200" s="402"/>
      <c r="DX200" s="402"/>
      <c r="DY200" s="402"/>
      <c r="DZ200" s="402"/>
      <c r="EA200" s="402"/>
      <c r="EB200" s="402"/>
      <c r="EC200" s="402"/>
      <c r="ED200" s="402"/>
      <c r="EE200" s="402"/>
      <c r="EF200" s="402"/>
      <c r="EG200" s="402"/>
      <c r="EH200" s="402"/>
      <c r="EI200" s="402"/>
      <c r="EJ200" s="402"/>
      <c r="EK200" s="402"/>
      <c r="EL200" s="402"/>
      <c r="EM200" s="402"/>
      <c r="EN200" s="402"/>
      <c r="EO200" s="402"/>
      <c r="EP200" s="402"/>
      <c r="EQ200" s="402"/>
      <c r="ER200" s="402"/>
      <c r="ES200" s="402"/>
      <c r="ET200" s="402"/>
      <c r="EU200" s="402"/>
      <c r="EV200" s="402"/>
      <c r="EW200" s="402"/>
      <c r="EX200" s="402"/>
      <c r="EY200" s="402"/>
      <c r="EZ200" s="402"/>
      <c r="FA200" s="402"/>
      <c r="FB200" s="402"/>
      <c r="FC200" s="402"/>
      <c r="FD200" s="402"/>
      <c r="FE200" s="402"/>
      <c r="FF200" s="402"/>
      <c r="FG200" s="402"/>
      <c r="FH200" s="402"/>
      <c r="FI200" s="402"/>
      <c r="FJ200" s="402"/>
      <c r="FK200" s="402"/>
      <c r="FL200" s="402"/>
      <c r="FM200" s="402"/>
      <c r="FN200" s="402"/>
      <c r="FO200" s="402"/>
      <c r="FP200" s="402"/>
      <c r="FQ200" s="402"/>
      <c r="FR200" s="402"/>
      <c r="FS200" s="402"/>
      <c r="FT200" s="402"/>
      <c r="FU200" s="402"/>
      <c r="FV200" s="402"/>
      <c r="FW200" s="402"/>
      <c r="FX200" s="402"/>
      <c r="FY200" s="402"/>
      <c r="FZ200" s="402"/>
      <c r="GA200" s="402"/>
      <c r="GB200" s="402"/>
      <c r="GC200" s="402"/>
      <c r="GD200" s="402"/>
      <c r="GE200" s="402"/>
      <c r="GF200" s="402"/>
      <c r="GG200" s="402"/>
      <c r="GH200" s="402"/>
      <c r="GI200" s="402"/>
      <c r="GJ200" s="402"/>
      <c r="GK200" s="402"/>
      <c r="GL200" s="402"/>
      <c r="GM200" s="402"/>
      <c r="GN200" s="402"/>
      <c r="GO200" s="402"/>
      <c r="GP200" s="402"/>
      <c r="GQ200" s="402"/>
      <c r="GR200" s="402"/>
      <c r="GS200" s="402"/>
      <c r="GT200" s="402"/>
      <c r="GU200" s="402"/>
      <c r="GV200" s="402"/>
      <c r="GW200" s="402"/>
      <c r="GX200" s="402"/>
      <c r="GY200" s="402"/>
      <c r="GZ200" s="402"/>
      <c r="HA200" s="402"/>
      <c r="HB200" s="402"/>
      <c r="HC200" s="402"/>
      <c r="HD200" s="402"/>
      <c r="HE200" s="402"/>
      <c r="HF200" s="402"/>
      <c r="HG200" s="402"/>
      <c r="HH200" s="402"/>
      <c r="HI200" s="402"/>
      <c r="HJ200" s="402"/>
      <c r="HK200" s="402"/>
      <c r="HL200" s="402"/>
      <c r="HM200" s="402"/>
      <c r="HN200" s="402"/>
      <c r="HO200" s="402"/>
      <c r="HP200" s="402"/>
      <c r="HQ200" s="402"/>
      <c r="HR200" s="402"/>
      <c r="HS200" s="402"/>
      <c r="HT200" s="402"/>
      <c r="HU200" s="402"/>
      <c r="HV200" s="402"/>
      <c r="HW200" s="402"/>
      <c r="HX200" s="402"/>
      <c r="HY200" s="402"/>
      <c r="HZ200" s="402"/>
      <c r="IA200" s="402"/>
      <c r="IB200" s="402"/>
      <c r="IC200" s="402"/>
      <c r="ID200" s="402"/>
      <c r="IE200" s="402"/>
      <c r="IF200" s="402"/>
      <c r="IG200" s="402"/>
      <c r="IH200" s="402"/>
      <c r="II200" s="402"/>
      <c r="IJ200" s="402"/>
      <c r="IK200" s="402"/>
      <c r="IL200" s="402"/>
      <c r="IM200" s="402"/>
      <c r="IN200" s="402"/>
      <c r="IO200" s="402"/>
      <c r="IP200" s="402"/>
      <c r="IQ200" s="402"/>
      <c r="IR200" s="402"/>
      <c r="IS200" s="402"/>
      <c r="IT200" s="402"/>
      <c r="IU200" s="402"/>
      <c r="IV200" s="402"/>
    </row>
    <row r="201" spans="1:256" hidden="1">
      <c r="A201" s="414">
        <v>39924</v>
      </c>
      <c r="B201" s="414" t="s">
        <v>561</v>
      </c>
      <c r="C201" s="415">
        <v>35</v>
      </c>
      <c r="D201" s="414">
        <v>39959</v>
      </c>
      <c r="E201" s="418">
        <v>20</v>
      </c>
      <c r="F201" s="416">
        <v>12.866</v>
      </c>
      <c r="G201" s="416">
        <v>12.866</v>
      </c>
      <c r="H201" s="416">
        <v>2.93</v>
      </c>
      <c r="I201" s="416">
        <v>3.9800000000000002E-2</v>
      </c>
      <c r="J201" s="416">
        <v>2.93</v>
      </c>
      <c r="L201" s="415">
        <v>4</v>
      </c>
    </row>
    <row r="202" spans="1:256" s="431" customFormat="1" hidden="1">
      <c r="A202" s="427">
        <v>39924</v>
      </c>
      <c r="B202" s="427" t="s">
        <v>562</v>
      </c>
      <c r="C202" s="428">
        <v>364</v>
      </c>
      <c r="D202" s="427">
        <v>40288</v>
      </c>
      <c r="E202" s="429">
        <v>2</v>
      </c>
      <c r="F202" s="430">
        <v>1.3058000000000001</v>
      </c>
      <c r="G202" s="430">
        <v>1.3058000000000001</v>
      </c>
      <c r="H202" s="430">
        <v>8.49</v>
      </c>
      <c r="I202" s="430">
        <v>8.4900000000000003E-2</v>
      </c>
      <c r="J202" s="430">
        <v>8.49</v>
      </c>
      <c r="L202" s="428">
        <v>1</v>
      </c>
      <c r="M202" s="402"/>
      <c r="N202" s="402"/>
      <c r="O202" s="402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  <c r="AF202" s="402"/>
      <c r="AG202" s="402"/>
      <c r="AH202" s="402"/>
      <c r="AI202" s="402"/>
      <c r="AJ202" s="402"/>
      <c r="AK202" s="402"/>
      <c r="AL202" s="402"/>
      <c r="AM202" s="402"/>
      <c r="AN202" s="402"/>
      <c r="AO202" s="402"/>
      <c r="AP202" s="402"/>
      <c r="AQ202" s="402"/>
      <c r="AR202" s="402"/>
      <c r="AS202" s="402"/>
      <c r="AT202" s="402"/>
      <c r="AU202" s="402"/>
      <c r="AV202" s="402"/>
      <c r="AW202" s="402"/>
      <c r="AX202" s="402"/>
      <c r="AY202" s="402"/>
      <c r="AZ202" s="402"/>
      <c r="BA202" s="402"/>
      <c r="BB202" s="402"/>
      <c r="BC202" s="402"/>
      <c r="BD202" s="402"/>
      <c r="BE202" s="402"/>
      <c r="BF202" s="402"/>
      <c r="BG202" s="402"/>
      <c r="BH202" s="402"/>
      <c r="BI202" s="402"/>
      <c r="BJ202" s="402"/>
      <c r="BK202" s="402"/>
      <c r="BL202" s="402"/>
      <c r="BM202" s="402"/>
      <c r="BN202" s="402"/>
      <c r="BO202" s="402"/>
      <c r="BP202" s="402"/>
      <c r="BQ202" s="402"/>
      <c r="BR202" s="402"/>
      <c r="BS202" s="402"/>
      <c r="BT202" s="402"/>
      <c r="BU202" s="402"/>
      <c r="BV202" s="402"/>
      <c r="BW202" s="402"/>
      <c r="BX202" s="402"/>
      <c r="BY202" s="402"/>
      <c r="BZ202" s="402"/>
      <c r="CA202" s="402"/>
      <c r="CB202" s="402"/>
      <c r="CC202" s="402"/>
      <c r="CD202" s="402"/>
      <c r="CE202" s="402"/>
      <c r="CF202" s="402"/>
      <c r="CG202" s="402"/>
      <c r="CH202" s="402"/>
      <c r="CI202" s="402"/>
      <c r="CJ202" s="402"/>
      <c r="CK202" s="402"/>
      <c r="CL202" s="402"/>
      <c r="CM202" s="402"/>
      <c r="CN202" s="402"/>
      <c r="CO202" s="402"/>
      <c r="CP202" s="402"/>
      <c r="CQ202" s="402"/>
      <c r="CR202" s="402"/>
      <c r="CS202" s="402"/>
      <c r="CT202" s="402"/>
      <c r="CU202" s="402"/>
      <c r="CV202" s="402"/>
      <c r="CW202" s="402"/>
      <c r="CX202" s="402"/>
      <c r="CY202" s="402"/>
      <c r="CZ202" s="402"/>
      <c r="DA202" s="402"/>
      <c r="DB202" s="402"/>
      <c r="DC202" s="402"/>
      <c r="DD202" s="402"/>
      <c r="DE202" s="402"/>
      <c r="DF202" s="402"/>
      <c r="DG202" s="402"/>
      <c r="DH202" s="402"/>
      <c r="DI202" s="402"/>
      <c r="DJ202" s="402"/>
      <c r="DK202" s="402"/>
      <c r="DL202" s="402"/>
      <c r="DM202" s="402"/>
      <c r="DN202" s="402"/>
      <c r="DO202" s="402"/>
      <c r="DP202" s="402"/>
      <c r="DQ202" s="402"/>
      <c r="DR202" s="402"/>
      <c r="DS202" s="402"/>
      <c r="DT202" s="402"/>
      <c r="DU202" s="402"/>
      <c r="DV202" s="402"/>
      <c r="DW202" s="402"/>
      <c r="DX202" s="402"/>
      <c r="DY202" s="402"/>
      <c r="DZ202" s="402"/>
      <c r="EA202" s="402"/>
      <c r="EB202" s="402"/>
      <c r="EC202" s="402"/>
      <c r="ED202" s="402"/>
      <c r="EE202" s="402"/>
      <c r="EF202" s="402"/>
      <c r="EG202" s="402"/>
      <c r="EH202" s="402"/>
      <c r="EI202" s="402"/>
      <c r="EJ202" s="402"/>
      <c r="EK202" s="402"/>
      <c r="EL202" s="402"/>
      <c r="EM202" s="402"/>
      <c r="EN202" s="402"/>
      <c r="EO202" s="402"/>
      <c r="EP202" s="402"/>
      <c r="EQ202" s="402"/>
      <c r="ER202" s="402"/>
      <c r="ES202" s="402"/>
      <c r="ET202" s="402"/>
      <c r="EU202" s="402"/>
      <c r="EV202" s="402"/>
      <c r="EW202" s="402"/>
      <c r="EX202" s="402"/>
      <c r="EY202" s="402"/>
      <c r="EZ202" s="402"/>
      <c r="FA202" s="402"/>
      <c r="FB202" s="402"/>
      <c r="FC202" s="402"/>
      <c r="FD202" s="402"/>
      <c r="FE202" s="402"/>
      <c r="FF202" s="402"/>
      <c r="FG202" s="402"/>
      <c r="FH202" s="402"/>
      <c r="FI202" s="402"/>
      <c r="FJ202" s="402"/>
      <c r="FK202" s="402"/>
      <c r="FL202" s="402"/>
      <c r="FM202" s="402"/>
      <c r="FN202" s="402"/>
      <c r="FO202" s="402"/>
      <c r="FP202" s="402"/>
      <c r="FQ202" s="402"/>
      <c r="FR202" s="402"/>
      <c r="FS202" s="402"/>
      <c r="FT202" s="402"/>
      <c r="FU202" s="402"/>
      <c r="FV202" s="402"/>
      <c r="FW202" s="402"/>
      <c r="FX202" s="402"/>
      <c r="FY202" s="402"/>
      <c r="FZ202" s="402"/>
      <c r="GA202" s="402"/>
      <c r="GB202" s="402"/>
      <c r="GC202" s="402"/>
      <c r="GD202" s="402"/>
      <c r="GE202" s="402"/>
      <c r="GF202" s="402"/>
      <c r="GG202" s="402"/>
      <c r="GH202" s="402"/>
      <c r="GI202" s="402"/>
      <c r="GJ202" s="402"/>
      <c r="GK202" s="402"/>
      <c r="GL202" s="402"/>
      <c r="GM202" s="402"/>
      <c r="GN202" s="402"/>
      <c r="GO202" s="402"/>
      <c r="GP202" s="402"/>
      <c r="GQ202" s="402"/>
      <c r="GR202" s="402"/>
      <c r="GS202" s="402"/>
      <c r="GT202" s="402"/>
      <c r="GU202" s="402"/>
      <c r="GV202" s="402"/>
      <c r="GW202" s="402"/>
      <c r="GX202" s="402"/>
      <c r="GY202" s="402"/>
      <c r="GZ202" s="402"/>
      <c r="HA202" s="402"/>
      <c r="HB202" s="402"/>
      <c r="HC202" s="402"/>
      <c r="HD202" s="402"/>
      <c r="HE202" s="402"/>
      <c r="HF202" s="402"/>
      <c r="HG202" s="402"/>
      <c r="HH202" s="402"/>
      <c r="HI202" s="402"/>
      <c r="HJ202" s="402"/>
      <c r="HK202" s="402"/>
      <c r="HL202" s="402"/>
      <c r="HM202" s="402"/>
      <c r="HN202" s="402"/>
      <c r="HO202" s="402"/>
      <c r="HP202" s="402"/>
      <c r="HQ202" s="402"/>
      <c r="HR202" s="402"/>
      <c r="HS202" s="402"/>
      <c r="HT202" s="402"/>
      <c r="HU202" s="402"/>
      <c r="HV202" s="402"/>
      <c r="HW202" s="402"/>
      <c r="HX202" s="402"/>
      <c r="HY202" s="402"/>
      <c r="HZ202" s="402"/>
      <c r="IA202" s="402"/>
      <c r="IB202" s="402"/>
      <c r="IC202" s="402"/>
      <c r="ID202" s="402"/>
      <c r="IE202" s="402"/>
      <c r="IF202" s="402"/>
      <c r="IG202" s="402"/>
      <c r="IH202" s="402"/>
      <c r="II202" s="402"/>
      <c r="IJ202" s="402"/>
      <c r="IK202" s="402"/>
      <c r="IL202" s="402"/>
      <c r="IM202" s="402"/>
      <c r="IN202" s="402"/>
      <c r="IO202" s="402"/>
      <c r="IP202" s="402"/>
      <c r="IQ202" s="402"/>
      <c r="IR202" s="402"/>
      <c r="IS202" s="402"/>
      <c r="IT202" s="402"/>
      <c r="IU202" s="402"/>
      <c r="IV202" s="402"/>
    </row>
    <row r="203" spans="1:256" hidden="1">
      <c r="A203" s="414">
        <v>39927</v>
      </c>
      <c r="B203" s="414" t="s">
        <v>563</v>
      </c>
      <c r="C203" s="415">
        <v>91</v>
      </c>
      <c r="D203" s="414">
        <v>40018</v>
      </c>
      <c r="E203" s="418">
        <v>15</v>
      </c>
      <c r="F203" s="416">
        <v>3.4041999999999999</v>
      </c>
      <c r="G203" s="416">
        <v>3.4041999999999999</v>
      </c>
      <c r="H203" s="416">
        <v>4.99</v>
      </c>
      <c r="I203" s="416">
        <v>6.0299999999999999E-2</v>
      </c>
      <c r="J203" s="416">
        <v>5.94</v>
      </c>
      <c r="L203" s="415">
        <v>5</v>
      </c>
    </row>
    <row r="204" spans="1:256" s="431" customFormat="1" hidden="1">
      <c r="A204" s="427">
        <v>39931</v>
      </c>
      <c r="B204" s="427" t="s">
        <v>564</v>
      </c>
      <c r="C204" s="428">
        <v>182</v>
      </c>
      <c r="D204" s="427">
        <v>40113</v>
      </c>
      <c r="E204" s="429">
        <v>8</v>
      </c>
      <c r="F204" s="430">
        <v>5.1609999999999996</v>
      </c>
      <c r="G204" s="430">
        <v>5.1609999999999996</v>
      </c>
      <c r="H204" s="430">
        <v>6.99</v>
      </c>
      <c r="I204" s="430">
        <v>6.9900000000000004E-2</v>
      </c>
      <c r="J204" s="430">
        <v>6.99</v>
      </c>
      <c r="L204" s="428">
        <v>1</v>
      </c>
      <c r="M204" s="402"/>
      <c r="N204" s="402"/>
      <c r="O204" s="402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  <c r="AF204" s="402"/>
      <c r="AG204" s="402"/>
      <c r="AH204" s="402"/>
      <c r="AI204" s="402"/>
      <c r="AJ204" s="402"/>
      <c r="AK204" s="402"/>
      <c r="AL204" s="402"/>
      <c r="AM204" s="402"/>
      <c r="AN204" s="402"/>
      <c r="AO204" s="402"/>
      <c r="AP204" s="402"/>
      <c r="AQ204" s="402"/>
      <c r="AR204" s="402"/>
      <c r="AS204" s="402"/>
      <c r="AT204" s="402"/>
      <c r="AU204" s="402"/>
      <c r="AV204" s="402"/>
      <c r="AW204" s="402"/>
      <c r="AX204" s="402"/>
      <c r="AY204" s="402"/>
      <c r="AZ204" s="402"/>
      <c r="BA204" s="402"/>
      <c r="BB204" s="402"/>
      <c r="BC204" s="402"/>
      <c r="BD204" s="402"/>
      <c r="BE204" s="402"/>
      <c r="BF204" s="402"/>
      <c r="BG204" s="402"/>
      <c r="BH204" s="402"/>
      <c r="BI204" s="402"/>
      <c r="BJ204" s="402"/>
      <c r="BK204" s="402"/>
      <c r="BL204" s="402"/>
      <c r="BM204" s="402"/>
      <c r="BN204" s="402"/>
      <c r="BO204" s="402"/>
      <c r="BP204" s="402"/>
      <c r="BQ204" s="402"/>
      <c r="BR204" s="402"/>
      <c r="BS204" s="402"/>
      <c r="BT204" s="402"/>
      <c r="BU204" s="402"/>
      <c r="BV204" s="402"/>
      <c r="BW204" s="402"/>
      <c r="BX204" s="402"/>
      <c r="BY204" s="402"/>
      <c r="BZ204" s="402"/>
      <c r="CA204" s="402"/>
      <c r="CB204" s="402"/>
      <c r="CC204" s="402"/>
      <c r="CD204" s="402"/>
      <c r="CE204" s="402"/>
      <c r="CF204" s="402"/>
      <c r="CG204" s="402"/>
      <c r="CH204" s="402"/>
      <c r="CI204" s="402"/>
      <c r="CJ204" s="402"/>
      <c r="CK204" s="402"/>
      <c r="CL204" s="402"/>
      <c r="CM204" s="402"/>
      <c r="CN204" s="402"/>
      <c r="CO204" s="402"/>
      <c r="CP204" s="402"/>
      <c r="CQ204" s="402"/>
      <c r="CR204" s="402"/>
      <c r="CS204" s="402"/>
      <c r="CT204" s="402"/>
      <c r="CU204" s="402"/>
      <c r="CV204" s="402"/>
      <c r="CW204" s="402"/>
      <c r="CX204" s="402"/>
      <c r="CY204" s="402"/>
      <c r="CZ204" s="402"/>
      <c r="DA204" s="402"/>
      <c r="DB204" s="402"/>
      <c r="DC204" s="402"/>
      <c r="DD204" s="402"/>
      <c r="DE204" s="402"/>
      <c r="DF204" s="402"/>
      <c r="DG204" s="402"/>
      <c r="DH204" s="402"/>
      <c r="DI204" s="402"/>
      <c r="DJ204" s="402"/>
      <c r="DK204" s="402"/>
      <c r="DL204" s="402"/>
      <c r="DM204" s="402"/>
      <c r="DN204" s="402"/>
      <c r="DO204" s="402"/>
      <c r="DP204" s="402"/>
      <c r="DQ204" s="402"/>
      <c r="DR204" s="402"/>
      <c r="DS204" s="402"/>
      <c r="DT204" s="402"/>
      <c r="DU204" s="402"/>
      <c r="DV204" s="402"/>
      <c r="DW204" s="402"/>
      <c r="DX204" s="402"/>
      <c r="DY204" s="402"/>
      <c r="DZ204" s="402"/>
      <c r="EA204" s="402"/>
      <c r="EB204" s="402"/>
      <c r="EC204" s="402"/>
      <c r="ED204" s="402"/>
      <c r="EE204" s="402"/>
      <c r="EF204" s="402"/>
      <c r="EG204" s="402"/>
      <c r="EH204" s="402"/>
      <c r="EI204" s="402"/>
      <c r="EJ204" s="402"/>
      <c r="EK204" s="402"/>
      <c r="EL204" s="402"/>
      <c r="EM204" s="402"/>
      <c r="EN204" s="402"/>
      <c r="EO204" s="402"/>
      <c r="EP204" s="402"/>
      <c r="EQ204" s="402"/>
      <c r="ER204" s="402"/>
      <c r="ES204" s="402"/>
      <c r="ET204" s="402"/>
      <c r="EU204" s="402"/>
      <c r="EV204" s="402"/>
      <c r="EW204" s="402"/>
      <c r="EX204" s="402"/>
      <c r="EY204" s="402"/>
      <c r="EZ204" s="402"/>
      <c r="FA204" s="402"/>
      <c r="FB204" s="402"/>
      <c r="FC204" s="402"/>
      <c r="FD204" s="402"/>
      <c r="FE204" s="402"/>
      <c r="FF204" s="402"/>
      <c r="FG204" s="402"/>
      <c r="FH204" s="402"/>
      <c r="FI204" s="402"/>
      <c r="FJ204" s="402"/>
      <c r="FK204" s="402"/>
      <c r="FL204" s="402"/>
      <c r="FM204" s="402"/>
      <c r="FN204" s="402"/>
      <c r="FO204" s="402"/>
      <c r="FP204" s="402"/>
      <c r="FQ204" s="402"/>
      <c r="FR204" s="402"/>
      <c r="FS204" s="402"/>
      <c r="FT204" s="402"/>
      <c r="FU204" s="402"/>
      <c r="FV204" s="402"/>
      <c r="FW204" s="402"/>
      <c r="FX204" s="402"/>
      <c r="FY204" s="402"/>
      <c r="FZ204" s="402"/>
      <c r="GA204" s="402"/>
      <c r="GB204" s="402"/>
      <c r="GC204" s="402"/>
      <c r="GD204" s="402"/>
      <c r="GE204" s="402"/>
      <c r="GF204" s="402"/>
      <c r="GG204" s="402"/>
      <c r="GH204" s="402"/>
      <c r="GI204" s="402"/>
      <c r="GJ204" s="402"/>
      <c r="GK204" s="402"/>
      <c r="GL204" s="402"/>
      <c r="GM204" s="402"/>
      <c r="GN204" s="402"/>
      <c r="GO204" s="402"/>
      <c r="GP204" s="402"/>
      <c r="GQ204" s="402"/>
      <c r="GR204" s="402"/>
      <c r="GS204" s="402"/>
      <c r="GT204" s="402"/>
      <c r="GU204" s="402"/>
      <c r="GV204" s="402"/>
      <c r="GW204" s="402"/>
      <c r="GX204" s="402"/>
      <c r="GY204" s="402"/>
      <c r="GZ204" s="402"/>
      <c r="HA204" s="402"/>
      <c r="HB204" s="402"/>
      <c r="HC204" s="402"/>
      <c r="HD204" s="402"/>
      <c r="HE204" s="402"/>
      <c r="HF204" s="402"/>
      <c r="HG204" s="402"/>
      <c r="HH204" s="402"/>
      <c r="HI204" s="402"/>
      <c r="HJ204" s="402"/>
      <c r="HK204" s="402"/>
      <c r="HL204" s="402"/>
      <c r="HM204" s="402"/>
      <c r="HN204" s="402"/>
      <c r="HO204" s="402"/>
      <c r="HP204" s="402"/>
      <c r="HQ204" s="402"/>
      <c r="HR204" s="402"/>
      <c r="HS204" s="402"/>
      <c r="HT204" s="402"/>
      <c r="HU204" s="402"/>
      <c r="HV204" s="402"/>
      <c r="HW204" s="402"/>
      <c r="HX204" s="402"/>
      <c r="HY204" s="402"/>
      <c r="HZ204" s="402"/>
      <c r="IA204" s="402"/>
      <c r="IB204" s="402"/>
      <c r="IC204" s="402"/>
      <c r="ID204" s="402"/>
      <c r="IE204" s="402"/>
      <c r="IF204" s="402"/>
      <c r="IG204" s="402"/>
      <c r="IH204" s="402"/>
      <c r="II204" s="402"/>
      <c r="IJ204" s="402"/>
      <c r="IK204" s="402"/>
      <c r="IL204" s="402"/>
      <c r="IM204" s="402"/>
      <c r="IN204" s="402"/>
      <c r="IO204" s="402"/>
      <c r="IP204" s="402"/>
      <c r="IQ204" s="402"/>
      <c r="IR204" s="402"/>
      <c r="IS204" s="402"/>
      <c r="IT204" s="402"/>
      <c r="IU204" s="402"/>
      <c r="IV204" s="402"/>
    </row>
    <row r="205" spans="1:256" hidden="1">
      <c r="A205" s="414">
        <v>39931</v>
      </c>
      <c r="B205" s="414" t="s">
        <v>565</v>
      </c>
      <c r="C205" s="415">
        <v>728</v>
      </c>
      <c r="D205" s="414">
        <v>40659</v>
      </c>
      <c r="E205" s="418">
        <v>2</v>
      </c>
      <c r="F205" s="416">
        <v>0</v>
      </c>
      <c r="G205" s="416">
        <v>0</v>
      </c>
      <c r="H205" s="416">
        <v>0</v>
      </c>
      <c r="I205" s="416">
        <v>0</v>
      </c>
      <c r="J205" s="416">
        <v>0</v>
      </c>
      <c r="L205" s="415">
        <v>0</v>
      </c>
    </row>
    <row r="206" spans="1:256" s="431" customFormat="1" hidden="1">
      <c r="A206" s="427">
        <v>39934</v>
      </c>
      <c r="B206" s="427" t="s">
        <v>566</v>
      </c>
      <c r="C206" s="428">
        <v>1092</v>
      </c>
      <c r="D206" s="427">
        <v>41026</v>
      </c>
      <c r="E206" s="429">
        <v>3</v>
      </c>
      <c r="F206" s="430">
        <v>0</v>
      </c>
      <c r="G206" s="430">
        <v>0</v>
      </c>
      <c r="H206" s="430">
        <v>0</v>
      </c>
      <c r="I206" s="430">
        <v>0</v>
      </c>
      <c r="J206" s="430">
        <v>0</v>
      </c>
      <c r="L206" s="428">
        <v>0</v>
      </c>
      <c r="M206" s="402"/>
      <c r="N206" s="402"/>
      <c r="O206" s="402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  <c r="AF206" s="402"/>
      <c r="AG206" s="402"/>
      <c r="AH206" s="402"/>
      <c r="AI206" s="402"/>
      <c r="AJ206" s="402"/>
      <c r="AK206" s="402"/>
      <c r="AL206" s="402"/>
      <c r="AM206" s="402"/>
      <c r="AN206" s="402"/>
      <c r="AO206" s="402"/>
      <c r="AP206" s="402"/>
      <c r="AQ206" s="402"/>
      <c r="AR206" s="402"/>
      <c r="AS206" s="402"/>
      <c r="AT206" s="402"/>
      <c r="AU206" s="402"/>
      <c r="AV206" s="402"/>
      <c r="AW206" s="402"/>
      <c r="AX206" s="402"/>
      <c r="AY206" s="402"/>
      <c r="AZ206" s="402"/>
      <c r="BA206" s="402"/>
      <c r="BB206" s="402"/>
      <c r="BC206" s="402"/>
      <c r="BD206" s="402"/>
      <c r="BE206" s="402"/>
      <c r="BF206" s="402"/>
      <c r="BG206" s="402"/>
      <c r="BH206" s="402"/>
      <c r="BI206" s="402"/>
      <c r="BJ206" s="402"/>
      <c r="BK206" s="402"/>
      <c r="BL206" s="402"/>
      <c r="BM206" s="402"/>
      <c r="BN206" s="402"/>
      <c r="BO206" s="402"/>
      <c r="BP206" s="402"/>
      <c r="BQ206" s="402"/>
      <c r="BR206" s="402"/>
      <c r="BS206" s="402"/>
      <c r="BT206" s="402"/>
      <c r="BU206" s="402"/>
      <c r="BV206" s="402"/>
      <c r="BW206" s="402"/>
      <c r="BX206" s="402"/>
      <c r="BY206" s="402"/>
      <c r="BZ206" s="402"/>
      <c r="CA206" s="402"/>
      <c r="CB206" s="402"/>
      <c r="CC206" s="402"/>
      <c r="CD206" s="402"/>
      <c r="CE206" s="402"/>
      <c r="CF206" s="402"/>
      <c r="CG206" s="402"/>
      <c r="CH206" s="402"/>
      <c r="CI206" s="402"/>
      <c r="CJ206" s="402"/>
      <c r="CK206" s="402"/>
      <c r="CL206" s="402"/>
      <c r="CM206" s="402"/>
      <c r="CN206" s="402"/>
      <c r="CO206" s="402"/>
      <c r="CP206" s="402"/>
      <c r="CQ206" s="402"/>
      <c r="CR206" s="402"/>
      <c r="CS206" s="402"/>
      <c r="CT206" s="402"/>
      <c r="CU206" s="402"/>
      <c r="CV206" s="402"/>
      <c r="CW206" s="402"/>
      <c r="CX206" s="402"/>
      <c r="CY206" s="402"/>
      <c r="CZ206" s="402"/>
      <c r="DA206" s="402"/>
      <c r="DB206" s="402"/>
      <c r="DC206" s="402"/>
      <c r="DD206" s="402"/>
      <c r="DE206" s="402"/>
      <c r="DF206" s="402"/>
      <c r="DG206" s="402"/>
      <c r="DH206" s="402"/>
      <c r="DI206" s="402"/>
      <c r="DJ206" s="402"/>
      <c r="DK206" s="402"/>
      <c r="DL206" s="402"/>
      <c r="DM206" s="402"/>
      <c r="DN206" s="402"/>
      <c r="DO206" s="402"/>
      <c r="DP206" s="402"/>
      <c r="DQ206" s="402"/>
      <c r="DR206" s="402"/>
      <c r="DS206" s="402"/>
      <c r="DT206" s="402"/>
      <c r="DU206" s="402"/>
      <c r="DV206" s="402"/>
      <c r="DW206" s="402"/>
      <c r="DX206" s="402"/>
      <c r="DY206" s="402"/>
      <c r="DZ206" s="402"/>
      <c r="EA206" s="402"/>
      <c r="EB206" s="402"/>
      <c r="EC206" s="402"/>
      <c r="ED206" s="402"/>
      <c r="EE206" s="402"/>
      <c r="EF206" s="402"/>
      <c r="EG206" s="402"/>
      <c r="EH206" s="402"/>
      <c r="EI206" s="402"/>
      <c r="EJ206" s="402"/>
      <c r="EK206" s="402"/>
      <c r="EL206" s="402"/>
      <c r="EM206" s="402"/>
      <c r="EN206" s="402"/>
      <c r="EO206" s="402"/>
      <c r="EP206" s="402"/>
      <c r="EQ206" s="402"/>
      <c r="ER206" s="402"/>
      <c r="ES206" s="402"/>
      <c r="ET206" s="402"/>
      <c r="EU206" s="402"/>
      <c r="EV206" s="402"/>
      <c r="EW206" s="402"/>
      <c r="EX206" s="402"/>
      <c r="EY206" s="402"/>
      <c r="EZ206" s="402"/>
      <c r="FA206" s="402"/>
      <c r="FB206" s="402"/>
      <c r="FC206" s="402"/>
      <c r="FD206" s="402"/>
      <c r="FE206" s="402"/>
      <c r="FF206" s="402"/>
      <c r="FG206" s="402"/>
      <c r="FH206" s="402"/>
      <c r="FI206" s="402"/>
      <c r="FJ206" s="402"/>
      <c r="FK206" s="402"/>
      <c r="FL206" s="402"/>
      <c r="FM206" s="402"/>
      <c r="FN206" s="402"/>
      <c r="FO206" s="402"/>
      <c r="FP206" s="402"/>
      <c r="FQ206" s="402"/>
      <c r="FR206" s="402"/>
      <c r="FS206" s="402"/>
      <c r="FT206" s="402"/>
      <c r="FU206" s="402"/>
      <c r="FV206" s="402"/>
      <c r="FW206" s="402"/>
      <c r="FX206" s="402"/>
      <c r="FY206" s="402"/>
      <c r="FZ206" s="402"/>
      <c r="GA206" s="402"/>
      <c r="GB206" s="402"/>
      <c r="GC206" s="402"/>
      <c r="GD206" s="402"/>
      <c r="GE206" s="402"/>
      <c r="GF206" s="402"/>
      <c r="GG206" s="402"/>
      <c r="GH206" s="402"/>
      <c r="GI206" s="402"/>
      <c r="GJ206" s="402"/>
      <c r="GK206" s="402"/>
      <c r="GL206" s="402"/>
      <c r="GM206" s="402"/>
      <c r="GN206" s="402"/>
      <c r="GO206" s="402"/>
      <c r="GP206" s="402"/>
      <c r="GQ206" s="402"/>
      <c r="GR206" s="402"/>
      <c r="GS206" s="402"/>
      <c r="GT206" s="402"/>
      <c r="GU206" s="402"/>
      <c r="GV206" s="402"/>
      <c r="GW206" s="402"/>
      <c r="GX206" s="402"/>
      <c r="GY206" s="402"/>
      <c r="GZ206" s="402"/>
      <c r="HA206" s="402"/>
      <c r="HB206" s="402"/>
      <c r="HC206" s="402"/>
      <c r="HD206" s="402"/>
      <c r="HE206" s="402"/>
      <c r="HF206" s="402"/>
      <c r="HG206" s="402"/>
      <c r="HH206" s="402"/>
      <c r="HI206" s="402"/>
      <c r="HJ206" s="402"/>
      <c r="HK206" s="402"/>
      <c r="HL206" s="402"/>
      <c r="HM206" s="402"/>
      <c r="HN206" s="402"/>
      <c r="HO206" s="402"/>
      <c r="HP206" s="402"/>
      <c r="HQ206" s="402"/>
      <c r="HR206" s="402"/>
      <c r="HS206" s="402"/>
      <c r="HT206" s="402"/>
      <c r="HU206" s="402"/>
      <c r="HV206" s="402"/>
      <c r="HW206" s="402"/>
      <c r="HX206" s="402"/>
      <c r="HY206" s="402"/>
      <c r="HZ206" s="402"/>
      <c r="IA206" s="402"/>
      <c r="IB206" s="402"/>
      <c r="IC206" s="402"/>
      <c r="ID206" s="402"/>
      <c r="IE206" s="402"/>
      <c r="IF206" s="402"/>
      <c r="IG206" s="402"/>
      <c r="IH206" s="402"/>
      <c r="II206" s="402"/>
      <c r="IJ206" s="402"/>
      <c r="IK206" s="402"/>
      <c r="IL206" s="402"/>
      <c r="IM206" s="402"/>
      <c r="IN206" s="402"/>
      <c r="IO206" s="402"/>
      <c r="IP206" s="402"/>
      <c r="IQ206" s="402"/>
      <c r="IR206" s="402"/>
      <c r="IS206" s="402"/>
      <c r="IT206" s="402"/>
      <c r="IU206" s="402"/>
      <c r="IV206" s="402"/>
    </row>
    <row r="207" spans="1:256" hidden="1">
      <c r="A207" s="414">
        <v>39938</v>
      </c>
      <c r="B207" s="414" t="s">
        <v>567</v>
      </c>
      <c r="C207" s="415">
        <v>35</v>
      </c>
      <c r="D207" s="414">
        <v>39973</v>
      </c>
      <c r="E207" s="418">
        <v>18</v>
      </c>
      <c r="F207" s="416">
        <v>15.043200000000001</v>
      </c>
      <c r="G207" s="416">
        <v>15.043200000000001</v>
      </c>
      <c r="H207" s="416">
        <v>3.5000000000000004</v>
      </c>
      <c r="I207" s="416">
        <v>3.8699999999999998E-2</v>
      </c>
      <c r="J207" s="416">
        <v>3.56</v>
      </c>
      <c r="L207" s="415">
        <v>2</v>
      </c>
    </row>
    <row r="208" spans="1:256" s="431" customFormat="1" hidden="1">
      <c r="A208" s="427">
        <v>39938</v>
      </c>
      <c r="B208" s="427" t="s">
        <v>568</v>
      </c>
      <c r="C208" s="428">
        <v>364</v>
      </c>
      <c r="D208" s="427">
        <v>40302</v>
      </c>
      <c r="E208" s="429">
        <v>3</v>
      </c>
      <c r="F208" s="430">
        <v>2.3690000000000002</v>
      </c>
      <c r="G208" s="430">
        <v>2.3690000000000002</v>
      </c>
      <c r="H208" s="430">
        <v>8.49</v>
      </c>
      <c r="I208" s="430">
        <v>8.4900000000000003E-2</v>
      </c>
      <c r="J208" s="430">
        <v>8.49</v>
      </c>
      <c r="L208" s="428">
        <v>2</v>
      </c>
      <c r="M208" s="402"/>
      <c r="N208" s="402"/>
      <c r="O208" s="402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  <c r="AF208" s="402"/>
      <c r="AG208" s="402"/>
      <c r="AH208" s="402"/>
      <c r="AI208" s="402"/>
      <c r="AJ208" s="402"/>
      <c r="AK208" s="402"/>
      <c r="AL208" s="402"/>
      <c r="AM208" s="402"/>
      <c r="AN208" s="402"/>
      <c r="AO208" s="402"/>
      <c r="AP208" s="402"/>
      <c r="AQ208" s="402"/>
      <c r="AR208" s="402"/>
      <c r="AS208" s="402"/>
      <c r="AT208" s="402"/>
      <c r="AU208" s="402"/>
      <c r="AV208" s="402"/>
      <c r="AW208" s="402"/>
      <c r="AX208" s="402"/>
      <c r="AY208" s="402"/>
      <c r="AZ208" s="402"/>
      <c r="BA208" s="402"/>
      <c r="BB208" s="402"/>
      <c r="BC208" s="402"/>
      <c r="BD208" s="402"/>
      <c r="BE208" s="402"/>
      <c r="BF208" s="402"/>
      <c r="BG208" s="402"/>
      <c r="BH208" s="402"/>
      <c r="BI208" s="402"/>
      <c r="BJ208" s="402"/>
      <c r="BK208" s="402"/>
      <c r="BL208" s="402"/>
      <c r="BM208" s="402"/>
      <c r="BN208" s="402"/>
      <c r="BO208" s="402"/>
      <c r="BP208" s="402"/>
      <c r="BQ208" s="402"/>
      <c r="BR208" s="402"/>
      <c r="BS208" s="402"/>
      <c r="BT208" s="402"/>
      <c r="BU208" s="402"/>
      <c r="BV208" s="402"/>
      <c r="BW208" s="402"/>
      <c r="BX208" s="402"/>
      <c r="BY208" s="402"/>
      <c r="BZ208" s="402"/>
      <c r="CA208" s="402"/>
      <c r="CB208" s="402"/>
      <c r="CC208" s="402"/>
      <c r="CD208" s="402"/>
      <c r="CE208" s="402"/>
      <c r="CF208" s="402"/>
      <c r="CG208" s="402"/>
      <c r="CH208" s="402"/>
      <c r="CI208" s="402"/>
      <c r="CJ208" s="402"/>
      <c r="CK208" s="402"/>
      <c r="CL208" s="402"/>
      <c r="CM208" s="402"/>
      <c r="CN208" s="402"/>
      <c r="CO208" s="402"/>
      <c r="CP208" s="402"/>
      <c r="CQ208" s="402"/>
      <c r="CR208" s="402"/>
      <c r="CS208" s="402"/>
      <c r="CT208" s="402"/>
      <c r="CU208" s="402"/>
      <c r="CV208" s="402"/>
      <c r="CW208" s="402"/>
      <c r="CX208" s="402"/>
      <c r="CY208" s="402"/>
      <c r="CZ208" s="402"/>
      <c r="DA208" s="402"/>
      <c r="DB208" s="402"/>
      <c r="DC208" s="402"/>
      <c r="DD208" s="402"/>
      <c r="DE208" s="402"/>
      <c r="DF208" s="402"/>
      <c r="DG208" s="402"/>
      <c r="DH208" s="402"/>
      <c r="DI208" s="402"/>
      <c r="DJ208" s="402"/>
      <c r="DK208" s="402"/>
      <c r="DL208" s="402"/>
      <c r="DM208" s="402"/>
      <c r="DN208" s="402"/>
      <c r="DO208" s="402"/>
      <c r="DP208" s="402"/>
      <c r="DQ208" s="402"/>
      <c r="DR208" s="402"/>
      <c r="DS208" s="402"/>
      <c r="DT208" s="402"/>
      <c r="DU208" s="402"/>
      <c r="DV208" s="402"/>
      <c r="DW208" s="402"/>
      <c r="DX208" s="402"/>
      <c r="DY208" s="402"/>
      <c r="DZ208" s="402"/>
      <c r="EA208" s="402"/>
      <c r="EB208" s="402"/>
      <c r="EC208" s="402"/>
      <c r="ED208" s="402"/>
      <c r="EE208" s="402"/>
      <c r="EF208" s="402"/>
      <c r="EG208" s="402"/>
      <c r="EH208" s="402"/>
      <c r="EI208" s="402"/>
      <c r="EJ208" s="402"/>
      <c r="EK208" s="402"/>
      <c r="EL208" s="402"/>
      <c r="EM208" s="402"/>
      <c r="EN208" s="402"/>
      <c r="EO208" s="402"/>
      <c r="EP208" s="402"/>
      <c r="EQ208" s="402"/>
      <c r="ER208" s="402"/>
      <c r="ES208" s="402"/>
      <c r="ET208" s="402"/>
      <c r="EU208" s="402"/>
      <c r="EV208" s="402"/>
      <c r="EW208" s="402"/>
      <c r="EX208" s="402"/>
      <c r="EY208" s="402"/>
      <c r="EZ208" s="402"/>
      <c r="FA208" s="402"/>
      <c r="FB208" s="402"/>
      <c r="FC208" s="402"/>
      <c r="FD208" s="402"/>
      <c r="FE208" s="402"/>
      <c r="FF208" s="402"/>
      <c r="FG208" s="402"/>
      <c r="FH208" s="402"/>
      <c r="FI208" s="402"/>
      <c r="FJ208" s="402"/>
      <c r="FK208" s="402"/>
      <c r="FL208" s="402"/>
      <c r="FM208" s="402"/>
      <c r="FN208" s="402"/>
      <c r="FO208" s="402"/>
      <c r="FP208" s="402"/>
      <c r="FQ208" s="402"/>
      <c r="FR208" s="402"/>
      <c r="FS208" s="402"/>
      <c r="FT208" s="402"/>
      <c r="FU208" s="402"/>
      <c r="FV208" s="402"/>
      <c r="FW208" s="402"/>
      <c r="FX208" s="402"/>
      <c r="FY208" s="402"/>
      <c r="FZ208" s="402"/>
      <c r="GA208" s="402"/>
      <c r="GB208" s="402"/>
      <c r="GC208" s="402"/>
      <c r="GD208" s="402"/>
      <c r="GE208" s="402"/>
      <c r="GF208" s="402"/>
      <c r="GG208" s="402"/>
      <c r="GH208" s="402"/>
      <c r="GI208" s="402"/>
      <c r="GJ208" s="402"/>
      <c r="GK208" s="402"/>
      <c r="GL208" s="402"/>
      <c r="GM208" s="402"/>
      <c r="GN208" s="402"/>
      <c r="GO208" s="402"/>
      <c r="GP208" s="402"/>
      <c r="GQ208" s="402"/>
      <c r="GR208" s="402"/>
      <c r="GS208" s="402"/>
      <c r="GT208" s="402"/>
      <c r="GU208" s="402"/>
      <c r="GV208" s="402"/>
      <c r="GW208" s="402"/>
      <c r="GX208" s="402"/>
      <c r="GY208" s="402"/>
      <c r="GZ208" s="402"/>
      <c r="HA208" s="402"/>
      <c r="HB208" s="402"/>
      <c r="HC208" s="402"/>
      <c r="HD208" s="402"/>
      <c r="HE208" s="402"/>
      <c r="HF208" s="402"/>
      <c r="HG208" s="402"/>
      <c r="HH208" s="402"/>
      <c r="HI208" s="402"/>
      <c r="HJ208" s="402"/>
      <c r="HK208" s="402"/>
      <c r="HL208" s="402"/>
      <c r="HM208" s="402"/>
      <c r="HN208" s="402"/>
      <c r="HO208" s="402"/>
      <c r="HP208" s="402"/>
      <c r="HQ208" s="402"/>
      <c r="HR208" s="402"/>
      <c r="HS208" s="402"/>
      <c r="HT208" s="402"/>
      <c r="HU208" s="402"/>
      <c r="HV208" s="402"/>
      <c r="HW208" s="402"/>
      <c r="HX208" s="402"/>
      <c r="HY208" s="402"/>
      <c r="HZ208" s="402"/>
      <c r="IA208" s="402"/>
      <c r="IB208" s="402"/>
      <c r="IC208" s="402"/>
      <c r="ID208" s="402"/>
      <c r="IE208" s="402"/>
      <c r="IF208" s="402"/>
      <c r="IG208" s="402"/>
      <c r="IH208" s="402"/>
      <c r="II208" s="402"/>
      <c r="IJ208" s="402"/>
      <c r="IK208" s="402"/>
      <c r="IL208" s="402"/>
      <c r="IM208" s="402"/>
      <c r="IN208" s="402"/>
      <c r="IO208" s="402"/>
      <c r="IP208" s="402"/>
      <c r="IQ208" s="402"/>
      <c r="IR208" s="402"/>
      <c r="IS208" s="402"/>
      <c r="IT208" s="402"/>
      <c r="IU208" s="402"/>
      <c r="IV208" s="402"/>
    </row>
    <row r="209" spans="1:256" hidden="1">
      <c r="A209" s="414">
        <v>39941</v>
      </c>
      <c r="B209" s="414" t="s">
        <v>569</v>
      </c>
      <c r="C209" s="415">
        <v>91</v>
      </c>
      <c r="D209" s="414">
        <v>40032</v>
      </c>
      <c r="E209" s="418">
        <v>18</v>
      </c>
      <c r="F209" s="416">
        <v>11.561400000000001</v>
      </c>
      <c r="G209" s="416">
        <v>11.561400000000001</v>
      </c>
      <c r="H209" s="416">
        <v>6.03</v>
      </c>
      <c r="I209" s="416">
        <v>5.62E-2</v>
      </c>
      <c r="J209" s="416">
        <v>6.1899999999999995</v>
      </c>
      <c r="L209" s="415">
        <v>3</v>
      </c>
    </row>
    <row r="210" spans="1:256" s="431" customFormat="1" hidden="1">
      <c r="A210" s="427">
        <v>39945</v>
      </c>
      <c r="B210" s="427" t="s">
        <v>570</v>
      </c>
      <c r="C210" s="428">
        <v>182</v>
      </c>
      <c r="D210" s="427">
        <v>40127</v>
      </c>
      <c r="E210" s="429">
        <v>7</v>
      </c>
      <c r="F210" s="430">
        <v>11.6698</v>
      </c>
      <c r="G210" s="430">
        <v>7</v>
      </c>
      <c r="H210" s="430">
        <v>6.5</v>
      </c>
      <c r="I210" s="430">
        <v>6.5000000000000002E-2</v>
      </c>
      <c r="J210" s="430">
        <v>6.5</v>
      </c>
      <c r="L210" s="428">
        <v>3</v>
      </c>
      <c r="M210" s="402"/>
      <c r="N210" s="402"/>
      <c r="O210" s="402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  <c r="AF210" s="402"/>
      <c r="AG210" s="402"/>
      <c r="AH210" s="402"/>
      <c r="AI210" s="402"/>
      <c r="AJ210" s="402"/>
      <c r="AK210" s="402"/>
      <c r="AL210" s="402"/>
      <c r="AM210" s="402"/>
      <c r="AN210" s="402"/>
      <c r="AO210" s="402"/>
      <c r="AP210" s="402"/>
      <c r="AQ210" s="402"/>
      <c r="AR210" s="402"/>
      <c r="AS210" s="402"/>
      <c r="AT210" s="402"/>
      <c r="AU210" s="402"/>
      <c r="AV210" s="402"/>
      <c r="AW210" s="402"/>
      <c r="AX210" s="402"/>
      <c r="AY210" s="402"/>
      <c r="AZ210" s="402"/>
      <c r="BA210" s="402"/>
      <c r="BB210" s="402"/>
      <c r="BC210" s="402"/>
      <c r="BD210" s="402"/>
      <c r="BE210" s="402"/>
      <c r="BF210" s="402"/>
      <c r="BG210" s="402"/>
      <c r="BH210" s="402"/>
      <c r="BI210" s="402"/>
      <c r="BJ210" s="402"/>
      <c r="BK210" s="402"/>
      <c r="BL210" s="402"/>
      <c r="BM210" s="402"/>
      <c r="BN210" s="402"/>
      <c r="BO210" s="402"/>
      <c r="BP210" s="402"/>
      <c r="BQ210" s="402"/>
      <c r="BR210" s="402"/>
      <c r="BS210" s="402"/>
      <c r="BT210" s="402"/>
      <c r="BU210" s="402"/>
      <c r="BV210" s="402"/>
      <c r="BW210" s="402"/>
      <c r="BX210" s="402"/>
      <c r="BY210" s="402"/>
      <c r="BZ210" s="402"/>
      <c r="CA210" s="402"/>
      <c r="CB210" s="402"/>
      <c r="CC210" s="402"/>
      <c r="CD210" s="402"/>
      <c r="CE210" s="402"/>
      <c r="CF210" s="402"/>
      <c r="CG210" s="402"/>
      <c r="CH210" s="402"/>
      <c r="CI210" s="402"/>
      <c r="CJ210" s="402"/>
      <c r="CK210" s="402"/>
      <c r="CL210" s="402"/>
      <c r="CM210" s="402"/>
      <c r="CN210" s="402"/>
      <c r="CO210" s="402"/>
      <c r="CP210" s="402"/>
      <c r="CQ210" s="402"/>
      <c r="CR210" s="402"/>
      <c r="CS210" s="402"/>
      <c r="CT210" s="402"/>
      <c r="CU210" s="402"/>
      <c r="CV210" s="402"/>
      <c r="CW210" s="402"/>
      <c r="CX210" s="402"/>
      <c r="CY210" s="402"/>
      <c r="CZ210" s="402"/>
      <c r="DA210" s="402"/>
      <c r="DB210" s="402"/>
      <c r="DC210" s="402"/>
      <c r="DD210" s="402"/>
      <c r="DE210" s="402"/>
      <c r="DF210" s="402"/>
      <c r="DG210" s="402"/>
      <c r="DH210" s="402"/>
      <c r="DI210" s="402"/>
      <c r="DJ210" s="402"/>
      <c r="DK210" s="402"/>
      <c r="DL210" s="402"/>
      <c r="DM210" s="402"/>
      <c r="DN210" s="402"/>
      <c r="DO210" s="402"/>
      <c r="DP210" s="402"/>
      <c r="DQ210" s="402"/>
      <c r="DR210" s="402"/>
      <c r="DS210" s="402"/>
      <c r="DT210" s="402"/>
      <c r="DU210" s="402"/>
      <c r="DV210" s="402"/>
      <c r="DW210" s="402"/>
      <c r="DX210" s="402"/>
      <c r="DY210" s="402"/>
      <c r="DZ210" s="402"/>
      <c r="EA210" s="402"/>
      <c r="EB210" s="402"/>
      <c r="EC210" s="402"/>
      <c r="ED210" s="402"/>
      <c r="EE210" s="402"/>
      <c r="EF210" s="402"/>
      <c r="EG210" s="402"/>
      <c r="EH210" s="402"/>
      <c r="EI210" s="402"/>
      <c r="EJ210" s="402"/>
      <c r="EK210" s="402"/>
      <c r="EL210" s="402"/>
      <c r="EM210" s="402"/>
      <c r="EN210" s="402"/>
      <c r="EO210" s="402"/>
      <c r="EP210" s="402"/>
      <c r="EQ210" s="402"/>
      <c r="ER210" s="402"/>
      <c r="ES210" s="402"/>
      <c r="ET210" s="402"/>
      <c r="EU210" s="402"/>
      <c r="EV210" s="402"/>
      <c r="EW210" s="402"/>
      <c r="EX210" s="402"/>
      <c r="EY210" s="402"/>
      <c r="EZ210" s="402"/>
      <c r="FA210" s="402"/>
      <c r="FB210" s="402"/>
      <c r="FC210" s="402"/>
      <c r="FD210" s="402"/>
      <c r="FE210" s="402"/>
      <c r="FF210" s="402"/>
      <c r="FG210" s="402"/>
      <c r="FH210" s="402"/>
      <c r="FI210" s="402"/>
      <c r="FJ210" s="402"/>
      <c r="FK210" s="402"/>
      <c r="FL210" s="402"/>
      <c r="FM210" s="402"/>
      <c r="FN210" s="402"/>
      <c r="FO210" s="402"/>
      <c r="FP210" s="402"/>
      <c r="FQ210" s="402"/>
      <c r="FR210" s="402"/>
      <c r="FS210" s="402"/>
      <c r="FT210" s="402"/>
      <c r="FU210" s="402"/>
      <c r="FV210" s="402"/>
      <c r="FW210" s="402"/>
      <c r="FX210" s="402"/>
      <c r="FY210" s="402"/>
      <c r="FZ210" s="402"/>
      <c r="GA210" s="402"/>
      <c r="GB210" s="402"/>
      <c r="GC210" s="402"/>
      <c r="GD210" s="402"/>
      <c r="GE210" s="402"/>
      <c r="GF210" s="402"/>
      <c r="GG210" s="402"/>
      <c r="GH210" s="402"/>
      <c r="GI210" s="402"/>
      <c r="GJ210" s="402"/>
      <c r="GK210" s="402"/>
      <c r="GL210" s="402"/>
      <c r="GM210" s="402"/>
      <c r="GN210" s="402"/>
      <c r="GO210" s="402"/>
      <c r="GP210" s="402"/>
      <c r="GQ210" s="402"/>
      <c r="GR210" s="402"/>
      <c r="GS210" s="402"/>
      <c r="GT210" s="402"/>
      <c r="GU210" s="402"/>
      <c r="GV210" s="402"/>
      <c r="GW210" s="402"/>
      <c r="GX210" s="402"/>
      <c r="GY210" s="402"/>
      <c r="GZ210" s="402"/>
      <c r="HA210" s="402"/>
      <c r="HB210" s="402"/>
      <c r="HC210" s="402"/>
      <c r="HD210" s="402"/>
      <c r="HE210" s="402"/>
      <c r="HF210" s="402"/>
      <c r="HG210" s="402"/>
      <c r="HH210" s="402"/>
      <c r="HI210" s="402"/>
      <c r="HJ210" s="402"/>
      <c r="HK210" s="402"/>
      <c r="HL210" s="402"/>
      <c r="HM210" s="402"/>
      <c r="HN210" s="402"/>
      <c r="HO210" s="402"/>
      <c r="HP210" s="402"/>
      <c r="HQ210" s="402"/>
      <c r="HR210" s="402"/>
      <c r="HS210" s="402"/>
      <c r="HT210" s="402"/>
      <c r="HU210" s="402"/>
      <c r="HV210" s="402"/>
      <c r="HW210" s="402"/>
      <c r="HX210" s="402"/>
      <c r="HY210" s="402"/>
      <c r="HZ210" s="402"/>
      <c r="IA210" s="402"/>
      <c r="IB210" s="402"/>
      <c r="IC210" s="402"/>
      <c r="ID210" s="402"/>
      <c r="IE210" s="402"/>
      <c r="IF210" s="402"/>
      <c r="IG210" s="402"/>
      <c r="IH210" s="402"/>
      <c r="II210" s="402"/>
      <c r="IJ210" s="402"/>
      <c r="IK210" s="402"/>
      <c r="IL210" s="402"/>
      <c r="IM210" s="402"/>
      <c r="IN210" s="402"/>
      <c r="IO210" s="402"/>
      <c r="IP210" s="402"/>
      <c r="IQ210" s="402"/>
      <c r="IR210" s="402"/>
      <c r="IS210" s="402"/>
      <c r="IT210" s="402"/>
      <c r="IU210" s="402"/>
      <c r="IV210" s="402"/>
    </row>
    <row r="211" spans="1:256" hidden="1">
      <c r="A211" s="414">
        <v>39948</v>
      </c>
      <c r="B211" s="414" t="s">
        <v>571</v>
      </c>
      <c r="C211" s="415">
        <v>728</v>
      </c>
      <c r="D211" s="414">
        <v>40676</v>
      </c>
      <c r="E211" s="418">
        <v>2</v>
      </c>
      <c r="F211" s="416">
        <v>2</v>
      </c>
      <c r="G211" s="416">
        <v>2</v>
      </c>
      <c r="H211" s="416">
        <v>6</v>
      </c>
      <c r="I211" s="416">
        <v>0.06</v>
      </c>
      <c r="J211" s="416">
        <v>6</v>
      </c>
      <c r="L211" s="415">
        <v>1</v>
      </c>
    </row>
    <row r="212" spans="1:256" s="431" customFormat="1" hidden="1">
      <c r="A212" s="427">
        <v>39948</v>
      </c>
      <c r="B212" s="427" t="s">
        <v>572</v>
      </c>
      <c r="C212" s="428">
        <v>1092</v>
      </c>
      <c r="D212" s="427">
        <v>41040</v>
      </c>
      <c r="E212" s="429">
        <v>2</v>
      </c>
      <c r="F212" s="430">
        <v>0</v>
      </c>
      <c r="G212" s="430">
        <v>0</v>
      </c>
      <c r="H212" s="430">
        <v>0</v>
      </c>
      <c r="I212" s="430">
        <v>0</v>
      </c>
      <c r="J212" s="430">
        <v>0</v>
      </c>
      <c r="L212" s="428">
        <v>0</v>
      </c>
      <c r="M212" s="402"/>
      <c r="N212" s="402"/>
      <c r="O212" s="402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  <c r="AF212" s="402"/>
      <c r="AG212" s="402"/>
      <c r="AH212" s="402"/>
      <c r="AI212" s="402"/>
      <c r="AJ212" s="402"/>
      <c r="AK212" s="402"/>
      <c r="AL212" s="402"/>
      <c r="AM212" s="402"/>
      <c r="AN212" s="402"/>
      <c r="AO212" s="402"/>
      <c r="AP212" s="402"/>
      <c r="AQ212" s="402"/>
      <c r="AR212" s="402"/>
      <c r="AS212" s="402"/>
      <c r="AT212" s="402"/>
      <c r="AU212" s="402"/>
      <c r="AV212" s="402"/>
      <c r="AW212" s="402"/>
      <c r="AX212" s="402"/>
      <c r="AY212" s="402"/>
      <c r="AZ212" s="402"/>
      <c r="BA212" s="402"/>
      <c r="BB212" s="402"/>
      <c r="BC212" s="402"/>
      <c r="BD212" s="402"/>
      <c r="BE212" s="402"/>
      <c r="BF212" s="402"/>
      <c r="BG212" s="402"/>
      <c r="BH212" s="402"/>
      <c r="BI212" s="402"/>
      <c r="BJ212" s="402"/>
      <c r="BK212" s="402"/>
      <c r="BL212" s="402"/>
      <c r="BM212" s="402"/>
      <c r="BN212" s="402"/>
      <c r="BO212" s="402"/>
      <c r="BP212" s="402"/>
      <c r="BQ212" s="402"/>
      <c r="BR212" s="402"/>
      <c r="BS212" s="402"/>
      <c r="BT212" s="402"/>
      <c r="BU212" s="402"/>
      <c r="BV212" s="402"/>
      <c r="BW212" s="402"/>
      <c r="BX212" s="402"/>
      <c r="BY212" s="402"/>
      <c r="BZ212" s="402"/>
      <c r="CA212" s="402"/>
      <c r="CB212" s="402"/>
      <c r="CC212" s="402"/>
      <c r="CD212" s="402"/>
      <c r="CE212" s="402"/>
      <c r="CF212" s="402"/>
      <c r="CG212" s="402"/>
      <c r="CH212" s="402"/>
      <c r="CI212" s="402"/>
      <c r="CJ212" s="402"/>
      <c r="CK212" s="402"/>
      <c r="CL212" s="402"/>
      <c r="CM212" s="402"/>
      <c r="CN212" s="402"/>
      <c r="CO212" s="402"/>
      <c r="CP212" s="402"/>
      <c r="CQ212" s="402"/>
      <c r="CR212" s="402"/>
      <c r="CS212" s="402"/>
      <c r="CT212" s="402"/>
      <c r="CU212" s="402"/>
      <c r="CV212" s="402"/>
      <c r="CW212" s="402"/>
      <c r="CX212" s="402"/>
      <c r="CY212" s="402"/>
      <c r="CZ212" s="402"/>
      <c r="DA212" s="402"/>
      <c r="DB212" s="402"/>
      <c r="DC212" s="402"/>
      <c r="DD212" s="402"/>
      <c r="DE212" s="402"/>
      <c r="DF212" s="402"/>
      <c r="DG212" s="402"/>
      <c r="DH212" s="402"/>
      <c r="DI212" s="402"/>
      <c r="DJ212" s="402"/>
      <c r="DK212" s="402"/>
      <c r="DL212" s="402"/>
      <c r="DM212" s="402"/>
      <c r="DN212" s="402"/>
      <c r="DO212" s="402"/>
      <c r="DP212" s="402"/>
      <c r="DQ212" s="402"/>
      <c r="DR212" s="402"/>
      <c r="DS212" s="402"/>
      <c r="DT212" s="402"/>
      <c r="DU212" s="402"/>
      <c r="DV212" s="402"/>
      <c r="DW212" s="402"/>
      <c r="DX212" s="402"/>
      <c r="DY212" s="402"/>
      <c r="DZ212" s="402"/>
      <c r="EA212" s="402"/>
      <c r="EB212" s="402"/>
      <c r="EC212" s="402"/>
      <c r="ED212" s="402"/>
      <c r="EE212" s="402"/>
      <c r="EF212" s="402"/>
      <c r="EG212" s="402"/>
      <c r="EH212" s="402"/>
      <c r="EI212" s="402"/>
      <c r="EJ212" s="402"/>
      <c r="EK212" s="402"/>
      <c r="EL212" s="402"/>
      <c r="EM212" s="402"/>
      <c r="EN212" s="402"/>
      <c r="EO212" s="402"/>
      <c r="EP212" s="402"/>
      <c r="EQ212" s="402"/>
      <c r="ER212" s="402"/>
      <c r="ES212" s="402"/>
      <c r="ET212" s="402"/>
      <c r="EU212" s="402"/>
      <c r="EV212" s="402"/>
      <c r="EW212" s="402"/>
      <c r="EX212" s="402"/>
      <c r="EY212" s="402"/>
      <c r="EZ212" s="402"/>
      <c r="FA212" s="402"/>
      <c r="FB212" s="402"/>
      <c r="FC212" s="402"/>
      <c r="FD212" s="402"/>
      <c r="FE212" s="402"/>
      <c r="FF212" s="402"/>
      <c r="FG212" s="402"/>
      <c r="FH212" s="402"/>
      <c r="FI212" s="402"/>
      <c r="FJ212" s="402"/>
      <c r="FK212" s="402"/>
      <c r="FL212" s="402"/>
      <c r="FM212" s="402"/>
      <c r="FN212" s="402"/>
      <c r="FO212" s="402"/>
      <c r="FP212" s="402"/>
      <c r="FQ212" s="402"/>
      <c r="FR212" s="402"/>
      <c r="FS212" s="402"/>
      <c r="FT212" s="402"/>
      <c r="FU212" s="402"/>
      <c r="FV212" s="402"/>
      <c r="FW212" s="402"/>
      <c r="FX212" s="402"/>
      <c r="FY212" s="402"/>
      <c r="FZ212" s="402"/>
      <c r="GA212" s="402"/>
      <c r="GB212" s="402"/>
      <c r="GC212" s="402"/>
      <c r="GD212" s="402"/>
      <c r="GE212" s="402"/>
      <c r="GF212" s="402"/>
      <c r="GG212" s="402"/>
      <c r="GH212" s="402"/>
      <c r="GI212" s="402"/>
      <c r="GJ212" s="402"/>
      <c r="GK212" s="402"/>
      <c r="GL212" s="402"/>
      <c r="GM212" s="402"/>
      <c r="GN212" s="402"/>
      <c r="GO212" s="402"/>
      <c r="GP212" s="402"/>
      <c r="GQ212" s="402"/>
      <c r="GR212" s="402"/>
      <c r="GS212" s="402"/>
      <c r="GT212" s="402"/>
      <c r="GU212" s="402"/>
      <c r="GV212" s="402"/>
      <c r="GW212" s="402"/>
      <c r="GX212" s="402"/>
      <c r="GY212" s="402"/>
      <c r="GZ212" s="402"/>
      <c r="HA212" s="402"/>
      <c r="HB212" s="402"/>
      <c r="HC212" s="402"/>
      <c r="HD212" s="402"/>
      <c r="HE212" s="402"/>
      <c r="HF212" s="402"/>
      <c r="HG212" s="402"/>
      <c r="HH212" s="402"/>
      <c r="HI212" s="402"/>
      <c r="HJ212" s="402"/>
      <c r="HK212" s="402"/>
      <c r="HL212" s="402"/>
      <c r="HM212" s="402"/>
      <c r="HN212" s="402"/>
      <c r="HO212" s="402"/>
      <c r="HP212" s="402"/>
      <c r="HQ212" s="402"/>
      <c r="HR212" s="402"/>
      <c r="HS212" s="402"/>
      <c r="HT212" s="402"/>
      <c r="HU212" s="402"/>
      <c r="HV212" s="402"/>
      <c r="HW212" s="402"/>
      <c r="HX212" s="402"/>
      <c r="HY212" s="402"/>
      <c r="HZ212" s="402"/>
      <c r="IA212" s="402"/>
      <c r="IB212" s="402"/>
      <c r="IC212" s="402"/>
      <c r="ID212" s="402"/>
      <c r="IE212" s="402"/>
      <c r="IF212" s="402"/>
      <c r="IG212" s="402"/>
      <c r="IH212" s="402"/>
      <c r="II212" s="402"/>
      <c r="IJ212" s="402"/>
      <c r="IK212" s="402"/>
      <c r="IL212" s="402"/>
      <c r="IM212" s="402"/>
      <c r="IN212" s="402"/>
      <c r="IO212" s="402"/>
      <c r="IP212" s="402"/>
      <c r="IQ212" s="402"/>
      <c r="IR212" s="402"/>
      <c r="IS212" s="402"/>
      <c r="IT212" s="402"/>
      <c r="IU212" s="402"/>
      <c r="IV212" s="402"/>
    </row>
    <row r="213" spans="1:256" hidden="1">
      <c r="A213" s="414">
        <v>39952</v>
      </c>
      <c r="B213" s="414" t="s">
        <v>573</v>
      </c>
      <c r="C213" s="415">
        <v>364</v>
      </c>
      <c r="D213" s="414">
        <v>40316</v>
      </c>
      <c r="E213" s="418">
        <v>2</v>
      </c>
      <c r="F213" s="416">
        <v>0</v>
      </c>
      <c r="G213" s="416">
        <v>0</v>
      </c>
      <c r="H213" s="416">
        <v>0</v>
      </c>
      <c r="I213" s="416">
        <v>0</v>
      </c>
      <c r="J213" s="416">
        <v>0</v>
      </c>
      <c r="L213" s="415">
        <v>0</v>
      </c>
    </row>
    <row r="214" spans="1:256" s="431" customFormat="1" hidden="1">
      <c r="A214" s="427">
        <v>39952</v>
      </c>
      <c r="B214" s="427" t="s">
        <v>574</v>
      </c>
      <c r="C214" s="428">
        <v>35</v>
      </c>
      <c r="D214" s="427">
        <v>39987</v>
      </c>
      <c r="E214" s="429">
        <v>35</v>
      </c>
      <c r="F214" s="430">
        <v>0</v>
      </c>
      <c r="G214" s="430">
        <v>0</v>
      </c>
      <c r="H214" s="430">
        <v>0</v>
      </c>
      <c r="I214" s="430">
        <v>0</v>
      </c>
      <c r="J214" s="430">
        <v>0</v>
      </c>
      <c r="L214" s="428">
        <v>0</v>
      </c>
      <c r="M214" s="402"/>
      <c r="N214" s="402"/>
      <c r="O214" s="402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  <c r="AF214" s="402"/>
      <c r="AG214" s="402"/>
      <c r="AH214" s="402"/>
      <c r="AI214" s="402"/>
      <c r="AJ214" s="402"/>
      <c r="AK214" s="402"/>
      <c r="AL214" s="402"/>
      <c r="AM214" s="402"/>
      <c r="AN214" s="402"/>
      <c r="AO214" s="402"/>
      <c r="AP214" s="402"/>
      <c r="AQ214" s="402"/>
      <c r="AR214" s="402"/>
      <c r="AS214" s="402"/>
      <c r="AT214" s="402"/>
      <c r="AU214" s="402"/>
      <c r="AV214" s="402"/>
      <c r="AW214" s="402"/>
      <c r="AX214" s="402"/>
      <c r="AY214" s="402"/>
      <c r="AZ214" s="402"/>
      <c r="BA214" s="402"/>
      <c r="BB214" s="402"/>
      <c r="BC214" s="402"/>
      <c r="BD214" s="402"/>
      <c r="BE214" s="402"/>
      <c r="BF214" s="402"/>
      <c r="BG214" s="402"/>
      <c r="BH214" s="402"/>
      <c r="BI214" s="402"/>
      <c r="BJ214" s="402"/>
      <c r="BK214" s="402"/>
      <c r="BL214" s="402"/>
      <c r="BM214" s="402"/>
      <c r="BN214" s="402"/>
      <c r="BO214" s="402"/>
      <c r="BP214" s="402"/>
      <c r="BQ214" s="402"/>
      <c r="BR214" s="402"/>
      <c r="BS214" s="402"/>
      <c r="BT214" s="402"/>
      <c r="BU214" s="402"/>
      <c r="BV214" s="402"/>
      <c r="BW214" s="402"/>
      <c r="BX214" s="402"/>
      <c r="BY214" s="402"/>
      <c r="BZ214" s="402"/>
      <c r="CA214" s="402"/>
      <c r="CB214" s="402"/>
      <c r="CC214" s="402"/>
      <c r="CD214" s="402"/>
      <c r="CE214" s="402"/>
      <c r="CF214" s="402"/>
      <c r="CG214" s="402"/>
      <c r="CH214" s="402"/>
      <c r="CI214" s="402"/>
      <c r="CJ214" s="402"/>
      <c r="CK214" s="402"/>
      <c r="CL214" s="402"/>
      <c r="CM214" s="402"/>
      <c r="CN214" s="402"/>
      <c r="CO214" s="402"/>
      <c r="CP214" s="402"/>
      <c r="CQ214" s="402"/>
      <c r="CR214" s="402"/>
      <c r="CS214" s="402"/>
      <c r="CT214" s="402"/>
      <c r="CU214" s="402"/>
      <c r="CV214" s="402"/>
      <c r="CW214" s="402"/>
      <c r="CX214" s="402"/>
      <c r="CY214" s="402"/>
      <c r="CZ214" s="402"/>
      <c r="DA214" s="402"/>
      <c r="DB214" s="402"/>
      <c r="DC214" s="402"/>
      <c r="DD214" s="402"/>
      <c r="DE214" s="402"/>
      <c r="DF214" s="402"/>
      <c r="DG214" s="402"/>
      <c r="DH214" s="402"/>
      <c r="DI214" s="402"/>
      <c r="DJ214" s="402"/>
      <c r="DK214" s="402"/>
      <c r="DL214" s="402"/>
      <c r="DM214" s="402"/>
      <c r="DN214" s="402"/>
      <c r="DO214" s="402"/>
      <c r="DP214" s="402"/>
      <c r="DQ214" s="402"/>
      <c r="DR214" s="402"/>
      <c r="DS214" s="402"/>
      <c r="DT214" s="402"/>
      <c r="DU214" s="402"/>
      <c r="DV214" s="402"/>
      <c r="DW214" s="402"/>
      <c r="DX214" s="402"/>
      <c r="DY214" s="402"/>
      <c r="DZ214" s="402"/>
      <c r="EA214" s="402"/>
      <c r="EB214" s="402"/>
      <c r="EC214" s="402"/>
      <c r="ED214" s="402"/>
      <c r="EE214" s="402"/>
      <c r="EF214" s="402"/>
      <c r="EG214" s="402"/>
      <c r="EH214" s="402"/>
      <c r="EI214" s="402"/>
      <c r="EJ214" s="402"/>
      <c r="EK214" s="402"/>
      <c r="EL214" s="402"/>
      <c r="EM214" s="402"/>
      <c r="EN214" s="402"/>
      <c r="EO214" s="402"/>
      <c r="EP214" s="402"/>
      <c r="EQ214" s="402"/>
      <c r="ER214" s="402"/>
      <c r="ES214" s="402"/>
      <c r="ET214" s="402"/>
      <c r="EU214" s="402"/>
      <c r="EV214" s="402"/>
      <c r="EW214" s="402"/>
      <c r="EX214" s="402"/>
      <c r="EY214" s="402"/>
      <c r="EZ214" s="402"/>
      <c r="FA214" s="402"/>
      <c r="FB214" s="402"/>
      <c r="FC214" s="402"/>
      <c r="FD214" s="402"/>
      <c r="FE214" s="402"/>
      <c r="FF214" s="402"/>
      <c r="FG214" s="402"/>
      <c r="FH214" s="402"/>
      <c r="FI214" s="402"/>
      <c r="FJ214" s="402"/>
      <c r="FK214" s="402"/>
      <c r="FL214" s="402"/>
      <c r="FM214" s="402"/>
      <c r="FN214" s="402"/>
      <c r="FO214" s="402"/>
      <c r="FP214" s="402"/>
      <c r="FQ214" s="402"/>
      <c r="FR214" s="402"/>
      <c r="FS214" s="402"/>
      <c r="FT214" s="402"/>
      <c r="FU214" s="402"/>
      <c r="FV214" s="402"/>
      <c r="FW214" s="402"/>
      <c r="FX214" s="402"/>
      <c r="FY214" s="402"/>
      <c r="FZ214" s="402"/>
      <c r="GA214" s="402"/>
      <c r="GB214" s="402"/>
      <c r="GC214" s="402"/>
      <c r="GD214" s="402"/>
      <c r="GE214" s="402"/>
      <c r="GF214" s="402"/>
      <c r="GG214" s="402"/>
      <c r="GH214" s="402"/>
      <c r="GI214" s="402"/>
      <c r="GJ214" s="402"/>
      <c r="GK214" s="402"/>
      <c r="GL214" s="402"/>
      <c r="GM214" s="402"/>
      <c r="GN214" s="402"/>
      <c r="GO214" s="402"/>
      <c r="GP214" s="402"/>
      <c r="GQ214" s="402"/>
      <c r="GR214" s="402"/>
      <c r="GS214" s="402"/>
      <c r="GT214" s="402"/>
      <c r="GU214" s="402"/>
      <c r="GV214" s="402"/>
      <c r="GW214" s="402"/>
      <c r="GX214" s="402"/>
      <c r="GY214" s="402"/>
      <c r="GZ214" s="402"/>
      <c r="HA214" s="402"/>
      <c r="HB214" s="402"/>
      <c r="HC214" s="402"/>
      <c r="HD214" s="402"/>
      <c r="HE214" s="402"/>
      <c r="HF214" s="402"/>
      <c r="HG214" s="402"/>
      <c r="HH214" s="402"/>
      <c r="HI214" s="402"/>
      <c r="HJ214" s="402"/>
      <c r="HK214" s="402"/>
      <c r="HL214" s="402"/>
      <c r="HM214" s="402"/>
      <c r="HN214" s="402"/>
      <c r="HO214" s="402"/>
      <c r="HP214" s="402"/>
      <c r="HQ214" s="402"/>
      <c r="HR214" s="402"/>
      <c r="HS214" s="402"/>
      <c r="HT214" s="402"/>
      <c r="HU214" s="402"/>
      <c r="HV214" s="402"/>
      <c r="HW214" s="402"/>
      <c r="HX214" s="402"/>
      <c r="HY214" s="402"/>
      <c r="HZ214" s="402"/>
      <c r="IA214" s="402"/>
      <c r="IB214" s="402"/>
      <c r="IC214" s="402"/>
      <c r="ID214" s="402"/>
      <c r="IE214" s="402"/>
      <c r="IF214" s="402"/>
      <c r="IG214" s="402"/>
      <c r="IH214" s="402"/>
      <c r="II214" s="402"/>
      <c r="IJ214" s="402"/>
      <c r="IK214" s="402"/>
      <c r="IL214" s="402"/>
      <c r="IM214" s="402"/>
      <c r="IN214" s="402"/>
      <c r="IO214" s="402"/>
      <c r="IP214" s="402"/>
      <c r="IQ214" s="402"/>
      <c r="IR214" s="402"/>
      <c r="IS214" s="402"/>
      <c r="IT214" s="402"/>
      <c r="IU214" s="402"/>
      <c r="IV214" s="402"/>
    </row>
    <row r="215" spans="1:256" hidden="1">
      <c r="A215" s="414">
        <v>39955</v>
      </c>
      <c r="B215" s="414" t="s">
        <v>575</v>
      </c>
      <c r="C215" s="415">
        <v>91</v>
      </c>
      <c r="D215" s="414">
        <v>40046</v>
      </c>
      <c r="E215" s="418">
        <v>15</v>
      </c>
      <c r="F215" s="416">
        <v>17.549600000000002</v>
      </c>
      <c r="G215" s="416">
        <v>3.6778</v>
      </c>
      <c r="H215" s="416">
        <v>2.58</v>
      </c>
      <c r="I215" s="416">
        <v>2.5799999999999997E-2</v>
      </c>
      <c r="J215" s="416">
        <v>2.58</v>
      </c>
      <c r="L215" s="415">
        <v>5</v>
      </c>
    </row>
    <row r="216" spans="1:256" s="431" customFormat="1" hidden="1">
      <c r="A216" s="427">
        <v>39959</v>
      </c>
      <c r="B216" s="427" t="s">
        <v>576</v>
      </c>
      <c r="C216" s="428">
        <v>182</v>
      </c>
      <c r="D216" s="427">
        <v>40141</v>
      </c>
      <c r="E216" s="429">
        <v>8</v>
      </c>
      <c r="F216" s="430">
        <v>18.138999999999999</v>
      </c>
      <c r="G216" s="430">
        <v>8</v>
      </c>
      <c r="H216" s="430">
        <v>2.77</v>
      </c>
      <c r="I216" s="430">
        <v>3.5099999999999999E-2</v>
      </c>
      <c r="J216" s="430">
        <v>3.1</v>
      </c>
      <c r="L216" s="428">
        <v>5</v>
      </c>
      <c r="M216" s="402"/>
      <c r="N216" s="402"/>
      <c r="O216" s="402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  <c r="AF216" s="402"/>
      <c r="AG216" s="402"/>
      <c r="AH216" s="402"/>
      <c r="AI216" s="402"/>
      <c r="AJ216" s="402"/>
      <c r="AK216" s="402"/>
      <c r="AL216" s="402"/>
      <c r="AM216" s="402"/>
      <c r="AN216" s="402"/>
      <c r="AO216" s="402"/>
      <c r="AP216" s="402"/>
      <c r="AQ216" s="402"/>
      <c r="AR216" s="402"/>
      <c r="AS216" s="402"/>
      <c r="AT216" s="402"/>
      <c r="AU216" s="402"/>
      <c r="AV216" s="402"/>
      <c r="AW216" s="402"/>
      <c r="AX216" s="402"/>
      <c r="AY216" s="402"/>
      <c r="AZ216" s="402"/>
      <c r="BA216" s="402"/>
      <c r="BB216" s="402"/>
      <c r="BC216" s="402"/>
      <c r="BD216" s="402"/>
      <c r="BE216" s="402"/>
      <c r="BF216" s="402"/>
      <c r="BG216" s="402"/>
      <c r="BH216" s="402"/>
      <c r="BI216" s="402"/>
      <c r="BJ216" s="402"/>
      <c r="BK216" s="402"/>
      <c r="BL216" s="402"/>
      <c r="BM216" s="402"/>
      <c r="BN216" s="402"/>
      <c r="BO216" s="402"/>
      <c r="BP216" s="402"/>
      <c r="BQ216" s="402"/>
      <c r="BR216" s="402"/>
      <c r="BS216" s="402"/>
      <c r="BT216" s="402"/>
      <c r="BU216" s="402"/>
      <c r="BV216" s="402"/>
      <c r="BW216" s="402"/>
      <c r="BX216" s="402"/>
      <c r="BY216" s="402"/>
      <c r="BZ216" s="402"/>
      <c r="CA216" s="402"/>
      <c r="CB216" s="402"/>
      <c r="CC216" s="402"/>
      <c r="CD216" s="402"/>
      <c r="CE216" s="402"/>
      <c r="CF216" s="402"/>
      <c r="CG216" s="402"/>
      <c r="CH216" s="402"/>
      <c r="CI216" s="402"/>
      <c r="CJ216" s="402"/>
      <c r="CK216" s="402"/>
      <c r="CL216" s="402"/>
      <c r="CM216" s="402"/>
      <c r="CN216" s="402"/>
      <c r="CO216" s="402"/>
      <c r="CP216" s="402"/>
      <c r="CQ216" s="402"/>
      <c r="CR216" s="402"/>
      <c r="CS216" s="402"/>
      <c r="CT216" s="402"/>
      <c r="CU216" s="402"/>
      <c r="CV216" s="402"/>
      <c r="CW216" s="402"/>
      <c r="CX216" s="402"/>
      <c r="CY216" s="402"/>
      <c r="CZ216" s="402"/>
      <c r="DA216" s="402"/>
      <c r="DB216" s="402"/>
      <c r="DC216" s="402"/>
      <c r="DD216" s="402"/>
      <c r="DE216" s="402"/>
      <c r="DF216" s="402"/>
      <c r="DG216" s="402"/>
      <c r="DH216" s="402"/>
      <c r="DI216" s="402"/>
      <c r="DJ216" s="402"/>
      <c r="DK216" s="402"/>
      <c r="DL216" s="402"/>
      <c r="DM216" s="402"/>
      <c r="DN216" s="402"/>
      <c r="DO216" s="402"/>
      <c r="DP216" s="402"/>
      <c r="DQ216" s="402"/>
      <c r="DR216" s="402"/>
      <c r="DS216" s="402"/>
      <c r="DT216" s="402"/>
      <c r="DU216" s="402"/>
      <c r="DV216" s="402"/>
      <c r="DW216" s="402"/>
      <c r="DX216" s="402"/>
      <c r="DY216" s="402"/>
      <c r="DZ216" s="402"/>
      <c r="EA216" s="402"/>
      <c r="EB216" s="402"/>
      <c r="EC216" s="402"/>
      <c r="ED216" s="402"/>
      <c r="EE216" s="402"/>
      <c r="EF216" s="402"/>
      <c r="EG216" s="402"/>
      <c r="EH216" s="402"/>
      <c r="EI216" s="402"/>
      <c r="EJ216" s="402"/>
      <c r="EK216" s="402"/>
      <c r="EL216" s="402"/>
      <c r="EM216" s="402"/>
      <c r="EN216" s="402"/>
      <c r="EO216" s="402"/>
      <c r="EP216" s="402"/>
      <c r="EQ216" s="402"/>
      <c r="ER216" s="402"/>
      <c r="ES216" s="402"/>
      <c r="ET216" s="402"/>
      <c r="EU216" s="402"/>
      <c r="EV216" s="402"/>
      <c r="EW216" s="402"/>
      <c r="EX216" s="402"/>
      <c r="EY216" s="402"/>
      <c r="EZ216" s="402"/>
      <c r="FA216" s="402"/>
      <c r="FB216" s="402"/>
      <c r="FC216" s="402"/>
      <c r="FD216" s="402"/>
      <c r="FE216" s="402"/>
      <c r="FF216" s="402"/>
      <c r="FG216" s="402"/>
      <c r="FH216" s="402"/>
      <c r="FI216" s="402"/>
      <c r="FJ216" s="402"/>
      <c r="FK216" s="402"/>
      <c r="FL216" s="402"/>
      <c r="FM216" s="402"/>
      <c r="FN216" s="402"/>
      <c r="FO216" s="402"/>
      <c r="FP216" s="402"/>
      <c r="FQ216" s="402"/>
      <c r="FR216" s="402"/>
      <c r="FS216" s="402"/>
      <c r="FT216" s="402"/>
      <c r="FU216" s="402"/>
      <c r="FV216" s="402"/>
      <c r="FW216" s="402"/>
      <c r="FX216" s="402"/>
      <c r="FY216" s="402"/>
      <c r="FZ216" s="402"/>
      <c r="GA216" s="402"/>
      <c r="GB216" s="402"/>
      <c r="GC216" s="402"/>
      <c r="GD216" s="402"/>
      <c r="GE216" s="402"/>
      <c r="GF216" s="402"/>
      <c r="GG216" s="402"/>
      <c r="GH216" s="402"/>
      <c r="GI216" s="402"/>
      <c r="GJ216" s="402"/>
      <c r="GK216" s="402"/>
      <c r="GL216" s="402"/>
      <c r="GM216" s="402"/>
      <c r="GN216" s="402"/>
      <c r="GO216" s="402"/>
      <c r="GP216" s="402"/>
      <c r="GQ216" s="402"/>
      <c r="GR216" s="402"/>
      <c r="GS216" s="402"/>
      <c r="GT216" s="402"/>
      <c r="GU216" s="402"/>
      <c r="GV216" s="402"/>
      <c r="GW216" s="402"/>
      <c r="GX216" s="402"/>
      <c r="GY216" s="402"/>
      <c r="GZ216" s="402"/>
      <c r="HA216" s="402"/>
      <c r="HB216" s="402"/>
      <c r="HC216" s="402"/>
      <c r="HD216" s="402"/>
      <c r="HE216" s="402"/>
      <c r="HF216" s="402"/>
      <c r="HG216" s="402"/>
      <c r="HH216" s="402"/>
      <c r="HI216" s="402"/>
      <c r="HJ216" s="402"/>
      <c r="HK216" s="402"/>
      <c r="HL216" s="402"/>
      <c r="HM216" s="402"/>
      <c r="HN216" s="402"/>
      <c r="HO216" s="402"/>
      <c r="HP216" s="402"/>
      <c r="HQ216" s="402"/>
      <c r="HR216" s="402"/>
      <c r="HS216" s="402"/>
      <c r="HT216" s="402"/>
      <c r="HU216" s="402"/>
      <c r="HV216" s="402"/>
      <c r="HW216" s="402"/>
      <c r="HX216" s="402"/>
      <c r="HY216" s="402"/>
      <c r="HZ216" s="402"/>
      <c r="IA216" s="402"/>
      <c r="IB216" s="402"/>
      <c r="IC216" s="402"/>
      <c r="ID216" s="402"/>
      <c r="IE216" s="402"/>
      <c r="IF216" s="402"/>
      <c r="IG216" s="402"/>
      <c r="IH216" s="402"/>
      <c r="II216" s="402"/>
      <c r="IJ216" s="402"/>
      <c r="IK216" s="402"/>
      <c r="IL216" s="402"/>
      <c r="IM216" s="402"/>
      <c r="IN216" s="402"/>
      <c r="IO216" s="402"/>
      <c r="IP216" s="402"/>
      <c r="IQ216" s="402"/>
      <c r="IR216" s="402"/>
      <c r="IS216" s="402"/>
      <c r="IT216" s="402"/>
      <c r="IU216" s="402"/>
      <c r="IV216" s="402"/>
    </row>
    <row r="217" spans="1:256" hidden="1">
      <c r="A217" s="414">
        <v>39962</v>
      </c>
      <c r="B217" s="414" t="s">
        <v>577</v>
      </c>
      <c r="C217" s="415">
        <v>728</v>
      </c>
      <c r="D217" s="414">
        <v>40690</v>
      </c>
      <c r="E217" s="418">
        <v>2</v>
      </c>
      <c r="F217" s="416">
        <v>0</v>
      </c>
      <c r="G217" s="416">
        <v>0</v>
      </c>
      <c r="H217" s="416">
        <v>0</v>
      </c>
      <c r="I217" s="416">
        <v>0</v>
      </c>
      <c r="J217" s="416">
        <v>0</v>
      </c>
      <c r="L217" s="415">
        <v>0</v>
      </c>
    </row>
    <row r="218" spans="1:256" s="431" customFormat="1" hidden="1">
      <c r="A218" s="427">
        <v>39962</v>
      </c>
      <c r="B218" s="427" t="s">
        <v>578</v>
      </c>
      <c r="C218" s="428">
        <v>1092</v>
      </c>
      <c r="D218" s="427">
        <v>41054</v>
      </c>
      <c r="E218" s="429">
        <v>3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L218" s="428">
        <v>0</v>
      </c>
      <c r="M218" s="402"/>
      <c r="N218" s="402"/>
      <c r="O218" s="402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  <c r="AF218" s="402"/>
      <c r="AG218" s="402"/>
      <c r="AH218" s="402"/>
      <c r="AI218" s="402"/>
      <c r="AJ218" s="402"/>
      <c r="AK218" s="402"/>
      <c r="AL218" s="402"/>
      <c r="AM218" s="402"/>
      <c r="AN218" s="402"/>
      <c r="AO218" s="402"/>
      <c r="AP218" s="402"/>
      <c r="AQ218" s="402"/>
      <c r="AR218" s="402"/>
      <c r="AS218" s="402"/>
      <c r="AT218" s="402"/>
      <c r="AU218" s="402"/>
      <c r="AV218" s="402"/>
      <c r="AW218" s="402"/>
      <c r="AX218" s="402"/>
      <c r="AY218" s="402"/>
      <c r="AZ218" s="402"/>
      <c r="BA218" s="402"/>
      <c r="BB218" s="402"/>
      <c r="BC218" s="402"/>
      <c r="BD218" s="402"/>
      <c r="BE218" s="402"/>
      <c r="BF218" s="402"/>
      <c r="BG218" s="402"/>
      <c r="BH218" s="402"/>
      <c r="BI218" s="402"/>
      <c r="BJ218" s="402"/>
      <c r="BK218" s="402"/>
      <c r="BL218" s="402"/>
      <c r="BM218" s="402"/>
      <c r="BN218" s="402"/>
      <c r="BO218" s="402"/>
      <c r="BP218" s="402"/>
      <c r="BQ218" s="402"/>
      <c r="BR218" s="402"/>
      <c r="BS218" s="402"/>
      <c r="BT218" s="402"/>
      <c r="BU218" s="402"/>
      <c r="BV218" s="402"/>
      <c r="BW218" s="402"/>
      <c r="BX218" s="402"/>
      <c r="BY218" s="402"/>
      <c r="BZ218" s="402"/>
      <c r="CA218" s="402"/>
      <c r="CB218" s="402"/>
      <c r="CC218" s="402"/>
      <c r="CD218" s="402"/>
      <c r="CE218" s="402"/>
      <c r="CF218" s="402"/>
      <c r="CG218" s="402"/>
      <c r="CH218" s="402"/>
      <c r="CI218" s="402"/>
      <c r="CJ218" s="402"/>
      <c r="CK218" s="402"/>
      <c r="CL218" s="402"/>
      <c r="CM218" s="402"/>
      <c r="CN218" s="402"/>
      <c r="CO218" s="402"/>
      <c r="CP218" s="402"/>
      <c r="CQ218" s="402"/>
      <c r="CR218" s="402"/>
      <c r="CS218" s="402"/>
      <c r="CT218" s="402"/>
      <c r="CU218" s="402"/>
      <c r="CV218" s="402"/>
      <c r="CW218" s="402"/>
      <c r="CX218" s="402"/>
      <c r="CY218" s="402"/>
      <c r="CZ218" s="402"/>
      <c r="DA218" s="402"/>
      <c r="DB218" s="402"/>
      <c r="DC218" s="402"/>
      <c r="DD218" s="402"/>
      <c r="DE218" s="402"/>
      <c r="DF218" s="402"/>
      <c r="DG218" s="402"/>
      <c r="DH218" s="402"/>
      <c r="DI218" s="402"/>
      <c r="DJ218" s="402"/>
      <c r="DK218" s="402"/>
      <c r="DL218" s="402"/>
      <c r="DM218" s="402"/>
      <c r="DN218" s="402"/>
      <c r="DO218" s="402"/>
      <c r="DP218" s="402"/>
      <c r="DQ218" s="402"/>
      <c r="DR218" s="402"/>
      <c r="DS218" s="402"/>
      <c r="DT218" s="402"/>
      <c r="DU218" s="402"/>
      <c r="DV218" s="402"/>
      <c r="DW218" s="402"/>
      <c r="DX218" s="402"/>
      <c r="DY218" s="402"/>
      <c r="DZ218" s="402"/>
      <c r="EA218" s="402"/>
      <c r="EB218" s="402"/>
      <c r="EC218" s="402"/>
      <c r="ED218" s="402"/>
      <c r="EE218" s="402"/>
      <c r="EF218" s="402"/>
      <c r="EG218" s="402"/>
      <c r="EH218" s="402"/>
      <c r="EI218" s="402"/>
      <c r="EJ218" s="402"/>
      <c r="EK218" s="402"/>
      <c r="EL218" s="402"/>
      <c r="EM218" s="402"/>
      <c r="EN218" s="402"/>
      <c r="EO218" s="402"/>
      <c r="EP218" s="402"/>
      <c r="EQ218" s="402"/>
      <c r="ER218" s="402"/>
      <c r="ES218" s="402"/>
      <c r="ET218" s="402"/>
      <c r="EU218" s="402"/>
      <c r="EV218" s="402"/>
      <c r="EW218" s="402"/>
      <c r="EX218" s="402"/>
      <c r="EY218" s="402"/>
      <c r="EZ218" s="402"/>
      <c r="FA218" s="402"/>
      <c r="FB218" s="402"/>
      <c r="FC218" s="402"/>
      <c r="FD218" s="402"/>
      <c r="FE218" s="402"/>
      <c r="FF218" s="402"/>
      <c r="FG218" s="402"/>
      <c r="FH218" s="402"/>
      <c r="FI218" s="402"/>
      <c r="FJ218" s="402"/>
      <c r="FK218" s="402"/>
      <c r="FL218" s="402"/>
      <c r="FM218" s="402"/>
      <c r="FN218" s="402"/>
      <c r="FO218" s="402"/>
      <c r="FP218" s="402"/>
      <c r="FQ218" s="402"/>
      <c r="FR218" s="402"/>
      <c r="FS218" s="402"/>
      <c r="FT218" s="402"/>
      <c r="FU218" s="402"/>
      <c r="FV218" s="402"/>
      <c r="FW218" s="402"/>
      <c r="FX218" s="402"/>
      <c r="FY218" s="402"/>
      <c r="FZ218" s="402"/>
      <c r="GA218" s="402"/>
      <c r="GB218" s="402"/>
      <c r="GC218" s="402"/>
      <c r="GD218" s="402"/>
      <c r="GE218" s="402"/>
      <c r="GF218" s="402"/>
      <c r="GG218" s="402"/>
      <c r="GH218" s="402"/>
      <c r="GI218" s="402"/>
      <c r="GJ218" s="402"/>
      <c r="GK218" s="402"/>
      <c r="GL218" s="402"/>
      <c r="GM218" s="402"/>
      <c r="GN218" s="402"/>
      <c r="GO218" s="402"/>
      <c r="GP218" s="402"/>
      <c r="GQ218" s="402"/>
      <c r="GR218" s="402"/>
      <c r="GS218" s="402"/>
      <c r="GT218" s="402"/>
      <c r="GU218" s="402"/>
      <c r="GV218" s="402"/>
      <c r="GW218" s="402"/>
      <c r="GX218" s="402"/>
      <c r="GY218" s="402"/>
      <c r="GZ218" s="402"/>
      <c r="HA218" s="402"/>
      <c r="HB218" s="402"/>
      <c r="HC218" s="402"/>
      <c r="HD218" s="402"/>
      <c r="HE218" s="402"/>
      <c r="HF218" s="402"/>
      <c r="HG218" s="402"/>
      <c r="HH218" s="402"/>
      <c r="HI218" s="402"/>
      <c r="HJ218" s="402"/>
      <c r="HK218" s="402"/>
      <c r="HL218" s="402"/>
      <c r="HM218" s="402"/>
      <c r="HN218" s="402"/>
      <c r="HO218" s="402"/>
      <c r="HP218" s="402"/>
      <c r="HQ218" s="402"/>
      <c r="HR218" s="402"/>
      <c r="HS218" s="402"/>
      <c r="HT218" s="402"/>
      <c r="HU218" s="402"/>
      <c r="HV218" s="402"/>
      <c r="HW218" s="402"/>
      <c r="HX218" s="402"/>
      <c r="HY218" s="402"/>
      <c r="HZ218" s="402"/>
      <c r="IA218" s="402"/>
      <c r="IB218" s="402"/>
      <c r="IC218" s="402"/>
      <c r="ID218" s="402"/>
      <c r="IE218" s="402"/>
      <c r="IF218" s="402"/>
      <c r="IG218" s="402"/>
      <c r="IH218" s="402"/>
      <c r="II218" s="402"/>
      <c r="IJ218" s="402"/>
      <c r="IK218" s="402"/>
      <c r="IL218" s="402"/>
      <c r="IM218" s="402"/>
      <c r="IN218" s="402"/>
      <c r="IO218" s="402"/>
      <c r="IP218" s="402"/>
      <c r="IQ218" s="402"/>
      <c r="IR218" s="402"/>
      <c r="IS218" s="402"/>
      <c r="IT218" s="402"/>
      <c r="IU218" s="402"/>
      <c r="IV218" s="402"/>
    </row>
    <row r="219" spans="1:256" hidden="1">
      <c r="A219" s="414">
        <v>39966</v>
      </c>
      <c r="B219" s="414" t="s">
        <v>579</v>
      </c>
      <c r="C219" s="415">
        <v>35</v>
      </c>
      <c r="D219" s="414">
        <v>40001</v>
      </c>
      <c r="E219" s="418">
        <v>18</v>
      </c>
      <c r="F219" s="416">
        <v>19.368600000000001</v>
      </c>
      <c r="G219" s="416">
        <v>16.1112</v>
      </c>
      <c r="H219" s="416">
        <v>2.2999999999999998</v>
      </c>
      <c r="I219" s="416">
        <v>2.93</v>
      </c>
      <c r="J219" s="416">
        <v>2.5100000000000002</v>
      </c>
      <c r="L219" s="415">
        <v>5</v>
      </c>
      <c r="N219" s="402" t="s">
        <v>115</v>
      </c>
    </row>
    <row r="220" spans="1:256" s="431" customFormat="1" hidden="1">
      <c r="A220" s="427">
        <v>39966</v>
      </c>
      <c r="B220" s="427" t="s">
        <v>580</v>
      </c>
      <c r="C220" s="428">
        <v>364</v>
      </c>
      <c r="D220" s="427">
        <v>40330</v>
      </c>
      <c r="E220" s="429">
        <v>3</v>
      </c>
      <c r="F220" s="430">
        <v>3.0486</v>
      </c>
      <c r="G220" s="430">
        <v>0</v>
      </c>
      <c r="H220" s="430">
        <v>0</v>
      </c>
      <c r="I220" s="430">
        <v>0</v>
      </c>
      <c r="J220" s="430">
        <v>0</v>
      </c>
      <c r="L220" s="428">
        <v>2</v>
      </c>
      <c r="M220" s="402"/>
      <c r="N220" s="402"/>
      <c r="O220" s="402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  <c r="AF220" s="402"/>
      <c r="AG220" s="402"/>
      <c r="AH220" s="402"/>
      <c r="AI220" s="402"/>
      <c r="AJ220" s="402"/>
      <c r="AK220" s="402"/>
      <c r="AL220" s="402"/>
      <c r="AM220" s="402"/>
      <c r="AN220" s="402"/>
      <c r="AO220" s="402"/>
      <c r="AP220" s="402"/>
      <c r="AQ220" s="402"/>
      <c r="AR220" s="402"/>
      <c r="AS220" s="402"/>
      <c r="AT220" s="402"/>
      <c r="AU220" s="402"/>
      <c r="AV220" s="402"/>
      <c r="AW220" s="402"/>
      <c r="AX220" s="402"/>
      <c r="AY220" s="402"/>
      <c r="AZ220" s="402"/>
      <c r="BA220" s="402"/>
      <c r="BB220" s="402"/>
      <c r="BC220" s="402"/>
      <c r="BD220" s="402"/>
      <c r="BE220" s="402"/>
      <c r="BF220" s="402"/>
      <c r="BG220" s="402"/>
      <c r="BH220" s="402"/>
      <c r="BI220" s="402"/>
      <c r="BJ220" s="402"/>
      <c r="BK220" s="402"/>
      <c r="BL220" s="402"/>
      <c r="BM220" s="402"/>
      <c r="BN220" s="402"/>
      <c r="BO220" s="402"/>
      <c r="BP220" s="402"/>
      <c r="BQ220" s="402"/>
      <c r="BR220" s="402"/>
      <c r="BS220" s="402"/>
      <c r="BT220" s="402"/>
      <c r="BU220" s="402"/>
      <c r="BV220" s="402"/>
      <c r="BW220" s="402"/>
      <c r="BX220" s="402"/>
      <c r="BY220" s="402"/>
      <c r="BZ220" s="402"/>
      <c r="CA220" s="402"/>
      <c r="CB220" s="402"/>
      <c r="CC220" s="402"/>
      <c r="CD220" s="402"/>
      <c r="CE220" s="402"/>
      <c r="CF220" s="402"/>
      <c r="CG220" s="402"/>
      <c r="CH220" s="402"/>
      <c r="CI220" s="402"/>
      <c r="CJ220" s="402"/>
      <c r="CK220" s="402"/>
      <c r="CL220" s="402"/>
      <c r="CM220" s="402"/>
      <c r="CN220" s="402"/>
      <c r="CO220" s="402"/>
      <c r="CP220" s="402"/>
      <c r="CQ220" s="402"/>
      <c r="CR220" s="402"/>
      <c r="CS220" s="402"/>
      <c r="CT220" s="402"/>
      <c r="CU220" s="402"/>
      <c r="CV220" s="402"/>
      <c r="CW220" s="402"/>
      <c r="CX220" s="402"/>
      <c r="CY220" s="402"/>
      <c r="CZ220" s="402"/>
      <c r="DA220" s="402"/>
      <c r="DB220" s="402"/>
      <c r="DC220" s="402"/>
      <c r="DD220" s="402"/>
      <c r="DE220" s="402"/>
      <c r="DF220" s="402"/>
      <c r="DG220" s="402"/>
      <c r="DH220" s="402"/>
      <c r="DI220" s="402"/>
      <c r="DJ220" s="402"/>
      <c r="DK220" s="402"/>
      <c r="DL220" s="402"/>
      <c r="DM220" s="402"/>
      <c r="DN220" s="402"/>
      <c r="DO220" s="402"/>
      <c r="DP220" s="402"/>
      <c r="DQ220" s="402"/>
      <c r="DR220" s="402"/>
      <c r="DS220" s="402"/>
      <c r="DT220" s="402"/>
      <c r="DU220" s="402"/>
      <c r="DV220" s="402"/>
      <c r="DW220" s="402"/>
      <c r="DX220" s="402"/>
      <c r="DY220" s="402"/>
      <c r="DZ220" s="402"/>
      <c r="EA220" s="402"/>
      <c r="EB220" s="402"/>
      <c r="EC220" s="402"/>
      <c r="ED220" s="402"/>
      <c r="EE220" s="402"/>
      <c r="EF220" s="402"/>
      <c r="EG220" s="402"/>
      <c r="EH220" s="402"/>
      <c r="EI220" s="402"/>
      <c r="EJ220" s="402"/>
      <c r="EK220" s="402"/>
      <c r="EL220" s="402"/>
      <c r="EM220" s="402"/>
      <c r="EN220" s="402"/>
      <c r="EO220" s="402"/>
      <c r="EP220" s="402"/>
      <c r="EQ220" s="402"/>
      <c r="ER220" s="402"/>
      <c r="ES220" s="402"/>
      <c r="ET220" s="402"/>
      <c r="EU220" s="402"/>
      <c r="EV220" s="402"/>
      <c r="EW220" s="402"/>
      <c r="EX220" s="402"/>
      <c r="EY220" s="402"/>
      <c r="EZ220" s="402"/>
      <c r="FA220" s="402"/>
      <c r="FB220" s="402"/>
      <c r="FC220" s="402"/>
      <c r="FD220" s="402"/>
      <c r="FE220" s="402"/>
      <c r="FF220" s="402"/>
      <c r="FG220" s="402"/>
      <c r="FH220" s="402"/>
      <c r="FI220" s="402"/>
      <c r="FJ220" s="402"/>
      <c r="FK220" s="402"/>
      <c r="FL220" s="402"/>
      <c r="FM220" s="402"/>
      <c r="FN220" s="402"/>
      <c r="FO220" s="402"/>
      <c r="FP220" s="402"/>
      <c r="FQ220" s="402"/>
      <c r="FR220" s="402"/>
      <c r="FS220" s="402"/>
      <c r="FT220" s="402"/>
      <c r="FU220" s="402"/>
      <c r="FV220" s="402"/>
      <c r="FW220" s="402"/>
      <c r="FX220" s="402"/>
      <c r="FY220" s="402"/>
      <c r="FZ220" s="402"/>
      <c r="GA220" s="402"/>
      <c r="GB220" s="402"/>
      <c r="GC220" s="402"/>
      <c r="GD220" s="402"/>
      <c r="GE220" s="402"/>
      <c r="GF220" s="402"/>
      <c r="GG220" s="402"/>
      <c r="GH220" s="402"/>
      <c r="GI220" s="402"/>
      <c r="GJ220" s="402"/>
      <c r="GK220" s="402"/>
      <c r="GL220" s="402"/>
      <c r="GM220" s="402"/>
      <c r="GN220" s="402"/>
      <c r="GO220" s="402"/>
      <c r="GP220" s="402"/>
      <c r="GQ220" s="402"/>
      <c r="GR220" s="402"/>
      <c r="GS220" s="402"/>
      <c r="GT220" s="402"/>
      <c r="GU220" s="402"/>
      <c r="GV220" s="402"/>
      <c r="GW220" s="402"/>
      <c r="GX220" s="402"/>
      <c r="GY220" s="402"/>
      <c r="GZ220" s="402"/>
      <c r="HA220" s="402"/>
      <c r="HB220" s="402"/>
      <c r="HC220" s="402"/>
      <c r="HD220" s="402"/>
      <c r="HE220" s="402"/>
      <c r="HF220" s="402"/>
      <c r="HG220" s="402"/>
      <c r="HH220" s="402"/>
      <c r="HI220" s="402"/>
      <c r="HJ220" s="402"/>
      <c r="HK220" s="402"/>
      <c r="HL220" s="402"/>
      <c r="HM220" s="402"/>
      <c r="HN220" s="402"/>
      <c r="HO220" s="402"/>
      <c r="HP220" s="402"/>
      <c r="HQ220" s="402"/>
      <c r="HR220" s="402"/>
      <c r="HS220" s="402"/>
      <c r="HT220" s="402"/>
      <c r="HU220" s="402"/>
      <c r="HV220" s="402"/>
      <c r="HW220" s="402"/>
      <c r="HX220" s="402"/>
      <c r="HY220" s="402"/>
      <c r="HZ220" s="402"/>
      <c r="IA220" s="402"/>
      <c r="IB220" s="402"/>
      <c r="IC220" s="402"/>
      <c r="ID220" s="402"/>
      <c r="IE220" s="402"/>
      <c r="IF220" s="402"/>
      <c r="IG220" s="402"/>
      <c r="IH220" s="402"/>
      <c r="II220" s="402"/>
      <c r="IJ220" s="402"/>
      <c r="IK220" s="402"/>
      <c r="IL220" s="402"/>
      <c r="IM220" s="402"/>
      <c r="IN220" s="402"/>
      <c r="IO220" s="402"/>
      <c r="IP220" s="402"/>
      <c r="IQ220" s="402"/>
      <c r="IR220" s="402"/>
      <c r="IS220" s="402"/>
      <c r="IT220" s="402"/>
      <c r="IU220" s="402"/>
      <c r="IV220" s="402"/>
    </row>
    <row r="221" spans="1:256" hidden="1">
      <c r="A221" s="414">
        <v>39969</v>
      </c>
      <c r="B221" s="414" t="s">
        <v>581</v>
      </c>
      <c r="C221" s="415">
        <v>91</v>
      </c>
      <c r="D221" s="414">
        <v>40060</v>
      </c>
      <c r="E221" s="418">
        <v>18</v>
      </c>
      <c r="F221" s="416">
        <v>14.837400000000001</v>
      </c>
      <c r="G221" s="416">
        <v>14.837400000000001</v>
      </c>
      <c r="H221" s="416">
        <v>2.42</v>
      </c>
      <c r="I221" s="416">
        <v>2.58</v>
      </c>
      <c r="J221" s="416">
        <v>2.5</v>
      </c>
      <c r="L221" s="415">
        <v>3</v>
      </c>
    </row>
    <row r="222" spans="1:256" s="431" customFormat="1" hidden="1">
      <c r="A222" s="427">
        <v>39973</v>
      </c>
      <c r="B222" s="427" t="s">
        <v>582</v>
      </c>
      <c r="C222" s="428">
        <v>182</v>
      </c>
      <c r="D222" s="427">
        <v>40155</v>
      </c>
      <c r="E222" s="429">
        <v>7</v>
      </c>
      <c r="F222" s="430">
        <v>13.762</v>
      </c>
      <c r="G222" s="430">
        <v>7</v>
      </c>
      <c r="H222" s="430">
        <v>2.5</v>
      </c>
      <c r="I222" s="430">
        <v>3.51</v>
      </c>
      <c r="J222" s="430">
        <v>3.2</v>
      </c>
      <c r="L222" s="428">
        <v>3</v>
      </c>
      <c r="M222" s="402"/>
      <c r="N222" s="402"/>
      <c r="O222" s="402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  <c r="AF222" s="402"/>
      <c r="AG222" s="402"/>
      <c r="AH222" s="402"/>
      <c r="AI222" s="402"/>
      <c r="AJ222" s="402"/>
      <c r="AK222" s="402"/>
      <c r="AL222" s="402"/>
      <c r="AM222" s="402"/>
      <c r="AN222" s="402"/>
      <c r="AO222" s="402"/>
      <c r="AP222" s="402"/>
      <c r="AQ222" s="402"/>
      <c r="AR222" s="402"/>
      <c r="AS222" s="402"/>
      <c r="AT222" s="402"/>
      <c r="AU222" s="402"/>
      <c r="AV222" s="402"/>
      <c r="AW222" s="402"/>
      <c r="AX222" s="402"/>
      <c r="AY222" s="402"/>
      <c r="AZ222" s="402"/>
      <c r="BA222" s="402"/>
      <c r="BB222" s="402"/>
      <c r="BC222" s="402"/>
      <c r="BD222" s="402"/>
      <c r="BE222" s="402"/>
      <c r="BF222" s="402"/>
      <c r="BG222" s="402"/>
      <c r="BH222" s="402"/>
      <c r="BI222" s="402"/>
      <c r="BJ222" s="402"/>
      <c r="BK222" s="402"/>
      <c r="BL222" s="402"/>
      <c r="BM222" s="402"/>
      <c r="BN222" s="402"/>
      <c r="BO222" s="402"/>
      <c r="BP222" s="402"/>
      <c r="BQ222" s="402"/>
      <c r="BR222" s="402"/>
      <c r="BS222" s="402"/>
      <c r="BT222" s="402"/>
      <c r="BU222" s="402"/>
      <c r="BV222" s="402"/>
      <c r="BW222" s="402"/>
      <c r="BX222" s="402"/>
      <c r="BY222" s="402"/>
      <c r="BZ222" s="402"/>
      <c r="CA222" s="402"/>
      <c r="CB222" s="402"/>
      <c r="CC222" s="402"/>
      <c r="CD222" s="402"/>
      <c r="CE222" s="402"/>
      <c r="CF222" s="402"/>
      <c r="CG222" s="402"/>
      <c r="CH222" s="402"/>
      <c r="CI222" s="402"/>
      <c r="CJ222" s="402"/>
      <c r="CK222" s="402"/>
      <c r="CL222" s="402"/>
      <c r="CM222" s="402"/>
      <c r="CN222" s="402"/>
      <c r="CO222" s="402"/>
      <c r="CP222" s="402"/>
      <c r="CQ222" s="402"/>
      <c r="CR222" s="402"/>
      <c r="CS222" s="402"/>
      <c r="CT222" s="402"/>
      <c r="CU222" s="402"/>
      <c r="CV222" s="402"/>
      <c r="CW222" s="402"/>
      <c r="CX222" s="402"/>
      <c r="CY222" s="402"/>
      <c r="CZ222" s="402"/>
      <c r="DA222" s="402"/>
      <c r="DB222" s="402"/>
      <c r="DC222" s="402"/>
      <c r="DD222" s="402"/>
      <c r="DE222" s="402"/>
      <c r="DF222" s="402"/>
      <c r="DG222" s="402"/>
      <c r="DH222" s="402"/>
      <c r="DI222" s="402"/>
      <c r="DJ222" s="402"/>
      <c r="DK222" s="402"/>
      <c r="DL222" s="402"/>
      <c r="DM222" s="402"/>
      <c r="DN222" s="402"/>
      <c r="DO222" s="402"/>
      <c r="DP222" s="402"/>
      <c r="DQ222" s="402"/>
      <c r="DR222" s="402"/>
      <c r="DS222" s="402"/>
      <c r="DT222" s="402"/>
      <c r="DU222" s="402"/>
      <c r="DV222" s="402"/>
      <c r="DW222" s="402"/>
      <c r="DX222" s="402"/>
      <c r="DY222" s="402"/>
      <c r="DZ222" s="402"/>
      <c r="EA222" s="402"/>
      <c r="EB222" s="402"/>
      <c r="EC222" s="402"/>
      <c r="ED222" s="402"/>
      <c r="EE222" s="402"/>
      <c r="EF222" s="402"/>
      <c r="EG222" s="402"/>
      <c r="EH222" s="402"/>
      <c r="EI222" s="402"/>
      <c r="EJ222" s="402"/>
      <c r="EK222" s="402"/>
      <c r="EL222" s="402"/>
      <c r="EM222" s="402"/>
      <c r="EN222" s="402"/>
      <c r="EO222" s="402"/>
      <c r="EP222" s="402"/>
      <c r="EQ222" s="402"/>
      <c r="ER222" s="402"/>
      <c r="ES222" s="402"/>
      <c r="ET222" s="402"/>
      <c r="EU222" s="402"/>
      <c r="EV222" s="402"/>
      <c r="EW222" s="402"/>
      <c r="EX222" s="402"/>
      <c r="EY222" s="402"/>
      <c r="EZ222" s="402"/>
      <c r="FA222" s="402"/>
      <c r="FB222" s="402"/>
      <c r="FC222" s="402"/>
      <c r="FD222" s="402"/>
      <c r="FE222" s="402"/>
      <c r="FF222" s="402"/>
      <c r="FG222" s="402"/>
      <c r="FH222" s="402"/>
      <c r="FI222" s="402"/>
      <c r="FJ222" s="402"/>
      <c r="FK222" s="402"/>
      <c r="FL222" s="402"/>
      <c r="FM222" s="402"/>
      <c r="FN222" s="402"/>
      <c r="FO222" s="402"/>
      <c r="FP222" s="402"/>
      <c r="FQ222" s="402"/>
      <c r="FR222" s="402"/>
      <c r="FS222" s="402"/>
      <c r="FT222" s="402"/>
      <c r="FU222" s="402"/>
      <c r="FV222" s="402"/>
      <c r="FW222" s="402"/>
      <c r="FX222" s="402"/>
      <c r="FY222" s="402"/>
      <c r="FZ222" s="402"/>
      <c r="GA222" s="402"/>
      <c r="GB222" s="402"/>
      <c r="GC222" s="402"/>
      <c r="GD222" s="402"/>
      <c r="GE222" s="402"/>
      <c r="GF222" s="402"/>
      <c r="GG222" s="402"/>
      <c r="GH222" s="402"/>
      <c r="GI222" s="402"/>
      <c r="GJ222" s="402"/>
      <c r="GK222" s="402"/>
      <c r="GL222" s="402"/>
      <c r="GM222" s="402"/>
      <c r="GN222" s="402"/>
      <c r="GO222" s="402"/>
      <c r="GP222" s="402"/>
      <c r="GQ222" s="402"/>
      <c r="GR222" s="402"/>
      <c r="GS222" s="402"/>
      <c r="GT222" s="402"/>
      <c r="GU222" s="402"/>
      <c r="GV222" s="402"/>
      <c r="GW222" s="402"/>
      <c r="GX222" s="402"/>
      <c r="GY222" s="402"/>
      <c r="GZ222" s="402"/>
      <c r="HA222" s="402"/>
      <c r="HB222" s="402"/>
      <c r="HC222" s="402"/>
      <c r="HD222" s="402"/>
      <c r="HE222" s="402"/>
      <c r="HF222" s="402"/>
      <c r="HG222" s="402"/>
      <c r="HH222" s="402"/>
      <c r="HI222" s="402"/>
      <c r="HJ222" s="402"/>
      <c r="HK222" s="402"/>
      <c r="HL222" s="402"/>
      <c r="HM222" s="402"/>
      <c r="HN222" s="402"/>
      <c r="HO222" s="402"/>
      <c r="HP222" s="402"/>
      <c r="HQ222" s="402"/>
      <c r="HR222" s="402"/>
      <c r="HS222" s="402"/>
      <c r="HT222" s="402"/>
      <c r="HU222" s="402"/>
      <c r="HV222" s="402"/>
      <c r="HW222" s="402"/>
      <c r="HX222" s="402"/>
      <c r="HY222" s="402"/>
      <c r="HZ222" s="402"/>
      <c r="IA222" s="402"/>
      <c r="IB222" s="402"/>
      <c r="IC222" s="402"/>
      <c r="ID222" s="402"/>
      <c r="IE222" s="402"/>
      <c r="IF222" s="402"/>
      <c r="IG222" s="402"/>
      <c r="IH222" s="402"/>
      <c r="II222" s="402"/>
      <c r="IJ222" s="402"/>
      <c r="IK222" s="402"/>
      <c r="IL222" s="402"/>
      <c r="IM222" s="402"/>
      <c r="IN222" s="402"/>
      <c r="IO222" s="402"/>
      <c r="IP222" s="402"/>
      <c r="IQ222" s="402"/>
      <c r="IR222" s="402"/>
      <c r="IS222" s="402"/>
      <c r="IT222" s="402"/>
      <c r="IU222" s="402"/>
      <c r="IV222" s="402"/>
    </row>
    <row r="223" spans="1:256" hidden="1">
      <c r="A223" s="414">
        <v>39976</v>
      </c>
      <c r="B223" s="414" t="s">
        <v>583</v>
      </c>
      <c r="C223" s="415">
        <v>728</v>
      </c>
      <c r="D223" s="414">
        <v>40704</v>
      </c>
      <c r="E223" s="418">
        <v>2</v>
      </c>
      <c r="F223" s="416">
        <v>2.0994000000000002</v>
      </c>
      <c r="G223" s="416">
        <v>2</v>
      </c>
      <c r="H223" s="416">
        <v>6</v>
      </c>
      <c r="I223" s="416">
        <v>6</v>
      </c>
      <c r="J223" s="416">
        <v>6</v>
      </c>
      <c r="L223" s="415">
        <v>3</v>
      </c>
    </row>
    <row r="224" spans="1:256" s="431" customFormat="1" hidden="1">
      <c r="A224" s="427">
        <v>39976</v>
      </c>
      <c r="B224" s="427" t="s">
        <v>584</v>
      </c>
      <c r="C224" s="428">
        <v>1092</v>
      </c>
      <c r="D224" s="427">
        <v>41068</v>
      </c>
      <c r="E224" s="429">
        <v>2</v>
      </c>
      <c r="F224" s="430">
        <v>2</v>
      </c>
      <c r="G224" s="430">
        <v>2</v>
      </c>
      <c r="H224" s="430">
        <v>7.0000000000000009</v>
      </c>
      <c r="I224" s="430">
        <v>7.0000000000000009</v>
      </c>
      <c r="J224" s="430">
        <v>7.0000000000000009</v>
      </c>
      <c r="L224" s="428">
        <v>2</v>
      </c>
      <c r="M224" s="402"/>
      <c r="N224" s="402"/>
      <c r="O224" s="402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  <c r="AF224" s="402"/>
      <c r="AG224" s="402"/>
      <c r="AH224" s="402"/>
      <c r="AI224" s="402"/>
      <c r="AJ224" s="402"/>
      <c r="AK224" s="402"/>
      <c r="AL224" s="402"/>
      <c r="AM224" s="402"/>
      <c r="AN224" s="402"/>
      <c r="AO224" s="402"/>
      <c r="AP224" s="402"/>
      <c r="AQ224" s="402"/>
      <c r="AR224" s="402"/>
      <c r="AS224" s="402"/>
      <c r="AT224" s="402"/>
      <c r="AU224" s="402"/>
      <c r="AV224" s="402"/>
      <c r="AW224" s="402"/>
      <c r="AX224" s="402"/>
      <c r="AY224" s="402"/>
      <c r="AZ224" s="402"/>
      <c r="BA224" s="402"/>
      <c r="BB224" s="402"/>
      <c r="BC224" s="402"/>
      <c r="BD224" s="402"/>
      <c r="BE224" s="402"/>
      <c r="BF224" s="402"/>
      <c r="BG224" s="402"/>
      <c r="BH224" s="402"/>
      <c r="BI224" s="402"/>
      <c r="BJ224" s="402"/>
      <c r="BK224" s="402"/>
      <c r="BL224" s="402"/>
      <c r="BM224" s="402"/>
      <c r="BN224" s="402"/>
      <c r="BO224" s="402"/>
      <c r="BP224" s="402"/>
      <c r="BQ224" s="402"/>
      <c r="BR224" s="402"/>
      <c r="BS224" s="402"/>
      <c r="BT224" s="402"/>
      <c r="BU224" s="402"/>
      <c r="BV224" s="402"/>
      <c r="BW224" s="402"/>
      <c r="BX224" s="402"/>
      <c r="BY224" s="402"/>
      <c r="BZ224" s="402"/>
      <c r="CA224" s="402"/>
      <c r="CB224" s="402"/>
      <c r="CC224" s="402"/>
      <c r="CD224" s="402"/>
      <c r="CE224" s="402"/>
      <c r="CF224" s="402"/>
      <c r="CG224" s="402"/>
      <c r="CH224" s="402"/>
      <c r="CI224" s="402"/>
      <c r="CJ224" s="402"/>
      <c r="CK224" s="402"/>
      <c r="CL224" s="402"/>
      <c r="CM224" s="402"/>
      <c r="CN224" s="402"/>
      <c r="CO224" s="402"/>
      <c r="CP224" s="402"/>
      <c r="CQ224" s="402"/>
      <c r="CR224" s="402"/>
      <c r="CS224" s="402"/>
      <c r="CT224" s="402"/>
      <c r="CU224" s="402"/>
      <c r="CV224" s="402"/>
      <c r="CW224" s="402"/>
      <c r="CX224" s="402"/>
      <c r="CY224" s="402"/>
      <c r="CZ224" s="402"/>
      <c r="DA224" s="402"/>
      <c r="DB224" s="402"/>
      <c r="DC224" s="402"/>
      <c r="DD224" s="402"/>
      <c r="DE224" s="402"/>
      <c r="DF224" s="402"/>
      <c r="DG224" s="402"/>
      <c r="DH224" s="402"/>
      <c r="DI224" s="402"/>
      <c r="DJ224" s="402"/>
      <c r="DK224" s="402"/>
      <c r="DL224" s="402"/>
      <c r="DM224" s="402"/>
      <c r="DN224" s="402"/>
      <c r="DO224" s="402"/>
      <c r="DP224" s="402"/>
      <c r="DQ224" s="402"/>
      <c r="DR224" s="402"/>
      <c r="DS224" s="402"/>
      <c r="DT224" s="402"/>
      <c r="DU224" s="402"/>
      <c r="DV224" s="402"/>
      <c r="DW224" s="402"/>
      <c r="DX224" s="402"/>
      <c r="DY224" s="402"/>
      <c r="DZ224" s="402"/>
      <c r="EA224" s="402"/>
      <c r="EB224" s="402"/>
      <c r="EC224" s="402"/>
      <c r="ED224" s="402"/>
      <c r="EE224" s="402"/>
      <c r="EF224" s="402"/>
      <c r="EG224" s="402"/>
      <c r="EH224" s="402"/>
      <c r="EI224" s="402"/>
      <c r="EJ224" s="402"/>
      <c r="EK224" s="402"/>
      <c r="EL224" s="402"/>
      <c r="EM224" s="402"/>
      <c r="EN224" s="402"/>
      <c r="EO224" s="402"/>
      <c r="EP224" s="402"/>
      <c r="EQ224" s="402"/>
      <c r="ER224" s="402"/>
      <c r="ES224" s="402"/>
      <c r="ET224" s="402"/>
      <c r="EU224" s="402"/>
      <c r="EV224" s="402"/>
      <c r="EW224" s="402"/>
      <c r="EX224" s="402"/>
      <c r="EY224" s="402"/>
      <c r="EZ224" s="402"/>
      <c r="FA224" s="402"/>
      <c r="FB224" s="402"/>
      <c r="FC224" s="402"/>
      <c r="FD224" s="402"/>
      <c r="FE224" s="402"/>
      <c r="FF224" s="402"/>
      <c r="FG224" s="402"/>
      <c r="FH224" s="402"/>
      <c r="FI224" s="402"/>
      <c r="FJ224" s="402"/>
      <c r="FK224" s="402"/>
      <c r="FL224" s="402"/>
      <c r="FM224" s="402"/>
      <c r="FN224" s="402"/>
      <c r="FO224" s="402"/>
      <c r="FP224" s="402"/>
      <c r="FQ224" s="402"/>
      <c r="FR224" s="402"/>
      <c r="FS224" s="402"/>
      <c r="FT224" s="402"/>
      <c r="FU224" s="402"/>
      <c r="FV224" s="402"/>
      <c r="FW224" s="402"/>
      <c r="FX224" s="402"/>
      <c r="FY224" s="402"/>
      <c r="FZ224" s="402"/>
      <c r="GA224" s="402"/>
      <c r="GB224" s="402"/>
      <c r="GC224" s="402"/>
      <c r="GD224" s="402"/>
      <c r="GE224" s="402"/>
      <c r="GF224" s="402"/>
      <c r="GG224" s="402"/>
      <c r="GH224" s="402"/>
      <c r="GI224" s="402"/>
      <c r="GJ224" s="402"/>
      <c r="GK224" s="402"/>
      <c r="GL224" s="402"/>
      <c r="GM224" s="402"/>
      <c r="GN224" s="402"/>
      <c r="GO224" s="402"/>
      <c r="GP224" s="402"/>
      <c r="GQ224" s="402"/>
      <c r="GR224" s="402"/>
      <c r="GS224" s="402"/>
      <c r="GT224" s="402"/>
      <c r="GU224" s="402"/>
      <c r="GV224" s="402"/>
      <c r="GW224" s="402"/>
      <c r="GX224" s="402"/>
      <c r="GY224" s="402"/>
      <c r="GZ224" s="402"/>
      <c r="HA224" s="402"/>
      <c r="HB224" s="402"/>
      <c r="HC224" s="402"/>
      <c r="HD224" s="402"/>
      <c r="HE224" s="402"/>
      <c r="HF224" s="402"/>
      <c r="HG224" s="402"/>
      <c r="HH224" s="402"/>
      <c r="HI224" s="402"/>
      <c r="HJ224" s="402"/>
      <c r="HK224" s="402"/>
      <c r="HL224" s="402"/>
      <c r="HM224" s="402"/>
      <c r="HN224" s="402"/>
      <c r="HO224" s="402"/>
      <c r="HP224" s="402"/>
      <c r="HQ224" s="402"/>
      <c r="HR224" s="402"/>
      <c r="HS224" s="402"/>
      <c r="HT224" s="402"/>
      <c r="HU224" s="402"/>
      <c r="HV224" s="402"/>
      <c r="HW224" s="402"/>
      <c r="HX224" s="402"/>
      <c r="HY224" s="402"/>
      <c r="HZ224" s="402"/>
      <c r="IA224" s="402"/>
      <c r="IB224" s="402"/>
      <c r="IC224" s="402"/>
      <c r="ID224" s="402"/>
      <c r="IE224" s="402"/>
      <c r="IF224" s="402"/>
      <c r="IG224" s="402"/>
      <c r="IH224" s="402"/>
      <c r="II224" s="402"/>
      <c r="IJ224" s="402"/>
      <c r="IK224" s="402"/>
      <c r="IL224" s="402"/>
      <c r="IM224" s="402"/>
      <c r="IN224" s="402"/>
      <c r="IO224" s="402"/>
      <c r="IP224" s="402"/>
      <c r="IQ224" s="402"/>
      <c r="IR224" s="402"/>
      <c r="IS224" s="402"/>
      <c r="IT224" s="402"/>
      <c r="IU224" s="402"/>
      <c r="IV224" s="402"/>
    </row>
    <row r="225" spans="1:256" hidden="1">
      <c r="A225" s="414">
        <v>39980</v>
      </c>
      <c r="B225" s="414" t="s">
        <v>585</v>
      </c>
      <c r="C225" s="415">
        <v>35</v>
      </c>
      <c r="D225" s="414">
        <v>40015</v>
      </c>
      <c r="E225" s="418">
        <v>20</v>
      </c>
      <c r="F225" s="416">
        <v>10.017799999999999</v>
      </c>
      <c r="G225" s="416">
        <v>10.017799999999999</v>
      </c>
      <c r="H225" s="416">
        <v>2.2999999999999998</v>
      </c>
      <c r="I225" s="416">
        <v>2.5100000000000004E-2</v>
      </c>
      <c r="J225" s="416">
        <v>2.4</v>
      </c>
      <c r="L225" s="415">
        <v>3</v>
      </c>
    </row>
    <row r="226" spans="1:256" s="431" customFormat="1" hidden="1">
      <c r="A226" s="427">
        <v>39980</v>
      </c>
      <c r="B226" s="427" t="s">
        <v>586</v>
      </c>
      <c r="C226" s="428">
        <v>364</v>
      </c>
      <c r="D226" s="427">
        <v>40344</v>
      </c>
      <c r="E226" s="429">
        <v>2</v>
      </c>
      <c r="F226" s="430">
        <v>0</v>
      </c>
      <c r="G226" s="430">
        <v>0</v>
      </c>
      <c r="H226" s="430">
        <v>0</v>
      </c>
      <c r="I226" s="430">
        <v>0</v>
      </c>
      <c r="J226" s="430">
        <v>0</v>
      </c>
      <c r="L226" s="428">
        <v>0</v>
      </c>
      <c r="M226" s="402"/>
      <c r="N226" s="402"/>
      <c r="O226" s="402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  <c r="AF226" s="402"/>
      <c r="AG226" s="402"/>
      <c r="AH226" s="402"/>
      <c r="AI226" s="402"/>
      <c r="AJ226" s="402"/>
      <c r="AK226" s="402"/>
      <c r="AL226" s="402"/>
      <c r="AM226" s="402"/>
      <c r="AN226" s="402"/>
      <c r="AO226" s="402"/>
      <c r="AP226" s="402"/>
      <c r="AQ226" s="402"/>
      <c r="AR226" s="402"/>
      <c r="AS226" s="402"/>
      <c r="AT226" s="402"/>
      <c r="AU226" s="402"/>
      <c r="AV226" s="402"/>
      <c r="AW226" s="402"/>
      <c r="AX226" s="402"/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2"/>
      <c r="CA226" s="402"/>
      <c r="CB226" s="402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2"/>
      <c r="CM226" s="402"/>
      <c r="CN226" s="402"/>
      <c r="CO226" s="402"/>
      <c r="CP226" s="402"/>
      <c r="CQ226" s="402"/>
      <c r="CR226" s="402"/>
      <c r="CS226" s="402"/>
      <c r="CT226" s="402"/>
      <c r="CU226" s="402"/>
      <c r="CV226" s="402"/>
      <c r="CW226" s="402"/>
      <c r="CX226" s="402"/>
      <c r="CY226" s="402"/>
      <c r="CZ226" s="402"/>
      <c r="DA226" s="402"/>
      <c r="DB226" s="402"/>
      <c r="DC226" s="402"/>
      <c r="DD226" s="402"/>
      <c r="DE226" s="402"/>
      <c r="DF226" s="402"/>
      <c r="DG226" s="402"/>
      <c r="DH226" s="402"/>
      <c r="DI226" s="402"/>
      <c r="DJ226" s="402"/>
      <c r="DK226" s="402"/>
      <c r="DL226" s="402"/>
      <c r="DM226" s="402"/>
      <c r="DN226" s="402"/>
      <c r="DO226" s="402"/>
      <c r="DP226" s="402"/>
      <c r="DQ226" s="402"/>
      <c r="DR226" s="402"/>
      <c r="DS226" s="402"/>
      <c r="DT226" s="402"/>
      <c r="DU226" s="402"/>
      <c r="DV226" s="402"/>
      <c r="DW226" s="402"/>
      <c r="DX226" s="402"/>
      <c r="DY226" s="402"/>
      <c r="DZ226" s="402"/>
      <c r="EA226" s="402"/>
      <c r="EB226" s="402"/>
      <c r="EC226" s="402"/>
      <c r="ED226" s="402"/>
      <c r="EE226" s="402"/>
      <c r="EF226" s="402"/>
      <c r="EG226" s="402"/>
      <c r="EH226" s="402"/>
      <c r="EI226" s="402"/>
      <c r="EJ226" s="402"/>
      <c r="EK226" s="402"/>
      <c r="EL226" s="402"/>
      <c r="EM226" s="402"/>
      <c r="EN226" s="402"/>
      <c r="EO226" s="402"/>
      <c r="EP226" s="402"/>
      <c r="EQ226" s="402"/>
      <c r="ER226" s="402"/>
      <c r="ES226" s="402"/>
      <c r="ET226" s="402"/>
      <c r="EU226" s="402"/>
      <c r="EV226" s="402"/>
      <c r="EW226" s="402"/>
      <c r="EX226" s="402"/>
      <c r="EY226" s="402"/>
      <c r="EZ226" s="402"/>
      <c r="FA226" s="402"/>
      <c r="FB226" s="402"/>
      <c r="FC226" s="402"/>
      <c r="FD226" s="402"/>
      <c r="FE226" s="402"/>
      <c r="FF226" s="402"/>
      <c r="FG226" s="402"/>
      <c r="FH226" s="402"/>
      <c r="FI226" s="402"/>
      <c r="FJ226" s="402"/>
      <c r="FK226" s="402"/>
      <c r="FL226" s="402"/>
      <c r="FM226" s="402"/>
      <c r="FN226" s="402"/>
      <c r="FO226" s="402"/>
      <c r="FP226" s="402"/>
      <c r="FQ226" s="402"/>
      <c r="FR226" s="402"/>
      <c r="FS226" s="402"/>
      <c r="FT226" s="402"/>
      <c r="FU226" s="402"/>
      <c r="FV226" s="402"/>
      <c r="FW226" s="402"/>
      <c r="FX226" s="402"/>
      <c r="FY226" s="402"/>
      <c r="FZ226" s="402"/>
      <c r="GA226" s="402"/>
      <c r="GB226" s="402"/>
      <c r="GC226" s="402"/>
      <c r="GD226" s="402"/>
      <c r="GE226" s="402"/>
      <c r="GF226" s="402"/>
      <c r="GG226" s="402"/>
      <c r="GH226" s="402"/>
      <c r="GI226" s="402"/>
      <c r="GJ226" s="402"/>
      <c r="GK226" s="402"/>
      <c r="GL226" s="402"/>
      <c r="GM226" s="402"/>
      <c r="GN226" s="402"/>
      <c r="GO226" s="402"/>
      <c r="GP226" s="402"/>
      <c r="GQ226" s="402"/>
      <c r="GR226" s="402"/>
      <c r="GS226" s="402"/>
      <c r="GT226" s="402"/>
      <c r="GU226" s="402"/>
      <c r="GV226" s="402"/>
      <c r="GW226" s="402"/>
      <c r="GX226" s="402"/>
      <c r="GY226" s="402"/>
      <c r="GZ226" s="402"/>
      <c r="HA226" s="402"/>
      <c r="HB226" s="402"/>
      <c r="HC226" s="402"/>
      <c r="HD226" s="402"/>
      <c r="HE226" s="402"/>
      <c r="HF226" s="402"/>
      <c r="HG226" s="402"/>
      <c r="HH226" s="402"/>
      <c r="HI226" s="402"/>
      <c r="HJ226" s="402"/>
      <c r="HK226" s="402"/>
      <c r="HL226" s="402"/>
      <c r="HM226" s="402"/>
      <c r="HN226" s="402"/>
      <c r="HO226" s="402"/>
      <c r="HP226" s="402"/>
      <c r="HQ226" s="402"/>
      <c r="HR226" s="402"/>
      <c r="HS226" s="402"/>
      <c r="HT226" s="402"/>
      <c r="HU226" s="402"/>
      <c r="HV226" s="402"/>
      <c r="HW226" s="402"/>
      <c r="HX226" s="402"/>
      <c r="HY226" s="402"/>
      <c r="HZ226" s="402"/>
      <c r="IA226" s="402"/>
      <c r="IB226" s="402"/>
      <c r="IC226" s="402"/>
      <c r="ID226" s="402"/>
      <c r="IE226" s="402"/>
      <c r="IF226" s="402"/>
      <c r="IG226" s="402"/>
      <c r="IH226" s="402"/>
      <c r="II226" s="402"/>
      <c r="IJ226" s="402"/>
      <c r="IK226" s="402"/>
      <c r="IL226" s="402"/>
      <c r="IM226" s="402"/>
      <c r="IN226" s="402"/>
      <c r="IO226" s="402"/>
      <c r="IP226" s="402"/>
      <c r="IQ226" s="402"/>
      <c r="IR226" s="402"/>
      <c r="IS226" s="402"/>
      <c r="IT226" s="402"/>
      <c r="IU226" s="402"/>
      <c r="IV226" s="402"/>
    </row>
    <row r="227" spans="1:256" hidden="1">
      <c r="A227" s="414">
        <v>39983</v>
      </c>
      <c r="B227" s="414" t="s">
        <v>587</v>
      </c>
      <c r="C227" s="415">
        <v>91</v>
      </c>
      <c r="D227" s="414">
        <v>40074</v>
      </c>
      <c r="E227" s="418">
        <v>15</v>
      </c>
      <c r="F227" s="416">
        <v>3.0148000000000001</v>
      </c>
      <c r="G227" s="416">
        <v>3.0148000000000001</v>
      </c>
      <c r="H227" s="416">
        <v>2.58</v>
      </c>
      <c r="I227" s="416">
        <v>2.5799999999999997E-2</v>
      </c>
      <c r="J227" s="416">
        <v>2.58</v>
      </c>
      <c r="L227" s="415">
        <v>1</v>
      </c>
    </row>
    <row r="228" spans="1:256" s="431" customFormat="1" hidden="1">
      <c r="A228" s="427">
        <v>39987</v>
      </c>
      <c r="B228" s="427" t="s">
        <v>588</v>
      </c>
      <c r="C228" s="428">
        <v>182</v>
      </c>
      <c r="D228" s="427">
        <v>40169</v>
      </c>
      <c r="E228" s="429">
        <v>8</v>
      </c>
      <c r="F228" s="430">
        <v>2.0272000000000001</v>
      </c>
      <c r="G228" s="430">
        <v>2.0272000000000001</v>
      </c>
      <c r="H228" s="430">
        <v>3.2399999999999998</v>
      </c>
      <c r="I228" s="430">
        <v>3.2599999999999997E-2</v>
      </c>
      <c r="J228" s="430">
        <v>3.2399999999999998</v>
      </c>
      <c r="L228" s="428">
        <v>1</v>
      </c>
      <c r="M228" s="402"/>
      <c r="N228" s="402"/>
      <c r="O228" s="402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  <c r="AF228" s="402"/>
      <c r="AG228" s="402"/>
      <c r="AH228" s="402"/>
      <c r="AI228" s="402"/>
      <c r="AJ228" s="402"/>
      <c r="AK228" s="402"/>
      <c r="AL228" s="402"/>
      <c r="AM228" s="402"/>
      <c r="AN228" s="402"/>
      <c r="AO228" s="402"/>
      <c r="AP228" s="402"/>
      <c r="AQ228" s="402"/>
      <c r="AR228" s="402"/>
      <c r="AS228" s="402"/>
      <c r="AT228" s="402"/>
      <c r="AU228" s="402"/>
      <c r="AV228" s="402"/>
      <c r="AW228" s="402"/>
      <c r="AX228" s="402"/>
      <c r="AY228" s="402"/>
      <c r="AZ228" s="402"/>
      <c r="BA228" s="402"/>
      <c r="BB228" s="402"/>
      <c r="BC228" s="402"/>
      <c r="BD228" s="402"/>
      <c r="BE228" s="402"/>
      <c r="BF228" s="402"/>
      <c r="BG228" s="402"/>
      <c r="BH228" s="402"/>
      <c r="BI228" s="402"/>
      <c r="BJ228" s="402"/>
      <c r="BK228" s="402"/>
      <c r="BL228" s="402"/>
      <c r="BM228" s="402"/>
      <c r="BN228" s="402"/>
      <c r="BO228" s="402"/>
      <c r="BP228" s="402"/>
      <c r="BQ228" s="402"/>
      <c r="BR228" s="402"/>
      <c r="BS228" s="402"/>
      <c r="BT228" s="402"/>
      <c r="BU228" s="402"/>
      <c r="BV228" s="402"/>
      <c r="BW228" s="402"/>
      <c r="BX228" s="402"/>
      <c r="BY228" s="402"/>
      <c r="BZ228" s="402"/>
      <c r="CA228" s="402"/>
      <c r="CB228" s="402"/>
      <c r="CC228" s="402"/>
      <c r="CD228" s="402"/>
      <c r="CE228" s="402"/>
      <c r="CF228" s="402"/>
      <c r="CG228" s="402"/>
      <c r="CH228" s="402"/>
      <c r="CI228" s="402"/>
      <c r="CJ228" s="402"/>
      <c r="CK228" s="402"/>
      <c r="CL228" s="402"/>
      <c r="CM228" s="402"/>
      <c r="CN228" s="402"/>
      <c r="CO228" s="402"/>
      <c r="CP228" s="402"/>
      <c r="CQ228" s="402"/>
      <c r="CR228" s="402"/>
      <c r="CS228" s="402"/>
      <c r="CT228" s="402"/>
      <c r="CU228" s="402"/>
      <c r="CV228" s="402"/>
      <c r="CW228" s="402"/>
      <c r="CX228" s="402"/>
      <c r="CY228" s="402"/>
      <c r="CZ228" s="402"/>
      <c r="DA228" s="402"/>
      <c r="DB228" s="402"/>
      <c r="DC228" s="402"/>
      <c r="DD228" s="402"/>
      <c r="DE228" s="402"/>
      <c r="DF228" s="402"/>
      <c r="DG228" s="402"/>
      <c r="DH228" s="402"/>
      <c r="DI228" s="402"/>
      <c r="DJ228" s="402"/>
      <c r="DK228" s="402"/>
      <c r="DL228" s="402"/>
      <c r="DM228" s="402"/>
      <c r="DN228" s="402"/>
      <c r="DO228" s="402"/>
      <c r="DP228" s="402"/>
      <c r="DQ228" s="402"/>
      <c r="DR228" s="402"/>
      <c r="DS228" s="402"/>
      <c r="DT228" s="402"/>
      <c r="DU228" s="402"/>
      <c r="DV228" s="402"/>
      <c r="DW228" s="402"/>
      <c r="DX228" s="402"/>
      <c r="DY228" s="402"/>
      <c r="DZ228" s="402"/>
      <c r="EA228" s="402"/>
      <c r="EB228" s="402"/>
      <c r="EC228" s="402"/>
      <c r="ED228" s="402"/>
      <c r="EE228" s="402"/>
      <c r="EF228" s="402"/>
      <c r="EG228" s="402"/>
      <c r="EH228" s="402"/>
      <c r="EI228" s="402"/>
      <c r="EJ228" s="402"/>
      <c r="EK228" s="402"/>
      <c r="EL228" s="402"/>
      <c r="EM228" s="402"/>
      <c r="EN228" s="402"/>
      <c r="EO228" s="402"/>
      <c r="EP228" s="402"/>
      <c r="EQ228" s="402"/>
      <c r="ER228" s="402"/>
      <c r="ES228" s="402"/>
      <c r="ET228" s="402"/>
      <c r="EU228" s="402"/>
      <c r="EV228" s="402"/>
      <c r="EW228" s="402"/>
      <c r="EX228" s="402"/>
      <c r="EY228" s="402"/>
      <c r="EZ228" s="402"/>
      <c r="FA228" s="402"/>
      <c r="FB228" s="402"/>
      <c r="FC228" s="402"/>
      <c r="FD228" s="402"/>
      <c r="FE228" s="402"/>
      <c r="FF228" s="402"/>
      <c r="FG228" s="402"/>
      <c r="FH228" s="402"/>
      <c r="FI228" s="402"/>
      <c r="FJ228" s="402"/>
      <c r="FK228" s="402"/>
      <c r="FL228" s="402"/>
      <c r="FM228" s="402"/>
      <c r="FN228" s="402"/>
      <c r="FO228" s="402"/>
      <c r="FP228" s="402"/>
      <c r="FQ228" s="402"/>
      <c r="FR228" s="402"/>
      <c r="FS228" s="402"/>
      <c r="FT228" s="402"/>
      <c r="FU228" s="402"/>
      <c r="FV228" s="402"/>
      <c r="FW228" s="402"/>
      <c r="FX228" s="402"/>
      <c r="FY228" s="402"/>
      <c r="FZ228" s="402"/>
      <c r="GA228" s="402"/>
      <c r="GB228" s="402"/>
      <c r="GC228" s="402"/>
      <c r="GD228" s="402"/>
      <c r="GE228" s="402"/>
      <c r="GF228" s="402"/>
      <c r="GG228" s="402"/>
      <c r="GH228" s="402"/>
      <c r="GI228" s="402"/>
      <c r="GJ228" s="402"/>
      <c r="GK228" s="402"/>
      <c r="GL228" s="402"/>
      <c r="GM228" s="402"/>
      <c r="GN228" s="402"/>
      <c r="GO228" s="402"/>
      <c r="GP228" s="402"/>
      <c r="GQ228" s="402"/>
      <c r="GR228" s="402"/>
      <c r="GS228" s="402"/>
      <c r="GT228" s="402"/>
      <c r="GU228" s="402"/>
      <c r="GV228" s="402"/>
      <c r="GW228" s="402"/>
      <c r="GX228" s="402"/>
      <c r="GY228" s="402"/>
      <c r="GZ228" s="402"/>
      <c r="HA228" s="402"/>
      <c r="HB228" s="402"/>
      <c r="HC228" s="402"/>
      <c r="HD228" s="402"/>
      <c r="HE228" s="402"/>
      <c r="HF228" s="402"/>
      <c r="HG228" s="402"/>
      <c r="HH228" s="402"/>
      <c r="HI228" s="402"/>
      <c r="HJ228" s="402"/>
      <c r="HK228" s="402"/>
      <c r="HL228" s="402"/>
      <c r="HM228" s="402"/>
      <c r="HN228" s="402"/>
      <c r="HO228" s="402"/>
      <c r="HP228" s="402"/>
      <c r="HQ228" s="402"/>
      <c r="HR228" s="402"/>
      <c r="HS228" s="402"/>
      <c r="HT228" s="402"/>
      <c r="HU228" s="402"/>
      <c r="HV228" s="402"/>
      <c r="HW228" s="402"/>
      <c r="HX228" s="402"/>
      <c r="HY228" s="402"/>
      <c r="HZ228" s="402"/>
      <c r="IA228" s="402"/>
      <c r="IB228" s="402"/>
      <c r="IC228" s="402"/>
      <c r="ID228" s="402"/>
      <c r="IE228" s="402"/>
      <c r="IF228" s="402"/>
      <c r="IG228" s="402"/>
      <c r="IH228" s="402"/>
      <c r="II228" s="402"/>
      <c r="IJ228" s="402"/>
      <c r="IK228" s="402"/>
      <c r="IL228" s="402"/>
      <c r="IM228" s="402"/>
      <c r="IN228" s="402"/>
      <c r="IO228" s="402"/>
      <c r="IP228" s="402"/>
      <c r="IQ228" s="402"/>
      <c r="IR228" s="402"/>
      <c r="IS228" s="402"/>
      <c r="IT228" s="402"/>
      <c r="IU228" s="402"/>
      <c r="IV228" s="402"/>
    </row>
    <row r="229" spans="1:256" hidden="1">
      <c r="A229" s="414">
        <v>39987</v>
      </c>
      <c r="B229" s="414" t="s">
        <v>589</v>
      </c>
      <c r="C229" s="415">
        <v>1092</v>
      </c>
      <c r="D229" s="414">
        <v>41079</v>
      </c>
      <c r="E229" s="418">
        <v>3</v>
      </c>
      <c r="F229" s="416">
        <v>2.9750000000000001</v>
      </c>
      <c r="G229" s="416">
        <v>2.9750000000000001</v>
      </c>
      <c r="H229" s="416">
        <v>7.0000000000000009</v>
      </c>
      <c r="I229" s="416">
        <v>7.0000000000000007E-2</v>
      </c>
      <c r="J229" s="416">
        <v>7.0000000000000009</v>
      </c>
      <c r="L229" s="415">
        <v>1</v>
      </c>
    </row>
    <row r="230" spans="1:256" s="431" customFormat="1" hidden="1">
      <c r="A230" s="427">
        <v>39987</v>
      </c>
      <c r="B230" s="427" t="s">
        <v>590</v>
      </c>
      <c r="C230" s="428">
        <v>728</v>
      </c>
      <c r="D230" s="427">
        <v>40715</v>
      </c>
      <c r="E230" s="429">
        <v>2</v>
      </c>
      <c r="F230" s="430">
        <v>2</v>
      </c>
      <c r="G230" s="430">
        <v>2</v>
      </c>
      <c r="H230" s="430">
        <v>6</v>
      </c>
      <c r="I230" s="430">
        <v>6</v>
      </c>
      <c r="J230" s="430">
        <v>6</v>
      </c>
      <c r="L230" s="428">
        <v>1</v>
      </c>
      <c r="M230" s="402"/>
      <c r="N230" s="402"/>
      <c r="O230" s="402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  <c r="AF230" s="402"/>
      <c r="AG230" s="402"/>
      <c r="AH230" s="402"/>
      <c r="AI230" s="402"/>
      <c r="AJ230" s="402"/>
      <c r="AK230" s="402"/>
      <c r="AL230" s="402"/>
      <c r="AM230" s="402"/>
      <c r="AN230" s="402"/>
      <c r="AO230" s="402"/>
      <c r="AP230" s="402"/>
      <c r="AQ230" s="402"/>
      <c r="AR230" s="402"/>
      <c r="AS230" s="402"/>
      <c r="AT230" s="402"/>
      <c r="AU230" s="402"/>
      <c r="AV230" s="402"/>
      <c r="AW230" s="402"/>
      <c r="AX230" s="402"/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2"/>
      <c r="CA230" s="402"/>
      <c r="CB230" s="402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2"/>
      <c r="CM230" s="402"/>
      <c r="CN230" s="402"/>
      <c r="CO230" s="402"/>
      <c r="CP230" s="402"/>
      <c r="CQ230" s="402"/>
      <c r="CR230" s="402"/>
      <c r="CS230" s="402"/>
      <c r="CT230" s="402"/>
      <c r="CU230" s="402"/>
      <c r="CV230" s="402"/>
      <c r="CW230" s="402"/>
      <c r="CX230" s="402"/>
      <c r="CY230" s="402"/>
      <c r="CZ230" s="402"/>
      <c r="DA230" s="402"/>
      <c r="DB230" s="402"/>
      <c r="DC230" s="402"/>
      <c r="DD230" s="402"/>
      <c r="DE230" s="402"/>
      <c r="DF230" s="402"/>
      <c r="DG230" s="402"/>
      <c r="DH230" s="402"/>
      <c r="DI230" s="402"/>
      <c r="DJ230" s="402"/>
      <c r="DK230" s="402"/>
      <c r="DL230" s="402"/>
      <c r="DM230" s="402"/>
      <c r="DN230" s="402"/>
      <c r="DO230" s="402"/>
      <c r="DP230" s="402"/>
      <c r="DQ230" s="402"/>
      <c r="DR230" s="402"/>
      <c r="DS230" s="402"/>
      <c r="DT230" s="402"/>
      <c r="DU230" s="402"/>
      <c r="DV230" s="402"/>
      <c r="DW230" s="402"/>
      <c r="DX230" s="402"/>
      <c r="DY230" s="402"/>
      <c r="DZ230" s="402"/>
      <c r="EA230" s="402"/>
      <c r="EB230" s="402"/>
      <c r="EC230" s="402"/>
      <c r="ED230" s="402"/>
      <c r="EE230" s="402"/>
      <c r="EF230" s="402"/>
      <c r="EG230" s="402"/>
      <c r="EH230" s="402"/>
      <c r="EI230" s="402"/>
      <c r="EJ230" s="402"/>
      <c r="EK230" s="402"/>
      <c r="EL230" s="402"/>
      <c r="EM230" s="402"/>
      <c r="EN230" s="402"/>
      <c r="EO230" s="402"/>
      <c r="EP230" s="402"/>
      <c r="EQ230" s="402"/>
      <c r="ER230" s="402"/>
      <c r="ES230" s="402"/>
      <c r="ET230" s="402"/>
      <c r="EU230" s="402"/>
      <c r="EV230" s="402"/>
      <c r="EW230" s="402"/>
      <c r="EX230" s="402"/>
      <c r="EY230" s="402"/>
      <c r="EZ230" s="402"/>
      <c r="FA230" s="402"/>
      <c r="FB230" s="402"/>
      <c r="FC230" s="402"/>
      <c r="FD230" s="402"/>
      <c r="FE230" s="402"/>
      <c r="FF230" s="402"/>
      <c r="FG230" s="402"/>
      <c r="FH230" s="402"/>
      <c r="FI230" s="402"/>
      <c r="FJ230" s="402"/>
      <c r="FK230" s="402"/>
      <c r="FL230" s="402"/>
      <c r="FM230" s="402"/>
      <c r="FN230" s="402"/>
      <c r="FO230" s="402"/>
      <c r="FP230" s="402"/>
      <c r="FQ230" s="402"/>
      <c r="FR230" s="402"/>
      <c r="FS230" s="402"/>
      <c r="FT230" s="402"/>
      <c r="FU230" s="402"/>
      <c r="FV230" s="402"/>
      <c r="FW230" s="402"/>
      <c r="FX230" s="402"/>
      <c r="FY230" s="402"/>
      <c r="FZ230" s="402"/>
      <c r="GA230" s="402"/>
      <c r="GB230" s="402"/>
      <c r="GC230" s="402"/>
      <c r="GD230" s="402"/>
      <c r="GE230" s="402"/>
      <c r="GF230" s="402"/>
      <c r="GG230" s="402"/>
      <c r="GH230" s="402"/>
      <c r="GI230" s="402"/>
      <c r="GJ230" s="402"/>
      <c r="GK230" s="402"/>
      <c r="GL230" s="402"/>
      <c r="GM230" s="402"/>
      <c r="GN230" s="402"/>
      <c r="GO230" s="402"/>
      <c r="GP230" s="402"/>
      <c r="GQ230" s="402"/>
      <c r="GR230" s="402"/>
      <c r="GS230" s="402"/>
      <c r="GT230" s="402"/>
      <c r="GU230" s="402"/>
      <c r="GV230" s="402"/>
      <c r="GW230" s="402"/>
      <c r="GX230" s="402"/>
      <c r="GY230" s="402"/>
      <c r="GZ230" s="402"/>
      <c r="HA230" s="402"/>
      <c r="HB230" s="402"/>
      <c r="HC230" s="402"/>
      <c r="HD230" s="402"/>
      <c r="HE230" s="402"/>
      <c r="HF230" s="402"/>
      <c r="HG230" s="402"/>
      <c r="HH230" s="402"/>
      <c r="HI230" s="402"/>
      <c r="HJ230" s="402"/>
      <c r="HK230" s="402"/>
      <c r="HL230" s="402"/>
      <c r="HM230" s="402"/>
      <c r="HN230" s="402"/>
      <c r="HO230" s="402"/>
      <c r="HP230" s="402"/>
      <c r="HQ230" s="402"/>
      <c r="HR230" s="402"/>
      <c r="HS230" s="402"/>
      <c r="HT230" s="402"/>
      <c r="HU230" s="402"/>
      <c r="HV230" s="402"/>
      <c r="HW230" s="402"/>
      <c r="HX230" s="402"/>
      <c r="HY230" s="402"/>
      <c r="HZ230" s="402"/>
      <c r="IA230" s="402"/>
      <c r="IB230" s="402"/>
      <c r="IC230" s="402"/>
      <c r="ID230" s="402"/>
      <c r="IE230" s="402"/>
      <c r="IF230" s="402"/>
      <c r="IG230" s="402"/>
      <c r="IH230" s="402"/>
      <c r="II230" s="402"/>
      <c r="IJ230" s="402"/>
      <c r="IK230" s="402"/>
      <c r="IL230" s="402"/>
      <c r="IM230" s="402"/>
      <c r="IN230" s="402"/>
      <c r="IO230" s="402"/>
      <c r="IP230" s="402"/>
      <c r="IQ230" s="402"/>
      <c r="IR230" s="402"/>
      <c r="IS230" s="402"/>
      <c r="IT230" s="402"/>
      <c r="IU230" s="402"/>
      <c r="IV230" s="402"/>
    </row>
    <row r="231" spans="1:256" hidden="1">
      <c r="A231" s="414">
        <v>40001</v>
      </c>
      <c r="B231" s="414" t="s">
        <v>591</v>
      </c>
      <c r="C231" s="415">
        <v>364</v>
      </c>
      <c r="D231" s="414">
        <v>40365</v>
      </c>
      <c r="E231" s="418">
        <v>3</v>
      </c>
      <c r="F231" s="416">
        <v>3</v>
      </c>
      <c r="G231" s="416">
        <v>3</v>
      </c>
      <c r="H231" s="416">
        <v>2.9899999999999998</v>
      </c>
      <c r="I231" s="416">
        <v>2.9899999999999998</v>
      </c>
      <c r="J231" s="416">
        <v>2.9899999999999998</v>
      </c>
      <c r="L231" s="415">
        <v>1</v>
      </c>
    </row>
    <row r="232" spans="1:256" s="431" customFormat="1" hidden="1">
      <c r="A232" s="427">
        <v>40001</v>
      </c>
      <c r="B232" s="427" t="s">
        <v>592</v>
      </c>
      <c r="C232" s="428">
        <v>35</v>
      </c>
      <c r="D232" s="427">
        <v>40036</v>
      </c>
      <c r="E232" s="429">
        <v>18</v>
      </c>
      <c r="F232" s="430">
        <v>18.161200000000001</v>
      </c>
      <c r="G232" s="430">
        <v>2.2006000000000001</v>
      </c>
      <c r="H232" s="430">
        <v>1.78</v>
      </c>
      <c r="I232" s="430">
        <v>1.78</v>
      </c>
      <c r="J232" s="430">
        <v>1.78</v>
      </c>
      <c r="L232" s="428">
        <v>5</v>
      </c>
      <c r="M232" s="402"/>
      <c r="N232" s="402"/>
      <c r="O232" s="402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  <c r="AF232" s="402"/>
      <c r="AG232" s="402"/>
      <c r="AH232" s="402"/>
      <c r="AI232" s="402"/>
      <c r="AJ232" s="402"/>
      <c r="AK232" s="402"/>
      <c r="AL232" s="402"/>
      <c r="AM232" s="402"/>
      <c r="AN232" s="402"/>
      <c r="AO232" s="402"/>
      <c r="AP232" s="402"/>
      <c r="AQ232" s="402"/>
      <c r="AR232" s="402"/>
      <c r="AS232" s="402"/>
      <c r="AT232" s="402"/>
      <c r="AU232" s="402"/>
      <c r="AV232" s="402"/>
      <c r="AW232" s="402"/>
      <c r="AX232" s="402"/>
      <c r="AY232" s="402"/>
      <c r="AZ232" s="402"/>
      <c r="BA232" s="402"/>
      <c r="BB232" s="402"/>
      <c r="BC232" s="402"/>
      <c r="BD232" s="402"/>
      <c r="BE232" s="402"/>
      <c r="BF232" s="402"/>
      <c r="BG232" s="402"/>
      <c r="BH232" s="402"/>
      <c r="BI232" s="402"/>
      <c r="BJ232" s="402"/>
      <c r="BK232" s="402"/>
      <c r="BL232" s="402"/>
      <c r="BM232" s="402"/>
      <c r="BN232" s="402"/>
      <c r="BO232" s="402"/>
      <c r="BP232" s="402"/>
      <c r="BQ232" s="402"/>
      <c r="BR232" s="402"/>
      <c r="BS232" s="402"/>
      <c r="BT232" s="402"/>
      <c r="BU232" s="402"/>
      <c r="BV232" s="402"/>
      <c r="BW232" s="402"/>
      <c r="BX232" s="402"/>
      <c r="BY232" s="402"/>
      <c r="BZ232" s="402"/>
      <c r="CA232" s="402"/>
      <c r="CB232" s="402"/>
      <c r="CC232" s="402"/>
      <c r="CD232" s="402"/>
      <c r="CE232" s="402"/>
      <c r="CF232" s="402"/>
      <c r="CG232" s="402"/>
      <c r="CH232" s="402"/>
      <c r="CI232" s="402"/>
      <c r="CJ232" s="402"/>
      <c r="CK232" s="402"/>
      <c r="CL232" s="402"/>
      <c r="CM232" s="402"/>
      <c r="CN232" s="402"/>
      <c r="CO232" s="402"/>
      <c r="CP232" s="402"/>
      <c r="CQ232" s="402"/>
      <c r="CR232" s="402"/>
      <c r="CS232" s="402"/>
      <c r="CT232" s="402"/>
      <c r="CU232" s="402"/>
      <c r="CV232" s="402"/>
      <c r="CW232" s="402"/>
      <c r="CX232" s="402"/>
      <c r="CY232" s="402"/>
      <c r="CZ232" s="402"/>
      <c r="DA232" s="402"/>
      <c r="DB232" s="402"/>
      <c r="DC232" s="402"/>
      <c r="DD232" s="402"/>
      <c r="DE232" s="402"/>
      <c r="DF232" s="402"/>
      <c r="DG232" s="402"/>
      <c r="DH232" s="402"/>
      <c r="DI232" s="402"/>
      <c r="DJ232" s="402"/>
      <c r="DK232" s="402"/>
      <c r="DL232" s="402"/>
      <c r="DM232" s="402"/>
      <c r="DN232" s="402"/>
      <c r="DO232" s="402"/>
      <c r="DP232" s="402"/>
      <c r="DQ232" s="402"/>
      <c r="DR232" s="402"/>
      <c r="DS232" s="402"/>
      <c r="DT232" s="402"/>
      <c r="DU232" s="402"/>
      <c r="DV232" s="402"/>
      <c r="DW232" s="402"/>
      <c r="DX232" s="402"/>
      <c r="DY232" s="402"/>
      <c r="DZ232" s="402"/>
      <c r="EA232" s="402"/>
      <c r="EB232" s="402"/>
      <c r="EC232" s="402"/>
      <c r="ED232" s="402"/>
      <c r="EE232" s="402"/>
      <c r="EF232" s="402"/>
      <c r="EG232" s="402"/>
      <c r="EH232" s="402"/>
      <c r="EI232" s="402"/>
      <c r="EJ232" s="402"/>
      <c r="EK232" s="402"/>
      <c r="EL232" s="402"/>
      <c r="EM232" s="402"/>
      <c r="EN232" s="402"/>
      <c r="EO232" s="402"/>
      <c r="EP232" s="402"/>
      <c r="EQ232" s="402"/>
      <c r="ER232" s="402"/>
      <c r="ES232" s="402"/>
      <c r="ET232" s="402"/>
      <c r="EU232" s="402"/>
      <c r="EV232" s="402"/>
      <c r="EW232" s="402"/>
      <c r="EX232" s="402"/>
      <c r="EY232" s="402"/>
      <c r="EZ232" s="402"/>
      <c r="FA232" s="402"/>
      <c r="FB232" s="402"/>
      <c r="FC232" s="402"/>
      <c r="FD232" s="402"/>
      <c r="FE232" s="402"/>
      <c r="FF232" s="402"/>
      <c r="FG232" s="402"/>
      <c r="FH232" s="402"/>
      <c r="FI232" s="402"/>
      <c r="FJ232" s="402"/>
      <c r="FK232" s="402"/>
      <c r="FL232" s="402"/>
      <c r="FM232" s="402"/>
      <c r="FN232" s="402"/>
      <c r="FO232" s="402"/>
      <c r="FP232" s="402"/>
      <c r="FQ232" s="402"/>
      <c r="FR232" s="402"/>
      <c r="FS232" s="402"/>
      <c r="FT232" s="402"/>
      <c r="FU232" s="402"/>
      <c r="FV232" s="402"/>
      <c r="FW232" s="402"/>
      <c r="FX232" s="402"/>
      <c r="FY232" s="402"/>
      <c r="FZ232" s="402"/>
      <c r="GA232" s="402"/>
      <c r="GB232" s="402"/>
      <c r="GC232" s="402"/>
      <c r="GD232" s="402"/>
      <c r="GE232" s="402"/>
      <c r="GF232" s="402"/>
      <c r="GG232" s="402"/>
      <c r="GH232" s="402"/>
      <c r="GI232" s="402"/>
      <c r="GJ232" s="402"/>
      <c r="GK232" s="402"/>
      <c r="GL232" s="402"/>
      <c r="GM232" s="402"/>
      <c r="GN232" s="402"/>
      <c r="GO232" s="402"/>
      <c r="GP232" s="402"/>
      <c r="GQ232" s="402"/>
      <c r="GR232" s="402"/>
      <c r="GS232" s="402"/>
      <c r="GT232" s="402"/>
      <c r="GU232" s="402"/>
      <c r="GV232" s="402"/>
      <c r="GW232" s="402"/>
      <c r="GX232" s="402"/>
      <c r="GY232" s="402"/>
      <c r="GZ232" s="402"/>
      <c r="HA232" s="402"/>
      <c r="HB232" s="402"/>
      <c r="HC232" s="402"/>
      <c r="HD232" s="402"/>
      <c r="HE232" s="402"/>
      <c r="HF232" s="402"/>
      <c r="HG232" s="402"/>
      <c r="HH232" s="402"/>
      <c r="HI232" s="402"/>
      <c r="HJ232" s="402"/>
      <c r="HK232" s="402"/>
      <c r="HL232" s="402"/>
      <c r="HM232" s="402"/>
      <c r="HN232" s="402"/>
      <c r="HO232" s="402"/>
      <c r="HP232" s="402"/>
      <c r="HQ232" s="402"/>
      <c r="HR232" s="402"/>
      <c r="HS232" s="402"/>
      <c r="HT232" s="402"/>
      <c r="HU232" s="402"/>
      <c r="HV232" s="402"/>
      <c r="HW232" s="402"/>
      <c r="HX232" s="402"/>
      <c r="HY232" s="402"/>
      <c r="HZ232" s="402"/>
      <c r="IA232" s="402"/>
      <c r="IB232" s="402"/>
      <c r="IC232" s="402"/>
      <c r="ID232" s="402"/>
      <c r="IE232" s="402"/>
      <c r="IF232" s="402"/>
      <c r="IG232" s="402"/>
      <c r="IH232" s="402"/>
      <c r="II232" s="402"/>
      <c r="IJ232" s="402"/>
      <c r="IK232" s="402"/>
      <c r="IL232" s="402"/>
      <c r="IM232" s="402"/>
      <c r="IN232" s="402"/>
      <c r="IO232" s="402"/>
      <c r="IP232" s="402"/>
      <c r="IQ232" s="402"/>
      <c r="IR232" s="402"/>
      <c r="IS232" s="402"/>
      <c r="IT232" s="402"/>
      <c r="IU232" s="402"/>
      <c r="IV232" s="402"/>
    </row>
    <row r="233" spans="1:256" hidden="1">
      <c r="A233" s="414">
        <v>40004</v>
      </c>
      <c r="B233" s="414" t="s">
        <v>593</v>
      </c>
      <c r="C233" s="415">
        <v>91</v>
      </c>
      <c r="D233" s="414">
        <v>40095</v>
      </c>
      <c r="E233" s="418">
        <v>20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L233" s="415">
        <v>0</v>
      </c>
    </row>
    <row r="234" spans="1:256" s="431" customFormat="1" hidden="1">
      <c r="A234" s="427">
        <v>40008</v>
      </c>
      <c r="B234" s="427" t="s">
        <v>594</v>
      </c>
      <c r="C234" s="428">
        <v>182</v>
      </c>
      <c r="D234" s="427">
        <v>40190</v>
      </c>
      <c r="E234" s="429">
        <v>7</v>
      </c>
      <c r="F234" s="430">
        <v>6.2286000000000001</v>
      </c>
      <c r="G234" s="430">
        <v>6.2286000000000001</v>
      </c>
      <c r="H234" s="430">
        <v>2.21</v>
      </c>
      <c r="I234" s="430">
        <v>2.21</v>
      </c>
      <c r="J234" s="430">
        <v>2.13</v>
      </c>
      <c r="L234" s="428">
        <v>3</v>
      </c>
      <c r="M234" s="402"/>
      <c r="N234" s="402"/>
      <c r="O234" s="402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  <c r="AF234" s="402"/>
      <c r="AG234" s="402"/>
      <c r="AH234" s="402"/>
      <c r="AI234" s="402"/>
      <c r="AJ234" s="402"/>
      <c r="AK234" s="402"/>
      <c r="AL234" s="402"/>
      <c r="AM234" s="402"/>
      <c r="AN234" s="402"/>
      <c r="AO234" s="402"/>
      <c r="AP234" s="402"/>
      <c r="AQ234" s="402"/>
      <c r="AR234" s="402"/>
      <c r="AS234" s="402"/>
      <c r="AT234" s="402"/>
      <c r="AU234" s="402"/>
      <c r="AV234" s="402"/>
      <c r="AW234" s="402"/>
      <c r="AX234" s="402"/>
      <c r="AY234" s="402"/>
      <c r="AZ234" s="402"/>
      <c r="BA234" s="402"/>
      <c r="BB234" s="402"/>
      <c r="BC234" s="402"/>
      <c r="BD234" s="402"/>
      <c r="BE234" s="402"/>
      <c r="BF234" s="402"/>
      <c r="BG234" s="402"/>
      <c r="BH234" s="402"/>
      <c r="BI234" s="402"/>
      <c r="BJ234" s="402"/>
      <c r="BK234" s="402"/>
      <c r="BL234" s="402"/>
      <c r="BM234" s="402"/>
      <c r="BN234" s="402"/>
      <c r="BO234" s="402"/>
      <c r="BP234" s="402"/>
      <c r="BQ234" s="402"/>
      <c r="BR234" s="402"/>
      <c r="BS234" s="402"/>
      <c r="BT234" s="402"/>
      <c r="BU234" s="402"/>
      <c r="BV234" s="402"/>
      <c r="BW234" s="402"/>
      <c r="BX234" s="402"/>
      <c r="BY234" s="402"/>
      <c r="BZ234" s="402"/>
      <c r="CA234" s="402"/>
      <c r="CB234" s="402"/>
      <c r="CC234" s="402"/>
      <c r="CD234" s="402"/>
      <c r="CE234" s="402"/>
      <c r="CF234" s="402"/>
      <c r="CG234" s="402"/>
      <c r="CH234" s="402"/>
      <c r="CI234" s="402"/>
      <c r="CJ234" s="402"/>
      <c r="CK234" s="402"/>
      <c r="CL234" s="402"/>
      <c r="CM234" s="402"/>
      <c r="CN234" s="402"/>
      <c r="CO234" s="402"/>
      <c r="CP234" s="402"/>
      <c r="CQ234" s="402"/>
      <c r="CR234" s="402"/>
      <c r="CS234" s="402"/>
      <c r="CT234" s="402"/>
      <c r="CU234" s="402"/>
      <c r="CV234" s="402"/>
      <c r="CW234" s="402"/>
      <c r="CX234" s="402"/>
      <c r="CY234" s="402"/>
      <c r="CZ234" s="402"/>
      <c r="DA234" s="402"/>
      <c r="DB234" s="402"/>
      <c r="DC234" s="402"/>
      <c r="DD234" s="402"/>
      <c r="DE234" s="402"/>
      <c r="DF234" s="402"/>
      <c r="DG234" s="402"/>
      <c r="DH234" s="402"/>
      <c r="DI234" s="402"/>
      <c r="DJ234" s="402"/>
      <c r="DK234" s="402"/>
      <c r="DL234" s="402"/>
      <c r="DM234" s="402"/>
      <c r="DN234" s="402"/>
      <c r="DO234" s="402"/>
      <c r="DP234" s="402"/>
      <c r="DQ234" s="402"/>
      <c r="DR234" s="402"/>
      <c r="DS234" s="402"/>
      <c r="DT234" s="402"/>
      <c r="DU234" s="402"/>
      <c r="DV234" s="402"/>
      <c r="DW234" s="402"/>
      <c r="DX234" s="402"/>
      <c r="DY234" s="402"/>
      <c r="DZ234" s="402"/>
      <c r="EA234" s="402"/>
      <c r="EB234" s="402"/>
      <c r="EC234" s="402"/>
      <c r="ED234" s="402"/>
      <c r="EE234" s="402"/>
      <c r="EF234" s="402"/>
      <c r="EG234" s="402"/>
      <c r="EH234" s="402"/>
      <c r="EI234" s="402"/>
      <c r="EJ234" s="402"/>
      <c r="EK234" s="402"/>
      <c r="EL234" s="402"/>
      <c r="EM234" s="402"/>
      <c r="EN234" s="402"/>
      <c r="EO234" s="402"/>
      <c r="EP234" s="402"/>
      <c r="EQ234" s="402"/>
      <c r="ER234" s="402"/>
      <c r="ES234" s="402"/>
      <c r="ET234" s="402"/>
      <c r="EU234" s="402"/>
      <c r="EV234" s="402"/>
      <c r="EW234" s="402"/>
      <c r="EX234" s="402"/>
      <c r="EY234" s="402"/>
      <c r="EZ234" s="402"/>
      <c r="FA234" s="402"/>
      <c r="FB234" s="402"/>
      <c r="FC234" s="402"/>
      <c r="FD234" s="402"/>
      <c r="FE234" s="402"/>
      <c r="FF234" s="402"/>
      <c r="FG234" s="402"/>
      <c r="FH234" s="402"/>
      <c r="FI234" s="402"/>
      <c r="FJ234" s="402"/>
      <c r="FK234" s="402"/>
      <c r="FL234" s="402"/>
      <c r="FM234" s="402"/>
      <c r="FN234" s="402"/>
      <c r="FO234" s="402"/>
      <c r="FP234" s="402"/>
      <c r="FQ234" s="402"/>
      <c r="FR234" s="402"/>
      <c r="FS234" s="402"/>
      <c r="FT234" s="402"/>
      <c r="FU234" s="402"/>
      <c r="FV234" s="402"/>
      <c r="FW234" s="402"/>
      <c r="FX234" s="402"/>
      <c r="FY234" s="402"/>
      <c r="FZ234" s="402"/>
      <c r="GA234" s="402"/>
      <c r="GB234" s="402"/>
      <c r="GC234" s="402"/>
      <c r="GD234" s="402"/>
      <c r="GE234" s="402"/>
      <c r="GF234" s="402"/>
      <c r="GG234" s="402"/>
      <c r="GH234" s="402"/>
      <c r="GI234" s="402"/>
      <c r="GJ234" s="402"/>
      <c r="GK234" s="402"/>
      <c r="GL234" s="402"/>
      <c r="GM234" s="402"/>
      <c r="GN234" s="402"/>
      <c r="GO234" s="402"/>
      <c r="GP234" s="402"/>
      <c r="GQ234" s="402"/>
      <c r="GR234" s="402"/>
      <c r="GS234" s="402"/>
      <c r="GT234" s="402"/>
      <c r="GU234" s="402"/>
      <c r="GV234" s="402"/>
      <c r="GW234" s="402"/>
      <c r="GX234" s="402"/>
      <c r="GY234" s="402"/>
      <c r="GZ234" s="402"/>
      <c r="HA234" s="402"/>
      <c r="HB234" s="402"/>
      <c r="HC234" s="402"/>
      <c r="HD234" s="402"/>
      <c r="HE234" s="402"/>
      <c r="HF234" s="402"/>
      <c r="HG234" s="402"/>
      <c r="HH234" s="402"/>
      <c r="HI234" s="402"/>
      <c r="HJ234" s="402"/>
      <c r="HK234" s="402"/>
      <c r="HL234" s="402"/>
      <c r="HM234" s="402"/>
      <c r="HN234" s="402"/>
      <c r="HO234" s="402"/>
      <c r="HP234" s="402"/>
      <c r="HQ234" s="402"/>
      <c r="HR234" s="402"/>
      <c r="HS234" s="402"/>
      <c r="HT234" s="402"/>
      <c r="HU234" s="402"/>
      <c r="HV234" s="402"/>
      <c r="HW234" s="402"/>
      <c r="HX234" s="402"/>
      <c r="HY234" s="402"/>
      <c r="HZ234" s="402"/>
      <c r="IA234" s="402"/>
      <c r="IB234" s="402"/>
      <c r="IC234" s="402"/>
      <c r="ID234" s="402"/>
      <c r="IE234" s="402"/>
      <c r="IF234" s="402"/>
      <c r="IG234" s="402"/>
      <c r="IH234" s="402"/>
      <c r="II234" s="402"/>
      <c r="IJ234" s="402"/>
      <c r="IK234" s="402"/>
      <c r="IL234" s="402"/>
      <c r="IM234" s="402"/>
      <c r="IN234" s="402"/>
      <c r="IO234" s="402"/>
      <c r="IP234" s="402"/>
      <c r="IQ234" s="402"/>
      <c r="IR234" s="402"/>
      <c r="IS234" s="402"/>
      <c r="IT234" s="402"/>
      <c r="IU234" s="402"/>
      <c r="IV234" s="402"/>
    </row>
    <row r="235" spans="1:256" hidden="1">
      <c r="A235" s="414">
        <v>40011</v>
      </c>
      <c r="B235" s="414" t="s">
        <v>595</v>
      </c>
      <c r="C235" s="415">
        <v>728</v>
      </c>
      <c r="D235" s="414">
        <v>40739</v>
      </c>
      <c r="E235" s="418">
        <v>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L235" s="415">
        <v>0</v>
      </c>
    </row>
    <row r="236" spans="1:256" s="431" customFormat="1" hidden="1">
      <c r="A236" s="427">
        <v>40011</v>
      </c>
      <c r="B236" s="427" t="s">
        <v>596</v>
      </c>
      <c r="C236" s="428">
        <v>1092</v>
      </c>
      <c r="D236" s="427">
        <v>41103</v>
      </c>
      <c r="E236" s="429">
        <v>2</v>
      </c>
      <c r="F236" s="430">
        <v>0</v>
      </c>
      <c r="G236" s="430">
        <v>0</v>
      </c>
      <c r="H236" s="430">
        <v>0</v>
      </c>
      <c r="I236" s="430">
        <v>0</v>
      </c>
      <c r="J236" s="430">
        <v>0</v>
      </c>
      <c r="L236" s="428">
        <v>0</v>
      </c>
      <c r="M236" s="402"/>
      <c r="N236" s="402"/>
      <c r="O236" s="402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  <c r="AF236" s="402"/>
      <c r="AG236" s="402"/>
      <c r="AH236" s="402"/>
      <c r="AI236" s="402"/>
      <c r="AJ236" s="402"/>
      <c r="AK236" s="402"/>
      <c r="AL236" s="402"/>
      <c r="AM236" s="402"/>
      <c r="AN236" s="402"/>
      <c r="AO236" s="402"/>
      <c r="AP236" s="402"/>
      <c r="AQ236" s="402"/>
      <c r="AR236" s="402"/>
      <c r="AS236" s="402"/>
      <c r="AT236" s="402"/>
      <c r="AU236" s="402"/>
      <c r="AV236" s="402"/>
      <c r="AW236" s="402"/>
      <c r="AX236" s="402"/>
      <c r="AY236" s="402"/>
      <c r="AZ236" s="402"/>
      <c r="BA236" s="402"/>
      <c r="BB236" s="402"/>
      <c r="BC236" s="402"/>
      <c r="BD236" s="402"/>
      <c r="BE236" s="402"/>
      <c r="BF236" s="402"/>
      <c r="BG236" s="402"/>
      <c r="BH236" s="402"/>
      <c r="BI236" s="402"/>
      <c r="BJ236" s="402"/>
      <c r="BK236" s="402"/>
      <c r="BL236" s="402"/>
      <c r="BM236" s="402"/>
      <c r="BN236" s="402"/>
      <c r="BO236" s="402"/>
      <c r="BP236" s="402"/>
      <c r="BQ236" s="402"/>
      <c r="BR236" s="402"/>
      <c r="BS236" s="402"/>
      <c r="BT236" s="402"/>
      <c r="BU236" s="402"/>
      <c r="BV236" s="402"/>
      <c r="BW236" s="402"/>
      <c r="BX236" s="402"/>
      <c r="BY236" s="402"/>
      <c r="BZ236" s="402"/>
      <c r="CA236" s="402"/>
      <c r="CB236" s="402"/>
      <c r="CC236" s="402"/>
      <c r="CD236" s="402"/>
      <c r="CE236" s="402"/>
      <c r="CF236" s="402"/>
      <c r="CG236" s="402"/>
      <c r="CH236" s="402"/>
      <c r="CI236" s="402"/>
      <c r="CJ236" s="402"/>
      <c r="CK236" s="402"/>
      <c r="CL236" s="402"/>
      <c r="CM236" s="402"/>
      <c r="CN236" s="402"/>
      <c r="CO236" s="402"/>
      <c r="CP236" s="402"/>
      <c r="CQ236" s="402"/>
      <c r="CR236" s="402"/>
      <c r="CS236" s="402"/>
      <c r="CT236" s="402"/>
      <c r="CU236" s="402"/>
      <c r="CV236" s="402"/>
      <c r="CW236" s="402"/>
      <c r="CX236" s="402"/>
      <c r="CY236" s="402"/>
      <c r="CZ236" s="402"/>
      <c r="DA236" s="402"/>
      <c r="DB236" s="402"/>
      <c r="DC236" s="402"/>
      <c r="DD236" s="402"/>
      <c r="DE236" s="402"/>
      <c r="DF236" s="402"/>
      <c r="DG236" s="402"/>
      <c r="DH236" s="402"/>
      <c r="DI236" s="402"/>
      <c r="DJ236" s="402"/>
      <c r="DK236" s="402"/>
      <c r="DL236" s="402"/>
      <c r="DM236" s="402"/>
      <c r="DN236" s="402"/>
      <c r="DO236" s="402"/>
      <c r="DP236" s="402"/>
      <c r="DQ236" s="402"/>
      <c r="DR236" s="402"/>
      <c r="DS236" s="402"/>
      <c r="DT236" s="402"/>
      <c r="DU236" s="402"/>
      <c r="DV236" s="402"/>
      <c r="DW236" s="402"/>
      <c r="DX236" s="402"/>
      <c r="DY236" s="402"/>
      <c r="DZ236" s="402"/>
      <c r="EA236" s="402"/>
      <c r="EB236" s="402"/>
      <c r="EC236" s="402"/>
      <c r="ED236" s="402"/>
      <c r="EE236" s="402"/>
      <c r="EF236" s="402"/>
      <c r="EG236" s="402"/>
      <c r="EH236" s="402"/>
      <c r="EI236" s="402"/>
      <c r="EJ236" s="402"/>
      <c r="EK236" s="402"/>
      <c r="EL236" s="402"/>
      <c r="EM236" s="402"/>
      <c r="EN236" s="402"/>
      <c r="EO236" s="402"/>
      <c r="EP236" s="402"/>
      <c r="EQ236" s="402"/>
      <c r="ER236" s="402"/>
      <c r="ES236" s="402"/>
      <c r="ET236" s="402"/>
      <c r="EU236" s="402"/>
      <c r="EV236" s="402"/>
      <c r="EW236" s="402"/>
      <c r="EX236" s="402"/>
      <c r="EY236" s="402"/>
      <c r="EZ236" s="402"/>
      <c r="FA236" s="402"/>
      <c r="FB236" s="402"/>
      <c r="FC236" s="402"/>
      <c r="FD236" s="402"/>
      <c r="FE236" s="402"/>
      <c r="FF236" s="402"/>
      <c r="FG236" s="402"/>
      <c r="FH236" s="402"/>
      <c r="FI236" s="402"/>
      <c r="FJ236" s="402"/>
      <c r="FK236" s="402"/>
      <c r="FL236" s="402"/>
      <c r="FM236" s="402"/>
      <c r="FN236" s="402"/>
      <c r="FO236" s="402"/>
      <c r="FP236" s="402"/>
      <c r="FQ236" s="402"/>
      <c r="FR236" s="402"/>
      <c r="FS236" s="402"/>
      <c r="FT236" s="402"/>
      <c r="FU236" s="402"/>
      <c r="FV236" s="402"/>
      <c r="FW236" s="402"/>
      <c r="FX236" s="402"/>
      <c r="FY236" s="402"/>
      <c r="FZ236" s="402"/>
      <c r="GA236" s="402"/>
      <c r="GB236" s="402"/>
      <c r="GC236" s="402"/>
      <c r="GD236" s="402"/>
      <c r="GE236" s="402"/>
      <c r="GF236" s="402"/>
      <c r="GG236" s="402"/>
      <c r="GH236" s="402"/>
      <c r="GI236" s="402"/>
      <c r="GJ236" s="402"/>
      <c r="GK236" s="402"/>
      <c r="GL236" s="402"/>
      <c r="GM236" s="402"/>
      <c r="GN236" s="402"/>
      <c r="GO236" s="402"/>
      <c r="GP236" s="402"/>
      <c r="GQ236" s="402"/>
      <c r="GR236" s="402"/>
      <c r="GS236" s="402"/>
      <c r="GT236" s="402"/>
      <c r="GU236" s="402"/>
      <c r="GV236" s="402"/>
      <c r="GW236" s="402"/>
      <c r="GX236" s="402"/>
      <c r="GY236" s="402"/>
      <c r="GZ236" s="402"/>
      <c r="HA236" s="402"/>
      <c r="HB236" s="402"/>
      <c r="HC236" s="402"/>
      <c r="HD236" s="402"/>
      <c r="HE236" s="402"/>
      <c r="HF236" s="402"/>
      <c r="HG236" s="402"/>
      <c r="HH236" s="402"/>
      <c r="HI236" s="402"/>
      <c r="HJ236" s="402"/>
      <c r="HK236" s="402"/>
      <c r="HL236" s="402"/>
      <c r="HM236" s="402"/>
      <c r="HN236" s="402"/>
      <c r="HO236" s="402"/>
      <c r="HP236" s="402"/>
      <c r="HQ236" s="402"/>
      <c r="HR236" s="402"/>
      <c r="HS236" s="402"/>
      <c r="HT236" s="402"/>
      <c r="HU236" s="402"/>
      <c r="HV236" s="402"/>
      <c r="HW236" s="402"/>
      <c r="HX236" s="402"/>
      <c r="HY236" s="402"/>
      <c r="HZ236" s="402"/>
      <c r="IA236" s="402"/>
      <c r="IB236" s="402"/>
      <c r="IC236" s="402"/>
      <c r="ID236" s="402"/>
      <c r="IE236" s="402"/>
      <c r="IF236" s="402"/>
      <c r="IG236" s="402"/>
      <c r="IH236" s="402"/>
      <c r="II236" s="402"/>
      <c r="IJ236" s="402"/>
      <c r="IK236" s="402"/>
      <c r="IL236" s="402"/>
      <c r="IM236" s="402"/>
      <c r="IN236" s="402"/>
      <c r="IO236" s="402"/>
      <c r="IP236" s="402"/>
      <c r="IQ236" s="402"/>
      <c r="IR236" s="402"/>
      <c r="IS236" s="402"/>
      <c r="IT236" s="402"/>
      <c r="IU236" s="402"/>
      <c r="IV236" s="402"/>
    </row>
    <row r="237" spans="1:256" hidden="1">
      <c r="A237" s="414">
        <v>40015</v>
      </c>
      <c r="B237" s="414" t="s">
        <v>597</v>
      </c>
      <c r="C237" s="415">
        <v>35</v>
      </c>
      <c r="D237" s="414">
        <v>40050</v>
      </c>
      <c r="E237" s="418">
        <v>20</v>
      </c>
      <c r="F237" s="416">
        <v>12.0266</v>
      </c>
      <c r="G237" s="416">
        <v>0</v>
      </c>
      <c r="H237" s="416">
        <v>0</v>
      </c>
      <c r="I237" s="416">
        <v>0</v>
      </c>
      <c r="J237" s="416">
        <v>0</v>
      </c>
      <c r="L237" s="415">
        <v>3</v>
      </c>
    </row>
    <row r="238" spans="1:256" s="431" customFormat="1" hidden="1">
      <c r="A238" s="427">
        <v>40015</v>
      </c>
      <c r="B238" s="427" t="s">
        <v>598</v>
      </c>
      <c r="C238" s="428">
        <v>364</v>
      </c>
      <c r="D238" s="427">
        <v>40379</v>
      </c>
      <c r="E238" s="429">
        <v>2</v>
      </c>
      <c r="F238" s="430">
        <v>2.1061999999999999</v>
      </c>
      <c r="G238" s="430">
        <v>2</v>
      </c>
      <c r="H238" s="430">
        <v>2.9899999999999998</v>
      </c>
      <c r="I238" s="430">
        <v>2.9899999999999998</v>
      </c>
      <c r="J238" s="430">
        <v>2.9899999999999998</v>
      </c>
      <c r="L238" s="428">
        <v>2</v>
      </c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idden="1">
      <c r="A239" s="414">
        <v>40018</v>
      </c>
      <c r="B239" s="414" t="s">
        <v>599</v>
      </c>
      <c r="C239" s="415">
        <v>91</v>
      </c>
      <c r="D239" s="414">
        <v>40109</v>
      </c>
      <c r="E239" s="418">
        <v>15</v>
      </c>
      <c r="F239" s="416">
        <v>3.1833999999999998</v>
      </c>
      <c r="G239" s="416">
        <v>3.1833999999999998</v>
      </c>
      <c r="H239" s="416">
        <v>1.73</v>
      </c>
      <c r="I239" s="416">
        <v>1.73</v>
      </c>
      <c r="J239" s="416">
        <v>1.73</v>
      </c>
      <c r="L239" s="415">
        <v>4</v>
      </c>
    </row>
    <row r="240" spans="1:256" s="431" customFormat="1" hidden="1">
      <c r="A240" s="427">
        <v>40022</v>
      </c>
      <c r="B240" s="427" t="s">
        <v>600</v>
      </c>
      <c r="C240" s="428">
        <v>182</v>
      </c>
      <c r="D240" s="427">
        <v>40204</v>
      </c>
      <c r="E240" s="429">
        <v>8</v>
      </c>
      <c r="F240" s="430">
        <v>5.0434000000000001</v>
      </c>
      <c r="G240" s="430">
        <v>5.0434000000000001</v>
      </c>
      <c r="H240" s="430">
        <v>2.25</v>
      </c>
      <c r="I240" s="430">
        <v>2.25</v>
      </c>
      <c r="J240" s="430">
        <v>2.25</v>
      </c>
      <c r="L240" s="428">
        <v>1</v>
      </c>
      <c r="M240" s="402"/>
      <c r="N240" s="402"/>
      <c r="O240" s="402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  <c r="AF240" s="402"/>
      <c r="AG240" s="402"/>
      <c r="AH240" s="402"/>
      <c r="AI240" s="402"/>
      <c r="AJ240" s="402"/>
      <c r="AK240" s="402"/>
      <c r="AL240" s="402"/>
      <c r="AM240" s="402"/>
      <c r="AN240" s="402"/>
      <c r="AO240" s="402"/>
      <c r="AP240" s="402"/>
      <c r="AQ240" s="402"/>
      <c r="AR240" s="402"/>
      <c r="AS240" s="402"/>
      <c r="AT240" s="402"/>
      <c r="AU240" s="402"/>
      <c r="AV240" s="402"/>
      <c r="AW240" s="402"/>
      <c r="AX240" s="402"/>
      <c r="AY240" s="402"/>
      <c r="AZ240" s="402"/>
      <c r="BA240" s="402"/>
      <c r="BB240" s="402"/>
      <c r="BC240" s="402"/>
      <c r="BD240" s="402"/>
      <c r="BE240" s="402"/>
      <c r="BF240" s="402"/>
      <c r="BG240" s="402"/>
      <c r="BH240" s="402"/>
      <c r="BI240" s="402"/>
      <c r="BJ240" s="402"/>
      <c r="BK240" s="402"/>
      <c r="BL240" s="402"/>
      <c r="BM240" s="402"/>
      <c r="BN240" s="402"/>
      <c r="BO240" s="402"/>
      <c r="BP240" s="402"/>
      <c r="BQ240" s="402"/>
      <c r="BR240" s="402"/>
      <c r="BS240" s="402"/>
      <c r="BT240" s="402"/>
      <c r="BU240" s="402"/>
      <c r="BV240" s="402"/>
      <c r="BW240" s="402"/>
      <c r="BX240" s="402"/>
      <c r="BY240" s="402"/>
      <c r="BZ240" s="402"/>
      <c r="CA240" s="402"/>
      <c r="CB240" s="402"/>
      <c r="CC240" s="402"/>
      <c r="CD240" s="402"/>
      <c r="CE240" s="402"/>
      <c r="CF240" s="402"/>
      <c r="CG240" s="402"/>
      <c r="CH240" s="402"/>
      <c r="CI240" s="402"/>
      <c r="CJ240" s="402"/>
      <c r="CK240" s="402"/>
      <c r="CL240" s="402"/>
      <c r="CM240" s="402"/>
      <c r="CN240" s="402"/>
      <c r="CO240" s="402"/>
      <c r="CP240" s="402"/>
      <c r="CQ240" s="402"/>
      <c r="CR240" s="402"/>
      <c r="CS240" s="402"/>
      <c r="CT240" s="402"/>
      <c r="CU240" s="402"/>
      <c r="CV240" s="402"/>
      <c r="CW240" s="402"/>
      <c r="CX240" s="402"/>
      <c r="CY240" s="402"/>
      <c r="CZ240" s="402"/>
      <c r="DA240" s="402"/>
      <c r="DB240" s="402"/>
      <c r="DC240" s="402"/>
      <c r="DD240" s="402"/>
      <c r="DE240" s="402"/>
      <c r="DF240" s="402"/>
      <c r="DG240" s="402"/>
      <c r="DH240" s="402"/>
      <c r="DI240" s="402"/>
      <c r="DJ240" s="402"/>
      <c r="DK240" s="402"/>
      <c r="DL240" s="402"/>
      <c r="DM240" s="402"/>
      <c r="DN240" s="402"/>
      <c r="DO240" s="402"/>
      <c r="DP240" s="402"/>
      <c r="DQ240" s="402"/>
      <c r="DR240" s="402"/>
      <c r="DS240" s="402"/>
      <c r="DT240" s="402"/>
      <c r="DU240" s="402"/>
      <c r="DV240" s="402"/>
      <c r="DW240" s="402"/>
      <c r="DX240" s="402"/>
      <c r="DY240" s="402"/>
      <c r="DZ240" s="402"/>
      <c r="EA240" s="402"/>
      <c r="EB240" s="402"/>
      <c r="EC240" s="402"/>
      <c r="ED240" s="402"/>
      <c r="EE240" s="402"/>
      <c r="EF240" s="402"/>
      <c r="EG240" s="402"/>
      <c r="EH240" s="402"/>
      <c r="EI240" s="402"/>
      <c r="EJ240" s="402"/>
      <c r="EK240" s="402"/>
      <c r="EL240" s="402"/>
      <c r="EM240" s="402"/>
      <c r="EN240" s="402"/>
      <c r="EO240" s="402"/>
      <c r="EP240" s="402"/>
      <c r="EQ240" s="402"/>
      <c r="ER240" s="402"/>
      <c r="ES240" s="402"/>
      <c r="ET240" s="402"/>
      <c r="EU240" s="402"/>
      <c r="EV240" s="402"/>
      <c r="EW240" s="402"/>
      <c r="EX240" s="402"/>
      <c r="EY240" s="402"/>
      <c r="EZ240" s="402"/>
      <c r="FA240" s="402"/>
      <c r="FB240" s="402"/>
      <c r="FC240" s="402"/>
      <c r="FD240" s="402"/>
      <c r="FE240" s="402"/>
      <c r="FF240" s="402"/>
      <c r="FG240" s="402"/>
      <c r="FH240" s="402"/>
      <c r="FI240" s="402"/>
      <c r="FJ240" s="402"/>
      <c r="FK240" s="402"/>
      <c r="FL240" s="402"/>
      <c r="FM240" s="402"/>
      <c r="FN240" s="402"/>
      <c r="FO240" s="402"/>
      <c r="FP240" s="402"/>
      <c r="FQ240" s="402"/>
      <c r="FR240" s="402"/>
      <c r="FS240" s="402"/>
      <c r="FT240" s="402"/>
      <c r="FU240" s="402"/>
      <c r="FV240" s="402"/>
      <c r="FW240" s="402"/>
      <c r="FX240" s="402"/>
      <c r="FY240" s="402"/>
      <c r="FZ240" s="402"/>
      <c r="GA240" s="402"/>
      <c r="GB240" s="402"/>
      <c r="GC240" s="402"/>
      <c r="GD240" s="402"/>
      <c r="GE240" s="402"/>
      <c r="GF240" s="402"/>
      <c r="GG240" s="402"/>
      <c r="GH240" s="402"/>
      <c r="GI240" s="402"/>
      <c r="GJ240" s="402"/>
      <c r="GK240" s="402"/>
      <c r="GL240" s="402"/>
      <c r="GM240" s="402"/>
      <c r="GN240" s="402"/>
      <c r="GO240" s="402"/>
      <c r="GP240" s="402"/>
      <c r="GQ240" s="402"/>
      <c r="GR240" s="402"/>
      <c r="GS240" s="402"/>
      <c r="GT240" s="402"/>
      <c r="GU240" s="402"/>
      <c r="GV240" s="402"/>
      <c r="GW240" s="402"/>
      <c r="GX240" s="402"/>
      <c r="GY240" s="402"/>
      <c r="GZ240" s="402"/>
      <c r="HA240" s="402"/>
      <c r="HB240" s="402"/>
      <c r="HC240" s="402"/>
      <c r="HD240" s="402"/>
      <c r="HE240" s="402"/>
      <c r="HF240" s="402"/>
      <c r="HG240" s="402"/>
      <c r="HH240" s="402"/>
      <c r="HI240" s="402"/>
      <c r="HJ240" s="402"/>
      <c r="HK240" s="402"/>
      <c r="HL240" s="402"/>
      <c r="HM240" s="402"/>
      <c r="HN240" s="402"/>
      <c r="HO240" s="402"/>
      <c r="HP240" s="402"/>
      <c r="HQ240" s="402"/>
      <c r="HR240" s="402"/>
      <c r="HS240" s="402"/>
      <c r="HT240" s="402"/>
      <c r="HU240" s="402"/>
      <c r="HV240" s="402"/>
      <c r="HW240" s="402"/>
      <c r="HX240" s="402"/>
      <c r="HY240" s="402"/>
      <c r="HZ240" s="402"/>
      <c r="IA240" s="402"/>
      <c r="IB240" s="402"/>
      <c r="IC240" s="402"/>
      <c r="ID240" s="402"/>
      <c r="IE240" s="402"/>
      <c r="IF240" s="402"/>
      <c r="IG240" s="402"/>
      <c r="IH240" s="402"/>
      <c r="II240" s="402"/>
      <c r="IJ240" s="402"/>
      <c r="IK240" s="402"/>
      <c r="IL240" s="402"/>
      <c r="IM240" s="402"/>
      <c r="IN240" s="402"/>
      <c r="IO240" s="402"/>
      <c r="IP240" s="402"/>
      <c r="IQ240" s="402"/>
      <c r="IR240" s="402"/>
      <c r="IS240" s="402"/>
      <c r="IT240" s="402"/>
      <c r="IU240" s="402"/>
      <c r="IV240" s="402"/>
    </row>
    <row r="241" spans="1:12" hidden="1">
      <c r="A241" s="414">
        <v>40025</v>
      </c>
      <c r="B241" s="414" t="s">
        <v>601</v>
      </c>
      <c r="C241" s="415">
        <v>1092</v>
      </c>
      <c r="D241" s="414">
        <v>41117</v>
      </c>
      <c r="E241" s="418">
        <v>3</v>
      </c>
      <c r="F241" s="416">
        <v>3</v>
      </c>
      <c r="G241" s="416">
        <v>3</v>
      </c>
      <c r="H241" s="416">
        <v>3.5000000000000004</v>
      </c>
      <c r="I241" s="416">
        <v>3.5000000000000004</v>
      </c>
      <c r="J241" s="416">
        <v>3.5000000000000004</v>
      </c>
      <c r="L241" s="415">
        <v>1</v>
      </c>
    </row>
    <row r="242" spans="1:12" hidden="1">
      <c r="A242" s="427">
        <v>40025</v>
      </c>
      <c r="B242" s="427" t="s">
        <v>602</v>
      </c>
      <c r="C242" s="428">
        <v>728</v>
      </c>
      <c r="D242" s="427">
        <v>40753</v>
      </c>
      <c r="E242" s="429">
        <v>2</v>
      </c>
      <c r="F242" s="430">
        <v>2</v>
      </c>
      <c r="G242" s="430">
        <v>2</v>
      </c>
      <c r="H242" s="430">
        <v>3.25</v>
      </c>
      <c r="I242" s="430">
        <v>3.25</v>
      </c>
      <c r="J242" s="430">
        <v>3.25</v>
      </c>
      <c r="K242" s="431"/>
      <c r="L242" s="428">
        <v>1</v>
      </c>
    </row>
    <row r="243" spans="1:12" hidden="1">
      <c r="A243" s="414">
        <v>40029</v>
      </c>
      <c r="B243" s="414" t="s">
        <v>603</v>
      </c>
      <c r="C243" s="415">
        <v>35</v>
      </c>
      <c r="D243" s="414">
        <v>40064</v>
      </c>
      <c r="E243" s="418">
        <v>18</v>
      </c>
      <c r="F243" s="416">
        <v>11.916399999999999</v>
      </c>
      <c r="G243" s="416">
        <v>7.4711999999999996</v>
      </c>
      <c r="H243" s="416">
        <v>1.25</v>
      </c>
      <c r="I243" s="416">
        <v>1.25</v>
      </c>
      <c r="J243" s="416">
        <v>1.25</v>
      </c>
      <c r="L243" s="415">
        <v>3</v>
      </c>
    </row>
    <row r="244" spans="1:12" hidden="1">
      <c r="A244" s="427">
        <v>40029</v>
      </c>
      <c r="B244" s="427" t="s">
        <v>604</v>
      </c>
      <c r="C244" s="428">
        <v>364</v>
      </c>
      <c r="D244" s="427">
        <v>40393</v>
      </c>
      <c r="E244" s="429">
        <v>3</v>
      </c>
      <c r="F244" s="430">
        <v>3</v>
      </c>
      <c r="G244" s="430">
        <v>3</v>
      </c>
      <c r="H244" s="430">
        <v>2.9899999999999998</v>
      </c>
      <c r="I244" s="430">
        <v>2.9899999999999998</v>
      </c>
      <c r="J244" s="430">
        <v>2.9899999999999998</v>
      </c>
      <c r="K244" s="431"/>
      <c r="L244" s="428">
        <v>1</v>
      </c>
    </row>
    <row r="245" spans="1:12" hidden="1">
      <c r="A245" s="414">
        <v>40032</v>
      </c>
      <c r="B245" s="414" t="s">
        <v>605</v>
      </c>
      <c r="C245" s="415">
        <v>91</v>
      </c>
      <c r="D245" s="414">
        <v>40123</v>
      </c>
      <c r="E245" s="418">
        <v>20</v>
      </c>
      <c r="F245" s="416">
        <v>8.5462000000000007</v>
      </c>
      <c r="G245" s="416">
        <v>8.5462000000000007</v>
      </c>
      <c r="H245" s="416">
        <v>1.73</v>
      </c>
      <c r="I245" s="416">
        <v>1.73</v>
      </c>
      <c r="J245" s="416">
        <v>1.73</v>
      </c>
      <c r="L245" s="415">
        <v>3</v>
      </c>
    </row>
    <row r="246" spans="1:12" hidden="1">
      <c r="A246" s="427">
        <v>40036</v>
      </c>
      <c r="B246" s="427" t="s">
        <v>606</v>
      </c>
      <c r="C246" s="428">
        <v>182</v>
      </c>
      <c r="D246" s="427">
        <v>40218</v>
      </c>
      <c r="E246" s="429">
        <v>7</v>
      </c>
      <c r="F246" s="430">
        <v>2.6217999999999999</v>
      </c>
      <c r="G246" s="430">
        <v>2.6217999999999999</v>
      </c>
      <c r="H246" s="430">
        <v>2.21</v>
      </c>
      <c r="I246" s="430">
        <v>2.21</v>
      </c>
      <c r="J246" s="430">
        <v>2.21</v>
      </c>
      <c r="K246" s="431"/>
      <c r="L246" s="428">
        <v>2</v>
      </c>
    </row>
    <row r="247" spans="1:12" hidden="1">
      <c r="A247" s="414">
        <v>40039</v>
      </c>
      <c r="B247" s="414" t="s">
        <v>607</v>
      </c>
      <c r="C247" s="415">
        <v>728</v>
      </c>
      <c r="D247" s="414">
        <v>40767</v>
      </c>
      <c r="E247" s="418">
        <v>3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L247" s="415">
        <v>0</v>
      </c>
    </row>
    <row r="248" spans="1:12" hidden="1">
      <c r="A248" s="427">
        <v>40039</v>
      </c>
      <c r="B248" s="427" t="s">
        <v>608</v>
      </c>
      <c r="C248" s="428">
        <v>1092</v>
      </c>
      <c r="D248" s="427">
        <v>41131</v>
      </c>
      <c r="E248" s="429">
        <v>3</v>
      </c>
      <c r="F248" s="430">
        <v>0</v>
      </c>
      <c r="G248" s="430">
        <v>0</v>
      </c>
      <c r="H248" s="430">
        <v>0</v>
      </c>
      <c r="I248" s="430">
        <v>0</v>
      </c>
      <c r="J248" s="430">
        <v>0</v>
      </c>
      <c r="K248" s="431"/>
      <c r="L248" s="428">
        <v>0</v>
      </c>
    </row>
    <row r="249" spans="1:12" hidden="1">
      <c r="A249" s="414">
        <v>40043</v>
      </c>
      <c r="B249" s="414" t="s">
        <v>609</v>
      </c>
      <c r="C249" s="415">
        <v>35</v>
      </c>
      <c r="D249" s="414">
        <v>40078</v>
      </c>
      <c r="E249" s="418">
        <v>20</v>
      </c>
      <c r="F249" s="416">
        <v>12.0046</v>
      </c>
      <c r="G249" s="416">
        <v>12.0046</v>
      </c>
      <c r="H249" s="416">
        <v>1.25</v>
      </c>
      <c r="I249" s="416">
        <v>1.25</v>
      </c>
      <c r="J249" s="416">
        <v>1.25</v>
      </c>
      <c r="L249" s="415">
        <v>4</v>
      </c>
    </row>
    <row r="250" spans="1:12" hidden="1">
      <c r="A250" s="427">
        <v>40043</v>
      </c>
      <c r="B250" s="427" t="s">
        <v>610</v>
      </c>
      <c r="C250" s="428">
        <v>364</v>
      </c>
      <c r="D250" s="427">
        <v>40407</v>
      </c>
      <c r="E250" s="429">
        <v>2</v>
      </c>
      <c r="F250" s="430">
        <v>0.1024</v>
      </c>
      <c r="G250" s="430">
        <v>0</v>
      </c>
      <c r="H250" s="430">
        <v>0</v>
      </c>
      <c r="I250" s="430">
        <v>0</v>
      </c>
      <c r="J250" s="430">
        <v>0</v>
      </c>
      <c r="K250" s="431"/>
      <c r="L250" s="428">
        <v>1</v>
      </c>
    </row>
    <row r="251" spans="1:12" hidden="1">
      <c r="A251" s="414">
        <v>40046</v>
      </c>
      <c r="B251" s="414" t="s">
        <v>611</v>
      </c>
      <c r="C251" s="415">
        <v>91</v>
      </c>
      <c r="D251" s="414">
        <v>40137</v>
      </c>
      <c r="E251" s="418">
        <v>15</v>
      </c>
      <c r="F251" s="416">
        <v>6.6852</v>
      </c>
      <c r="G251" s="416">
        <v>6.6852</v>
      </c>
      <c r="H251" s="416">
        <v>1.73</v>
      </c>
      <c r="I251" s="416">
        <v>1.73</v>
      </c>
      <c r="J251" s="416">
        <v>1.73</v>
      </c>
      <c r="L251" s="415">
        <v>6</v>
      </c>
    </row>
    <row r="252" spans="1:12" hidden="1">
      <c r="A252" s="427">
        <v>40050</v>
      </c>
      <c r="B252" s="427" t="s">
        <v>612</v>
      </c>
      <c r="C252" s="428">
        <v>182</v>
      </c>
      <c r="D252" s="427">
        <v>40232</v>
      </c>
      <c r="E252" s="429">
        <v>8</v>
      </c>
      <c r="F252" s="430">
        <v>4.0347999999999997</v>
      </c>
      <c r="G252" s="430">
        <v>1.0347999999999999</v>
      </c>
      <c r="H252" s="430">
        <v>2.25</v>
      </c>
      <c r="I252" s="430">
        <v>2.25</v>
      </c>
      <c r="J252" s="430">
        <v>2.25</v>
      </c>
      <c r="K252" s="431"/>
      <c r="L252" s="428">
        <v>1</v>
      </c>
    </row>
    <row r="253" spans="1:12" hidden="1">
      <c r="A253" s="414">
        <v>40053</v>
      </c>
      <c r="B253" s="414" t="s">
        <v>613</v>
      </c>
      <c r="C253" s="415">
        <v>728</v>
      </c>
      <c r="D253" s="414">
        <v>40781</v>
      </c>
      <c r="E253" s="418">
        <v>2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L253" s="415">
        <v>0</v>
      </c>
    </row>
    <row r="254" spans="1:12" hidden="1">
      <c r="A254" s="427">
        <v>40053</v>
      </c>
      <c r="B254" s="427" t="s">
        <v>614</v>
      </c>
      <c r="C254" s="428">
        <v>1092</v>
      </c>
      <c r="D254" s="427">
        <v>41145</v>
      </c>
      <c r="E254" s="429">
        <v>3</v>
      </c>
      <c r="F254" s="430">
        <v>0</v>
      </c>
      <c r="G254" s="430">
        <v>0</v>
      </c>
      <c r="H254" s="430">
        <v>0</v>
      </c>
      <c r="I254" s="430">
        <v>0</v>
      </c>
      <c r="J254" s="430">
        <v>0</v>
      </c>
      <c r="K254" s="431"/>
      <c r="L254" s="428">
        <v>0</v>
      </c>
    </row>
    <row r="255" spans="1:12" hidden="1">
      <c r="A255" s="414">
        <v>40057</v>
      </c>
      <c r="B255" s="414" t="s">
        <v>615</v>
      </c>
      <c r="C255" s="415">
        <v>364</v>
      </c>
      <c r="D255" s="414">
        <v>40421</v>
      </c>
      <c r="E255" s="418">
        <v>3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L255" s="415">
        <v>0</v>
      </c>
    </row>
    <row r="256" spans="1:12" hidden="1">
      <c r="A256" s="427">
        <v>40057</v>
      </c>
      <c r="B256" s="427" t="s">
        <v>616</v>
      </c>
      <c r="C256" s="428">
        <v>35</v>
      </c>
      <c r="D256" s="427">
        <v>40092</v>
      </c>
      <c r="E256" s="429">
        <v>18</v>
      </c>
      <c r="F256" s="430">
        <v>9.0025999999999993</v>
      </c>
      <c r="G256" s="430">
        <v>9.0025999999999993</v>
      </c>
      <c r="H256" s="430">
        <v>1.25</v>
      </c>
      <c r="I256" s="430">
        <v>1.25</v>
      </c>
      <c r="J256" s="430">
        <v>1.25</v>
      </c>
      <c r="K256" s="431"/>
      <c r="L256" s="428">
        <v>3</v>
      </c>
    </row>
    <row r="257" spans="1:12" hidden="1">
      <c r="A257" s="414">
        <v>40060</v>
      </c>
      <c r="B257" s="414" t="s">
        <v>617</v>
      </c>
      <c r="C257" s="415">
        <v>91</v>
      </c>
      <c r="D257" s="414">
        <v>40151</v>
      </c>
      <c r="E257" s="418">
        <v>20</v>
      </c>
      <c r="F257" s="416">
        <v>11.335599999999999</v>
      </c>
      <c r="G257" s="416">
        <v>11.335599999999999</v>
      </c>
      <c r="H257" s="416">
        <v>1.73</v>
      </c>
      <c r="I257" s="416">
        <v>1.73</v>
      </c>
      <c r="J257" s="416">
        <v>1.73</v>
      </c>
      <c r="L257" s="415">
        <v>3</v>
      </c>
    </row>
    <row r="258" spans="1:12" hidden="1">
      <c r="A258" s="427">
        <v>40067</v>
      </c>
      <c r="B258" s="427" t="s">
        <v>618</v>
      </c>
      <c r="C258" s="428">
        <v>728</v>
      </c>
      <c r="D258" s="427">
        <v>40795</v>
      </c>
      <c r="E258" s="429">
        <v>3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1"/>
      <c r="L258" s="428">
        <v>0</v>
      </c>
    </row>
    <row r="259" spans="1:12" hidden="1">
      <c r="A259" s="414">
        <v>40067</v>
      </c>
      <c r="B259" s="414" t="s">
        <v>619</v>
      </c>
      <c r="C259" s="415">
        <v>1092</v>
      </c>
      <c r="D259" s="414">
        <v>41159</v>
      </c>
      <c r="E259" s="418">
        <v>3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L259" s="415">
        <v>0</v>
      </c>
    </row>
    <row r="260" spans="1:12" hidden="1">
      <c r="A260" s="427">
        <v>40071</v>
      </c>
      <c r="B260" s="427" t="s">
        <v>620</v>
      </c>
      <c r="C260" s="428">
        <v>364</v>
      </c>
      <c r="D260" s="427">
        <v>40435</v>
      </c>
      <c r="E260" s="429">
        <v>2</v>
      </c>
      <c r="F260" s="430">
        <v>0</v>
      </c>
      <c r="G260" s="430">
        <v>0</v>
      </c>
      <c r="H260" s="430">
        <v>0</v>
      </c>
      <c r="I260" s="430">
        <v>0</v>
      </c>
      <c r="J260" s="430">
        <v>0</v>
      </c>
      <c r="K260" s="431"/>
      <c r="L260" s="428">
        <v>0</v>
      </c>
    </row>
    <row r="261" spans="1:12" hidden="1">
      <c r="A261" s="414">
        <v>40071</v>
      </c>
      <c r="B261" s="414" t="s">
        <v>621</v>
      </c>
      <c r="C261" s="415">
        <v>35</v>
      </c>
      <c r="D261" s="414">
        <v>40106</v>
      </c>
      <c r="E261" s="418">
        <v>20</v>
      </c>
      <c r="F261" s="416">
        <v>13.93</v>
      </c>
      <c r="G261" s="416">
        <v>11.9298</v>
      </c>
      <c r="H261" s="416">
        <v>1.25</v>
      </c>
      <c r="I261" s="416">
        <v>1.25</v>
      </c>
      <c r="J261" s="416">
        <v>1.25</v>
      </c>
      <c r="L261" s="415">
        <v>7</v>
      </c>
    </row>
    <row r="262" spans="1:12" hidden="1">
      <c r="A262" s="427">
        <v>40074</v>
      </c>
      <c r="B262" s="427" t="s">
        <v>622</v>
      </c>
      <c r="C262" s="428">
        <v>91</v>
      </c>
      <c r="D262" s="427">
        <v>40165</v>
      </c>
      <c r="E262" s="429">
        <v>15</v>
      </c>
      <c r="F262" s="430">
        <v>3.1736</v>
      </c>
      <c r="G262" s="430">
        <v>3.1736</v>
      </c>
      <c r="H262" s="430">
        <v>1.73</v>
      </c>
      <c r="I262" s="430">
        <v>1.73</v>
      </c>
      <c r="J262" s="430">
        <v>1.73</v>
      </c>
      <c r="K262" s="431"/>
      <c r="L262" s="428">
        <v>2</v>
      </c>
    </row>
    <row r="263" spans="1:12" hidden="1">
      <c r="A263" s="414">
        <v>40081</v>
      </c>
      <c r="B263" s="414" t="s">
        <v>623</v>
      </c>
      <c r="C263" s="415">
        <v>182</v>
      </c>
      <c r="D263" s="414">
        <v>40263</v>
      </c>
      <c r="E263" s="418">
        <v>8</v>
      </c>
      <c r="F263" s="416">
        <v>2.4209999999999998</v>
      </c>
      <c r="G263" s="416">
        <v>2.4209999999999998</v>
      </c>
      <c r="H263" s="416">
        <v>2.21</v>
      </c>
      <c r="I263" s="416">
        <v>2.21</v>
      </c>
      <c r="J263" s="416">
        <v>2.21</v>
      </c>
      <c r="L263" s="415">
        <v>3</v>
      </c>
    </row>
    <row r="264" spans="1:12" hidden="1">
      <c r="A264" s="427">
        <v>40081</v>
      </c>
      <c r="B264" s="427" t="s">
        <v>624</v>
      </c>
      <c r="C264" s="428">
        <v>728</v>
      </c>
      <c r="D264" s="427">
        <v>40809</v>
      </c>
      <c r="E264" s="429">
        <v>2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1"/>
      <c r="L264" s="428">
        <v>0</v>
      </c>
    </row>
    <row r="265" spans="1:12" hidden="1">
      <c r="A265" s="414">
        <v>40081</v>
      </c>
      <c r="B265" s="414" t="s">
        <v>625</v>
      </c>
      <c r="C265" s="415">
        <v>1092</v>
      </c>
      <c r="D265" s="414">
        <v>41173</v>
      </c>
      <c r="E265" s="418">
        <v>3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L265" s="415">
        <v>0</v>
      </c>
    </row>
    <row r="266" spans="1:12" hidden="1">
      <c r="A266" s="427">
        <v>40092</v>
      </c>
      <c r="B266" s="427" t="s">
        <v>626</v>
      </c>
      <c r="C266" s="428">
        <v>35</v>
      </c>
      <c r="D266" s="427">
        <v>40127</v>
      </c>
      <c r="E266" s="429">
        <v>18</v>
      </c>
      <c r="F266" s="430">
        <v>9.2569999999999997</v>
      </c>
      <c r="G266" s="430">
        <v>9.2569999999999997</v>
      </c>
      <c r="H266" s="430">
        <v>1.25</v>
      </c>
      <c r="I266" s="430">
        <v>1.25</v>
      </c>
      <c r="J266" s="430">
        <v>1.25</v>
      </c>
      <c r="K266" s="431"/>
      <c r="L266" s="428">
        <v>4</v>
      </c>
    </row>
    <row r="267" spans="1:12" hidden="1">
      <c r="A267" s="414">
        <v>40092</v>
      </c>
      <c r="B267" s="414" t="s">
        <v>627</v>
      </c>
      <c r="C267" s="415">
        <v>364</v>
      </c>
      <c r="D267" s="414">
        <v>40456</v>
      </c>
      <c r="E267" s="418">
        <v>3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L267" s="415">
        <v>0</v>
      </c>
    </row>
    <row r="268" spans="1:12" hidden="1">
      <c r="A268" s="427">
        <v>40095</v>
      </c>
      <c r="B268" s="427" t="s">
        <v>628</v>
      </c>
      <c r="C268" s="428">
        <v>91</v>
      </c>
      <c r="D268" s="427">
        <v>40186</v>
      </c>
      <c r="E268" s="429">
        <v>2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1"/>
      <c r="L268" s="428">
        <v>0</v>
      </c>
    </row>
    <row r="269" spans="1:12" hidden="1">
      <c r="A269" s="414">
        <v>40099</v>
      </c>
      <c r="B269" s="414" t="s">
        <v>629</v>
      </c>
      <c r="C269" s="415">
        <v>182</v>
      </c>
      <c r="D269" s="414">
        <v>40281</v>
      </c>
      <c r="E269" s="418">
        <v>7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L269" s="415">
        <v>0</v>
      </c>
    </row>
    <row r="270" spans="1:12" hidden="1">
      <c r="A270" s="427">
        <v>40102</v>
      </c>
      <c r="B270" s="427" t="s">
        <v>630</v>
      </c>
      <c r="C270" s="428">
        <v>1092</v>
      </c>
      <c r="D270" s="427">
        <v>41194</v>
      </c>
      <c r="E270" s="429">
        <v>3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1"/>
      <c r="L270" s="428">
        <v>0</v>
      </c>
    </row>
    <row r="271" spans="1:12" hidden="1">
      <c r="A271" s="414">
        <v>40102</v>
      </c>
      <c r="B271" s="414" t="s">
        <v>631</v>
      </c>
      <c r="C271" s="415">
        <v>728</v>
      </c>
      <c r="D271" s="414">
        <v>40830</v>
      </c>
      <c r="E271" s="418">
        <v>3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L271" s="415">
        <v>0</v>
      </c>
    </row>
    <row r="272" spans="1:12" hidden="1">
      <c r="A272" s="427">
        <v>40106</v>
      </c>
      <c r="B272" s="427" t="s">
        <v>632</v>
      </c>
      <c r="C272" s="428">
        <v>364</v>
      </c>
      <c r="D272" s="427">
        <v>40470</v>
      </c>
      <c r="E272" s="429">
        <v>2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1"/>
      <c r="L272" s="428">
        <v>0</v>
      </c>
    </row>
    <row r="273" spans="1:12" hidden="1">
      <c r="A273" s="414">
        <v>40106</v>
      </c>
      <c r="B273" s="414" t="s">
        <v>633</v>
      </c>
      <c r="C273" s="415">
        <v>35</v>
      </c>
      <c r="D273" s="414">
        <v>40141</v>
      </c>
      <c r="E273" s="418">
        <v>20</v>
      </c>
      <c r="F273" s="416">
        <v>11.5312</v>
      </c>
      <c r="G273" s="416">
        <v>11.5312</v>
      </c>
      <c r="H273" s="416">
        <v>1.25</v>
      </c>
      <c r="I273" s="416">
        <v>1.25</v>
      </c>
      <c r="J273" s="416">
        <v>1.25</v>
      </c>
      <c r="L273" s="415">
        <v>3</v>
      </c>
    </row>
    <row r="274" spans="1:12" hidden="1">
      <c r="A274" s="427">
        <v>40109</v>
      </c>
      <c r="B274" s="427" t="s">
        <v>634</v>
      </c>
      <c r="C274" s="428">
        <v>91</v>
      </c>
      <c r="D274" s="427">
        <v>40200</v>
      </c>
      <c r="E274" s="429">
        <v>15</v>
      </c>
      <c r="F274" s="430">
        <v>9.0366</v>
      </c>
      <c r="G274" s="430">
        <v>9.0366</v>
      </c>
      <c r="H274" s="430">
        <v>1.73</v>
      </c>
      <c r="I274" s="430">
        <v>1.73</v>
      </c>
      <c r="J274" s="430">
        <v>1.73</v>
      </c>
      <c r="K274" s="431"/>
      <c r="L274" s="428">
        <v>3</v>
      </c>
    </row>
    <row r="275" spans="1:12" hidden="1">
      <c r="A275" s="414">
        <v>40113</v>
      </c>
      <c r="B275" s="414" t="s">
        <v>635</v>
      </c>
      <c r="C275" s="415">
        <v>182</v>
      </c>
      <c r="D275" s="414">
        <v>40295</v>
      </c>
      <c r="E275" s="418">
        <v>8</v>
      </c>
      <c r="F275" s="416">
        <v>0.30299999999999999</v>
      </c>
      <c r="G275" s="416">
        <v>0.30299999999999999</v>
      </c>
      <c r="H275" s="416">
        <v>2.21</v>
      </c>
      <c r="I275" s="416">
        <v>2.21</v>
      </c>
      <c r="J275" s="416">
        <v>2.21</v>
      </c>
      <c r="L275" s="415">
        <v>1</v>
      </c>
    </row>
    <row r="276" spans="1:12" hidden="1">
      <c r="A276" s="427">
        <v>40113</v>
      </c>
      <c r="B276" s="427" t="s">
        <v>636</v>
      </c>
      <c r="C276" s="428">
        <v>364</v>
      </c>
      <c r="D276" s="427">
        <v>40477</v>
      </c>
      <c r="E276" s="429">
        <v>20</v>
      </c>
      <c r="F276" s="430">
        <v>30.0106</v>
      </c>
      <c r="G276" s="430">
        <v>20</v>
      </c>
      <c r="H276" s="430">
        <v>5</v>
      </c>
      <c r="I276" s="430">
        <v>5</v>
      </c>
      <c r="J276" s="430">
        <v>5</v>
      </c>
      <c r="K276" s="431"/>
      <c r="L276" s="428">
        <v>2</v>
      </c>
    </row>
    <row r="277" spans="1:12" hidden="1">
      <c r="A277" s="414">
        <v>40116</v>
      </c>
      <c r="B277" s="414" t="s">
        <v>637</v>
      </c>
      <c r="C277" s="415">
        <v>728</v>
      </c>
      <c r="D277" s="414">
        <v>40844</v>
      </c>
      <c r="E277" s="418">
        <v>2</v>
      </c>
      <c r="F277" s="416">
        <v>0</v>
      </c>
      <c r="G277" s="416">
        <v>0</v>
      </c>
      <c r="H277" s="416">
        <v>3.25</v>
      </c>
      <c r="I277" s="416">
        <v>3.25</v>
      </c>
      <c r="J277" s="416">
        <v>3.25</v>
      </c>
      <c r="L277" s="415">
        <v>0</v>
      </c>
    </row>
    <row r="278" spans="1:12" hidden="1">
      <c r="A278" s="427">
        <v>40116</v>
      </c>
      <c r="B278" s="427" t="s">
        <v>638</v>
      </c>
      <c r="C278" s="428">
        <v>1092</v>
      </c>
      <c r="D278" s="427">
        <v>41208</v>
      </c>
      <c r="E278" s="429">
        <v>3</v>
      </c>
      <c r="F278" s="430">
        <v>0</v>
      </c>
      <c r="G278" s="430">
        <v>0</v>
      </c>
      <c r="H278" s="430">
        <v>3.5000000000000004</v>
      </c>
      <c r="I278" s="430">
        <v>3.5000000000000004</v>
      </c>
      <c r="J278" s="430">
        <v>3.5000000000000004</v>
      </c>
      <c r="K278" s="431"/>
      <c r="L278" s="428">
        <v>0</v>
      </c>
    </row>
    <row r="279" spans="1:12" hidden="1">
      <c r="A279" s="414">
        <v>40120</v>
      </c>
      <c r="B279" s="414" t="s">
        <v>639</v>
      </c>
      <c r="C279" s="415">
        <v>364</v>
      </c>
      <c r="D279" s="414">
        <v>40484</v>
      </c>
      <c r="E279" s="418">
        <v>3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L279" s="415">
        <v>0</v>
      </c>
    </row>
    <row r="280" spans="1:12" hidden="1">
      <c r="A280" s="427">
        <v>40120</v>
      </c>
      <c r="B280" s="427" t="s">
        <v>640</v>
      </c>
      <c r="C280" s="428">
        <v>35</v>
      </c>
      <c r="D280" s="427">
        <v>40155</v>
      </c>
      <c r="E280" s="429">
        <v>20</v>
      </c>
      <c r="F280" s="430">
        <v>3.0019999999999998</v>
      </c>
      <c r="G280" s="430">
        <v>3.0019999999999998</v>
      </c>
      <c r="H280" s="430">
        <v>1.25</v>
      </c>
      <c r="I280" s="430">
        <v>1.25</v>
      </c>
      <c r="J280" s="430">
        <v>1.25</v>
      </c>
      <c r="K280" s="431"/>
      <c r="L280" s="428">
        <v>2</v>
      </c>
    </row>
    <row r="281" spans="1:12" hidden="1">
      <c r="A281" s="414">
        <v>40123</v>
      </c>
      <c r="B281" s="414" t="s">
        <v>641</v>
      </c>
      <c r="C281" s="415">
        <v>91</v>
      </c>
      <c r="D281" s="414">
        <v>40214</v>
      </c>
      <c r="E281" s="418">
        <v>20</v>
      </c>
      <c r="F281" s="416">
        <v>7.0961999999999996</v>
      </c>
      <c r="G281" s="416">
        <v>7.0961999999999996</v>
      </c>
      <c r="H281" s="416">
        <v>1.73</v>
      </c>
      <c r="I281" s="416">
        <v>1.73</v>
      </c>
      <c r="J281" s="416">
        <v>1.6500000000000001</v>
      </c>
      <c r="L281" s="415">
        <v>2</v>
      </c>
    </row>
    <row r="282" spans="1:12" hidden="1">
      <c r="A282" s="427">
        <v>40127</v>
      </c>
      <c r="B282" s="427" t="s">
        <v>642</v>
      </c>
      <c r="C282" s="428">
        <v>182</v>
      </c>
      <c r="D282" s="427">
        <v>40309</v>
      </c>
      <c r="E282" s="429">
        <v>7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1"/>
      <c r="L282" s="428">
        <v>0</v>
      </c>
    </row>
    <row r="283" spans="1:12" hidden="1">
      <c r="A283" s="414">
        <v>40127</v>
      </c>
      <c r="B283" s="414" t="s">
        <v>643</v>
      </c>
      <c r="C283" s="415">
        <v>364</v>
      </c>
      <c r="D283" s="414">
        <v>40491</v>
      </c>
      <c r="E283" s="418">
        <v>25</v>
      </c>
      <c r="F283" s="416">
        <v>15.295</v>
      </c>
      <c r="G283" s="416">
        <v>15.295</v>
      </c>
      <c r="H283" s="416">
        <v>5</v>
      </c>
      <c r="I283" s="416">
        <v>5</v>
      </c>
      <c r="J283" s="416">
        <v>5</v>
      </c>
      <c r="L283" s="415">
        <v>4</v>
      </c>
    </row>
    <row r="284" spans="1:12" hidden="1">
      <c r="A284" s="427">
        <v>40130</v>
      </c>
      <c r="B284" s="427" t="s">
        <v>644</v>
      </c>
      <c r="C284" s="428">
        <v>1092</v>
      </c>
      <c r="D284" s="427">
        <v>41222</v>
      </c>
      <c r="E284" s="429">
        <v>3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1"/>
      <c r="L284" s="428">
        <v>0</v>
      </c>
    </row>
    <row r="285" spans="1:12" hidden="1">
      <c r="A285" s="414">
        <v>40130</v>
      </c>
      <c r="B285" s="414" t="s">
        <v>645</v>
      </c>
      <c r="C285" s="415">
        <v>728</v>
      </c>
      <c r="D285" s="414">
        <v>40858</v>
      </c>
      <c r="E285" s="418">
        <v>3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L285" s="415">
        <v>0</v>
      </c>
    </row>
    <row r="286" spans="1:12" hidden="1">
      <c r="A286" s="427">
        <v>40134</v>
      </c>
      <c r="B286" s="427" t="s">
        <v>646</v>
      </c>
      <c r="C286" s="428">
        <v>35</v>
      </c>
      <c r="D286" s="427">
        <v>40169</v>
      </c>
      <c r="E286" s="429">
        <v>20</v>
      </c>
      <c r="F286" s="430">
        <v>5.0038</v>
      </c>
      <c r="G286" s="430">
        <v>5.0038</v>
      </c>
      <c r="H286" s="430">
        <v>1.25</v>
      </c>
      <c r="I286" s="430">
        <v>1.25</v>
      </c>
      <c r="J286" s="430">
        <v>1.25</v>
      </c>
      <c r="K286" s="431"/>
      <c r="L286" s="428">
        <v>3</v>
      </c>
    </row>
    <row r="287" spans="1:12" hidden="1">
      <c r="A287" s="414">
        <v>40134</v>
      </c>
      <c r="B287" s="414" t="s">
        <v>647</v>
      </c>
      <c r="C287" s="415">
        <v>364</v>
      </c>
      <c r="D287" s="414">
        <v>40498</v>
      </c>
      <c r="E287" s="418">
        <v>3</v>
      </c>
      <c r="F287" s="416">
        <v>0</v>
      </c>
      <c r="G287" s="416">
        <v>0</v>
      </c>
      <c r="H287" s="416">
        <v>0</v>
      </c>
      <c r="I287" s="416">
        <v>0</v>
      </c>
      <c r="J287" s="416">
        <v>0</v>
      </c>
      <c r="L287" s="415">
        <v>0</v>
      </c>
    </row>
    <row r="288" spans="1:12" hidden="1">
      <c r="A288" s="427">
        <v>40137</v>
      </c>
      <c r="B288" s="427" t="s">
        <v>648</v>
      </c>
      <c r="C288" s="428">
        <v>91</v>
      </c>
      <c r="D288" s="427">
        <v>40228</v>
      </c>
      <c r="E288" s="429">
        <v>15</v>
      </c>
      <c r="F288" s="430">
        <v>7.2855999999999996</v>
      </c>
      <c r="G288" s="430">
        <v>7.2351999999999999</v>
      </c>
      <c r="H288" s="430">
        <v>1.73</v>
      </c>
      <c r="I288" s="430">
        <v>1.73</v>
      </c>
      <c r="J288" s="430">
        <v>1.6500000000000001</v>
      </c>
      <c r="K288" s="431"/>
      <c r="L288" s="428">
        <v>4</v>
      </c>
    </row>
    <row r="289" spans="1:12" hidden="1">
      <c r="A289" s="414">
        <v>40141</v>
      </c>
      <c r="B289" s="414" t="s">
        <v>649</v>
      </c>
      <c r="C289" s="415">
        <v>182</v>
      </c>
      <c r="D289" s="414">
        <v>40323</v>
      </c>
      <c r="E289" s="418">
        <v>8</v>
      </c>
      <c r="F289" s="416">
        <v>2.1978</v>
      </c>
      <c r="G289" s="416">
        <v>2.1978</v>
      </c>
      <c r="H289" s="416">
        <v>2.21</v>
      </c>
      <c r="I289" s="416">
        <v>2.21</v>
      </c>
      <c r="J289" s="416">
        <v>2.21</v>
      </c>
      <c r="L289" s="415">
        <v>1</v>
      </c>
    </row>
    <row r="290" spans="1:12" hidden="1">
      <c r="A290" s="427">
        <v>40141</v>
      </c>
      <c r="B290" s="427" t="s">
        <v>650</v>
      </c>
      <c r="C290" s="428">
        <v>364</v>
      </c>
      <c r="D290" s="427">
        <v>40505</v>
      </c>
      <c r="E290" s="429">
        <v>25</v>
      </c>
      <c r="F290" s="430">
        <v>6.4459999999999997</v>
      </c>
      <c r="G290" s="430">
        <v>6.4459999999999997</v>
      </c>
      <c r="H290" s="430">
        <v>3.75</v>
      </c>
      <c r="I290" s="430">
        <v>3.75</v>
      </c>
      <c r="J290" s="430">
        <v>3.75</v>
      </c>
      <c r="K290" s="431"/>
      <c r="L290" s="428">
        <v>2</v>
      </c>
    </row>
    <row r="291" spans="1:12" hidden="1">
      <c r="A291" s="414">
        <v>40143</v>
      </c>
      <c r="B291" s="414" t="s">
        <v>651</v>
      </c>
      <c r="C291" s="415">
        <v>728</v>
      </c>
      <c r="D291" s="414">
        <v>40871</v>
      </c>
      <c r="E291" s="418">
        <v>2</v>
      </c>
      <c r="F291" s="416">
        <v>0</v>
      </c>
      <c r="G291" s="416">
        <v>0</v>
      </c>
      <c r="H291" s="416">
        <v>3.25</v>
      </c>
      <c r="I291" s="416">
        <v>3.25</v>
      </c>
      <c r="J291" s="416">
        <v>3.25</v>
      </c>
      <c r="L291" s="415">
        <v>0</v>
      </c>
    </row>
    <row r="292" spans="1:12" hidden="1">
      <c r="A292" s="427">
        <v>40143</v>
      </c>
      <c r="B292" s="427" t="s">
        <v>652</v>
      </c>
      <c r="C292" s="428">
        <v>1092</v>
      </c>
      <c r="D292" s="427">
        <v>41235</v>
      </c>
      <c r="E292" s="429">
        <v>3</v>
      </c>
      <c r="F292" s="430">
        <v>0</v>
      </c>
      <c r="G292" s="430">
        <v>0</v>
      </c>
      <c r="H292" s="430">
        <v>3.5000000000000004</v>
      </c>
      <c r="I292" s="430">
        <v>3.5000000000000004</v>
      </c>
      <c r="J292" s="430">
        <v>3.5000000000000004</v>
      </c>
      <c r="K292" s="431"/>
      <c r="L292" s="428">
        <v>0</v>
      </c>
    </row>
    <row r="293" spans="1:12" hidden="1">
      <c r="A293" s="414">
        <v>40148</v>
      </c>
      <c r="B293" s="414" t="s">
        <v>653</v>
      </c>
      <c r="C293" s="415">
        <v>35</v>
      </c>
      <c r="D293" s="414">
        <v>40183</v>
      </c>
      <c r="E293" s="418">
        <v>20</v>
      </c>
      <c r="F293" s="416">
        <v>5.0754000000000001</v>
      </c>
      <c r="G293" s="416">
        <v>5.0754000000000001</v>
      </c>
      <c r="H293" s="416">
        <v>1.25</v>
      </c>
      <c r="I293" s="416">
        <v>1.25</v>
      </c>
      <c r="J293" s="416">
        <v>1.25</v>
      </c>
      <c r="L293" s="415">
        <v>5</v>
      </c>
    </row>
    <row r="294" spans="1:12" hidden="1">
      <c r="A294" s="427">
        <v>40148</v>
      </c>
      <c r="B294" s="427" t="s">
        <v>654</v>
      </c>
      <c r="C294" s="428">
        <v>364</v>
      </c>
      <c r="D294" s="427">
        <v>40512</v>
      </c>
      <c r="E294" s="429">
        <v>3</v>
      </c>
      <c r="F294" s="430">
        <v>3</v>
      </c>
      <c r="G294" s="430">
        <v>3</v>
      </c>
      <c r="H294" s="430">
        <v>2.9899999999999998</v>
      </c>
      <c r="I294" s="430">
        <v>2.9899999999999998</v>
      </c>
      <c r="J294" s="430">
        <v>2.9899999999999998</v>
      </c>
      <c r="K294" s="431"/>
      <c r="L294" s="428">
        <v>1</v>
      </c>
    </row>
    <row r="295" spans="1:12" hidden="1">
      <c r="A295" s="414">
        <v>40155</v>
      </c>
      <c r="B295" s="414" t="s">
        <v>655</v>
      </c>
      <c r="C295" s="415">
        <v>182</v>
      </c>
      <c r="D295" s="414">
        <v>40337</v>
      </c>
      <c r="E295" s="418">
        <v>7</v>
      </c>
      <c r="F295" s="416">
        <v>0.35060000000000002</v>
      </c>
      <c r="G295" s="416">
        <v>0</v>
      </c>
      <c r="H295" s="416">
        <v>0</v>
      </c>
      <c r="I295" s="416">
        <v>0</v>
      </c>
      <c r="J295" s="416">
        <v>0</v>
      </c>
      <c r="L295" s="415">
        <v>0</v>
      </c>
    </row>
    <row r="296" spans="1:12" hidden="1">
      <c r="A296" s="427">
        <v>40155</v>
      </c>
      <c r="B296" s="427" t="s">
        <v>656</v>
      </c>
      <c r="C296" s="428">
        <v>364</v>
      </c>
      <c r="D296" s="427">
        <v>40519</v>
      </c>
      <c r="E296" s="429">
        <v>15</v>
      </c>
      <c r="F296" s="430">
        <v>5.7850000000000001</v>
      </c>
      <c r="G296" s="430">
        <v>5.7850000000000001</v>
      </c>
      <c r="H296" s="430">
        <v>3.75</v>
      </c>
      <c r="I296" s="430">
        <v>3.75</v>
      </c>
      <c r="J296" s="430">
        <v>3.75</v>
      </c>
      <c r="K296" s="431"/>
      <c r="L296" s="428">
        <v>2</v>
      </c>
    </row>
    <row r="297" spans="1:12" hidden="1">
      <c r="A297" s="414">
        <v>40158</v>
      </c>
      <c r="B297" s="414" t="s">
        <v>657</v>
      </c>
      <c r="C297" s="415">
        <v>1090</v>
      </c>
      <c r="D297" s="414">
        <v>41248</v>
      </c>
      <c r="E297" s="418">
        <v>3</v>
      </c>
      <c r="F297" s="416">
        <v>0</v>
      </c>
      <c r="G297" s="416">
        <v>0</v>
      </c>
      <c r="H297" s="416">
        <v>3.5000000000000004</v>
      </c>
      <c r="I297" s="416">
        <v>3.5000000000000004</v>
      </c>
      <c r="J297" s="416">
        <v>3.5000000000000004</v>
      </c>
      <c r="L297" s="415">
        <v>0</v>
      </c>
    </row>
    <row r="298" spans="1:12" hidden="1">
      <c r="A298" s="427">
        <v>40158</v>
      </c>
      <c r="B298" s="427" t="s">
        <v>658</v>
      </c>
      <c r="C298" s="428">
        <v>728</v>
      </c>
      <c r="D298" s="427">
        <v>40886</v>
      </c>
      <c r="E298" s="429">
        <v>3</v>
      </c>
      <c r="F298" s="430">
        <v>0</v>
      </c>
      <c r="G298" s="430">
        <v>0</v>
      </c>
      <c r="H298" s="430">
        <v>3.25</v>
      </c>
      <c r="I298" s="430">
        <v>3.25</v>
      </c>
      <c r="J298" s="430">
        <v>3.25</v>
      </c>
      <c r="K298" s="431"/>
      <c r="L298" s="428">
        <v>0</v>
      </c>
    </row>
    <row r="299" spans="1:12" hidden="1">
      <c r="A299" s="414">
        <v>40162</v>
      </c>
      <c r="B299" s="414" t="s">
        <v>659</v>
      </c>
      <c r="C299" s="415">
        <v>35</v>
      </c>
      <c r="D299" s="414">
        <v>40197</v>
      </c>
      <c r="E299" s="418">
        <v>20</v>
      </c>
      <c r="F299" s="416">
        <v>4.4715999999999996</v>
      </c>
      <c r="G299" s="416">
        <v>4.4715999999999996</v>
      </c>
      <c r="H299" s="416">
        <v>0.67999999999999994</v>
      </c>
      <c r="I299" s="416">
        <v>0.67999999999999994</v>
      </c>
      <c r="J299" s="416">
        <v>0.67999999999999994</v>
      </c>
      <c r="L299" s="415">
        <v>2</v>
      </c>
    </row>
    <row r="300" spans="1:12" hidden="1">
      <c r="A300" s="427">
        <v>40162</v>
      </c>
      <c r="B300" s="427" t="s">
        <v>660</v>
      </c>
      <c r="C300" s="428">
        <v>364</v>
      </c>
      <c r="D300" s="427">
        <v>40526</v>
      </c>
      <c r="E300" s="429">
        <v>3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1"/>
      <c r="L300" s="428">
        <v>0</v>
      </c>
    </row>
    <row r="301" spans="1:12" hidden="1">
      <c r="A301" s="414">
        <v>40165</v>
      </c>
      <c r="B301" s="414" t="s">
        <v>661</v>
      </c>
      <c r="C301" s="415">
        <v>91</v>
      </c>
      <c r="D301" s="414">
        <v>40256</v>
      </c>
      <c r="E301" s="418">
        <v>15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L301" s="415">
        <v>0</v>
      </c>
    </row>
    <row r="302" spans="1:12" hidden="1">
      <c r="A302" s="427">
        <v>40169</v>
      </c>
      <c r="B302" s="427" t="s">
        <v>662</v>
      </c>
      <c r="C302" s="428">
        <v>182</v>
      </c>
      <c r="D302" s="427">
        <v>40351</v>
      </c>
      <c r="E302" s="429">
        <v>8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1"/>
      <c r="L302" s="428">
        <v>0</v>
      </c>
    </row>
    <row r="303" spans="1:12" hidden="1">
      <c r="A303" s="414">
        <v>40169</v>
      </c>
      <c r="B303" s="414" t="s">
        <v>663</v>
      </c>
      <c r="C303" s="415">
        <v>364</v>
      </c>
      <c r="D303" s="414">
        <v>40533</v>
      </c>
      <c r="E303" s="418">
        <v>15</v>
      </c>
      <c r="F303" s="416">
        <v>3.6568000000000001</v>
      </c>
      <c r="G303" s="416">
        <v>3.6568000000000001</v>
      </c>
      <c r="H303" s="416">
        <v>3.75</v>
      </c>
      <c r="I303" s="416">
        <v>3.75</v>
      </c>
      <c r="J303" s="416">
        <v>3.75</v>
      </c>
      <c r="L303" s="415">
        <v>3</v>
      </c>
    </row>
    <row r="304" spans="1:12" hidden="1">
      <c r="A304" s="427">
        <v>40172</v>
      </c>
      <c r="B304" s="427" t="s">
        <v>664</v>
      </c>
      <c r="C304" s="428">
        <v>1092</v>
      </c>
      <c r="D304" s="427">
        <v>41264</v>
      </c>
      <c r="E304" s="429">
        <v>3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1"/>
      <c r="L304" s="428">
        <v>0</v>
      </c>
    </row>
    <row r="305" spans="1:12" hidden="1">
      <c r="A305" s="414">
        <v>40172</v>
      </c>
      <c r="B305" s="414" t="s">
        <v>665</v>
      </c>
      <c r="C305" s="415">
        <v>728</v>
      </c>
      <c r="D305" s="414">
        <v>40900</v>
      </c>
      <c r="E305" s="418">
        <v>2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L305" s="415">
        <v>0</v>
      </c>
    </row>
    <row r="306" spans="1:12" hidden="1">
      <c r="A306" s="427">
        <v>0</v>
      </c>
      <c r="B306" s="427" t="s">
        <v>1811</v>
      </c>
      <c r="C306" s="428">
        <v>0</v>
      </c>
      <c r="D306" s="427">
        <v>0</v>
      </c>
      <c r="E306" s="429">
        <v>1288</v>
      </c>
      <c r="F306" s="430">
        <v>563.01699999999994</v>
      </c>
      <c r="G306" s="430">
        <v>487.91760000000022</v>
      </c>
      <c r="H306" s="430">
        <v>4.0000000000000036</v>
      </c>
      <c r="I306" s="430">
        <v>4.0000000000000036</v>
      </c>
      <c r="J306" s="430">
        <v>3.9669879518072335</v>
      </c>
      <c r="K306" s="431"/>
      <c r="L306" s="428">
        <v>0</v>
      </c>
    </row>
    <row r="307" spans="1:12" hidden="1">
      <c r="A307" s="414">
        <v>40186</v>
      </c>
      <c r="B307" s="414" t="s">
        <v>666</v>
      </c>
      <c r="C307" s="415">
        <v>35</v>
      </c>
      <c r="D307" s="414">
        <v>40221</v>
      </c>
      <c r="E307" s="418">
        <v>20</v>
      </c>
      <c r="F307" s="416">
        <v>0</v>
      </c>
      <c r="G307" s="416">
        <v>0</v>
      </c>
      <c r="H307" s="416">
        <v>1</v>
      </c>
      <c r="I307" s="416">
        <v>1</v>
      </c>
      <c r="J307" s="416">
        <v>1</v>
      </c>
      <c r="L307" s="415">
        <v>0</v>
      </c>
    </row>
    <row r="308" spans="1:12" hidden="1">
      <c r="A308" s="427">
        <v>40197</v>
      </c>
      <c r="B308" s="427" t="s">
        <v>667</v>
      </c>
      <c r="C308" s="428">
        <v>35</v>
      </c>
      <c r="D308" s="427">
        <v>40232</v>
      </c>
      <c r="E308" s="429">
        <v>18</v>
      </c>
      <c r="F308" s="430">
        <v>13.0076</v>
      </c>
      <c r="G308" s="430">
        <v>3.0005999999999999</v>
      </c>
      <c r="H308" s="430">
        <v>0.73</v>
      </c>
      <c r="I308" s="430">
        <v>0.73</v>
      </c>
      <c r="J308" s="430">
        <v>0.73</v>
      </c>
      <c r="K308" s="431"/>
      <c r="L308" s="428">
        <v>2</v>
      </c>
    </row>
    <row r="309" spans="1:12" hidden="1">
      <c r="A309" s="414">
        <v>40197</v>
      </c>
      <c r="B309" s="414" t="s">
        <v>668</v>
      </c>
      <c r="C309" s="415">
        <v>364</v>
      </c>
      <c r="D309" s="414">
        <v>40561</v>
      </c>
      <c r="E309" s="418">
        <v>3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L309" s="415">
        <v>0</v>
      </c>
    </row>
    <row r="310" spans="1:12" hidden="1">
      <c r="A310" s="427">
        <v>40200</v>
      </c>
      <c r="B310" s="427" t="s">
        <v>669</v>
      </c>
      <c r="C310" s="428">
        <v>91</v>
      </c>
      <c r="D310" s="427">
        <v>40291</v>
      </c>
      <c r="E310" s="429">
        <v>25</v>
      </c>
      <c r="F310" s="430">
        <v>3.3769999999999998</v>
      </c>
      <c r="G310" s="430">
        <v>3.3769999999999998</v>
      </c>
      <c r="H310" s="430">
        <v>1.41</v>
      </c>
      <c r="I310" s="430">
        <v>1.41</v>
      </c>
      <c r="J310" s="430">
        <v>1.41</v>
      </c>
      <c r="K310" s="431"/>
      <c r="L310" s="428">
        <v>1</v>
      </c>
    </row>
    <row r="311" spans="1:12" hidden="1">
      <c r="A311" s="414">
        <v>40204</v>
      </c>
      <c r="B311" s="414" t="s">
        <v>670</v>
      </c>
      <c r="C311" s="415">
        <v>182</v>
      </c>
      <c r="D311" s="414">
        <v>40386</v>
      </c>
      <c r="E311" s="418">
        <v>15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L311" s="415">
        <v>0</v>
      </c>
    </row>
    <row r="312" spans="1:12" hidden="1">
      <c r="A312" s="427">
        <v>40204</v>
      </c>
      <c r="B312" s="427" t="s">
        <v>671</v>
      </c>
      <c r="C312" s="428">
        <v>364</v>
      </c>
      <c r="D312" s="427">
        <v>40568</v>
      </c>
      <c r="E312" s="429">
        <v>4</v>
      </c>
      <c r="F312" s="430">
        <v>9.4184000000000001</v>
      </c>
      <c r="G312" s="430">
        <v>4</v>
      </c>
      <c r="H312" s="430">
        <v>3.75</v>
      </c>
      <c r="I312" s="430">
        <v>3.75</v>
      </c>
      <c r="J312" s="430">
        <v>3.75</v>
      </c>
      <c r="K312" s="431"/>
      <c r="L312" s="428">
        <v>3</v>
      </c>
    </row>
    <row r="313" spans="1:12" hidden="1">
      <c r="A313" s="414">
        <v>40211</v>
      </c>
      <c r="B313" s="414" t="s">
        <v>672</v>
      </c>
      <c r="C313" s="415">
        <v>35</v>
      </c>
      <c r="D313" s="414">
        <v>40246</v>
      </c>
      <c r="E313" s="418">
        <v>18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L313" s="415">
        <v>0</v>
      </c>
    </row>
    <row r="314" spans="1:12" hidden="1">
      <c r="A314" s="427">
        <v>40211</v>
      </c>
      <c r="B314" s="427" t="s">
        <v>673</v>
      </c>
      <c r="C314" s="428">
        <v>364</v>
      </c>
      <c r="D314" s="427">
        <v>40575</v>
      </c>
      <c r="E314" s="429">
        <v>3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1"/>
      <c r="L314" s="428">
        <v>0</v>
      </c>
    </row>
    <row r="315" spans="1:12" hidden="1">
      <c r="A315" s="414">
        <v>40214</v>
      </c>
      <c r="B315" s="414" t="s">
        <v>674</v>
      </c>
      <c r="C315" s="415">
        <v>91</v>
      </c>
      <c r="D315" s="414">
        <v>40305</v>
      </c>
      <c r="E315" s="418">
        <v>18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L315" s="415">
        <v>0</v>
      </c>
    </row>
    <row r="316" spans="1:12" hidden="1">
      <c r="A316" s="427">
        <v>40218</v>
      </c>
      <c r="B316" s="427" t="s">
        <v>675</v>
      </c>
      <c r="C316" s="428">
        <v>182</v>
      </c>
      <c r="D316" s="427">
        <v>40400</v>
      </c>
      <c r="E316" s="429">
        <v>7</v>
      </c>
      <c r="F316" s="430">
        <v>0</v>
      </c>
      <c r="G316" s="430">
        <v>0</v>
      </c>
      <c r="H316" s="430">
        <v>0</v>
      </c>
      <c r="I316" s="430">
        <v>0</v>
      </c>
      <c r="J316" s="430">
        <v>0</v>
      </c>
      <c r="K316" s="431"/>
      <c r="L316" s="428">
        <v>0</v>
      </c>
    </row>
    <row r="317" spans="1:12" hidden="1">
      <c r="A317" s="414">
        <v>40218</v>
      </c>
      <c r="B317" s="414" t="s">
        <v>676</v>
      </c>
      <c r="C317" s="415">
        <v>364</v>
      </c>
      <c r="D317" s="414">
        <v>40582</v>
      </c>
      <c r="E317" s="418">
        <v>4</v>
      </c>
      <c r="F317" s="416">
        <v>6.5</v>
      </c>
      <c r="G317" s="416">
        <v>4</v>
      </c>
      <c r="H317" s="416">
        <v>3.75</v>
      </c>
      <c r="I317" s="416">
        <v>3.75</v>
      </c>
      <c r="J317" s="416">
        <v>3.75</v>
      </c>
      <c r="L317" s="415">
        <v>3</v>
      </c>
    </row>
    <row r="318" spans="1:12" hidden="1">
      <c r="A318" s="427">
        <v>40221</v>
      </c>
      <c r="B318" s="427" t="s">
        <v>677</v>
      </c>
      <c r="C318" s="428">
        <v>728</v>
      </c>
      <c r="D318" s="427">
        <v>40949</v>
      </c>
      <c r="E318" s="429">
        <v>2</v>
      </c>
      <c r="F318" s="430">
        <v>0</v>
      </c>
      <c r="G318" s="430">
        <v>0</v>
      </c>
      <c r="H318" s="430">
        <v>0</v>
      </c>
      <c r="I318" s="430">
        <v>0</v>
      </c>
      <c r="J318" s="430">
        <v>0</v>
      </c>
      <c r="K318" s="431"/>
      <c r="L318" s="428">
        <v>0</v>
      </c>
    </row>
    <row r="319" spans="1:12" hidden="1">
      <c r="A319" s="414">
        <v>40225</v>
      </c>
      <c r="B319" s="414" t="s">
        <v>678</v>
      </c>
      <c r="C319" s="415">
        <v>364</v>
      </c>
      <c r="D319" s="414">
        <v>40589</v>
      </c>
      <c r="E319" s="418">
        <v>2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L319" s="415">
        <v>0</v>
      </c>
    </row>
    <row r="320" spans="1:12" hidden="1">
      <c r="A320" s="427">
        <v>40228</v>
      </c>
      <c r="B320" s="427" t="s">
        <v>679</v>
      </c>
      <c r="C320" s="428">
        <v>91</v>
      </c>
      <c r="D320" s="427">
        <v>40319</v>
      </c>
      <c r="E320" s="429">
        <v>15</v>
      </c>
      <c r="F320" s="430">
        <v>0</v>
      </c>
      <c r="G320" s="430">
        <v>0</v>
      </c>
      <c r="H320" s="430">
        <v>0</v>
      </c>
      <c r="I320" s="430">
        <v>0</v>
      </c>
      <c r="J320" s="430">
        <v>0</v>
      </c>
      <c r="K320" s="431"/>
      <c r="L320" s="428">
        <v>0</v>
      </c>
    </row>
    <row r="321" spans="1:12" hidden="1">
      <c r="A321" s="414">
        <v>40232</v>
      </c>
      <c r="B321" s="414" t="s">
        <v>680</v>
      </c>
      <c r="C321" s="415">
        <v>182</v>
      </c>
      <c r="D321" s="414">
        <v>40414</v>
      </c>
      <c r="E321" s="418">
        <v>8</v>
      </c>
      <c r="F321" s="416">
        <v>0</v>
      </c>
      <c r="G321" s="416">
        <v>0</v>
      </c>
      <c r="H321" s="416">
        <v>0</v>
      </c>
      <c r="I321" s="416">
        <v>0</v>
      </c>
      <c r="J321" s="416">
        <v>0</v>
      </c>
      <c r="L321" s="415">
        <v>0</v>
      </c>
    </row>
    <row r="322" spans="1:12" hidden="1">
      <c r="A322" s="427">
        <v>40232</v>
      </c>
      <c r="B322" s="427" t="s">
        <v>681</v>
      </c>
      <c r="C322" s="428">
        <v>364</v>
      </c>
      <c r="D322" s="427">
        <v>40596</v>
      </c>
      <c r="E322" s="429">
        <v>4</v>
      </c>
      <c r="F322" s="430">
        <v>4</v>
      </c>
      <c r="G322" s="430">
        <v>4</v>
      </c>
      <c r="H322" s="430">
        <v>3.75</v>
      </c>
      <c r="I322" s="430">
        <v>3.75</v>
      </c>
      <c r="J322" s="430">
        <v>3.75</v>
      </c>
      <c r="K322" s="431"/>
      <c r="L322" s="428">
        <v>1</v>
      </c>
    </row>
    <row r="323" spans="1:12" hidden="1">
      <c r="A323" s="414">
        <v>40235</v>
      </c>
      <c r="B323" s="414" t="s">
        <v>682</v>
      </c>
      <c r="C323" s="415">
        <v>728</v>
      </c>
      <c r="D323" s="414">
        <v>40963</v>
      </c>
      <c r="E323" s="418">
        <v>2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L323" s="415">
        <v>0</v>
      </c>
    </row>
    <row r="324" spans="1:12" hidden="1">
      <c r="A324" s="427">
        <v>40239</v>
      </c>
      <c r="B324" s="427" t="s">
        <v>683</v>
      </c>
      <c r="C324" s="428">
        <v>35</v>
      </c>
      <c r="D324" s="427">
        <v>40274</v>
      </c>
      <c r="E324" s="429">
        <v>18</v>
      </c>
      <c r="F324" s="430">
        <v>0</v>
      </c>
      <c r="G324" s="430">
        <v>0</v>
      </c>
      <c r="H324" s="430">
        <v>0</v>
      </c>
      <c r="I324" s="430">
        <v>0</v>
      </c>
      <c r="J324" s="430">
        <v>0</v>
      </c>
      <c r="K324" s="431"/>
      <c r="L324" s="428">
        <v>0</v>
      </c>
    </row>
    <row r="325" spans="1:12" hidden="1">
      <c r="A325" s="414">
        <v>40239</v>
      </c>
      <c r="B325" s="414" t="s">
        <v>684</v>
      </c>
      <c r="C325" s="415">
        <v>364</v>
      </c>
      <c r="D325" s="414">
        <v>40603</v>
      </c>
      <c r="E325" s="418">
        <v>3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L325" s="415">
        <v>0</v>
      </c>
    </row>
    <row r="326" spans="1:12" hidden="1">
      <c r="A326" s="427">
        <v>40242</v>
      </c>
      <c r="B326" s="427" t="s">
        <v>685</v>
      </c>
      <c r="C326" s="428">
        <v>91</v>
      </c>
      <c r="D326" s="427">
        <v>40333</v>
      </c>
      <c r="E326" s="429">
        <v>18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1"/>
      <c r="L326" s="428">
        <v>0</v>
      </c>
    </row>
    <row r="327" spans="1:12" hidden="1">
      <c r="A327" s="414">
        <v>40246</v>
      </c>
      <c r="B327" s="414" t="s">
        <v>686</v>
      </c>
      <c r="C327" s="415">
        <v>182</v>
      </c>
      <c r="D327" s="414">
        <v>40428</v>
      </c>
      <c r="E327" s="418">
        <v>7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L327" s="415">
        <v>0</v>
      </c>
    </row>
    <row r="328" spans="1:12" hidden="1">
      <c r="A328" s="427">
        <v>40249</v>
      </c>
      <c r="B328" s="427" t="s">
        <v>687</v>
      </c>
      <c r="C328" s="428">
        <v>728</v>
      </c>
      <c r="D328" s="427">
        <v>40977</v>
      </c>
      <c r="E328" s="429">
        <v>3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1"/>
      <c r="L328" s="428">
        <v>0</v>
      </c>
    </row>
    <row r="329" spans="1:12" hidden="1">
      <c r="A329" s="414">
        <v>40249</v>
      </c>
      <c r="B329" s="414" t="s">
        <v>688</v>
      </c>
      <c r="C329" s="415">
        <v>364</v>
      </c>
      <c r="D329" s="414">
        <v>40613</v>
      </c>
      <c r="E329" s="418">
        <v>4</v>
      </c>
      <c r="F329" s="416">
        <v>6.2992999999999997</v>
      </c>
      <c r="G329" s="416">
        <v>4</v>
      </c>
      <c r="H329" s="416">
        <v>3.75</v>
      </c>
      <c r="I329" s="416">
        <v>3.75</v>
      </c>
      <c r="J329" s="416">
        <v>3.75</v>
      </c>
      <c r="L329" s="415">
        <v>3</v>
      </c>
    </row>
    <row r="330" spans="1:12" hidden="1">
      <c r="A330" s="427">
        <v>40253</v>
      </c>
      <c r="B330" s="427" t="s">
        <v>689</v>
      </c>
      <c r="C330" s="428">
        <v>35</v>
      </c>
      <c r="D330" s="427">
        <v>40288</v>
      </c>
      <c r="E330" s="429">
        <v>20</v>
      </c>
      <c r="F330" s="430">
        <v>8.8030000000000008</v>
      </c>
      <c r="G330" s="430">
        <v>5.8010999999999999</v>
      </c>
      <c r="H330" s="430">
        <v>0.73</v>
      </c>
      <c r="I330" s="430">
        <v>0.73</v>
      </c>
      <c r="J330" s="430">
        <v>0.73</v>
      </c>
      <c r="K330" s="431"/>
      <c r="L330" s="428">
        <v>3</v>
      </c>
    </row>
    <row r="331" spans="1:12" hidden="1">
      <c r="A331" s="414">
        <v>40253</v>
      </c>
      <c r="B331" s="414" t="s">
        <v>690</v>
      </c>
      <c r="C331" s="415">
        <v>364</v>
      </c>
      <c r="D331" s="414">
        <v>40617</v>
      </c>
      <c r="E331" s="418">
        <v>2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L331" s="415">
        <v>0</v>
      </c>
    </row>
    <row r="332" spans="1:12" hidden="1">
      <c r="A332" s="427">
        <v>40256</v>
      </c>
      <c r="B332" s="427" t="s">
        <v>691</v>
      </c>
      <c r="C332" s="428">
        <v>91</v>
      </c>
      <c r="D332" s="427">
        <v>40347</v>
      </c>
      <c r="E332" s="429">
        <v>15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1"/>
      <c r="L332" s="428">
        <v>0</v>
      </c>
    </row>
    <row r="333" spans="1:12" hidden="1">
      <c r="A333" s="414">
        <v>40256</v>
      </c>
      <c r="B333" s="414" t="s">
        <v>692</v>
      </c>
      <c r="C333" s="415">
        <v>364</v>
      </c>
      <c r="D333" s="414">
        <v>40620</v>
      </c>
      <c r="E333" s="418">
        <v>4</v>
      </c>
      <c r="F333" s="416">
        <v>5.8</v>
      </c>
      <c r="G333" s="416">
        <v>4</v>
      </c>
      <c r="H333" s="416">
        <v>3.75</v>
      </c>
      <c r="I333" s="416">
        <v>3.75</v>
      </c>
      <c r="J333" s="416">
        <v>3.75</v>
      </c>
      <c r="L333" s="415">
        <v>2</v>
      </c>
    </row>
    <row r="334" spans="1:12" hidden="1">
      <c r="A334" s="427">
        <v>40256</v>
      </c>
      <c r="B334" s="427" t="s">
        <v>693</v>
      </c>
      <c r="C334" s="428">
        <v>182</v>
      </c>
      <c r="D334" s="427">
        <v>40438</v>
      </c>
      <c r="E334" s="429">
        <v>8</v>
      </c>
      <c r="F334" s="430">
        <v>1.4046000000000001</v>
      </c>
      <c r="G334" s="430">
        <v>1.4046000000000001</v>
      </c>
      <c r="H334" s="430">
        <v>1.1100000000000001</v>
      </c>
      <c r="I334" s="430">
        <v>1.1100000000000001</v>
      </c>
      <c r="J334" s="430">
        <v>1.01</v>
      </c>
      <c r="K334" s="431"/>
      <c r="L334" s="428">
        <v>3</v>
      </c>
    </row>
    <row r="335" spans="1:12" hidden="1">
      <c r="A335" s="414">
        <v>40274</v>
      </c>
      <c r="B335" s="414" t="s">
        <v>694</v>
      </c>
      <c r="C335" s="415">
        <v>364</v>
      </c>
      <c r="D335" s="414">
        <v>40638</v>
      </c>
      <c r="E335" s="418">
        <v>3</v>
      </c>
      <c r="F335" s="416">
        <v>2.8755000000000002</v>
      </c>
      <c r="G335" s="416">
        <v>2.8755000000000002</v>
      </c>
      <c r="H335" s="416">
        <v>2.88</v>
      </c>
      <c r="I335" s="416">
        <v>2.88</v>
      </c>
      <c r="J335" s="416">
        <v>2.86</v>
      </c>
      <c r="L335" s="415">
        <v>2</v>
      </c>
    </row>
    <row r="336" spans="1:12" hidden="1">
      <c r="A336" s="427">
        <v>40274</v>
      </c>
      <c r="B336" s="427" t="s">
        <v>695</v>
      </c>
      <c r="C336" s="428">
        <v>35</v>
      </c>
      <c r="D336" s="427">
        <v>40309</v>
      </c>
      <c r="E336" s="429">
        <v>18</v>
      </c>
      <c r="F336" s="430">
        <v>5.3018000000000001</v>
      </c>
      <c r="G336" s="430">
        <v>5.3018000000000001</v>
      </c>
      <c r="H336" s="430">
        <v>1.04</v>
      </c>
      <c r="I336" s="430">
        <v>1.04</v>
      </c>
      <c r="J336" s="430">
        <v>0.94000000000000006</v>
      </c>
      <c r="K336" s="431"/>
      <c r="L336" s="428">
        <v>2</v>
      </c>
    </row>
    <row r="337" spans="1:12" hidden="1">
      <c r="A337" s="414">
        <v>40277</v>
      </c>
      <c r="B337" s="414" t="s">
        <v>696</v>
      </c>
      <c r="C337" s="415">
        <v>91</v>
      </c>
      <c r="D337" s="414">
        <v>40368</v>
      </c>
      <c r="E337" s="418">
        <v>18</v>
      </c>
      <c r="F337" s="416">
        <v>3.0053999999999998</v>
      </c>
      <c r="G337" s="416">
        <v>3.0053999999999998</v>
      </c>
      <c r="H337" s="416">
        <v>1.3299999999999998</v>
      </c>
      <c r="I337" s="416">
        <v>1.3299999999999998</v>
      </c>
      <c r="J337" s="416">
        <v>1.3299999999999998</v>
      </c>
      <c r="L337" s="415">
        <v>1</v>
      </c>
    </row>
    <row r="338" spans="1:12" hidden="1">
      <c r="A338" s="427">
        <v>40281</v>
      </c>
      <c r="B338" s="427" t="s">
        <v>697</v>
      </c>
      <c r="C338" s="428">
        <v>182</v>
      </c>
      <c r="D338" s="427">
        <v>40463</v>
      </c>
      <c r="E338" s="429">
        <v>7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1"/>
      <c r="L338" s="428">
        <v>0</v>
      </c>
    </row>
    <row r="339" spans="1:12" hidden="1">
      <c r="A339" s="414">
        <v>40281</v>
      </c>
      <c r="B339" s="414" t="s">
        <v>698</v>
      </c>
      <c r="C339" s="415">
        <v>364</v>
      </c>
      <c r="D339" s="414">
        <v>40645</v>
      </c>
      <c r="E339" s="418">
        <v>4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L339" s="415">
        <v>0</v>
      </c>
    </row>
    <row r="340" spans="1:12" hidden="1">
      <c r="A340" s="427">
        <v>40281</v>
      </c>
      <c r="B340" s="427" t="s">
        <v>699</v>
      </c>
      <c r="C340" s="428">
        <v>1800</v>
      </c>
      <c r="D340" s="427">
        <v>42101</v>
      </c>
      <c r="E340" s="429">
        <v>500</v>
      </c>
      <c r="F340" s="430">
        <v>40</v>
      </c>
      <c r="G340" s="430">
        <v>40</v>
      </c>
      <c r="H340" s="430">
        <v>2</v>
      </c>
      <c r="I340" s="430">
        <v>2</v>
      </c>
      <c r="J340" s="430">
        <v>2</v>
      </c>
      <c r="K340" s="431"/>
      <c r="L340" s="428">
        <v>1</v>
      </c>
    </row>
    <row r="341" spans="1:12" hidden="1">
      <c r="A341" s="414">
        <v>40284</v>
      </c>
      <c r="B341" s="414" t="s">
        <v>700</v>
      </c>
      <c r="C341" s="415">
        <v>728</v>
      </c>
      <c r="D341" s="414">
        <v>41012</v>
      </c>
      <c r="E341" s="418">
        <v>2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L341" s="415">
        <v>0</v>
      </c>
    </row>
    <row r="342" spans="1:12" hidden="1">
      <c r="A342" s="427">
        <v>40284</v>
      </c>
      <c r="B342" s="427" t="s">
        <v>701</v>
      </c>
      <c r="C342" s="428">
        <v>1092</v>
      </c>
      <c r="D342" s="427">
        <v>41376</v>
      </c>
      <c r="E342" s="429">
        <v>2</v>
      </c>
      <c r="F342" s="430">
        <v>2</v>
      </c>
      <c r="G342" s="430">
        <v>2</v>
      </c>
      <c r="H342" s="430">
        <v>4.5</v>
      </c>
      <c r="I342" s="430">
        <v>4.5</v>
      </c>
      <c r="J342" s="430">
        <v>4.5</v>
      </c>
      <c r="K342" s="431"/>
      <c r="L342" s="428">
        <v>1</v>
      </c>
    </row>
    <row r="343" spans="1:12" hidden="1">
      <c r="A343" s="414">
        <v>40288</v>
      </c>
      <c r="B343" s="414" t="s">
        <v>702</v>
      </c>
      <c r="C343" s="415">
        <v>35</v>
      </c>
      <c r="D343" s="414">
        <v>40323</v>
      </c>
      <c r="E343" s="418">
        <v>20</v>
      </c>
      <c r="F343" s="416">
        <v>9.0070999999999994</v>
      </c>
      <c r="G343" s="416">
        <v>6.0046999999999997</v>
      </c>
      <c r="H343" s="416">
        <v>1.1499999999999999</v>
      </c>
      <c r="I343" s="416">
        <v>1.1499999999999999</v>
      </c>
      <c r="J343" s="416">
        <v>1.04</v>
      </c>
      <c r="L343" s="415">
        <v>3</v>
      </c>
    </row>
    <row r="344" spans="1:12" hidden="1">
      <c r="A344" s="427">
        <v>40288</v>
      </c>
      <c r="B344" s="427" t="s">
        <v>703</v>
      </c>
      <c r="C344" s="428">
        <v>364</v>
      </c>
      <c r="D344" s="427">
        <v>40652</v>
      </c>
      <c r="E344" s="429">
        <v>2</v>
      </c>
      <c r="F344" s="430">
        <v>0</v>
      </c>
      <c r="G344" s="430">
        <v>0</v>
      </c>
      <c r="H344" s="430">
        <v>0</v>
      </c>
      <c r="I344" s="430">
        <v>0</v>
      </c>
      <c r="J344" s="430">
        <v>0</v>
      </c>
      <c r="K344" s="431"/>
      <c r="L344" s="428">
        <v>0</v>
      </c>
    </row>
    <row r="345" spans="1:12" hidden="1">
      <c r="A345" s="414">
        <v>40291</v>
      </c>
      <c r="B345" s="414" t="s">
        <v>704</v>
      </c>
      <c r="C345" s="415">
        <v>91</v>
      </c>
      <c r="D345" s="414">
        <v>40382</v>
      </c>
      <c r="E345" s="418">
        <v>15</v>
      </c>
      <c r="F345" s="416">
        <v>4.0393999999999997</v>
      </c>
      <c r="G345" s="416">
        <v>4.0393999999999997</v>
      </c>
      <c r="H345" s="416">
        <v>1.3299999999999998</v>
      </c>
      <c r="I345" s="416">
        <v>1.3299999999999998</v>
      </c>
      <c r="J345" s="416">
        <v>1.3299999999999998</v>
      </c>
      <c r="L345" s="415">
        <v>2</v>
      </c>
    </row>
    <row r="346" spans="1:12" hidden="1">
      <c r="A346" s="427">
        <v>40295</v>
      </c>
      <c r="B346" s="427" t="s">
        <v>705</v>
      </c>
      <c r="C346" s="428">
        <v>182</v>
      </c>
      <c r="D346" s="427">
        <v>40477</v>
      </c>
      <c r="E346" s="429">
        <v>8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1"/>
      <c r="L346" s="428">
        <v>0</v>
      </c>
    </row>
    <row r="347" spans="1:12" hidden="1">
      <c r="A347" s="414">
        <v>40295</v>
      </c>
      <c r="B347" s="414" t="s">
        <v>706</v>
      </c>
      <c r="C347" s="415">
        <v>364</v>
      </c>
      <c r="D347" s="414">
        <v>40659</v>
      </c>
      <c r="E347" s="418">
        <v>4</v>
      </c>
      <c r="F347" s="416">
        <v>5.04</v>
      </c>
      <c r="G347" s="416">
        <v>4</v>
      </c>
      <c r="H347" s="416">
        <v>3.75</v>
      </c>
      <c r="I347" s="416">
        <v>3.75</v>
      </c>
      <c r="J347" s="416">
        <v>3.75</v>
      </c>
      <c r="L347" s="415">
        <v>2</v>
      </c>
    </row>
    <row r="348" spans="1:12" hidden="1">
      <c r="A348" s="427">
        <v>40298</v>
      </c>
      <c r="B348" s="427" t="s">
        <v>707</v>
      </c>
      <c r="C348" s="428">
        <v>728</v>
      </c>
      <c r="D348" s="427">
        <v>41026</v>
      </c>
      <c r="E348" s="429">
        <v>2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1"/>
      <c r="L348" s="428">
        <v>0</v>
      </c>
    </row>
    <row r="349" spans="1:12" hidden="1">
      <c r="A349" s="414">
        <v>40298</v>
      </c>
      <c r="B349" s="414" t="s">
        <v>708</v>
      </c>
      <c r="C349" s="415">
        <v>1092</v>
      </c>
      <c r="D349" s="414">
        <v>41390</v>
      </c>
      <c r="E349" s="418">
        <v>3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L349" s="415">
        <v>0</v>
      </c>
    </row>
    <row r="350" spans="1:12" hidden="1">
      <c r="A350" s="427">
        <v>40302</v>
      </c>
      <c r="B350" s="427" t="s">
        <v>709</v>
      </c>
      <c r="C350" s="428">
        <v>35</v>
      </c>
      <c r="D350" s="427">
        <v>40337</v>
      </c>
      <c r="E350" s="429">
        <v>18</v>
      </c>
      <c r="F350" s="430">
        <v>2.1105999999999998</v>
      </c>
      <c r="G350" s="430">
        <v>2.1105999999999998</v>
      </c>
      <c r="H350" s="430">
        <v>1.1499999999999999</v>
      </c>
      <c r="I350" s="430">
        <v>1.1499999999999999</v>
      </c>
      <c r="J350" s="430">
        <v>1.1499999999999999</v>
      </c>
      <c r="K350" s="431"/>
      <c r="L350" s="428">
        <v>2</v>
      </c>
    </row>
    <row r="351" spans="1:12" hidden="1">
      <c r="A351" s="414">
        <v>40302</v>
      </c>
      <c r="B351" s="414" t="s">
        <v>710</v>
      </c>
      <c r="C351" s="415">
        <v>364</v>
      </c>
      <c r="D351" s="414">
        <v>40666</v>
      </c>
      <c r="E351" s="418">
        <v>3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L351" s="415">
        <v>0</v>
      </c>
    </row>
    <row r="352" spans="1:12" hidden="1">
      <c r="A352" s="427">
        <v>40305</v>
      </c>
      <c r="B352" s="427" t="s">
        <v>711</v>
      </c>
      <c r="C352" s="428">
        <v>91</v>
      </c>
      <c r="D352" s="427">
        <v>40396</v>
      </c>
      <c r="E352" s="429">
        <v>18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1"/>
      <c r="L352" s="428">
        <v>0</v>
      </c>
    </row>
    <row r="353" spans="1:12" hidden="1">
      <c r="A353" s="414">
        <v>40309</v>
      </c>
      <c r="B353" s="414" t="s">
        <v>712</v>
      </c>
      <c r="C353" s="415">
        <v>182</v>
      </c>
      <c r="D353" s="414">
        <v>40491</v>
      </c>
      <c r="E353" s="418">
        <v>7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L353" s="415">
        <v>0</v>
      </c>
    </row>
    <row r="354" spans="1:12" hidden="1">
      <c r="A354" s="427">
        <v>40309</v>
      </c>
      <c r="B354" s="427" t="s">
        <v>713</v>
      </c>
      <c r="C354" s="428">
        <v>364</v>
      </c>
      <c r="D354" s="427">
        <v>40673</v>
      </c>
      <c r="E354" s="429">
        <v>4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1"/>
      <c r="L354" s="428">
        <v>0</v>
      </c>
    </row>
    <row r="355" spans="1:12" hidden="1">
      <c r="A355" s="414">
        <v>40312</v>
      </c>
      <c r="B355" s="414" t="s">
        <v>714</v>
      </c>
      <c r="C355" s="415">
        <v>728</v>
      </c>
      <c r="D355" s="414">
        <v>41040</v>
      </c>
      <c r="E355" s="418">
        <v>2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L355" s="415">
        <v>0</v>
      </c>
    </row>
    <row r="356" spans="1:12" hidden="1">
      <c r="A356" s="427">
        <v>40312</v>
      </c>
      <c r="B356" s="427" t="s">
        <v>715</v>
      </c>
      <c r="C356" s="428">
        <v>1092</v>
      </c>
      <c r="D356" s="427">
        <v>41404</v>
      </c>
      <c r="E356" s="429">
        <v>2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1"/>
      <c r="L356" s="428">
        <v>0</v>
      </c>
    </row>
    <row r="357" spans="1:12" hidden="1">
      <c r="A357" s="414">
        <v>40316</v>
      </c>
      <c r="B357" s="414" t="s">
        <v>716</v>
      </c>
      <c r="C357" s="415">
        <v>35</v>
      </c>
      <c r="D357" s="414">
        <v>40351</v>
      </c>
      <c r="E357" s="418">
        <v>20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L357" s="415">
        <v>0</v>
      </c>
    </row>
    <row r="358" spans="1:12" hidden="1">
      <c r="A358" s="427">
        <v>40316</v>
      </c>
      <c r="B358" s="427" t="s">
        <v>717</v>
      </c>
      <c r="C358" s="428">
        <v>364</v>
      </c>
      <c r="D358" s="427">
        <v>40680</v>
      </c>
      <c r="E358" s="429">
        <v>2</v>
      </c>
      <c r="F358" s="430">
        <v>2.0588000000000002</v>
      </c>
      <c r="G358" s="430">
        <v>2</v>
      </c>
      <c r="H358" s="430">
        <v>3.45</v>
      </c>
      <c r="I358" s="430">
        <v>3.45</v>
      </c>
      <c r="J358" s="430">
        <v>3.4000000000000004</v>
      </c>
      <c r="K358" s="431"/>
      <c r="L358" s="428">
        <v>2</v>
      </c>
    </row>
    <row r="359" spans="1:12" hidden="1">
      <c r="A359" s="414">
        <v>40319</v>
      </c>
      <c r="B359" s="414" t="s">
        <v>718</v>
      </c>
      <c r="C359" s="415">
        <v>91</v>
      </c>
      <c r="D359" s="414">
        <v>40410</v>
      </c>
      <c r="E359" s="418">
        <v>15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L359" s="415">
        <v>0</v>
      </c>
    </row>
    <row r="360" spans="1:12" hidden="1">
      <c r="A360" s="427">
        <v>40323</v>
      </c>
      <c r="B360" s="427" t="s">
        <v>719</v>
      </c>
      <c r="C360" s="428">
        <v>182</v>
      </c>
      <c r="D360" s="427">
        <v>40505</v>
      </c>
      <c r="E360" s="429">
        <v>8</v>
      </c>
      <c r="F360" s="430">
        <v>0.19600000000000001</v>
      </c>
      <c r="G360" s="430">
        <v>0</v>
      </c>
      <c r="H360" s="430">
        <v>1.92</v>
      </c>
      <c r="I360" s="430">
        <v>1.92</v>
      </c>
      <c r="J360" s="430">
        <v>0</v>
      </c>
      <c r="K360" s="431"/>
      <c r="L360" s="428">
        <v>1</v>
      </c>
    </row>
    <row r="361" spans="1:12" hidden="1">
      <c r="A361" s="414">
        <v>40323</v>
      </c>
      <c r="B361" s="414" t="s">
        <v>720</v>
      </c>
      <c r="C361" s="415">
        <v>364</v>
      </c>
      <c r="D361" s="414">
        <v>40687</v>
      </c>
      <c r="E361" s="418">
        <v>4</v>
      </c>
      <c r="F361" s="416">
        <v>0.25</v>
      </c>
      <c r="G361" s="416">
        <v>0</v>
      </c>
      <c r="H361" s="416">
        <v>3.75</v>
      </c>
      <c r="I361" s="416">
        <v>3.75</v>
      </c>
      <c r="J361" s="416">
        <v>0</v>
      </c>
      <c r="L361" s="415">
        <v>0</v>
      </c>
    </row>
    <row r="362" spans="1:12" hidden="1">
      <c r="A362" s="427">
        <v>40323</v>
      </c>
      <c r="B362" s="427" t="s">
        <v>721</v>
      </c>
      <c r="C362" s="428">
        <v>728</v>
      </c>
      <c r="D362" s="427">
        <v>41051</v>
      </c>
      <c r="E362" s="429">
        <v>2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1"/>
      <c r="L362" s="428">
        <v>0</v>
      </c>
    </row>
    <row r="363" spans="1:12" hidden="1">
      <c r="A363" s="414">
        <v>40323</v>
      </c>
      <c r="B363" s="414" t="s">
        <v>722</v>
      </c>
      <c r="C363" s="415">
        <v>1092</v>
      </c>
      <c r="D363" s="414">
        <v>41415</v>
      </c>
      <c r="E363" s="418">
        <v>3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L363" s="415">
        <v>0</v>
      </c>
    </row>
    <row r="364" spans="1:12" hidden="1">
      <c r="A364" s="427">
        <v>40330</v>
      </c>
      <c r="B364" s="427" t="s">
        <v>723</v>
      </c>
      <c r="C364" s="428">
        <v>364</v>
      </c>
      <c r="D364" s="427">
        <v>40694</v>
      </c>
      <c r="E364" s="429">
        <v>3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1"/>
      <c r="L364" s="428">
        <v>0</v>
      </c>
    </row>
    <row r="365" spans="1:12" hidden="1">
      <c r="A365" s="414">
        <v>40330</v>
      </c>
      <c r="B365" s="414" t="s">
        <v>724</v>
      </c>
      <c r="C365" s="415">
        <v>35</v>
      </c>
      <c r="D365" s="414">
        <v>40365</v>
      </c>
      <c r="E365" s="418">
        <v>18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L365" s="415">
        <v>0</v>
      </c>
    </row>
    <row r="366" spans="1:12" hidden="1">
      <c r="A366" s="427">
        <v>40333</v>
      </c>
      <c r="B366" s="427" t="s">
        <v>725</v>
      </c>
      <c r="C366" s="428">
        <v>91</v>
      </c>
      <c r="D366" s="427">
        <v>40424</v>
      </c>
      <c r="E366" s="429">
        <v>18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1"/>
      <c r="L366" s="428">
        <v>0</v>
      </c>
    </row>
    <row r="367" spans="1:12" hidden="1">
      <c r="A367" s="414">
        <v>40337</v>
      </c>
      <c r="B367" s="414" t="s">
        <v>726</v>
      </c>
      <c r="C367" s="415">
        <v>182</v>
      </c>
      <c r="D367" s="414">
        <v>40519</v>
      </c>
      <c r="E367" s="418">
        <v>7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L367" s="415">
        <v>0</v>
      </c>
    </row>
    <row r="368" spans="1:12" hidden="1">
      <c r="A368" s="427">
        <v>40337</v>
      </c>
      <c r="B368" s="427" t="s">
        <v>727</v>
      </c>
      <c r="C368" s="428">
        <v>364</v>
      </c>
      <c r="D368" s="427">
        <v>40701</v>
      </c>
      <c r="E368" s="429">
        <v>4</v>
      </c>
      <c r="F368" s="430">
        <v>0.1087</v>
      </c>
      <c r="G368" s="430">
        <v>0</v>
      </c>
      <c r="H368" s="430">
        <v>3.75</v>
      </c>
      <c r="I368" s="430">
        <v>3.75</v>
      </c>
      <c r="J368" s="430">
        <v>0</v>
      </c>
      <c r="K368" s="431"/>
      <c r="L368" s="428">
        <v>0</v>
      </c>
    </row>
    <row r="369" spans="1:12" hidden="1">
      <c r="A369" s="414">
        <v>40340</v>
      </c>
      <c r="B369" s="414" t="s">
        <v>728</v>
      </c>
      <c r="C369" s="415">
        <v>1092</v>
      </c>
      <c r="D369" s="414">
        <v>41432</v>
      </c>
      <c r="E369" s="418">
        <v>2</v>
      </c>
      <c r="F369" s="416">
        <v>0</v>
      </c>
      <c r="G369" s="416">
        <v>0</v>
      </c>
      <c r="H369" s="416">
        <v>4.5</v>
      </c>
      <c r="I369" s="416">
        <v>4.5</v>
      </c>
      <c r="J369" s="416">
        <v>0</v>
      </c>
      <c r="L369" s="415">
        <v>0</v>
      </c>
    </row>
    <row r="370" spans="1:12" hidden="1">
      <c r="A370" s="427">
        <v>40340</v>
      </c>
      <c r="B370" s="427" t="s">
        <v>729</v>
      </c>
      <c r="C370" s="428">
        <v>728</v>
      </c>
      <c r="D370" s="427">
        <v>41068</v>
      </c>
      <c r="E370" s="429">
        <v>2</v>
      </c>
      <c r="F370" s="430">
        <v>0</v>
      </c>
      <c r="G370" s="430">
        <v>0</v>
      </c>
      <c r="H370" s="430">
        <v>4</v>
      </c>
      <c r="I370" s="430">
        <v>4</v>
      </c>
      <c r="J370" s="430">
        <v>0</v>
      </c>
      <c r="K370" s="431"/>
      <c r="L370" s="428">
        <v>0</v>
      </c>
    </row>
    <row r="371" spans="1:12" hidden="1">
      <c r="A371" s="414">
        <v>40347</v>
      </c>
      <c r="B371" s="414" t="s">
        <v>730</v>
      </c>
      <c r="C371" s="415">
        <v>35</v>
      </c>
      <c r="D371" s="414">
        <v>40382</v>
      </c>
      <c r="E371" s="418">
        <v>20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L371" s="415">
        <v>0</v>
      </c>
    </row>
    <row r="372" spans="1:12" hidden="1">
      <c r="A372" s="427">
        <v>40347</v>
      </c>
      <c r="B372" s="427" t="s">
        <v>731</v>
      </c>
      <c r="C372" s="428">
        <v>91</v>
      </c>
      <c r="D372" s="427">
        <v>40438</v>
      </c>
      <c r="E372" s="429">
        <v>15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1"/>
      <c r="L372" s="428">
        <v>0</v>
      </c>
    </row>
    <row r="373" spans="1:12" hidden="1">
      <c r="A373" s="414">
        <v>40347</v>
      </c>
      <c r="B373" s="414" t="s">
        <v>732</v>
      </c>
      <c r="C373" s="415">
        <v>364</v>
      </c>
      <c r="D373" s="414">
        <v>40711</v>
      </c>
      <c r="E373" s="418">
        <v>2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L373" s="415">
        <v>0</v>
      </c>
    </row>
    <row r="374" spans="1:12" hidden="1">
      <c r="A374" s="427">
        <v>40351</v>
      </c>
      <c r="B374" s="427" t="s">
        <v>733</v>
      </c>
      <c r="C374" s="428">
        <v>364</v>
      </c>
      <c r="D374" s="427">
        <v>40715</v>
      </c>
      <c r="E374" s="429">
        <v>4</v>
      </c>
      <c r="F374" s="430">
        <v>0</v>
      </c>
      <c r="G374" s="430">
        <v>0</v>
      </c>
      <c r="H374" s="430">
        <v>3.75</v>
      </c>
      <c r="I374" s="430">
        <v>3.75</v>
      </c>
      <c r="J374" s="430">
        <v>0</v>
      </c>
      <c r="K374" s="431"/>
      <c r="L374" s="428">
        <v>0</v>
      </c>
    </row>
    <row r="375" spans="1:12" hidden="1">
      <c r="A375" s="414">
        <v>40351</v>
      </c>
      <c r="B375" s="414" t="s">
        <v>734</v>
      </c>
      <c r="C375" s="415">
        <v>182</v>
      </c>
      <c r="D375" s="414">
        <v>40533</v>
      </c>
      <c r="E375" s="418">
        <v>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L375" s="415">
        <v>0</v>
      </c>
    </row>
    <row r="376" spans="1:12" hidden="1">
      <c r="A376" s="427">
        <v>40354</v>
      </c>
      <c r="B376" s="427" t="s">
        <v>735</v>
      </c>
      <c r="C376" s="428">
        <v>1092</v>
      </c>
      <c r="D376" s="427">
        <v>41446</v>
      </c>
      <c r="E376" s="429">
        <v>3</v>
      </c>
      <c r="F376" s="430">
        <v>3</v>
      </c>
      <c r="G376" s="430">
        <v>3</v>
      </c>
      <c r="H376" s="430">
        <v>4.5</v>
      </c>
      <c r="I376" s="430">
        <v>4.5</v>
      </c>
      <c r="J376" s="430">
        <v>4.5</v>
      </c>
      <c r="K376" s="431"/>
      <c r="L376" s="428">
        <v>1</v>
      </c>
    </row>
    <row r="377" spans="1:12" hidden="1">
      <c r="A377" s="414">
        <v>40354</v>
      </c>
      <c r="B377" s="414" t="s">
        <v>736</v>
      </c>
      <c r="C377" s="415">
        <v>728</v>
      </c>
      <c r="D377" s="414">
        <v>41082</v>
      </c>
      <c r="E377" s="418">
        <v>2</v>
      </c>
      <c r="F377" s="416">
        <v>0</v>
      </c>
      <c r="G377" s="416">
        <v>0</v>
      </c>
      <c r="H377" s="416">
        <v>4</v>
      </c>
      <c r="I377" s="416">
        <v>4</v>
      </c>
      <c r="J377" s="416">
        <v>0</v>
      </c>
      <c r="L377" s="415">
        <v>0</v>
      </c>
    </row>
    <row r="378" spans="1:12" hidden="1">
      <c r="A378" s="427">
        <v>40365</v>
      </c>
      <c r="B378" s="427" t="s">
        <v>737</v>
      </c>
      <c r="C378" s="428">
        <v>35</v>
      </c>
      <c r="D378" s="427">
        <v>40400</v>
      </c>
      <c r="E378" s="429">
        <v>18</v>
      </c>
      <c r="F378" s="430">
        <v>2.5394000000000001</v>
      </c>
      <c r="G378" s="430">
        <v>2.5394000000000001</v>
      </c>
      <c r="H378" s="430">
        <v>1.1499999999999999</v>
      </c>
      <c r="I378" s="430">
        <v>1.1499999999999999</v>
      </c>
      <c r="J378" s="430">
        <v>1.1499999999999999</v>
      </c>
      <c r="K378" s="431"/>
      <c r="L378" s="428">
        <v>2</v>
      </c>
    </row>
    <row r="379" spans="1:12" hidden="1">
      <c r="A379" s="414">
        <v>40365</v>
      </c>
      <c r="B379" s="414" t="s">
        <v>738</v>
      </c>
      <c r="C379" s="415">
        <v>364</v>
      </c>
      <c r="D379" s="414">
        <v>40729</v>
      </c>
      <c r="E379" s="418">
        <v>3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L379" s="415">
        <v>0</v>
      </c>
    </row>
    <row r="380" spans="1:12" hidden="1">
      <c r="A380" s="427">
        <v>40368</v>
      </c>
      <c r="B380" s="427" t="s">
        <v>739</v>
      </c>
      <c r="C380" s="428">
        <v>91</v>
      </c>
      <c r="D380" s="427">
        <v>40459</v>
      </c>
      <c r="E380" s="429">
        <v>20</v>
      </c>
      <c r="F380" s="430">
        <v>4.5171999999999999</v>
      </c>
      <c r="G380" s="430">
        <v>4.5171999999999999</v>
      </c>
      <c r="H380" s="430">
        <v>1.3299999999999998</v>
      </c>
      <c r="I380" s="430">
        <v>1.3299999999999998</v>
      </c>
      <c r="J380" s="430">
        <v>1.3299999999999998</v>
      </c>
      <c r="K380" s="431"/>
      <c r="L380" s="428">
        <v>2</v>
      </c>
    </row>
    <row r="381" spans="1:12" hidden="1">
      <c r="A381" s="414">
        <v>40372</v>
      </c>
      <c r="B381" s="414" t="s">
        <v>740</v>
      </c>
      <c r="C381" s="415">
        <v>182</v>
      </c>
      <c r="D381" s="414">
        <v>40554</v>
      </c>
      <c r="E381" s="418">
        <v>7</v>
      </c>
      <c r="F381" s="416">
        <v>0</v>
      </c>
      <c r="G381" s="416">
        <v>0</v>
      </c>
      <c r="H381" s="416">
        <v>0</v>
      </c>
      <c r="I381" s="416">
        <v>0</v>
      </c>
      <c r="J381" s="416">
        <v>0</v>
      </c>
      <c r="L381" s="415">
        <v>0</v>
      </c>
    </row>
    <row r="382" spans="1:12" hidden="1">
      <c r="A382" s="427">
        <v>40372</v>
      </c>
      <c r="B382" s="427" t="s">
        <v>741</v>
      </c>
      <c r="C382" s="428">
        <v>364</v>
      </c>
      <c r="D382" s="427">
        <v>40736</v>
      </c>
      <c r="E382" s="429">
        <v>4</v>
      </c>
      <c r="F382" s="430">
        <v>0</v>
      </c>
      <c r="G382" s="430">
        <v>0</v>
      </c>
      <c r="H382" s="430">
        <v>3.75</v>
      </c>
      <c r="I382" s="430">
        <v>3.75</v>
      </c>
      <c r="J382" s="430">
        <v>0</v>
      </c>
      <c r="K382" s="431"/>
      <c r="L382" s="428">
        <v>0</v>
      </c>
    </row>
    <row r="383" spans="1:12" hidden="1">
      <c r="A383" s="414">
        <v>40375</v>
      </c>
      <c r="B383" s="414" t="s">
        <v>742</v>
      </c>
      <c r="C383" s="415">
        <v>728</v>
      </c>
      <c r="D383" s="414">
        <v>41103</v>
      </c>
      <c r="E383" s="418">
        <v>3</v>
      </c>
      <c r="F383" s="416">
        <v>0</v>
      </c>
      <c r="G383" s="416">
        <v>0</v>
      </c>
      <c r="H383" s="416">
        <v>4</v>
      </c>
      <c r="I383" s="416">
        <v>4</v>
      </c>
      <c r="J383" s="416">
        <v>0</v>
      </c>
      <c r="L383" s="415">
        <v>0</v>
      </c>
    </row>
    <row r="384" spans="1:12" hidden="1">
      <c r="A384" s="427">
        <v>40375</v>
      </c>
      <c r="B384" s="427" t="s">
        <v>743</v>
      </c>
      <c r="C384" s="428">
        <v>1092</v>
      </c>
      <c r="D384" s="427">
        <v>41467</v>
      </c>
      <c r="E384" s="429">
        <v>2</v>
      </c>
      <c r="F384" s="430">
        <v>0</v>
      </c>
      <c r="G384" s="430">
        <v>0</v>
      </c>
      <c r="H384" s="430">
        <v>4.5</v>
      </c>
      <c r="I384" s="430">
        <v>4.5</v>
      </c>
      <c r="J384" s="430">
        <v>0</v>
      </c>
      <c r="K384" s="431"/>
      <c r="L384" s="428">
        <v>0</v>
      </c>
    </row>
    <row r="385" spans="1:12" hidden="1">
      <c r="A385" s="414">
        <v>40379</v>
      </c>
      <c r="B385" s="414" t="s">
        <v>744</v>
      </c>
      <c r="C385" s="415">
        <v>364</v>
      </c>
      <c r="D385" s="414">
        <v>40743</v>
      </c>
      <c r="E385" s="418">
        <v>2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L385" s="415">
        <v>0</v>
      </c>
    </row>
    <row r="386" spans="1:12" hidden="1">
      <c r="A386" s="427">
        <v>40379</v>
      </c>
      <c r="B386" s="427" t="s">
        <v>745</v>
      </c>
      <c r="C386" s="428">
        <v>35</v>
      </c>
      <c r="D386" s="427">
        <v>40414</v>
      </c>
      <c r="E386" s="429">
        <v>20</v>
      </c>
      <c r="F386" s="430">
        <v>2.0516999999999999</v>
      </c>
      <c r="G386" s="430">
        <v>2.0516999999999999</v>
      </c>
      <c r="H386" s="430">
        <v>1.1499999999999999</v>
      </c>
      <c r="I386" s="430">
        <v>1.1499999999999999</v>
      </c>
      <c r="J386" s="430">
        <v>1.1499999999999999</v>
      </c>
      <c r="K386" s="431"/>
      <c r="L386" s="428">
        <v>2</v>
      </c>
    </row>
    <row r="387" spans="1:12" hidden="1">
      <c r="A387" s="414">
        <v>40382</v>
      </c>
      <c r="B387" s="414" t="s">
        <v>746</v>
      </c>
      <c r="C387" s="415">
        <v>91</v>
      </c>
      <c r="D387" s="414">
        <v>40473</v>
      </c>
      <c r="E387" s="418">
        <v>15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L387" s="415">
        <v>0</v>
      </c>
    </row>
    <row r="388" spans="1:12" hidden="1">
      <c r="A388" s="427">
        <v>40386</v>
      </c>
      <c r="B388" s="427" t="s">
        <v>747</v>
      </c>
      <c r="C388" s="428">
        <v>182</v>
      </c>
      <c r="D388" s="427">
        <v>40568</v>
      </c>
      <c r="E388" s="429">
        <v>8</v>
      </c>
      <c r="F388" s="430">
        <v>0.91169999999999995</v>
      </c>
      <c r="G388" s="430">
        <v>0.91169999999999995</v>
      </c>
      <c r="H388" s="430">
        <v>1.9800000000000002</v>
      </c>
      <c r="I388" s="430">
        <v>1.9800000000000002</v>
      </c>
      <c r="J388" s="430">
        <v>1.9800000000000002</v>
      </c>
      <c r="K388" s="431"/>
      <c r="L388" s="428">
        <v>1</v>
      </c>
    </row>
    <row r="389" spans="1:12" hidden="1">
      <c r="A389" s="414">
        <v>40386</v>
      </c>
      <c r="B389" s="414" t="s">
        <v>748</v>
      </c>
      <c r="C389" s="415">
        <v>364</v>
      </c>
      <c r="D389" s="414">
        <v>40750</v>
      </c>
      <c r="E389" s="418">
        <v>4</v>
      </c>
      <c r="F389" s="416">
        <v>0</v>
      </c>
      <c r="G389" s="416">
        <v>0</v>
      </c>
      <c r="H389" s="416">
        <v>3.75</v>
      </c>
      <c r="I389" s="416">
        <v>3.75</v>
      </c>
      <c r="J389" s="416">
        <v>0</v>
      </c>
      <c r="L389" s="415">
        <v>0</v>
      </c>
    </row>
    <row r="390" spans="1:12" hidden="1">
      <c r="A390" s="427">
        <v>40389</v>
      </c>
      <c r="B390" s="427" t="s">
        <v>749</v>
      </c>
      <c r="C390" s="428">
        <v>728</v>
      </c>
      <c r="D390" s="427">
        <v>41117</v>
      </c>
      <c r="E390" s="429">
        <v>2</v>
      </c>
      <c r="F390" s="430">
        <v>0</v>
      </c>
      <c r="G390" s="430">
        <v>0</v>
      </c>
      <c r="H390" s="430">
        <v>4</v>
      </c>
      <c r="I390" s="430">
        <v>4</v>
      </c>
      <c r="J390" s="430">
        <v>0</v>
      </c>
      <c r="K390" s="431"/>
      <c r="L390" s="428">
        <v>0</v>
      </c>
    </row>
    <row r="391" spans="1:12" hidden="1">
      <c r="A391" s="414">
        <v>40389</v>
      </c>
      <c r="B391" s="414" t="s">
        <v>750</v>
      </c>
      <c r="C391" s="415">
        <v>1092</v>
      </c>
      <c r="D391" s="414">
        <v>41481</v>
      </c>
      <c r="E391" s="418">
        <v>3</v>
      </c>
      <c r="F391" s="416">
        <v>0</v>
      </c>
      <c r="G391" s="416">
        <v>0</v>
      </c>
      <c r="H391" s="416">
        <v>4.5</v>
      </c>
      <c r="I391" s="416">
        <v>4.5</v>
      </c>
      <c r="J391" s="416">
        <v>0</v>
      </c>
      <c r="L391" s="415">
        <v>0</v>
      </c>
    </row>
    <row r="392" spans="1:12" hidden="1">
      <c r="A392" s="427">
        <v>40393</v>
      </c>
      <c r="B392" s="427" t="s">
        <v>751</v>
      </c>
      <c r="C392" s="428">
        <v>35</v>
      </c>
      <c r="D392" s="427">
        <v>40428</v>
      </c>
      <c r="E392" s="429">
        <v>18</v>
      </c>
      <c r="F392" s="430">
        <v>0</v>
      </c>
      <c r="G392" s="430">
        <v>0</v>
      </c>
      <c r="H392" s="430">
        <v>0</v>
      </c>
      <c r="I392" s="430">
        <v>0</v>
      </c>
      <c r="J392" s="430">
        <v>0</v>
      </c>
      <c r="K392" s="431"/>
      <c r="L392" s="428">
        <v>0</v>
      </c>
    </row>
    <row r="393" spans="1:12" hidden="1">
      <c r="A393" s="414">
        <v>40393</v>
      </c>
      <c r="B393" s="414" t="s">
        <v>752</v>
      </c>
      <c r="C393" s="415">
        <v>364</v>
      </c>
      <c r="D393" s="414">
        <v>40757</v>
      </c>
      <c r="E393" s="418">
        <v>3</v>
      </c>
      <c r="F393" s="416">
        <v>0</v>
      </c>
      <c r="G393" s="416">
        <v>0</v>
      </c>
      <c r="H393" s="416">
        <v>3.75</v>
      </c>
      <c r="I393" s="416">
        <v>3.75</v>
      </c>
      <c r="J393" s="416">
        <v>0</v>
      </c>
      <c r="L393" s="415">
        <v>0</v>
      </c>
    </row>
    <row r="394" spans="1:12" hidden="1">
      <c r="A394" s="427">
        <v>40400</v>
      </c>
      <c r="B394" s="427" t="s">
        <v>753</v>
      </c>
      <c r="C394" s="428">
        <v>364</v>
      </c>
      <c r="D394" s="427">
        <v>40764</v>
      </c>
      <c r="E394" s="429">
        <v>4</v>
      </c>
      <c r="F394" s="430">
        <v>0</v>
      </c>
      <c r="G394" s="430">
        <v>0</v>
      </c>
      <c r="H394" s="430">
        <v>3.75</v>
      </c>
      <c r="I394" s="430">
        <v>3.75</v>
      </c>
      <c r="J394" s="430">
        <v>0</v>
      </c>
      <c r="K394" s="431"/>
      <c r="L394" s="428">
        <v>0</v>
      </c>
    </row>
    <row r="395" spans="1:12" hidden="1">
      <c r="A395" s="414">
        <v>40400</v>
      </c>
      <c r="B395" s="414" t="s">
        <v>754</v>
      </c>
      <c r="C395" s="415">
        <v>182</v>
      </c>
      <c r="D395" s="414">
        <v>40582</v>
      </c>
      <c r="E395" s="418">
        <v>7</v>
      </c>
      <c r="F395" s="416">
        <v>1.8144</v>
      </c>
      <c r="G395" s="416">
        <v>1.8144</v>
      </c>
      <c r="H395" s="416">
        <v>1.9800000000000002</v>
      </c>
      <c r="I395" s="416">
        <v>1.9800000000000002</v>
      </c>
      <c r="J395" s="416">
        <v>1.9800000000000002</v>
      </c>
      <c r="L395" s="415">
        <v>2</v>
      </c>
    </row>
    <row r="396" spans="1:12" hidden="1">
      <c r="A396" s="427">
        <v>40403</v>
      </c>
      <c r="B396" s="427" t="s">
        <v>755</v>
      </c>
      <c r="C396" s="428">
        <v>728</v>
      </c>
      <c r="D396" s="427">
        <v>41131</v>
      </c>
      <c r="E396" s="429">
        <v>3</v>
      </c>
      <c r="F396" s="430">
        <v>0</v>
      </c>
      <c r="G396" s="430">
        <v>0</v>
      </c>
      <c r="H396" s="430">
        <v>4</v>
      </c>
      <c r="I396" s="430">
        <v>4</v>
      </c>
      <c r="J396" s="430">
        <v>0</v>
      </c>
      <c r="K396" s="431"/>
      <c r="L396" s="428">
        <v>0</v>
      </c>
    </row>
    <row r="397" spans="1:12" hidden="1">
      <c r="A397" s="414">
        <v>40403</v>
      </c>
      <c r="B397" s="414" t="s">
        <v>756</v>
      </c>
      <c r="C397" s="415">
        <v>1092</v>
      </c>
      <c r="D397" s="414">
        <v>41495</v>
      </c>
      <c r="E397" s="418">
        <v>3</v>
      </c>
      <c r="F397" s="416">
        <v>0</v>
      </c>
      <c r="G397" s="416">
        <v>0</v>
      </c>
      <c r="H397" s="416">
        <v>4.5</v>
      </c>
      <c r="I397" s="416">
        <v>4.5</v>
      </c>
      <c r="J397" s="416">
        <v>0</v>
      </c>
      <c r="L397" s="415">
        <v>0</v>
      </c>
    </row>
    <row r="398" spans="1:12" hidden="1">
      <c r="A398" s="427">
        <v>40407</v>
      </c>
      <c r="B398" s="427" t="s">
        <v>757</v>
      </c>
      <c r="C398" s="428">
        <v>35</v>
      </c>
      <c r="D398" s="427">
        <v>40442</v>
      </c>
      <c r="E398" s="429">
        <v>20</v>
      </c>
      <c r="F398" s="430">
        <v>9.0062999999999995</v>
      </c>
      <c r="G398" s="430">
        <v>9.0062999999999995</v>
      </c>
      <c r="H398" s="430">
        <v>1.1499999999999999</v>
      </c>
      <c r="I398" s="430">
        <v>1.1499999999999999</v>
      </c>
      <c r="J398" s="430">
        <v>1.1499999999999999</v>
      </c>
      <c r="K398" s="431"/>
      <c r="L398" s="428">
        <v>2</v>
      </c>
    </row>
    <row r="399" spans="1:12" hidden="1">
      <c r="A399" s="414">
        <v>40407</v>
      </c>
      <c r="B399" s="414" t="s">
        <v>758</v>
      </c>
      <c r="C399" s="415">
        <v>364</v>
      </c>
      <c r="D399" s="414">
        <v>40771</v>
      </c>
      <c r="E399" s="418">
        <v>2</v>
      </c>
      <c r="F399" s="416">
        <v>2</v>
      </c>
      <c r="G399" s="416">
        <v>2</v>
      </c>
      <c r="H399" s="416">
        <v>3.5000000000000004</v>
      </c>
      <c r="I399" s="416">
        <v>3.5000000000000004</v>
      </c>
      <c r="J399" s="416">
        <v>3.5000000000000004</v>
      </c>
      <c r="L399" s="415">
        <v>1</v>
      </c>
    </row>
    <row r="400" spans="1:12" hidden="1">
      <c r="A400" s="427">
        <v>40410</v>
      </c>
      <c r="B400" s="427" t="s">
        <v>759</v>
      </c>
      <c r="C400" s="428">
        <v>91</v>
      </c>
      <c r="D400" s="427">
        <v>40501</v>
      </c>
      <c r="E400" s="429">
        <v>15</v>
      </c>
      <c r="F400" s="430">
        <v>2.0026000000000002</v>
      </c>
      <c r="G400" s="430">
        <v>2.0026000000000002</v>
      </c>
      <c r="H400" s="430">
        <v>1.3299999999999998</v>
      </c>
      <c r="I400" s="430">
        <v>1.3299999999999998</v>
      </c>
      <c r="J400" s="430">
        <v>1.3299999999999998</v>
      </c>
      <c r="K400" s="431"/>
      <c r="L400" s="428">
        <v>2</v>
      </c>
    </row>
    <row r="401" spans="1:12" hidden="1">
      <c r="A401" s="414">
        <v>40414</v>
      </c>
      <c r="B401" s="414" t="s">
        <v>760</v>
      </c>
      <c r="C401" s="415">
        <v>182</v>
      </c>
      <c r="D401" s="414">
        <v>40596</v>
      </c>
      <c r="E401" s="418">
        <v>8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L401" s="415">
        <v>0</v>
      </c>
    </row>
    <row r="402" spans="1:12" hidden="1">
      <c r="A402" s="427">
        <v>40414</v>
      </c>
      <c r="B402" s="427" t="s">
        <v>761</v>
      </c>
      <c r="C402" s="428">
        <v>364</v>
      </c>
      <c r="D402" s="427">
        <v>40778</v>
      </c>
      <c r="E402" s="429">
        <v>4</v>
      </c>
      <c r="F402" s="430">
        <v>2.9910999999999999</v>
      </c>
      <c r="G402" s="430">
        <v>2.9910999999999999</v>
      </c>
      <c r="H402" s="430">
        <v>3.75</v>
      </c>
      <c r="I402" s="430">
        <v>3.75</v>
      </c>
      <c r="J402" s="430">
        <v>3.75</v>
      </c>
      <c r="K402" s="431"/>
      <c r="L402" s="428">
        <v>1</v>
      </c>
    </row>
    <row r="403" spans="1:12" hidden="1">
      <c r="A403" s="414">
        <v>40417</v>
      </c>
      <c r="B403" s="414" t="s">
        <v>762</v>
      </c>
      <c r="C403" s="415">
        <v>728</v>
      </c>
      <c r="D403" s="414">
        <v>41145</v>
      </c>
      <c r="E403" s="418">
        <v>2</v>
      </c>
      <c r="F403" s="416">
        <v>0</v>
      </c>
      <c r="G403" s="416">
        <v>0</v>
      </c>
      <c r="H403" s="416">
        <v>4</v>
      </c>
      <c r="I403" s="416">
        <v>4</v>
      </c>
      <c r="J403" s="416">
        <v>0</v>
      </c>
      <c r="L403" s="415">
        <v>0</v>
      </c>
    </row>
    <row r="404" spans="1:12" hidden="1">
      <c r="A404" s="427">
        <v>40417</v>
      </c>
      <c r="B404" s="427" t="s">
        <v>763</v>
      </c>
      <c r="C404" s="428">
        <v>1092</v>
      </c>
      <c r="D404" s="427">
        <v>41509</v>
      </c>
      <c r="E404" s="429">
        <v>3</v>
      </c>
      <c r="F404" s="430">
        <v>0</v>
      </c>
      <c r="G404" s="430">
        <v>0</v>
      </c>
      <c r="H404" s="430">
        <v>4.5</v>
      </c>
      <c r="I404" s="430">
        <v>4.5</v>
      </c>
      <c r="J404" s="430">
        <v>0</v>
      </c>
      <c r="K404" s="431"/>
      <c r="L404" s="428">
        <v>0</v>
      </c>
    </row>
    <row r="405" spans="1:12" hidden="1">
      <c r="A405" s="414">
        <v>40424</v>
      </c>
      <c r="B405" s="414" t="s">
        <v>764</v>
      </c>
      <c r="C405" s="415">
        <v>91</v>
      </c>
      <c r="D405" s="414">
        <v>40515</v>
      </c>
      <c r="E405" s="418">
        <v>20</v>
      </c>
      <c r="F405" s="416">
        <v>12.1358</v>
      </c>
      <c r="G405" s="416">
        <v>12.1358</v>
      </c>
      <c r="H405" s="416">
        <v>2.5</v>
      </c>
      <c r="I405" s="416">
        <v>2.5</v>
      </c>
      <c r="J405" s="416">
        <v>2.5</v>
      </c>
      <c r="L405" s="415">
        <v>3</v>
      </c>
    </row>
    <row r="406" spans="1:12" hidden="1">
      <c r="A406" s="427">
        <v>40424</v>
      </c>
      <c r="B406" s="427" t="s">
        <v>765</v>
      </c>
      <c r="C406" s="428">
        <v>35</v>
      </c>
      <c r="D406" s="427">
        <v>40459</v>
      </c>
      <c r="E406" s="429">
        <v>18</v>
      </c>
      <c r="F406" s="430">
        <v>6.0060000000000002</v>
      </c>
      <c r="G406" s="430">
        <v>6.0060000000000002</v>
      </c>
      <c r="H406" s="430">
        <v>1.46</v>
      </c>
      <c r="I406" s="430">
        <v>1.46</v>
      </c>
      <c r="J406" s="430">
        <v>1.46</v>
      </c>
      <c r="K406" s="431"/>
      <c r="L406" s="428">
        <v>3</v>
      </c>
    </row>
    <row r="407" spans="1:12" hidden="1">
      <c r="A407" s="414">
        <v>40424</v>
      </c>
      <c r="B407" s="414" t="s">
        <v>766</v>
      </c>
      <c r="C407" s="415">
        <v>364</v>
      </c>
      <c r="D407" s="414">
        <v>40788</v>
      </c>
      <c r="E407" s="418">
        <v>3</v>
      </c>
      <c r="F407" s="416">
        <v>0</v>
      </c>
      <c r="G407" s="416">
        <v>0</v>
      </c>
      <c r="H407" s="416">
        <v>0</v>
      </c>
      <c r="I407" s="416">
        <v>0</v>
      </c>
      <c r="J407" s="416">
        <v>0</v>
      </c>
      <c r="L407" s="415">
        <v>0</v>
      </c>
    </row>
    <row r="408" spans="1:12" hidden="1">
      <c r="A408" s="427">
        <v>40428</v>
      </c>
      <c r="B408" s="427" t="s">
        <v>767</v>
      </c>
      <c r="C408" s="428">
        <v>182</v>
      </c>
      <c r="D408" s="427">
        <v>40610</v>
      </c>
      <c r="E408" s="429">
        <v>7</v>
      </c>
      <c r="F408" s="430">
        <v>1.014</v>
      </c>
      <c r="G408" s="430">
        <v>4.5521000000000003</v>
      </c>
      <c r="H408" s="430">
        <v>2.9899999999999998</v>
      </c>
      <c r="I408" s="430">
        <v>2.9899999999999998</v>
      </c>
      <c r="J408" s="430">
        <v>2.9899999999999998</v>
      </c>
      <c r="K408" s="431"/>
      <c r="L408" s="428">
        <v>1</v>
      </c>
    </row>
    <row r="409" spans="1:12" hidden="1">
      <c r="A409" s="414">
        <v>40428</v>
      </c>
      <c r="B409" s="414" t="s">
        <v>768</v>
      </c>
      <c r="C409" s="415">
        <v>364</v>
      </c>
      <c r="D409" s="414">
        <v>40792</v>
      </c>
      <c r="E409" s="418">
        <v>4</v>
      </c>
      <c r="F409" s="416">
        <v>2.9923999999999999</v>
      </c>
      <c r="G409" s="416">
        <v>2.9923999999999999</v>
      </c>
      <c r="H409" s="416">
        <v>4</v>
      </c>
      <c r="I409" s="416">
        <v>4</v>
      </c>
      <c r="J409" s="416">
        <v>4</v>
      </c>
      <c r="L409" s="415">
        <v>1</v>
      </c>
    </row>
    <row r="410" spans="1:12" hidden="1">
      <c r="A410" s="427">
        <v>40428</v>
      </c>
      <c r="B410" s="427" t="s">
        <v>769</v>
      </c>
      <c r="C410" s="428">
        <v>728</v>
      </c>
      <c r="D410" s="427">
        <v>41156</v>
      </c>
      <c r="E410" s="429">
        <v>3</v>
      </c>
      <c r="F410" s="430">
        <v>0</v>
      </c>
      <c r="G410" s="430">
        <v>0</v>
      </c>
      <c r="H410" s="430">
        <v>4.5</v>
      </c>
      <c r="I410" s="430">
        <v>4.5</v>
      </c>
      <c r="J410" s="430">
        <v>0</v>
      </c>
      <c r="K410" s="431"/>
      <c r="L410" s="428">
        <v>0</v>
      </c>
    </row>
    <row r="411" spans="1:12" hidden="1">
      <c r="A411" s="414">
        <v>40428</v>
      </c>
      <c r="B411" s="414" t="s">
        <v>750</v>
      </c>
      <c r="C411" s="415">
        <v>1092</v>
      </c>
      <c r="D411" s="414">
        <v>41520</v>
      </c>
      <c r="E411" s="418">
        <v>3</v>
      </c>
      <c r="F411" s="416">
        <v>0</v>
      </c>
      <c r="G411" s="416">
        <v>0</v>
      </c>
      <c r="H411" s="416">
        <v>5</v>
      </c>
      <c r="I411" s="416">
        <v>5</v>
      </c>
      <c r="J411" s="416">
        <v>0</v>
      </c>
      <c r="L411" s="415">
        <v>0</v>
      </c>
    </row>
    <row r="412" spans="1:12" hidden="1">
      <c r="A412" s="427">
        <v>40435</v>
      </c>
      <c r="B412" s="427" t="s">
        <v>770</v>
      </c>
      <c r="C412" s="428">
        <v>35</v>
      </c>
      <c r="D412" s="427">
        <v>40470</v>
      </c>
      <c r="E412" s="429">
        <v>20</v>
      </c>
      <c r="F412" s="430">
        <v>3.0030000000000001</v>
      </c>
      <c r="G412" s="430">
        <v>3.0030000000000001</v>
      </c>
      <c r="H412" s="430">
        <v>1.46</v>
      </c>
      <c r="I412" s="430">
        <v>1.46</v>
      </c>
      <c r="J412" s="430">
        <v>1.46</v>
      </c>
      <c r="K412" s="431"/>
      <c r="L412" s="428">
        <v>2</v>
      </c>
    </row>
    <row r="413" spans="1:12" hidden="1">
      <c r="A413" s="414">
        <v>40435</v>
      </c>
      <c r="B413" s="414" t="s">
        <v>771</v>
      </c>
      <c r="C413" s="415">
        <v>364</v>
      </c>
      <c r="D413" s="414">
        <v>40799</v>
      </c>
      <c r="E413" s="418">
        <v>2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L413" s="415">
        <v>0</v>
      </c>
    </row>
    <row r="414" spans="1:12" hidden="1">
      <c r="A414" s="427">
        <v>40438</v>
      </c>
      <c r="B414" s="427" t="s">
        <v>772</v>
      </c>
      <c r="C414" s="428">
        <v>91</v>
      </c>
      <c r="D414" s="427">
        <v>40529</v>
      </c>
      <c r="E414" s="429">
        <v>15</v>
      </c>
      <c r="F414" s="430">
        <v>2.3647</v>
      </c>
      <c r="G414" s="430">
        <v>2.3647</v>
      </c>
      <c r="H414" s="430">
        <v>2.5</v>
      </c>
      <c r="I414" s="430">
        <v>2.5</v>
      </c>
      <c r="J414" s="430">
        <v>2.5</v>
      </c>
      <c r="K414" s="431"/>
      <c r="L414" s="428">
        <v>4</v>
      </c>
    </row>
    <row r="415" spans="1:12" hidden="1">
      <c r="A415" s="414">
        <v>40442</v>
      </c>
      <c r="B415" s="414" t="s">
        <v>773</v>
      </c>
      <c r="C415" s="415">
        <v>182</v>
      </c>
      <c r="D415" s="414">
        <v>40624</v>
      </c>
      <c r="E415" s="418">
        <v>8</v>
      </c>
      <c r="F415" s="416">
        <v>1.014</v>
      </c>
      <c r="G415" s="416">
        <v>1.014</v>
      </c>
      <c r="H415" s="416">
        <v>2.9899999999999998</v>
      </c>
      <c r="I415" s="416">
        <v>2.9899999999999998</v>
      </c>
      <c r="J415" s="416">
        <v>2.9899999999999998</v>
      </c>
      <c r="L415" s="415">
        <v>1</v>
      </c>
    </row>
    <row r="416" spans="1:12" hidden="1">
      <c r="A416" s="427">
        <v>40442</v>
      </c>
      <c r="B416" s="427" t="s">
        <v>774</v>
      </c>
      <c r="C416" s="428">
        <v>364</v>
      </c>
      <c r="D416" s="427">
        <v>40806</v>
      </c>
      <c r="E416" s="429">
        <v>4</v>
      </c>
      <c r="F416" s="430">
        <v>4</v>
      </c>
      <c r="G416" s="430">
        <v>4</v>
      </c>
      <c r="H416" s="430">
        <v>4</v>
      </c>
      <c r="I416" s="430">
        <v>4</v>
      </c>
      <c r="J416" s="430">
        <v>4</v>
      </c>
      <c r="K416" s="431"/>
      <c r="L416" s="428">
        <v>1</v>
      </c>
    </row>
    <row r="417" spans="1:12" hidden="1">
      <c r="A417" s="414">
        <v>40445</v>
      </c>
      <c r="B417" s="414" t="s">
        <v>775</v>
      </c>
      <c r="C417" s="415">
        <v>728</v>
      </c>
      <c r="D417" s="414">
        <v>41173</v>
      </c>
      <c r="E417" s="418">
        <v>2</v>
      </c>
      <c r="F417" s="416">
        <v>0</v>
      </c>
      <c r="G417" s="416">
        <v>0</v>
      </c>
      <c r="H417" s="416">
        <v>4.5</v>
      </c>
      <c r="I417" s="416">
        <v>4.5</v>
      </c>
      <c r="J417" s="416">
        <v>0</v>
      </c>
      <c r="L417" s="415">
        <v>0</v>
      </c>
    </row>
    <row r="418" spans="1:12" hidden="1">
      <c r="A418" s="427">
        <v>40445</v>
      </c>
      <c r="B418" s="427" t="s">
        <v>776</v>
      </c>
      <c r="C418" s="428">
        <v>1092</v>
      </c>
      <c r="D418" s="427">
        <v>41537</v>
      </c>
      <c r="E418" s="429">
        <v>3</v>
      </c>
      <c r="F418" s="430">
        <v>0</v>
      </c>
      <c r="G418" s="430">
        <v>0</v>
      </c>
      <c r="H418" s="430">
        <v>5</v>
      </c>
      <c r="I418" s="430">
        <v>5</v>
      </c>
      <c r="J418" s="430">
        <v>0</v>
      </c>
      <c r="K418" s="431"/>
      <c r="L418" s="428">
        <v>0</v>
      </c>
    </row>
    <row r="419" spans="1:12" hidden="1">
      <c r="A419" s="414">
        <v>40456</v>
      </c>
      <c r="B419" s="414" t="s">
        <v>777</v>
      </c>
      <c r="C419" s="415">
        <v>364</v>
      </c>
      <c r="D419" s="414">
        <v>40820</v>
      </c>
      <c r="E419" s="418">
        <v>3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L419" s="415">
        <v>0</v>
      </c>
    </row>
    <row r="420" spans="1:12" hidden="1">
      <c r="A420" s="427">
        <v>40456</v>
      </c>
      <c r="B420" s="427" t="s">
        <v>778</v>
      </c>
      <c r="C420" s="428">
        <v>35</v>
      </c>
      <c r="D420" s="427">
        <v>40491</v>
      </c>
      <c r="E420" s="429">
        <v>18</v>
      </c>
      <c r="F420" s="430">
        <v>6.0060000000000002</v>
      </c>
      <c r="G420" s="430">
        <v>6.0060000000000002</v>
      </c>
      <c r="H420" s="430">
        <v>1.46</v>
      </c>
      <c r="I420" s="430">
        <v>1.46</v>
      </c>
      <c r="J420" s="430">
        <v>1.46</v>
      </c>
      <c r="K420" s="431"/>
      <c r="L420" s="428">
        <v>2</v>
      </c>
    </row>
    <row r="421" spans="1:12" hidden="1">
      <c r="A421" s="414">
        <v>40459</v>
      </c>
      <c r="B421" s="414" t="s">
        <v>779</v>
      </c>
      <c r="C421" s="415">
        <v>91</v>
      </c>
      <c r="D421" s="414">
        <v>40550</v>
      </c>
      <c r="E421" s="418">
        <v>20</v>
      </c>
      <c r="F421" s="416">
        <v>8.5548999999999999</v>
      </c>
      <c r="G421" s="416">
        <v>8.5548999999999999</v>
      </c>
      <c r="H421" s="416">
        <v>2.5</v>
      </c>
      <c r="I421" s="416">
        <v>2.5</v>
      </c>
      <c r="J421" s="416">
        <v>2.5</v>
      </c>
      <c r="L421" s="415">
        <v>3</v>
      </c>
    </row>
    <row r="422" spans="1:12" hidden="1">
      <c r="A422" s="427">
        <v>40463</v>
      </c>
      <c r="B422" s="427" t="s">
        <v>780</v>
      </c>
      <c r="C422" s="428">
        <v>182</v>
      </c>
      <c r="D422" s="427">
        <v>40645</v>
      </c>
      <c r="E422" s="429">
        <v>7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1"/>
      <c r="L422" s="428">
        <v>0</v>
      </c>
    </row>
    <row r="423" spans="1:12" hidden="1">
      <c r="A423" s="414">
        <v>40463</v>
      </c>
      <c r="B423" s="414" t="s">
        <v>781</v>
      </c>
      <c r="C423" s="415">
        <v>364</v>
      </c>
      <c r="D423" s="414">
        <v>40827</v>
      </c>
      <c r="E423" s="418">
        <v>4</v>
      </c>
      <c r="F423" s="416">
        <v>0</v>
      </c>
      <c r="G423" s="416">
        <v>0</v>
      </c>
      <c r="H423" s="416">
        <v>0</v>
      </c>
      <c r="I423" s="416">
        <v>0</v>
      </c>
      <c r="J423" s="416">
        <v>4</v>
      </c>
      <c r="L423" s="415">
        <v>0</v>
      </c>
    </row>
    <row r="424" spans="1:12" hidden="1">
      <c r="A424" s="427">
        <v>40466</v>
      </c>
      <c r="B424" s="427" t="s">
        <v>782</v>
      </c>
      <c r="C424" s="428">
        <v>1092</v>
      </c>
      <c r="D424" s="427">
        <v>41558</v>
      </c>
      <c r="E424" s="429">
        <v>3</v>
      </c>
      <c r="F424" s="430">
        <v>0</v>
      </c>
      <c r="G424" s="430">
        <v>0</v>
      </c>
      <c r="H424" s="430">
        <v>0</v>
      </c>
      <c r="I424" s="430">
        <v>0</v>
      </c>
      <c r="J424" s="430">
        <v>5</v>
      </c>
      <c r="K424" s="431"/>
      <c r="L424" s="428">
        <v>0</v>
      </c>
    </row>
    <row r="425" spans="1:12" hidden="1">
      <c r="A425" s="414">
        <v>40466</v>
      </c>
      <c r="B425" s="414" t="s">
        <v>783</v>
      </c>
      <c r="C425" s="415">
        <v>728</v>
      </c>
      <c r="D425" s="414">
        <v>41194</v>
      </c>
      <c r="E425" s="418">
        <v>3</v>
      </c>
      <c r="F425" s="416">
        <v>0</v>
      </c>
      <c r="G425" s="416">
        <v>0</v>
      </c>
      <c r="H425" s="416">
        <v>0</v>
      </c>
      <c r="I425" s="416">
        <v>0</v>
      </c>
      <c r="J425" s="416">
        <v>4.5</v>
      </c>
      <c r="L425" s="415">
        <v>0</v>
      </c>
    </row>
    <row r="426" spans="1:12" hidden="1">
      <c r="A426" s="427">
        <v>40470</v>
      </c>
      <c r="B426" s="427" t="s">
        <v>784</v>
      </c>
      <c r="C426" s="428">
        <v>35</v>
      </c>
      <c r="D426" s="427">
        <v>40505</v>
      </c>
      <c r="E426" s="429">
        <v>20</v>
      </c>
      <c r="F426" s="430">
        <v>5.0090000000000003</v>
      </c>
      <c r="G426" s="430">
        <v>5.0090000000000003</v>
      </c>
      <c r="H426" s="430">
        <v>1.46</v>
      </c>
      <c r="I426" s="430">
        <v>1.46</v>
      </c>
      <c r="J426" s="430">
        <v>1.46</v>
      </c>
      <c r="K426" s="431"/>
      <c r="L426" s="428">
        <v>3</v>
      </c>
    </row>
    <row r="427" spans="1:12" hidden="1">
      <c r="A427" s="414">
        <v>40470</v>
      </c>
      <c r="B427" s="414" t="s">
        <v>785</v>
      </c>
      <c r="C427" s="415">
        <v>91</v>
      </c>
      <c r="D427" s="414">
        <v>40561</v>
      </c>
      <c r="E427" s="418">
        <v>15</v>
      </c>
      <c r="F427" s="416">
        <v>3.02</v>
      </c>
      <c r="G427" s="416">
        <v>3.02</v>
      </c>
      <c r="H427" s="416">
        <v>2.5</v>
      </c>
      <c r="I427" s="416">
        <v>2.5</v>
      </c>
      <c r="J427" s="416">
        <v>2.5</v>
      </c>
      <c r="L427" s="415">
        <v>1</v>
      </c>
    </row>
    <row r="428" spans="1:12" hidden="1">
      <c r="A428" s="427">
        <v>40473</v>
      </c>
      <c r="B428" s="427" t="s">
        <v>786</v>
      </c>
      <c r="C428" s="428">
        <v>364</v>
      </c>
      <c r="D428" s="427">
        <v>40837</v>
      </c>
      <c r="E428" s="429">
        <v>2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1"/>
      <c r="L428" s="428">
        <v>0</v>
      </c>
    </row>
    <row r="429" spans="1:12" hidden="1">
      <c r="A429" s="414">
        <v>40477</v>
      </c>
      <c r="B429" s="414" t="s">
        <v>787</v>
      </c>
      <c r="C429" s="415">
        <v>182</v>
      </c>
      <c r="D429" s="414">
        <v>40659</v>
      </c>
      <c r="E429" s="418">
        <v>8</v>
      </c>
      <c r="F429" s="416">
        <v>12.177099999999999</v>
      </c>
      <c r="G429" s="416">
        <v>8</v>
      </c>
      <c r="H429" s="416">
        <v>2.9899999999999998</v>
      </c>
      <c r="I429" s="416">
        <v>2.9899999999999998</v>
      </c>
      <c r="J429" s="416">
        <v>2.9899999999999998</v>
      </c>
      <c r="L429" s="415">
        <v>5</v>
      </c>
    </row>
    <row r="430" spans="1:12" hidden="1">
      <c r="A430" s="427">
        <v>40480</v>
      </c>
      <c r="B430" s="427" t="s">
        <v>788</v>
      </c>
      <c r="C430" s="428">
        <v>364</v>
      </c>
      <c r="D430" s="427">
        <v>40844</v>
      </c>
      <c r="E430" s="429">
        <v>4</v>
      </c>
      <c r="F430" s="430">
        <v>4</v>
      </c>
      <c r="G430" s="430">
        <v>4</v>
      </c>
      <c r="H430" s="430">
        <v>4</v>
      </c>
      <c r="I430" s="430">
        <v>4</v>
      </c>
      <c r="J430" s="430">
        <v>4</v>
      </c>
      <c r="K430" s="431"/>
      <c r="L430" s="428">
        <v>1</v>
      </c>
    </row>
    <row r="431" spans="1:12" hidden="1">
      <c r="A431" s="414">
        <v>40480</v>
      </c>
      <c r="B431" s="414" t="s">
        <v>789</v>
      </c>
      <c r="C431" s="415">
        <v>728</v>
      </c>
      <c r="D431" s="414">
        <v>41208</v>
      </c>
      <c r="E431" s="418">
        <v>2</v>
      </c>
      <c r="F431" s="416">
        <v>0</v>
      </c>
      <c r="G431" s="416">
        <v>0</v>
      </c>
      <c r="H431" s="416">
        <v>4.5</v>
      </c>
      <c r="I431" s="416">
        <v>4.5</v>
      </c>
      <c r="J431" s="416">
        <v>4.5</v>
      </c>
      <c r="L431" s="415">
        <v>0</v>
      </c>
    </row>
    <row r="432" spans="1:12" hidden="1">
      <c r="A432" s="427">
        <v>40480</v>
      </c>
      <c r="B432" s="427" t="s">
        <v>790</v>
      </c>
      <c r="C432" s="428">
        <v>1092</v>
      </c>
      <c r="D432" s="427">
        <v>41572</v>
      </c>
      <c r="E432" s="429">
        <v>3</v>
      </c>
      <c r="F432" s="430">
        <v>2.4937</v>
      </c>
      <c r="G432" s="430">
        <v>2.4937</v>
      </c>
      <c r="H432" s="430">
        <v>5</v>
      </c>
      <c r="I432" s="430">
        <v>5</v>
      </c>
      <c r="J432" s="430">
        <v>5</v>
      </c>
      <c r="K432" s="431"/>
      <c r="L432" s="428">
        <v>1</v>
      </c>
    </row>
    <row r="433" spans="1:12" hidden="1">
      <c r="A433" s="414">
        <v>40484</v>
      </c>
      <c r="B433" s="414" t="s">
        <v>791</v>
      </c>
      <c r="C433" s="415">
        <v>35</v>
      </c>
      <c r="D433" s="414">
        <v>40519</v>
      </c>
      <c r="E433" s="418">
        <v>20</v>
      </c>
      <c r="F433" s="416">
        <v>5.0049999999999999</v>
      </c>
      <c r="G433" s="416">
        <v>5.0049999999999999</v>
      </c>
      <c r="H433" s="416">
        <v>1.46</v>
      </c>
      <c r="I433" s="416">
        <v>1.46</v>
      </c>
      <c r="J433" s="416">
        <v>1.46</v>
      </c>
      <c r="L433" s="415">
        <v>1</v>
      </c>
    </row>
    <row r="434" spans="1:12" hidden="1">
      <c r="A434" s="427">
        <v>40484</v>
      </c>
      <c r="B434" s="427" t="s">
        <v>792</v>
      </c>
      <c r="C434" s="428">
        <v>91</v>
      </c>
      <c r="D434" s="427">
        <v>40575</v>
      </c>
      <c r="E434" s="429">
        <v>20</v>
      </c>
      <c r="F434" s="430">
        <v>8.0436999999999994</v>
      </c>
      <c r="G434" s="430">
        <v>8.0436999999999994</v>
      </c>
      <c r="H434" s="430">
        <v>2.5</v>
      </c>
      <c r="I434" s="430">
        <v>2.5</v>
      </c>
      <c r="J434" s="430">
        <v>2.46</v>
      </c>
      <c r="K434" s="431"/>
      <c r="L434" s="428">
        <v>2</v>
      </c>
    </row>
    <row r="435" spans="1:12" hidden="1">
      <c r="A435" s="414">
        <v>40487</v>
      </c>
      <c r="B435" s="414" t="s">
        <v>793</v>
      </c>
      <c r="C435" s="415">
        <v>364</v>
      </c>
      <c r="D435" s="414">
        <v>40851</v>
      </c>
      <c r="E435" s="418">
        <v>5</v>
      </c>
      <c r="F435" s="416">
        <v>0.51729999999999998</v>
      </c>
      <c r="G435" s="416">
        <v>0</v>
      </c>
      <c r="H435" s="416">
        <v>0</v>
      </c>
      <c r="I435" s="416">
        <v>0</v>
      </c>
      <c r="J435" s="416">
        <v>0</v>
      </c>
      <c r="L435" s="415">
        <v>0</v>
      </c>
    </row>
    <row r="436" spans="1:12" hidden="1">
      <c r="A436" s="427">
        <v>40494</v>
      </c>
      <c r="B436" s="427" t="s">
        <v>794</v>
      </c>
      <c r="C436" s="428">
        <v>364</v>
      </c>
      <c r="D436" s="427">
        <v>40858</v>
      </c>
      <c r="E436" s="429">
        <v>5</v>
      </c>
      <c r="F436" s="430">
        <v>11</v>
      </c>
      <c r="G436" s="430">
        <v>5</v>
      </c>
      <c r="H436" s="430">
        <v>4</v>
      </c>
      <c r="I436" s="430">
        <v>4</v>
      </c>
      <c r="J436" s="430">
        <v>4</v>
      </c>
      <c r="K436" s="431"/>
      <c r="L436" s="428">
        <v>2</v>
      </c>
    </row>
    <row r="437" spans="1:12" hidden="1">
      <c r="A437" s="414">
        <v>40494</v>
      </c>
      <c r="B437" s="414" t="s">
        <v>795</v>
      </c>
      <c r="C437" s="415">
        <v>182</v>
      </c>
      <c r="D437" s="414">
        <v>40676</v>
      </c>
      <c r="E437" s="418">
        <v>7</v>
      </c>
      <c r="F437" s="416">
        <v>10.087300000000001</v>
      </c>
      <c r="G437" s="416">
        <v>7</v>
      </c>
      <c r="H437" s="416">
        <v>2.9899999999999998</v>
      </c>
      <c r="I437" s="416">
        <v>2.9899999999999998</v>
      </c>
      <c r="J437" s="416">
        <v>2.9899999999999998</v>
      </c>
      <c r="L437" s="415">
        <v>2</v>
      </c>
    </row>
    <row r="438" spans="1:12" hidden="1">
      <c r="A438" s="427">
        <v>40494</v>
      </c>
      <c r="B438" s="427" t="s">
        <v>796</v>
      </c>
      <c r="C438" s="428">
        <v>1092</v>
      </c>
      <c r="D438" s="427">
        <v>41586</v>
      </c>
      <c r="E438" s="429">
        <v>3</v>
      </c>
      <c r="F438" s="430">
        <v>0.99750000000000005</v>
      </c>
      <c r="G438" s="430">
        <v>0.99750000000000005</v>
      </c>
      <c r="H438" s="430">
        <v>5</v>
      </c>
      <c r="I438" s="430">
        <v>5</v>
      </c>
      <c r="J438" s="430">
        <v>5</v>
      </c>
      <c r="K438" s="431"/>
      <c r="L438" s="428">
        <v>1</v>
      </c>
    </row>
    <row r="439" spans="1:12" hidden="1">
      <c r="A439" s="414">
        <v>40494</v>
      </c>
      <c r="B439" s="414" t="s">
        <v>797</v>
      </c>
      <c r="C439" s="415">
        <v>728</v>
      </c>
      <c r="D439" s="414">
        <v>41222</v>
      </c>
      <c r="E439" s="418">
        <v>3</v>
      </c>
      <c r="F439" s="416">
        <v>0</v>
      </c>
      <c r="G439" s="416">
        <v>0</v>
      </c>
      <c r="H439" s="416">
        <v>4.5</v>
      </c>
      <c r="I439" s="416">
        <v>4.5</v>
      </c>
      <c r="J439" s="416">
        <v>0</v>
      </c>
      <c r="L439" s="415">
        <v>0</v>
      </c>
    </row>
    <row r="440" spans="1:12" hidden="1">
      <c r="A440" s="427">
        <v>40501</v>
      </c>
      <c r="B440" s="427" t="s">
        <v>798</v>
      </c>
      <c r="C440" s="428">
        <v>35</v>
      </c>
      <c r="D440" s="427">
        <v>40536</v>
      </c>
      <c r="E440" s="429">
        <v>20</v>
      </c>
      <c r="F440" s="430">
        <v>12.0146</v>
      </c>
      <c r="G440" s="430">
        <v>12.0146</v>
      </c>
      <c r="H440" s="430">
        <v>1.46</v>
      </c>
      <c r="I440" s="430">
        <v>1.46</v>
      </c>
      <c r="J440" s="430">
        <v>1.46</v>
      </c>
      <c r="K440" s="431"/>
      <c r="L440" s="428">
        <v>3</v>
      </c>
    </row>
    <row r="441" spans="1:12" hidden="1">
      <c r="A441" s="414">
        <v>40501</v>
      </c>
      <c r="B441" s="414" t="s">
        <v>799</v>
      </c>
      <c r="C441" s="415">
        <v>91</v>
      </c>
      <c r="D441" s="414">
        <v>40592</v>
      </c>
      <c r="E441" s="418">
        <v>15</v>
      </c>
      <c r="F441" s="416">
        <v>22.527200000000001</v>
      </c>
      <c r="G441" s="416">
        <v>15</v>
      </c>
      <c r="H441" s="416">
        <v>2.5</v>
      </c>
      <c r="I441" s="416">
        <v>2.5</v>
      </c>
      <c r="J441" s="416">
        <v>2.46</v>
      </c>
      <c r="L441" s="415">
        <v>4</v>
      </c>
    </row>
    <row r="442" spans="1:12" hidden="1">
      <c r="A442" s="427">
        <v>40501</v>
      </c>
      <c r="B442" s="427" t="s">
        <v>800</v>
      </c>
      <c r="C442" s="428">
        <v>364</v>
      </c>
      <c r="D442" s="427">
        <v>40865</v>
      </c>
      <c r="E442" s="429">
        <v>3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1"/>
      <c r="L442" s="428">
        <v>0</v>
      </c>
    </row>
    <row r="443" spans="1:12" hidden="1">
      <c r="A443" s="414">
        <v>40505</v>
      </c>
      <c r="B443" s="414" t="s">
        <v>801</v>
      </c>
      <c r="C443" s="415">
        <v>182</v>
      </c>
      <c r="D443" s="414">
        <v>40687</v>
      </c>
      <c r="E443" s="418">
        <v>8</v>
      </c>
      <c r="F443" s="416">
        <v>22.416699999999999</v>
      </c>
      <c r="G443" s="416">
        <v>8</v>
      </c>
      <c r="H443" s="416">
        <v>2.91</v>
      </c>
      <c r="I443" s="416">
        <v>2.91</v>
      </c>
      <c r="J443" s="416">
        <v>2.85</v>
      </c>
      <c r="L443" s="415">
        <v>8</v>
      </c>
    </row>
    <row r="444" spans="1:12" hidden="1">
      <c r="A444" s="427">
        <v>40508</v>
      </c>
      <c r="B444" s="427" t="s">
        <v>802</v>
      </c>
      <c r="C444" s="428">
        <v>91</v>
      </c>
      <c r="D444" s="427">
        <v>40599</v>
      </c>
      <c r="E444" s="429">
        <v>20</v>
      </c>
      <c r="F444" s="430">
        <v>15.7201</v>
      </c>
      <c r="G444" s="430">
        <v>15.7201</v>
      </c>
      <c r="H444" s="430">
        <v>2.5</v>
      </c>
      <c r="I444" s="430">
        <v>2.5</v>
      </c>
      <c r="J444" s="430">
        <v>2.2999999999999998</v>
      </c>
      <c r="K444" s="431"/>
      <c r="L444" s="428">
        <v>7</v>
      </c>
    </row>
    <row r="445" spans="1:12" hidden="1">
      <c r="A445" s="414">
        <v>40508</v>
      </c>
      <c r="B445" s="414" t="s">
        <v>803</v>
      </c>
      <c r="C445" s="415">
        <v>364</v>
      </c>
      <c r="D445" s="414">
        <v>40872</v>
      </c>
      <c r="E445" s="418">
        <v>5</v>
      </c>
      <c r="F445" s="416">
        <v>6</v>
      </c>
      <c r="G445" s="416">
        <v>5</v>
      </c>
      <c r="H445" s="416">
        <v>4</v>
      </c>
      <c r="I445" s="416">
        <v>4</v>
      </c>
      <c r="J445" s="416">
        <v>4</v>
      </c>
      <c r="L445" s="415">
        <v>1</v>
      </c>
    </row>
    <row r="446" spans="1:12" hidden="1">
      <c r="A446" s="427">
        <v>40508</v>
      </c>
      <c r="B446" s="427" t="s">
        <v>804</v>
      </c>
      <c r="C446" s="428">
        <v>728</v>
      </c>
      <c r="D446" s="427">
        <v>41236</v>
      </c>
      <c r="E446" s="429">
        <v>2</v>
      </c>
      <c r="F446" s="430">
        <v>0</v>
      </c>
      <c r="G446" s="430">
        <v>0</v>
      </c>
      <c r="H446" s="430">
        <v>4.5</v>
      </c>
      <c r="I446" s="430">
        <v>4.5</v>
      </c>
      <c r="J446" s="430">
        <v>0</v>
      </c>
      <c r="K446" s="431"/>
      <c r="L446" s="428">
        <v>0</v>
      </c>
    </row>
    <row r="447" spans="1:12" hidden="1">
      <c r="A447" s="414">
        <v>40508</v>
      </c>
      <c r="B447" s="414" t="s">
        <v>805</v>
      </c>
      <c r="C447" s="415">
        <v>1092</v>
      </c>
      <c r="D447" s="414">
        <v>41600</v>
      </c>
      <c r="E447" s="418">
        <v>3</v>
      </c>
      <c r="F447" s="416">
        <v>3</v>
      </c>
      <c r="G447" s="416">
        <v>3</v>
      </c>
      <c r="H447" s="416">
        <v>5</v>
      </c>
      <c r="I447" s="416">
        <v>5</v>
      </c>
      <c r="J447" s="416">
        <v>5</v>
      </c>
      <c r="L447" s="415">
        <v>1</v>
      </c>
    </row>
    <row r="448" spans="1:12" hidden="1">
      <c r="A448" s="427">
        <v>40515</v>
      </c>
      <c r="B448" s="427" t="s">
        <v>1099</v>
      </c>
      <c r="C448" s="428">
        <v>91</v>
      </c>
      <c r="D448" s="427">
        <v>40606</v>
      </c>
      <c r="E448" s="429">
        <v>20</v>
      </c>
      <c r="F448" s="430">
        <v>7.8320999999999996</v>
      </c>
      <c r="G448" s="430">
        <v>7.8320999999999996</v>
      </c>
      <c r="H448" s="430">
        <v>2.5</v>
      </c>
      <c r="I448" s="430">
        <v>2.5</v>
      </c>
      <c r="J448" s="430">
        <v>2.5</v>
      </c>
      <c r="K448" s="431"/>
      <c r="L448" s="428">
        <v>3</v>
      </c>
    </row>
    <row r="449" spans="1:12" hidden="1">
      <c r="A449" s="414">
        <v>40515</v>
      </c>
      <c r="B449" s="414" t="s">
        <v>1100</v>
      </c>
      <c r="C449" s="415">
        <v>364</v>
      </c>
      <c r="D449" s="414">
        <v>40879</v>
      </c>
      <c r="E449" s="418">
        <v>3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L449" s="415">
        <v>0</v>
      </c>
    </row>
    <row r="450" spans="1:12" hidden="1">
      <c r="A450" s="427">
        <v>40515</v>
      </c>
      <c r="B450" s="427" t="s">
        <v>1101</v>
      </c>
      <c r="C450" s="428">
        <v>35</v>
      </c>
      <c r="D450" s="427">
        <v>40550</v>
      </c>
      <c r="E450" s="429">
        <v>20</v>
      </c>
      <c r="F450" s="430">
        <v>6.0103</v>
      </c>
      <c r="G450" s="430">
        <v>6.0103</v>
      </c>
      <c r="H450" s="430">
        <v>1.46</v>
      </c>
      <c r="I450" s="430">
        <v>1.46</v>
      </c>
      <c r="J450" s="430">
        <v>1.46</v>
      </c>
      <c r="K450" s="431"/>
      <c r="L450" s="428">
        <v>2</v>
      </c>
    </row>
    <row r="451" spans="1:12" hidden="1">
      <c r="A451" s="414">
        <v>40519</v>
      </c>
      <c r="B451" s="414" t="s">
        <v>1102</v>
      </c>
      <c r="C451" s="415">
        <v>182</v>
      </c>
      <c r="D451" s="414">
        <v>40701</v>
      </c>
      <c r="E451" s="418">
        <v>7</v>
      </c>
      <c r="F451" s="416">
        <v>3.0421</v>
      </c>
      <c r="G451" s="416">
        <v>3.0421</v>
      </c>
      <c r="H451" s="416">
        <v>2.9899999999999998</v>
      </c>
      <c r="I451" s="416">
        <v>2.9899999999999998</v>
      </c>
      <c r="J451" s="416">
        <v>2.9899999999999998</v>
      </c>
      <c r="L451" s="415">
        <v>3</v>
      </c>
    </row>
    <row r="452" spans="1:12" hidden="1">
      <c r="A452" s="427">
        <v>40522</v>
      </c>
      <c r="B452" s="427" t="s">
        <v>1103</v>
      </c>
      <c r="C452" s="428">
        <v>364</v>
      </c>
      <c r="D452" s="427">
        <v>40886</v>
      </c>
      <c r="E452" s="429">
        <v>5</v>
      </c>
      <c r="F452" s="430">
        <v>6.3860000000000001</v>
      </c>
      <c r="G452" s="430">
        <v>5</v>
      </c>
      <c r="H452" s="430">
        <v>4</v>
      </c>
      <c r="I452" s="430">
        <v>4</v>
      </c>
      <c r="J452" s="430">
        <v>4</v>
      </c>
      <c r="K452" s="431"/>
      <c r="L452" s="428">
        <v>2</v>
      </c>
    </row>
    <row r="453" spans="1:12" hidden="1">
      <c r="A453" s="414">
        <v>40522</v>
      </c>
      <c r="B453" s="414" t="s">
        <v>1104</v>
      </c>
      <c r="C453" s="415">
        <v>728</v>
      </c>
      <c r="D453" s="414">
        <v>41250</v>
      </c>
      <c r="E453" s="418">
        <v>3</v>
      </c>
      <c r="F453" s="416">
        <v>0</v>
      </c>
      <c r="G453" s="416">
        <v>0</v>
      </c>
      <c r="H453" s="416">
        <v>0</v>
      </c>
      <c r="I453" s="416">
        <v>0</v>
      </c>
      <c r="J453" s="416">
        <v>0</v>
      </c>
      <c r="L453" s="415">
        <v>0</v>
      </c>
    </row>
    <row r="454" spans="1:12" hidden="1">
      <c r="A454" s="427">
        <v>40522</v>
      </c>
      <c r="B454" s="427" t="s">
        <v>1105</v>
      </c>
      <c r="C454" s="428">
        <v>1092</v>
      </c>
      <c r="D454" s="427">
        <v>41614</v>
      </c>
      <c r="E454" s="429">
        <v>3</v>
      </c>
      <c r="F454" s="430">
        <v>3</v>
      </c>
      <c r="G454" s="430">
        <v>3</v>
      </c>
      <c r="H454" s="430">
        <v>5</v>
      </c>
      <c r="I454" s="430">
        <v>5</v>
      </c>
      <c r="J454" s="430">
        <v>5</v>
      </c>
      <c r="K454" s="431"/>
      <c r="L454" s="428">
        <v>1</v>
      </c>
    </row>
    <row r="455" spans="1:12" hidden="1">
      <c r="A455" s="414">
        <v>40526</v>
      </c>
      <c r="B455" s="414" t="s">
        <v>1106</v>
      </c>
      <c r="C455" s="415">
        <v>35</v>
      </c>
      <c r="D455" s="414">
        <v>40561</v>
      </c>
      <c r="E455" s="418">
        <v>20</v>
      </c>
      <c r="F455" s="416">
        <v>11.6137</v>
      </c>
      <c r="G455" s="416">
        <v>11.6137</v>
      </c>
      <c r="H455" s="416">
        <v>1.46</v>
      </c>
      <c r="I455" s="416">
        <v>1.46</v>
      </c>
      <c r="J455" s="416">
        <v>1.46</v>
      </c>
      <c r="L455" s="415">
        <v>5</v>
      </c>
    </row>
    <row r="456" spans="1:12" hidden="1">
      <c r="A456" s="427">
        <v>40529</v>
      </c>
      <c r="B456" s="427" t="s">
        <v>1107</v>
      </c>
      <c r="C456" s="428">
        <v>91</v>
      </c>
      <c r="D456" s="427">
        <v>40620</v>
      </c>
      <c r="E456" s="429">
        <v>15</v>
      </c>
      <c r="F456" s="430">
        <v>11.159700000000001</v>
      </c>
      <c r="G456" s="430">
        <v>11.159700000000001</v>
      </c>
      <c r="H456" s="430">
        <v>2.5</v>
      </c>
      <c r="I456" s="430">
        <v>2.5</v>
      </c>
      <c r="J456" s="430">
        <v>2.5</v>
      </c>
      <c r="K456" s="431"/>
      <c r="L456" s="428">
        <v>4</v>
      </c>
    </row>
    <row r="457" spans="1:12" hidden="1">
      <c r="A457" s="414">
        <v>40529</v>
      </c>
      <c r="B457" s="414" t="s">
        <v>1108</v>
      </c>
      <c r="C457" s="415">
        <v>364</v>
      </c>
      <c r="D457" s="414">
        <v>40893</v>
      </c>
      <c r="E457" s="418">
        <v>3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L457" s="415">
        <v>0</v>
      </c>
    </row>
    <row r="458" spans="1:12" hidden="1">
      <c r="A458" s="427">
        <v>40533</v>
      </c>
      <c r="B458" s="427" t="s">
        <v>1109</v>
      </c>
      <c r="C458" s="428">
        <v>182</v>
      </c>
      <c r="D458" s="427">
        <v>40715</v>
      </c>
      <c r="E458" s="429">
        <v>8</v>
      </c>
      <c r="F458" s="430">
        <v>0</v>
      </c>
      <c r="G458" s="430">
        <v>0</v>
      </c>
      <c r="H458" s="430">
        <v>0</v>
      </c>
      <c r="I458" s="430">
        <v>0</v>
      </c>
      <c r="J458" s="430">
        <v>0</v>
      </c>
      <c r="K458" s="431"/>
      <c r="L458" s="428">
        <v>0</v>
      </c>
    </row>
    <row r="459" spans="1:12" hidden="1">
      <c r="A459" s="414">
        <v>40536</v>
      </c>
      <c r="B459" s="414" t="s">
        <v>1110</v>
      </c>
      <c r="C459" s="415">
        <v>364</v>
      </c>
      <c r="D459" s="414">
        <v>40900</v>
      </c>
      <c r="E459" s="418">
        <v>5</v>
      </c>
      <c r="F459" s="416">
        <v>5.4767999999999999</v>
      </c>
      <c r="G459" s="416">
        <v>5</v>
      </c>
      <c r="H459" s="416">
        <v>4</v>
      </c>
      <c r="I459" s="416">
        <v>4</v>
      </c>
      <c r="J459" s="416">
        <v>4</v>
      </c>
      <c r="L459" s="415">
        <v>3</v>
      </c>
    </row>
    <row r="460" spans="1:12" hidden="1">
      <c r="A460" s="427">
        <v>40536</v>
      </c>
      <c r="B460" s="427" t="s">
        <v>1111</v>
      </c>
      <c r="C460" s="428">
        <v>728</v>
      </c>
      <c r="D460" s="427">
        <v>41264</v>
      </c>
      <c r="E460" s="429">
        <v>2</v>
      </c>
      <c r="F460" s="430">
        <v>0</v>
      </c>
      <c r="G460" s="430">
        <v>0</v>
      </c>
      <c r="H460" s="430">
        <v>4.5</v>
      </c>
      <c r="I460" s="430">
        <v>4.5</v>
      </c>
      <c r="J460" s="430">
        <v>4.5</v>
      </c>
      <c r="K460" s="431"/>
      <c r="L460" s="428">
        <v>0</v>
      </c>
    </row>
    <row r="461" spans="1:12" hidden="1">
      <c r="A461" s="414">
        <v>40536</v>
      </c>
      <c r="B461" s="414" t="s">
        <v>1112</v>
      </c>
      <c r="C461" s="415">
        <v>1092</v>
      </c>
      <c r="D461" s="414">
        <v>41628</v>
      </c>
      <c r="E461" s="418">
        <v>3</v>
      </c>
      <c r="F461" s="416">
        <v>0</v>
      </c>
      <c r="G461" s="416">
        <v>0</v>
      </c>
      <c r="H461" s="416">
        <v>5</v>
      </c>
      <c r="I461" s="416">
        <v>5</v>
      </c>
      <c r="J461" s="416">
        <v>5</v>
      </c>
      <c r="L461" s="415">
        <v>0</v>
      </c>
    </row>
    <row r="462" spans="1:12" hidden="1">
      <c r="A462" s="427">
        <v>40575</v>
      </c>
      <c r="B462" s="427" t="s">
        <v>1113</v>
      </c>
      <c r="C462" s="428">
        <v>35</v>
      </c>
      <c r="D462" s="427">
        <v>40610</v>
      </c>
      <c r="E462" s="429">
        <v>10</v>
      </c>
      <c r="F462" s="430">
        <v>37.786900000000003</v>
      </c>
      <c r="G462" s="430">
        <v>10</v>
      </c>
      <c r="H462" s="430">
        <v>1.46</v>
      </c>
      <c r="I462" s="430">
        <v>1.46</v>
      </c>
      <c r="J462" s="430">
        <v>1.3599999999999999</v>
      </c>
      <c r="K462" s="431"/>
      <c r="L462" s="428">
        <v>5</v>
      </c>
    </row>
    <row r="463" spans="1:12" hidden="1">
      <c r="A463" s="414">
        <v>40578</v>
      </c>
      <c r="B463" s="414" t="s">
        <v>1114</v>
      </c>
      <c r="C463" s="415">
        <v>91</v>
      </c>
      <c r="D463" s="414">
        <v>40669</v>
      </c>
      <c r="E463" s="418">
        <v>4</v>
      </c>
      <c r="F463" s="416">
        <v>25.308399999999999</v>
      </c>
      <c r="G463" s="416">
        <v>4</v>
      </c>
      <c r="H463" s="416">
        <v>1.6099999999999999</v>
      </c>
      <c r="I463" s="416">
        <v>1.6099999999999999</v>
      </c>
      <c r="J463" s="416">
        <v>1.6099999999999999</v>
      </c>
      <c r="L463" s="415">
        <v>6</v>
      </c>
    </row>
    <row r="464" spans="1:12" hidden="1">
      <c r="A464" s="427">
        <v>40582</v>
      </c>
      <c r="B464" s="427" t="s">
        <v>1115</v>
      </c>
      <c r="C464" s="428">
        <v>182</v>
      </c>
      <c r="D464" s="427">
        <v>40764</v>
      </c>
      <c r="E464" s="429">
        <v>3</v>
      </c>
      <c r="F464" s="430">
        <v>12.611599999999999</v>
      </c>
      <c r="G464" s="430">
        <v>3</v>
      </c>
      <c r="H464" s="430">
        <v>2.0099999999999998</v>
      </c>
      <c r="I464" s="430">
        <v>2.0099999999999998</v>
      </c>
      <c r="J464" s="430">
        <v>2.0099999999999998</v>
      </c>
      <c r="K464" s="431"/>
      <c r="L464" s="428">
        <v>4</v>
      </c>
    </row>
    <row r="465" spans="1:12" hidden="1">
      <c r="A465" s="414">
        <v>40585</v>
      </c>
      <c r="B465" s="414" t="s">
        <v>1116</v>
      </c>
      <c r="C465" s="415">
        <v>364</v>
      </c>
      <c r="D465" s="414">
        <v>40949</v>
      </c>
      <c r="E465" s="418">
        <v>3</v>
      </c>
      <c r="F465" s="416">
        <v>10.628500000000001</v>
      </c>
      <c r="G465" s="416">
        <v>3</v>
      </c>
      <c r="H465" s="416">
        <v>4</v>
      </c>
      <c r="I465" s="416">
        <v>4</v>
      </c>
      <c r="J465" s="416">
        <v>4</v>
      </c>
      <c r="L465" s="415">
        <v>5</v>
      </c>
    </row>
    <row r="466" spans="1:12" hidden="1">
      <c r="A466" s="427">
        <v>40589</v>
      </c>
      <c r="B466" s="427" t="s">
        <v>1117</v>
      </c>
      <c r="C466" s="428">
        <v>91</v>
      </c>
      <c r="D466" s="427">
        <v>40680</v>
      </c>
      <c r="E466" s="429">
        <v>7</v>
      </c>
      <c r="F466" s="430">
        <v>17.824400000000001</v>
      </c>
      <c r="G466" s="430">
        <v>7</v>
      </c>
      <c r="H466" s="430">
        <v>1.6099999999999999</v>
      </c>
      <c r="I466" s="430">
        <v>1.6099999999999999</v>
      </c>
      <c r="J466" s="430">
        <v>1.49</v>
      </c>
      <c r="K466" s="431"/>
      <c r="L466" s="428">
        <v>5</v>
      </c>
    </row>
    <row r="467" spans="1:12" hidden="1">
      <c r="A467" s="414">
        <v>40592</v>
      </c>
      <c r="B467" s="414" t="s">
        <v>1118</v>
      </c>
      <c r="C467" s="415">
        <v>35</v>
      </c>
      <c r="D467" s="414">
        <v>40627</v>
      </c>
      <c r="E467" s="418">
        <v>5</v>
      </c>
      <c r="F467" s="416">
        <v>15.105700000000001</v>
      </c>
      <c r="G467" s="416">
        <v>5</v>
      </c>
      <c r="H467" s="416">
        <v>1.1499999999999999</v>
      </c>
      <c r="I467" s="416">
        <v>1.1499999999999999</v>
      </c>
      <c r="J467" s="416">
        <v>1.1499999999999999</v>
      </c>
      <c r="L467" s="415">
        <v>2</v>
      </c>
    </row>
    <row r="468" spans="1:12" hidden="1">
      <c r="A468" s="427">
        <v>40596</v>
      </c>
      <c r="B468" s="427" t="s">
        <v>1119</v>
      </c>
      <c r="C468" s="428">
        <v>182</v>
      </c>
      <c r="D468" s="427">
        <v>40778</v>
      </c>
      <c r="E468" s="429">
        <v>4</v>
      </c>
      <c r="F468" s="430">
        <v>10.5755</v>
      </c>
      <c r="G468" s="430">
        <v>4</v>
      </c>
      <c r="H468" s="430">
        <v>1.7999999999999998</v>
      </c>
      <c r="I468" s="430">
        <v>1.7999999999999998</v>
      </c>
      <c r="J468" s="430">
        <v>1.7999999999999998</v>
      </c>
      <c r="K468" s="431"/>
      <c r="L468" s="428">
        <v>3</v>
      </c>
    </row>
    <row r="469" spans="1:12" hidden="1">
      <c r="A469" s="414">
        <v>40599</v>
      </c>
      <c r="B469" s="414" t="s">
        <v>1120</v>
      </c>
      <c r="C469" s="415">
        <v>1092</v>
      </c>
      <c r="D469" s="414">
        <v>41691</v>
      </c>
      <c r="E469" s="418">
        <v>2</v>
      </c>
      <c r="F469" s="416">
        <v>13.328200000000001</v>
      </c>
      <c r="G469" s="416">
        <v>2</v>
      </c>
      <c r="H469" s="416">
        <v>5</v>
      </c>
      <c r="I469" s="416">
        <v>5</v>
      </c>
      <c r="J469" s="416">
        <v>5</v>
      </c>
      <c r="L469" s="415">
        <v>6</v>
      </c>
    </row>
    <row r="470" spans="1:12" hidden="1">
      <c r="A470" s="427">
        <v>40599</v>
      </c>
      <c r="B470" s="427" t="s">
        <v>1121</v>
      </c>
      <c r="C470" s="428">
        <v>364</v>
      </c>
      <c r="D470" s="427">
        <v>40963</v>
      </c>
      <c r="E470" s="429">
        <v>3</v>
      </c>
      <c r="F470" s="430">
        <v>6.2915000000000001</v>
      </c>
      <c r="G470" s="430">
        <v>3</v>
      </c>
      <c r="H470" s="430">
        <v>4</v>
      </c>
      <c r="I470" s="430">
        <v>4</v>
      </c>
      <c r="J470" s="430">
        <v>4</v>
      </c>
      <c r="K470" s="431"/>
      <c r="L470" s="428">
        <v>3</v>
      </c>
    </row>
    <row r="471" spans="1:12" hidden="1">
      <c r="A471" s="414">
        <v>40603</v>
      </c>
      <c r="B471" s="414" t="s">
        <v>1122</v>
      </c>
      <c r="C471" s="415">
        <v>35</v>
      </c>
      <c r="D471" s="414">
        <v>40638</v>
      </c>
      <c r="E471" s="418">
        <v>5</v>
      </c>
      <c r="F471" s="416">
        <v>18.509799999999998</v>
      </c>
      <c r="G471" s="416">
        <v>5</v>
      </c>
      <c r="H471" s="416">
        <v>1.1499999999999999</v>
      </c>
      <c r="I471" s="416">
        <v>1.1499999999999999</v>
      </c>
      <c r="J471" s="416">
        <v>1.04</v>
      </c>
      <c r="L471" s="415">
        <v>4</v>
      </c>
    </row>
    <row r="472" spans="1:12" hidden="1">
      <c r="A472" s="427">
        <v>40606</v>
      </c>
      <c r="B472" s="427" t="s">
        <v>1123</v>
      </c>
      <c r="C472" s="428">
        <v>91</v>
      </c>
      <c r="D472" s="427">
        <v>40697</v>
      </c>
      <c r="E472" s="429">
        <v>7</v>
      </c>
      <c r="F472" s="430">
        <v>13.283899999999999</v>
      </c>
      <c r="G472" s="430">
        <v>7</v>
      </c>
      <c r="H472" s="430">
        <v>2.42</v>
      </c>
      <c r="I472" s="430">
        <v>2.42</v>
      </c>
      <c r="J472" s="430">
        <v>1.81</v>
      </c>
      <c r="K472" s="431"/>
      <c r="L472" s="428">
        <v>4</v>
      </c>
    </row>
    <row r="473" spans="1:12" hidden="1">
      <c r="A473" s="414">
        <v>40613</v>
      </c>
      <c r="B473" s="414" t="s">
        <v>1124</v>
      </c>
      <c r="C473" s="415">
        <v>364</v>
      </c>
      <c r="D473" s="414">
        <v>40977</v>
      </c>
      <c r="E473" s="418">
        <v>3</v>
      </c>
      <c r="F473" s="416">
        <v>9.1008999999999993</v>
      </c>
      <c r="G473" s="416">
        <v>3</v>
      </c>
      <c r="H473" s="416">
        <v>4</v>
      </c>
      <c r="I473" s="416">
        <v>4</v>
      </c>
      <c r="J473" s="416">
        <v>4</v>
      </c>
      <c r="L473" s="415">
        <v>5</v>
      </c>
    </row>
    <row r="474" spans="1:12" hidden="1">
      <c r="A474" s="427">
        <v>40613</v>
      </c>
      <c r="B474" s="427" t="s">
        <v>1125</v>
      </c>
      <c r="C474" s="428">
        <v>182</v>
      </c>
      <c r="D474" s="427">
        <v>40795</v>
      </c>
      <c r="E474" s="429">
        <v>3</v>
      </c>
      <c r="F474" s="430">
        <v>5.0229999999999997</v>
      </c>
      <c r="G474" s="430">
        <v>3</v>
      </c>
      <c r="H474" s="430">
        <v>1.5</v>
      </c>
      <c r="I474" s="430">
        <v>1.5</v>
      </c>
      <c r="J474" s="430">
        <v>1.5</v>
      </c>
      <c r="K474" s="431"/>
      <c r="L474" s="428">
        <v>2</v>
      </c>
    </row>
    <row r="475" spans="1:12" hidden="1">
      <c r="A475" s="414">
        <v>40620</v>
      </c>
      <c r="B475" s="414" t="s">
        <v>1126</v>
      </c>
      <c r="C475" s="415">
        <v>91</v>
      </c>
      <c r="D475" s="414">
        <v>40711</v>
      </c>
      <c r="E475" s="418">
        <v>5</v>
      </c>
      <c r="F475" s="416">
        <v>10.678000000000001</v>
      </c>
      <c r="G475" s="416">
        <v>5</v>
      </c>
      <c r="H475" s="416">
        <v>1.29</v>
      </c>
      <c r="I475" s="416">
        <v>1.29</v>
      </c>
      <c r="J475" s="416">
        <v>1.25</v>
      </c>
      <c r="L475" s="415">
        <v>4</v>
      </c>
    </row>
    <row r="476" spans="1:12" hidden="1">
      <c r="A476" s="427">
        <v>40631</v>
      </c>
      <c r="B476" s="427" t="s">
        <v>1127</v>
      </c>
      <c r="C476" s="428">
        <v>364</v>
      </c>
      <c r="D476" s="427">
        <v>40995</v>
      </c>
      <c r="E476" s="429">
        <v>3</v>
      </c>
      <c r="F476" s="430">
        <v>8.4283000000000001</v>
      </c>
      <c r="G476" s="430">
        <v>3</v>
      </c>
      <c r="H476" s="430">
        <v>4</v>
      </c>
      <c r="I476" s="430">
        <v>4</v>
      </c>
      <c r="J476" s="430">
        <v>4</v>
      </c>
      <c r="K476" s="431"/>
      <c r="L476" s="428">
        <v>3</v>
      </c>
    </row>
    <row r="477" spans="1:12" hidden="1">
      <c r="A477" s="414">
        <v>40631</v>
      </c>
      <c r="B477" s="414" t="s">
        <v>1128</v>
      </c>
      <c r="C477" s="415">
        <v>182</v>
      </c>
      <c r="D477" s="414">
        <v>40813</v>
      </c>
      <c r="E477" s="418">
        <v>4</v>
      </c>
      <c r="F477" s="416">
        <v>9.8295999999999992</v>
      </c>
      <c r="G477" s="416">
        <v>4</v>
      </c>
      <c r="H477" s="416">
        <v>1.5</v>
      </c>
      <c r="I477" s="416">
        <v>1.5</v>
      </c>
      <c r="J477" s="416">
        <v>1.47</v>
      </c>
      <c r="L477" s="415">
        <v>3</v>
      </c>
    </row>
    <row r="478" spans="1:12" hidden="1">
      <c r="A478" s="427">
        <v>40638</v>
      </c>
      <c r="B478" s="427" t="s">
        <v>1129</v>
      </c>
      <c r="C478" s="428">
        <v>35</v>
      </c>
      <c r="D478" s="427">
        <v>40673</v>
      </c>
      <c r="E478" s="429">
        <v>5</v>
      </c>
      <c r="F478" s="430">
        <v>10.9954</v>
      </c>
      <c r="G478" s="430">
        <v>5</v>
      </c>
      <c r="H478" s="430">
        <v>0.94000000000000006</v>
      </c>
      <c r="I478" s="430">
        <v>0.94000000000000006</v>
      </c>
      <c r="J478" s="430">
        <v>0.94000000000000006</v>
      </c>
      <c r="K478" s="431"/>
      <c r="L478" s="428">
        <v>2</v>
      </c>
    </row>
    <row r="479" spans="1:12" hidden="1">
      <c r="A479" s="414">
        <v>40641</v>
      </c>
      <c r="B479" s="414" t="s">
        <v>1130</v>
      </c>
      <c r="C479" s="415">
        <v>91</v>
      </c>
      <c r="D479" s="414">
        <v>40732</v>
      </c>
      <c r="E479" s="418">
        <v>5</v>
      </c>
      <c r="F479" s="416">
        <v>7.5029000000000003</v>
      </c>
      <c r="G479" s="416">
        <v>5</v>
      </c>
      <c r="H479" s="416">
        <v>1.29</v>
      </c>
      <c r="I479" s="416">
        <v>1.29</v>
      </c>
      <c r="J479" s="416">
        <v>1.29</v>
      </c>
      <c r="L479" s="415">
        <v>2</v>
      </c>
    </row>
    <row r="480" spans="1:12" hidden="1">
      <c r="A480" s="427">
        <v>40645</v>
      </c>
      <c r="B480" s="427" t="s">
        <v>1131</v>
      </c>
      <c r="C480" s="428">
        <v>182</v>
      </c>
      <c r="D480" s="427">
        <v>40827</v>
      </c>
      <c r="E480" s="429">
        <v>3</v>
      </c>
      <c r="F480" s="430">
        <v>5.6193</v>
      </c>
      <c r="G480" s="430">
        <v>3</v>
      </c>
      <c r="H480" s="430">
        <v>1.5599999999999998</v>
      </c>
      <c r="I480" s="430">
        <v>1.5599999999999998</v>
      </c>
      <c r="J480" s="430">
        <v>1.5599999999999998</v>
      </c>
      <c r="K480" s="431"/>
      <c r="L480" s="428">
        <v>2</v>
      </c>
    </row>
    <row r="481" spans="1:12" hidden="1">
      <c r="A481" s="414">
        <v>40648</v>
      </c>
      <c r="B481" s="414" t="s">
        <v>1132</v>
      </c>
      <c r="C481" s="415">
        <v>364</v>
      </c>
      <c r="D481" s="414">
        <v>41012</v>
      </c>
      <c r="E481" s="418">
        <v>2</v>
      </c>
      <c r="F481" s="416">
        <v>4.9882999999999997</v>
      </c>
      <c r="G481" s="416">
        <v>2</v>
      </c>
      <c r="H481" s="416">
        <v>4</v>
      </c>
      <c r="I481" s="416">
        <v>4</v>
      </c>
      <c r="J481" s="416">
        <v>4</v>
      </c>
      <c r="L481" s="415">
        <v>3</v>
      </c>
    </row>
    <row r="482" spans="1:12" hidden="1">
      <c r="A482" s="427">
        <v>40648</v>
      </c>
      <c r="B482" s="427" t="s">
        <v>1133</v>
      </c>
      <c r="C482" s="428">
        <v>728</v>
      </c>
      <c r="D482" s="427">
        <v>41376</v>
      </c>
      <c r="E482" s="429">
        <v>2</v>
      </c>
      <c r="F482" s="430">
        <v>2.9903</v>
      </c>
      <c r="G482" s="430">
        <v>2</v>
      </c>
      <c r="H482" s="430">
        <v>4.5</v>
      </c>
      <c r="I482" s="430">
        <v>4.5</v>
      </c>
      <c r="J482" s="430">
        <v>4.5</v>
      </c>
      <c r="K482" s="431"/>
      <c r="L482" s="428">
        <v>2</v>
      </c>
    </row>
    <row r="483" spans="1:12" hidden="1">
      <c r="A483" s="414">
        <v>40652</v>
      </c>
      <c r="B483" s="414" t="s">
        <v>1134</v>
      </c>
      <c r="C483" s="415">
        <v>35</v>
      </c>
      <c r="D483" s="414">
        <v>40687</v>
      </c>
      <c r="E483" s="418">
        <v>5</v>
      </c>
      <c r="F483" s="416">
        <v>5.9904999999999999</v>
      </c>
      <c r="G483" s="416">
        <v>5</v>
      </c>
      <c r="H483" s="416">
        <v>1.04</v>
      </c>
      <c r="I483" s="416">
        <v>1.04</v>
      </c>
      <c r="J483" s="416">
        <v>1.04</v>
      </c>
      <c r="L483" s="415">
        <v>1</v>
      </c>
    </row>
    <row r="484" spans="1:12" hidden="1">
      <c r="A484" s="427">
        <v>40659</v>
      </c>
      <c r="B484" s="427" t="s">
        <v>1135</v>
      </c>
      <c r="C484" s="428">
        <v>182</v>
      </c>
      <c r="D484" s="427">
        <v>40841</v>
      </c>
      <c r="E484" s="429">
        <v>4</v>
      </c>
      <c r="F484" s="430">
        <v>5.0125000000000002</v>
      </c>
      <c r="G484" s="430">
        <v>4</v>
      </c>
      <c r="H484" s="430">
        <v>2.9899999999999998</v>
      </c>
      <c r="I484" s="430">
        <v>2.9899999999999998</v>
      </c>
      <c r="J484" s="430">
        <v>2.87</v>
      </c>
      <c r="K484" s="431"/>
      <c r="L484" s="428">
        <v>2</v>
      </c>
    </row>
    <row r="485" spans="1:12" hidden="1">
      <c r="A485" s="414">
        <v>40662</v>
      </c>
      <c r="B485" s="414" t="s">
        <v>1136</v>
      </c>
      <c r="C485" s="415">
        <v>364</v>
      </c>
      <c r="D485" s="414">
        <v>41026</v>
      </c>
      <c r="E485" s="418">
        <v>3</v>
      </c>
      <c r="F485" s="416">
        <v>8.0422999999999991</v>
      </c>
      <c r="G485" s="416">
        <v>3</v>
      </c>
      <c r="H485" s="416">
        <v>4</v>
      </c>
      <c r="I485" s="416">
        <v>4</v>
      </c>
      <c r="J485" s="416">
        <v>4</v>
      </c>
      <c r="L485" s="415">
        <v>5</v>
      </c>
    </row>
    <row r="486" spans="1:12" hidden="1">
      <c r="A486" s="427">
        <v>40662</v>
      </c>
      <c r="B486" s="427" t="s">
        <v>1137</v>
      </c>
      <c r="C486" s="428">
        <v>1092</v>
      </c>
      <c r="D486" s="427">
        <v>41754</v>
      </c>
      <c r="E486" s="429">
        <v>2</v>
      </c>
      <c r="F486" s="430">
        <v>2.3403999999999998</v>
      </c>
      <c r="G486" s="430">
        <v>2</v>
      </c>
      <c r="H486" s="430">
        <v>5</v>
      </c>
      <c r="I486" s="430">
        <v>5</v>
      </c>
      <c r="J486" s="430">
        <v>5</v>
      </c>
      <c r="K486" s="431"/>
      <c r="L486" s="428">
        <v>2</v>
      </c>
    </row>
    <row r="487" spans="1:12" hidden="1">
      <c r="A487" s="414">
        <v>40666</v>
      </c>
      <c r="B487" s="414" t="s">
        <v>1812</v>
      </c>
      <c r="C487" s="415">
        <v>35</v>
      </c>
      <c r="D487" s="414">
        <v>40701</v>
      </c>
      <c r="E487" s="418">
        <v>5</v>
      </c>
      <c r="F487" s="416">
        <v>7.0021000000000004</v>
      </c>
      <c r="G487" s="416">
        <v>1.0009999999999999</v>
      </c>
      <c r="H487" s="416">
        <v>1.46</v>
      </c>
      <c r="I487" s="416">
        <v>1.46</v>
      </c>
      <c r="J487" s="416">
        <v>1.46</v>
      </c>
      <c r="L487" s="415">
        <v>2</v>
      </c>
    </row>
    <row r="488" spans="1:12" hidden="1">
      <c r="A488" s="427">
        <v>40669</v>
      </c>
      <c r="B488" s="427" t="s">
        <v>1235</v>
      </c>
      <c r="C488" s="428">
        <v>91</v>
      </c>
      <c r="D488" s="427">
        <v>40760</v>
      </c>
      <c r="E488" s="429">
        <v>5</v>
      </c>
      <c r="F488" s="430">
        <v>5.5058999999999996</v>
      </c>
      <c r="G488" s="430">
        <v>5</v>
      </c>
      <c r="H488" s="430">
        <v>2.2200000000000002</v>
      </c>
      <c r="I488" s="430">
        <v>2.2200000000000002</v>
      </c>
      <c r="J488" s="430">
        <v>2.06</v>
      </c>
      <c r="K488" s="431"/>
      <c r="L488" s="428">
        <v>2</v>
      </c>
    </row>
    <row r="489" spans="1:12" hidden="1">
      <c r="A489" s="414">
        <v>40673</v>
      </c>
      <c r="B489" s="414" t="s">
        <v>1236</v>
      </c>
      <c r="C489" s="415">
        <v>182</v>
      </c>
      <c r="D489" s="414">
        <v>40855</v>
      </c>
      <c r="E489" s="418">
        <v>3</v>
      </c>
      <c r="F489" s="416">
        <v>3</v>
      </c>
      <c r="G489" s="416">
        <v>3</v>
      </c>
      <c r="H489" s="416">
        <v>2.9899999999999998</v>
      </c>
      <c r="I489" s="416">
        <v>2.9899999999999998</v>
      </c>
      <c r="J489" s="416">
        <v>2.9899999999999998</v>
      </c>
      <c r="L489" s="415">
        <v>1</v>
      </c>
    </row>
    <row r="490" spans="1:12" hidden="1">
      <c r="A490" s="427">
        <v>40676</v>
      </c>
      <c r="B490" s="427" t="s">
        <v>1237</v>
      </c>
      <c r="C490" s="428">
        <v>364</v>
      </c>
      <c r="D490" s="427">
        <v>41040</v>
      </c>
      <c r="E490" s="429">
        <v>3</v>
      </c>
      <c r="F490" s="430">
        <v>5.4980000000000002</v>
      </c>
      <c r="G490" s="430">
        <v>3</v>
      </c>
      <c r="H490" s="430">
        <v>4</v>
      </c>
      <c r="I490" s="430">
        <v>4</v>
      </c>
      <c r="J490" s="430">
        <v>4</v>
      </c>
      <c r="K490" s="431"/>
      <c r="L490" s="428">
        <v>3</v>
      </c>
    </row>
    <row r="491" spans="1:12" hidden="1">
      <c r="A491" s="414">
        <v>40680</v>
      </c>
      <c r="B491" s="414" t="s">
        <v>1238</v>
      </c>
      <c r="C491" s="415">
        <v>35</v>
      </c>
      <c r="D491" s="414">
        <v>40715</v>
      </c>
      <c r="E491" s="418">
        <v>8</v>
      </c>
      <c r="F491" s="416">
        <v>4.4595000000000002</v>
      </c>
      <c r="G491" s="416">
        <v>0</v>
      </c>
      <c r="H491" s="416">
        <v>0</v>
      </c>
      <c r="I491" s="416">
        <v>0</v>
      </c>
      <c r="J491" s="416">
        <v>0</v>
      </c>
      <c r="L491" s="415">
        <v>3</v>
      </c>
    </row>
    <row r="492" spans="1:12" hidden="1">
      <c r="A492" s="427">
        <v>40683</v>
      </c>
      <c r="B492" s="427" t="s">
        <v>1239</v>
      </c>
      <c r="C492" s="428">
        <v>91</v>
      </c>
      <c r="D492" s="427">
        <v>40774</v>
      </c>
      <c r="E492" s="429">
        <v>6</v>
      </c>
      <c r="F492" s="430">
        <v>9.0210000000000008</v>
      </c>
      <c r="G492" s="430">
        <v>6</v>
      </c>
      <c r="H492" s="430">
        <v>2.5</v>
      </c>
      <c r="I492" s="430">
        <v>2.5</v>
      </c>
      <c r="J492" s="430">
        <v>2.2599999999999998</v>
      </c>
      <c r="K492" s="431"/>
      <c r="L492" s="428">
        <v>2</v>
      </c>
    </row>
    <row r="493" spans="1:12" hidden="1">
      <c r="A493" s="414">
        <v>40687</v>
      </c>
      <c r="B493" s="414" t="s">
        <v>1240</v>
      </c>
      <c r="C493" s="415">
        <v>182</v>
      </c>
      <c r="D493" s="414">
        <v>40869</v>
      </c>
      <c r="E493" s="418">
        <v>4</v>
      </c>
      <c r="F493" s="416">
        <v>6.4560000000000004</v>
      </c>
      <c r="G493" s="416">
        <v>4</v>
      </c>
      <c r="H493" s="416">
        <v>2.9899999999999998</v>
      </c>
      <c r="I493" s="416">
        <v>2.9899999999999998</v>
      </c>
      <c r="J493" s="416">
        <v>2.9899999999999998</v>
      </c>
      <c r="L493" s="415">
        <v>2</v>
      </c>
    </row>
    <row r="494" spans="1:12" hidden="1">
      <c r="A494" s="427">
        <v>40690</v>
      </c>
      <c r="B494" s="427" t="s">
        <v>1241</v>
      </c>
      <c r="C494" s="428">
        <v>1092</v>
      </c>
      <c r="D494" s="427">
        <v>41782</v>
      </c>
      <c r="E494" s="429">
        <v>2</v>
      </c>
      <c r="F494" s="430">
        <v>2</v>
      </c>
      <c r="G494" s="430">
        <v>2</v>
      </c>
      <c r="H494" s="430">
        <v>5</v>
      </c>
      <c r="I494" s="430">
        <v>5</v>
      </c>
      <c r="J494" s="430">
        <v>5</v>
      </c>
      <c r="K494" s="431"/>
      <c r="L494" s="428">
        <v>1</v>
      </c>
    </row>
    <row r="495" spans="1:12" hidden="1">
      <c r="A495" s="414">
        <v>40690</v>
      </c>
      <c r="B495" s="414" t="s">
        <v>1242</v>
      </c>
      <c r="C495" s="415">
        <v>364</v>
      </c>
      <c r="D495" s="414">
        <v>41054</v>
      </c>
      <c r="E495" s="418">
        <v>4</v>
      </c>
      <c r="F495" s="416">
        <v>4</v>
      </c>
      <c r="G495" s="416">
        <v>4</v>
      </c>
      <c r="H495" s="416">
        <v>4</v>
      </c>
      <c r="I495" s="416">
        <v>4</v>
      </c>
      <c r="J495" s="416">
        <v>4</v>
      </c>
      <c r="L495" s="415">
        <v>1</v>
      </c>
    </row>
    <row r="496" spans="1:12" hidden="1">
      <c r="A496" s="427">
        <v>40697</v>
      </c>
      <c r="B496" s="427" t="s">
        <v>1243</v>
      </c>
      <c r="C496" s="428">
        <v>35</v>
      </c>
      <c r="D496" s="427">
        <v>40732</v>
      </c>
      <c r="E496" s="429">
        <v>7</v>
      </c>
      <c r="F496" s="430">
        <v>8.2035</v>
      </c>
      <c r="G496" s="430">
        <v>7</v>
      </c>
      <c r="H496" s="430">
        <v>1.46</v>
      </c>
      <c r="I496" s="430">
        <v>1.46</v>
      </c>
      <c r="J496" s="430">
        <v>1.46</v>
      </c>
      <c r="K496" s="431"/>
      <c r="L496" s="428">
        <v>3</v>
      </c>
    </row>
    <row r="497" spans="1:12" hidden="1">
      <c r="A497" s="414">
        <v>40697</v>
      </c>
      <c r="B497" s="414" t="s">
        <v>1244</v>
      </c>
      <c r="C497" s="415">
        <v>91</v>
      </c>
      <c r="D497" s="414">
        <v>40788</v>
      </c>
      <c r="E497" s="418">
        <v>6</v>
      </c>
      <c r="F497" s="416">
        <v>9.5174000000000003</v>
      </c>
      <c r="G497" s="416">
        <v>6</v>
      </c>
      <c r="H497" s="416">
        <v>2.5</v>
      </c>
      <c r="I497" s="416">
        <v>2.5</v>
      </c>
      <c r="J497" s="416">
        <v>2.34</v>
      </c>
      <c r="L497" s="415">
        <v>4</v>
      </c>
    </row>
    <row r="498" spans="1:12" hidden="1">
      <c r="A498" s="427">
        <v>40701</v>
      </c>
      <c r="B498" s="427" t="s">
        <v>1245</v>
      </c>
      <c r="C498" s="428">
        <v>182</v>
      </c>
      <c r="D498" s="427">
        <v>40883</v>
      </c>
      <c r="E498" s="429">
        <v>3</v>
      </c>
      <c r="F498" s="430">
        <v>5.4416000000000002</v>
      </c>
      <c r="G498" s="430">
        <v>3</v>
      </c>
      <c r="H498" s="430">
        <v>2.9899999999999998</v>
      </c>
      <c r="I498" s="430">
        <v>2.9899999999999998</v>
      </c>
      <c r="J498" s="430">
        <v>2.77</v>
      </c>
      <c r="K498" s="431"/>
      <c r="L498" s="428">
        <v>4</v>
      </c>
    </row>
    <row r="499" spans="1:12" hidden="1">
      <c r="A499" s="414">
        <v>40704</v>
      </c>
      <c r="B499" s="414" t="s">
        <v>1246</v>
      </c>
      <c r="C499" s="415">
        <v>364</v>
      </c>
      <c r="D499" s="414">
        <v>41068</v>
      </c>
      <c r="E499" s="418">
        <v>3</v>
      </c>
      <c r="F499" s="416">
        <v>2.4952000000000001</v>
      </c>
      <c r="G499" s="416">
        <v>2.4952000000000001</v>
      </c>
      <c r="H499" s="416">
        <v>4</v>
      </c>
      <c r="I499" s="416">
        <v>4</v>
      </c>
      <c r="J499" s="416">
        <v>4</v>
      </c>
      <c r="L499" s="415">
        <v>3</v>
      </c>
    </row>
    <row r="500" spans="1:12" hidden="1">
      <c r="A500" s="427">
        <v>40704</v>
      </c>
      <c r="B500" s="427" t="s">
        <v>1247</v>
      </c>
      <c r="C500" s="428">
        <v>728</v>
      </c>
      <c r="D500" s="427">
        <v>41432</v>
      </c>
      <c r="E500" s="429">
        <v>2</v>
      </c>
      <c r="F500" s="430">
        <v>1</v>
      </c>
      <c r="G500" s="430">
        <v>1</v>
      </c>
      <c r="H500" s="430">
        <v>4.5</v>
      </c>
      <c r="I500" s="430">
        <v>4.5</v>
      </c>
      <c r="J500" s="430">
        <v>4.5</v>
      </c>
      <c r="K500" s="431"/>
      <c r="L500" s="428">
        <v>1</v>
      </c>
    </row>
    <row r="501" spans="1:12" hidden="1">
      <c r="A501" s="414">
        <v>40708</v>
      </c>
      <c r="B501" s="414" t="s">
        <v>1248</v>
      </c>
      <c r="C501" s="415">
        <v>35</v>
      </c>
      <c r="D501" s="414">
        <v>40743</v>
      </c>
      <c r="E501" s="418">
        <v>8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L501" s="415">
        <v>0</v>
      </c>
    </row>
    <row r="502" spans="1:12" hidden="1">
      <c r="A502" s="427">
        <v>40711</v>
      </c>
      <c r="B502" s="427" t="s">
        <v>1249</v>
      </c>
      <c r="C502" s="428">
        <v>91</v>
      </c>
      <c r="D502" s="427">
        <v>40802</v>
      </c>
      <c r="E502" s="429">
        <v>6</v>
      </c>
      <c r="F502" s="430">
        <v>9.7028999999999996</v>
      </c>
      <c r="G502" s="430">
        <v>6</v>
      </c>
      <c r="H502" s="430">
        <v>2.2999999999999998</v>
      </c>
      <c r="I502" s="430">
        <v>2.2999999999999998</v>
      </c>
      <c r="J502" s="430">
        <v>2.2999999999999998</v>
      </c>
      <c r="K502" s="431"/>
      <c r="L502" s="428">
        <v>3</v>
      </c>
    </row>
    <row r="503" spans="1:12" hidden="1">
      <c r="A503" s="414">
        <v>40715</v>
      </c>
      <c r="B503" s="414" t="s">
        <v>1250</v>
      </c>
      <c r="C503" s="415">
        <v>182</v>
      </c>
      <c r="D503" s="414">
        <v>40897</v>
      </c>
      <c r="E503" s="418">
        <v>4</v>
      </c>
      <c r="F503" s="416">
        <v>4</v>
      </c>
      <c r="G503" s="416">
        <v>4</v>
      </c>
      <c r="H503" s="416">
        <v>2.9899999999999998</v>
      </c>
      <c r="I503" s="416">
        <v>2.9899999999999998</v>
      </c>
      <c r="J503" s="416">
        <v>2.9899999999999998</v>
      </c>
      <c r="L503" s="415">
        <v>1</v>
      </c>
    </row>
    <row r="504" spans="1:12" hidden="1">
      <c r="A504" s="427">
        <v>40718</v>
      </c>
      <c r="B504" s="427" t="s">
        <v>1251</v>
      </c>
      <c r="C504" s="428">
        <v>364</v>
      </c>
      <c r="D504" s="427">
        <v>41082</v>
      </c>
      <c r="E504" s="429">
        <v>3</v>
      </c>
      <c r="F504" s="430">
        <v>1.9950000000000001</v>
      </c>
      <c r="G504" s="430">
        <v>1.9950000000000001</v>
      </c>
      <c r="H504" s="430">
        <v>4</v>
      </c>
      <c r="I504" s="430">
        <v>4</v>
      </c>
      <c r="J504" s="430">
        <v>4</v>
      </c>
      <c r="K504" s="431"/>
      <c r="L504" s="428">
        <v>1</v>
      </c>
    </row>
    <row r="505" spans="1:12" hidden="1">
      <c r="A505" s="414">
        <v>40718</v>
      </c>
      <c r="B505" s="414" t="s">
        <v>1252</v>
      </c>
      <c r="C505" s="415">
        <v>1092</v>
      </c>
      <c r="D505" s="414">
        <v>41810</v>
      </c>
      <c r="E505" s="418">
        <v>2</v>
      </c>
      <c r="F505" s="416">
        <v>2</v>
      </c>
      <c r="G505" s="416">
        <v>2</v>
      </c>
      <c r="H505" s="416">
        <v>5</v>
      </c>
      <c r="I505" s="416">
        <v>5</v>
      </c>
      <c r="J505" s="416">
        <v>5</v>
      </c>
      <c r="L505" s="415">
        <v>1</v>
      </c>
    </row>
    <row r="506" spans="1:12" hidden="1">
      <c r="A506" s="427">
        <v>40729</v>
      </c>
      <c r="B506" s="427" t="s">
        <v>1263</v>
      </c>
      <c r="C506" s="428">
        <v>35</v>
      </c>
      <c r="D506" s="427">
        <v>40764</v>
      </c>
      <c r="E506" s="429">
        <v>7</v>
      </c>
      <c r="F506" s="430">
        <v>1.0009999999999999</v>
      </c>
      <c r="G506" s="430">
        <v>0</v>
      </c>
      <c r="H506" s="430">
        <v>0</v>
      </c>
      <c r="I506" s="430">
        <v>0</v>
      </c>
      <c r="J506" s="430">
        <v>0</v>
      </c>
      <c r="K506" s="431"/>
      <c r="L506" s="428">
        <v>1</v>
      </c>
    </row>
    <row r="507" spans="1:12" hidden="1">
      <c r="A507" s="414">
        <v>40732</v>
      </c>
      <c r="B507" s="414" t="s">
        <v>1264</v>
      </c>
      <c r="C507" s="415">
        <v>91</v>
      </c>
      <c r="D507" s="414">
        <v>40823</v>
      </c>
      <c r="E507" s="418">
        <v>6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L507" s="415">
        <v>0</v>
      </c>
    </row>
    <row r="508" spans="1:12" hidden="1">
      <c r="A508" s="427">
        <v>40732</v>
      </c>
      <c r="B508" s="427" t="s">
        <v>1265</v>
      </c>
      <c r="C508" s="428">
        <v>364</v>
      </c>
      <c r="D508" s="427">
        <v>41096</v>
      </c>
      <c r="E508" s="429">
        <v>2</v>
      </c>
      <c r="F508" s="430">
        <v>0</v>
      </c>
      <c r="G508" s="430">
        <v>0</v>
      </c>
      <c r="H508" s="430">
        <v>0</v>
      </c>
      <c r="I508" s="430">
        <v>0</v>
      </c>
      <c r="J508" s="430">
        <v>0</v>
      </c>
      <c r="K508" s="431"/>
      <c r="L508" s="428">
        <v>0</v>
      </c>
    </row>
    <row r="509" spans="1:12" hidden="1">
      <c r="A509" s="414">
        <v>40736</v>
      </c>
      <c r="B509" s="414" t="s">
        <v>1266</v>
      </c>
      <c r="C509" s="415">
        <v>182</v>
      </c>
      <c r="D509" s="414">
        <v>40918</v>
      </c>
      <c r="E509" s="418">
        <v>3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L509" s="415">
        <v>0</v>
      </c>
    </row>
    <row r="510" spans="1:12" hidden="1">
      <c r="A510" s="427">
        <v>40739</v>
      </c>
      <c r="B510" s="427" t="s">
        <v>1267</v>
      </c>
      <c r="C510" s="428">
        <v>364</v>
      </c>
      <c r="D510" s="427">
        <v>41103</v>
      </c>
      <c r="E510" s="429">
        <v>3</v>
      </c>
      <c r="F510" s="430">
        <v>0</v>
      </c>
      <c r="G510" s="430">
        <v>0</v>
      </c>
      <c r="H510" s="430">
        <v>4</v>
      </c>
      <c r="I510" s="430">
        <v>4</v>
      </c>
      <c r="J510" s="430">
        <v>4</v>
      </c>
      <c r="K510" s="431"/>
      <c r="L510" s="428">
        <v>0</v>
      </c>
    </row>
    <row r="511" spans="1:12" hidden="1">
      <c r="A511" s="414">
        <v>40743</v>
      </c>
      <c r="B511" s="414" t="s">
        <v>1268</v>
      </c>
      <c r="C511" s="415">
        <v>35</v>
      </c>
      <c r="D511" s="414">
        <v>40778</v>
      </c>
      <c r="E511" s="418">
        <v>8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L511" s="415">
        <v>0</v>
      </c>
    </row>
    <row r="512" spans="1:12" hidden="1">
      <c r="A512" s="427">
        <v>40746</v>
      </c>
      <c r="B512" s="427" t="s">
        <v>1269</v>
      </c>
      <c r="C512" s="428">
        <v>91</v>
      </c>
      <c r="D512" s="427">
        <v>40837</v>
      </c>
      <c r="E512" s="429">
        <v>6</v>
      </c>
      <c r="F512" s="430">
        <v>0</v>
      </c>
      <c r="G512" s="430">
        <v>0</v>
      </c>
      <c r="H512" s="430">
        <v>0</v>
      </c>
      <c r="I512" s="430">
        <v>0</v>
      </c>
      <c r="J512" s="430">
        <v>0</v>
      </c>
      <c r="K512" s="431"/>
      <c r="L512" s="428">
        <v>0</v>
      </c>
    </row>
    <row r="513" spans="1:12" hidden="1">
      <c r="A513" s="414">
        <v>40750</v>
      </c>
      <c r="B513" s="414" t="s">
        <v>1270</v>
      </c>
      <c r="C513" s="415">
        <v>182</v>
      </c>
      <c r="D513" s="414">
        <v>40932</v>
      </c>
      <c r="E513" s="418">
        <v>4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L513" s="415">
        <v>0</v>
      </c>
    </row>
    <row r="514" spans="1:12" hidden="1">
      <c r="A514" s="427">
        <v>40753</v>
      </c>
      <c r="B514" s="427" t="s">
        <v>1261</v>
      </c>
      <c r="C514" s="428">
        <v>364</v>
      </c>
      <c r="D514" s="427">
        <v>41117</v>
      </c>
      <c r="E514" s="429">
        <v>3</v>
      </c>
      <c r="F514" s="430">
        <v>3</v>
      </c>
      <c r="G514" s="430">
        <v>3</v>
      </c>
      <c r="H514" s="430">
        <v>4</v>
      </c>
      <c r="I514" s="430">
        <v>4</v>
      </c>
      <c r="J514" s="430">
        <v>4</v>
      </c>
      <c r="K514" s="431"/>
      <c r="L514" s="428">
        <v>1</v>
      </c>
    </row>
    <row r="515" spans="1:12" hidden="1">
      <c r="A515" s="414">
        <v>40753</v>
      </c>
      <c r="B515" s="414" t="s">
        <v>1262</v>
      </c>
      <c r="C515" s="415">
        <v>1092</v>
      </c>
      <c r="D515" s="414">
        <v>41845</v>
      </c>
      <c r="E515" s="418">
        <v>2</v>
      </c>
      <c r="F515" s="416">
        <v>2</v>
      </c>
      <c r="G515" s="416">
        <v>2</v>
      </c>
      <c r="H515" s="416">
        <v>5</v>
      </c>
      <c r="I515" s="416">
        <v>5</v>
      </c>
      <c r="J515" s="416">
        <v>5</v>
      </c>
      <c r="L515" s="415">
        <v>1</v>
      </c>
    </row>
    <row r="516" spans="1:12" hidden="1">
      <c r="A516" s="427">
        <v>40757</v>
      </c>
      <c r="B516" s="427" t="s">
        <v>1813</v>
      </c>
      <c r="C516" s="428">
        <v>35</v>
      </c>
      <c r="D516" s="427">
        <v>40792</v>
      </c>
      <c r="E516" s="429">
        <v>7</v>
      </c>
      <c r="F516" s="430">
        <v>0</v>
      </c>
      <c r="G516" s="430">
        <v>0</v>
      </c>
      <c r="H516" s="430">
        <v>0</v>
      </c>
      <c r="I516" s="430">
        <v>0</v>
      </c>
      <c r="J516" s="430">
        <v>0</v>
      </c>
      <c r="K516" s="431"/>
      <c r="L516" s="428">
        <v>0</v>
      </c>
    </row>
    <row r="517" spans="1:12" hidden="1">
      <c r="A517" s="414">
        <v>40760</v>
      </c>
      <c r="B517" s="414" t="s">
        <v>1814</v>
      </c>
      <c r="C517" s="415">
        <v>91</v>
      </c>
      <c r="D517" s="414">
        <v>40851</v>
      </c>
      <c r="E517" s="418">
        <v>6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L517" s="415">
        <v>0</v>
      </c>
    </row>
    <row r="518" spans="1:12" hidden="1">
      <c r="A518" s="427">
        <v>40764</v>
      </c>
      <c r="B518" s="427" t="s">
        <v>1815</v>
      </c>
      <c r="C518" s="428">
        <v>182</v>
      </c>
      <c r="D518" s="427">
        <v>40946</v>
      </c>
      <c r="E518" s="429">
        <v>3</v>
      </c>
      <c r="F518" s="430">
        <v>0</v>
      </c>
      <c r="G518" s="430">
        <v>0</v>
      </c>
      <c r="H518" s="430">
        <v>0</v>
      </c>
      <c r="I518" s="430">
        <v>0</v>
      </c>
      <c r="J518" s="430">
        <v>0</v>
      </c>
      <c r="K518" s="431"/>
      <c r="L518" s="428">
        <v>0</v>
      </c>
    </row>
    <row r="519" spans="1:12" hidden="1">
      <c r="A519" s="414">
        <v>40767</v>
      </c>
      <c r="B519" s="414" t="s">
        <v>1282</v>
      </c>
      <c r="C519" s="415">
        <v>364</v>
      </c>
      <c r="D519" s="414">
        <v>41131</v>
      </c>
      <c r="E519" s="418">
        <v>3</v>
      </c>
      <c r="F519" s="416">
        <v>3</v>
      </c>
      <c r="G519" s="416">
        <v>3</v>
      </c>
      <c r="H519" s="416">
        <v>4</v>
      </c>
      <c r="I519" s="416">
        <v>4</v>
      </c>
      <c r="J519" s="416">
        <v>4</v>
      </c>
      <c r="L519" s="415">
        <v>1</v>
      </c>
    </row>
    <row r="520" spans="1:12" hidden="1">
      <c r="A520" s="427">
        <v>40767</v>
      </c>
      <c r="B520" s="427" t="s">
        <v>1816</v>
      </c>
      <c r="C520" s="428">
        <v>728</v>
      </c>
      <c r="D520" s="427">
        <v>41495</v>
      </c>
      <c r="E520" s="429">
        <v>2</v>
      </c>
      <c r="F520" s="430">
        <v>0</v>
      </c>
      <c r="G520" s="430">
        <v>0</v>
      </c>
      <c r="H520" s="430">
        <v>4.5</v>
      </c>
      <c r="I520" s="430">
        <v>4.5</v>
      </c>
      <c r="J520" s="430">
        <v>0</v>
      </c>
      <c r="K520" s="431"/>
      <c r="L520" s="428">
        <v>0</v>
      </c>
    </row>
    <row r="521" spans="1:12" hidden="1">
      <c r="A521" s="414">
        <v>40771</v>
      </c>
      <c r="B521" s="414" t="s">
        <v>1817</v>
      </c>
      <c r="C521" s="415">
        <v>35</v>
      </c>
      <c r="D521" s="414">
        <v>40806</v>
      </c>
      <c r="E521" s="418">
        <v>10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L521" s="415">
        <v>0</v>
      </c>
    </row>
    <row r="522" spans="1:12" hidden="1">
      <c r="A522" s="427">
        <v>40774</v>
      </c>
      <c r="B522" s="427" t="s">
        <v>1283</v>
      </c>
      <c r="C522" s="428">
        <v>91</v>
      </c>
      <c r="D522" s="427">
        <v>40865</v>
      </c>
      <c r="E522" s="429">
        <v>8</v>
      </c>
      <c r="F522" s="430">
        <v>8</v>
      </c>
      <c r="G522" s="430">
        <v>8</v>
      </c>
      <c r="H522" s="430">
        <v>2.5</v>
      </c>
      <c r="I522" s="430">
        <v>2.5</v>
      </c>
      <c r="J522" s="430">
        <v>2.5</v>
      </c>
      <c r="K522" s="431"/>
      <c r="L522" s="428">
        <v>1</v>
      </c>
    </row>
    <row r="523" spans="1:12" hidden="1">
      <c r="A523" s="414">
        <v>40778</v>
      </c>
      <c r="B523" s="414" t="s">
        <v>1284</v>
      </c>
      <c r="C523" s="415">
        <v>182</v>
      </c>
      <c r="D523" s="414">
        <v>40960</v>
      </c>
      <c r="E523" s="418">
        <v>4</v>
      </c>
      <c r="F523" s="416">
        <v>4</v>
      </c>
      <c r="G523" s="416">
        <v>4</v>
      </c>
      <c r="H523" s="416">
        <v>2.9899999999999998</v>
      </c>
      <c r="I523" s="416">
        <v>2.9899999999999998</v>
      </c>
      <c r="J523" s="416">
        <v>2.9899999999999998</v>
      </c>
      <c r="L523" s="415">
        <v>1</v>
      </c>
    </row>
    <row r="524" spans="1:12" hidden="1">
      <c r="A524" s="427">
        <v>40781</v>
      </c>
      <c r="B524" s="427" t="s">
        <v>1285</v>
      </c>
      <c r="C524" s="428">
        <v>364</v>
      </c>
      <c r="D524" s="427">
        <v>41145</v>
      </c>
      <c r="E524" s="429">
        <v>3</v>
      </c>
      <c r="F524" s="430">
        <v>3</v>
      </c>
      <c r="G524" s="430">
        <v>3</v>
      </c>
      <c r="H524" s="430">
        <v>4</v>
      </c>
      <c r="I524" s="430">
        <v>4</v>
      </c>
      <c r="J524" s="430">
        <v>4</v>
      </c>
      <c r="K524" s="431"/>
      <c r="L524" s="428">
        <v>1</v>
      </c>
    </row>
    <row r="525" spans="1:12" hidden="1">
      <c r="A525" s="414">
        <v>40781</v>
      </c>
      <c r="B525" s="414" t="s">
        <v>1818</v>
      </c>
      <c r="C525" s="415">
        <v>1092</v>
      </c>
      <c r="D525" s="414">
        <v>41873</v>
      </c>
      <c r="E525" s="418">
        <v>2</v>
      </c>
      <c r="F525" s="416">
        <v>0</v>
      </c>
      <c r="G525" s="416">
        <v>0</v>
      </c>
      <c r="H525" s="416">
        <v>5</v>
      </c>
      <c r="I525" s="416">
        <v>5</v>
      </c>
      <c r="J525" s="416">
        <v>0</v>
      </c>
      <c r="L525" s="415">
        <v>0</v>
      </c>
    </row>
    <row r="526" spans="1:12" hidden="1">
      <c r="A526" s="427">
        <v>40792</v>
      </c>
      <c r="B526" s="427" t="s">
        <v>1819</v>
      </c>
      <c r="C526" s="428">
        <v>35</v>
      </c>
      <c r="D526" s="427">
        <v>40827</v>
      </c>
      <c r="E526" s="429">
        <v>8</v>
      </c>
      <c r="F526" s="430">
        <v>0</v>
      </c>
      <c r="G526" s="430">
        <v>0</v>
      </c>
      <c r="H526" s="430">
        <v>0</v>
      </c>
      <c r="I526" s="430">
        <v>0</v>
      </c>
      <c r="J526" s="430">
        <v>0</v>
      </c>
      <c r="K526" s="431"/>
      <c r="L526" s="428">
        <v>0</v>
      </c>
    </row>
    <row r="527" spans="1:12" hidden="1">
      <c r="A527" s="414">
        <v>40795</v>
      </c>
      <c r="B527" s="414" t="s">
        <v>1820</v>
      </c>
      <c r="C527" s="415">
        <v>91</v>
      </c>
      <c r="D527" s="414">
        <v>40886</v>
      </c>
      <c r="E527" s="418">
        <v>6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L527" s="415">
        <v>0</v>
      </c>
    </row>
    <row r="528" spans="1:12" hidden="1">
      <c r="A528" s="427">
        <v>40795</v>
      </c>
      <c r="B528" s="427" t="s">
        <v>1821</v>
      </c>
      <c r="C528" s="428">
        <v>364</v>
      </c>
      <c r="D528" s="427">
        <v>41159</v>
      </c>
      <c r="E528" s="429">
        <v>2</v>
      </c>
      <c r="F528" s="430">
        <v>0</v>
      </c>
      <c r="G528" s="430">
        <v>0</v>
      </c>
      <c r="H528" s="430">
        <v>0</v>
      </c>
      <c r="I528" s="430">
        <v>0</v>
      </c>
      <c r="J528" s="430">
        <v>0</v>
      </c>
      <c r="K528" s="431"/>
      <c r="L528" s="428">
        <v>0</v>
      </c>
    </row>
    <row r="529" spans="1:12" hidden="1">
      <c r="A529" s="414">
        <v>40799</v>
      </c>
      <c r="B529" s="414" t="s">
        <v>1822</v>
      </c>
      <c r="C529" s="415">
        <v>182</v>
      </c>
      <c r="D529" s="414">
        <v>40981</v>
      </c>
      <c r="E529" s="418">
        <v>3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L529" s="415">
        <v>0</v>
      </c>
    </row>
    <row r="530" spans="1:12" hidden="1">
      <c r="A530" s="427">
        <v>40802</v>
      </c>
      <c r="B530" s="427" t="s">
        <v>1291</v>
      </c>
      <c r="C530" s="428">
        <v>364</v>
      </c>
      <c r="D530" s="427">
        <v>41166</v>
      </c>
      <c r="E530" s="429">
        <v>3</v>
      </c>
      <c r="F530" s="430">
        <v>3</v>
      </c>
      <c r="G530" s="430">
        <v>3</v>
      </c>
      <c r="H530" s="430">
        <v>4</v>
      </c>
      <c r="I530" s="430">
        <v>4</v>
      </c>
      <c r="J530" s="430">
        <v>4</v>
      </c>
      <c r="K530" s="431"/>
      <c r="L530" s="428">
        <v>1</v>
      </c>
    </row>
    <row r="531" spans="1:12" hidden="1">
      <c r="A531" s="414">
        <v>40806</v>
      </c>
      <c r="B531" s="414" t="s">
        <v>1823</v>
      </c>
      <c r="C531" s="415">
        <v>35</v>
      </c>
      <c r="D531" s="414">
        <v>40841</v>
      </c>
      <c r="E531" s="418">
        <v>8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L531" s="415">
        <v>0</v>
      </c>
    </row>
    <row r="532" spans="1:12" hidden="1">
      <c r="A532" s="427">
        <v>40809</v>
      </c>
      <c r="B532" s="427" t="s">
        <v>1824</v>
      </c>
      <c r="C532" s="428">
        <v>91</v>
      </c>
      <c r="D532" s="427">
        <v>40900</v>
      </c>
      <c r="E532" s="429">
        <v>6</v>
      </c>
      <c r="F532" s="430">
        <v>0</v>
      </c>
      <c r="G532" s="430">
        <v>0</v>
      </c>
      <c r="H532" s="430">
        <v>0</v>
      </c>
      <c r="I532" s="430">
        <v>0</v>
      </c>
      <c r="J532" s="430">
        <v>0</v>
      </c>
      <c r="K532" s="431"/>
      <c r="L532" s="428">
        <v>0</v>
      </c>
    </row>
    <row r="533" spans="1:12" hidden="1">
      <c r="A533" s="414">
        <v>40813</v>
      </c>
      <c r="B533" s="414" t="s">
        <v>1825</v>
      </c>
      <c r="C533" s="415">
        <v>182</v>
      </c>
      <c r="D533" s="414">
        <v>40995</v>
      </c>
      <c r="E533" s="418">
        <v>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L533" s="415">
        <v>0</v>
      </c>
    </row>
    <row r="534" spans="1:12" hidden="1">
      <c r="A534" s="427">
        <v>40816</v>
      </c>
      <c r="B534" s="427" t="s">
        <v>1292</v>
      </c>
      <c r="C534" s="428">
        <v>364</v>
      </c>
      <c r="D534" s="427">
        <v>41180</v>
      </c>
      <c r="E534" s="429">
        <v>3</v>
      </c>
      <c r="F534" s="430">
        <v>3</v>
      </c>
      <c r="G534" s="430">
        <v>3</v>
      </c>
      <c r="H534" s="430">
        <v>4</v>
      </c>
      <c r="I534" s="430">
        <v>4</v>
      </c>
      <c r="J534" s="430">
        <v>4</v>
      </c>
      <c r="K534" s="431"/>
      <c r="L534" s="428">
        <v>1</v>
      </c>
    </row>
    <row r="535" spans="1:12" hidden="1">
      <c r="A535" s="414">
        <v>40816</v>
      </c>
      <c r="B535" s="414" t="s">
        <v>1826</v>
      </c>
      <c r="C535" s="415">
        <v>1092</v>
      </c>
      <c r="D535" s="414">
        <v>41908</v>
      </c>
      <c r="E535" s="418">
        <v>2</v>
      </c>
      <c r="F535" s="416">
        <v>0</v>
      </c>
      <c r="G535" s="416">
        <v>0</v>
      </c>
      <c r="H535" s="416">
        <v>5</v>
      </c>
      <c r="I535" s="416">
        <v>5</v>
      </c>
      <c r="J535" s="416">
        <v>0</v>
      </c>
      <c r="L535" s="415">
        <v>0</v>
      </c>
    </row>
    <row r="536" spans="1:12" hidden="1">
      <c r="A536" s="427">
        <v>40820</v>
      </c>
      <c r="B536" s="427" t="s">
        <v>1827</v>
      </c>
      <c r="C536" s="428">
        <v>35</v>
      </c>
      <c r="D536" s="427">
        <v>40855</v>
      </c>
      <c r="E536" s="429">
        <v>7</v>
      </c>
      <c r="F536" s="430">
        <v>0</v>
      </c>
      <c r="G536" s="430">
        <v>0</v>
      </c>
      <c r="H536" s="430">
        <v>0</v>
      </c>
      <c r="I536" s="430">
        <v>0</v>
      </c>
      <c r="J536" s="430">
        <v>0</v>
      </c>
      <c r="K536" s="431"/>
      <c r="L536" s="428">
        <v>0</v>
      </c>
    </row>
    <row r="537" spans="1:12" hidden="1">
      <c r="A537" s="414">
        <v>40823</v>
      </c>
      <c r="B537" s="414" t="s">
        <v>1828</v>
      </c>
      <c r="C537" s="415">
        <v>91</v>
      </c>
      <c r="D537" s="414">
        <v>40914</v>
      </c>
      <c r="E537" s="418">
        <v>6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L537" s="415">
        <v>0</v>
      </c>
    </row>
    <row r="538" spans="1:12" hidden="1">
      <c r="A538" s="427">
        <v>40827</v>
      </c>
      <c r="B538" s="427" t="s">
        <v>1829</v>
      </c>
      <c r="C538" s="428">
        <v>182</v>
      </c>
      <c r="D538" s="427">
        <v>41009</v>
      </c>
      <c r="E538" s="429">
        <v>3</v>
      </c>
      <c r="F538" s="430">
        <v>0</v>
      </c>
      <c r="G538" s="430">
        <v>0</v>
      </c>
      <c r="H538" s="430">
        <v>0</v>
      </c>
      <c r="I538" s="430">
        <v>0</v>
      </c>
      <c r="J538" s="430">
        <v>0</v>
      </c>
      <c r="K538" s="431"/>
      <c r="L538" s="428">
        <v>0</v>
      </c>
    </row>
    <row r="539" spans="1:12" hidden="1">
      <c r="A539" s="414">
        <v>40830</v>
      </c>
      <c r="B539" s="414" t="s">
        <v>1299</v>
      </c>
      <c r="C539" s="415">
        <v>364</v>
      </c>
      <c r="D539" s="414">
        <v>41194</v>
      </c>
      <c r="E539" s="418">
        <v>3</v>
      </c>
      <c r="F539" s="416">
        <v>0.90100000000000002</v>
      </c>
      <c r="G539" s="416">
        <v>0.90100000000000002</v>
      </c>
      <c r="H539" s="416">
        <v>4</v>
      </c>
      <c r="I539" s="416">
        <v>4</v>
      </c>
      <c r="J539" s="416">
        <v>4</v>
      </c>
      <c r="L539" s="415">
        <v>1</v>
      </c>
    </row>
    <row r="540" spans="1:12" hidden="1">
      <c r="A540" s="427">
        <v>40830</v>
      </c>
      <c r="B540" s="427" t="s">
        <v>1300</v>
      </c>
      <c r="C540" s="428">
        <v>728</v>
      </c>
      <c r="D540" s="427">
        <v>41558</v>
      </c>
      <c r="E540" s="429">
        <v>2</v>
      </c>
      <c r="F540" s="430">
        <v>1.7828999999999999</v>
      </c>
      <c r="G540" s="430">
        <v>1.7828999999999999</v>
      </c>
      <c r="H540" s="430">
        <v>4.5</v>
      </c>
      <c r="I540" s="430">
        <v>4.5</v>
      </c>
      <c r="J540" s="430">
        <v>4.5</v>
      </c>
      <c r="K540" s="431"/>
      <c r="L540" s="428">
        <v>1</v>
      </c>
    </row>
    <row r="541" spans="1:12" hidden="1">
      <c r="A541" s="414">
        <v>40837</v>
      </c>
      <c r="B541" s="414" t="s">
        <v>1830</v>
      </c>
      <c r="C541" s="415">
        <v>35</v>
      </c>
      <c r="D541" s="414">
        <v>40872</v>
      </c>
      <c r="E541" s="418">
        <v>8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L541" s="415">
        <v>0</v>
      </c>
    </row>
    <row r="542" spans="1:12" hidden="1">
      <c r="A542" s="427">
        <v>40837</v>
      </c>
      <c r="B542" s="427" t="s">
        <v>1831</v>
      </c>
      <c r="C542" s="428">
        <v>91</v>
      </c>
      <c r="D542" s="427">
        <v>40928</v>
      </c>
      <c r="E542" s="429">
        <v>6</v>
      </c>
      <c r="F542" s="430">
        <v>0</v>
      </c>
      <c r="G542" s="430">
        <v>0</v>
      </c>
      <c r="H542" s="430">
        <v>0</v>
      </c>
      <c r="I542" s="430">
        <v>0</v>
      </c>
      <c r="J542" s="430">
        <v>0</v>
      </c>
      <c r="K542" s="431"/>
      <c r="L542" s="428">
        <v>0</v>
      </c>
    </row>
    <row r="543" spans="1:12" hidden="1">
      <c r="A543" s="414">
        <v>40841</v>
      </c>
      <c r="B543" s="414" t="s">
        <v>1832</v>
      </c>
      <c r="C543" s="415">
        <v>182</v>
      </c>
      <c r="D543" s="414">
        <v>41023</v>
      </c>
      <c r="E543" s="418">
        <v>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L543" s="415">
        <v>0</v>
      </c>
    </row>
    <row r="544" spans="1:12" hidden="1">
      <c r="A544" s="427">
        <v>40844</v>
      </c>
      <c r="B544" s="427" t="s">
        <v>1301</v>
      </c>
      <c r="C544" s="428">
        <v>364</v>
      </c>
      <c r="D544" s="427">
        <v>41208</v>
      </c>
      <c r="E544" s="429">
        <v>3</v>
      </c>
      <c r="F544" s="430">
        <v>3</v>
      </c>
      <c r="G544" s="430">
        <v>3</v>
      </c>
      <c r="H544" s="430">
        <v>4</v>
      </c>
      <c r="I544" s="430">
        <v>4</v>
      </c>
      <c r="J544" s="430">
        <v>4</v>
      </c>
      <c r="K544" s="431"/>
      <c r="L544" s="428">
        <v>1</v>
      </c>
    </row>
    <row r="545" spans="1:12" hidden="1">
      <c r="A545" s="414">
        <v>40844</v>
      </c>
      <c r="B545" s="414" t="s">
        <v>1302</v>
      </c>
      <c r="C545" s="415">
        <v>1092</v>
      </c>
      <c r="D545" s="414">
        <v>41936</v>
      </c>
      <c r="E545" s="418">
        <v>2</v>
      </c>
      <c r="F545" s="416">
        <v>2</v>
      </c>
      <c r="G545" s="416">
        <v>2</v>
      </c>
      <c r="H545" s="416">
        <v>5</v>
      </c>
      <c r="I545" s="416">
        <v>5</v>
      </c>
      <c r="J545" s="416">
        <v>5</v>
      </c>
      <c r="L545" s="415">
        <v>1</v>
      </c>
    </row>
    <row r="546" spans="1:12" hidden="1">
      <c r="A546" s="427">
        <v>40848</v>
      </c>
      <c r="B546" s="427" t="s">
        <v>1304</v>
      </c>
      <c r="C546" s="428">
        <v>35</v>
      </c>
      <c r="D546" s="427">
        <v>40883</v>
      </c>
      <c r="E546" s="429">
        <v>7</v>
      </c>
      <c r="F546" s="430">
        <v>0</v>
      </c>
      <c r="G546" s="430">
        <v>0</v>
      </c>
      <c r="H546" s="430">
        <v>0</v>
      </c>
      <c r="I546" s="430">
        <v>0</v>
      </c>
      <c r="J546" s="430">
        <v>0</v>
      </c>
      <c r="K546" s="431"/>
      <c r="L546" s="428">
        <v>0</v>
      </c>
    </row>
    <row r="547" spans="1:12" hidden="1">
      <c r="A547" s="414">
        <v>40851</v>
      </c>
      <c r="B547" s="414" t="s">
        <v>1305</v>
      </c>
      <c r="C547" s="415">
        <v>91</v>
      </c>
      <c r="D547" s="414">
        <v>40942</v>
      </c>
      <c r="E547" s="418">
        <v>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L547" s="415">
        <v>0</v>
      </c>
    </row>
    <row r="548" spans="1:12" hidden="1">
      <c r="A548" s="427">
        <v>40851</v>
      </c>
      <c r="B548" s="427" t="s">
        <v>1306</v>
      </c>
      <c r="C548" s="428">
        <v>364</v>
      </c>
      <c r="D548" s="427">
        <v>41215</v>
      </c>
      <c r="E548" s="429">
        <v>2</v>
      </c>
      <c r="F548" s="430">
        <v>2</v>
      </c>
      <c r="G548" s="430">
        <v>2</v>
      </c>
      <c r="H548" s="430">
        <v>3.5000000000000004</v>
      </c>
      <c r="I548" s="430">
        <v>3.5000000000000004</v>
      </c>
      <c r="J548" s="430">
        <v>3.5000000000000004</v>
      </c>
      <c r="K548" s="431"/>
      <c r="L548" s="428">
        <v>1</v>
      </c>
    </row>
    <row r="549" spans="1:12" hidden="1">
      <c r="A549" s="414">
        <v>40858</v>
      </c>
      <c r="B549" s="414" t="s">
        <v>1307</v>
      </c>
      <c r="C549" s="415">
        <v>182</v>
      </c>
      <c r="D549" s="414">
        <v>41040</v>
      </c>
      <c r="E549" s="418">
        <v>3</v>
      </c>
      <c r="F549" s="416">
        <v>3.5994000000000002</v>
      </c>
      <c r="G549" s="416">
        <v>3</v>
      </c>
      <c r="H549" s="416">
        <v>2.9499999999999997</v>
      </c>
      <c r="I549" s="416">
        <v>2.9499999999999997</v>
      </c>
      <c r="J549" s="416">
        <v>2.9499999999999997</v>
      </c>
      <c r="L549" s="415">
        <v>1</v>
      </c>
    </row>
    <row r="550" spans="1:12" hidden="1">
      <c r="A550" s="427">
        <v>40858</v>
      </c>
      <c r="B550" s="427" t="s">
        <v>1308</v>
      </c>
      <c r="C550" s="428">
        <v>364</v>
      </c>
      <c r="D550" s="427">
        <v>41222</v>
      </c>
      <c r="E550" s="429">
        <v>3</v>
      </c>
      <c r="F550" s="430">
        <v>9.5414999999999992</v>
      </c>
      <c r="G550" s="430">
        <v>3</v>
      </c>
      <c r="H550" s="430">
        <v>4</v>
      </c>
      <c r="I550" s="430">
        <v>4</v>
      </c>
      <c r="J550" s="430">
        <v>4</v>
      </c>
      <c r="K550" s="431"/>
      <c r="L550" s="428">
        <v>3</v>
      </c>
    </row>
    <row r="551" spans="1:12" hidden="1">
      <c r="A551" s="414">
        <v>40862</v>
      </c>
      <c r="B551" s="414" t="s">
        <v>1309</v>
      </c>
      <c r="C551" s="415">
        <v>35</v>
      </c>
      <c r="D551" s="414">
        <v>40897</v>
      </c>
      <c r="E551" s="418">
        <v>8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L551" s="415">
        <v>0</v>
      </c>
    </row>
    <row r="552" spans="1:12" hidden="1">
      <c r="A552" s="427">
        <v>40865</v>
      </c>
      <c r="B552" s="427" t="s">
        <v>1310</v>
      </c>
      <c r="C552" s="428">
        <v>91</v>
      </c>
      <c r="D552" s="427">
        <v>40956</v>
      </c>
      <c r="E552" s="429">
        <v>7</v>
      </c>
      <c r="F552" s="430">
        <v>7.5026999999999999</v>
      </c>
      <c r="G552" s="430">
        <v>7</v>
      </c>
      <c r="H552" s="430">
        <v>2.5</v>
      </c>
      <c r="I552" s="430">
        <v>2.5</v>
      </c>
      <c r="J552" s="430">
        <v>2.5</v>
      </c>
      <c r="K552" s="431"/>
      <c r="L552" s="428">
        <v>2</v>
      </c>
    </row>
    <row r="553" spans="1:12" hidden="1">
      <c r="A553" s="414">
        <v>40869</v>
      </c>
      <c r="B553" s="414" t="s">
        <v>1311</v>
      </c>
      <c r="C553" s="415">
        <v>182</v>
      </c>
      <c r="D553" s="414">
        <v>41051</v>
      </c>
      <c r="E553" s="418">
        <v>4</v>
      </c>
      <c r="F553" s="416">
        <v>1.8042</v>
      </c>
      <c r="G553" s="416">
        <v>1.8042</v>
      </c>
      <c r="H553" s="416">
        <v>2.9899999999999998</v>
      </c>
      <c r="I553" s="416">
        <v>2.9899999999999998</v>
      </c>
      <c r="J553" s="416">
        <v>2.9499999999999997</v>
      </c>
      <c r="L553" s="415">
        <v>2</v>
      </c>
    </row>
    <row r="554" spans="1:12" hidden="1">
      <c r="A554" s="427">
        <v>40872</v>
      </c>
      <c r="B554" s="427" t="s">
        <v>1312</v>
      </c>
      <c r="C554" s="428">
        <v>364</v>
      </c>
      <c r="D554" s="427">
        <v>41236</v>
      </c>
      <c r="E554" s="429">
        <v>3</v>
      </c>
      <c r="F554" s="430">
        <v>4.8963999999999999</v>
      </c>
      <c r="G554" s="430">
        <v>3</v>
      </c>
      <c r="H554" s="430">
        <v>4</v>
      </c>
      <c r="I554" s="430">
        <v>4</v>
      </c>
      <c r="J554" s="430">
        <v>4</v>
      </c>
      <c r="K554" s="431"/>
      <c r="L554" s="428">
        <v>2</v>
      </c>
    </row>
    <row r="555" spans="1:12" hidden="1">
      <c r="A555" s="414">
        <v>40872</v>
      </c>
      <c r="B555" s="238" t="s">
        <v>1313</v>
      </c>
      <c r="C555" s="415">
        <v>1092</v>
      </c>
      <c r="D555" s="414">
        <v>41964</v>
      </c>
      <c r="E555" s="418">
        <v>2</v>
      </c>
      <c r="F555" s="416">
        <v>2</v>
      </c>
      <c r="G555" s="416">
        <v>2</v>
      </c>
      <c r="H555" s="416">
        <v>5</v>
      </c>
      <c r="I555" s="416">
        <v>5</v>
      </c>
      <c r="J555" s="416">
        <v>5</v>
      </c>
      <c r="L555" s="415">
        <v>1</v>
      </c>
    </row>
    <row r="556" spans="1:12" hidden="1">
      <c r="A556" s="427">
        <v>40886</v>
      </c>
      <c r="B556" s="2014" t="s">
        <v>1323</v>
      </c>
      <c r="C556" s="428">
        <v>364</v>
      </c>
      <c r="D556" s="427">
        <v>41250</v>
      </c>
      <c r="E556" s="429">
        <v>4</v>
      </c>
      <c r="F556" s="430">
        <v>9.2670999999999992</v>
      </c>
      <c r="G556" s="430">
        <v>4</v>
      </c>
      <c r="H556" s="430">
        <v>4</v>
      </c>
      <c r="I556" s="430">
        <v>4</v>
      </c>
      <c r="J556" s="430">
        <v>4</v>
      </c>
      <c r="K556" s="431"/>
      <c r="L556" s="428">
        <v>4</v>
      </c>
    </row>
    <row r="557" spans="1:12" hidden="1">
      <c r="A557" s="414">
        <v>40890</v>
      </c>
      <c r="B557" s="238" t="s">
        <v>1324</v>
      </c>
      <c r="C557" s="415">
        <v>35</v>
      </c>
      <c r="D557" s="414">
        <v>40925</v>
      </c>
      <c r="E557" s="418">
        <v>9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L557" s="415">
        <v>0</v>
      </c>
    </row>
    <row r="558" spans="1:12" hidden="1">
      <c r="A558" s="427">
        <v>40893</v>
      </c>
      <c r="B558" s="2014" t="s">
        <v>1325</v>
      </c>
      <c r="C558" s="428">
        <v>91</v>
      </c>
      <c r="D558" s="427">
        <v>40984</v>
      </c>
      <c r="E558" s="429">
        <v>7</v>
      </c>
      <c r="F558" s="430">
        <v>0</v>
      </c>
      <c r="G558" s="430">
        <v>0</v>
      </c>
      <c r="H558" s="430">
        <v>0</v>
      </c>
      <c r="I558" s="430">
        <v>0</v>
      </c>
      <c r="J558" s="430">
        <v>0</v>
      </c>
      <c r="K558" s="431"/>
      <c r="L558" s="428">
        <v>0</v>
      </c>
    </row>
    <row r="559" spans="1:12" hidden="1">
      <c r="A559" s="414">
        <v>40900</v>
      </c>
      <c r="B559" s="238" t="s">
        <v>1326</v>
      </c>
      <c r="C559" s="415">
        <v>364</v>
      </c>
      <c r="D559" s="414">
        <v>41264</v>
      </c>
      <c r="E559" s="418">
        <v>3</v>
      </c>
      <c r="F559" s="416">
        <v>3</v>
      </c>
      <c r="G559" s="416">
        <v>3</v>
      </c>
      <c r="H559" s="416">
        <v>4</v>
      </c>
      <c r="I559" s="416">
        <v>4</v>
      </c>
      <c r="J559" s="416">
        <v>4</v>
      </c>
      <c r="L559" s="415">
        <v>1</v>
      </c>
    </row>
    <row r="560" spans="1:12" hidden="1">
      <c r="A560" s="427">
        <v>41068</v>
      </c>
      <c r="B560" s="2014">
        <v>102002364</v>
      </c>
      <c r="C560" s="428">
        <v>91</v>
      </c>
      <c r="D560" s="427">
        <v>41159</v>
      </c>
      <c r="E560" s="429">
        <v>4</v>
      </c>
      <c r="F560" s="430">
        <v>0.50209999999999999</v>
      </c>
      <c r="G560" s="430">
        <v>0</v>
      </c>
      <c r="H560" s="430">
        <v>2.02</v>
      </c>
      <c r="I560" s="430">
        <v>2.02</v>
      </c>
      <c r="J560" s="430">
        <v>2.02</v>
      </c>
      <c r="K560" s="431"/>
      <c r="L560" s="428">
        <v>1</v>
      </c>
    </row>
    <row r="561" spans="1:12" hidden="1">
      <c r="A561" s="414">
        <v>41068</v>
      </c>
      <c r="B561" s="238">
        <v>101001367</v>
      </c>
      <c r="C561" s="415">
        <v>35</v>
      </c>
      <c r="D561" s="414">
        <v>41103</v>
      </c>
      <c r="E561" s="418">
        <v>2</v>
      </c>
      <c r="F561" s="416">
        <v>1.0208999999999999</v>
      </c>
      <c r="G561" s="416">
        <v>0</v>
      </c>
      <c r="H561" s="416">
        <v>1.5699999999999998</v>
      </c>
      <c r="I561" s="416">
        <v>1.5699999999999998</v>
      </c>
      <c r="J561" s="416">
        <v>1.5699999999999998</v>
      </c>
      <c r="L561" s="415">
        <v>1</v>
      </c>
    </row>
    <row r="562" spans="1:12" hidden="1">
      <c r="A562" s="427">
        <v>41068</v>
      </c>
      <c r="B562" s="2014" t="s">
        <v>1357</v>
      </c>
      <c r="C562" s="428">
        <v>91</v>
      </c>
      <c r="D562" s="427">
        <v>41159</v>
      </c>
      <c r="E562" s="429">
        <v>4</v>
      </c>
      <c r="F562" s="430">
        <v>0</v>
      </c>
      <c r="G562" s="430">
        <v>0</v>
      </c>
      <c r="H562" s="430">
        <v>0</v>
      </c>
      <c r="I562" s="430">
        <v>0</v>
      </c>
      <c r="J562" s="430">
        <v>0</v>
      </c>
      <c r="K562" s="431"/>
      <c r="L562" s="428">
        <v>0</v>
      </c>
    </row>
    <row r="563" spans="1:12" hidden="1">
      <c r="A563" s="414">
        <v>41068</v>
      </c>
      <c r="B563" s="238" t="s">
        <v>1358</v>
      </c>
      <c r="C563" s="415">
        <v>35</v>
      </c>
      <c r="D563" s="414">
        <v>41103</v>
      </c>
      <c r="E563" s="418">
        <v>2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L563" s="415">
        <v>0</v>
      </c>
    </row>
    <row r="564" spans="1:12" hidden="1">
      <c r="A564" s="427">
        <v>41072</v>
      </c>
      <c r="B564" s="427" t="s">
        <v>1359</v>
      </c>
      <c r="C564" s="428">
        <v>364</v>
      </c>
      <c r="D564" s="427">
        <v>41436</v>
      </c>
      <c r="E564" s="429">
        <v>22</v>
      </c>
      <c r="F564" s="430">
        <v>11.749599999999999</v>
      </c>
      <c r="G564" s="430">
        <v>11.749599999999999</v>
      </c>
      <c r="H564" s="430">
        <v>4</v>
      </c>
      <c r="I564" s="430">
        <v>4</v>
      </c>
      <c r="J564" s="430">
        <v>4</v>
      </c>
      <c r="K564" s="431"/>
      <c r="L564" s="428">
        <v>4</v>
      </c>
    </row>
    <row r="565" spans="1:12" hidden="1">
      <c r="A565" s="414">
        <v>41072</v>
      </c>
      <c r="B565" s="414" t="s">
        <v>1833</v>
      </c>
      <c r="C565" s="415">
        <v>182</v>
      </c>
      <c r="D565" s="414">
        <v>41254</v>
      </c>
      <c r="E565" s="418">
        <v>7</v>
      </c>
      <c r="F565" s="416">
        <v>0</v>
      </c>
      <c r="G565" s="416">
        <v>0</v>
      </c>
      <c r="H565" s="416">
        <v>4.5</v>
      </c>
      <c r="I565" s="416">
        <v>4.5</v>
      </c>
      <c r="J565" s="416">
        <v>4.5</v>
      </c>
      <c r="L565" s="415">
        <v>0</v>
      </c>
    </row>
    <row r="566" spans="1:12" hidden="1">
      <c r="A566" s="427">
        <v>41072</v>
      </c>
      <c r="B566" s="427" t="s">
        <v>1834</v>
      </c>
      <c r="C566" s="428">
        <v>728</v>
      </c>
      <c r="D566" s="427">
        <v>41800</v>
      </c>
      <c r="E566" s="429">
        <v>3</v>
      </c>
      <c r="F566" s="430">
        <v>1.0006999999999999</v>
      </c>
      <c r="G566" s="430">
        <v>1</v>
      </c>
      <c r="H566" s="430">
        <v>4.5</v>
      </c>
      <c r="I566" s="430">
        <v>4.5</v>
      </c>
      <c r="J566" s="430">
        <v>4.5</v>
      </c>
      <c r="K566" s="431"/>
      <c r="L566" s="428">
        <v>1</v>
      </c>
    </row>
    <row r="567" spans="1:12" hidden="1">
      <c r="A567" s="414">
        <v>41079</v>
      </c>
      <c r="B567" s="238" t="s">
        <v>1835</v>
      </c>
      <c r="C567" s="415">
        <v>35</v>
      </c>
      <c r="D567" s="414">
        <v>41114</v>
      </c>
      <c r="E567" s="418">
        <v>2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L567" s="415">
        <v>0</v>
      </c>
    </row>
    <row r="568" spans="1:12" hidden="1">
      <c r="A568" s="427">
        <v>41082</v>
      </c>
      <c r="B568" s="2014" t="s">
        <v>1836</v>
      </c>
      <c r="C568" s="428">
        <v>91</v>
      </c>
      <c r="D568" s="427">
        <v>41173</v>
      </c>
      <c r="E568" s="429">
        <v>3</v>
      </c>
      <c r="F568" s="430">
        <v>1.0055000000000001</v>
      </c>
      <c r="G568" s="430">
        <v>1.0055000000000001</v>
      </c>
      <c r="H568" s="430">
        <v>2.5</v>
      </c>
      <c r="I568" s="430">
        <v>2.5</v>
      </c>
      <c r="J568" s="430">
        <v>2.5</v>
      </c>
      <c r="K568" s="431"/>
      <c r="L568" s="428">
        <v>1</v>
      </c>
    </row>
    <row r="569" spans="1:12" hidden="1">
      <c r="A569" s="414">
        <v>41089</v>
      </c>
      <c r="B569" s="238" t="s">
        <v>1837</v>
      </c>
      <c r="C569" s="415">
        <v>1092</v>
      </c>
      <c r="D569" s="414">
        <v>42181</v>
      </c>
      <c r="E569" s="418">
        <v>2</v>
      </c>
      <c r="F569" s="416">
        <v>6.5</v>
      </c>
      <c r="G569" s="416">
        <v>2</v>
      </c>
      <c r="H569" s="416">
        <v>5</v>
      </c>
      <c r="I569" s="416">
        <v>5</v>
      </c>
      <c r="J569" s="416">
        <v>5</v>
      </c>
      <c r="L569" s="415">
        <v>5</v>
      </c>
    </row>
    <row r="570" spans="1:12" hidden="1">
      <c r="A570" s="427">
        <v>41089</v>
      </c>
      <c r="B570" s="2014" t="s">
        <v>1838</v>
      </c>
      <c r="C570" s="428">
        <v>182</v>
      </c>
      <c r="D570" s="427">
        <v>41271</v>
      </c>
      <c r="E570" s="429">
        <v>6</v>
      </c>
      <c r="F570" s="430">
        <v>0</v>
      </c>
      <c r="G570" s="430">
        <v>0</v>
      </c>
      <c r="H570" s="430">
        <v>0</v>
      </c>
      <c r="I570" s="430">
        <v>0</v>
      </c>
      <c r="J570" s="430">
        <v>0</v>
      </c>
      <c r="K570" s="431"/>
      <c r="L570" s="428">
        <v>0</v>
      </c>
    </row>
    <row r="571" spans="1:12" hidden="1">
      <c r="A571" s="414">
        <v>41089</v>
      </c>
      <c r="B571" s="238" t="s">
        <v>1839</v>
      </c>
      <c r="C571" s="415">
        <v>364</v>
      </c>
      <c r="D571" s="414">
        <v>41453</v>
      </c>
      <c r="E571" s="418">
        <v>20</v>
      </c>
      <c r="F571" s="416">
        <v>20.942</v>
      </c>
      <c r="G571" s="416">
        <v>20</v>
      </c>
      <c r="H571" s="416">
        <v>4</v>
      </c>
      <c r="I571" s="416">
        <v>4</v>
      </c>
      <c r="J571" s="416">
        <v>4</v>
      </c>
      <c r="L571" s="415">
        <v>6</v>
      </c>
    </row>
    <row r="572" spans="1:12" hidden="1">
      <c r="A572" s="427">
        <v>41096</v>
      </c>
      <c r="B572" s="2014" t="s">
        <v>1360</v>
      </c>
      <c r="C572" s="428">
        <v>91</v>
      </c>
      <c r="D572" s="427">
        <v>41187</v>
      </c>
      <c r="E572" s="429">
        <v>4</v>
      </c>
      <c r="F572" s="430">
        <v>2.0106000000000002</v>
      </c>
      <c r="G572" s="430">
        <v>2.0106000000000002</v>
      </c>
      <c r="H572" s="430">
        <v>2.42</v>
      </c>
      <c r="I572" s="430">
        <v>2.42</v>
      </c>
      <c r="J572" s="430">
        <v>2.42</v>
      </c>
      <c r="K572" s="431"/>
      <c r="L572" s="428">
        <v>1</v>
      </c>
    </row>
    <row r="573" spans="1:12" hidden="1">
      <c r="A573" s="414">
        <v>41096</v>
      </c>
      <c r="B573" s="238" t="s">
        <v>1361</v>
      </c>
      <c r="C573" s="415">
        <v>364</v>
      </c>
      <c r="D573" s="414">
        <v>41460</v>
      </c>
      <c r="E573" s="418">
        <v>2</v>
      </c>
      <c r="F573" s="416">
        <v>1.6035999999999999</v>
      </c>
      <c r="G573" s="416">
        <v>1.5519000000000001</v>
      </c>
      <c r="H573" s="416">
        <v>3.73</v>
      </c>
      <c r="I573" s="416">
        <v>3.73</v>
      </c>
      <c r="J573" s="416">
        <v>3.73</v>
      </c>
      <c r="L573" s="415">
        <v>2</v>
      </c>
    </row>
    <row r="574" spans="1:12" hidden="1">
      <c r="A574" s="427">
        <v>41100</v>
      </c>
      <c r="B574" s="2014" t="s">
        <v>1362</v>
      </c>
      <c r="C574" s="428">
        <v>182</v>
      </c>
      <c r="D574" s="427">
        <v>41282</v>
      </c>
      <c r="E574" s="429">
        <v>7</v>
      </c>
      <c r="F574" s="430">
        <v>0</v>
      </c>
      <c r="G574" s="430">
        <v>0</v>
      </c>
      <c r="H574" s="430">
        <v>0</v>
      </c>
      <c r="I574" s="430">
        <v>0</v>
      </c>
      <c r="J574" s="430">
        <v>0</v>
      </c>
      <c r="K574" s="431"/>
      <c r="L574" s="428">
        <v>0</v>
      </c>
    </row>
    <row r="575" spans="1:12" hidden="1">
      <c r="A575" s="414">
        <v>41103</v>
      </c>
      <c r="B575" s="238" t="s">
        <v>1363</v>
      </c>
      <c r="C575" s="415">
        <v>1092</v>
      </c>
      <c r="D575" s="414">
        <v>42195</v>
      </c>
      <c r="E575" s="418">
        <v>2</v>
      </c>
      <c r="F575" s="416">
        <v>4</v>
      </c>
      <c r="G575" s="416">
        <v>2</v>
      </c>
      <c r="H575" s="416">
        <v>5</v>
      </c>
      <c r="I575" s="416">
        <v>5</v>
      </c>
      <c r="J575" s="416">
        <v>5</v>
      </c>
      <c r="L575" s="415">
        <v>2</v>
      </c>
    </row>
    <row r="576" spans="1:12" hidden="1">
      <c r="A576" s="427">
        <v>41103</v>
      </c>
      <c r="B576" s="427" t="s">
        <v>1364</v>
      </c>
      <c r="C576" s="428">
        <v>364</v>
      </c>
      <c r="D576" s="427">
        <v>41467</v>
      </c>
      <c r="E576" s="429">
        <v>22</v>
      </c>
      <c r="F576" s="430">
        <v>17.5061</v>
      </c>
      <c r="G576" s="430">
        <v>17.5061</v>
      </c>
      <c r="H576" s="430">
        <v>4</v>
      </c>
      <c r="I576" s="430">
        <v>4</v>
      </c>
      <c r="J576" s="430">
        <v>4</v>
      </c>
      <c r="K576" s="431"/>
      <c r="L576" s="428">
        <v>4</v>
      </c>
    </row>
    <row r="577" spans="1:12" hidden="1">
      <c r="A577" s="414">
        <v>41107</v>
      </c>
      <c r="B577" s="238" t="s">
        <v>1365</v>
      </c>
      <c r="C577" s="415">
        <v>35</v>
      </c>
      <c r="D577" s="414">
        <v>41142</v>
      </c>
      <c r="E577" s="418">
        <v>2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L577" s="415">
        <v>0</v>
      </c>
    </row>
    <row r="578" spans="1:12" hidden="1">
      <c r="A578" s="427">
        <v>41110</v>
      </c>
      <c r="B578" s="427" t="s">
        <v>1366</v>
      </c>
      <c r="C578" s="428">
        <v>91</v>
      </c>
      <c r="D578" s="427">
        <v>41201</v>
      </c>
      <c r="E578" s="429">
        <v>3</v>
      </c>
      <c r="F578" s="430">
        <v>0</v>
      </c>
      <c r="G578" s="430">
        <v>0</v>
      </c>
      <c r="H578" s="430">
        <v>0</v>
      </c>
      <c r="I578" s="430">
        <v>0</v>
      </c>
      <c r="J578" s="430">
        <v>0</v>
      </c>
      <c r="K578" s="431"/>
      <c r="L578" s="428">
        <v>0</v>
      </c>
    </row>
    <row r="579" spans="1:12" hidden="1">
      <c r="A579" s="414">
        <v>41114</v>
      </c>
      <c r="B579" s="414" t="s">
        <v>1367</v>
      </c>
      <c r="C579" s="415">
        <v>182</v>
      </c>
      <c r="D579" s="414">
        <v>41296</v>
      </c>
      <c r="E579" s="418">
        <v>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L579" s="415">
        <v>0</v>
      </c>
    </row>
    <row r="580" spans="1:12" hidden="1">
      <c r="A580" s="427">
        <v>41117</v>
      </c>
      <c r="B580" s="427" t="s">
        <v>1368</v>
      </c>
      <c r="C580" s="428">
        <v>364</v>
      </c>
      <c r="D580" s="427">
        <v>41481</v>
      </c>
      <c r="E580" s="429">
        <v>20</v>
      </c>
      <c r="F580" s="430">
        <v>0</v>
      </c>
      <c r="G580" s="430">
        <v>0</v>
      </c>
      <c r="H580" s="430">
        <v>4</v>
      </c>
      <c r="I580" s="430">
        <v>4</v>
      </c>
      <c r="J580" s="430">
        <v>0</v>
      </c>
      <c r="K580" s="431"/>
      <c r="L580" s="428">
        <v>0</v>
      </c>
    </row>
    <row r="581" spans="1:12" hidden="1">
      <c r="A581" s="414">
        <v>41117</v>
      </c>
      <c r="B581" s="238" t="s">
        <v>1369</v>
      </c>
      <c r="C581" s="415">
        <v>1092</v>
      </c>
      <c r="D581" s="414">
        <v>42209</v>
      </c>
      <c r="E581" s="418">
        <v>1</v>
      </c>
      <c r="F581" s="416">
        <v>1</v>
      </c>
      <c r="G581" s="416">
        <v>1</v>
      </c>
      <c r="H581" s="416">
        <v>5</v>
      </c>
      <c r="I581" s="416">
        <v>5</v>
      </c>
      <c r="J581" s="416">
        <v>5</v>
      </c>
      <c r="L581" s="415">
        <v>1</v>
      </c>
    </row>
    <row r="582" spans="1:12" hidden="1">
      <c r="A582" s="427">
        <v>41124</v>
      </c>
      <c r="B582" s="2014" t="s">
        <v>1378</v>
      </c>
      <c r="C582" s="428">
        <v>364</v>
      </c>
      <c r="D582" s="427">
        <v>41488</v>
      </c>
      <c r="E582" s="429">
        <v>1</v>
      </c>
      <c r="F582" s="430">
        <v>0</v>
      </c>
      <c r="G582" s="430">
        <v>0</v>
      </c>
      <c r="H582" s="430">
        <v>0</v>
      </c>
      <c r="I582" s="430">
        <v>0</v>
      </c>
      <c r="J582" s="430">
        <v>0</v>
      </c>
      <c r="K582" s="431"/>
      <c r="L582" s="428">
        <v>0</v>
      </c>
    </row>
    <row r="583" spans="1:12" hidden="1">
      <c r="A583" s="414">
        <v>41124</v>
      </c>
      <c r="B583" s="238" t="s">
        <v>1379</v>
      </c>
      <c r="C583" s="415">
        <v>91</v>
      </c>
      <c r="D583" s="414">
        <v>41215</v>
      </c>
      <c r="E583" s="418">
        <v>4</v>
      </c>
      <c r="F583" s="416">
        <v>4</v>
      </c>
      <c r="G583" s="416">
        <v>4</v>
      </c>
      <c r="H583" s="416">
        <v>2.42</v>
      </c>
      <c r="I583" s="416">
        <v>2.42</v>
      </c>
      <c r="J583" s="416">
        <v>2.42</v>
      </c>
      <c r="L583" s="415">
        <v>1</v>
      </c>
    </row>
    <row r="584" spans="1:12" hidden="1">
      <c r="A584" s="427">
        <v>41124</v>
      </c>
      <c r="B584" s="2014" t="s">
        <v>1380</v>
      </c>
      <c r="C584" s="428">
        <v>35</v>
      </c>
      <c r="D584" s="427">
        <v>41159</v>
      </c>
      <c r="E584" s="429">
        <v>2</v>
      </c>
      <c r="F584" s="430">
        <v>1.5</v>
      </c>
      <c r="G584" s="430">
        <v>1.5</v>
      </c>
      <c r="H584" s="430">
        <v>1.46</v>
      </c>
      <c r="I584" s="430">
        <v>1.46</v>
      </c>
      <c r="J584" s="430">
        <v>1.46</v>
      </c>
      <c r="K584" s="431"/>
      <c r="L584" s="428">
        <v>1</v>
      </c>
    </row>
    <row r="585" spans="1:12" hidden="1">
      <c r="A585" s="414">
        <v>41128</v>
      </c>
      <c r="B585" s="238" t="s">
        <v>1381</v>
      </c>
      <c r="C585" s="415">
        <v>182</v>
      </c>
      <c r="D585" s="414">
        <v>41310</v>
      </c>
      <c r="E585" s="418">
        <v>7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L585" s="415">
        <v>0</v>
      </c>
    </row>
    <row r="586" spans="1:12" hidden="1">
      <c r="A586" s="427">
        <v>41131</v>
      </c>
      <c r="B586" s="2014" t="s">
        <v>1382</v>
      </c>
      <c r="C586" s="428">
        <v>364</v>
      </c>
      <c r="D586" s="427">
        <v>41495</v>
      </c>
      <c r="E586" s="429">
        <v>22</v>
      </c>
      <c r="F586" s="430">
        <v>0</v>
      </c>
      <c r="G586" s="430">
        <v>0</v>
      </c>
      <c r="H586" s="430">
        <v>4</v>
      </c>
      <c r="I586" s="430">
        <v>4</v>
      </c>
      <c r="J586" s="430">
        <v>0</v>
      </c>
      <c r="K586" s="431"/>
      <c r="L586" s="428">
        <v>0</v>
      </c>
    </row>
    <row r="587" spans="1:12" hidden="1">
      <c r="A587" s="414">
        <v>41131</v>
      </c>
      <c r="B587" s="238" t="s">
        <v>1383</v>
      </c>
      <c r="C587" s="415">
        <v>728</v>
      </c>
      <c r="D587" s="414">
        <v>41859</v>
      </c>
      <c r="E587" s="418">
        <v>1</v>
      </c>
      <c r="F587" s="416">
        <v>0.49830000000000002</v>
      </c>
      <c r="G587" s="416">
        <v>0.49830000000000002</v>
      </c>
      <c r="H587" s="416">
        <v>4.5</v>
      </c>
      <c r="I587" s="416">
        <v>4.5</v>
      </c>
      <c r="J587" s="416">
        <v>4.5</v>
      </c>
      <c r="L587" s="415">
        <v>1</v>
      </c>
    </row>
    <row r="588" spans="1:12" hidden="1">
      <c r="A588" s="427">
        <v>41135</v>
      </c>
      <c r="B588" s="2014" t="s">
        <v>1384</v>
      </c>
      <c r="C588" s="428">
        <v>35</v>
      </c>
      <c r="D588" s="427">
        <v>41170</v>
      </c>
      <c r="E588" s="429">
        <v>2</v>
      </c>
      <c r="F588" s="430">
        <v>0</v>
      </c>
      <c r="G588" s="430">
        <v>0</v>
      </c>
      <c r="H588" s="430">
        <v>0</v>
      </c>
      <c r="I588" s="430">
        <v>0</v>
      </c>
      <c r="J588" s="430">
        <v>0</v>
      </c>
      <c r="K588" s="431"/>
      <c r="L588" s="428">
        <v>0</v>
      </c>
    </row>
    <row r="589" spans="1:12" hidden="1">
      <c r="A589" s="414">
        <v>41138</v>
      </c>
      <c r="B589" s="238" t="s">
        <v>1385</v>
      </c>
      <c r="C589" s="415">
        <v>91</v>
      </c>
      <c r="D589" s="414">
        <v>41229</v>
      </c>
      <c r="E589" s="418">
        <v>3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L589" s="415">
        <v>0</v>
      </c>
    </row>
    <row r="590" spans="1:12" hidden="1">
      <c r="A590" s="427">
        <v>41145</v>
      </c>
      <c r="B590" s="427" t="s">
        <v>1386</v>
      </c>
      <c r="C590" s="428">
        <v>364</v>
      </c>
      <c r="D590" s="427">
        <v>41509</v>
      </c>
      <c r="E590" s="429">
        <v>20</v>
      </c>
      <c r="F590" s="430">
        <v>0</v>
      </c>
      <c r="G590" s="430">
        <v>0</v>
      </c>
      <c r="H590" s="430">
        <v>4</v>
      </c>
      <c r="I590" s="430">
        <v>4</v>
      </c>
      <c r="J590" s="430">
        <v>0</v>
      </c>
      <c r="K590" s="431"/>
      <c r="L590" s="428">
        <v>0</v>
      </c>
    </row>
    <row r="591" spans="1:12" hidden="1">
      <c r="A591" s="414">
        <v>41145</v>
      </c>
      <c r="B591" s="238" t="s">
        <v>1387</v>
      </c>
      <c r="C591" s="415">
        <v>1092</v>
      </c>
      <c r="D591" s="414">
        <v>42237</v>
      </c>
      <c r="E591" s="418">
        <v>2</v>
      </c>
      <c r="F591" s="416">
        <v>2.3982000000000001</v>
      </c>
      <c r="G591" s="416">
        <v>2</v>
      </c>
      <c r="H591" s="416">
        <v>5</v>
      </c>
      <c r="I591" s="416">
        <v>5</v>
      </c>
      <c r="J591" s="416">
        <v>5</v>
      </c>
      <c r="L591" s="415">
        <v>1</v>
      </c>
    </row>
    <row r="592" spans="1:12" hidden="1">
      <c r="A592" s="427">
        <v>41145</v>
      </c>
      <c r="B592" s="427" t="s">
        <v>1387</v>
      </c>
      <c r="C592" s="428">
        <v>1092</v>
      </c>
      <c r="D592" s="427">
        <v>42237</v>
      </c>
      <c r="E592" s="429">
        <v>2</v>
      </c>
      <c r="F592" s="430">
        <v>2.3982000000000001</v>
      </c>
      <c r="G592" s="430">
        <v>2</v>
      </c>
      <c r="H592" s="430">
        <v>5</v>
      </c>
      <c r="I592" s="430">
        <v>5</v>
      </c>
      <c r="J592" s="430">
        <v>5</v>
      </c>
      <c r="K592" s="431"/>
      <c r="L592" s="428">
        <v>1</v>
      </c>
    </row>
    <row r="593" spans="1:12" hidden="1">
      <c r="A593" s="414">
        <v>41156</v>
      </c>
      <c r="B593" s="414" t="s">
        <v>1392</v>
      </c>
      <c r="C593" s="415">
        <v>35</v>
      </c>
      <c r="D593" s="414">
        <v>41191</v>
      </c>
      <c r="E593" s="418">
        <v>2</v>
      </c>
      <c r="F593" s="416">
        <v>1.9999</v>
      </c>
      <c r="G593" s="416">
        <v>1.9999</v>
      </c>
      <c r="H593" s="416">
        <v>1.46</v>
      </c>
      <c r="I593" s="416">
        <v>1.46</v>
      </c>
      <c r="J593" s="416">
        <v>1.46</v>
      </c>
      <c r="L593" s="415">
        <v>1</v>
      </c>
    </row>
    <row r="594" spans="1:12" hidden="1">
      <c r="A594" s="427">
        <v>41159</v>
      </c>
      <c r="B594" s="427" t="s">
        <v>1393</v>
      </c>
      <c r="C594" s="428">
        <v>364</v>
      </c>
      <c r="D594" s="427">
        <v>41523</v>
      </c>
      <c r="E594" s="429">
        <v>1</v>
      </c>
      <c r="F594" s="430">
        <v>1</v>
      </c>
      <c r="G594" s="430">
        <v>1</v>
      </c>
      <c r="H594" s="430">
        <v>3.74</v>
      </c>
      <c r="I594" s="430">
        <v>3.74</v>
      </c>
      <c r="J594" s="430">
        <v>3.74</v>
      </c>
      <c r="K594" s="431"/>
      <c r="L594" s="428">
        <v>1</v>
      </c>
    </row>
    <row r="595" spans="1:12" hidden="1">
      <c r="A595" s="414">
        <v>41159</v>
      </c>
      <c r="B595" s="238" t="s">
        <v>1394</v>
      </c>
      <c r="C595" s="415">
        <v>91</v>
      </c>
      <c r="D595" s="414">
        <v>41250</v>
      </c>
      <c r="E595" s="418">
        <v>4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L595" s="415">
        <v>0</v>
      </c>
    </row>
    <row r="596" spans="1:12" hidden="1">
      <c r="A596" s="427">
        <v>41163</v>
      </c>
      <c r="B596" s="2014" t="s">
        <v>1395</v>
      </c>
      <c r="C596" s="428">
        <v>182</v>
      </c>
      <c r="D596" s="427">
        <v>41345</v>
      </c>
      <c r="E596" s="429">
        <v>7</v>
      </c>
      <c r="F596" s="430">
        <v>0</v>
      </c>
      <c r="G596" s="430">
        <v>0</v>
      </c>
      <c r="H596" s="430">
        <v>0</v>
      </c>
      <c r="I596" s="430">
        <v>0</v>
      </c>
      <c r="J596" s="430">
        <v>0</v>
      </c>
      <c r="K596" s="431"/>
      <c r="L596" s="428">
        <v>0</v>
      </c>
    </row>
    <row r="597" spans="1:12" hidden="1">
      <c r="A597" s="414">
        <v>41166</v>
      </c>
      <c r="B597" s="238" t="s">
        <v>1396</v>
      </c>
      <c r="C597" s="415">
        <v>364</v>
      </c>
      <c r="D597" s="414">
        <v>41530</v>
      </c>
      <c r="E597" s="418">
        <v>22</v>
      </c>
      <c r="F597" s="416">
        <v>5.7445000000000004</v>
      </c>
      <c r="G597" s="416">
        <v>5.7445000000000004</v>
      </c>
      <c r="H597" s="416">
        <v>4</v>
      </c>
      <c r="I597" s="416">
        <v>4</v>
      </c>
      <c r="J597" s="416">
        <v>4</v>
      </c>
      <c r="L597" s="415">
        <v>3</v>
      </c>
    </row>
    <row r="598" spans="1:12" hidden="1">
      <c r="A598" s="427">
        <v>41166</v>
      </c>
      <c r="B598" s="2014" t="s">
        <v>1397</v>
      </c>
      <c r="C598" s="428">
        <v>1092</v>
      </c>
      <c r="D598" s="427">
        <v>42258</v>
      </c>
      <c r="E598" s="429">
        <v>2</v>
      </c>
      <c r="F598" s="430">
        <v>4.3982000000000001</v>
      </c>
      <c r="G598" s="430">
        <v>2</v>
      </c>
      <c r="H598" s="430">
        <v>5</v>
      </c>
      <c r="I598" s="430">
        <v>5</v>
      </c>
      <c r="J598" s="430">
        <v>5</v>
      </c>
      <c r="K598" s="431"/>
      <c r="L598" s="428">
        <v>2</v>
      </c>
    </row>
    <row r="599" spans="1:12" hidden="1">
      <c r="A599" s="414">
        <v>41170</v>
      </c>
      <c r="B599" s="238" t="s">
        <v>1398</v>
      </c>
      <c r="C599" s="415">
        <v>35</v>
      </c>
      <c r="D599" s="414">
        <v>41205</v>
      </c>
      <c r="E599" s="418">
        <v>2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L599" s="415">
        <v>0</v>
      </c>
    </row>
    <row r="600" spans="1:12" hidden="1">
      <c r="A600" s="427">
        <v>41173</v>
      </c>
      <c r="B600" s="2014" t="s">
        <v>1399</v>
      </c>
      <c r="C600" s="428">
        <v>91</v>
      </c>
      <c r="D600" s="427">
        <v>41264</v>
      </c>
      <c r="E600" s="429">
        <v>3</v>
      </c>
      <c r="F600" s="430">
        <v>0</v>
      </c>
      <c r="G600" s="430">
        <v>0</v>
      </c>
      <c r="H600" s="430">
        <v>0</v>
      </c>
      <c r="I600" s="430">
        <v>0</v>
      </c>
      <c r="J600" s="430">
        <v>0</v>
      </c>
      <c r="K600" s="431"/>
      <c r="L600" s="428">
        <v>0</v>
      </c>
    </row>
    <row r="601" spans="1:12" hidden="1">
      <c r="A601" s="414">
        <v>41177</v>
      </c>
      <c r="B601" s="238" t="s">
        <v>1400</v>
      </c>
      <c r="C601" s="415">
        <v>182</v>
      </c>
      <c r="D601" s="414">
        <v>41359</v>
      </c>
      <c r="E601" s="418">
        <v>7</v>
      </c>
      <c r="F601" s="416">
        <v>0</v>
      </c>
      <c r="G601" s="416">
        <v>0</v>
      </c>
      <c r="H601" s="416">
        <v>0</v>
      </c>
      <c r="I601" s="416">
        <v>0</v>
      </c>
      <c r="J601" s="416">
        <v>0</v>
      </c>
      <c r="L601" s="415">
        <v>0</v>
      </c>
    </row>
    <row r="602" spans="1:12" hidden="1">
      <c r="A602" s="427">
        <v>41180</v>
      </c>
      <c r="B602" s="2014" t="s">
        <v>1401</v>
      </c>
      <c r="C602" s="428">
        <v>364</v>
      </c>
      <c r="D602" s="427">
        <v>41544</v>
      </c>
      <c r="E602" s="429">
        <v>20</v>
      </c>
      <c r="F602" s="430">
        <v>6.0519999999999996</v>
      </c>
      <c r="G602" s="430">
        <v>6.0519999999999996</v>
      </c>
      <c r="H602" s="430">
        <v>4</v>
      </c>
      <c r="I602" s="430">
        <v>4</v>
      </c>
      <c r="J602" s="430">
        <v>4</v>
      </c>
      <c r="K602" s="431"/>
      <c r="L602" s="428">
        <v>2</v>
      </c>
    </row>
    <row r="603" spans="1:12" hidden="1">
      <c r="A603" s="414">
        <v>41180</v>
      </c>
      <c r="B603" s="238" t="s">
        <v>1402</v>
      </c>
      <c r="C603" s="415">
        <v>1092</v>
      </c>
      <c r="D603" s="414">
        <v>42272</v>
      </c>
      <c r="E603" s="418">
        <v>1</v>
      </c>
      <c r="F603" s="416">
        <v>2.1985000000000001</v>
      </c>
      <c r="G603" s="416">
        <v>1</v>
      </c>
      <c r="H603" s="416">
        <v>5</v>
      </c>
      <c r="I603" s="416">
        <v>5</v>
      </c>
      <c r="J603" s="416">
        <v>5</v>
      </c>
      <c r="L603" s="415">
        <v>2</v>
      </c>
    </row>
    <row r="604" spans="1:12" hidden="1">
      <c r="A604" s="427">
        <v>41184</v>
      </c>
      <c r="B604" s="427" t="s">
        <v>1408</v>
      </c>
      <c r="C604" s="428">
        <v>35</v>
      </c>
      <c r="D604" s="427">
        <v>41219</v>
      </c>
      <c r="E604" s="429">
        <v>2</v>
      </c>
      <c r="F604" s="430">
        <v>0</v>
      </c>
      <c r="G604" s="430">
        <v>0</v>
      </c>
      <c r="H604" s="430">
        <v>0</v>
      </c>
      <c r="I604" s="430">
        <v>0</v>
      </c>
      <c r="J604" s="430">
        <v>0</v>
      </c>
      <c r="K604" s="431"/>
      <c r="L604" s="428">
        <v>0</v>
      </c>
    </row>
    <row r="605" spans="1:12" hidden="1">
      <c r="A605" s="414">
        <v>41187</v>
      </c>
      <c r="B605" s="238" t="s">
        <v>1409</v>
      </c>
      <c r="C605" s="415">
        <v>91</v>
      </c>
      <c r="D605" s="414">
        <v>41278</v>
      </c>
      <c r="E605" s="418">
        <v>4</v>
      </c>
      <c r="F605" s="416">
        <v>2.0217000000000001</v>
      </c>
      <c r="G605" s="416">
        <v>2.0217000000000001</v>
      </c>
      <c r="H605" s="416">
        <v>2.5</v>
      </c>
      <c r="I605" s="416">
        <v>2.5</v>
      </c>
      <c r="J605" s="416">
        <v>2.5</v>
      </c>
      <c r="L605" s="415">
        <v>1</v>
      </c>
    </row>
    <row r="606" spans="1:12" hidden="1">
      <c r="A606" s="427">
        <v>41191</v>
      </c>
      <c r="B606" s="2014" t="s">
        <v>1410</v>
      </c>
      <c r="C606" s="428">
        <v>182</v>
      </c>
      <c r="D606" s="427">
        <v>41373</v>
      </c>
      <c r="E606" s="429">
        <v>7</v>
      </c>
      <c r="F606" s="430">
        <v>0</v>
      </c>
      <c r="G606" s="430">
        <v>0</v>
      </c>
      <c r="H606" s="430">
        <v>0</v>
      </c>
      <c r="I606" s="430">
        <v>0</v>
      </c>
      <c r="J606" s="430">
        <v>0</v>
      </c>
      <c r="K606" s="431"/>
      <c r="L606" s="428">
        <v>0</v>
      </c>
    </row>
    <row r="607" spans="1:12" hidden="1">
      <c r="A607" s="414">
        <v>41194</v>
      </c>
      <c r="B607" s="238" t="s">
        <v>1411</v>
      </c>
      <c r="C607" s="415">
        <v>728</v>
      </c>
      <c r="D607" s="414">
        <v>41922</v>
      </c>
      <c r="E607" s="418">
        <v>1</v>
      </c>
      <c r="F607" s="416">
        <v>1.1991000000000001</v>
      </c>
      <c r="G607" s="416">
        <v>1.1991000000000001</v>
      </c>
      <c r="H607" s="416">
        <v>4.5</v>
      </c>
      <c r="I607" s="416">
        <v>4.5</v>
      </c>
      <c r="J607" s="416">
        <v>4.5</v>
      </c>
      <c r="L607" s="415">
        <v>1</v>
      </c>
    </row>
    <row r="608" spans="1:12" hidden="1">
      <c r="A608" s="427">
        <v>41194</v>
      </c>
      <c r="B608" s="2014" t="s">
        <v>1412</v>
      </c>
      <c r="C608" s="428">
        <v>364</v>
      </c>
      <c r="D608" s="427">
        <v>41558</v>
      </c>
      <c r="E608" s="429">
        <v>22</v>
      </c>
      <c r="F608" s="430">
        <v>0</v>
      </c>
      <c r="G608" s="430">
        <v>0</v>
      </c>
      <c r="H608" s="430">
        <v>4</v>
      </c>
      <c r="I608" s="430">
        <v>4</v>
      </c>
      <c r="J608" s="430">
        <v>0</v>
      </c>
      <c r="K608" s="431"/>
      <c r="L608" s="428">
        <v>0</v>
      </c>
    </row>
    <row r="609" spans="1:12" hidden="1">
      <c r="A609" s="414">
        <v>41198</v>
      </c>
      <c r="B609" s="238" t="s">
        <v>1413</v>
      </c>
      <c r="C609" s="415">
        <v>35</v>
      </c>
      <c r="D609" s="414">
        <v>41233</v>
      </c>
      <c r="E609" s="418">
        <v>2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L609" s="415">
        <v>0</v>
      </c>
    </row>
    <row r="610" spans="1:12" hidden="1">
      <c r="A610" s="427">
        <v>41201</v>
      </c>
      <c r="B610" s="2014" t="s">
        <v>1414</v>
      </c>
      <c r="C610" s="428">
        <v>91</v>
      </c>
      <c r="D610" s="427">
        <v>41292</v>
      </c>
      <c r="E610" s="429">
        <v>3</v>
      </c>
      <c r="F610" s="430">
        <v>0</v>
      </c>
      <c r="G610" s="430">
        <v>0</v>
      </c>
      <c r="H610" s="430">
        <v>0</v>
      </c>
      <c r="I610" s="430">
        <v>0</v>
      </c>
      <c r="J610" s="430">
        <v>0</v>
      </c>
      <c r="K610" s="431"/>
      <c r="L610" s="428">
        <v>0</v>
      </c>
    </row>
    <row r="611" spans="1:12" hidden="1">
      <c r="A611" s="414">
        <v>41205</v>
      </c>
      <c r="B611" s="238" t="s">
        <v>1415</v>
      </c>
      <c r="C611" s="415">
        <v>182</v>
      </c>
      <c r="D611" s="414">
        <v>41387</v>
      </c>
      <c r="E611" s="418">
        <v>7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L611" s="415">
        <v>0</v>
      </c>
    </row>
    <row r="612" spans="1:12" hidden="1">
      <c r="A612" s="427">
        <v>41205</v>
      </c>
      <c r="B612" s="2014" t="s">
        <v>1416</v>
      </c>
      <c r="C612" s="428">
        <v>364</v>
      </c>
      <c r="D612" s="427">
        <v>41569</v>
      </c>
      <c r="E612" s="429">
        <v>22</v>
      </c>
      <c r="F612" s="430">
        <v>0</v>
      </c>
      <c r="G612" s="430">
        <v>0</v>
      </c>
      <c r="H612" s="430">
        <v>4</v>
      </c>
      <c r="I612" s="430">
        <v>4</v>
      </c>
      <c r="J612" s="430">
        <v>0</v>
      </c>
      <c r="K612" s="431"/>
      <c r="L612" s="428">
        <v>0</v>
      </c>
    </row>
    <row r="613" spans="1:12" hidden="1">
      <c r="A613" s="414">
        <v>41205</v>
      </c>
      <c r="B613" s="238" t="s">
        <v>1417</v>
      </c>
      <c r="C613" s="415">
        <v>1092</v>
      </c>
      <c r="D613" s="414">
        <v>42297</v>
      </c>
      <c r="E613" s="418">
        <v>2</v>
      </c>
      <c r="F613" s="416">
        <v>2.8969999999999998</v>
      </c>
      <c r="G613" s="416">
        <v>2</v>
      </c>
      <c r="H613" s="416">
        <v>5</v>
      </c>
      <c r="I613" s="416">
        <v>5</v>
      </c>
      <c r="J613" s="416">
        <v>5</v>
      </c>
      <c r="L613" s="415">
        <v>2</v>
      </c>
    </row>
    <row r="614" spans="1:12" hidden="1">
      <c r="A614" s="427">
        <v>41219</v>
      </c>
      <c r="B614" s="2014" t="s">
        <v>1422</v>
      </c>
      <c r="C614" s="428">
        <v>35</v>
      </c>
      <c r="D614" s="427">
        <v>41254</v>
      </c>
      <c r="E614" s="429">
        <v>2</v>
      </c>
      <c r="F614" s="430">
        <v>0</v>
      </c>
      <c r="G614" s="430">
        <v>0</v>
      </c>
      <c r="H614" s="430">
        <v>0</v>
      </c>
      <c r="I614" s="430">
        <v>0</v>
      </c>
      <c r="J614" s="430">
        <v>0</v>
      </c>
      <c r="K614" s="431"/>
      <c r="L614" s="428">
        <v>0</v>
      </c>
    </row>
    <row r="615" spans="1:12" hidden="1">
      <c r="A615" s="414">
        <v>41221</v>
      </c>
      <c r="B615" s="238" t="s">
        <v>1423</v>
      </c>
      <c r="C615" s="415">
        <v>364</v>
      </c>
      <c r="D615" s="414">
        <v>41585</v>
      </c>
      <c r="E615" s="418">
        <v>1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L615" s="415">
        <v>0</v>
      </c>
    </row>
    <row r="616" spans="1:12" hidden="1">
      <c r="A616" s="427">
        <v>41221</v>
      </c>
      <c r="B616" s="2014" t="s">
        <v>1424</v>
      </c>
      <c r="C616" s="428">
        <v>91</v>
      </c>
      <c r="D616" s="427">
        <v>41312</v>
      </c>
      <c r="E616" s="429">
        <v>4</v>
      </c>
      <c r="F616" s="430">
        <v>0</v>
      </c>
      <c r="G616" s="430">
        <v>0</v>
      </c>
      <c r="H616" s="430">
        <v>0</v>
      </c>
      <c r="I616" s="430">
        <v>0</v>
      </c>
      <c r="J616" s="430">
        <v>0</v>
      </c>
      <c r="K616" s="431"/>
      <c r="L616" s="428">
        <v>0</v>
      </c>
    </row>
    <row r="617" spans="1:12" hidden="1">
      <c r="A617" s="414">
        <v>41226</v>
      </c>
      <c r="B617" s="238" t="s">
        <v>1425</v>
      </c>
      <c r="C617" s="415">
        <v>182</v>
      </c>
      <c r="D617" s="414">
        <v>41408</v>
      </c>
      <c r="E617" s="418">
        <v>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L617" s="415">
        <v>0</v>
      </c>
    </row>
    <row r="618" spans="1:12" hidden="1">
      <c r="A618" s="427">
        <v>41229</v>
      </c>
      <c r="B618" s="2014" t="s">
        <v>1426</v>
      </c>
      <c r="C618" s="428">
        <v>364</v>
      </c>
      <c r="D618" s="427">
        <v>41593</v>
      </c>
      <c r="E618" s="429">
        <v>22</v>
      </c>
      <c r="F618" s="430">
        <v>0</v>
      </c>
      <c r="G618" s="430">
        <v>0</v>
      </c>
      <c r="H618" s="430">
        <v>4</v>
      </c>
      <c r="I618" s="430">
        <v>4</v>
      </c>
      <c r="J618" s="430">
        <v>0</v>
      </c>
      <c r="K618" s="431"/>
      <c r="L618" s="428">
        <v>0</v>
      </c>
    </row>
    <row r="619" spans="1:12" hidden="1">
      <c r="A619" s="414">
        <v>41229</v>
      </c>
      <c r="B619" s="238" t="s">
        <v>1427</v>
      </c>
      <c r="C619" s="415">
        <v>1092</v>
      </c>
      <c r="D619" s="414">
        <v>42321</v>
      </c>
      <c r="E619" s="418">
        <v>1</v>
      </c>
      <c r="F619" s="416">
        <v>1.1830000000000001</v>
      </c>
      <c r="G619" s="416">
        <v>1</v>
      </c>
      <c r="H619" s="416">
        <v>5</v>
      </c>
      <c r="I619" s="416">
        <v>5</v>
      </c>
      <c r="J619" s="416">
        <v>5</v>
      </c>
      <c r="L619" s="415">
        <v>1</v>
      </c>
    </row>
    <row r="620" spans="1:12" hidden="1">
      <c r="A620" s="427">
        <v>41229</v>
      </c>
      <c r="B620" s="427" t="s">
        <v>1428</v>
      </c>
      <c r="C620" s="428">
        <v>728</v>
      </c>
      <c r="D620" s="427">
        <v>41957</v>
      </c>
      <c r="E620" s="429">
        <v>1</v>
      </c>
      <c r="F620" s="430">
        <v>1.1991000000000001</v>
      </c>
      <c r="G620" s="430">
        <v>1</v>
      </c>
      <c r="H620" s="430">
        <v>4.5</v>
      </c>
      <c r="I620" s="430">
        <v>4.5</v>
      </c>
      <c r="J620" s="430">
        <v>4.5</v>
      </c>
      <c r="K620" s="431"/>
      <c r="L620" s="428">
        <v>1</v>
      </c>
    </row>
    <row r="621" spans="1:12" hidden="1">
      <c r="A621" s="414">
        <v>41233</v>
      </c>
      <c r="B621" s="238" t="s">
        <v>1429</v>
      </c>
      <c r="C621" s="415">
        <v>35</v>
      </c>
      <c r="D621" s="414">
        <v>41268</v>
      </c>
      <c r="E621" s="418">
        <v>3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L621" s="415">
        <v>0</v>
      </c>
    </row>
    <row r="622" spans="1:12" hidden="1">
      <c r="A622" s="427">
        <v>41236</v>
      </c>
      <c r="B622" s="2014" t="s">
        <v>1430</v>
      </c>
      <c r="C622" s="428">
        <v>91</v>
      </c>
      <c r="D622" s="427">
        <v>41327</v>
      </c>
      <c r="E622" s="429">
        <v>3</v>
      </c>
      <c r="F622" s="430">
        <v>0</v>
      </c>
      <c r="G622" s="430">
        <v>0</v>
      </c>
      <c r="H622" s="430">
        <v>0</v>
      </c>
      <c r="I622" s="430">
        <v>0</v>
      </c>
      <c r="J622" s="430">
        <v>0</v>
      </c>
      <c r="K622" s="431"/>
      <c r="L622" s="428">
        <v>0</v>
      </c>
    </row>
    <row r="623" spans="1:12" hidden="1">
      <c r="A623" s="414">
        <v>41240</v>
      </c>
      <c r="B623" s="238" t="s">
        <v>1431</v>
      </c>
      <c r="C623" s="415">
        <v>182</v>
      </c>
      <c r="D623" s="414">
        <v>41422</v>
      </c>
      <c r="E623" s="418">
        <v>7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L623" s="415">
        <v>0</v>
      </c>
    </row>
    <row r="624" spans="1:12" hidden="1">
      <c r="A624" s="427">
        <v>41243</v>
      </c>
      <c r="B624" s="2014" t="s">
        <v>1432</v>
      </c>
      <c r="C624" s="428">
        <v>1092</v>
      </c>
      <c r="D624" s="427">
        <v>42335</v>
      </c>
      <c r="E624" s="429">
        <v>1</v>
      </c>
      <c r="F624" s="430">
        <v>2.6941000000000002</v>
      </c>
      <c r="G624" s="430">
        <v>1</v>
      </c>
      <c r="H624" s="430">
        <v>5</v>
      </c>
      <c r="I624" s="430">
        <v>5</v>
      </c>
      <c r="J624" s="430">
        <v>5</v>
      </c>
      <c r="K624" s="431"/>
      <c r="L624" s="428">
        <v>2</v>
      </c>
    </row>
    <row r="625" spans="1:12" hidden="1">
      <c r="A625" s="414">
        <v>41243</v>
      </c>
      <c r="B625" s="238" t="s">
        <v>1433</v>
      </c>
      <c r="C625" s="415">
        <v>364</v>
      </c>
      <c r="D625" s="414">
        <v>41607</v>
      </c>
      <c r="E625" s="418">
        <v>22</v>
      </c>
      <c r="F625" s="416">
        <v>5</v>
      </c>
      <c r="G625" s="416">
        <v>5</v>
      </c>
      <c r="H625" s="416">
        <v>4</v>
      </c>
      <c r="I625" s="416">
        <v>4</v>
      </c>
      <c r="J625" s="416">
        <v>4</v>
      </c>
      <c r="L625" s="415">
        <v>1</v>
      </c>
    </row>
    <row r="626" spans="1:12" hidden="1">
      <c r="A626" s="427">
        <v>41247</v>
      </c>
      <c r="B626" s="2014" t="s">
        <v>1438</v>
      </c>
      <c r="C626" s="428">
        <v>35</v>
      </c>
      <c r="D626" s="427">
        <v>41282</v>
      </c>
      <c r="E626" s="429">
        <v>2</v>
      </c>
      <c r="F626" s="430">
        <v>0</v>
      </c>
      <c r="G626" s="430">
        <v>0</v>
      </c>
      <c r="H626" s="430">
        <v>0</v>
      </c>
      <c r="I626" s="430">
        <v>0</v>
      </c>
      <c r="J626" s="430">
        <v>0</v>
      </c>
      <c r="K626" s="431"/>
      <c r="L626" s="428">
        <v>0</v>
      </c>
    </row>
    <row r="627" spans="1:12" hidden="1">
      <c r="A627" s="414">
        <v>41250</v>
      </c>
      <c r="B627" s="238" t="s">
        <v>1439</v>
      </c>
      <c r="C627" s="415">
        <v>91</v>
      </c>
      <c r="D627" s="414">
        <v>41341</v>
      </c>
      <c r="E627" s="418">
        <v>4</v>
      </c>
      <c r="F627" s="416">
        <v>4</v>
      </c>
      <c r="G627" s="416">
        <v>4</v>
      </c>
      <c r="H627" s="416">
        <v>2.46</v>
      </c>
      <c r="I627" s="416">
        <v>2.46</v>
      </c>
      <c r="J627" s="416">
        <v>2.46</v>
      </c>
      <c r="L627" s="415">
        <v>2</v>
      </c>
    </row>
    <row r="628" spans="1:12" hidden="1">
      <c r="A628" s="427">
        <v>41257</v>
      </c>
      <c r="B628" s="2014" t="s">
        <v>1440</v>
      </c>
      <c r="C628" s="428">
        <v>364</v>
      </c>
      <c r="D628" s="427">
        <v>41621</v>
      </c>
      <c r="E628" s="429">
        <v>20</v>
      </c>
      <c r="F628" s="430">
        <v>19.805199999999999</v>
      </c>
      <c r="G628" s="430">
        <v>19.805199999999999</v>
      </c>
      <c r="H628" s="430">
        <v>4</v>
      </c>
      <c r="I628" s="430">
        <v>4</v>
      </c>
      <c r="J628" s="430">
        <v>4</v>
      </c>
      <c r="K628" s="431"/>
      <c r="L628" s="428">
        <v>4</v>
      </c>
    </row>
    <row r="629" spans="1:12" hidden="1">
      <c r="A629" s="414">
        <v>41257</v>
      </c>
      <c r="B629" s="238" t="s">
        <v>1441</v>
      </c>
      <c r="C629" s="415">
        <v>728</v>
      </c>
      <c r="D629" s="414">
        <v>41985</v>
      </c>
      <c r="E629" s="418">
        <v>1</v>
      </c>
      <c r="F629" s="416">
        <v>1</v>
      </c>
      <c r="G629" s="416">
        <v>1</v>
      </c>
      <c r="H629" s="416">
        <v>4.5</v>
      </c>
      <c r="I629" s="416">
        <v>4.5</v>
      </c>
      <c r="J629" s="416">
        <v>4.5</v>
      </c>
      <c r="L629" s="415">
        <v>2</v>
      </c>
    </row>
    <row r="630" spans="1:12" hidden="1">
      <c r="A630" s="427">
        <v>41264</v>
      </c>
      <c r="B630" s="2014" t="s">
        <v>1442</v>
      </c>
      <c r="C630" s="428">
        <v>91</v>
      </c>
      <c r="D630" s="427">
        <v>41355</v>
      </c>
      <c r="E630" s="429">
        <v>4</v>
      </c>
      <c r="F630" s="430">
        <v>0.80479999999999996</v>
      </c>
      <c r="G630" s="430">
        <v>0.80479999999999996</v>
      </c>
      <c r="H630" s="430">
        <v>2.5</v>
      </c>
      <c r="I630" s="430">
        <v>2.5</v>
      </c>
      <c r="J630" s="430">
        <v>2.5</v>
      </c>
      <c r="K630" s="431"/>
      <c r="L630" s="428">
        <v>3</v>
      </c>
    </row>
    <row r="631" spans="1:12" hidden="1">
      <c r="A631" s="414">
        <v>41268</v>
      </c>
      <c r="B631" s="238" t="s">
        <v>1443</v>
      </c>
      <c r="C631" s="415">
        <v>1092</v>
      </c>
      <c r="D631" s="414">
        <v>42360</v>
      </c>
      <c r="E631" s="418">
        <v>1</v>
      </c>
      <c r="F631" s="416">
        <v>0.05</v>
      </c>
      <c r="G631" s="416">
        <v>0.5</v>
      </c>
      <c r="H631" s="416">
        <v>5</v>
      </c>
      <c r="I631" s="416">
        <v>5</v>
      </c>
      <c r="J631" s="416">
        <v>5</v>
      </c>
      <c r="L631" s="415">
        <v>1</v>
      </c>
    </row>
    <row r="632" spans="1:12" hidden="1">
      <c r="A632" s="427">
        <v>41268</v>
      </c>
      <c r="B632" s="2014" t="s">
        <v>1444</v>
      </c>
      <c r="C632" s="428">
        <v>364</v>
      </c>
      <c r="D632" s="427">
        <v>41632</v>
      </c>
      <c r="E632" s="429">
        <v>22</v>
      </c>
      <c r="F632" s="430">
        <v>16.121700000000001</v>
      </c>
      <c r="G632" s="430">
        <v>16.121700000000001</v>
      </c>
      <c r="H632" s="430">
        <v>4</v>
      </c>
      <c r="I632" s="430">
        <v>4</v>
      </c>
      <c r="J632" s="430">
        <v>4</v>
      </c>
      <c r="K632" s="431"/>
      <c r="L632" s="428">
        <v>1</v>
      </c>
    </row>
    <row r="633" spans="1:12" hidden="1">
      <c r="A633" s="414">
        <v>41268</v>
      </c>
      <c r="B633" s="238" t="s">
        <v>1445</v>
      </c>
      <c r="C633" s="415">
        <v>182</v>
      </c>
      <c r="D633" s="414">
        <v>41450</v>
      </c>
      <c r="E633" s="418">
        <v>7</v>
      </c>
      <c r="F633" s="416">
        <v>1.0139</v>
      </c>
      <c r="G633" s="416">
        <v>1.0139</v>
      </c>
      <c r="H633" s="416">
        <v>2.97</v>
      </c>
      <c r="I633" s="416">
        <v>2.97</v>
      </c>
      <c r="J633" s="416">
        <v>2.97</v>
      </c>
      <c r="L633" s="415">
        <v>1</v>
      </c>
    </row>
    <row r="634" spans="1:12" hidden="1">
      <c r="A634" s="427"/>
      <c r="B634" s="2014"/>
      <c r="C634" s="428"/>
      <c r="D634" s="427"/>
      <c r="E634" s="429"/>
      <c r="F634" s="430"/>
      <c r="G634" s="430"/>
      <c r="H634" s="430">
        <v>0</v>
      </c>
      <c r="I634" s="430">
        <v>0</v>
      </c>
      <c r="J634" s="430">
        <v>0</v>
      </c>
      <c r="K634" s="431"/>
      <c r="L634" s="428"/>
    </row>
    <row r="635" spans="1:12" hidden="1">
      <c r="A635" s="414">
        <v>41397</v>
      </c>
      <c r="B635" s="238" t="s">
        <v>1466</v>
      </c>
      <c r="C635" s="415">
        <v>364</v>
      </c>
      <c r="D635" s="414">
        <v>41761</v>
      </c>
      <c r="E635" s="418">
        <v>2</v>
      </c>
      <c r="F635" s="416">
        <v>2</v>
      </c>
      <c r="G635" s="416">
        <v>2</v>
      </c>
      <c r="H635" s="416">
        <v>3.25</v>
      </c>
      <c r="I635" s="416">
        <v>3.25</v>
      </c>
      <c r="J635" s="416">
        <v>3.25</v>
      </c>
      <c r="L635" s="415">
        <v>1</v>
      </c>
    </row>
    <row r="636" spans="1:12" hidden="1">
      <c r="A636" s="427">
        <v>41397</v>
      </c>
      <c r="B636" s="2014" t="s">
        <v>1467</v>
      </c>
      <c r="C636" s="428">
        <v>728</v>
      </c>
      <c r="D636" s="427">
        <v>42125</v>
      </c>
      <c r="E636" s="429">
        <v>2</v>
      </c>
      <c r="F636" s="430">
        <v>4.3924000000000003</v>
      </c>
      <c r="G636" s="430">
        <v>2</v>
      </c>
      <c r="H636" s="430">
        <v>3.75</v>
      </c>
      <c r="I636" s="430">
        <v>3.75</v>
      </c>
      <c r="J636" s="430">
        <v>3.75</v>
      </c>
      <c r="K636" s="431"/>
      <c r="L636" s="428">
        <v>2</v>
      </c>
    </row>
    <row r="637" spans="1:12" hidden="1">
      <c r="A637" s="414">
        <v>41397</v>
      </c>
      <c r="B637" s="238" t="s">
        <v>1468</v>
      </c>
      <c r="C637" s="415">
        <v>1092</v>
      </c>
      <c r="D637" s="414">
        <v>42489</v>
      </c>
      <c r="E637" s="418">
        <v>3</v>
      </c>
      <c r="F637" s="416">
        <v>6.5869</v>
      </c>
      <c r="G637" s="416">
        <v>3</v>
      </c>
      <c r="H637" s="416">
        <v>4.25</v>
      </c>
      <c r="I637" s="416">
        <v>4.25</v>
      </c>
      <c r="J637" s="416">
        <v>4.25</v>
      </c>
      <c r="L637" s="415">
        <v>2</v>
      </c>
    </row>
    <row r="638" spans="1:12" hidden="1">
      <c r="A638" s="427">
        <v>41397</v>
      </c>
      <c r="B638" s="2014" t="s">
        <v>1469</v>
      </c>
      <c r="C638" s="428">
        <v>182</v>
      </c>
      <c r="D638" s="427">
        <v>41579</v>
      </c>
      <c r="E638" s="429">
        <v>1</v>
      </c>
      <c r="F638" s="430">
        <v>0.29759999999999998</v>
      </c>
      <c r="G638" s="430">
        <v>0.29759999999999998</v>
      </c>
      <c r="H638" s="430">
        <v>2.0099999999999998</v>
      </c>
      <c r="I638" s="430">
        <v>2.0099999999999998</v>
      </c>
      <c r="J638" s="430">
        <v>2.0099999999999998</v>
      </c>
      <c r="K638" s="431"/>
      <c r="L638" s="428">
        <v>1</v>
      </c>
    </row>
    <row r="639" spans="1:12" hidden="1">
      <c r="A639" s="414">
        <v>41401</v>
      </c>
      <c r="B639" s="238" t="s">
        <v>1470</v>
      </c>
      <c r="C639" s="415">
        <v>91</v>
      </c>
      <c r="D639" s="414">
        <v>41492</v>
      </c>
      <c r="E639" s="418">
        <v>3</v>
      </c>
      <c r="F639" s="416">
        <v>2.5099999999999998</v>
      </c>
      <c r="G639" s="416">
        <v>2.5099999999999998</v>
      </c>
      <c r="H639" s="416">
        <v>1.8900000000000001</v>
      </c>
      <c r="I639" s="416">
        <v>1.8900000000000001</v>
      </c>
      <c r="J639" s="416">
        <v>1.8900000000000001</v>
      </c>
      <c r="L639" s="415">
        <v>1</v>
      </c>
    </row>
    <row r="640" spans="1:12" hidden="1">
      <c r="A640" s="427">
        <v>41401</v>
      </c>
      <c r="B640" s="2014" t="s">
        <v>1471</v>
      </c>
      <c r="C640" s="428">
        <v>35</v>
      </c>
      <c r="D640" s="427">
        <v>41436</v>
      </c>
      <c r="E640" s="429">
        <v>3</v>
      </c>
      <c r="F640" s="430">
        <v>0</v>
      </c>
      <c r="G640" s="430">
        <v>0</v>
      </c>
      <c r="H640" s="430">
        <v>0</v>
      </c>
      <c r="I640" s="430">
        <v>0</v>
      </c>
      <c r="J640" s="430">
        <v>0</v>
      </c>
      <c r="K640" s="431"/>
      <c r="L640" s="428">
        <v>0</v>
      </c>
    </row>
    <row r="641" spans="1:12" hidden="1">
      <c r="A641" s="414">
        <v>41404</v>
      </c>
      <c r="B641" s="238" t="s">
        <v>1472</v>
      </c>
      <c r="C641" s="415">
        <v>364</v>
      </c>
      <c r="D641" s="414">
        <v>41768</v>
      </c>
      <c r="E641" s="418">
        <v>1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L641" s="415">
        <v>0</v>
      </c>
    </row>
    <row r="642" spans="1:12" hidden="1">
      <c r="A642" s="427">
        <v>41408</v>
      </c>
      <c r="B642" s="2014" t="s">
        <v>1473</v>
      </c>
      <c r="C642" s="428">
        <v>364</v>
      </c>
      <c r="D642" s="427">
        <v>41772</v>
      </c>
      <c r="E642" s="429">
        <v>10</v>
      </c>
      <c r="F642" s="430">
        <v>0</v>
      </c>
      <c r="G642" s="430">
        <v>0</v>
      </c>
      <c r="H642" s="430">
        <v>3.25</v>
      </c>
      <c r="I642" s="430">
        <v>3.25</v>
      </c>
      <c r="J642" s="430">
        <v>0</v>
      </c>
      <c r="K642" s="431"/>
      <c r="L642" s="428">
        <v>0</v>
      </c>
    </row>
    <row r="643" spans="1:12" hidden="1">
      <c r="A643" s="414">
        <v>41408</v>
      </c>
      <c r="B643" s="238" t="s">
        <v>1474</v>
      </c>
      <c r="C643" s="415">
        <v>182</v>
      </c>
      <c r="D643" s="414">
        <v>41590</v>
      </c>
      <c r="E643" s="418">
        <v>3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L643" s="415">
        <v>0</v>
      </c>
    </row>
    <row r="644" spans="1:12" hidden="1">
      <c r="A644" s="427">
        <v>41411</v>
      </c>
      <c r="B644" s="2014" t="s">
        <v>1475</v>
      </c>
      <c r="C644" s="428">
        <v>728</v>
      </c>
      <c r="D644" s="427">
        <v>42139</v>
      </c>
      <c r="E644" s="429">
        <v>3</v>
      </c>
      <c r="F644" s="430">
        <v>2.399</v>
      </c>
      <c r="G644" s="430">
        <v>2.399</v>
      </c>
      <c r="H644" s="430">
        <v>3.75</v>
      </c>
      <c r="I644" s="430">
        <v>3.75</v>
      </c>
      <c r="J644" s="430">
        <v>3.75</v>
      </c>
      <c r="K644" s="431"/>
      <c r="L644" s="428">
        <v>1</v>
      </c>
    </row>
    <row r="645" spans="1:12" hidden="1">
      <c r="A645" s="414">
        <v>41411</v>
      </c>
      <c r="B645" s="238" t="s">
        <v>1476</v>
      </c>
      <c r="C645" s="415">
        <v>1092</v>
      </c>
      <c r="D645" s="414">
        <v>42503</v>
      </c>
      <c r="E645" s="418">
        <v>8</v>
      </c>
      <c r="F645" s="416">
        <v>9.9964999999999993</v>
      </c>
      <c r="G645" s="416">
        <v>8</v>
      </c>
      <c r="H645" s="416">
        <v>4.25</v>
      </c>
      <c r="I645" s="416">
        <v>4.25</v>
      </c>
      <c r="J645" s="416">
        <v>4.25</v>
      </c>
      <c r="L645" s="415">
        <v>2</v>
      </c>
    </row>
    <row r="646" spans="1:12" hidden="1">
      <c r="A646" s="427">
        <v>41415</v>
      </c>
      <c r="B646" s="2014" t="s">
        <v>1477</v>
      </c>
      <c r="C646" s="428">
        <v>35</v>
      </c>
      <c r="D646" s="427">
        <v>41450</v>
      </c>
      <c r="E646" s="429">
        <v>3</v>
      </c>
      <c r="F646" s="430">
        <v>0</v>
      </c>
      <c r="G646" s="430">
        <v>0</v>
      </c>
      <c r="H646" s="430">
        <v>0</v>
      </c>
      <c r="I646" s="430">
        <v>0</v>
      </c>
      <c r="J646" s="430">
        <v>0</v>
      </c>
      <c r="K646" s="431"/>
      <c r="L646" s="428">
        <v>0</v>
      </c>
    </row>
    <row r="647" spans="1:12" hidden="1">
      <c r="A647" s="414">
        <v>41415</v>
      </c>
      <c r="B647" s="238" t="s">
        <v>1478</v>
      </c>
      <c r="C647" s="415">
        <v>91</v>
      </c>
      <c r="D647" s="414">
        <v>41506</v>
      </c>
      <c r="E647" s="418">
        <v>3</v>
      </c>
      <c r="F647" s="416">
        <v>1.004</v>
      </c>
      <c r="G647" s="416">
        <v>1.004</v>
      </c>
      <c r="H647" s="416">
        <v>1.8900000000000001</v>
      </c>
      <c r="I647" s="416">
        <v>1.8900000000000001</v>
      </c>
      <c r="J647" s="416">
        <v>1.8900000000000001</v>
      </c>
      <c r="L647" s="415">
        <v>1</v>
      </c>
    </row>
    <row r="648" spans="1:12" hidden="1">
      <c r="A648" s="427">
        <v>41418</v>
      </c>
      <c r="B648" s="2014" t="s">
        <v>1479</v>
      </c>
      <c r="C648" s="428">
        <v>364</v>
      </c>
      <c r="D648" s="427">
        <v>41782</v>
      </c>
      <c r="E648" s="429">
        <v>2</v>
      </c>
      <c r="F648" s="430">
        <v>0</v>
      </c>
      <c r="G648" s="430">
        <v>0</v>
      </c>
      <c r="H648" s="430">
        <v>0</v>
      </c>
      <c r="I648" s="430">
        <v>0</v>
      </c>
      <c r="J648" s="430">
        <v>0</v>
      </c>
      <c r="K648" s="431"/>
      <c r="L648" s="428">
        <v>0</v>
      </c>
    </row>
    <row r="649" spans="1:12" hidden="1">
      <c r="A649" s="414">
        <v>41425</v>
      </c>
      <c r="B649" s="238" t="s">
        <v>1480</v>
      </c>
      <c r="C649" s="415">
        <v>1092</v>
      </c>
      <c r="D649" s="414">
        <v>42517</v>
      </c>
      <c r="E649" s="418">
        <v>7</v>
      </c>
      <c r="F649" s="416">
        <v>7.5674999999999999</v>
      </c>
      <c r="G649" s="416">
        <v>7</v>
      </c>
      <c r="H649" s="416">
        <v>4.25</v>
      </c>
      <c r="I649" s="416">
        <v>4.25</v>
      </c>
      <c r="J649" s="416">
        <v>4.25</v>
      </c>
      <c r="L649" s="415">
        <v>2</v>
      </c>
    </row>
    <row r="650" spans="1:12" hidden="1">
      <c r="A650" s="427">
        <v>41425</v>
      </c>
      <c r="B650" s="2014" t="s">
        <v>1481</v>
      </c>
      <c r="C650" s="428">
        <v>728</v>
      </c>
      <c r="D650" s="427">
        <v>42153</v>
      </c>
      <c r="E650" s="429">
        <v>3</v>
      </c>
      <c r="F650" s="430">
        <v>0</v>
      </c>
      <c r="G650" s="430">
        <v>0</v>
      </c>
      <c r="H650" s="430">
        <v>3.75</v>
      </c>
      <c r="I650" s="430">
        <v>3.75</v>
      </c>
      <c r="J650" s="430">
        <v>0</v>
      </c>
      <c r="K650" s="431"/>
      <c r="L650" s="428">
        <v>0</v>
      </c>
    </row>
    <row r="651" spans="1:12" hidden="1">
      <c r="A651" s="414">
        <v>41425</v>
      </c>
      <c r="B651" s="238" t="s">
        <v>1482</v>
      </c>
      <c r="C651" s="415">
        <v>364</v>
      </c>
      <c r="D651" s="414">
        <v>41789</v>
      </c>
      <c r="E651" s="418">
        <v>12</v>
      </c>
      <c r="F651" s="416">
        <v>0.30020000000000002</v>
      </c>
      <c r="G651" s="416">
        <v>0.30020000000000002</v>
      </c>
      <c r="H651" s="416">
        <v>3.25</v>
      </c>
      <c r="I651" s="416">
        <v>3.25</v>
      </c>
      <c r="J651" s="416">
        <v>3.25</v>
      </c>
      <c r="L651" s="415">
        <v>1</v>
      </c>
    </row>
    <row r="652" spans="1:12" hidden="1">
      <c r="A652" s="427">
        <v>41425</v>
      </c>
      <c r="B652" s="2014" t="s">
        <v>1483</v>
      </c>
      <c r="C652" s="428">
        <v>182</v>
      </c>
      <c r="D652" s="427">
        <v>41607</v>
      </c>
      <c r="E652" s="429">
        <v>3</v>
      </c>
      <c r="F652" s="430">
        <v>0</v>
      </c>
      <c r="G652" s="430">
        <v>0</v>
      </c>
      <c r="H652" s="430">
        <v>0</v>
      </c>
      <c r="I652" s="430">
        <v>0</v>
      </c>
      <c r="J652" s="430">
        <v>0</v>
      </c>
      <c r="K652" s="431"/>
      <c r="L652" s="428">
        <v>0</v>
      </c>
    </row>
    <row r="653" spans="1:12" hidden="1">
      <c r="A653" s="414">
        <v>41429</v>
      </c>
      <c r="B653" s="238" t="s">
        <v>1520</v>
      </c>
      <c r="C653" s="415">
        <v>35</v>
      </c>
      <c r="D653" s="414">
        <v>41464</v>
      </c>
      <c r="E653" s="418">
        <v>3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L653" s="415">
        <v>0</v>
      </c>
    </row>
    <row r="654" spans="1:12" hidden="1">
      <c r="A654" s="427">
        <v>41429</v>
      </c>
      <c r="B654" s="2014" t="s">
        <v>1521</v>
      </c>
      <c r="C654" s="428">
        <v>91</v>
      </c>
      <c r="D654" s="427">
        <v>41520</v>
      </c>
      <c r="E654" s="429">
        <v>3</v>
      </c>
      <c r="F654" s="430">
        <v>0.502</v>
      </c>
      <c r="G654" s="430">
        <v>0.502</v>
      </c>
      <c r="H654" s="430">
        <v>1.8900000000000001</v>
      </c>
      <c r="I654" s="430">
        <v>1.8900000000000001</v>
      </c>
      <c r="J654" s="430">
        <v>1.8900000000000001</v>
      </c>
      <c r="K654" s="431"/>
      <c r="L654" s="428">
        <v>1</v>
      </c>
    </row>
    <row r="655" spans="1:12" hidden="1">
      <c r="A655" s="414">
        <v>41432</v>
      </c>
      <c r="B655" s="238" t="s">
        <v>1522</v>
      </c>
      <c r="C655" s="415">
        <v>364</v>
      </c>
      <c r="D655" s="414">
        <v>41796</v>
      </c>
      <c r="E655" s="418">
        <v>1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L655" s="415">
        <v>0</v>
      </c>
    </row>
    <row r="656" spans="1:12" hidden="1">
      <c r="A656" s="427">
        <v>41436</v>
      </c>
      <c r="B656" s="2014" t="s">
        <v>1523</v>
      </c>
      <c r="C656" s="428">
        <v>182</v>
      </c>
      <c r="D656" s="427">
        <v>41618</v>
      </c>
      <c r="E656" s="429">
        <v>3</v>
      </c>
      <c r="F656" s="430">
        <v>0</v>
      </c>
      <c r="G656" s="430">
        <v>0</v>
      </c>
      <c r="H656" s="430">
        <v>0</v>
      </c>
      <c r="I656" s="430">
        <v>0</v>
      </c>
      <c r="J656" s="430">
        <v>0</v>
      </c>
      <c r="K656" s="431"/>
      <c r="L656" s="428">
        <v>0</v>
      </c>
    </row>
    <row r="657" spans="1:12" hidden="1">
      <c r="A657" s="414">
        <v>41436</v>
      </c>
      <c r="B657" s="238" t="s">
        <v>1524</v>
      </c>
      <c r="C657" s="415">
        <v>364</v>
      </c>
      <c r="D657" s="414">
        <v>41800</v>
      </c>
      <c r="E657" s="418">
        <v>10</v>
      </c>
      <c r="F657" s="416">
        <v>0.75080000000000002</v>
      </c>
      <c r="G657" s="416">
        <v>0.75080000000000002</v>
      </c>
      <c r="H657" s="416">
        <v>3.25</v>
      </c>
      <c r="I657" s="416">
        <v>3.25</v>
      </c>
      <c r="J657" s="416">
        <v>3.25</v>
      </c>
      <c r="L657" s="415">
        <v>1</v>
      </c>
    </row>
    <row r="658" spans="1:12" hidden="1">
      <c r="A658" s="427">
        <v>41439</v>
      </c>
      <c r="B658" s="2014" t="s">
        <v>1525</v>
      </c>
      <c r="C658" s="428">
        <v>1092</v>
      </c>
      <c r="D658" s="427">
        <v>42531</v>
      </c>
      <c r="E658" s="429">
        <v>8</v>
      </c>
      <c r="F658" s="430">
        <v>9.5000999999999998</v>
      </c>
      <c r="G658" s="430">
        <v>8</v>
      </c>
      <c r="H658" s="430">
        <v>4.25</v>
      </c>
      <c r="I658" s="430">
        <v>4.25</v>
      </c>
      <c r="J658" s="430">
        <v>4.25</v>
      </c>
      <c r="K658" s="431"/>
      <c r="L658" s="428">
        <v>2</v>
      </c>
    </row>
    <row r="659" spans="1:12" hidden="1">
      <c r="A659" s="414">
        <v>41439</v>
      </c>
      <c r="B659" s="238" t="s">
        <v>1526</v>
      </c>
      <c r="C659" s="415">
        <v>728</v>
      </c>
      <c r="D659" s="414">
        <v>42167</v>
      </c>
      <c r="E659" s="418">
        <v>3</v>
      </c>
      <c r="F659" s="416">
        <v>0</v>
      </c>
      <c r="G659" s="416">
        <v>0</v>
      </c>
      <c r="H659" s="416">
        <v>3.75</v>
      </c>
      <c r="I659" s="416">
        <v>3.75</v>
      </c>
      <c r="J659" s="416">
        <v>0</v>
      </c>
      <c r="L659" s="415">
        <v>0</v>
      </c>
    </row>
    <row r="660" spans="1:12" hidden="1">
      <c r="A660" s="427">
        <v>41443</v>
      </c>
      <c r="B660" s="2014" t="s">
        <v>1527</v>
      </c>
      <c r="C660" s="428">
        <v>35</v>
      </c>
      <c r="D660" s="427">
        <v>41478</v>
      </c>
      <c r="E660" s="429">
        <v>3</v>
      </c>
      <c r="F660" s="430">
        <v>0</v>
      </c>
      <c r="G660" s="430">
        <v>0</v>
      </c>
      <c r="H660" s="430">
        <v>0</v>
      </c>
      <c r="I660" s="430">
        <v>0</v>
      </c>
      <c r="J660" s="430">
        <v>0</v>
      </c>
      <c r="K660" s="431"/>
      <c r="L660" s="428">
        <v>0</v>
      </c>
    </row>
    <row r="661" spans="1:12" hidden="1">
      <c r="A661" s="414">
        <v>41446</v>
      </c>
      <c r="B661" s="238" t="s">
        <v>1528</v>
      </c>
      <c r="C661" s="415">
        <v>91</v>
      </c>
      <c r="D661" s="414">
        <v>41537</v>
      </c>
      <c r="E661" s="418">
        <v>3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L661" s="415">
        <v>0</v>
      </c>
    </row>
    <row r="662" spans="1:12" hidden="1">
      <c r="A662" s="427">
        <v>41446</v>
      </c>
      <c r="B662" s="2014" t="s">
        <v>1529</v>
      </c>
      <c r="C662" s="428">
        <v>364</v>
      </c>
      <c r="D662" s="427">
        <v>41810</v>
      </c>
      <c r="E662" s="429">
        <v>1</v>
      </c>
      <c r="F662" s="430">
        <v>0</v>
      </c>
      <c r="G662" s="430">
        <v>0</v>
      </c>
      <c r="H662" s="430">
        <v>0</v>
      </c>
      <c r="I662" s="430">
        <v>0</v>
      </c>
      <c r="J662" s="430">
        <v>0</v>
      </c>
      <c r="K662" s="431"/>
      <c r="L662" s="428">
        <v>0</v>
      </c>
    </row>
    <row r="663" spans="1:12" hidden="1">
      <c r="A663" s="414">
        <v>41450</v>
      </c>
      <c r="B663" s="238" t="s">
        <v>1530</v>
      </c>
      <c r="C663" s="415">
        <v>364</v>
      </c>
      <c r="D663" s="414">
        <v>41814</v>
      </c>
      <c r="E663" s="418">
        <v>12</v>
      </c>
      <c r="F663" s="416">
        <v>0</v>
      </c>
      <c r="G663" s="416">
        <v>0</v>
      </c>
      <c r="H663" s="416">
        <v>3.25</v>
      </c>
      <c r="I663" s="416">
        <v>3.25</v>
      </c>
      <c r="J663" s="416">
        <v>0</v>
      </c>
      <c r="L663" s="415">
        <v>0</v>
      </c>
    </row>
    <row r="664" spans="1:12" hidden="1">
      <c r="A664" s="427">
        <v>41450</v>
      </c>
      <c r="B664" s="2014" t="s">
        <v>1531</v>
      </c>
      <c r="C664" s="428">
        <v>182</v>
      </c>
      <c r="D664" s="427">
        <v>41632</v>
      </c>
      <c r="E664" s="429">
        <v>3</v>
      </c>
      <c r="F664" s="430">
        <v>0.35420000000000001</v>
      </c>
      <c r="G664" s="430">
        <v>0.35420000000000001</v>
      </c>
      <c r="H664" s="430">
        <v>2</v>
      </c>
      <c r="I664" s="430">
        <v>2</v>
      </c>
      <c r="J664" s="430">
        <v>2</v>
      </c>
      <c r="K664" s="431"/>
      <c r="L664" s="428">
        <v>1</v>
      </c>
    </row>
    <row r="665" spans="1:12" hidden="1">
      <c r="A665" s="414">
        <v>41453</v>
      </c>
      <c r="B665" s="238" t="s">
        <v>1532</v>
      </c>
      <c r="C665" s="415">
        <v>1092</v>
      </c>
      <c r="D665" s="414">
        <v>42545</v>
      </c>
      <c r="E665" s="418">
        <v>7</v>
      </c>
      <c r="F665" s="416">
        <v>6.4809000000000001</v>
      </c>
      <c r="G665" s="416">
        <v>6.4809000000000001</v>
      </c>
      <c r="H665" s="416">
        <v>4.25</v>
      </c>
      <c r="I665" s="416">
        <v>4.25</v>
      </c>
      <c r="J665" s="416">
        <v>4.25</v>
      </c>
      <c r="L665" s="415">
        <v>3</v>
      </c>
    </row>
    <row r="666" spans="1:12" hidden="1">
      <c r="A666" s="427">
        <v>41453</v>
      </c>
      <c r="B666" s="2014" t="s">
        <v>1533</v>
      </c>
      <c r="C666" s="428">
        <v>728</v>
      </c>
      <c r="D666" s="427">
        <v>42181</v>
      </c>
      <c r="E666" s="429">
        <v>3</v>
      </c>
      <c r="F666" s="430">
        <v>2</v>
      </c>
      <c r="G666" s="430">
        <v>2</v>
      </c>
      <c r="H666" s="430">
        <v>3.75</v>
      </c>
      <c r="I666" s="430">
        <v>3.75</v>
      </c>
      <c r="J666" s="430">
        <v>3.75</v>
      </c>
      <c r="K666" s="431"/>
      <c r="L666" s="428">
        <v>1</v>
      </c>
    </row>
    <row r="667" spans="1:12" hidden="1">
      <c r="A667" s="414">
        <v>41457</v>
      </c>
      <c r="B667" s="238" t="s">
        <v>1840</v>
      </c>
      <c r="C667" s="415">
        <v>35</v>
      </c>
      <c r="D667" s="414">
        <v>41492</v>
      </c>
      <c r="E667" s="418">
        <v>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L667" s="415">
        <v>0</v>
      </c>
    </row>
    <row r="668" spans="1:12" hidden="1">
      <c r="A668" s="427">
        <v>41457</v>
      </c>
      <c r="B668" s="2014" t="s">
        <v>1841</v>
      </c>
      <c r="C668" s="428">
        <v>91</v>
      </c>
      <c r="D668" s="427">
        <v>41548</v>
      </c>
      <c r="E668" s="429">
        <v>4</v>
      </c>
      <c r="F668" s="430">
        <v>0</v>
      </c>
      <c r="G668" s="430">
        <v>0</v>
      </c>
      <c r="H668" s="430">
        <v>0</v>
      </c>
      <c r="I668" s="430">
        <v>0</v>
      </c>
      <c r="J668" s="430">
        <v>0</v>
      </c>
      <c r="K668" s="431"/>
      <c r="L668" s="428">
        <v>0</v>
      </c>
    </row>
    <row r="669" spans="1:12" hidden="1">
      <c r="A669" s="427">
        <v>41460</v>
      </c>
      <c r="B669" s="2014" t="s">
        <v>1543</v>
      </c>
      <c r="C669" s="428">
        <v>364</v>
      </c>
      <c r="D669" s="427">
        <v>41824</v>
      </c>
      <c r="E669" s="429">
        <v>1</v>
      </c>
      <c r="F669" s="430">
        <v>0.51880000000000004</v>
      </c>
      <c r="G669" s="430">
        <v>0.51880000000000004</v>
      </c>
      <c r="H669" s="430">
        <v>3.7900000000000005</v>
      </c>
      <c r="I669" s="430">
        <v>3.7900000000000005</v>
      </c>
      <c r="J669" s="430">
        <v>3.7900000000000005</v>
      </c>
      <c r="K669" s="431"/>
      <c r="L669" s="428">
        <v>1</v>
      </c>
    </row>
    <row r="670" spans="1:12" hidden="1">
      <c r="A670" s="427">
        <v>41464</v>
      </c>
      <c r="B670" s="2014" t="s">
        <v>1842</v>
      </c>
      <c r="C670" s="428">
        <v>182</v>
      </c>
      <c r="D670" s="427">
        <v>41646</v>
      </c>
      <c r="E670" s="429">
        <v>3</v>
      </c>
      <c r="F670" s="430">
        <v>0</v>
      </c>
      <c r="G670" s="430">
        <v>0</v>
      </c>
      <c r="H670" s="430">
        <v>0</v>
      </c>
      <c r="I670" s="430">
        <v>0</v>
      </c>
      <c r="J670" s="430">
        <v>0</v>
      </c>
      <c r="K670" s="431"/>
      <c r="L670" s="428">
        <v>0</v>
      </c>
    </row>
    <row r="671" spans="1:12" hidden="1">
      <c r="A671" s="427">
        <v>41464</v>
      </c>
      <c r="B671" s="2014" t="s">
        <v>1843</v>
      </c>
      <c r="C671" s="428">
        <v>364</v>
      </c>
      <c r="D671" s="427">
        <v>41828</v>
      </c>
      <c r="E671" s="429">
        <v>0</v>
      </c>
      <c r="F671" s="430">
        <v>0</v>
      </c>
      <c r="G671" s="430">
        <v>0</v>
      </c>
      <c r="H671" s="430">
        <v>3.25</v>
      </c>
      <c r="I671" s="430">
        <v>3.25</v>
      </c>
      <c r="J671" s="430">
        <v>0</v>
      </c>
      <c r="K671" s="431"/>
      <c r="L671" s="428">
        <v>0</v>
      </c>
    </row>
    <row r="672" spans="1:12" hidden="1">
      <c r="A672" s="414">
        <v>41467</v>
      </c>
      <c r="B672" s="238" t="s">
        <v>1544</v>
      </c>
      <c r="C672" s="415">
        <v>1092</v>
      </c>
      <c r="D672" s="414">
        <v>42559</v>
      </c>
      <c r="E672" s="418">
        <v>8</v>
      </c>
      <c r="F672" s="416">
        <v>8</v>
      </c>
      <c r="G672" s="416">
        <v>8</v>
      </c>
      <c r="H672" s="416">
        <v>4.25</v>
      </c>
      <c r="I672" s="416">
        <v>4.25</v>
      </c>
      <c r="J672" s="416">
        <v>4.25</v>
      </c>
      <c r="L672" s="415">
        <v>2</v>
      </c>
    </row>
    <row r="673" spans="1:12" hidden="1">
      <c r="A673" s="427">
        <v>41467</v>
      </c>
      <c r="B673" s="2014" t="s">
        <v>1844</v>
      </c>
      <c r="C673" s="428">
        <v>728</v>
      </c>
      <c r="D673" s="427">
        <v>42195</v>
      </c>
      <c r="E673" s="429">
        <v>4</v>
      </c>
      <c r="F673" s="430">
        <v>0</v>
      </c>
      <c r="G673" s="430">
        <v>0</v>
      </c>
      <c r="H673" s="430">
        <v>3.75</v>
      </c>
      <c r="I673" s="430">
        <v>3.75</v>
      </c>
      <c r="J673" s="430">
        <v>0</v>
      </c>
      <c r="K673" s="431"/>
      <c r="L673" s="428">
        <v>0</v>
      </c>
    </row>
    <row r="674" spans="1:12" hidden="1">
      <c r="A674" s="414">
        <v>41471</v>
      </c>
      <c r="B674" s="238" t="s">
        <v>1845</v>
      </c>
      <c r="C674" s="415">
        <v>35</v>
      </c>
      <c r="D674" s="414">
        <v>41506</v>
      </c>
      <c r="E674" s="418">
        <v>4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L674" s="415">
        <v>0</v>
      </c>
    </row>
    <row r="675" spans="1:12" hidden="1">
      <c r="A675" s="427">
        <v>41471</v>
      </c>
      <c r="B675" s="2014" t="s">
        <v>1846</v>
      </c>
      <c r="C675" s="428">
        <v>91</v>
      </c>
      <c r="D675" s="427">
        <v>41562</v>
      </c>
      <c r="E675" s="429">
        <v>3</v>
      </c>
      <c r="F675" s="430">
        <v>0</v>
      </c>
      <c r="G675" s="430">
        <v>0</v>
      </c>
      <c r="H675" s="430">
        <v>0</v>
      </c>
      <c r="I675" s="430">
        <v>0</v>
      </c>
      <c r="J675" s="430">
        <v>0</v>
      </c>
      <c r="K675" s="431"/>
      <c r="L675" s="428">
        <v>0</v>
      </c>
    </row>
    <row r="676" spans="1:12" hidden="1">
      <c r="A676" s="414">
        <v>41474</v>
      </c>
      <c r="B676" s="238" t="s">
        <v>1545</v>
      </c>
      <c r="C676" s="415">
        <v>364</v>
      </c>
      <c r="D676" s="414">
        <v>41838</v>
      </c>
      <c r="E676" s="418">
        <v>1</v>
      </c>
      <c r="F676" s="416">
        <v>0.6905</v>
      </c>
      <c r="G676" s="416">
        <v>0.6905</v>
      </c>
      <c r="H676" s="416">
        <v>3.7900000000000005</v>
      </c>
      <c r="I676" s="416">
        <v>3.7900000000000005</v>
      </c>
      <c r="J676" s="416">
        <v>3.7900000000000005</v>
      </c>
      <c r="L676" s="415">
        <v>2</v>
      </c>
    </row>
    <row r="677" spans="1:12" hidden="1">
      <c r="A677" s="427">
        <v>41478</v>
      </c>
      <c r="B677" s="2014" t="s">
        <v>1847</v>
      </c>
      <c r="C677" s="428">
        <v>364</v>
      </c>
      <c r="D677" s="427">
        <v>41842</v>
      </c>
      <c r="E677" s="429">
        <v>12</v>
      </c>
      <c r="F677" s="430">
        <v>0</v>
      </c>
      <c r="G677" s="430">
        <v>0</v>
      </c>
      <c r="H677" s="430">
        <v>3.25</v>
      </c>
      <c r="I677" s="430">
        <v>3.25</v>
      </c>
      <c r="J677" s="430">
        <v>0</v>
      </c>
      <c r="K677" s="431"/>
      <c r="L677" s="428">
        <v>0</v>
      </c>
    </row>
    <row r="678" spans="1:12" hidden="1">
      <c r="A678" s="414">
        <v>41478</v>
      </c>
      <c r="B678" s="238" t="s">
        <v>1843</v>
      </c>
      <c r="C678" s="415">
        <v>182</v>
      </c>
      <c r="D678" s="414">
        <v>41660</v>
      </c>
      <c r="E678" s="418">
        <v>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L678" s="415">
        <v>0</v>
      </c>
    </row>
    <row r="679" spans="1:12" hidden="1">
      <c r="A679" s="427">
        <v>41481</v>
      </c>
      <c r="B679" s="2014" t="s">
        <v>1546</v>
      </c>
      <c r="C679" s="428">
        <v>1092</v>
      </c>
      <c r="D679" s="427">
        <v>42573</v>
      </c>
      <c r="E679" s="429">
        <v>7</v>
      </c>
      <c r="F679" s="430">
        <v>4.76</v>
      </c>
      <c r="G679" s="430">
        <v>4.76</v>
      </c>
      <c r="H679" s="430">
        <v>4.25</v>
      </c>
      <c r="I679" s="430">
        <v>4.25</v>
      </c>
      <c r="J679" s="430">
        <v>4.25</v>
      </c>
      <c r="K679" s="431"/>
      <c r="L679" s="428">
        <v>2</v>
      </c>
    </row>
    <row r="680" spans="1:12" hidden="1">
      <c r="A680" s="414">
        <v>41481</v>
      </c>
      <c r="B680" s="238" t="s">
        <v>1848</v>
      </c>
      <c r="C680" s="415">
        <v>728</v>
      </c>
      <c r="D680" s="414">
        <v>42209</v>
      </c>
      <c r="E680" s="418">
        <v>3</v>
      </c>
      <c r="F680" s="416">
        <v>0</v>
      </c>
      <c r="G680" s="416">
        <v>0</v>
      </c>
      <c r="H680" s="416">
        <v>3.75</v>
      </c>
      <c r="I680" s="416">
        <v>3.75</v>
      </c>
      <c r="J680" s="416">
        <v>0</v>
      </c>
      <c r="L680" s="415">
        <v>0</v>
      </c>
    </row>
    <row r="681" spans="1:12" hidden="1">
      <c r="A681" s="427">
        <v>41502</v>
      </c>
      <c r="B681" s="2014" t="s">
        <v>1553</v>
      </c>
      <c r="C681" s="428">
        <v>1092</v>
      </c>
      <c r="D681" s="427">
        <v>42594</v>
      </c>
      <c r="E681" s="429">
        <v>3</v>
      </c>
      <c r="F681" s="430">
        <v>1.25</v>
      </c>
      <c r="G681" s="430">
        <v>1.25</v>
      </c>
      <c r="H681" s="430">
        <v>4.25</v>
      </c>
      <c r="I681" s="430">
        <v>4.25</v>
      </c>
      <c r="J681" s="430">
        <v>4.25</v>
      </c>
      <c r="K681" s="431"/>
      <c r="L681" s="428">
        <v>1</v>
      </c>
    </row>
    <row r="682" spans="1:12" hidden="1">
      <c r="A682" s="414">
        <v>41523</v>
      </c>
      <c r="B682" s="238" t="s">
        <v>1554</v>
      </c>
      <c r="C682" s="415">
        <v>35</v>
      </c>
      <c r="D682" s="414">
        <v>41558</v>
      </c>
      <c r="E682" s="418">
        <v>3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L682" s="415">
        <v>0</v>
      </c>
    </row>
    <row r="683" spans="1:12" hidden="1">
      <c r="A683" s="427">
        <v>41523</v>
      </c>
      <c r="B683" s="2014" t="s">
        <v>1555</v>
      </c>
      <c r="C683" s="428">
        <v>91</v>
      </c>
      <c r="D683" s="427">
        <v>41614</v>
      </c>
      <c r="E683" s="429">
        <v>4</v>
      </c>
      <c r="F683" s="430">
        <v>0</v>
      </c>
      <c r="G683" s="430">
        <v>0</v>
      </c>
      <c r="H683" s="430">
        <v>0</v>
      </c>
      <c r="I683" s="430">
        <v>0</v>
      </c>
      <c r="J683" s="430">
        <v>0</v>
      </c>
      <c r="K683" s="431"/>
      <c r="L683" s="428">
        <v>0</v>
      </c>
    </row>
    <row r="684" spans="1:12" hidden="1">
      <c r="A684" s="414">
        <v>41523</v>
      </c>
      <c r="B684" s="238" t="s">
        <v>1556</v>
      </c>
      <c r="C684" s="415">
        <v>364</v>
      </c>
      <c r="D684" s="414">
        <v>41887</v>
      </c>
      <c r="E684" s="418">
        <v>1</v>
      </c>
      <c r="F684" s="416">
        <v>0</v>
      </c>
      <c r="G684" s="416">
        <v>0</v>
      </c>
      <c r="H684" s="416">
        <v>0</v>
      </c>
      <c r="I684" s="416">
        <v>0</v>
      </c>
      <c r="J684" s="416">
        <v>0</v>
      </c>
      <c r="L684" s="415">
        <v>0</v>
      </c>
    </row>
    <row r="685" spans="1:12" hidden="1">
      <c r="A685" s="427">
        <v>41526</v>
      </c>
      <c r="B685" s="2014" t="s">
        <v>1557</v>
      </c>
      <c r="C685" s="428">
        <v>364</v>
      </c>
      <c r="D685" s="427">
        <v>41890</v>
      </c>
      <c r="E685" s="429">
        <v>10</v>
      </c>
      <c r="F685" s="430">
        <v>0</v>
      </c>
      <c r="G685" s="430">
        <v>0</v>
      </c>
      <c r="H685" s="430">
        <v>3.25</v>
      </c>
      <c r="I685" s="430">
        <v>3.25</v>
      </c>
      <c r="J685" s="430">
        <v>3.25</v>
      </c>
      <c r="K685" s="431"/>
      <c r="L685" s="428">
        <v>0</v>
      </c>
    </row>
    <row r="686" spans="1:12" hidden="1">
      <c r="A686" s="414">
        <v>41526</v>
      </c>
      <c r="B686" s="238" t="s">
        <v>1558</v>
      </c>
      <c r="C686" s="415">
        <v>182</v>
      </c>
      <c r="D686" s="414">
        <v>41708</v>
      </c>
      <c r="E686" s="418">
        <v>3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L686" s="415">
        <v>0</v>
      </c>
    </row>
    <row r="687" spans="1:12" hidden="1">
      <c r="A687" s="427">
        <v>41530</v>
      </c>
      <c r="B687" s="2014" t="s">
        <v>1559</v>
      </c>
      <c r="C687" s="428">
        <v>1092</v>
      </c>
      <c r="D687" s="427">
        <v>42622</v>
      </c>
      <c r="E687" s="429">
        <v>8</v>
      </c>
      <c r="F687" s="430">
        <v>0</v>
      </c>
      <c r="G687" s="430">
        <v>0</v>
      </c>
      <c r="H687" s="430">
        <v>4.25</v>
      </c>
      <c r="I687" s="430">
        <v>4.25</v>
      </c>
      <c r="J687" s="430">
        <v>4.25</v>
      </c>
      <c r="K687" s="431"/>
      <c r="L687" s="428">
        <v>0</v>
      </c>
    </row>
    <row r="688" spans="1:12" hidden="1">
      <c r="A688" s="427">
        <v>41530</v>
      </c>
      <c r="B688" s="2014" t="s">
        <v>1560</v>
      </c>
      <c r="C688" s="428">
        <v>728</v>
      </c>
      <c r="D688" s="427">
        <v>42258</v>
      </c>
      <c r="E688" s="429">
        <v>4</v>
      </c>
      <c r="F688" s="430">
        <v>0</v>
      </c>
      <c r="G688" s="430">
        <v>0</v>
      </c>
      <c r="H688" s="430">
        <v>3.75</v>
      </c>
      <c r="I688" s="430">
        <v>3.75</v>
      </c>
      <c r="J688" s="430">
        <v>3.75</v>
      </c>
      <c r="K688" s="431"/>
      <c r="L688" s="428">
        <v>0</v>
      </c>
    </row>
    <row r="689" spans="1:12" hidden="1">
      <c r="A689" s="427">
        <v>41534</v>
      </c>
      <c r="B689" s="2014" t="s">
        <v>1561</v>
      </c>
      <c r="C689" s="428">
        <v>35</v>
      </c>
      <c r="D689" s="427">
        <v>41569</v>
      </c>
      <c r="E689" s="429">
        <v>4</v>
      </c>
      <c r="F689" s="430">
        <v>0</v>
      </c>
      <c r="G689" s="430">
        <v>0</v>
      </c>
      <c r="H689" s="430">
        <v>0</v>
      </c>
      <c r="I689" s="430">
        <v>0</v>
      </c>
      <c r="J689" s="430">
        <v>0</v>
      </c>
      <c r="K689" s="431"/>
      <c r="L689" s="428">
        <v>0</v>
      </c>
    </row>
    <row r="690" spans="1:12" hidden="1">
      <c r="A690" s="414">
        <v>41534</v>
      </c>
      <c r="B690" s="238" t="s">
        <v>1562</v>
      </c>
      <c r="C690" s="415">
        <v>91</v>
      </c>
      <c r="D690" s="414">
        <v>41625</v>
      </c>
      <c r="E690" s="418">
        <v>3</v>
      </c>
      <c r="F690" s="416">
        <v>1.0046999999999999</v>
      </c>
      <c r="G690" s="416">
        <v>1.0046999999999999</v>
      </c>
      <c r="H690" s="416">
        <v>1.8900000000000001</v>
      </c>
      <c r="I690" s="416">
        <v>1.8900000000000001</v>
      </c>
      <c r="J690" s="416">
        <v>1.8900000000000001</v>
      </c>
      <c r="L690" s="415">
        <v>1</v>
      </c>
    </row>
    <row r="691" spans="1:12" hidden="1">
      <c r="A691" s="427">
        <v>41537</v>
      </c>
      <c r="B691" s="2014" t="s">
        <v>1563</v>
      </c>
      <c r="C691" s="428">
        <v>364</v>
      </c>
      <c r="D691" s="427">
        <v>41901</v>
      </c>
      <c r="E691" s="429">
        <v>1</v>
      </c>
      <c r="F691" s="430">
        <v>0</v>
      </c>
      <c r="G691" s="430">
        <v>0</v>
      </c>
      <c r="H691" s="430">
        <v>0</v>
      </c>
      <c r="I691" s="430">
        <v>0</v>
      </c>
      <c r="J691" s="430">
        <v>0</v>
      </c>
      <c r="K691" s="431"/>
      <c r="L691" s="428">
        <v>0</v>
      </c>
    </row>
    <row r="692" spans="1:12" hidden="1">
      <c r="A692" s="414">
        <v>41541</v>
      </c>
      <c r="B692" s="238" t="s">
        <v>1564</v>
      </c>
      <c r="C692" s="415">
        <v>364</v>
      </c>
      <c r="D692" s="414">
        <v>41905</v>
      </c>
      <c r="E692" s="418">
        <v>12</v>
      </c>
      <c r="F692" s="416">
        <v>0</v>
      </c>
      <c r="G692" s="416">
        <v>0</v>
      </c>
      <c r="H692" s="416">
        <v>3.25</v>
      </c>
      <c r="I692" s="416">
        <v>3.25</v>
      </c>
      <c r="J692" s="416">
        <v>3.25</v>
      </c>
      <c r="L692" s="415">
        <v>0</v>
      </c>
    </row>
    <row r="693" spans="1:12" hidden="1">
      <c r="A693" s="427">
        <v>41541</v>
      </c>
      <c r="B693" s="2014" t="s">
        <v>1565</v>
      </c>
      <c r="C693" s="428">
        <v>182</v>
      </c>
      <c r="D693" s="427">
        <v>41723</v>
      </c>
      <c r="E693" s="429">
        <v>4</v>
      </c>
      <c r="F693" s="430">
        <v>0</v>
      </c>
      <c r="G693" s="430">
        <v>0</v>
      </c>
      <c r="H693" s="430">
        <v>0</v>
      </c>
      <c r="I693" s="430">
        <v>0</v>
      </c>
      <c r="J693" s="430">
        <v>0</v>
      </c>
      <c r="K693" s="431"/>
      <c r="L693" s="428">
        <v>0</v>
      </c>
    </row>
    <row r="694" spans="1:12" hidden="1">
      <c r="A694" s="414">
        <v>41544</v>
      </c>
      <c r="B694" s="238" t="s">
        <v>1849</v>
      </c>
      <c r="C694" s="415">
        <v>728</v>
      </c>
      <c r="D694" s="414">
        <v>42272</v>
      </c>
      <c r="E694" s="418">
        <v>3</v>
      </c>
      <c r="F694" s="416">
        <v>0</v>
      </c>
      <c r="G694" s="416">
        <v>0</v>
      </c>
      <c r="H694" s="416">
        <v>3.75</v>
      </c>
      <c r="I694" s="416">
        <v>3.75</v>
      </c>
      <c r="J694" s="416">
        <v>3.75</v>
      </c>
      <c r="L694" s="415">
        <v>0</v>
      </c>
    </row>
    <row r="695" spans="1:12" hidden="1">
      <c r="A695" s="427">
        <v>41544</v>
      </c>
      <c r="B695" s="2014" t="s">
        <v>1850</v>
      </c>
      <c r="C695" s="428">
        <v>1092</v>
      </c>
      <c r="D695" s="427">
        <v>42636</v>
      </c>
      <c r="E695" s="429">
        <v>8</v>
      </c>
      <c r="F695" s="430">
        <v>5</v>
      </c>
      <c r="G695" s="430">
        <v>5</v>
      </c>
      <c r="H695" s="430">
        <v>4.25</v>
      </c>
      <c r="I695" s="430">
        <v>4.25</v>
      </c>
      <c r="J695" s="430">
        <v>4.25</v>
      </c>
      <c r="K695" s="431"/>
      <c r="L695" s="428">
        <v>1</v>
      </c>
    </row>
    <row r="696" spans="1:12" hidden="1">
      <c r="A696" s="414">
        <v>41555</v>
      </c>
      <c r="B696" s="238" t="s">
        <v>1571</v>
      </c>
      <c r="C696" s="415">
        <v>182</v>
      </c>
      <c r="D696" s="414">
        <v>41737</v>
      </c>
      <c r="E696" s="418">
        <v>3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L696" s="415">
        <v>0</v>
      </c>
    </row>
    <row r="697" spans="1:12" hidden="1">
      <c r="A697" s="427">
        <v>41555</v>
      </c>
      <c r="B697" s="2014" t="s">
        <v>1572</v>
      </c>
      <c r="C697" s="428">
        <v>364</v>
      </c>
      <c r="D697" s="427">
        <v>41919</v>
      </c>
      <c r="E697" s="429">
        <v>10</v>
      </c>
      <c r="F697" s="430">
        <v>0</v>
      </c>
      <c r="G697" s="430">
        <v>0</v>
      </c>
      <c r="H697" s="430">
        <v>3.25</v>
      </c>
      <c r="I697" s="430">
        <v>3.25</v>
      </c>
      <c r="J697" s="430">
        <v>3.25</v>
      </c>
      <c r="K697" s="431"/>
      <c r="L697" s="428">
        <v>0</v>
      </c>
    </row>
    <row r="698" spans="1:12" hidden="1">
      <c r="A698" s="414">
        <v>41558</v>
      </c>
      <c r="B698" s="238" t="s">
        <v>1573</v>
      </c>
      <c r="C698" s="415">
        <v>728</v>
      </c>
      <c r="D698" s="414">
        <v>42286</v>
      </c>
      <c r="E698" s="418">
        <v>4</v>
      </c>
      <c r="F698" s="416">
        <v>0</v>
      </c>
      <c r="G698" s="416">
        <v>0</v>
      </c>
      <c r="H698" s="416">
        <v>3.75</v>
      </c>
      <c r="I698" s="416">
        <v>3.75</v>
      </c>
      <c r="J698" s="416">
        <v>3.75</v>
      </c>
      <c r="L698" s="415">
        <v>0</v>
      </c>
    </row>
    <row r="699" spans="1:12" hidden="1">
      <c r="A699" s="427">
        <v>41558</v>
      </c>
      <c r="B699" s="2014" t="s">
        <v>1574</v>
      </c>
      <c r="C699" s="428">
        <v>1092</v>
      </c>
      <c r="D699" s="427">
        <v>42650</v>
      </c>
      <c r="E699" s="429">
        <v>8</v>
      </c>
      <c r="F699" s="430">
        <v>11</v>
      </c>
      <c r="G699" s="430">
        <v>8</v>
      </c>
      <c r="H699" s="430">
        <v>4.25</v>
      </c>
      <c r="I699" s="430">
        <v>4.25</v>
      </c>
      <c r="J699" s="430">
        <v>4.25</v>
      </c>
      <c r="K699" s="431"/>
      <c r="L699" s="428">
        <v>2</v>
      </c>
    </row>
    <row r="700" spans="1:12" hidden="1">
      <c r="A700" s="414">
        <v>41565</v>
      </c>
      <c r="B700" s="238" t="s">
        <v>1575</v>
      </c>
      <c r="C700" s="415">
        <v>364</v>
      </c>
      <c r="D700" s="414">
        <v>41929</v>
      </c>
      <c r="E700" s="418">
        <v>1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L700" s="415">
        <v>0</v>
      </c>
    </row>
    <row r="701" spans="1:12" hidden="1">
      <c r="A701" s="427">
        <v>41565</v>
      </c>
      <c r="B701" s="2014" t="s">
        <v>1576</v>
      </c>
      <c r="C701" s="428">
        <v>35</v>
      </c>
      <c r="D701" s="427">
        <v>41600</v>
      </c>
      <c r="E701" s="429">
        <v>4</v>
      </c>
      <c r="F701" s="430">
        <v>0</v>
      </c>
      <c r="G701" s="430">
        <v>0</v>
      </c>
      <c r="H701" s="430">
        <v>0</v>
      </c>
      <c r="I701" s="430">
        <v>0</v>
      </c>
      <c r="J701" s="430">
        <v>0</v>
      </c>
      <c r="K701" s="431"/>
      <c r="L701" s="428">
        <v>0</v>
      </c>
    </row>
    <row r="702" spans="1:12" hidden="1">
      <c r="A702" s="414">
        <v>41565</v>
      </c>
      <c r="B702" s="238" t="s">
        <v>1577</v>
      </c>
      <c r="C702" s="415">
        <v>91</v>
      </c>
      <c r="D702" s="414">
        <v>41656</v>
      </c>
      <c r="E702" s="418">
        <v>3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L702" s="415">
        <v>0</v>
      </c>
    </row>
    <row r="703" spans="1:12" hidden="1">
      <c r="A703" s="427">
        <v>41569</v>
      </c>
      <c r="B703" s="2014" t="s">
        <v>1578</v>
      </c>
      <c r="C703" s="428">
        <v>182</v>
      </c>
      <c r="D703" s="427">
        <v>41751</v>
      </c>
      <c r="E703" s="429">
        <v>4</v>
      </c>
      <c r="F703" s="430">
        <v>0</v>
      </c>
      <c r="G703" s="430">
        <v>0</v>
      </c>
      <c r="H703" s="430">
        <v>0</v>
      </c>
      <c r="I703" s="430">
        <v>0</v>
      </c>
      <c r="J703" s="430">
        <v>0</v>
      </c>
      <c r="K703" s="431"/>
      <c r="L703" s="428">
        <v>0</v>
      </c>
    </row>
    <row r="704" spans="1:12" hidden="1">
      <c r="A704" s="414">
        <v>41569</v>
      </c>
      <c r="B704" s="238" t="s">
        <v>1579</v>
      </c>
      <c r="C704" s="415">
        <v>364</v>
      </c>
      <c r="D704" s="414">
        <v>41933</v>
      </c>
      <c r="E704" s="418">
        <v>12</v>
      </c>
      <c r="F704" s="416">
        <v>0</v>
      </c>
      <c r="G704" s="416">
        <v>0</v>
      </c>
      <c r="H704" s="416">
        <v>3.25</v>
      </c>
      <c r="I704" s="416">
        <v>3.25</v>
      </c>
      <c r="J704" s="416">
        <v>3.25</v>
      </c>
      <c r="L704" s="415">
        <v>0</v>
      </c>
    </row>
    <row r="705" spans="1:12" hidden="1">
      <c r="A705" s="427">
        <v>41572</v>
      </c>
      <c r="B705" s="2014" t="s">
        <v>1580</v>
      </c>
      <c r="C705" s="428">
        <v>728</v>
      </c>
      <c r="D705" s="427">
        <v>42300</v>
      </c>
      <c r="E705" s="429">
        <v>3</v>
      </c>
      <c r="F705" s="430">
        <v>0</v>
      </c>
      <c r="G705" s="430">
        <v>0</v>
      </c>
      <c r="H705" s="430">
        <v>3.75</v>
      </c>
      <c r="I705" s="430">
        <v>3.75</v>
      </c>
      <c r="J705" s="430">
        <v>3.75</v>
      </c>
      <c r="K705" s="431"/>
      <c r="L705" s="428">
        <v>0</v>
      </c>
    </row>
    <row r="706" spans="1:12" hidden="1">
      <c r="A706" s="414">
        <v>41572</v>
      </c>
      <c r="B706" s="238" t="s">
        <v>1581</v>
      </c>
      <c r="C706" s="415">
        <v>1092</v>
      </c>
      <c r="D706" s="414">
        <v>42664</v>
      </c>
      <c r="E706" s="418">
        <v>8</v>
      </c>
      <c r="F706" s="416">
        <v>5.55</v>
      </c>
      <c r="G706" s="416">
        <v>5.55</v>
      </c>
      <c r="H706" s="416">
        <v>4.2799999999999994</v>
      </c>
      <c r="I706" s="416">
        <v>4.2799999999999994</v>
      </c>
      <c r="J706" s="416">
        <v>4.25</v>
      </c>
      <c r="L706" s="415">
        <v>2</v>
      </c>
    </row>
    <row r="707" spans="1:12" hidden="1">
      <c r="A707" s="427">
        <v>41583</v>
      </c>
      <c r="B707" s="2014" t="s">
        <v>1627</v>
      </c>
      <c r="C707" s="428">
        <v>91</v>
      </c>
      <c r="D707" s="427">
        <v>41674</v>
      </c>
      <c r="E707" s="429">
        <v>4</v>
      </c>
      <c r="F707" s="430">
        <v>0</v>
      </c>
      <c r="G707" s="430">
        <v>0</v>
      </c>
      <c r="H707" s="430">
        <v>0</v>
      </c>
      <c r="I707" s="430">
        <v>0</v>
      </c>
      <c r="J707" s="430">
        <v>0</v>
      </c>
      <c r="K707" s="431"/>
      <c r="L707" s="428">
        <v>0</v>
      </c>
    </row>
    <row r="708" spans="1:12" hidden="1">
      <c r="A708" s="414">
        <v>41583</v>
      </c>
      <c r="B708" s="238" t="s">
        <v>1628</v>
      </c>
      <c r="C708" s="415">
        <v>35</v>
      </c>
      <c r="D708" s="414">
        <v>41618</v>
      </c>
      <c r="E708" s="418">
        <v>3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L708" s="415">
        <v>0</v>
      </c>
    </row>
    <row r="709" spans="1:12" hidden="1">
      <c r="A709" s="427">
        <v>41586</v>
      </c>
      <c r="B709" s="2014" t="s">
        <v>1629</v>
      </c>
      <c r="C709" s="428">
        <v>364</v>
      </c>
      <c r="D709" s="427">
        <v>41950</v>
      </c>
      <c r="E709" s="429">
        <v>1</v>
      </c>
      <c r="F709" s="430">
        <v>0.30890000000000001</v>
      </c>
      <c r="G709" s="430">
        <v>0.30890000000000001</v>
      </c>
      <c r="H709" s="430">
        <v>3.25</v>
      </c>
      <c r="I709" s="430">
        <v>3.25</v>
      </c>
      <c r="J709" s="430">
        <v>2.9899999999999998</v>
      </c>
      <c r="K709" s="431"/>
      <c r="L709" s="428">
        <v>2</v>
      </c>
    </row>
    <row r="710" spans="1:12" hidden="1">
      <c r="A710" s="414">
        <v>41590</v>
      </c>
      <c r="B710" s="238" t="s">
        <v>1630</v>
      </c>
      <c r="C710" s="415">
        <v>364</v>
      </c>
      <c r="D710" s="414">
        <v>41954</v>
      </c>
      <c r="E710" s="418">
        <v>10</v>
      </c>
      <c r="F710" s="416">
        <v>0</v>
      </c>
      <c r="G710" s="416">
        <v>0</v>
      </c>
      <c r="H710" s="416">
        <v>3.25</v>
      </c>
      <c r="I710" s="416">
        <v>3.25</v>
      </c>
      <c r="J710" s="416">
        <v>3.25</v>
      </c>
      <c r="L710" s="415">
        <v>0</v>
      </c>
    </row>
    <row r="711" spans="1:12" hidden="1">
      <c r="A711" s="427">
        <v>41590</v>
      </c>
      <c r="B711" s="2014" t="s">
        <v>1631</v>
      </c>
      <c r="C711" s="428">
        <v>182</v>
      </c>
      <c r="D711" s="427">
        <v>41772</v>
      </c>
      <c r="E711" s="429">
        <v>3</v>
      </c>
      <c r="F711" s="430">
        <v>0</v>
      </c>
      <c r="G711" s="430">
        <v>0</v>
      </c>
      <c r="H711" s="430">
        <v>0</v>
      </c>
      <c r="I711" s="430">
        <v>0</v>
      </c>
      <c r="J711" s="430">
        <v>0</v>
      </c>
      <c r="K711" s="431"/>
      <c r="L711" s="428">
        <v>0</v>
      </c>
    </row>
    <row r="712" spans="1:12" hidden="1">
      <c r="A712" s="427">
        <v>41593</v>
      </c>
      <c r="B712" s="2014" t="s">
        <v>1632</v>
      </c>
      <c r="C712" s="428">
        <v>728</v>
      </c>
      <c r="D712" s="427">
        <v>42321</v>
      </c>
      <c r="E712" s="429">
        <v>4</v>
      </c>
      <c r="F712" s="430">
        <v>0</v>
      </c>
      <c r="G712" s="430">
        <v>0</v>
      </c>
      <c r="H712" s="430">
        <v>3.75</v>
      </c>
      <c r="I712" s="430">
        <v>3.75</v>
      </c>
      <c r="J712" s="430">
        <v>3.75</v>
      </c>
      <c r="K712" s="431"/>
      <c r="L712" s="428">
        <v>0</v>
      </c>
    </row>
    <row r="713" spans="1:12" hidden="1">
      <c r="A713" s="427">
        <v>41593</v>
      </c>
      <c r="B713" s="2014" t="s">
        <v>1633</v>
      </c>
      <c r="C713" s="428">
        <v>1092</v>
      </c>
      <c r="D713" s="427">
        <v>42685</v>
      </c>
      <c r="E713" s="429">
        <v>8</v>
      </c>
      <c r="F713" s="430">
        <v>0</v>
      </c>
      <c r="G713" s="430">
        <v>0</v>
      </c>
      <c r="H713" s="430">
        <v>4.25</v>
      </c>
      <c r="I713" s="430">
        <v>4.25</v>
      </c>
      <c r="J713" s="430">
        <v>4.25</v>
      </c>
      <c r="K713" s="431"/>
      <c r="L713" s="428">
        <v>0</v>
      </c>
    </row>
    <row r="714" spans="1:12" hidden="1">
      <c r="A714" s="414">
        <v>41597</v>
      </c>
      <c r="B714" s="238" t="s">
        <v>1634</v>
      </c>
      <c r="C714" s="415">
        <v>91</v>
      </c>
      <c r="D714" s="414">
        <v>41688</v>
      </c>
      <c r="E714" s="418">
        <v>3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L714" s="415">
        <v>0</v>
      </c>
    </row>
    <row r="715" spans="1:12" hidden="1">
      <c r="A715" s="427">
        <v>41597</v>
      </c>
      <c r="B715" s="2014" t="s">
        <v>1635</v>
      </c>
      <c r="C715" s="428">
        <v>35</v>
      </c>
      <c r="D715" s="427">
        <v>41632</v>
      </c>
      <c r="E715" s="429">
        <v>4</v>
      </c>
      <c r="F715" s="430">
        <v>4.0056000000000003</v>
      </c>
      <c r="G715" s="430">
        <v>4</v>
      </c>
      <c r="H715" s="430">
        <v>1.46</v>
      </c>
      <c r="I715" s="430">
        <v>1.46</v>
      </c>
      <c r="J715" s="430">
        <v>1.46</v>
      </c>
      <c r="K715" s="431"/>
      <c r="L715" s="428">
        <v>1</v>
      </c>
    </row>
    <row r="716" spans="1:12" hidden="1">
      <c r="A716" s="414">
        <v>41600</v>
      </c>
      <c r="B716" s="238" t="s">
        <v>1636</v>
      </c>
      <c r="C716" s="415">
        <v>364</v>
      </c>
      <c r="D716" s="414">
        <v>41964</v>
      </c>
      <c r="E716" s="418">
        <v>1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L716" s="415">
        <v>0</v>
      </c>
    </row>
    <row r="717" spans="1:12" hidden="1">
      <c r="A717" s="427">
        <v>41604</v>
      </c>
      <c r="B717" s="2014" t="s">
        <v>1637</v>
      </c>
      <c r="C717" s="428">
        <v>182</v>
      </c>
      <c r="D717" s="427">
        <v>41786</v>
      </c>
      <c r="E717" s="429">
        <v>4</v>
      </c>
      <c r="F717" s="430">
        <v>0</v>
      </c>
      <c r="G717" s="430">
        <v>0</v>
      </c>
      <c r="H717" s="430">
        <v>0</v>
      </c>
      <c r="I717" s="430">
        <v>0</v>
      </c>
      <c r="J717" s="430">
        <v>0</v>
      </c>
      <c r="K717" s="431"/>
      <c r="L717" s="428">
        <v>0</v>
      </c>
    </row>
    <row r="718" spans="1:12" hidden="1">
      <c r="A718" s="414">
        <v>41604</v>
      </c>
      <c r="B718" s="238" t="s">
        <v>1638</v>
      </c>
      <c r="C718" s="415">
        <v>364</v>
      </c>
      <c r="D718" s="414">
        <v>41968</v>
      </c>
      <c r="E718" s="418">
        <v>12</v>
      </c>
      <c r="F718" s="416">
        <v>0</v>
      </c>
      <c r="G718" s="416">
        <v>0</v>
      </c>
      <c r="H718" s="416">
        <v>3.25</v>
      </c>
      <c r="I718" s="416">
        <v>3.25</v>
      </c>
      <c r="J718" s="416">
        <v>3.25</v>
      </c>
      <c r="L718" s="415">
        <v>0</v>
      </c>
    </row>
    <row r="719" spans="1:12" hidden="1">
      <c r="A719" s="427">
        <v>41607</v>
      </c>
      <c r="B719" s="2014" t="s">
        <v>1639</v>
      </c>
      <c r="C719" s="428">
        <v>1092</v>
      </c>
      <c r="D719" s="427">
        <v>42699</v>
      </c>
      <c r="E719" s="429">
        <v>8</v>
      </c>
      <c r="F719" s="430">
        <v>0</v>
      </c>
      <c r="G719" s="430">
        <v>0</v>
      </c>
      <c r="H719" s="430">
        <v>4.25</v>
      </c>
      <c r="I719" s="430">
        <v>4.25</v>
      </c>
      <c r="J719" s="430">
        <v>4.25</v>
      </c>
      <c r="K719" s="431"/>
      <c r="L719" s="428">
        <v>0</v>
      </c>
    </row>
    <row r="720" spans="1:12" hidden="1">
      <c r="A720" s="414">
        <v>41607</v>
      </c>
      <c r="B720" s="238" t="s">
        <v>1640</v>
      </c>
      <c r="C720" s="415">
        <v>728</v>
      </c>
      <c r="D720" s="414">
        <v>42335</v>
      </c>
      <c r="E720" s="418">
        <v>3</v>
      </c>
      <c r="F720" s="416">
        <v>3</v>
      </c>
      <c r="G720" s="416">
        <v>3</v>
      </c>
      <c r="H720" s="416">
        <v>3.75</v>
      </c>
      <c r="I720" s="416">
        <v>3.75</v>
      </c>
      <c r="J720" s="416">
        <v>3.75</v>
      </c>
      <c r="L720" s="415">
        <v>1</v>
      </c>
    </row>
    <row r="721" spans="1:12" hidden="1">
      <c r="A721" s="427">
        <v>41614</v>
      </c>
      <c r="B721" s="2014" t="s">
        <v>1645</v>
      </c>
      <c r="C721" s="428">
        <v>364</v>
      </c>
      <c r="D721" s="427">
        <v>41978</v>
      </c>
      <c r="E721" s="429">
        <v>1</v>
      </c>
      <c r="F721" s="430">
        <v>0</v>
      </c>
      <c r="G721" s="430">
        <v>0</v>
      </c>
      <c r="H721" s="430">
        <v>0</v>
      </c>
      <c r="I721" s="430">
        <v>0</v>
      </c>
      <c r="J721" s="430">
        <v>0</v>
      </c>
      <c r="K721" s="431"/>
      <c r="L721" s="428">
        <v>0</v>
      </c>
    </row>
    <row r="722" spans="1:12" hidden="1">
      <c r="A722" s="414">
        <v>41618</v>
      </c>
      <c r="B722" s="238" t="s">
        <v>1646</v>
      </c>
      <c r="C722" s="415">
        <v>364</v>
      </c>
      <c r="D722" s="414">
        <v>41982</v>
      </c>
      <c r="E722" s="418">
        <v>12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L722" s="415">
        <v>0</v>
      </c>
    </row>
    <row r="723" spans="1:12" hidden="1">
      <c r="A723" s="427">
        <v>41618</v>
      </c>
      <c r="B723" s="2014" t="s">
        <v>1647</v>
      </c>
      <c r="C723" s="428">
        <v>182</v>
      </c>
      <c r="D723" s="427">
        <v>41800</v>
      </c>
      <c r="E723" s="429">
        <v>3</v>
      </c>
      <c r="F723" s="430">
        <v>0</v>
      </c>
      <c r="G723" s="430">
        <v>0</v>
      </c>
      <c r="H723" s="430">
        <v>3.25</v>
      </c>
      <c r="I723" s="430">
        <v>3.25</v>
      </c>
      <c r="J723" s="430">
        <v>3.25</v>
      </c>
      <c r="K723" s="431"/>
      <c r="L723" s="428">
        <v>0</v>
      </c>
    </row>
    <row r="724" spans="1:12" hidden="1">
      <c r="A724" s="414">
        <v>41621</v>
      </c>
      <c r="B724" s="238" t="s">
        <v>1648</v>
      </c>
      <c r="C724" s="415">
        <v>728</v>
      </c>
      <c r="D724" s="414">
        <v>42349</v>
      </c>
      <c r="E724" s="418">
        <v>4</v>
      </c>
      <c r="F724" s="416">
        <v>0</v>
      </c>
      <c r="G724" s="416">
        <v>0</v>
      </c>
      <c r="H724" s="416">
        <v>3.75</v>
      </c>
      <c r="I724" s="416">
        <v>3.75</v>
      </c>
      <c r="J724" s="416">
        <v>3.75</v>
      </c>
      <c r="L724" s="415">
        <v>0</v>
      </c>
    </row>
    <row r="725" spans="1:12" hidden="1">
      <c r="A725" s="427">
        <v>41621</v>
      </c>
      <c r="B725" s="2014" t="s">
        <v>1649</v>
      </c>
      <c r="C725" s="428">
        <v>1092</v>
      </c>
      <c r="D725" s="427">
        <v>42713</v>
      </c>
      <c r="E725" s="429">
        <v>8</v>
      </c>
      <c r="F725" s="430">
        <v>1.6001000000000001</v>
      </c>
      <c r="G725" s="430">
        <v>1.6001000000000001</v>
      </c>
      <c r="H725" s="430">
        <v>4.25</v>
      </c>
      <c r="I725" s="430">
        <v>4.25</v>
      </c>
      <c r="J725" s="430">
        <v>4.25</v>
      </c>
      <c r="K725" s="431"/>
      <c r="L725" s="428">
        <v>2</v>
      </c>
    </row>
    <row r="726" spans="1:12" hidden="1">
      <c r="A726" s="414">
        <v>41625</v>
      </c>
      <c r="B726" s="238" t="s">
        <v>1650</v>
      </c>
      <c r="C726" s="415">
        <v>35</v>
      </c>
      <c r="D726" s="414">
        <v>41660</v>
      </c>
      <c r="E726" s="418">
        <v>4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L726" s="415">
        <v>0</v>
      </c>
    </row>
    <row r="727" spans="1:12" hidden="1">
      <c r="A727" s="427">
        <v>41625</v>
      </c>
      <c r="B727" s="2014" t="s">
        <v>1651</v>
      </c>
      <c r="C727" s="428">
        <v>91</v>
      </c>
      <c r="D727" s="427">
        <v>41716</v>
      </c>
      <c r="E727" s="429">
        <v>3</v>
      </c>
      <c r="F727" s="430">
        <v>0</v>
      </c>
      <c r="G727" s="430">
        <v>0</v>
      </c>
      <c r="H727" s="430">
        <v>0</v>
      </c>
      <c r="I727" s="430">
        <v>0</v>
      </c>
      <c r="J727" s="430">
        <v>0</v>
      </c>
      <c r="K727" s="431"/>
      <c r="L727" s="428">
        <v>0</v>
      </c>
    </row>
    <row r="728" spans="1:12" hidden="1">
      <c r="A728" s="414">
        <v>41628</v>
      </c>
      <c r="B728" s="238" t="s">
        <v>1652</v>
      </c>
      <c r="C728" s="415">
        <v>364</v>
      </c>
      <c r="D728" s="414">
        <v>41992</v>
      </c>
      <c r="E728" s="418">
        <v>1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L728" s="415">
        <v>0</v>
      </c>
    </row>
    <row r="729" spans="1:12" hidden="1">
      <c r="A729" s="427">
        <v>41632</v>
      </c>
      <c r="B729" s="2014" t="s">
        <v>1653</v>
      </c>
      <c r="C729" s="428">
        <v>364</v>
      </c>
      <c r="D729" s="427">
        <v>41996</v>
      </c>
      <c r="E729" s="429">
        <v>12</v>
      </c>
      <c r="F729" s="430">
        <v>0</v>
      </c>
      <c r="G729" s="430">
        <v>0</v>
      </c>
      <c r="H729" s="430">
        <v>3.25</v>
      </c>
      <c r="I729" s="430">
        <v>3.25</v>
      </c>
      <c r="J729" s="430">
        <v>3.25</v>
      </c>
      <c r="K729" s="431"/>
      <c r="L729" s="428">
        <v>0</v>
      </c>
    </row>
    <row r="730" spans="1:12" hidden="1">
      <c r="A730" s="414">
        <v>41635</v>
      </c>
      <c r="B730" s="238" t="s">
        <v>1654</v>
      </c>
      <c r="C730" s="415">
        <v>1092</v>
      </c>
      <c r="D730" s="414">
        <v>42727</v>
      </c>
      <c r="E730" s="418">
        <v>8</v>
      </c>
      <c r="F730" s="416">
        <v>2</v>
      </c>
      <c r="G730" s="416">
        <v>7.8014000000000001</v>
      </c>
      <c r="H730" s="416">
        <v>4.25</v>
      </c>
      <c r="I730" s="416">
        <v>4.25</v>
      </c>
      <c r="J730" s="416">
        <v>4.25</v>
      </c>
      <c r="L730" s="415">
        <v>2</v>
      </c>
    </row>
    <row r="731" spans="1:12" hidden="1">
      <c r="A731" s="427">
        <v>41635</v>
      </c>
      <c r="B731" s="2014" t="s">
        <v>1655</v>
      </c>
      <c r="C731" s="428">
        <v>728</v>
      </c>
      <c r="D731" s="427">
        <v>42363</v>
      </c>
      <c r="E731" s="429">
        <v>3</v>
      </c>
      <c r="F731" s="430">
        <v>0</v>
      </c>
      <c r="G731" s="430">
        <v>0</v>
      </c>
      <c r="H731" s="430">
        <v>3.75</v>
      </c>
      <c r="I731" s="430">
        <v>3.75</v>
      </c>
      <c r="J731" s="430">
        <v>0</v>
      </c>
      <c r="K731" s="431"/>
      <c r="L731" s="428">
        <v>0</v>
      </c>
    </row>
    <row r="732" spans="1:12" hidden="1">
      <c r="A732" s="414">
        <v>41765</v>
      </c>
      <c r="B732" s="238" t="s">
        <v>1678</v>
      </c>
      <c r="C732" s="415">
        <v>35</v>
      </c>
      <c r="D732" s="414">
        <v>41800</v>
      </c>
      <c r="E732" s="418">
        <v>5</v>
      </c>
      <c r="F732" s="416">
        <v>10.005000000000001</v>
      </c>
      <c r="G732" s="416">
        <v>5</v>
      </c>
      <c r="H732" s="416">
        <v>1.46</v>
      </c>
      <c r="I732" s="416">
        <v>1.46</v>
      </c>
      <c r="J732" s="416">
        <v>1.46</v>
      </c>
      <c r="L732" s="415">
        <v>2</v>
      </c>
    </row>
    <row r="733" spans="1:12" hidden="1">
      <c r="A733" s="427">
        <v>41765</v>
      </c>
      <c r="B733" s="2014" t="s">
        <v>1679</v>
      </c>
      <c r="C733" s="428">
        <v>91</v>
      </c>
      <c r="D733" s="427">
        <v>41856</v>
      </c>
      <c r="E733" s="429">
        <v>5</v>
      </c>
      <c r="F733" s="430">
        <v>5.5023999999999997</v>
      </c>
      <c r="G733" s="430">
        <v>5</v>
      </c>
      <c r="H733" s="430">
        <v>1.8900000000000001</v>
      </c>
      <c r="I733" s="430">
        <v>1.8900000000000001</v>
      </c>
      <c r="J733" s="430">
        <v>1.8900000000000001</v>
      </c>
      <c r="K733" s="431"/>
      <c r="L733" s="428">
        <v>2</v>
      </c>
    </row>
    <row r="734" spans="1:12" hidden="1">
      <c r="A734" s="414">
        <v>41765</v>
      </c>
      <c r="B734" s="238" t="s">
        <v>1680</v>
      </c>
      <c r="C734" s="415">
        <v>364</v>
      </c>
      <c r="D734" s="414">
        <v>42129</v>
      </c>
      <c r="E734" s="418">
        <v>1</v>
      </c>
      <c r="F734" s="416">
        <v>2.0289999999999999</v>
      </c>
      <c r="G734" s="416">
        <v>1</v>
      </c>
      <c r="H734" s="416">
        <v>2.9000000000000004</v>
      </c>
      <c r="I734" s="416">
        <v>2.9000000000000004</v>
      </c>
      <c r="J734" s="416">
        <v>2.9000000000000004</v>
      </c>
      <c r="L734" s="415">
        <v>2</v>
      </c>
    </row>
    <row r="735" spans="1:12" hidden="1">
      <c r="A735" s="427">
        <v>41772</v>
      </c>
      <c r="B735" s="2014" t="s">
        <v>1681</v>
      </c>
      <c r="C735" s="428">
        <v>182</v>
      </c>
      <c r="D735" s="427">
        <v>41954</v>
      </c>
      <c r="E735" s="429">
        <v>3</v>
      </c>
      <c r="F735" s="430">
        <v>3</v>
      </c>
      <c r="G735" s="430">
        <v>3</v>
      </c>
      <c r="H735" s="430">
        <v>1.9800000000000002</v>
      </c>
      <c r="I735" s="430">
        <v>1.9800000000000002</v>
      </c>
      <c r="J735" s="430">
        <v>1.66</v>
      </c>
      <c r="K735" s="431"/>
      <c r="L735" s="428">
        <v>1</v>
      </c>
    </row>
    <row r="736" spans="1:12" hidden="1">
      <c r="A736" s="414">
        <v>41772</v>
      </c>
      <c r="B736" s="238" t="s">
        <v>1682</v>
      </c>
      <c r="C736" s="415">
        <v>364</v>
      </c>
      <c r="D736" s="414">
        <v>42136</v>
      </c>
      <c r="E736" s="418">
        <v>12</v>
      </c>
      <c r="F736" s="416">
        <v>12</v>
      </c>
      <c r="G736" s="416">
        <v>11</v>
      </c>
      <c r="H736" s="416">
        <v>3.25</v>
      </c>
      <c r="I736" s="416">
        <v>3.25</v>
      </c>
      <c r="J736" s="416">
        <v>3.25</v>
      </c>
      <c r="L736" s="415">
        <v>1</v>
      </c>
    </row>
    <row r="737" spans="1:12" hidden="1">
      <c r="A737" s="427">
        <v>41775</v>
      </c>
      <c r="B737" s="2014" t="s">
        <v>1683</v>
      </c>
      <c r="C737" s="428">
        <v>728</v>
      </c>
      <c r="D737" s="427">
        <v>42503</v>
      </c>
      <c r="E737" s="429">
        <v>4</v>
      </c>
      <c r="F737" s="430">
        <v>5</v>
      </c>
      <c r="G737" s="430">
        <v>4</v>
      </c>
      <c r="H737" s="430">
        <v>3.75</v>
      </c>
      <c r="I737" s="430">
        <v>3.75</v>
      </c>
      <c r="J737" s="430">
        <v>3.75</v>
      </c>
      <c r="K737" s="431"/>
      <c r="L737" s="428">
        <v>2</v>
      </c>
    </row>
    <row r="738" spans="1:12" hidden="1">
      <c r="A738" s="414">
        <v>41775</v>
      </c>
      <c r="B738" s="238" t="s">
        <v>1684</v>
      </c>
      <c r="C738" s="415">
        <v>1092</v>
      </c>
      <c r="D738" s="414">
        <v>42867</v>
      </c>
      <c r="E738" s="418">
        <v>9</v>
      </c>
      <c r="F738" s="416">
        <v>9</v>
      </c>
      <c r="G738" s="416">
        <v>9</v>
      </c>
      <c r="H738" s="416">
        <v>4.25</v>
      </c>
      <c r="I738" s="416">
        <v>4.25</v>
      </c>
      <c r="J738" s="416">
        <v>4.25</v>
      </c>
      <c r="L738" s="415">
        <v>3</v>
      </c>
    </row>
    <row r="739" spans="1:12" hidden="1">
      <c r="A739" s="427">
        <v>41779</v>
      </c>
      <c r="B739" s="2014" t="s">
        <v>1685</v>
      </c>
      <c r="C739" s="428">
        <v>35</v>
      </c>
      <c r="D739" s="427">
        <v>41814</v>
      </c>
      <c r="E739" s="429">
        <v>5</v>
      </c>
      <c r="F739" s="430">
        <v>1.502</v>
      </c>
      <c r="G739" s="430">
        <v>1.502</v>
      </c>
      <c r="H739" s="430">
        <v>1.46</v>
      </c>
      <c r="I739" s="430">
        <v>1.46</v>
      </c>
      <c r="J739" s="430">
        <v>1.46</v>
      </c>
      <c r="K739" s="431"/>
      <c r="L739" s="428">
        <v>1</v>
      </c>
    </row>
    <row r="740" spans="1:12" hidden="1">
      <c r="A740" s="414">
        <v>41779</v>
      </c>
      <c r="B740" s="238" t="s">
        <v>1851</v>
      </c>
      <c r="C740" s="415">
        <v>91</v>
      </c>
      <c r="D740" s="414">
        <v>41870</v>
      </c>
      <c r="E740" s="418">
        <v>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L740" s="415">
        <v>0</v>
      </c>
    </row>
    <row r="741" spans="1:12" hidden="1">
      <c r="A741" s="427">
        <v>41782</v>
      </c>
      <c r="B741" s="2014" t="s">
        <v>1852</v>
      </c>
      <c r="C741" s="428">
        <v>364</v>
      </c>
      <c r="D741" s="427">
        <v>42146</v>
      </c>
      <c r="E741" s="429">
        <v>1</v>
      </c>
      <c r="F741" s="430">
        <v>0</v>
      </c>
      <c r="G741" s="430">
        <v>0</v>
      </c>
      <c r="H741" s="430">
        <v>0</v>
      </c>
      <c r="I741" s="430">
        <v>0</v>
      </c>
      <c r="J741" s="430">
        <v>0</v>
      </c>
      <c r="K741" s="431"/>
      <c r="L741" s="428">
        <v>0</v>
      </c>
    </row>
    <row r="742" spans="1:12" hidden="1">
      <c r="A742" s="414">
        <v>41786</v>
      </c>
      <c r="B742" s="238" t="s">
        <v>1686</v>
      </c>
      <c r="C742" s="415">
        <v>182</v>
      </c>
      <c r="D742" s="414">
        <v>41968</v>
      </c>
      <c r="E742" s="418">
        <v>3</v>
      </c>
      <c r="F742" s="416">
        <v>2</v>
      </c>
      <c r="G742" s="416">
        <v>2</v>
      </c>
      <c r="H742" s="416">
        <v>1.9800000000000002</v>
      </c>
      <c r="I742" s="416">
        <v>1.9800000000000002</v>
      </c>
      <c r="J742" s="416">
        <v>1.9800000000000002</v>
      </c>
      <c r="L742" s="415">
        <v>1</v>
      </c>
    </row>
    <row r="743" spans="1:12" hidden="1">
      <c r="A743" s="427">
        <v>41786</v>
      </c>
      <c r="B743" s="2014" t="s">
        <v>1853</v>
      </c>
      <c r="C743" s="428">
        <v>364</v>
      </c>
      <c r="D743" s="427">
        <v>42150</v>
      </c>
      <c r="E743" s="429">
        <v>12</v>
      </c>
      <c r="F743" s="430">
        <v>0</v>
      </c>
      <c r="G743" s="430">
        <v>0</v>
      </c>
      <c r="H743" s="430">
        <v>3.25</v>
      </c>
      <c r="I743" s="430">
        <v>3.25</v>
      </c>
      <c r="J743" s="430">
        <v>0</v>
      </c>
      <c r="K743" s="431"/>
      <c r="L743" s="428">
        <v>0</v>
      </c>
    </row>
    <row r="744" spans="1:12" hidden="1">
      <c r="A744" s="414">
        <v>41789</v>
      </c>
      <c r="B744" s="238" t="s">
        <v>1854</v>
      </c>
      <c r="C744" s="415">
        <v>728</v>
      </c>
      <c r="D744" s="414">
        <v>42517</v>
      </c>
      <c r="E744" s="418">
        <v>3</v>
      </c>
      <c r="F744" s="416">
        <v>0</v>
      </c>
      <c r="G744" s="416">
        <v>0</v>
      </c>
      <c r="H744" s="416">
        <v>3.75</v>
      </c>
      <c r="I744" s="416">
        <v>3.75</v>
      </c>
      <c r="J744" s="416">
        <v>0</v>
      </c>
      <c r="L744" s="415">
        <v>0</v>
      </c>
    </row>
    <row r="745" spans="1:12" hidden="1">
      <c r="A745" s="427">
        <v>41789</v>
      </c>
      <c r="B745" s="2014" t="s">
        <v>1687</v>
      </c>
      <c r="C745" s="428">
        <v>1092</v>
      </c>
      <c r="D745" s="427">
        <v>42881</v>
      </c>
      <c r="E745" s="429">
        <v>8</v>
      </c>
      <c r="F745" s="430">
        <v>2.7</v>
      </c>
      <c r="G745" s="430">
        <v>2.7</v>
      </c>
      <c r="H745" s="430">
        <v>4.25</v>
      </c>
      <c r="I745" s="430">
        <v>4.25</v>
      </c>
      <c r="J745" s="430">
        <v>4.25</v>
      </c>
      <c r="K745" s="431"/>
      <c r="L745" s="428">
        <v>1</v>
      </c>
    </row>
    <row r="746" spans="1:12" hidden="1">
      <c r="A746" s="414">
        <v>41793</v>
      </c>
      <c r="B746" s="238" t="s">
        <v>1695</v>
      </c>
      <c r="C746" s="415">
        <v>35</v>
      </c>
      <c r="D746" s="414">
        <v>41828</v>
      </c>
      <c r="E746" s="418">
        <v>3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L746" s="415">
        <v>0</v>
      </c>
    </row>
    <row r="747" spans="1:12" hidden="1">
      <c r="A747" s="427">
        <v>41793</v>
      </c>
      <c r="B747" s="2014" t="s">
        <v>1696</v>
      </c>
      <c r="C747" s="428">
        <v>91</v>
      </c>
      <c r="D747" s="427">
        <v>41884</v>
      </c>
      <c r="E747" s="429">
        <v>3</v>
      </c>
      <c r="F747" s="430">
        <v>0</v>
      </c>
      <c r="G747" s="430">
        <v>0</v>
      </c>
      <c r="H747" s="430">
        <v>0</v>
      </c>
      <c r="I747" s="430">
        <v>0</v>
      </c>
      <c r="J747" s="430">
        <v>0</v>
      </c>
      <c r="K747" s="431"/>
      <c r="L747" s="428">
        <v>0</v>
      </c>
    </row>
    <row r="748" spans="1:12" hidden="1">
      <c r="A748" s="414">
        <v>41796</v>
      </c>
      <c r="B748" s="238" t="s">
        <v>1697</v>
      </c>
      <c r="C748" s="415">
        <v>364</v>
      </c>
      <c r="D748" s="414">
        <v>42160</v>
      </c>
      <c r="E748" s="418">
        <v>1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L748" s="415">
        <v>0</v>
      </c>
    </row>
    <row r="749" spans="1:12" hidden="1">
      <c r="A749" s="427">
        <v>41800</v>
      </c>
      <c r="B749" s="2014" t="s">
        <v>1698</v>
      </c>
      <c r="C749" s="428">
        <v>182</v>
      </c>
      <c r="D749" s="427">
        <v>41982</v>
      </c>
      <c r="E749" s="429">
        <v>3</v>
      </c>
      <c r="F749" s="430">
        <v>0</v>
      </c>
      <c r="G749" s="430">
        <v>0</v>
      </c>
      <c r="H749" s="430">
        <v>0</v>
      </c>
      <c r="I749" s="430">
        <v>0</v>
      </c>
      <c r="J749" s="430">
        <v>0</v>
      </c>
      <c r="K749" s="431"/>
      <c r="L749" s="428">
        <v>0</v>
      </c>
    </row>
    <row r="750" spans="1:12" hidden="1">
      <c r="A750" s="414">
        <v>41800</v>
      </c>
      <c r="B750" s="238" t="s">
        <v>1699</v>
      </c>
      <c r="C750" s="415">
        <v>364</v>
      </c>
      <c r="D750" s="414">
        <v>42164</v>
      </c>
      <c r="E750" s="418">
        <v>12</v>
      </c>
      <c r="F750" s="416">
        <v>0</v>
      </c>
      <c r="G750" s="416">
        <v>0</v>
      </c>
      <c r="H750" s="416">
        <v>3.25</v>
      </c>
      <c r="I750" s="416">
        <v>3.25</v>
      </c>
      <c r="J750" s="416">
        <v>0</v>
      </c>
      <c r="L750" s="415">
        <v>0</v>
      </c>
    </row>
    <row r="751" spans="1:12" hidden="1">
      <c r="A751" s="427">
        <v>41803</v>
      </c>
      <c r="B751" s="2014" t="s">
        <v>1700</v>
      </c>
      <c r="C751" s="428">
        <v>1092</v>
      </c>
      <c r="D751" s="427">
        <v>42895</v>
      </c>
      <c r="E751" s="429">
        <v>9</v>
      </c>
      <c r="F751" s="430">
        <v>3.1</v>
      </c>
      <c r="G751" s="430">
        <v>3.1</v>
      </c>
      <c r="H751" s="430">
        <v>4.25</v>
      </c>
      <c r="I751" s="430">
        <v>4.25</v>
      </c>
      <c r="J751" s="430">
        <v>4.25</v>
      </c>
      <c r="K751" s="431"/>
      <c r="L751" s="428">
        <v>2</v>
      </c>
    </row>
    <row r="752" spans="1:12" hidden="1">
      <c r="A752" s="414">
        <v>41803</v>
      </c>
      <c r="B752" s="238" t="s">
        <v>1701</v>
      </c>
      <c r="C752" s="415">
        <v>728</v>
      </c>
      <c r="D752" s="414">
        <v>42531</v>
      </c>
      <c r="E752" s="418">
        <v>4</v>
      </c>
      <c r="F752" s="416">
        <v>0</v>
      </c>
      <c r="G752" s="416">
        <v>0</v>
      </c>
      <c r="H752" s="416">
        <v>3.75</v>
      </c>
      <c r="I752" s="416">
        <v>3.75</v>
      </c>
      <c r="J752" s="416">
        <v>0</v>
      </c>
      <c r="L752" s="415">
        <v>0</v>
      </c>
    </row>
    <row r="753" spans="1:12" hidden="1">
      <c r="A753" s="427">
        <v>41807</v>
      </c>
      <c r="B753" s="2014" t="s">
        <v>1702</v>
      </c>
      <c r="C753" s="428">
        <v>91</v>
      </c>
      <c r="D753" s="427">
        <v>41898</v>
      </c>
      <c r="E753" s="429">
        <v>4</v>
      </c>
      <c r="F753" s="430">
        <v>0</v>
      </c>
      <c r="G753" s="430">
        <v>0</v>
      </c>
      <c r="H753" s="430">
        <v>0</v>
      </c>
      <c r="I753" s="430">
        <v>0</v>
      </c>
      <c r="J753" s="430">
        <v>0</v>
      </c>
      <c r="K753" s="431"/>
      <c r="L753" s="428">
        <v>0</v>
      </c>
    </row>
    <row r="754" spans="1:12" hidden="1">
      <c r="A754" s="414">
        <v>41807</v>
      </c>
      <c r="B754" s="238" t="s">
        <v>1703</v>
      </c>
      <c r="C754" s="415">
        <v>35</v>
      </c>
      <c r="D754" s="414">
        <v>41842</v>
      </c>
      <c r="E754" s="418">
        <v>4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L754" s="415">
        <v>0</v>
      </c>
    </row>
    <row r="755" spans="1:12" hidden="1">
      <c r="A755" s="427">
        <v>41810</v>
      </c>
      <c r="B755" s="2014" t="s">
        <v>1704</v>
      </c>
      <c r="C755" s="428">
        <v>364</v>
      </c>
      <c r="D755" s="427">
        <v>42174</v>
      </c>
      <c r="E755" s="429">
        <v>1</v>
      </c>
      <c r="F755" s="430">
        <v>0.77239999999999998</v>
      </c>
      <c r="G755" s="430">
        <v>0.77239999999999998</v>
      </c>
      <c r="H755" s="430">
        <v>2.9000000000000004</v>
      </c>
      <c r="I755" s="430">
        <v>2.9000000000000004</v>
      </c>
      <c r="J755" s="430">
        <v>2.9000000000000004</v>
      </c>
      <c r="K755" s="431"/>
      <c r="L755" s="428">
        <v>1</v>
      </c>
    </row>
    <row r="756" spans="1:12" hidden="1">
      <c r="A756" s="414">
        <v>41814</v>
      </c>
      <c r="B756" s="238" t="s">
        <v>1705</v>
      </c>
      <c r="C756" s="415">
        <v>182</v>
      </c>
      <c r="D756" s="414">
        <v>41996</v>
      </c>
      <c r="E756" s="418">
        <v>3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L756" s="415">
        <v>0</v>
      </c>
    </row>
    <row r="757" spans="1:12" hidden="1">
      <c r="A757" s="427">
        <v>41814</v>
      </c>
      <c r="B757" s="2014" t="s">
        <v>1706</v>
      </c>
      <c r="C757" s="428">
        <v>364</v>
      </c>
      <c r="D757" s="427">
        <v>42178</v>
      </c>
      <c r="E757" s="429">
        <v>12</v>
      </c>
      <c r="F757" s="430">
        <v>0</v>
      </c>
      <c r="G757" s="430">
        <v>0</v>
      </c>
      <c r="H757" s="430">
        <v>3.25</v>
      </c>
      <c r="I757" s="430">
        <v>3.25</v>
      </c>
      <c r="J757" s="430">
        <v>0</v>
      </c>
      <c r="K757" s="431"/>
      <c r="L757" s="428">
        <v>0</v>
      </c>
    </row>
    <row r="758" spans="1:12" hidden="1">
      <c r="A758" s="414">
        <v>41817</v>
      </c>
      <c r="B758" s="238" t="s">
        <v>1707</v>
      </c>
      <c r="C758" s="415">
        <v>1092</v>
      </c>
      <c r="D758" s="414">
        <v>42909</v>
      </c>
      <c r="E758" s="418">
        <v>8</v>
      </c>
      <c r="F758" s="416">
        <v>0</v>
      </c>
      <c r="G758" s="416">
        <v>0</v>
      </c>
      <c r="H758" s="416">
        <v>4.25</v>
      </c>
      <c r="I758" s="416">
        <v>4.25</v>
      </c>
      <c r="J758" s="416">
        <v>0</v>
      </c>
      <c r="L758" s="415">
        <v>0</v>
      </c>
    </row>
    <row r="759" spans="1:12" hidden="1">
      <c r="A759" s="427">
        <v>41817</v>
      </c>
      <c r="B759" s="2014" t="s">
        <v>1708</v>
      </c>
      <c r="C759" s="428">
        <v>728</v>
      </c>
      <c r="D759" s="427">
        <v>42545</v>
      </c>
      <c r="E759" s="429">
        <v>3</v>
      </c>
      <c r="F759" s="430">
        <v>0</v>
      </c>
      <c r="G759" s="430">
        <v>0</v>
      </c>
      <c r="H759" s="430">
        <v>3.75</v>
      </c>
      <c r="I759" s="430">
        <v>3.75</v>
      </c>
      <c r="J759" s="430">
        <v>0</v>
      </c>
      <c r="K759" s="431"/>
      <c r="L759" s="428">
        <v>0</v>
      </c>
    </row>
    <row r="760" spans="1:12" hidden="1">
      <c r="A760" s="414">
        <v>41821</v>
      </c>
      <c r="B760" s="238" t="s">
        <v>1713</v>
      </c>
      <c r="C760" s="415">
        <v>91</v>
      </c>
      <c r="D760" s="414">
        <v>41912</v>
      </c>
      <c r="E760" s="418">
        <v>3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L760" s="415">
        <v>0</v>
      </c>
    </row>
    <row r="761" spans="1:12" hidden="1">
      <c r="A761" s="427">
        <v>41821</v>
      </c>
      <c r="B761" s="2014" t="s">
        <v>1714</v>
      </c>
      <c r="C761" s="428">
        <v>35</v>
      </c>
      <c r="D761" s="427">
        <v>41856</v>
      </c>
      <c r="E761" s="429">
        <v>3</v>
      </c>
      <c r="F761" s="430">
        <v>0</v>
      </c>
      <c r="G761" s="430">
        <v>0</v>
      </c>
      <c r="H761" s="430">
        <v>0</v>
      </c>
      <c r="I761" s="430">
        <v>0</v>
      </c>
      <c r="J761" s="430">
        <v>0</v>
      </c>
      <c r="K761" s="431"/>
      <c r="L761" s="428">
        <v>0</v>
      </c>
    </row>
    <row r="762" spans="1:12" hidden="1">
      <c r="A762" s="414">
        <v>41824</v>
      </c>
      <c r="B762" s="238" t="s">
        <v>1715</v>
      </c>
      <c r="C762" s="415">
        <v>364</v>
      </c>
      <c r="D762" s="414">
        <v>42188</v>
      </c>
      <c r="E762" s="418">
        <v>1</v>
      </c>
      <c r="F762" s="416">
        <v>0.31919999999999998</v>
      </c>
      <c r="G762" s="416">
        <v>0.31919999999999998</v>
      </c>
      <c r="H762" s="416">
        <v>2.9899999999999998</v>
      </c>
      <c r="I762" s="416">
        <v>2.9899999999999998</v>
      </c>
      <c r="J762" s="416">
        <v>2.9899999999999998</v>
      </c>
      <c r="L762" s="415">
        <v>1</v>
      </c>
    </row>
    <row r="763" spans="1:12" hidden="1">
      <c r="A763" s="427">
        <v>41828</v>
      </c>
      <c r="B763" s="2014" t="s">
        <v>1716</v>
      </c>
      <c r="C763" s="428">
        <v>182</v>
      </c>
      <c r="D763" s="427">
        <v>42010</v>
      </c>
      <c r="E763" s="429">
        <v>4</v>
      </c>
      <c r="F763" s="430">
        <v>0</v>
      </c>
      <c r="G763" s="430">
        <v>0</v>
      </c>
      <c r="H763" s="430">
        <v>0</v>
      </c>
      <c r="I763" s="430">
        <v>0</v>
      </c>
      <c r="J763" s="430">
        <v>0</v>
      </c>
      <c r="K763" s="431"/>
      <c r="L763" s="428">
        <v>0</v>
      </c>
    </row>
    <row r="764" spans="1:12" hidden="1">
      <c r="A764" s="414">
        <v>41828</v>
      </c>
      <c r="B764" s="238" t="s">
        <v>1717</v>
      </c>
      <c r="C764" s="415">
        <v>364</v>
      </c>
      <c r="D764" s="414">
        <v>42192</v>
      </c>
      <c r="E764" s="418">
        <v>12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L764" s="415">
        <v>0</v>
      </c>
    </row>
    <row r="765" spans="1:12" hidden="1">
      <c r="A765" s="427">
        <v>41831</v>
      </c>
      <c r="B765" s="2014" t="s">
        <v>1718</v>
      </c>
      <c r="C765" s="428">
        <v>728</v>
      </c>
      <c r="D765" s="427">
        <v>42559</v>
      </c>
      <c r="E765" s="429">
        <v>4</v>
      </c>
      <c r="F765" s="430">
        <v>0</v>
      </c>
      <c r="G765" s="430">
        <v>0</v>
      </c>
      <c r="H765" s="430">
        <v>3.75</v>
      </c>
      <c r="I765" s="430">
        <v>3.75</v>
      </c>
      <c r="J765" s="430">
        <v>0</v>
      </c>
      <c r="K765" s="431"/>
      <c r="L765" s="428">
        <v>0</v>
      </c>
    </row>
    <row r="766" spans="1:12" hidden="1">
      <c r="A766" s="414">
        <v>41831</v>
      </c>
      <c r="B766" s="238" t="s">
        <v>1719</v>
      </c>
      <c r="C766" s="415">
        <v>1092</v>
      </c>
      <c r="D766" s="414">
        <v>42923</v>
      </c>
      <c r="E766" s="418">
        <v>9</v>
      </c>
      <c r="F766" s="416">
        <v>6.5</v>
      </c>
      <c r="G766" s="416">
        <v>6.5</v>
      </c>
      <c r="H766" s="416">
        <v>4.25</v>
      </c>
      <c r="I766" s="416">
        <v>4.25</v>
      </c>
      <c r="J766" s="416">
        <v>4.25</v>
      </c>
      <c r="L766" s="415">
        <v>2</v>
      </c>
    </row>
    <row r="767" spans="1:12" hidden="1">
      <c r="A767" s="427">
        <v>41835</v>
      </c>
      <c r="B767" s="2014" t="s">
        <v>1720</v>
      </c>
      <c r="C767" s="428">
        <v>35</v>
      </c>
      <c r="D767" s="427">
        <v>41870</v>
      </c>
      <c r="E767" s="429">
        <v>4</v>
      </c>
      <c r="F767" s="430">
        <v>0</v>
      </c>
      <c r="G767" s="430">
        <v>0</v>
      </c>
      <c r="H767" s="430">
        <v>0</v>
      </c>
      <c r="I767" s="430">
        <v>0</v>
      </c>
      <c r="J767" s="430">
        <v>0</v>
      </c>
      <c r="K767" s="431"/>
      <c r="L767" s="428">
        <v>0</v>
      </c>
    </row>
    <row r="768" spans="1:12" hidden="1">
      <c r="A768" s="414">
        <v>41835</v>
      </c>
      <c r="B768" s="238" t="s">
        <v>1721</v>
      </c>
      <c r="C768" s="415">
        <v>91</v>
      </c>
      <c r="D768" s="414">
        <v>41926</v>
      </c>
      <c r="E768" s="418">
        <v>4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L768" s="415">
        <v>0</v>
      </c>
    </row>
    <row r="769" spans="1:12" hidden="1">
      <c r="A769" s="427">
        <v>41838</v>
      </c>
      <c r="B769" s="2014" t="s">
        <v>1722</v>
      </c>
      <c r="C769" s="428">
        <v>364</v>
      </c>
      <c r="D769" s="427">
        <v>42202</v>
      </c>
      <c r="E769" s="429">
        <v>1</v>
      </c>
      <c r="F769" s="430">
        <v>0</v>
      </c>
      <c r="G769" s="430">
        <v>0</v>
      </c>
      <c r="H769" s="430">
        <v>0</v>
      </c>
      <c r="I769" s="430">
        <v>0</v>
      </c>
      <c r="J769" s="430">
        <v>0</v>
      </c>
      <c r="K769" s="431"/>
      <c r="L769" s="428">
        <v>0</v>
      </c>
    </row>
    <row r="770" spans="1:12" hidden="1">
      <c r="A770" s="414">
        <v>41842</v>
      </c>
      <c r="B770" s="238" t="s">
        <v>1723</v>
      </c>
      <c r="C770" s="415">
        <v>182</v>
      </c>
      <c r="D770" s="414">
        <v>42024</v>
      </c>
      <c r="E770" s="418">
        <v>4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L770" s="415">
        <v>0</v>
      </c>
    </row>
    <row r="771" spans="1:12" hidden="1">
      <c r="A771" s="427">
        <v>41842</v>
      </c>
      <c r="B771" s="2014" t="s">
        <v>1724</v>
      </c>
      <c r="C771" s="428">
        <v>364</v>
      </c>
      <c r="D771" s="427">
        <v>42206</v>
      </c>
      <c r="E771" s="429">
        <v>12</v>
      </c>
      <c r="F771" s="430">
        <v>0</v>
      </c>
      <c r="G771" s="430">
        <v>0</v>
      </c>
      <c r="H771" s="430">
        <v>3.25</v>
      </c>
      <c r="I771" s="430">
        <v>3.25</v>
      </c>
      <c r="J771" s="430">
        <v>0</v>
      </c>
      <c r="K771" s="431"/>
      <c r="L771" s="428">
        <v>0</v>
      </c>
    </row>
    <row r="772" spans="1:12" hidden="1">
      <c r="A772" s="414">
        <v>41845</v>
      </c>
      <c r="B772" s="238" t="s">
        <v>1725</v>
      </c>
      <c r="C772" s="415">
        <v>728</v>
      </c>
      <c r="D772" s="414">
        <v>42573</v>
      </c>
      <c r="E772" s="418">
        <v>3</v>
      </c>
      <c r="F772" s="416">
        <v>0</v>
      </c>
      <c r="G772" s="416">
        <v>0</v>
      </c>
      <c r="H772" s="416">
        <v>3.75</v>
      </c>
      <c r="I772" s="416">
        <v>3.75</v>
      </c>
      <c r="J772" s="416">
        <v>0</v>
      </c>
      <c r="L772" s="415">
        <v>0</v>
      </c>
    </row>
    <row r="773" spans="1:12" hidden="1">
      <c r="A773" s="427">
        <v>41845</v>
      </c>
      <c r="B773" s="2014" t="s">
        <v>1726</v>
      </c>
      <c r="C773" s="428">
        <v>1092</v>
      </c>
      <c r="D773" s="427">
        <v>42937</v>
      </c>
      <c r="E773" s="429">
        <v>8</v>
      </c>
      <c r="F773" s="430">
        <v>2</v>
      </c>
      <c r="G773" s="430">
        <v>2</v>
      </c>
      <c r="H773" s="430">
        <v>4.25</v>
      </c>
      <c r="I773" s="430">
        <v>4.25</v>
      </c>
      <c r="J773" s="430">
        <v>4.25</v>
      </c>
      <c r="K773" s="431"/>
      <c r="L773" s="428">
        <v>1</v>
      </c>
    </row>
    <row r="774" spans="1:12" hidden="1">
      <c r="A774" s="414">
        <v>41863</v>
      </c>
      <c r="B774" s="238" t="s">
        <v>1732</v>
      </c>
      <c r="C774" s="415">
        <v>182</v>
      </c>
      <c r="D774" s="414">
        <v>42045</v>
      </c>
      <c r="E774" s="418">
        <v>4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L774" s="415">
        <v>0</v>
      </c>
    </row>
    <row r="775" spans="1:12" hidden="1">
      <c r="A775" s="427">
        <v>41863</v>
      </c>
      <c r="B775" s="2014" t="s">
        <v>1733</v>
      </c>
      <c r="C775" s="428">
        <v>364</v>
      </c>
      <c r="D775" s="427">
        <v>42227</v>
      </c>
      <c r="E775" s="429">
        <v>12</v>
      </c>
      <c r="F775" s="430">
        <v>0</v>
      </c>
      <c r="G775" s="430">
        <v>0</v>
      </c>
      <c r="H775" s="430">
        <v>3.25</v>
      </c>
      <c r="I775" s="430">
        <v>3.25</v>
      </c>
      <c r="J775" s="430">
        <v>3.25</v>
      </c>
      <c r="K775" s="431"/>
      <c r="L775" s="428">
        <v>0</v>
      </c>
    </row>
    <row r="776" spans="1:12" hidden="1">
      <c r="A776" s="414">
        <v>41866</v>
      </c>
      <c r="B776" s="238" t="s">
        <v>1734</v>
      </c>
      <c r="C776" s="415">
        <v>728</v>
      </c>
      <c r="D776" s="414">
        <v>42594</v>
      </c>
      <c r="E776" s="418">
        <v>4</v>
      </c>
      <c r="F776" s="416">
        <v>0</v>
      </c>
      <c r="G776" s="416">
        <v>0</v>
      </c>
      <c r="H776" s="416">
        <v>3.75</v>
      </c>
      <c r="I776" s="416">
        <v>3.75</v>
      </c>
      <c r="J776" s="416">
        <v>3.75</v>
      </c>
      <c r="L776" s="415">
        <v>0</v>
      </c>
    </row>
    <row r="777" spans="1:12" hidden="1">
      <c r="A777" s="427">
        <v>41866</v>
      </c>
      <c r="B777" s="2014" t="s">
        <v>1735</v>
      </c>
      <c r="C777" s="428">
        <v>1092</v>
      </c>
      <c r="D777" s="427">
        <v>42958</v>
      </c>
      <c r="E777" s="429">
        <v>9</v>
      </c>
      <c r="F777" s="430">
        <v>1.8</v>
      </c>
      <c r="G777" s="430">
        <v>1.8</v>
      </c>
      <c r="H777" s="430">
        <v>4.25</v>
      </c>
      <c r="I777" s="430">
        <v>4.25</v>
      </c>
      <c r="J777" s="430">
        <v>4.25</v>
      </c>
      <c r="K777" s="431"/>
      <c r="L777" s="428">
        <v>1</v>
      </c>
    </row>
    <row r="778" spans="1:12" hidden="1">
      <c r="A778" s="414">
        <v>41884</v>
      </c>
      <c r="B778" s="238" t="s">
        <v>1741</v>
      </c>
      <c r="C778" s="415">
        <v>35</v>
      </c>
      <c r="D778" s="414">
        <v>41919</v>
      </c>
      <c r="E778" s="418">
        <v>3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L778" s="415">
        <v>0</v>
      </c>
    </row>
    <row r="779" spans="1:12" hidden="1">
      <c r="A779" s="427">
        <v>41884</v>
      </c>
      <c r="B779" s="2014" t="s">
        <v>1742</v>
      </c>
      <c r="C779" s="428">
        <v>91</v>
      </c>
      <c r="D779" s="427">
        <v>41975</v>
      </c>
      <c r="E779" s="429">
        <v>3</v>
      </c>
      <c r="F779" s="430">
        <v>0</v>
      </c>
      <c r="G779" s="430">
        <v>0</v>
      </c>
      <c r="H779" s="430">
        <v>0</v>
      </c>
      <c r="I779" s="430">
        <v>0</v>
      </c>
      <c r="J779" s="430">
        <v>0</v>
      </c>
      <c r="K779" s="431"/>
      <c r="L779" s="428">
        <v>0</v>
      </c>
    </row>
    <row r="780" spans="1:12" hidden="1">
      <c r="A780" s="414">
        <v>41887</v>
      </c>
      <c r="B780" s="238" t="s">
        <v>1743</v>
      </c>
      <c r="C780" s="415">
        <v>364</v>
      </c>
      <c r="D780" s="414">
        <v>42251</v>
      </c>
      <c r="E780" s="418">
        <v>1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L780" s="415">
        <v>0</v>
      </c>
    </row>
    <row r="781" spans="1:12" hidden="1">
      <c r="A781" s="427">
        <v>41891</v>
      </c>
      <c r="B781" s="2014" t="s">
        <v>1744</v>
      </c>
      <c r="C781" s="428">
        <v>182</v>
      </c>
      <c r="D781" s="427">
        <v>42073</v>
      </c>
      <c r="E781" s="429">
        <v>4</v>
      </c>
      <c r="F781" s="430">
        <v>0</v>
      </c>
      <c r="G781" s="430">
        <v>0</v>
      </c>
      <c r="H781" s="430">
        <v>0</v>
      </c>
      <c r="I781" s="430">
        <v>0</v>
      </c>
      <c r="J781" s="430">
        <v>0</v>
      </c>
      <c r="K781" s="431"/>
      <c r="L781" s="428">
        <v>0</v>
      </c>
    </row>
    <row r="782" spans="1:12" hidden="1">
      <c r="A782" s="414">
        <v>41891</v>
      </c>
      <c r="B782" s="238" t="s">
        <v>1745</v>
      </c>
      <c r="C782" s="415">
        <v>364</v>
      </c>
      <c r="D782" s="414">
        <v>42255</v>
      </c>
      <c r="E782" s="418">
        <v>12</v>
      </c>
      <c r="F782" s="416">
        <v>0</v>
      </c>
      <c r="G782" s="416">
        <v>0</v>
      </c>
      <c r="H782" s="416">
        <v>3.25</v>
      </c>
      <c r="I782" s="416">
        <v>3.25</v>
      </c>
      <c r="J782" s="416">
        <v>3.25</v>
      </c>
      <c r="L782" s="415">
        <v>0</v>
      </c>
    </row>
    <row r="783" spans="1:12" hidden="1">
      <c r="A783" s="427">
        <v>41894</v>
      </c>
      <c r="B783" s="2014" t="s">
        <v>1746</v>
      </c>
      <c r="C783" s="428">
        <v>728</v>
      </c>
      <c r="D783" s="427">
        <v>42622</v>
      </c>
      <c r="E783" s="429">
        <v>4</v>
      </c>
      <c r="F783" s="430">
        <v>0</v>
      </c>
      <c r="G783" s="430">
        <v>0</v>
      </c>
      <c r="H783" s="430">
        <v>3.75</v>
      </c>
      <c r="I783" s="430">
        <v>3.75</v>
      </c>
      <c r="J783" s="430">
        <v>3.75</v>
      </c>
      <c r="K783" s="431"/>
      <c r="L783" s="428">
        <v>0</v>
      </c>
    </row>
    <row r="784" spans="1:12" hidden="1">
      <c r="A784" s="414">
        <v>41894</v>
      </c>
      <c r="B784" s="238" t="s">
        <v>1747</v>
      </c>
      <c r="C784" s="415">
        <v>1092</v>
      </c>
      <c r="D784" s="414">
        <v>42986</v>
      </c>
      <c r="E784" s="418">
        <v>9</v>
      </c>
      <c r="F784" s="416">
        <v>3</v>
      </c>
      <c r="G784" s="416">
        <v>3</v>
      </c>
      <c r="H784" s="416">
        <v>4.25</v>
      </c>
      <c r="I784" s="416">
        <v>4.25</v>
      </c>
      <c r="J784" s="416">
        <v>4.25</v>
      </c>
      <c r="L784" s="415">
        <v>1</v>
      </c>
    </row>
    <row r="785" spans="1:12" hidden="1">
      <c r="A785" s="427">
        <v>41898</v>
      </c>
      <c r="B785" s="2014" t="s">
        <v>1748</v>
      </c>
      <c r="C785" s="428">
        <v>35</v>
      </c>
      <c r="D785" s="427">
        <v>41933</v>
      </c>
      <c r="E785" s="429">
        <v>4</v>
      </c>
      <c r="F785" s="430">
        <v>0</v>
      </c>
      <c r="G785" s="430">
        <v>0</v>
      </c>
      <c r="H785" s="430">
        <v>0</v>
      </c>
      <c r="I785" s="430">
        <v>0</v>
      </c>
      <c r="J785" s="430">
        <v>0</v>
      </c>
      <c r="K785" s="431"/>
      <c r="L785" s="428">
        <v>0</v>
      </c>
    </row>
    <row r="786" spans="1:12" hidden="1">
      <c r="A786" s="414">
        <v>41898</v>
      </c>
      <c r="B786" s="238" t="s">
        <v>1749</v>
      </c>
      <c r="C786" s="415">
        <v>91</v>
      </c>
      <c r="D786" s="414">
        <v>41989</v>
      </c>
      <c r="E786" s="418">
        <v>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L786" s="415">
        <v>0</v>
      </c>
    </row>
    <row r="787" spans="1:12" hidden="1">
      <c r="A787" s="427">
        <v>41901</v>
      </c>
      <c r="B787" s="2014" t="s">
        <v>1750</v>
      </c>
      <c r="C787" s="428">
        <v>364</v>
      </c>
      <c r="D787" s="427">
        <v>42265</v>
      </c>
      <c r="E787" s="429">
        <v>2</v>
      </c>
      <c r="F787" s="430">
        <v>0</v>
      </c>
      <c r="G787" s="430">
        <v>0</v>
      </c>
      <c r="H787" s="430">
        <v>0</v>
      </c>
      <c r="I787" s="430">
        <v>0</v>
      </c>
      <c r="J787" s="430">
        <v>0</v>
      </c>
      <c r="K787" s="431"/>
      <c r="L787" s="428">
        <v>0</v>
      </c>
    </row>
    <row r="788" spans="1:12" hidden="1">
      <c r="A788" s="414">
        <v>41905</v>
      </c>
      <c r="B788" s="238" t="s">
        <v>1751</v>
      </c>
      <c r="C788" s="415">
        <v>182</v>
      </c>
      <c r="D788" s="414">
        <v>42087</v>
      </c>
      <c r="E788" s="418">
        <v>4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L788" s="415">
        <v>0</v>
      </c>
    </row>
    <row r="789" spans="1:12" hidden="1">
      <c r="A789" s="427">
        <v>41905</v>
      </c>
      <c r="B789" s="2014" t="s">
        <v>1752</v>
      </c>
      <c r="C789" s="428">
        <v>364</v>
      </c>
      <c r="D789" s="427">
        <v>42269</v>
      </c>
      <c r="E789" s="429">
        <v>14</v>
      </c>
      <c r="F789" s="430">
        <v>0</v>
      </c>
      <c r="G789" s="430">
        <v>0</v>
      </c>
      <c r="H789" s="430">
        <v>3.25</v>
      </c>
      <c r="I789" s="430">
        <v>3.25</v>
      </c>
      <c r="J789" s="430">
        <v>3.25</v>
      </c>
      <c r="K789" s="431"/>
      <c r="L789" s="428">
        <v>0</v>
      </c>
    </row>
    <row r="790" spans="1:12" hidden="1">
      <c r="A790" s="414">
        <v>41908</v>
      </c>
      <c r="B790" s="238" t="s">
        <v>1753</v>
      </c>
      <c r="C790" s="415">
        <v>728</v>
      </c>
      <c r="D790" s="414">
        <v>42636</v>
      </c>
      <c r="E790" s="418">
        <v>4</v>
      </c>
      <c r="F790" s="416">
        <v>1.0024</v>
      </c>
      <c r="G790" s="416">
        <v>1.0024</v>
      </c>
      <c r="H790" s="416">
        <v>3.75</v>
      </c>
      <c r="I790" s="416">
        <v>3.75</v>
      </c>
      <c r="J790" s="416">
        <v>3.75</v>
      </c>
      <c r="L790" s="415">
        <v>1</v>
      </c>
    </row>
    <row r="791" spans="1:12" hidden="1">
      <c r="A791" s="427">
        <v>41908</v>
      </c>
      <c r="B791" s="2014" t="s">
        <v>1754</v>
      </c>
      <c r="C791" s="428">
        <v>1092</v>
      </c>
      <c r="D791" s="427">
        <v>43000</v>
      </c>
      <c r="E791" s="429">
        <v>9</v>
      </c>
      <c r="F791" s="430">
        <v>0</v>
      </c>
      <c r="G791" s="430">
        <v>0</v>
      </c>
      <c r="H791" s="430">
        <v>4.25</v>
      </c>
      <c r="I791" s="430">
        <v>4.25</v>
      </c>
      <c r="J791" s="430">
        <v>4.25</v>
      </c>
      <c r="K791" s="431"/>
      <c r="L791" s="428">
        <v>0</v>
      </c>
    </row>
    <row r="792" spans="1:12" hidden="1">
      <c r="A792" s="414">
        <v>41915</v>
      </c>
      <c r="B792" s="238" t="s">
        <v>1759</v>
      </c>
      <c r="C792" s="415">
        <v>35</v>
      </c>
      <c r="D792" s="414">
        <v>41950</v>
      </c>
      <c r="E792" s="418">
        <v>3</v>
      </c>
      <c r="F792" s="416">
        <v>2.0028000000000001</v>
      </c>
      <c r="G792" s="416">
        <v>2.0028000000000001</v>
      </c>
      <c r="H792" s="416">
        <v>1.46</v>
      </c>
      <c r="I792" s="416">
        <v>1.46</v>
      </c>
      <c r="J792" s="416">
        <v>1.46</v>
      </c>
      <c r="L792" s="415">
        <v>1</v>
      </c>
    </row>
    <row r="793" spans="1:12" hidden="1">
      <c r="A793" s="427">
        <v>41915</v>
      </c>
      <c r="B793" s="2014" t="s">
        <v>1759</v>
      </c>
      <c r="C793" s="428">
        <v>91</v>
      </c>
      <c r="D793" s="427">
        <v>42006</v>
      </c>
      <c r="E793" s="429">
        <v>3</v>
      </c>
      <c r="F793" s="430">
        <v>0</v>
      </c>
      <c r="G793" s="430">
        <v>0</v>
      </c>
      <c r="H793" s="430">
        <v>0</v>
      </c>
      <c r="I793" s="430">
        <v>0</v>
      </c>
      <c r="J793" s="430">
        <v>0</v>
      </c>
      <c r="K793" s="431"/>
      <c r="L793" s="428">
        <v>0</v>
      </c>
    </row>
    <row r="794" spans="1:12" hidden="1">
      <c r="A794" s="414">
        <v>41922</v>
      </c>
      <c r="B794" s="238" t="s">
        <v>1760</v>
      </c>
      <c r="C794" s="415">
        <v>364</v>
      </c>
      <c r="D794" s="414">
        <v>42286</v>
      </c>
      <c r="E794" s="418">
        <v>1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L794" s="415">
        <v>0</v>
      </c>
    </row>
    <row r="795" spans="1:12" hidden="1">
      <c r="A795" s="427">
        <v>41926</v>
      </c>
      <c r="B795" s="2014" t="s">
        <v>1761</v>
      </c>
      <c r="C795" s="428">
        <v>182</v>
      </c>
      <c r="D795" s="427">
        <v>42108</v>
      </c>
      <c r="E795" s="429">
        <v>4</v>
      </c>
      <c r="F795" s="430">
        <v>0</v>
      </c>
      <c r="G795" s="430">
        <v>0</v>
      </c>
      <c r="H795" s="430">
        <v>0</v>
      </c>
      <c r="I795" s="430">
        <v>0</v>
      </c>
      <c r="J795" s="430">
        <v>0</v>
      </c>
      <c r="K795" s="431"/>
      <c r="L795" s="428">
        <v>0</v>
      </c>
    </row>
    <row r="796" spans="1:12" hidden="1">
      <c r="A796" s="414">
        <v>41926</v>
      </c>
      <c r="B796" s="238" t="s">
        <v>1762</v>
      </c>
      <c r="C796" s="415">
        <v>364</v>
      </c>
      <c r="D796" s="414">
        <v>42290</v>
      </c>
      <c r="E796" s="418">
        <v>12</v>
      </c>
      <c r="F796" s="416">
        <v>0</v>
      </c>
      <c r="G796" s="416">
        <v>0</v>
      </c>
      <c r="H796" s="416">
        <v>3.25</v>
      </c>
      <c r="I796" s="416">
        <v>3.25</v>
      </c>
      <c r="J796" s="416">
        <v>3.25</v>
      </c>
      <c r="L796" s="415">
        <v>0</v>
      </c>
    </row>
    <row r="797" spans="1:12" hidden="1">
      <c r="A797" s="427">
        <v>41929</v>
      </c>
      <c r="B797" s="2014" t="s">
        <v>1760</v>
      </c>
      <c r="C797" s="428">
        <v>728</v>
      </c>
      <c r="D797" s="427">
        <v>42657</v>
      </c>
      <c r="E797" s="429">
        <v>4</v>
      </c>
      <c r="F797" s="430">
        <v>0</v>
      </c>
      <c r="G797" s="430">
        <v>0</v>
      </c>
      <c r="H797" s="430">
        <v>3.75</v>
      </c>
      <c r="I797" s="430">
        <v>3.75</v>
      </c>
      <c r="J797" s="430">
        <v>3.75</v>
      </c>
      <c r="K797" s="431"/>
      <c r="L797" s="428">
        <v>0</v>
      </c>
    </row>
    <row r="798" spans="1:12" hidden="1">
      <c r="A798" s="414">
        <v>41929</v>
      </c>
      <c r="B798" s="238" t="s">
        <v>1763</v>
      </c>
      <c r="C798" s="415">
        <v>1092</v>
      </c>
      <c r="D798" s="414">
        <v>43021</v>
      </c>
      <c r="E798" s="418">
        <v>9</v>
      </c>
      <c r="F798" s="416">
        <v>5.3</v>
      </c>
      <c r="G798" s="416">
        <v>5.3</v>
      </c>
      <c r="H798" s="416">
        <v>4.25</v>
      </c>
      <c r="I798" s="416">
        <v>4.25</v>
      </c>
      <c r="J798" s="416">
        <v>4.25</v>
      </c>
      <c r="L798" s="415">
        <v>1</v>
      </c>
    </row>
    <row r="799" spans="1:12" hidden="1">
      <c r="A799" s="427">
        <v>41933</v>
      </c>
      <c r="B799" s="2014" t="s">
        <v>1764</v>
      </c>
      <c r="C799" s="428">
        <v>35</v>
      </c>
      <c r="D799" s="427">
        <v>41968</v>
      </c>
      <c r="E799" s="429">
        <v>4</v>
      </c>
      <c r="F799" s="430">
        <v>0</v>
      </c>
      <c r="G799" s="430">
        <v>0</v>
      </c>
      <c r="H799" s="430">
        <v>0</v>
      </c>
      <c r="I799" s="430">
        <v>0</v>
      </c>
      <c r="J799" s="430">
        <v>0</v>
      </c>
      <c r="K799" s="431"/>
      <c r="L799" s="428">
        <v>0</v>
      </c>
    </row>
    <row r="800" spans="1:12" hidden="1">
      <c r="A800" s="414">
        <v>41933</v>
      </c>
      <c r="B800" s="238" t="s">
        <v>1765</v>
      </c>
      <c r="C800" s="415">
        <v>91</v>
      </c>
      <c r="D800" s="414">
        <v>42024</v>
      </c>
      <c r="E800" s="418">
        <v>4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L800" s="415">
        <v>0</v>
      </c>
    </row>
    <row r="801" spans="1:12" hidden="1">
      <c r="A801" s="427">
        <v>41936</v>
      </c>
      <c r="B801" s="2014" t="s">
        <v>1766</v>
      </c>
      <c r="C801" s="428">
        <v>364</v>
      </c>
      <c r="D801" s="427">
        <v>42300</v>
      </c>
      <c r="E801" s="429">
        <v>2</v>
      </c>
      <c r="F801" s="430">
        <v>0</v>
      </c>
      <c r="G801" s="430">
        <v>0</v>
      </c>
      <c r="H801" s="430">
        <v>0</v>
      </c>
      <c r="I801" s="430">
        <v>0</v>
      </c>
      <c r="J801" s="430">
        <v>0</v>
      </c>
      <c r="K801" s="431"/>
      <c r="L801" s="428">
        <v>0</v>
      </c>
    </row>
    <row r="802" spans="1:12" hidden="1">
      <c r="A802" s="414">
        <v>41940</v>
      </c>
      <c r="B802" s="238" t="s">
        <v>1767</v>
      </c>
      <c r="C802" s="415">
        <v>182</v>
      </c>
      <c r="D802" s="414">
        <v>42122</v>
      </c>
      <c r="E802" s="418">
        <v>4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L802" s="415">
        <v>0</v>
      </c>
    </row>
    <row r="803" spans="1:12" hidden="1">
      <c r="A803" s="427">
        <v>41940</v>
      </c>
      <c r="B803" s="2014" t="s">
        <v>1768</v>
      </c>
      <c r="C803" s="428">
        <v>364</v>
      </c>
      <c r="D803" s="427">
        <v>42304</v>
      </c>
      <c r="E803" s="429">
        <v>14</v>
      </c>
      <c r="F803" s="430">
        <v>0</v>
      </c>
      <c r="G803" s="430">
        <v>0</v>
      </c>
      <c r="H803" s="430">
        <v>3.25</v>
      </c>
      <c r="I803" s="430">
        <v>3.25</v>
      </c>
      <c r="J803" s="430">
        <v>3.25</v>
      </c>
      <c r="K803" s="431"/>
      <c r="L803" s="428">
        <v>0</v>
      </c>
    </row>
    <row r="804" spans="1:12" hidden="1">
      <c r="A804" s="414">
        <v>41943</v>
      </c>
      <c r="B804" s="238" t="s">
        <v>1769</v>
      </c>
      <c r="C804" s="415">
        <v>728</v>
      </c>
      <c r="D804" s="414">
        <v>42671</v>
      </c>
      <c r="E804" s="418">
        <v>4</v>
      </c>
      <c r="F804" s="416">
        <v>0</v>
      </c>
      <c r="G804" s="416">
        <v>0</v>
      </c>
      <c r="H804" s="416">
        <v>3.75</v>
      </c>
      <c r="I804" s="416">
        <v>3.75</v>
      </c>
      <c r="J804" s="416">
        <v>3.75</v>
      </c>
      <c r="L804" s="415">
        <v>0</v>
      </c>
    </row>
    <row r="805" spans="1:12" hidden="1">
      <c r="A805" s="427">
        <v>41943</v>
      </c>
      <c r="B805" s="2014" t="s">
        <v>1770</v>
      </c>
      <c r="C805" s="428">
        <v>1092</v>
      </c>
      <c r="D805" s="427">
        <v>43035</v>
      </c>
      <c r="E805" s="429">
        <v>9</v>
      </c>
      <c r="F805" s="430">
        <v>0</v>
      </c>
      <c r="G805" s="430">
        <v>0</v>
      </c>
      <c r="H805" s="430">
        <v>4.25</v>
      </c>
      <c r="I805" s="430">
        <v>4.25</v>
      </c>
      <c r="J805" s="430">
        <v>4.25</v>
      </c>
      <c r="K805" s="431"/>
      <c r="L805" s="428">
        <v>0</v>
      </c>
    </row>
    <row r="806" spans="1:12" hidden="1">
      <c r="A806" s="427">
        <v>41957</v>
      </c>
      <c r="B806" s="2014" t="s">
        <v>1777</v>
      </c>
      <c r="C806" s="428">
        <v>728</v>
      </c>
      <c r="D806" s="427">
        <v>42685</v>
      </c>
      <c r="E806" s="429">
        <v>4</v>
      </c>
      <c r="F806" s="430">
        <v>0</v>
      </c>
      <c r="G806" s="430">
        <v>0</v>
      </c>
      <c r="H806" s="430"/>
      <c r="I806" s="430">
        <v>3.75</v>
      </c>
      <c r="J806" s="430">
        <v>3.75</v>
      </c>
      <c r="K806" s="431"/>
      <c r="L806" s="428">
        <v>0</v>
      </c>
    </row>
    <row r="807" spans="1:12" hidden="1">
      <c r="A807" s="414">
        <v>41957</v>
      </c>
      <c r="B807" s="238" t="s">
        <v>1778</v>
      </c>
      <c r="C807" s="415">
        <v>1092</v>
      </c>
      <c r="D807" s="414">
        <v>43049</v>
      </c>
      <c r="E807" s="418">
        <v>9</v>
      </c>
      <c r="F807" s="416">
        <v>0</v>
      </c>
      <c r="G807" s="416">
        <v>0</v>
      </c>
      <c r="H807" s="416"/>
      <c r="I807" s="416">
        <v>4.25</v>
      </c>
      <c r="J807" s="416">
        <v>4.25</v>
      </c>
      <c r="L807" s="415">
        <v>0</v>
      </c>
    </row>
    <row r="808" spans="1:12" hidden="1">
      <c r="A808" s="427">
        <v>41961</v>
      </c>
      <c r="B808" s="2014" t="s">
        <v>1779</v>
      </c>
      <c r="C808" s="428">
        <v>35</v>
      </c>
      <c r="D808" s="427">
        <v>41996</v>
      </c>
      <c r="E808" s="429">
        <v>35</v>
      </c>
      <c r="F808" s="430">
        <v>0</v>
      </c>
      <c r="G808" s="430">
        <v>0</v>
      </c>
      <c r="H808" s="430"/>
      <c r="I808" s="430">
        <v>0</v>
      </c>
      <c r="J808" s="430">
        <v>0</v>
      </c>
      <c r="K808" s="431"/>
      <c r="L808" s="428">
        <v>0</v>
      </c>
    </row>
    <row r="809" spans="1:12" hidden="1">
      <c r="A809" s="408">
        <v>41961</v>
      </c>
      <c r="B809" s="409" t="s">
        <v>1780</v>
      </c>
      <c r="C809" s="410">
        <v>91</v>
      </c>
      <c r="D809" s="408">
        <v>42052</v>
      </c>
      <c r="E809" s="411">
        <v>91</v>
      </c>
      <c r="F809" s="412">
        <v>0</v>
      </c>
      <c r="G809" s="412">
        <v>0</v>
      </c>
      <c r="H809" s="412"/>
      <c r="I809" s="412">
        <v>0</v>
      </c>
      <c r="J809" s="412">
        <v>0</v>
      </c>
      <c r="L809" s="410">
        <v>0</v>
      </c>
    </row>
    <row r="810" spans="1:12" hidden="1">
      <c r="A810" s="2015">
        <v>41964</v>
      </c>
      <c r="B810" s="2016" t="s">
        <v>1781</v>
      </c>
      <c r="C810" s="2017">
        <v>364</v>
      </c>
      <c r="D810" s="2015">
        <v>42328</v>
      </c>
      <c r="E810" s="2018">
        <v>2</v>
      </c>
      <c r="F810" s="2019">
        <v>0</v>
      </c>
      <c r="G810" s="2019">
        <v>0</v>
      </c>
      <c r="H810" s="2019"/>
      <c r="I810" s="2019">
        <v>0</v>
      </c>
      <c r="J810" s="2019">
        <v>0</v>
      </c>
      <c r="K810" s="2020"/>
      <c r="L810" s="2017">
        <v>0</v>
      </c>
    </row>
    <row r="811" spans="1:12" hidden="1">
      <c r="A811" s="2015">
        <v>41968</v>
      </c>
      <c r="B811" s="2016" t="s">
        <v>1782</v>
      </c>
      <c r="C811" s="2017">
        <v>182</v>
      </c>
      <c r="D811" s="2015">
        <v>42150</v>
      </c>
      <c r="E811" s="2018">
        <v>4</v>
      </c>
      <c r="F811" s="2019">
        <v>0</v>
      </c>
      <c r="G811" s="2019">
        <v>0</v>
      </c>
      <c r="H811" s="2019"/>
      <c r="I811" s="2019">
        <v>0</v>
      </c>
      <c r="J811" s="2019">
        <v>0</v>
      </c>
      <c r="K811" s="2020"/>
      <c r="L811" s="2017">
        <v>0</v>
      </c>
    </row>
    <row r="812" spans="1:12" hidden="1">
      <c r="A812" s="2015">
        <v>41968</v>
      </c>
      <c r="B812" s="2016" t="s">
        <v>1783</v>
      </c>
      <c r="C812" s="2017">
        <v>364</v>
      </c>
      <c r="D812" s="2015">
        <v>42332</v>
      </c>
      <c r="E812" s="2018">
        <v>14</v>
      </c>
      <c r="F812" s="2019">
        <v>0</v>
      </c>
      <c r="G812" s="2019">
        <v>0</v>
      </c>
      <c r="H812" s="2019"/>
      <c r="I812" s="2019">
        <v>3.25</v>
      </c>
      <c r="J812" s="2019">
        <v>3.25</v>
      </c>
      <c r="K812" s="2020"/>
      <c r="L812" s="2017">
        <v>0</v>
      </c>
    </row>
    <row r="813" spans="1:12" hidden="1">
      <c r="A813" s="2015">
        <v>41971</v>
      </c>
      <c r="B813" s="2016" t="s">
        <v>1784</v>
      </c>
      <c r="C813" s="2017">
        <v>728</v>
      </c>
      <c r="D813" s="2015">
        <v>42699</v>
      </c>
      <c r="E813" s="2018">
        <v>4</v>
      </c>
      <c r="F813" s="2019">
        <v>0</v>
      </c>
      <c r="G813" s="2019">
        <v>0</v>
      </c>
      <c r="H813" s="2019"/>
      <c r="I813" s="2019">
        <v>3.75</v>
      </c>
      <c r="J813" s="2019">
        <v>3.75</v>
      </c>
      <c r="K813" s="2020"/>
      <c r="L813" s="2017">
        <v>0</v>
      </c>
    </row>
    <row r="814" spans="1:12" hidden="1">
      <c r="A814" s="2015">
        <v>41971</v>
      </c>
      <c r="B814" s="2016" t="s">
        <v>1785</v>
      </c>
      <c r="C814" s="2017">
        <v>1092</v>
      </c>
      <c r="D814" s="2015">
        <v>43063</v>
      </c>
      <c r="E814" s="2018">
        <v>9</v>
      </c>
      <c r="F814" s="2019">
        <v>6.3</v>
      </c>
      <c r="G814" s="2019">
        <v>6.3</v>
      </c>
      <c r="H814" s="2019"/>
      <c r="I814" s="2019">
        <v>4.25</v>
      </c>
      <c r="J814" s="2019">
        <v>4.25</v>
      </c>
      <c r="K814" s="2020"/>
      <c r="L814" s="2017">
        <v>2</v>
      </c>
    </row>
    <row r="815" spans="1:12" hidden="1">
      <c r="A815" s="2015">
        <v>41975</v>
      </c>
      <c r="B815" s="2016" t="s">
        <v>1795</v>
      </c>
      <c r="C815" s="2017">
        <v>35</v>
      </c>
      <c r="D815" s="2015">
        <v>42010</v>
      </c>
      <c r="E815" s="2018">
        <v>4</v>
      </c>
      <c r="F815" s="2019">
        <v>0</v>
      </c>
      <c r="G815" s="2019">
        <v>0</v>
      </c>
      <c r="H815" s="2019"/>
      <c r="I815" s="2019">
        <v>0</v>
      </c>
      <c r="J815" s="2019">
        <v>0</v>
      </c>
      <c r="K815" s="2020"/>
      <c r="L815" s="2017">
        <v>0</v>
      </c>
    </row>
    <row r="816" spans="1:12" hidden="1">
      <c r="A816" s="2015">
        <v>41975</v>
      </c>
      <c r="B816" s="2016" t="s">
        <v>1796</v>
      </c>
      <c r="C816" s="2017">
        <v>91</v>
      </c>
      <c r="D816" s="2015">
        <v>42066</v>
      </c>
      <c r="E816" s="2018">
        <v>4</v>
      </c>
      <c r="F816" s="2019">
        <v>0</v>
      </c>
      <c r="G816" s="2019">
        <v>0</v>
      </c>
      <c r="H816" s="2019"/>
      <c r="I816" s="2019">
        <v>0</v>
      </c>
      <c r="J816" s="2019">
        <v>0</v>
      </c>
      <c r="K816" s="2020"/>
      <c r="L816" s="2017">
        <v>0</v>
      </c>
    </row>
    <row r="817" spans="1:12" hidden="1">
      <c r="A817" s="2015">
        <v>41978</v>
      </c>
      <c r="B817" s="2016" t="s">
        <v>1797</v>
      </c>
      <c r="C817" s="2017">
        <v>364</v>
      </c>
      <c r="D817" s="2015">
        <v>42342</v>
      </c>
      <c r="E817" s="2018">
        <v>1</v>
      </c>
      <c r="F817" s="2019">
        <v>0</v>
      </c>
      <c r="G817" s="2019">
        <v>0</v>
      </c>
      <c r="H817" s="2019"/>
      <c r="I817" s="2019">
        <v>0</v>
      </c>
      <c r="J817" s="2019">
        <v>0</v>
      </c>
      <c r="K817" s="2020"/>
      <c r="L817" s="2017">
        <v>0</v>
      </c>
    </row>
    <row r="818" spans="1:12" hidden="1">
      <c r="A818" s="2015">
        <v>41982</v>
      </c>
      <c r="B818" s="2016" t="s">
        <v>1798</v>
      </c>
      <c r="C818" s="2017">
        <v>182</v>
      </c>
      <c r="D818" s="2015">
        <v>42164</v>
      </c>
      <c r="E818" s="2018">
        <v>4</v>
      </c>
      <c r="F818" s="2019">
        <v>0</v>
      </c>
      <c r="G818" s="2019">
        <v>0</v>
      </c>
      <c r="H818" s="2019"/>
      <c r="I818" s="2019">
        <v>0</v>
      </c>
      <c r="J818" s="2019">
        <v>0</v>
      </c>
      <c r="K818" s="2020"/>
      <c r="L818" s="2017">
        <v>0</v>
      </c>
    </row>
    <row r="819" spans="1:12" hidden="1">
      <c r="A819" s="2015">
        <v>41982</v>
      </c>
      <c r="B819" s="2016" t="s">
        <v>1799</v>
      </c>
      <c r="C819" s="2017">
        <v>364</v>
      </c>
      <c r="D819" s="2015">
        <v>42346</v>
      </c>
      <c r="E819" s="2018">
        <v>12</v>
      </c>
      <c r="F819" s="2019">
        <v>0</v>
      </c>
      <c r="G819" s="2019">
        <v>0</v>
      </c>
      <c r="H819" s="2019"/>
      <c r="I819" s="2019">
        <v>3.25</v>
      </c>
      <c r="J819" s="2019">
        <v>3.25</v>
      </c>
      <c r="K819" s="2020"/>
      <c r="L819" s="2017">
        <v>0</v>
      </c>
    </row>
    <row r="820" spans="1:12" hidden="1">
      <c r="A820" s="2015">
        <v>41985</v>
      </c>
      <c r="B820" s="2016" t="s">
        <v>1800</v>
      </c>
      <c r="C820" s="2017">
        <v>728</v>
      </c>
      <c r="D820" s="2015">
        <v>42713</v>
      </c>
      <c r="E820" s="2018">
        <v>4</v>
      </c>
      <c r="F820" s="2019">
        <v>0</v>
      </c>
      <c r="G820" s="2019">
        <v>0</v>
      </c>
      <c r="H820" s="2019"/>
      <c r="I820" s="2019">
        <v>3.75</v>
      </c>
      <c r="J820" s="2019">
        <v>3.75</v>
      </c>
      <c r="K820" s="2020"/>
      <c r="L820" s="2017">
        <v>0</v>
      </c>
    </row>
    <row r="821" spans="1:12" hidden="1">
      <c r="A821" s="2015">
        <v>41985</v>
      </c>
      <c r="B821" s="2016" t="s">
        <v>1801</v>
      </c>
      <c r="C821" s="2017">
        <v>1092</v>
      </c>
      <c r="D821" s="2015">
        <v>43077</v>
      </c>
      <c r="E821" s="2018">
        <v>9</v>
      </c>
      <c r="F821" s="2019">
        <v>0</v>
      </c>
      <c r="G821" s="2019">
        <v>0</v>
      </c>
      <c r="H821" s="2019"/>
      <c r="I821" s="2019">
        <v>4.25</v>
      </c>
      <c r="J821" s="2019">
        <v>4.25</v>
      </c>
      <c r="K821" s="2020"/>
      <c r="L821" s="2017">
        <v>0</v>
      </c>
    </row>
    <row r="822" spans="1:12" hidden="1">
      <c r="A822" s="2015">
        <v>41989</v>
      </c>
      <c r="B822" s="2016" t="s">
        <v>1802</v>
      </c>
      <c r="C822" s="2017">
        <v>35</v>
      </c>
      <c r="D822" s="2015">
        <v>42024</v>
      </c>
      <c r="E822" s="2018">
        <v>4</v>
      </c>
      <c r="F822" s="2019">
        <v>0.65090000000000003</v>
      </c>
      <c r="G822" s="2019">
        <v>0.65090000000000003</v>
      </c>
      <c r="H822" s="2019"/>
      <c r="I822" s="2019">
        <v>1.44</v>
      </c>
      <c r="J822" s="2019">
        <v>1.44</v>
      </c>
      <c r="K822" s="2020"/>
      <c r="L822" s="2017">
        <v>1</v>
      </c>
    </row>
    <row r="823" spans="1:12" hidden="1">
      <c r="A823" s="2015">
        <v>41989</v>
      </c>
      <c r="B823" s="2016" t="s">
        <v>1803</v>
      </c>
      <c r="C823" s="2017">
        <v>91</v>
      </c>
      <c r="D823" s="2015">
        <v>42080</v>
      </c>
      <c r="E823" s="2018">
        <v>4</v>
      </c>
      <c r="F823" s="2019">
        <v>0</v>
      </c>
      <c r="G823" s="2019">
        <v>0</v>
      </c>
      <c r="H823" s="2019"/>
      <c r="I823" s="2019">
        <v>0</v>
      </c>
      <c r="J823" s="2019">
        <v>0</v>
      </c>
      <c r="K823" s="2020"/>
      <c r="L823" s="2017">
        <v>0</v>
      </c>
    </row>
    <row r="824" spans="1:12" hidden="1">
      <c r="A824" s="2015">
        <v>41992</v>
      </c>
      <c r="B824" s="2016" t="s">
        <v>1804</v>
      </c>
      <c r="C824" s="2017">
        <v>364</v>
      </c>
      <c r="D824" s="2015">
        <v>42356</v>
      </c>
      <c r="E824" s="2018">
        <v>2</v>
      </c>
      <c r="F824" s="2019">
        <v>0</v>
      </c>
      <c r="G824" s="2019">
        <v>0</v>
      </c>
      <c r="H824" s="2019"/>
      <c r="I824" s="2019">
        <v>0</v>
      </c>
      <c r="J824" s="2019">
        <v>0</v>
      </c>
      <c r="K824" s="2020"/>
      <c r="L824" s="2017">
        <v>0</v>
      </c>
    </row>
    <row r="825" spans="1:12" hidden="1">
      <c r="A825" s="2015">
        <v>41996</v>
      </c>
      <c r="B825" s="2016" t="s">
        <v>1805</v>
      </c>
      <c r="C825" s="2017">
        <v>182</v>
      </c>
      <c r="D825" s="2015">
        <v>42178</v>
      </c>
      <c r="E825" s="2018">
        <v>4</v>
      </c>
      <c r="F825" s="2019">
        <v>0</v>
      </c>
      <c r="G825" s="2019">
        <v>0</v>
      </c>
      <c r="H825" s="2019"/>
      <c r="I825" s="2019">
        <v>0</v>
      </c>
      <c r="J825" s="2019">
        <v>0</v>
      </c>
      <c r="K825" s="2020"/>
      <c r="L825" s="2017">
        <v>0</v>
      </c>
    </row>
    <row r="826" spans="1:12" hidden="1">
      <c r="A826" s="2015">
        <v>41996</v>
      </c>
      <c r="B826" s="2016" t="s">
        <v>1806</v>
      </c>
      <c r="C826" s="2017">
        <v>364</v>
      </c>
      <c r="D826" s="2015">
        <v>42360</v>
      </c>
      <c r="E826" s="2018">
        <v>14</v>
      </c>
      <c r="F826" s="2019">
        <v>0</v>
      </c>
      <c r="G826" s="2019">
        <v>0</v>
      </c>
      <c r="H826" s="2019"/>
      <c r="I826" s="2019">
        <v>3.25</v>
      </c>
      <c r="J826" s="2019">
        <v>3.25</v>
      </c>
      <c r="K826" s="2020"/>
      <c r="L826" s="2017">
        <v>0</v>
      </c>
    </row>
    <row r="827" spans="1:12" hidden="1">
      <c r="A827" s="2015">
        <v>41999</v>
      </c>
      <c r="B827" s="2016" t="s">
        <v>1807</v>
      </c>
      <c r="C827" s="2017">
        <v>728</v>
      </c>
      <c r="D827" s="2015">
        <v>42727</v>
      </c>
      <c r="E827" s="2018">
        <v>4</v>
      </c>
      <c r="F827" s="2019">
        <v>0</v>
      </c>
      <c r="G827" s="2019">
        <v>0</v>
      </c>
      <c r="H827" s="2019"/>
      <c r="I827" s="2019">
        <v>3.75</v>
      </c>
      <c r="J827" s="2019">
        <v>3.75</v>
      </c>
      <c r="K827" s="2020"/>
      <c r="L827" s="2017">
        <v>0</v>
      </c>
    </row>
    <row r="828" spans="1:12" hidden="1">
      <c r="A828" s="2015">
        <v>41999</v>
      </c>
      <c r="B828" s="2016" t="s">
        <v>1808</v>
      </c>
      <c r="C828" s="2017">
        <v>1092</v>
      </c>
      <c r="D828" s="2015">
        <v>43091</v>
      </c>
      <c r="E828" s="2018">
        <v>9</v>
      </c>
      <c r="F828" s="2019">
        <v>3.5011000000000001</v>
      </c>
      <c r="G828" s="2019">
        <v>3.5011000000000001</v>
      </c>
      <c r="H828" s="2019"/>
      <c r="I828" s="2019">
        <v>4.25</v>
      </c>
      <c r="J828" s="2019">
        <v>4.25</v>
      </c>
      <c r="K828" s="2020"/>
      <c r="L828" s="2017">
        <v>2</v>
      </c>
    </row>
    <row r="829" spans="1:12" hidden="1">
      <c r="A829" s="2015">
        <v>42405</v>
      </c>
      <c r="B829" s="2016" t="s">
        <v>1880</v>
      </c>
      <c r="C829" s="2017">
        <v>182</v>
      </c>
      <c r="D829" s="2015">
        <v>42587</v>
      </c>
      <c r="E829" s="2018">
        <v>5</v>
      </c>
      <c r="F829" s="2019">
        <v>5</v>
      </c>
      <c r="G829" s="2019">
        <v>5</v>
      </c>
      <c r="H829" s="2019"/>
      <c r="I829" s="2019">
        <v>7.79</v>
      </c>
      <c r="J829" s="2019">
        <v>7.79</v>
      </c>
      <c r="K829" s="2020"/>
      <c r="L829" s="2017">
        <v>1</v>
      </c>
    </row>
    <row r="830" spans="1:12" hidden="1">
      <c r="A830" s="2015">
        <v>42405</v>
      </c>
      <c r="B830" s="2016" t="s">
        <v>1881</v>
      </c>
      <c r="C830" s="2017">
        <v>364</v>
      </c>
      <c r="D830" s="2015">
        <v>42769</v>
      </c>
      <c r="E830" s="2018">
        <v>15</v>
      </c>
      <c r="F830" s="2019">
        <v>15</v>
      </c>
      <c r="G830" s="2019">
        <v>15</v>
      </c>
      <c r="H830" s="2019"/>
      <c r="I830" s="2019">
        <v>8.7999999999999989</v>
      </c>
      <c r="J830" s="2019">
        <v>8.7900000000000009</v>
      </c>
      <c r="K830" s="2020"/>
      <c r="L830" s="2017">
        <v>1</v>
      </c>
    </row>
    <row r="831" spans="1:12" hidden="1">
      <c r="A831" s="2015">
        <v>42412</v>
      </c>
      <c r="B831" s="2016" t="s">
        <v>1882</v>
      </c>
      <c r="C831" s="2017">
        <v>182</v>
      </c>
      <c r="D831" s="2015">
        <v>42594</v>
      </c>
      <c r="E831" s="2018">
        <v>5</v>
      </c>
      <c r="F831" s="2019" t="s">
        <v>93</v>
      </c>
      <c r="G831" s="2019" t="s">
        <v>93</v>
      </c>
      <c r="H831" s="2019"/>
      <c r="I831" s="2019" t="s">
        <v>93</v>
      </c>
      <c r="J831" s="2019" t="s">
        <v>93</v>
      </c>
      <c r="K831" s="2020"/>
      <c r="L831" s="2017" t="s">
        <v>93</v>
      </c>
    </row>
    <row r="832" spans="1:12" hidden="1">
      <c r="A832" s="2015">
        <v>42412</v>
      </c>
      <c r="B832" s="2016" t="s">
        <v>1883</v>
      </c>
      <c r="C832" s="2017">
        <v>364</v>
      </c>
      <c r="D832" s="2015">
        <v>42776</v>
      </c>
      <c r="E832" s="2018">
        <v>15</v>
      </c>
      <c r="F832" s="2019" t="s">
        <v>93</v>
      </c>
      <c r="G832" s="2019" t="s">
        <v>93</v>
      </c>
      <c r="H832" s="2019"/>
      <c r="I832" s="2019" t="s">
        <v>93</v>
      </c>
      <c r="J832" s="2019" t="s">
        <v>93</v>
      </c>
      <c r="K832" s="2020"/>
      <c r="L832" s="2017" t="s">
        <v>93</v>
      </c>
    </row>
    <row r="833" spans="1:12" hidden="1">
      <c r="A833" s="2015">
        <v>42430</v>
      </c>
      <c r="B833" s="2016" t="s">
        <v>1884</v>
      </c>
      <c r="C833" s="2017">
        <v>91</v>
      </c>
      <c r="D833" s="2015">
        <v>42521</v>
      </c>
      <c r="E833" s="2018">
        <v>15</v>
      </c>
      <c r="F833" s="2019">
        <v>39.7455</v>
      </c>
      <c r="G833" s="2019">
        <v>15</v>
      </c>
      <c r="H833" s="2019"/>
      <c r="I833" s="2019">
        <v>17.046400000000002</v>
      </c>
      <c r="J833" s="2019">
        <v>16.6112</v>
      </c>
      <c r="K833" s="2020"/>
      <c r="L833" s="2017">
        <v>6</v>
      </c>
    </row>
    <row r="834" spans="1:12" hidden="1">
      <c r="A834" s="2015">
        <v>42444</v>
      </c>
      <c r="B834" s="2016" t="s">
        <v>1908</v>
      </c>
      <c r="C834" s="2017">
        <v>182</v>
      </c>
      <c r="D834" s="2015">
        <v>42626</v>
      </c>
      <c r="E834" s="2018">
        <v>10</v>
      </c>
      <c r="F834" s="2019">
        <v>35.819200000000002</v>
      </c>
      <c r="G834" s="2019">
        <v>10</v>
      </c>
      <c r="H834" s="2019"/>
      <c r="I834" s="2019">
        <v>15.2201</v>
      </c>
      <c r="J834" s="2019">
        <v>13.801600000000001</v>
      </c>
      <c r="K834" s="2020"/>
      <c r="L834" s="2017">
        <v>10</v>
      </c>
    </row>
    <row r="835" spans="1:12" hidden="1">
      <c r="A835" s="2015">
        <v>42465</v>
      </c>
      <c r="B835" s="2016" t="s">
        <v>1909</v>
      </c>
      <c r="C835" s="2017">
        <v>91</v>
      </c>
      <c r="D835" s="2015">
        <v>42556</v>
      </c>
      <c r="E835" s="2018">
        <v>15</v>
      </c>
      <c r="F835" s="2019">
        <v>56.508499999999998</v>
      </c>
      <c r="G835" s="2019">
        <v>15</v>
      </c>
      <c r="H835" s="2019"/>
      <c r="I835" s="2019">
        <v>12.1455</v>
      </c>
      <c r="J835" s="2019">
        <v>11.136100000000001</v>
      </c>
      <c r="K835" s="2020"/>
      <c r="L835" s="2017">
        <v>9</v>
      </c>
    </row>
    <row r="836" spans="1:12" hidden="1">
      <c r="A836" s="2015">
        <v>42479</v>
      </c>
      <c r="B836" s="2016" t="s">
        <v>1910</v>
      </c>
      <c r="C836" s="2017">
        <v>364</v>
      </c>
      <c r="D836" s="2015">
        <v>42843</v>
      </c>
      <c r="E836" s="2018">
        <v>10</v>
      </c>
      <c r="F836" s="2019">
        <v>12.0497</v>
      </c>
      <c r="G836" s="2019">
        <v>10</v>
      </c>
      <c r="H836" s="2019"/>
      <c r="I836" s="2019">
        <v>15.0115</v>
      </c>
      <c r="J836" s="2019">
        <v>11.3482</v>
      </c>
      <c r="K836" s="2020"/>
      <c r="L836" s="2017">
        <v>6</v>
      </c>
    </row>
    <row r="837" spans="1:12" hidden="1">
      <c r="A837" s="2015">
        <v>42479</v>
      </c>
      <c r="B837" s="2016" t="s">
        <v>1911</v>
      </c>
      <c r="C837" s="2017">
        <v>182</v>
      </c>
      <c r="D837" s="2015">
        <v>42661</v>
      </c>
      <c r="E837" s="2018">
        <v>10</v>
      </c>
      <c r="F837" s="2019">
        <v>26.464300000000001</v>
      </c>
      <c r="G837" s="2019">
        <v>10</v>
      </c>
      <c r="H837" s="2019"/>
      <c r="I837" s="2019">
        <v>13.143599999999999</v>
      </c>
      <c r="J837" s="2019">
        <v>12.1753</v>
      </c>
      <c r="K837" s="2020"/>
      <c r="L837" s="2017">
        <v>6</v>
      </c>
    </row>
    <row r="838" spans="1:12" hidden="1">
      <c r="A838" s="2015">
        <v>42493</v>
      </c>
      <c r="B838" s="2016" t="s">
        <v>1912</v>
      </c>
      <c r="C838" s="2017">
        <v>91</v>
      </c>
      <c r="D838" s="2015">
        <v>42584</v>
      </c>
      <c r="E838" s="2018">
        <v>15</v>
      </c>
      <c r="F838" s="2019">
        <v>44.451099999999997</v>
      </c>
      <c r="G838" s="2019">
        <v>15</v>
      </c>
      <c r="H838" s="2019"/>
      <c r="I838" s="2019">
        <v>12.0075</v>
      </c>
      <c r="J838" s="2019">
        <v>11.5524</v>
      </c>
      <c r="K838" s="2020"/>
      <c r="L838" s="2017">
        <v>7</v>
      </c>
    </row>
    <row r="839" spans="1:12" hidden="1">
      <c r="A839" s="2015">
        <v>42507</v>
      </c>
      <c r="B839" s="2016" t="s">
        <v>1913</v>
      </c>
      <c r="C839" s="2017">
        <v>364</v>
      </c>
      <c r="D839" s="2015">
        <v>42871</v>
      </c>
      <c r="E839" s="2018">
        <v>10</v>
      </c>
      <c r="F839" s="2019">
        <v>20.249199999999998</v>
      </c>
      <c r="G839" s="2019">
        <v>10</v>
      </c>
      <c r="H839" s="2019"/>
      <c r="I839" s="2019">
        <v>20.110199999999999</v>
      </c>
      <c r="J839" s="2019">
        <v>11.9056</v>
      </c>
      <c r="K839" s="2020"/>
      <c r="L839" s="2017">
        <v>6</v>
      </c>
    </row>
    <row r="840" spans="1:12" hidden="1">
      <c r="A840" s="2015">
        <v>42507</v>
      </c>
      <c r="B840" s="2016" t="s">
        <v>1914</v>
      </c>
      <c r="C840" s="2017">
        <v>182</v>
      </c>
      <c r="D840" s="2015">
        <v>42689</v>
      </c>
      <c r="E840" s="2018">
        <v>10</v>
      </c>
      <c r="F840" s="2019">
        <v>26.177700000000002</v>
      </c>
      <c r="G840" s="2019">
        <v>10</v>
      </c>
      <c r="H840" s="2019"/>
      <c r="I840" s="2019">
        <v>12.930300000000001</v>
      </c>
      <c r="J840" s="2019">
        <v>12.0854</v>
      </c>
      <c r="K840" s="2020"/>
      <c r="L840" s="2017">
        <v>6</v>
      </c>
    </row>
    <row r="841" spans="1:12" hidden="1">
      <c r="A841" s="2015">
        <v>42521</v>
      </c>
      <c r="B841" s="2016" t="s">
        <v>1915</v>
      </c>
      <c r="C841" s="2017">
        <v>91</v>
      </c>
      <c r="D841" s="2015">
        <v>42612</v>
      </c>
      <c r="E841" s="2018">
        <v>5</v>
      </c>
      <c r="F841" s="2019">
        <v>25.840699999999998</v>
      </c>
      <c r="G841" s="2019">
        <v>5</v>
      </c>
      <c r="H841" s="2019"/>
      <c r="I841" s="2019">
        <v>10.1387</v>
      </c>
      <c r="J841" s="2019">
        <v>9.0093000000000014</v>
      </c>
      <c r="K841" s="2020"/>
      <c r="L841" s="2017">
        <v>10</v>
      </c>
    </row>
    <row r="842" spans="1:12" hidden="1">
      <c r="A842" s="2015">
        <v>42542</v>
      </c>
      <c r="B842" s="2016" t="s">
        <v>1898</v>
      </c>
      <c r="C842" s="2017">
        <v>182</v>
      </c>
      <c r="D842" s="2015">
        <v>42724</v>
      </c>
      <c r="E842" s="2018">
        <v>10</v>
      </c>
      <c r="F842" s="2019">
        <v>52.814500000000002</v>
      </c>
      <c r="G842" s="2019">
        <v>10</v>
      </c>
      <c r="H842" s="2019"/>
      <c r="I842" s="2019">
        <v>8.5571000000000002</v>
      </c>
      <c r="J842" s="2019">
        <v>8.5571000000000002</v>
      </c>
      <c r="K842" s="2020"/>
      <c r="L842" s="2017">
        <v>12</v>
      </c>
    </row>
    <row r="843" spans="1:12" hidden="1">
      <c r="A843" s="2015">
        <v>42542</v>
      </c>
      <c r="B843" s="2016" t="s">
        <v>1899</v>
      </c>
      <c r="C843" s="2017">
        <v>364</v>
      </c>
      <c r="D843" s="2015">
        <v>42906</v>
      </c>
      <c r="E843" s="2018">
        <v>10</v>
      </c>
      <c r="F843" s="2019">
        <v>36.436999999999998</v>
      </c>
      <c r="G843" s="2019">
        <v>10</v>
      </c>
      <c r="H843" s="2019"/>
      <c r="I843" s="2019">
        <v>9.4970999999999997</v>
      </c>
      <c r="J843" s="2019">
        <v>9.4761000000000006</v>
      </c>
      <c r="K843" s="2020"/>
      <c r="L843" s="2017">
        <v>11</v>
      </c>
    </row>
    <row r="844" spans="1:12" hidden="1">
      <c r="A844" s="2015">
        <v>42556</v>
      </c>
      <c r="B844" s="2016" t="s">
        <v>1900</v>
      </c>
      <c r="C844" s="2017">
        <v>91</v>
      </c>
      <c r="D844" s="2015">
        <v>42647</v>
      </c>
      <c r="E844" s="2018">
        <v>20</v>
      </c>
      <c r="F844" s="2019">
        <v>67.259699999999995</v>
      </c>
      <c r="G844" s="2019">
        <v>20</v>
      </c>
      <c r="H844" s="2019"/>
      <c r="I844" s="2019">
        <v>7.0971999999999991</v>
      </c>
      <c r="J844" s="2019">
        <v>6.8553000000000006</v>
      </c>
      <c r="K844" s="2020"/>
      <c r="L844" s="2017">
        <v>11</v>
      </c>
    </row>
    <row r="845" spans="1:12" hidden="1">
      <c r="A845" s="2015">
        <v>42577</v>
      </c>
      <c r="B845" s="2016" t="s">
        <v>1901</v>
      </c>
      <c r="C845" s="2017">
        <v>91</v>
      </c>
      <c r="D845" s="2015">
        <v>42654</v>
      </c>
      <c r="E845" s="2018">
        <v>10</v>
      </c>
      <c r="F845" s="2019">
        <v>40.993299999999998</v>
      </c>
      <c r="G845" s="2019">
        <v>10</v>
      </c>
      <c r="H845" s="2019"/>
      <c r="I845" s="2019">
        <v>6.0667</v>
      </c>
      <c r="J845" s="2019">
        <v>5.5103</v>
      </c>
      <c r="K845" s="2020"/>
      <c r="L845" s="2017">
        <v>8</v>
      </c>
    </row>
    <row r="846" spans="1:12" hidden="1">
      <c r="A846" s="2015">
        <v>42577</v>
      </c>
      <c r="B846" s="2016" t="s">
        <v>1902</v>
      </c>
      <c r="C846" s="2017">
        <v>182</v>
      </c>
      <c r="D846" s="2015">
        <v>42759</v>
      </c>
      <c r="E846" s="2018">
        <v>15</v>
      </c>
      <c r="F846" s="2019">
        <v>25.240600000000001</v>
      </c>
      <c r="G846" s="2019">
        <v>4.7816000000000001</v>
      </c>
      <c r="H846" s="2019"/>
      <c r="I846" s="2019">
        <v>10.9003</v>
      </c>
      <c r="J846" s="2019">
        <v>7.9070999999999998</v>
      </c>
      <c r="K846" s="2020"/>
      <c r="L846" s="2017">
        <v>7</v>
      </c>
    </row>
    <row r="847" spans="1:12" hidden="1">
      <c r="A847" s="2015">
        <v>42584</v>
      </c>
      <c r="B847" s="2016" t="s">
        <v>1903</v>
      </c>
      <c r="C847" s="2017">
        <v>91</v>
      </c>
      <c r="D847" s="2015">
        <v>42675</v>
      </c>
      <c r="E847" s="2018">
        <v>20</v>
      </c>
      <c r="F847" s="2019">
        <v>35.409999999999997</v>
      </c>
      <c r="G847" s="2019">
        <v>15.186299999999999</v>
      </c>
      <c r="H847" s="2019"/>
      <c r="I847" s="2019">
        <v>11.0108</v>
      </c>
      <c r="J847" s="2019">
        <v>8.4576999999999991</v>
      </c>
      <c r="K847" s="2020"/>
      <c r="L847" s="2017">
        <v>5</v>
      </c>
    </row>
    <row r="848" spans="1:12" hidden="1">
      <c r="A848" s="2015">
        <v>42591</v>
      </c>
      <c r="B848" s="2016" t="s">
        <v>1904</v>
      </c>
      <c r="C848" s="2017">
        <v>91</v>
      </c>
      <c r="D848" s="2015">
        <v>42682</v>
      </c>
      <c r="E848" s="2018">
        <v>10</v>
      </c>
      <c r="F848" s="2019">
        <v>27.419</v>
      </c>
      <c r="G848" s="2019">
        <v>10</v>
      </c>
      <c r="H848" s="2019"/>
      <c r="I848" s="2019">
        <v>10.000399999999999</v>
      </c>
      <c r="J848" s="2019">
        <v>9.8694000000000006</v>
      </c>
      <c r="K848" s="2020"/>
      <c r="L848" s="2017">
        <v>7</v>
      </c>
    </row>
    <row r="849" spans="1:12" hidden="1">
      <c r="A849" s="2015">
        <v>42605</v>
      </c>
      <c r="B849" s="2016" t="s">
        <v>1905</v>
      </c>
      <c r="C849" s="2017">
        <v>182</v>
      </c>
      <c r="D849" s="2015">
        <v>42787</v>
      </c>
      <c r="E849" s="2018">
        <v>10</v>
      </c>
      <c r="F849" s="2019">
        <v>14.005699999999999</v>
      </c>
      <c r="G849" s="2019">
        <v>7.3201999999999998</v>
      </c>
      <c r="H849" s="2019"/>
      <c r="I849" s="2019">
        <v>11.0017</v>
      </c>
      <c r="J849" s="2019">
        <v>9.251199999999999</v>
      </c>
      <c r="K849" s="2020"/>
      <c r="L849" s="2017">
        <v>6</v>
      </c>
    </row>
    <row r="850" spans="1:12" hidden="1">
      <c r="A850" s="2015">
        <v>42605</v>
      </c>
      <c r="B850" s="2016" t="s">
        <v>1906</v>
      </c>
      <c r="C850" s="2017">
        <v>364</v>
      </c>
      <c r="D850" s="2015">
        <v>42969</v>
      </c>
      <c r="E850" s="2018">
        <v>10</v>
      </c>
      <c r="F850" s="2019">
        <v>16.123200000000001</v>
      </c>
      <c r="G850" s="2019">
        <v>5.4733999999999998</v>
      </c>
      <c r="H850" s="2019"/>
      <c r="I850" s="2019">
        <v>9.5212000000000003</v>
      </c>
      <c r="J850" s="2019">
        <v>9.5212000000000003</v>
      </c>
      <c r="K850" s="2020"/>
      <c r="L850" s="2017">
        <v>5</v>
      </c>
    </row>
    <row r="851" spans="1:12" hidden="1">
      <c r="A851" s="2015">
        <v>42612</v>
      </c>
      <c r="B851" s="2016" t="s">
        <v>1907</v>
      </c>
      <c r="C851" s="2017">
        <v>91</v>
      </c>
      <c r="D851" s="2015">
        <v>42703</v>
      </c>
      <c r="E851" s="2018">
        <v>10</v>
      </c>
      <c r="F851" s="2019">
        <v>33.714500000000001</v>
      </c>
      <c r="G851" s="2019">
        <v>10</v>
      </c>
      <c r="H851" s="2019"/>
      <c r="I851" s="2019">
        <v>9.9001000000000001</v>
      </c>
      <c r="J851" s="2019">
        <v>9.3264999999999993</v>
      </c>
      <c r="K851" s="2020"/>
      <c r="L851" s="2017">
        <v>8</v>
      </c>
    </row>
    <row r="852" spans="1:12" hidden="1">
      <c r="A852" s="2015">
        <v>42619</v>
      </c>
      <c r="B852" s="2016" t="s">
        <v>1916</v>
      </c>
      <c r="C852" s="2017">
        <v>364</v>
      </c>
      <c r="D852" s="2015">
        <v>42983</v>
      </c>
      <c r="E852" s="2018">
        <v>10</v>
      </c>
      <c r="F852" s="2019">
        <v>8.1966999999999999</v>
      </c>
      <c r="G852" s="2019">
        <v>5.4733999999999998</v>
      </c>
      <c r="H852" s="2019"/>
      <c r="I852" s="2019">
        <v>9.5212000000000003</v>
      </c>
      <c r="J852" s="2019">
        <v>9.5212000000000003</v>
      </c>
      <c r="K852" s="2020"/>
      <c r="L852" s="2017">
        <v>2</v>
      </c>
    </row>
    <row r="853" spans="1:12" hidden="1">
      <c r="A853" s="2015">
        <v>42619</v>
      </c>
      <c r="B853" s="2016" t="s">
        <v>1917</v>
      </c>
      <c r="C853" s="2017">
        <v>182</v>
      </c>
      <c r="D853" s="2015">
        <v>42801</v>
      </c>
      <c r="E853" s="2018">
        <v>20</v>
      </c>
      <c r="F853" s="2019">
        <v>2.9535</v>
      </c>
      <c r="G853" s="2019">
        <v>1.0535000000000001</v>
      </c>
      <c r="H853" s="2019"/>
      <c r="I853" s="2019">
        <v>10.792400000000001</v>
      </c>
      <c r="J853" s="2019">
        <v>10.792400000000001</v>
      </c>
      <c r="K853" s="2020"/>
      <c r="L853" s="2017">
        <v>2</v>
      </c>
    </row>
    <row r="854" spans="1:12" hidden="1">
      <c r="A854" s="2015">
        <v>42633</v>
      </c>
      <c r="B854" s="2016" t="s">
        <v>1918</v>
      </c>
      <c r="C854" s="2017">
        <v>364</v>
      </c>
      <c r="D854" s="2015">
        <v>42997</v>
      </c>
      <c r="E854" s="2018">
        <v>10</v>
      </c>
      <c r="F854" s="2019">
        <v>19.349499999999999</v>
      </c>
      <c r="G854" s="2019">
        <v>10</v>
      </c>
      <c r="H854" s="2019"/>
      <c r="I854" s="2019">
        <v>16.990600000000001</v>
      </c>
      <c r="J854" s="2019">
        <v>15.380599999999999</v>
      </c>
      <c r="K854" s="2020"/>
      <c r="L854" s="2017">
        <v>6</v>
      </c>
    </row>
    <row r="855" spans="1:12" hidden="1">
      <c r="A855" s="2015">
        <v>42647</v>
      </c>
      <c r="B855" s="2016" t="s">
        <v>1919</v>
      </c>
      <c r="C855" s="2017">
        <v>91</v>
      </c>
      <c r="D855" s="2015">
        <v>42738</v>
      </c>
      <c r="E855" s="2018">
        <v>22</v>
      </c>
      <c r="F855" s="2019">
        <v>5.3319999999999999</v>
      </c>
      <c r="G855" s="2019">
        <v>5.3319999999999999</v>
      </c>
      <c r="H855" s="2019"/>
      <c r="I855" s="2019">
        <v>18.45</v>
      </c>
      <c r="J855" s="2019">
        <v>14.937800000000001</v>
      </c>
      <c r="K855" s="2020"/>
      <c r="L855" s="2017">
        <v>3</v>
      </c>
    </row>
    <row r="856" spans="1:12" hidden="1">
      <c r="A856" s="2015">
        <v>42654</v>
      </c>
      <c r="B856" s="2016" t="s">
        <v>1920</v>
      </c>
      <c r="C856" s="2017">
        <v>364</v>
      </c>
      <c r="D856" s="2015">
        <v>43018</v>
      </c>
      <c r="E856" s="2018">
        <v>15</v>
      </c>
      <c r="F856" s="2019">
        <v>37.543900000000001</v>
      </c>
      <c r="G856" s="2019">
        <v>15</v>
      </c>
      <c r="H856" s="2019"/>
      <c r="I856" s="2019">
        <v>15.0413</v>
      </c>
      <c r="J856" s="2019">
        <v>14.970800000000001</v>
      </c>
      <c r="K856" s="2020"/>
      <c r="L856" s="2017">
        <v>8</v>
      </c>
    </row>
    <row r="857" spans="1:12" hidden="1">
      <c r="A857" s="2015">
        <v>42661</v>
      </c>
      <c r="B857" s="2016" t="s">
        <v>1921</v>
      </c>
      <c r="C857" s="2017">
        <v>182</v>
      </c>
      <c r="D857" s="2015">
        <v>42843</v>
      </c>
      <c r="E857" s="2018">
        <v>20</v>
      </c>
      <c r="F857" s="2019">
        <v>7.1361999999999997</v>
      </c>
      <c r="G857" s="2019">
        <v>7.1361999999999997</v>
      </c>
      <c r="H857" s="2019"/>
      <c r="I857" s="2019">
        <v>19.215900000000001</v>
      </c>
      <c r="J857" s="2019">
        <v>17.160800000000002</v>
      </c>
      <c r="K857" s="2020"/>
      <c r="L857" s="2017">
        <v>4</v>
      </c>
    </row>
    <row r="858" spans="1:12" hidden="1">
      <c r="A858" s="2015">
        <v>42668</v>
      </c>
      <c r="B858" s="2016" t="s">
        <v>1922</v>
      </c>
      <c r="C858" s="2017">
        <v>364</v>
      </c>
      <c r="D858" s="2015">
        <v>43032</v>
      </c>
      <c r="E858" s="2018">
        <v>10</v>
      </c>
      <c r="F858" s="2019">
        <v>17.736799999999999</v>
      </c>
      <c r="G858" s="2019">
        <v>10</v>
      </c>
      <c r="H858" s="2019"/>
      <c r="I858" s="2019">
        <v>15.0413</v>
      </c>
      <c r="J858" s="2019">
        <v>15.035599999999999</v>
      </c>
      <c r="K858" s="2020"/>
      <c r="L858" s="2017">
        <v>4</v>
      </c>
    </row>
    <row r="859" spans="1:12" hidden="1">
      <c r="A859" s="2015">
        <v>42668</v>
      </c>
      <c r="B859" s="2016" t="s">
        <v>1923</v>
      </c>
      <c r="C859" s="2017">
        <v>182</v>
      </c>
      <c r="D859" s="2015">
        <v>42850</v>
      </c>
      <c r="E859" s="2018">
        <v>17</v>
      </c>
      <c r="F859" s="2019">
        <v>23.338100000000001</v>
      </c>
      <c r="G859" s="2019">
        <v>17</v>
      </c>
      <c r="H859" s="2019"/>
      <c r="I859" s="2019">
        <v>19.998899999999999</v>
      </c>
      <c r="J859" s="2019">
        <v>18.574999999999999</v>
      </c>
      <c r="K859" s="2020"/>
      <c r="L859" s="2017">
        <v>6</v>
      </c>
    </row>
    <row r="860" spans="1:12" hidden="1">
      <c r="A860" s="2015">
        <v>42675</v>
      </c>
      <c r="B860" s="2016" t="s">
        <v>1924</v>
      </c>
      <c r="C860" s="2017">
        <v>91</v>
      </c>
      <c r="D860" s="2015">
        <v>42766</v>
      </c>
      <c r="E860" s="2018">
        <v>22</v>
      </c>
      <c r="F860" s="2019">
        <v>63.266100000000002</v>
      </c>
      <c r="G860" s="2019">
        <v>22</v>
      </c>
      <c r="H860" s="2019"/>
      <c r="I860" s="2019">
        <v>18.995100000000001</v>
      </c>
      <c r="J860" s="2019">
        <v>18.442900000000002</v>
      </c>
      <c r="K860" s="2020"/>
      <c r="L860" s="2017">
        <v>8</v>
      </c>
    </row>
    <row r="861" spans="1:12" hidden="1">
      <c r="A861" s="2015">
        <v>42682</v>
      </c>
      <c r="B861" s="2016" t="s">
        <v>1925</v>
      </c>
      <c r="C861" s="2017">
        <v>364</v>
      </c>
      <c r="D861" s="2015">
        <v>43046</v>
      </c>
      <c r="E861" s="2018">
        <v>15</v>
      </c>
      <c r="F861" s="2019">
        <v>34.070999999999998</v>
      </c>
      <c r="G861" s="2019">
        <v>15</v>
      </c>
      <c r="H861" s="2019"/>
      <c r="I861" s="2019">
        <v>15.082799999999999</v>
      </c>
      <c r="J861" s="2019">
        <v>14.971699999999998</v>
      </c>
      <c r="K861" s="2020"/>
      <c r="L861" s="2017">
        <v>6</v>
      </c>
    </row>
    <row r="862" spans="1:12" hidden="1">
      <c r="A862" s="2015">
        <v>42689</v>
      </c>
      <c r="B862" s="2016" t="s">
        <v>1926</v>
      </c>
      <c r="C862" s="2017">
        <v>182</v>
      </c>
      <c r="D862" s="2015">
        <v>42871</v>
      </c>
      <c r="E862" s="2018">
        <v>19</v>
      </c>
      <c r="F862" s="2019">
        <v>33.380299999999998</v>
      </c>
      <c r="G862" s="2019">
        <v>19</v>
      </c>
      <c r="H862" s="2019"/>
      <c r="I862" s="2019">
        <v>17.997399999999999</v>
      </c>
      <c r="J862" s="2019">
        <v>15.8499</v>
      </c>
      <c r="K862" s="2020"/>
      <c r="L862" s="2017">
        <v>6</v>
      </c>
    </row>
    <row r="863" spans="1:12" hidden="1">
      <c r="A863" s="2015">
        <v>42703</v>
      </c>
      <c r="B863" s="2016" t="s">
        <v>1927</v>
      </c>
      <c r="C863" s="2017">
        <v>182</v>
      </c>
      <c r="D863" s="2015">
        <v>42885</v>
      </c>
      <c r="E863" s="2018">
        <v>20</v>
      </c>
      <c r="F863" s="2019">
        <v>35.011499999999998</v>
      </c>
      <c r="G863" s="2019">
        <v>20</v>
      </c>
      <c r="H863" s="2019"/>
      <c r="I863" s="2019">
        <v>18.4998</v>
      </c>
      <c r="J863" s="2019">
        <v>18.1082</v>
      </c>
      <c r="K863" s="2020"/>
      <c r="L863" s="2017">
        <v>7</v>
      </c>
    </row>
    <row r="864" spans="1:12" hidden="1">
      <c r="A864" s="2015">
        <v>42717</v>
      </c>
      <c r="B864" s="2016" t="s">
        <v>1933</v>
      </c>
      <c r="C864" s="2017">
        <v>91</v>
      </c>
      <c r="D864" s="2015">
        <v>42808</v>
      </c>
      <c r="E864" s="2018">
        <v>10</v>
      </c>
      <c r="F864" s="2019">
        <v>25.734000000000002</v>
      </c>
      <c r="G864" s="2019">
        <v>10</v>
      </c>
      <c r="H864" s="2019"/>
      <c r="I864" s="2019">
        <v>18.1494</v>
      </c>
      <c r="J864" s="2019">
        <v>17.872399999999999</v>
      </c>
      <c r="K864" s="2020"/>
      <c r="L864" s="2017">
        <v>7</v>
      </c>
    </row>
    <row r="865" spans="1:12" hidden="1">
      <c r="A865" s="2015">
        <v>42724</v>
      </c>
      <c r="B865" s="2016" t="s">
        <v>1934</v>
      </c>
      <c r="C865" s="2017">
        <v>364</v>
      </c>
      <c r="D865" s="2015">
        <v>43088</v>
      </c>
      <c r="E865" s="2018">
        <v>10</v>
      </c>
      <c r="F865" s="2019">
        <v>11.585800000000001</v>
      </c>
      <c r="G865" s="2019">
        <v>0</v>
      </c>
      <c r="H865" s="2019"/>
      <c r="I865" s="2019">
        <v>0</v>
      </c>
      <c r="J865" s="2019">
        <v>0</v>
      </c>
      <c r="K865" s="2020"/>
      <c r="L865" s="2017">
        <v>0</v>
      </c>
    </row>
    <row r="866" spans="1:12" hidden="1">
      <c r="A866" s="2015">
        <v>42724</v>
      </c>
      <c r="B866" s="2016" t="s">
        <v>1935</v>
      </c>
      <c r="C866" s="2017">
        <v>182</v>
      </c>
      <c r="D866" s="2015">
        <v>42906</v>
      </c>
      <c r="E866" s="2018">
        <v>15</v>
      </c>
      <c r="F866" s="2019">
        <v>23.9602</v>
      </c>
      <c r="G866" s="2019">
        <v>15</v>
      </c>
      <c r="H866" s="2019"/>
      <c r="I866" s="2019">
        <v>18.999600000000001</v>
      </c>
      <c r="J866" s="2019">
        <v>18.2681</v>
      </c>
      <c r="K866" s="2020"/>
      <c r="L866" s="2017">
        <v>8</v>
      </c>
    </row>
    <row r="867" spans="1:12" hidden="1">
      <c r="A867" s="2015">
        <v>42731</v>
      </c>
      <c r="B867" s="2016" t="s">
        <v>1936</v>
      </c>
      <c r="C867" s="2017">
        <v>182</v>
      </c>
      <c r="D867" s="2015">
        <v>42913</v>
      </c>
      <c r="E867" s="2018">
        <v>10</v>
      </c>
      <c r="F867" s="2019">
        <v>18.284400000000002</v>
      </c>
      <c r="G867" s="2019">
        <v>10</v>
      </c>
      <c r="H867" s="2019"/>
      <c r="I867" s="2019">
        <v>18.850000000000001</v>
      </c>
      <c r="J867" s="2019">
        <v>18.224699999999999</v>
      </c>
      <c r="K867" s="2020"/>
      <c r="L867" s="2017">
        <v>6</v>
      </c>
    </row>
    <row r="868" spans="1:12" hidden="1">
      <c r="A868" s="2015">
        <v>42731</v>
      </c>
      <c r="B868" s="2016" t="s">
        <v>1937</v>
      </c>
      <c r="C868" s="2017">
        <v>364</v>
      </c>
      <c r="D868" s="2015">
        <v>43095</v>
      </c>
      <c r="E868" s="2018">
        <v>10</v>
      </c>
      <c r="F868" s="2019">
        <v>14.7433</v>
      </c>
      <c r="G868" s="2019">
        <v>10</v>
      </c>
      <c r="H868" s="2019"/>
      <c r="I868" s="2019">
        <v>20.9999</v>
      </c>
      <c r="J868" s="2019">
        <v>19.471599999999999</v>
      </c>
      <c r="K868" s="2020"/>
      <c r="L868" s="2017">
        <v>3</v>
      </c>
    </row>
    <row r="869" spans="1:12" hidden="1">
      <c r="A869" s="2015">
        <v>42769</v>
      </c>
      <c r="B869" s="2016" t="s">
        <v>1947</v>
      </c>
      <c r="C869" s="2017">
        <v>364</v>
      </c>
      <c r="D869" s="2015">
        <v>43133</v>
      </c>
      <c r="E869" s="2018">
        <v>15</v>
      </c>
      <c r="F869" s="2019">
        <v>41.646999999999998</v>
      </c>
      <c r="G869" s="2019">
        <v>15</v>
      </c>
      <c r="H869" s="2019"/>
      <c r="I869" s="2019">
        <v>18.602499999999999</v>
      </c>
      <c r="J869" s="2019">
        <v>18.3413</v>
      </c>
      <c r="K869" s="2020"/>
      <c r="L869" s="2017">
        <v>9</v>
      </c>
    </row>
    <row r="870" spans="1:12" hidden="1">
      <c r="A870" s="2015">
        <v>42787</v>
      </c>
      <c r="B870" s="2016" t="s">
        <v>1948</v>
      </c>
      <c r="C870" s="2017">
        <v>182</v>
      </c>
      <c r="D870" s="2015">
        <v>42969</v>
      </c>
      <c r="E870" s="2018">
        <v>10</v>
      </c>
      <c r="F870" s="2019">
        <v>36.215299999999999</v>
      </c>
      <c r="G870" s="2019">
        <v>10</v>
      </c>
      <c r="H870" s="2019"/>
      <c r="I870" s="2019">
        <v>16.591200000000001</v>
      </c>
      <c r="J870" s="2019">
        <v>15.7608</v>
      </c>
      <c r="K870" s="2020"/>
      <c r="L870" s="2017">
        <v>9</v>
      </c>
    </row>
    <row r="871" spans="1:12" hidden="1">
      <c r="A871" s="2015">
        <v>42794</v>
      </c>
      <c r="B871" s="2016" t="s">
        <v>1949</v>
      </c>
      <c r="C871" s="2017">
        <v>728</v>
      </c>
      <c r="D871" s="2015">
        <v>43522</v>
      </c>
      <c r="E871" s="2018">
        <v>10</v>
      </c>
      <c r="F871" s="2019">
        <v>23.5442</v>
      </c>
      <c r="G871" s="2019">
        <v>10</v>
      </c>
      <c r="H871" s="2019"/>
      <c r="I871" s="2019">
        <v>15</v>
      </c>
      <c r="J871" s="2019">
        <v>15</v>
      </c>
      <c r="K871" s="2020"/>
      <c r="L871" s="2017">
        <v>7</v>
      </c>
    </row>
    <row r="872" spans="1:12" hidden="1">
      <c r="A872" s="2015">
        <v>42801</v>
      </c>
      <c r="B872" s="2016" t="s">
        <v>1956</v>
      </c>
      <c r="C872" s="2017">
        <v>182</v>
      </c>
      <c r="D872" s="2015">
        <v>42983</v>
      </c>
      <c r="E872" s="2018">
        <v>10</v>
      </c>
      <c r="F872" s="2019">
        <v>42.909799999999997</v>
      </c>
      <c r="G872" s="2019">
        <v>10</v>
      </c>
      <c r="H872" s="2019"/>
      <c r="I872" s="2019">
        <v>15.6722</v>
      </c>
      <c r="J872" s="2019">
        <v>15.560199999999998</v>
      </c>
      <c r="K872" s="2020"/>
      <c r="L872" s="2017">
        <v>11</v>
      </c>
    </row>
    <row r="873" spans="1:12" hidden="1">
      <c r="A873" s="2015">
        <v>42808</v>
      </c>
      <c r="B873" s="2016" t="s">
        <v>1957</v>
      </c>
      <c r="C873" s="2017">
        <v>364</v>
      </c>
      <c r="D873" s="2015">
        <v>43172</v>
      </c>
      <c r="E873" s="2018">
        <v>25</v>
      </c>
      <c r="F873" s="2019">
        <v>56.398800000000001</v>
      </c>
      <c r="G873" s="2019">
        <v>25</v>
      </c>
      <c r="H873" s="2019"/>
      <c r="I873" s="2019">
        <v>17.9999</v>
      </c>
      <c r="J873" s="2019">
        <v>16.357299999999999</v>
      </c>
      <c r="K873" s="2020"/>
      <c r="L873" s="2017">
        <v>9</v>
      </c>
    </row>
    <row r="874" spans="1:12" hidden="1">
      <c r="A874" s="2015">
        <v>42822</v>
      </c>
      <c r="B874" s="2016" t="s">
        <v>1958</v>
      </c>
      <c r="C874" s="2017">
        <v>728</v>
      </c>
      <c r="D874" s="2015">
        <v>43550</v>
      </c>
      <c r="E874" s="2018">
        <v>10</v>
      </c>
      <c r="F874" s="2019">
        <v>26.5505</v>
      </c>
      <c r="G874" s="2019">
        <v>9.4984999999999999</v>
      </c>
      <c r="H874" s="2019"/>
      <c r="I874" s="2019">
        <v>15</v>
      </c>
      <c r="J874" s="2019">
        <v>14.993699999999999</v>
      </c>
      <c r="K874" s="2020"/>
      <c r="L874" s="2017">
        <v>5</v>
      </c>
    </row>
    <row r="875" spans="1:12" hidden="1">
      <c r="A875" s="2015">
        <v>42829</v>
      </c>
      <c r="B875" s="2016" t="s">
        <v>1963</v>
      </c>
      <c r="C875" s="2017">
        <v>91</v>
      </c>
      <c r="D875" s="2015">
        <v>42920</v>
      </c>
      <c r="E875" s="2018">
        <v>20</v>
      </c>
      <c r="F875" s="2019">
        <v>33.554299999999998</v>
      </c>
      <c r="G875" s="2019">
        <v>20</v>
      </c>
      <c r="H875" s="2019"/>
      <c r="I875" s="2019">
        <v>17.9998</v>
      </c>
      <c r="J875" s="2019">
        <v>16.758600000000001</v>
      </c>
      <c r="K875" s="2020"/>
      <c r="L875" s="2017">
        <v>9</v>
      </c>
    </row>
    <row r="876" spans="1:12" hidden="1">
      <c r="A876" s="2015">
        <v>42836</v>
      </c>
      <c r="B876" s="2016" t="s">
        <v>1964</v>
      </c>
      <c r="C876" s="2017">
        <v>728</v>
      </c>
      <c r="D876" s="2015">
        <v>43564</v>
      </c>
      <c r="E876" s="2018">
        <v>35</v>
      </c>
      <c r="F876" s="2019">
        <v>33.738399999999999</v>
      </c>
      <c r="G876" s="2019">
        <v>14.998699999999999</v>
      </c>
      <c r="H876" s="2019"/>
      <c r="I876" s="2019">
        <v>15</v>
      </c>
      <c r="J876" s="2019">
        <v>15</v>
      </c>
      <c r="K876" s="2020"/>
      <c r="L876" s="2017">
        <v>4</v>
      </c>
    </row>
    <row r="877" spans="1:12" hidden="1">
      <c r="A877" s="2015">
        <v>42843</v>
      </c>
      <c r="B877" s="2016" t="s">
        <v>1965</v>
      </c>
      <c r="C877" s="2017">
        <v>364</v>
      </c>
      <c r="D877" s="2015">
        <v>43207</v>
      </c>
      <c r="E877" s="2018">
        <v>60</v>
      </c>
      <c r="F877" s="2019">
        <v>79.046099999999996</v>
      </c>
      <c r="G877" s="2019">
        <v>59.72</v>
      </c>
      <c r="H877" s="2019"/>
      <c r="I877" s="2019">
        <v>18.037200000000002</v>
      </c>
      <c r="J877" s="2019">
        <v>17.3749</v>
      </c>
      <c r="K877" s="2020"/>
      <c r="L877" s="2017">
        <v>7</v>
      </c>
    </row>
    <row r="878" spans="1:12" hidden="1">
      <c r="A878" s="2015">
        <v>42843</v>
      </c>
      <c r="B878" s="2016" t="s">
        <v>1966</v>
      </c>
      <c r="C878" s="2017">
        <v>182</v>
      </c>
      <c r="D878" s="2015">
        <v>43025</v>
      </c>
      <c r="E878" s="2018">
        <v>20</v>
      </c>
      <c r="F878" s="2019">
        <v>41.430799999999998</v>
      </c>
      <c r="G878" s="2019">
        <v>20</v>
      </c>
      <c r="H878" s="2019"/>
      <c r="I878" s="2019">
        <v>16.998999999999999</v>
      </c>
      <c r="J878" s="2019">
        <v>16.547999999999998</v>
      </c>
      <c r="K878" s="2020"/>
      <c r="L878" s="2017">
        <v>6</v>
      </c>
    </row>
    <row r="879" spans="1:12" hidden="1">
      <c r="A879" s="2015">
        <v>42850</v>
      </c>
      <c r="B879" s="2016" t="s">
        <v>1967</v>
      </c>
      <c r="C879" s="2017">
        <v>364</v>
      </c>
      <c r="D879" s="2015">
        <v>43214</v>
      </c>
      <c r="E879" s="2018">
        <v>50</v>
      </c>
      <c r="F879" s="2019">
        <v>45.913200000000003</v>
      </c>
      <c r="G879" s="2019">
        <v>37.599699999999999</v>
      </c>
      <c r="H879" s="2019"/>
      <c r="I879" s="2019">
        <v>18.1632</v>
      </c>
      <c r="J879" s="2019">
        <v>17.0626</v>
      </c>
      <c r="K879" s="2020"/>
      <c r="L879" s="2017">
        <v>10</v>
      </c>
    </row>
    <row r="880" spans="1:12" hidden="1">
      <c r="A880" s="2015">
        <v>42857</v>
      </c>
      <c r="B880" s="2016" t="s">
        <v>1971</v>
      </c>
      <c r="C880" s="2017">
        <v>364</v>
      </c>
      <c r="D880" s="2015">
        <v>43221</v>
      </c>
      <c r="E880" s="2018">
        <v>25</v>
      </c>
      <c r="F880" s="2019">
        <v>50.255600000000001</v>
      </c>
      <c r="G880" s="2019">
        <v>25</v>
      </c>
      <c r="H880" s="2019"/>
      <c r="I880" s="2019">
        <v>18.2727</v>
      </c>
      <c r="J880" s="2019">
        <v>17.947199999999999</v>
      </c>
      <c r="K880" s="2020"/>
      <c r="L880" s="2017">
        <v>9</v>
      </c>
    </row>
    <row r="881" spans="1:12" hidden="1">
      <c r="A881" s="2015">
        <v>42871</v>
      </c>
      <c r="B881" s="2016" t="s">
        <v>1972</v>
      </c>
      <c r="C881" s="2017">
        <v>91</v>
      </c>
      <c r="D881" s="2015">
        <v>42962</v>
      </c>
      <c r="E881" s="2018">
        <v>10</v>
      </c>
      <c r="F881" s="2019">
        <v>39.960389999999997</v>
      </c>
      <c r="G881" s="2019">
        <v>10</v>
      </c>
      <c r="H881" s="2019"/>
      <c r="I881" s="2019">
        <v>14.491599999999998</v>
      </c>
      <c r="J881" s="2019">
        <v>13.7845</v>
      </c>
      <c r="K881" s="2020"/>
      <c r="L881" s="2017">
        <v>9</v>
      </c>
    </row>
    <row r="882" spans="1:12" hidden="1">
      <c r="A882" s="2015">
        <v>42878</v>
      </c>
      <c r="B882" s="2016" t="s">
        <v>1973</v>
      </c>
      <c r="C882" s="2017">
        <v>728</v>
      </c>
      <c r="D882" s="2015">
        <v>43606</v>
      </c>
      <c r="E882" s="2018">
        <v>20</v>
      </c>
      <c r="F882" s="2019">
        <v>3</v>
      </c>
      <c r="G882" s="2019">
        <v>3</v>
      </c>
      <c r="H882" s="2019"/>
      <c r="I882" s="2019">
        <v>15</v>
      </c>
      <c r="J882" s="2019">
        <v>15</v>
      </c>
      <c r="K882" s="2020"/>
      <c r="L882" s="2017">
        <v>1</v>
      </c>
    </row>
    <row r="883" spans="1:12" hidden="1">
      <c r="A883" s="2015">
        <v>42885</v>
      </c>
      <c r="B883" s="2016" t="s">
        <v>1974</v>
      </c>
      <c r="C883" s="2017">
        <v>364</v>
      </c>
      <c r="D883" s="2015">
        <v>43249</v>
      </c>
      <c r="E883" s="2018">
        <v>25</v>
      </c>
      <c r="F883" s="2019">
        <v>62.704799999999999</v>
      </c>
      <c r="G883" s="2019">
        <v>25</v>
      </c>
      <c r="H883" s="2019"/>
      <c r="I883" s="2019">
        <v>15</v>
      </c>
      <c r="J883" s="2019">
        <v>14.763000000000002</v>
      </c>
      <c r="K883" s="2020"/>
      <c r="L883" s="2017">
        <v>9</v>
      </c>
    </row>
    <row r="884" spans="1:12" hidden="1">
      <c r="A884" s="2015">
        <v>42892</v>
      </c>
      <c r="B884" s="2016" t="s">
        <v>2007</v>
      </c>
      <c r="C884" s="2017">
        <v>91</v>
      </c>
      <c r="D884" s="2015">
        <v>42983</v>
      </c>
      <c r="E884" s="2018">
        <v>10</v>
      </c>
      <c r="F884" s="2019">
        <v>51.712200000000003</v>
      </c>
      <c r="G884" s="2019">
        <v>10</v>
      </c>
      <c r="H884" s="2019"/>
      <c r="I884" s="2019">
        <v>12.4998</v>
      </c>
      <c r="J884" s="2019">
        <v>12.4382</v>
      </c>
      <c r="K884" s="2020"/>
      <c r="L884" s="2017">
        <v>14</v>
      </c>
    </row>
    <row r="885" spans="1:12" hidden="1">
      <c r="A885" s="2015">
        <v>42899</v>
      </c>
      <c r="B885" s="2016" t="s">
        <v>2008</v>
      </c>
      <c r="C885" s="2017">
        <v>728</v>
      </c>
      <c r="D885" s="2015">
        <v>43627</v>
      </c>
      <c r="E885" s="2018">
        <v>5</v>
      </c>
      <c r="F885" s="2019">
        <v>5</v>
      </c>
      <c r="G885" s="2019">
        <v>5</v>
      </c>
      <c r="H885" s="2019"/>
      <c r="I885" s="2019">
        <v>14.499999999999998</v>
      </c>
      <c r="J885" s="2019">
        <v>14.37</v>
      </c>
      <c r="K885" s="2020"/>
      <c r="L885" s="2017">
        <v>7</v>
      </c>
    </row>
    <row r="886" spans="1:12" hidden="1">
      <c r="A886" s="2015">
        <v>42906</v>
      </c>
      <c r="B886" s="2016" t="s">
        <v>2009</v>
      </c>
      <c r="C886" s="2017">
        <v>182</v>
      </c>
      <c r="D886" s="2015">
        <v>43088</v>
      </c>
      <c r="E886" s="2018">
        <v>10</v>
      </c>
      <c r="F886" s="2019">
        <v>29.9558</v>
      </c>
      <c r="G886" s="2019">
        <v>10</v>
      </c>
      <c r="H886" s="2019"/>
      <c r="I886" s="2019">
        <v>12.1668</v>
      </c>
      <c r="J886" s="2019">
        <v>12.059100000000001</v>
      </c>
      <c r="K886" s="2020"/>
      <c r="L886" s="2017">
        <v>9</v>
      </c>
    </row>
    <row r="887" spans="1:12" hidden="1">
      <c r="A887" s="2015">
        <v>42906</v>
      </c>
      <c r="B887" s="2016" t="s">
        <v>2010</v>
      </c>
      <c r="C887" s="2017">
        <v>364</v>
      </c>
      <c r="D887" s="2015">
        <v>43270</v>
      </c>
      <c r="E887" s="2018">
        <v>15</v>
      </c>
      <c r="F887" s="2019">
        <v>50.878900000000002</v>
      </c>
      <c r="G887" s="2019">
        <v>15</v>
      </c>
      <c r="H887" s="2019"/>
      <c r="I887" s="2019">
        <v>13.999900000000002</v>
      </c>
      <c r="J887" s="2019">
        <v>13.405800000000001</v>
      </c>
      <c r="K887" s="2020"/>
      <c r="L887" s="2017">
        <v>11</v>
      </c>
    </row>
    <row r="888" spans="1:12" hidden="1">
      <c r="A888" s="2015">
        <v>42920</v>
      </c>
      <c r="B888" s="2016" t="s">
        <v>2016</v>
      </c>
      <c r="C888" s="2017">
        <v>91</v>
      </c>
      <c r="D888" s="2015">
        <v>43011</v>
      </c>
      <c r="E888" s="2018">
        <v>10</v>
      </c>
      <c r="F888" s="2019">
        <v>64.012200000000007</v>
      </c>
      <c r="G888" s="2019">
        <v>10</v>
      </c>
      <c r="H888" s="2019"/>
      <c r="I888" s="2019">
        <v>9</v>
      </c>
      <c r="J888" s="2019">
        <v>9</v>
      </c>
      <c r="K888" s="2020"/>
      <c r="L888" s="2017">
        <v>19</v>
      </c>
    </row>
    <row r="889" spans="1:12" hidden="1">
      <c r="A889" s="2015">
        <v>42927</v>
      </c>
      <c r="B889" s="2016" t="s">
        <v>2017</v>
      </c>
      <c r="C889" s="2017">
        <v>364</v>
      </c>
      <c r="D889" s="2015">
        <v>43291</v>
      </c>
      <c r="E889" s="2018">
        <v>20</v>
      </c>
      <c r="F889" s="2019">
        <v>76.617099999999994</v>
      </c>
      <c r="G889" s="2019">
        <v>20</v>
      </c>
      <c r="H889" s="2019"/>
      <c r="I889" s="2019">
        <v>11</v>
      </c>
      <c r="J889" s="2019">
        <v>10.847199999999999</v>
      </c>
      <c r="K889" s="2020"/>
      <c r="L889" s="2017">
        <v>13</v>
      </c>
    </row>
    <row r="890" spans="1:12" hidden="1">
      <c r="A890" s="2015">
        <v>42934</v>
      </c>
      <c r="B890" s="2016" t="s">
        <v>2018</v>
      </c>
      <c r="C890" s="2017">
        <v>728</v>
      </c>
      <c r="D890" s="2015">
        <v>43662</v>
      </c>
      <c r="E890" s="2018">
        <v>5</v>
      </c>
      <c r="F890" s="2019">
        <v>29.119</v>
      </c>
      <c r="G890" s="2019">
        <v>5</v>
      </c>
      <c r="H890" s="2019"/>
      <c r="I890" s="2019">
        <v>15</v>
      </c>
      <c r="J890" s="2019">
        <v>12.8033</v>
      </c>
      <c r="K890" s="2020"/>
      <c r="L890" s="2017">
        <v>9</v>
      </c>
    </row>
    <row r="891" spans="1:12" hidden="1">
      <c r="A891" s="2015">
        <v>42941</v>
      </c>
      <c r="B891" s="2016" t="s">
        <v>2019</v>
      </c>
      <c r="C891" s="2017">
        <v>182</v>
      </c>
      <c r="D891" s="2015">
        <v>43123</v>
      </c>
      <c r="E891" s="2018">
        <v>20</v>
      </c>
      <c r="F891" s="2019">
        <v>78.979200000000006</v>
      </c>
      <c r="G891" s="2019">
        <v>20</v>
      </c>
      <c r="H891" s="2019"/>
      <c r="I891" s="2019">
        <v>15</v>
      </c>
      <c r="J891" s="2019">
        <v>8.3438999999999997</v>
      </c>
      <c r="K891" s="2020"/>
      <c r="L891" s="2017">
        <v>15</v>
      </c>
    </row>
    <row r="892" spans="1:12" hidden="1">
      <c r="A892" s="2015">
        <v>42962</v>
      </c>
      <c r="B892" s="2016" t="s">
        <v>2026</v>
      </c>
      <c r="C892" s="2017">
        <v>91</v>
      </c>
      <c r="D892" s="2015">
        <v>43053</v>
      </c>
      <c r="E892" s="2018">
        <v>10</v>
      </c>
      <c r="F892" s="2019">
        <v>36.217799999999997</v>
      </c>
      <c r="G892" s="2019">
        <v>10</v>
      </c>
      <c r="H892" s="2019"/>
      <c r="I892" s="2019">
        <v>7.8</v>
      </c>
      <c r="J892" s="2019">
        <v>7.7868999999999993</v>
      </c>
      <c r="K892" s="2020"/>
      <c r="L892" s="2017">
        <v>12</v>
      </c>
    </row>
    <row r="893" spans="1:12" hidden="1">
      <c r="A893" s="2015">
        <v>42969</v>
      </c>
      <c r="B893" s="2016" t="s">
        <v>2027</v>
      </c>
      <c r="C893" s="2017">
        <v>182</v>
      </c>
      <c r="D893" s="2015">
        <v>43151</v>
      </c>
      <c r="E893" s="2018">
        <v>20</v>
      </c>
      <c r="F893" s="2019">
        <v>56.866799999999998</v>
      </c>
      <c r="G893" s="2019">
        <v>20</v>
      </c>
      <c r="H893" s="2019"/>
      <c r="I893" s="2019">
        <v>8.9999990000000007</v>
      </c>
      <c r="J893" s="2019">
        <v>8.8749000000000002</v>
      </c>
      <c r="K893" s="2020"/>
      <c r="L893" s="2017">
        <v>12</v>
      </c>
    </row>
    <row r="894" spans="1:12" hidden="1">
      <c r="A894" s="2015">
        <v>42969</v>
      </c>
      <c r="B894" s="2016" t="s">
        <v>2028</v>
      </c>
      <c r="C894" s="2017">
        <v>364</v>
      </c>
      <c r="D894" s="2015">
        <v>43333</v>
      </c>
      <c r="E894" s="2018">
        <v>25</v>
      </c>
      <c r="F894" s="2019">
        <v>66.177599999999998</v>
      </c>
      <c r="G894" s="2019">
        <v>25</v>
      </c>
      <c r="H894" s="2019"/>
      <c r="I894" s="2019">
        <v>10.8</v>
      </c>
      <c r="J894" s="2019">
        <v>10.775700000000001</v>
      </c>
      <c r="K894" s="2020"/>
      <c r="L894" s="2017">
        <v>7</v>
      </c>
    </row>
    <row r="895" spans="1:12" hidden="1">
      <c r="A895" s="2015">
        <v>42976</v>
      </c>
      <c r="B895" s="2016" t="s">
        <v>2029</v>
      </c>
      <c r="C895" s="2017">
        <v>728</v>
      </c>
      <c r="D895" s="2015">
        <v>43704</v>
      </c>
      <c r="E895" s="2018">
        <v>5</v>
      </c>
      <c r="F895" s="2019">
        <v>80.065799999999996</v>
      </c>
      <c r="G895" s="2019">
        <v>5</v>
      </c>
      <c r="H895" s="2019"/>
      <c r="I895" s="2019">
        <v>11.799999999999999</v>
      </c>
      <c r="J895" s="2019">
        <v>11.3735</v>
      </c>
      <c r="K895" s="2020"/>
      <c r="L895" s="2017">
        <v>8</v>
      </c>
    </row>
    <row r="896" spans="1:12" hidden="1">
      <c r="A896" s="2015">
        <v>42983</v>
      </c>
      <c r="B896" s="2016" t="s">
        <v>2036</v>
      </c>
      <c r="C896" s="2017">
        <v>182</v>
      </c>
      <c r="D896" s="2015">
        <v>43165</v>
      </c>
      <c r="E896" s="2018">
        <v>15</v>
      </c>
      <c r="F896" s="2019">
        <v>33.9694</v>
      </c>
      <c r="G896" s="2019">
        <v>15</v>
      </c>
      <c r="H896" s="2019"/>
      <c r="I896" s="2019">
        <v>8.9999000000000002</v>
      </c>
      <c r="J896" s="2019">
        <v>8.9999000000000002</v>
      </c>
      <c r="K896" s="2020"/>
      <c r="L896" s="2017">
        <v>3</v>
      </c>
    </row>
    <row r="897" spans="1:12" hidden="1">
      <c r="A897" s="2015">
        <v>42983</v>
      </c>
      <c r="B897" s="2016" t="s">
        <v>2037</v>
      </c>
      <c r="C897" s="2017">
        <v>364</v>
      </c>
      <c r="D897" s="2015">
        <v>43347</v>
      </c>
      <c r="E897" s="2018">
        <v>10</v>
      </c>
      <c r="F897" s="2019">
        <v>31.341100000000001</v>
      </c>
      <c r="G897" s="2019">
        <v>10</v>
      </c>
      <c r="H897" s="2019"/>
      <c r="I897" s="2019">
        <v>9.9989999999999988</v>
      </c>
      <c r="J897" s="2019">
        <v>9.9793000000000003</v>
      </c>
      <c r="K897" s="2020"/>
      <c r="L897" s="2017">
        <v>8</v>
      </c>
    </row>
    <row r="898" spans="1:12" hidden="1">
      <c r="A898" s="2015">
        <v>42990</v>
      </c>
      <c r="B898" s="2016" t="s">
        <v>2038</v>
      </c>
      <c r="C898" s="2017">
        <v>182</v>
      </c>
      <c r="D898" s="2015">
        <v>43172</v>
      </c>
      <c r="E898" s="2018">
        <v>20</v>
      </c>
      <c r="F898" s="2019">
        <v>76.618600000000001</v>
      </c>
      <c r="G898" s="2019">
        <v>20</v>
      </c>
      <c r="H898" s="2019"/>
      <c r="I898" s="2019">
        <v>7.4998999999999993</v>
      </c>
      <c r="J898" s="2019">
        <v>7.4998999999999993</v>
      </c>
      <c r="K898" s="2020"/>
      <c r="L898" s="2017">
        <v>11</v>
      </c>
    </row>
    <row r="899" spans="1:12" hidden="1">
      <c r="A899" s="2015">
        <v>42997</v>
      </c>
      <c r="B899" s="2016" t="s">
        <v>2039</v>
      </c>
      <c r="C899" s="2017">
        <v>364</v>
      </c>
      <c r="D899" s="2015">
        <v>43361</v>
      </c>
      <c r="E899" s="2018">
        <v>15</v>
      </c>
      <c r="F899" s="2019">
        <v>69.597200000000001</v>
      </c>
      <c r="G899" s="2019">
        <v>15</v>
      </c>
      <c r="H899" s="2019"/>
      <c r="I899" s="2019">
        <v>7.9</v>
      </c>
      <c r="J899" s="2019">
        <v>7.6696999999999997</v>
      </c>
      <c r="K899" s="2020"/>
      <c r="L899" s="2017">
        <v>12</v>
      </c>
    </row>
    <row r="900" spans="1:12" hidden="1">
      <c r="A900" s="2015">
        <v>43004</v>
      </c>
      <c r="B900" s="2016" t="s">
        <v>2040</v>
      </c>
      <c r="C900" s="2017">
        <v>728</v>
      </c>
      <c r="D900" s="2015">
        <v>43732</v>
      </c>
      <c r="E900" s="2018">
        <v>5</v>
      </c>
      <c r="F900" s="2019">
        <v>17.5274</v>
      </c>
      <c r="G900" s="2019">
        <v>5</v>
      </c>
      <c r="H900" s="2019"/>
      <c r="I900" s="2019">
        <v>9.9758999999999993</v>
      </c>
      <c r="J900" s="2019">
        <v>9.1953999999999994</v>
      </c>
      <c r="K900" s="2020"/>
      <c r="L900" s="2017">
        <v>10</v>
      </c>
    </row>
    <row r="901" spans="1:12" hidden="1">
      <c r="A901" s="2015">
        <v>43011</v>
      </c>
      <c r="B901" s="2016" t="s">
        <v>2049</v>
      </c>
      <c r="C901" s="2017">
        <v>91</v>
      </c>
      <c r="D901" s="2015">
        <v>43102</v>
      </c>
      <c r="E901" s="2018">
        <v>10</v>
      </c>
      <c r="F901" s="2019">
        <v>32.4542</v>
      </c>
      <c r="G901" s="2019">
        <v>10</v>
      </c>
      <c r="H901" s="2019"/>
      <c r="I901" s="2019">
        <v>7.9997999999999996</v>
      </c>
      <c r="J901" s="2019">
        <v>4.5003000000000002</v>
      </c>
      <c r="K901" s="2020"/>
      <c r="L901" s="2017">
        <v>9</v>
      </c>
    </row>
    <row r="902" spans="1:12" hidden="1">
      <c r="A902" s="2015">
        <v>43018</v>
      </c>
      <c r="B902" s="2016" t="s">
        <v>2050</v>
      </c>
      <c r="C902" s="2017">
        <v>364</v>
      </c>
      <c r="D902" s="2015">
        <v>43382</v>
      </c>
      <c r="E902" s="2018">
        <v>25</v>
      </c>
      <c r="F902" s="2019">
        <v>25</v>
      </c>
      <c r="G902" s="2019">
        <v>25</v>
      </c>
      <c r="H902" s="2019"/>
      <c r="I902" s="2019">
        <v>6.5</v>
      </c>
      <c r="J902" s="2019">
        <v>6.2500999999999998</v>
      </c>
      <c r="K902" s="2020"/>
      <c r="L902" s="2017">
        <v>10</v>
      </c>
    </row>
    <row r="903" spans="1:12" hidden="1">
      <c r="A903" s="2015">
        <v>43025</v>
      </c>
      <c r="B903" s="2016" t="s">
        <v>2051</v>
      </c>
      <c r="C903" s="2017">
        <v>182</v>
      </c>
      <c r="D903" s="2015">
        <v>43207</v>
      </c>
      <c r="E903" s="2018">
        <v>20</v>
      </c>
      <c r="F903" s="2019">
        <v>20</v>
      </c>
      <c r="G903" s="2019">
        <v>20</v>
      </c>
      <c r="H903" s="2019"/>
      <c r="I903" s="2019">
        <v>8.5</v>
      </c>
      <c r="J903" s="2019">
        <v>8.101700000000001</v>
      </c>
      <c r="K903" s="2020"/>
      <c r="L903" s="2017">
        <v>7</v>
      </c>
    </row>
    <row r="904" spans="1:12" hidden="1">
      <c r="A904" s="2015">
        <v>43032</v>
      </c>
      <c r="B904" s="2016" t="s">
        <v>2052</v>
      </c>
      <c r="C904" s="2017">
        <v>728</v>
      </c>
      <c r="D904" s="2015">
        <v>43760</v>
      </c>
      <c r="E904" s="2018">
        <v>5</v>
      </c>
      <c r="F904" s="2019">
        <v>13.1518</v>
      </c>
      <c r="G904" s="2019">
        <v>5</v>
      </c>
      <c r="H904" s="2019"/>
      <c r="I904" s="2019">
        <v>9.9</v>
      </c>
      <c r="J904" s="2019">
        <v>9.0785</v>
      </c>
      <c r="K904" s="2020"/>
      <c r="L904" s="2017">
        <v>6</v>
      </c>
    </row>
    <row r="905" spans="1:12" hidden="1">
      <c r="A905" s="2015">
        <v>43039</v>
      </c>
      <c r="B905" s="2016" t="s">
        <v>2053</v>
      </c>
      <c r="C905" s="2017">
        <v>1092</v>
      </c>
      <c r="D905" s="2015">
        <v>44131</v>
      </c>
      <c r="E905" s="2018">
        <v>20</v>
      </c>
      <c r="F905" s="2019">
        <v>59.038800000000002</v>
      </c>
      <c r="G905" s="2019">
        <v>20</v>
      </c>
      <c r="H905" s="2019"/>
      <c r="I905" s="2019">
        <v>12.9</v>
      </c>
      <c r="J905" s="2019">
        <v>10.177999999999999</v>
      </c>
      <c r="K905" s="2020"/>
      <c r="L905" s="2017">
        <v>9</v>
      </c>
    </row>
    <row r="906" spans="1:12" hidden="1">
      <c r="A906" s="2015">
        <v>43046</v>
      </c>
      <c r="B906" s="2016" t="s">
        <v>2060</v>
      </c>
      <c r="C906" s="2017">
        <v>364</v>
      </c>
      <c r="D906" s="2015">
        <v>43410</v>
      </c>
      <c r="E906" s="2018">
        <v>45</v>
      </c>
      <c r="F906" s="2019">
        <v>150.1054</v>
      </c>
      <c r="G906" s="2019">
        <v>45</v>
      </c>
      <c r="H906" s="2019"/>
      <c r="I906" s="2019">
        <v>10.0001</v>
      </c>
      <c r="J906" s="2019">
        <v>8.9701000000000004</v>
      </c>
      <c r="K906" s="2020"/>
      <c r="L906" s="2017">
        <v>15</v>
      </c>
    </row>
    <row r="907" spans="1:12" hidden="1">
      <c r="A907" s="2015">
        <v>43053</v>
      </c>
      <c r="B907" s="2016" t="s">
        <v>2061</v>
      </c>
      <c r="C907" s="2017">
        <v>1092</v>
      </c>
      <c r="D907" s="2015">
        <v>44145</v>
      </c>
      <c r="E907" s="2018">
        <v>10</v>
      </c>
      <c r="F907" s="2019">
        <v>20.213000000000001</v>
      </c>
      <c r="G907" s="2019">
        <v>10</v>
      </c>
      <c r="H907" s="2019"/>
      <c r="I907" s="2019">
        <v>12.5999</v>
      </c>
      <c r="J907" s="2019">
        <v>11.2349</v>
      </c>
      <c r="K907" s="2020"/>
      <c r="L907" s="2017">
        <v>5</v>
      </c>
    </row>
    <row r="908" spans="1:12" hidden="1">
      <c r="A908" s="2015">
        <v>43060</v>
      </c>
      <c r="B908" s="2016" t="s">
        <v>2062</v>
      </c>
      <c r="C908" s="2017">
        <v>728</v>
      </c>
      <c r="D908" s="2015">
        <v>43788</v>
      </c>
      <c r="E908" s="2018">
        <v>30</v>
      </c>
      <c r="F908" s="2019">
        <v>547.87620000000004</v>
      </c>
      <c r="G908" s="2019">
        <v>30</v>
      </c>
      <c r="H908" s="2019"/>
      <c r="I908" s="2019">
        <v>12</v>
      </c>
      <c r="J908" s="2019">
        <v>11.632099999999999</v>
      </c>
      <c r="K908" s="2020"/>
      <c r="L908" s="2017">
        <v>9</v>
      </c>
    </row>
    <row r="909" spans="1:12" hidden="1">
      <c r="A909" s="2015">
        <v>43067</v>
      </c>
      <c r="B909" s="2016" t="s">
        <v>2063</v>
      </c>
      <c r="C909" s="2017">
        <v>182</v>
      </c>
      <c r="D909" s="2015">
        <v>43249</v>
      </c>
      <c r="E909" s="2018">
        <v>30</v>
      </c>
      <c r="F909" s="2019">
        <v>88.262900000000002</v>
      </c>
      <c r="G909" s="2019">
        <v>30</v>
      </c>
      <c r="H909" s="2019"/>
      <c r="I909" s="2019">
        <v>8.5</v>
      </c>
      <c r="J909" s="2019">
        <v>4.0277000000000003</v>
      </c>
      <c r="K909" s="2020"/>
      <c r="L909" s="2017">
        <v>12</v>
      </c>
    </row>
    <row r="910" spans="1:12" hidden="1">
      <c r="A910" s="2015">
        <v>43074</v>
      </c>
      <c r="B910" s="2016" t="s">
        <v>2070</v>
      </c>
      <c r="C910" s="2017">
        <v>1092</v>
      </c>
      <c r="D910" s="2015">
        <v>44166</v>
      </c>
      <c r="E910" s="2018">
        <v>20</v>
      </c>
      <c r="F910" s="2019">
        <v>55.351399999999998</v>
      </c>
      <c r="G910" s="2019">
        <v>20</v>
      </c>
      <c r="H910" s="2019"/>
      <c r="I910" s="2019">
        <v>12</v>
      </c>
      <c r="J910" s="2019">
        <v>11.627700000000001</v>
      </c>
      <c r="K910" s="2020"/>
      <c r="L910" s="2017">
        <v>7</v>
      </c>
    </row>
    <row r="911" spans="1:12" hidden="1">
      <c r="A911" s="2015">
        <v>43081</v>
      </c>
      <c r="B911" s="2016" t="s">
        <v>2071</v>
      </c>
      <c r="C911" s="2017">
        <v>728</v>
      </c>
      <c r="D911" s="2015">
        <v>43809</v>
      </c>
      <c r="E911" s="2018">
        <v>20</v>
      </c>
      <c r="F911" s="2019">
        <v>31.263200000000001</v>
      </c>
      <c r="G911" s="2019">
        <v>20</v>
      </c>
      <c r="H911" s="2019"/>
      <c r="I911" s="2019">
        <v>15</v>
      </c>
      <c r="J911" s="2019">
        <v>13.482800000000001</v>
      </c>
      <c r="K911" s="2020"/>
      <c r="L911" s="2017">
        <v>11</v>
      </c>
    </row>
    <row r="912" spans="1:12" hidden="1">
      <c r="A912" s="2015">
        <v>43088</v>
      </c>
      <c r="B912" s="2016" t="s">
        <v>2072</v>
      </c>
      <c r="C912" s="2017">
        <v>182</v>
      </c>
      <c r="D912" s="2015">
        <v>43270</v>
      </c>
      <c r="E912" s="2018">
        <v>30</v>
      </c>
      <c r="F912" s="2019">
        <v>78.065600000000003</v>
      </c>
      <c r="G912" s="2019">
        <v>30</v>
      </c>
      <c r="H912" s="2019"/>
      <c r="I912" s="2019">
        <v>14.000000000000002</v>
      </c>
      <c r="J912" s="2019">
        <v>12.0861</v>
      </c>
      <c r="K912" s="2020"/>
      <c r="L912" s="2017">
        <v>11</v>
      </c>
    </row>
    <row r="913" spans="1:12" hidden="1">
      <c r="A913" s="2015">
        <v>43095</v>
      </c>
      <c r="B913" s="2016" t="s">
        <v>2073</v>
      </c>
      <c r="C913" s="2017">
        <v>364</v>
      </c>
      <c r="D913" s="2015">
        <v>43459</v>
      </c>
      <c r="E913" s="2018">
        <v>70</v>
      </c>
      <c r="F913" s="2019">
        <v>224.03389999999999</v>
      </c>
      <c r="G913" s="2019">
        <v>70</v>
      </c>
      <c r="H913" s="2019"/>
      <c r="I913" s="2019">
        <v>15</v>
      </c>
      <c r="J913" s="2019">
        <v>14.330000000000002</v>
      </c>
      <c r="K913" s="2020"/>
      <c r="L913" s="2017">
        <v>25</v>
      </c>
    </row>
    <row r="914" spans="1:12">
      <c r="A914" s="2021">
        <v>2018</v>
      </c>
      <c r="B914" s="2016"/>
      <c r="C914" s="2017"/>
      <c r="D914" s="2015"/>
      <c r="E914" s="2018"/>
      <c r="F914" s="2019"/>
      <c r="G914" s="2019"/>
      <c r="H914" s="2019"/>
      <c r="I914" s="2019"/>
      <c r="J914" s="2019"/>
      <c r="K914" s="2020"/>
      <c r="L914" s="2017"/>
    </row>
    <row r="915" spans="1:12">
      <c r="A915" s="2015">
        <v>43123</v>
      </c>
      <c r="B915" s="2016" t="s">
        <v>2079</v>
      </c>
      <c r="C915" s="2017">
        <v>364</v>
      </c>
      <c r="D915" s="2015">
        <v>43487</v>
      </c>
      <c r="E915" s="2018">
        <v>35</v>
      </c>
      <c r="F915" s="2019">
        <v>95.291899999999998</v>
      </c>
      <c r="G915" s="2019">
        <v>35</v>
      </c>
      <c r="H915" s="2019"/>
      <c r="I915" s="2019">
        <v>13.99</v>
      </c>
      <c r="J915" s="2019">
        <v>13.7738</v>
      </c>
      <c r="K915" s="2020"/>
      <c r="L915" s="2017">
        <v>18</v>
      </c>
    </row>
    <row r="916" spans="1:12">
      <c r="A916" s="2015">
        <v>43130</v>
      </c>
      <c r="B916" s="2016" t="s">
        <v>2080</v>
      </c>
      <c r="C916" s="2017">
        <v>1092</v>
      </c>
      <c r="D916" s="2015">
        <v>44222</v>
      </c>
      <c r="E916" s="2018">
        <v>15</v>
      </c>
      <c r="F916" s="2019">
        <v>44.811500000000002</v>
      </c>
      <c r="G916" s="2019">
        <v>15</v>
      </c>
      <c r="H916" s="2019"/>
      <c r="I916" s="2019">
        <v>14.899999999999999</v>
      </c>
      <c r="J916" s="2019">
        <v>13.240599999999999</v>
      </c>
      <c r="K916" s="2020"/>
      <c r="L916" s="2017">
        <v>9</v>
      </c>
    </row>
    <row r="917" spans="1:12">
      <c r="A917" s="2015">
        <v>43144</v>
      </c>
      <c r="B917" s="2016" t="s">
        <v>2091</v>
      </c>
      <c r="C917" s="2017">
        <v>728</v>
      </c>
      <c r="D917" s="2015">
        <v>43872</v>
      </c>
      <c r="E917" s="2018">
        <v>30</v>
      </c>
      <c r="F917" s="2019">
        <v>128.2388</v>
      </c>
      <c r="G917" s="2019">
        <v>30</v>
      </c>
      <c r="H917" s="2019"/>
      <c r="I917" s="2019">
        <v>10</v>
      </c>
      <c r="J917" s="2019">
        <v>9.9911999999999992</v>
      </c>
      <c r="K917" s="2020"/>
      <c r="L917" s="2017">
        <v>15</v>
      </c>
    </row>
    <row r="918" spans="1:12">
      <c r="A918" s="2015">
        <v>43151</v>
      </c>
      <c r="B918" s="2016" t="s">
        <v>2092</v>
      </c>
      <c r="C918" s="2017">
        <v>364</v>
      </c>
      <c r="D918" s="2015">
        <v>43515</v>
      </c>
      <c r="E918" s="2018">
        <v>35</v>
      </c>
      <c r="F918" s="2019">
        <v>165.18989999999999</v>
      </c>
      <c r="G918" s="2019">
        <v>35</v>
      </c>
      <c r="H918" s="2019"/>
      <c r="I918" s="2019">
        <v>8.0000999999999998</v>
      </c>
      <c r="J918" s="2019">
        <v>7.9204999999999997</v>
      </c>
      <c r="K918" s="2020"/>
      <c r="L918" s="2017">
        <v>23</v>
      </c>
    </row>
    <row r="919" spans="1:12">
      <c r="A919" s="2015">
        <v>43158</v>
      </c>
      <c r="B919" s="2016" t="s">
        <v>2093</v>
      </c>
      <c r="C919" s="2017">
        <v>1092</v>
      </c>
      <c r="D919" s="2015">
        <v>44250</v>
      </c>
      <c r="E919" s="2018">
        <v>15</v>
      </c>
      <c r="F919" s="2019">
        <v>53.264699999999998</v>
      </c>
      <c r="G919" s="2019">
        <v>35</v>
      </c>
      <c r="H919" s="2019"/>
      <c r="I919" s="2019">
        <v>9.8000000000000007</v>
      </c>
      <c r="J919" s="2019">
        <v>8.9877000000000002</v>
      </c>
      <c r="K919" s="2020"/>
      <c r="L919" s="2017">
        <v>10</v>
      </c>
    </row>
    <row r="920" spans="1:12">
      <c r="A920" s="2015">
        <v>43172</v>
      </c>
      <c r="B920" s="2016" t="s">
        <v>2098</v>
      </c>
      <c r="C920" s="2017">
        <v>728</v>
      </c>
      <c r="D920" s="2015">
        <v>43900</v>
      </c>
      <c r="E920" s="2018">
        <v>30</v>
      </c>
      <c r="F920" s="2019">
        <v>106.5759</v>
      </c>
      <c r="G920" s="2019">
        <v>30</v>
      </c>
      <c r="H920" s="2019"/>
      <c r="I920" s="2019">
        <v>8</v>
      </c>
      <c r="J920" s="2019">
        <v>7.9912000000000001</v>
      </c>
      <c r="K920" s="2020"/>
      <c r="L920" s="2017">
        <v>13</v>
      </c>
    </row>
    <row r="921" spans="1:12">
      <c r="A921" s="2015">
        <v>43186</v>
      </c>
      <c r="B921" s="2016" t="s">
        <v>2099</v>
      </c>
      <c r="C921" s="2017">
        <v>1092</v>
      </c>
      <c r="D921" s="2015">
        <v>44278</v>
      </c>
      <c r="E921" s="2018">
        <v>15</v>
      </c>
      <c r="F921" s="2019">
        <v>50.034300000000002</v>
      </c>
      <c r="G921" s="2019">
        <v>15</v>
      </c>
      <c r="H921" s="2019"/>
      <c r="I921" s="2019">
        <v>10.292199999999999</v>
      </c>
      <c r="J921" s="2019">
        <v>9.6989000000000001</v>
      </c>
      <c r="K921" s="2020"/>
      <c r="L921" s="2017">
        <v>10</v>
      </c>
    </row>
    <row r="922" spans="1:12">
      <c r="A922" s="2015">
        <v>43200</v>
      </c>
      <c r="B922" s="2016" t="s">
        <v>2103</v>
      </c>
      <c r="C922" s="2017">
        <v>728</v>
      </c>
      <c r="D922" s="2015">
        <v>43928</v>
      </c>
      <c r="E922" s="2018">
        <v>30</v>
      </c>
      <c r="F922" s="2019">
        <v>107.74333333600001</v>
      </c>
      <c r="G922" s="2019">
        <v>30</v>
      </c>
      <c r="H922" s="2019"/>
      <c r="I922" s="2019">
        <v>8</v>
      </c>
      <c r="J922" s="2019">
        <v>7.9984000000000002</v>
      </c>
      <c r="K922" s="2020"/>
      <c r="L922" s="2017">
        <v>10</v>
      </c>
    </row>
    <row r="923" spans="1:12">
      <c r="A923" s="2015">
        <v>43207</v>
      </c>
      <c r="B923" s="2016" t="s">
        <v>2104</v>
      </c>
      <c r="C923" s="2017">
        <v>364</v>
      </c>
      <c r="D923" s="2015">
        <v>43571</v>
      </c>
      <c r="E923" s="2018">
        <v>35</v>
      </c>
      <c r="F923" s="2019">
        <v>137.44229999999999</v>
      </c>
      <c r="G923" s="2019">
        <v>35</v>
      </c>
      <c r="H923" s="2019"/>
      <c r="I923" s="2019">
        <v>8.9</v>
      </c>
      <c r="J923" s="2019">
        <v>8.0540000000000003</v>
      </c>
      <c r="K923" s="2020"/>
      <c r="L923" s="2017">
        <v>12</v>
      </c>
    </row>
    <row r="924" spans="1:12">
      <c r="A924" s="2015">
        <v>43214</v>
      </c>
      <c r="B924" s="2016" t="s">
        <v>2105</v>
      </c>
      <c r="C924" s="2017">
        <v>1092</v>
      </c>
      <c r="D924" s="2015">
        <v>44306</v>
      </c>
      <c r="E924" s="2018">
        <v>15</v>
      </c>
      <c r="F924" s="2019">
        <v>56.747</v>
      </c>
      <c r="G924" s="2019">
        <v>15</v>
      </c>
      <c r="H924" s="2019"/>
      <c r="I924" s="2019">
        <v>10.5</v>
      </c>
      <c r="J924" s="2019">
        <v>9.8625000000000007</v>
      </c>
      <c r="K924" s="2020"/>
      <c r="L924" s="2017">
        <v>6</v>
      </c>
    </row>
    <row r="925" spans="1:12">
      <c r="A925" s="2015">
        <v>43235</v>
      </c>
      <c r="B925" s="2016" t="s">
        <v>2105</v>
      </c>
      <c r="C925" s="2017">
        <v>728</v>
      </c>
      <c r="D925" s="2015">
        <v>43963</v>
      </c>
      <c r="E925" s="2018">
        <v>30</v>
      </c>
      <c r="F925" s="2019">
        <v>76.006399999999999</v>
      </c>
      <c r="G925" s="2019">
        <v>30</v>
      </c>
      <c r="H925" s="2019"/>
      <c r="I925" s="2019">
        <v>9.25</v>
      </c>
      <c r="J925" s="2019">
        <v>8.6208000000000009</v>
      </c>
      <c r="K925" s="2020"/>
      <c r="L925" s="2017">
        <v>8</v>
      </c>
    </row>
    <row r="926" spans="1:12">
      <c r="A926" s="2015">
        <v>43242</v>
      </c>
      <c r="B926" s="2016" t="s">
        <v>2111</v>
      </c>
      <c r="C926" s="2017">
        <v>364</v>
      </c>
      <c r="D926" s="2015">
        <v>43606</v>
      </c>
      <c r="E926" s="2018">
        <v>35</v>
      </c>
      <c r="F926" s="2019">
        <v>163.9932</v>
      </c>
      <c r="G926" s="2019">
        <v>35</v>
      </c>
      <c r="H926" s="2019"/>
      <c r="I926" s="2019">
        <v>8.6</v>
      </c>
      <c r="J926" s="2019">
        <v>8.1805000000000003</v>
      </c>
      <c r="K926" s="2020"/>
      <c r="L926" s="2017">
        <v>14</v>
      </c>
    </row>
    <row r="927" spans="1:12">
      <c r="A927" s="2015">
        <v>43249</v>
      </c>
      <c r="B927" s="2016" t="s">
        <v>2112</v>
      </c>
      <c r="C927" s="2017">
        <v>1092</v>
      </c>
      <c r="D927" s="2015">
        <v>44341</v>
      </c>
      <c r="E927" s="2018">
        <v>15</v>
      </c>
      <c r="F927" s="2019">
        <v>41.955800000000004</v>
      </c>
      <c r="G927" s="2019">
        <v>15</v>
      </c>
      <c r="H927" s="2019"/>
      <c r="I927" s="2019">
        <v>9.8000000000000007</v>
      </c>
      <c r="J927" s="2019">
        <v>9.6710000000000012</v>
      </c>
      <c r="K927" s="2020"/>
      <c r="L927" s="2017">
        <v>8</v>
      </c>
    </row>
    <row r="928" spans="1:12">
      <c r="A928" s="2015">
        <v>43256</v>
      </c>
      <c r="B928" s="2016" t="s">
        <v>2120</v>
      </c>
      <c r="C928" s="2017">
        <v>364</v>
      </c>
      <c r="D928" s="2015">
        <v>43620</v>
      </c>
      <c r="E928" s="2018">
        <v>35</v>
      </c>
      <c r="F928" s="2019">
        <v>116.8086</v>
      </c>
      <c r="G928" s="2019">
        <v>35</v>
      </c>
      <c r="H928" s="2019"/>
      <c r="I928" s="2019">
        <v>8.2999000000000009</v>
      </c>
      <c r="J928" s="2019">
        <v>8.1914999999999996</v>
      </c>
      <c r="K928" s="2020"/>
      <c r="L928" s="2017">
        <v>14</v>
      </c>
    </row>
    <row r="929" spans="1:12">
      <c r="A929" s="2015">
        <v>43263</v>
      </c>
      <c r="B929" s="2016" t="s">
        <v>2121</v>
      </c>
      <c r="C929" s="2017">
        <v>728</v>
      </c>
      <c r="D929" s="2015">
        <v>43991</v>
      </c>
      <c r="E929" s="2018">
        <v>30</v>
      </c>
      <c r="F929" s="2019">
        <v>104.482</v>
      </c>
      <c r="G929" s="2019">
        <v>30</v>
      </c>
      <c r="H929" s="2019"/>
      <c r="I929" s="2019">
        <v>8.5</v>
      </c>
      <c r="J929" s="2019">
        <v>8.4034999999999993</v>
      </c>
      <c r="K929" s="2020"/>
      <c r="L929" s="2017">
        <v>13</v>
      </c>
    </row>
    <row r="930" spans="1:12">
      <c r="A930" s="2015">
        <v>43291</v>
      </c>
      <c r="B930" s="2016" t="s">
        <v>2127</v>
      </c>
      <c r="C930" s="2017">
        <v>728</v>
      </c>
      <c r="D930" s="2015">
        <v>44019</v>
      </c>
      <c r="E930" s="2018">
        <v>35</v>
      </c>
      <c r="F930" s="2019">
        <v>76.257099999999994</v>
      </c>
      <c r="G930" s="2019">
        <v>35</v>
      </c>
      <c r="H930" s="2019"/>
      <c r="I930" s="2019">
        <v>8.93</v>
      </c>
      <c r="J930" s="2019">
        <v>8.3224999999999998</v>
      </c>
      <c r="K930" s="2020"/>
      <c r="L930" s="2017">
        <v>10</v>
      </c>
    </row>
    <row r="931" spans="1:12">
      <c r="A931" s="2015">
        <v>43298</v>
      </c>
      <c r="B931" s="2016" t="s">
        <v>2128</v>
      </c>
      <c r="C931" s="2017">
        <v>364</v>
      </c>
      <c r="D931" s="2015">
        <v>43662</v>
      </c>
      <c r="E931" s="2018">
        <v>35</v>
      </c>
      <c r="F931" s="2019">
        <v>92.630099999999999</v>
      </c>
      <c r="G931" s="2019">
        <v>35</v>
      </c>
      <c r="H931" s="2019"/>
      <c r="I931" s="2019">
        <v>8.0000999999999998</v>
      </c>
      <c r="J931" s="2019">
        <v>7.9596</v>
      </c>
      <c r="K931" s="2020"/>
      <c r="L931" s="2017">
        <v>16</v>
      </c>
    </row>
    <row r="932" spans="1:12">
      <c r="A932" s="2015">
        <v>43305</v>
      </c>
      <c r="B932" s="2016" t="s">
        <v>2129</v>
      </c>
      <c r="C932" s="2017">
        <v>1092</v>
      </c>
      <c r="D932" s="2015">
        <v>44397</v>
      </c>
      <c r="E932" s="2018">
        <v>15</v>
      </c>
      <c r="F932" s="2019">
        <v>18.193000000000001</v>
      </c>
      <c r="G932" s="2019">
        <v>15</v>
      </c>
      <c r="H932" s="2019"/>
      <c r="I932" s="2019">
        <v>10.8</v>
      </c>
      <c r="J932" s="2019">
        <v>9.9315999999999995</v>
      </c>
      <c r="K932" s="2020"/>
      <c r="L932" s="2017">
        <v>7</v>
      </c>
    </row>
    <row r="933" spans="1:12">
      <c r="A933" s="2015">
        <v>43326</v>
      </c>
      <c r="B933" s="2016" t="s">
        <v>2134</v>
      </c>
      <c r="C933" s="2017">
        <v>728</v>
      </c>
      <c r="D933" s="2015">
        <v>44054</v>
      </c>
      <c r="E933" s="2018">
        <v>30</v>
      </c>
      <c r="F933" s="2019">
        <v>46.451500000000003</v>
      </c>
      <c r="G933" s="2019">
        <v>30</v>
      </c>
      <c r="H933" s="2019"/>
      <c r="I933" s="2019">
        <v>11</v>
      </c>
      <c r="J933" s="2019">
        <v>10.5867</v>
      </c>
      <c r="K933" s="2020"/>
      <c r="L933" s="2017">
        <v>11</v>
      </c>
    </row>
    <row r="934" spans="1:12">
      <c r="A934" s="2015">
        <v>43333</v>
      </c>
      <c r="B934" s="2016" t="s">
        <v>2135</v>
      </c>
      <c r="C934" s="2017">
        <v>364</v>
      </c>
      <c r="D934" s="2015">
        <v>43697</v>
      </c>
      <c r="E934" s="2018">
        <v>35</v>
      </c>
      <c r="F934" s="2019">
        <v>0</v>
      </c>
      <c r="G934" s="2019">
        <v>0</v>
      </c>
      <c r="H934" s="2019"/>
      <c r="I934" s="2019">
        <v>13.072000000000001</v>
      </c>
      <c r="J934" s="2019">
        <v>0</v>
      </c>
      <c r="K934" s="2020"/>
      <c r="L934" s="2017">
        <v>13</v>
      </c>
    </row>
    <row r="935" spans="1:12">
      <c r="A935" s="2015">
        <v>43340</v>
      </c>
      <c r="B935" s="2016" t="s">
        <v>2136</v>
      </c>
      <c r="C935" s="2017">
        <v>1092</v>
      </c>
      <c r="D935" s="2015">
        <v>44432</v>
      </c>
      <c r="E935" s="2018">
        <v>15</v>
      </c>
      <c r="F935" s="2019">
        <v>0</v>
      </c>
      <c r="G935" s="2019">
        <v>0</v>
      </c>
      <c r="H935" s="2019"/>
      <c r="I935" s="2019">
        <v>14.46</v>
      </c>
      <c r="J935" s="2019">
        <v>0</v>
      </c>
      <c r="K935" s="2020"/>
      <c r="L935" s="2017">
        <v>6</v>
      </c>
    </row>
    <row r="936" spans="1:12">
      <c r="A936" s="2015">
        <v>43354</v>
      </c>
      <c r="B936" s="2016" t="s">
        <v>2142</v>
      </c>
      <c r="C936" s="2017">
        <v>182</v>
      </c>
      <c r="D936" s="2015">
        <v>43536</v>
      </c>
      <c r="E936" s="2018">
        <v>10</v>
      </c>
      <c r="F936" s="2019">
        <v>46.160200000000003</v>
      </c>
      <c r="G936" s="2019">
        <v>10</v>
      </c>
      <c r="H936" s="2019"/>
      <c r="I936" s="2019">
        <v>7.4985999999999997</v>
      </c>
      <c r="J936" s="2019">
        <v>7.3935000000000004</v>
      </c>
      <c r="K936" s="2020"/>
      <c r="L936" s="2017">
        <v>15</v>
      </c>
    </row>
    <row r="937" spans="1:12">
      <c r="A937" s="2015">
        <v>43361</v>
      </c>
      <c r="B937" s="2016" t="s">
        <v>2143</v>
      </c>
      <c r="C937" s="2017">
        <v>182</v>
      </c>
      <c r="D937" s="2015">
        <v>43543</v>
      </c>
      <c r="E937" s="2018">
        <v>10</v>
      </c>
      <c r="F937" s="2019">
        <v>51.428899999999999</v>
      </c>
      <c r="G937" s="2019">
        <v>10</v>
      </c>
      <c r="H937" s="2019"/>
      <c r="I937" s="2019">
        <v>7.3800000000000008</v>
      </c>
      <c r="J937" s="2019">
        <v>7.3616000000000001</v>
      </c>
      <c r="K937" s="2020"/>
      <c r="L937" s="2017">
        <v>15</v>
      </c>
    </row>
    <row r="938" spans="1:12">
      <c r="A938" s="2015">
        <v>43368</v>
      </c>
      <c r="B938" s="2016" t="s">
        <v>2144</v>
      </c>
      <c r="C938" s="2017">
        <v>364</v>
      </c>
      <c r="D938" s="2015">
        <v>43732</v>
      </c>
      <c r="E938" s="2018">
        <v>15</v>
      </c>
      <c r="F938" s="2019">
        <v>44.435699999999997</v>
      </c>
      <c r="G938" s="2019">
        <v>15</v>
      </c>
      <c r="H938" s="2019"/>
      <c r="I938" s="2019">
        <v>7.9699000000000009</v>
      </c>
      <c r="J938" s="2019">
        <v>6.9696999999999996</v>
      </c>
      <c r="K938" s="2020"/>
      <c r="L938" s="2017">
        <v>12</v>
      </c>
    </row>
    <row r="939" spans="1:12">
      <c r="A939" s="2015">
        <v>43382</v>
      </c>
      <c r="B939" s="2016" t="s">
        <v>2148</v>
      </c>
      <c r="C939" s="2017">
        <v>728</v>
      </c>
      <c r="D939" s="2015">
        <v>44110</v>
      </c>
      <c r="E939" s="2018">
        <v>30</v>
      </c>
      <c r="F939" s="2019">
        <v>43.802500000000002</v>
      </c>
      <c r="G939" s="2019">
        <v>30</v>
      </c>
      <c r="H939" s="2019"/>
      <c r="I939" s="2019">
        <v>7.9</v>
      </c>
      <c r="J939" s="2019">
        <v>7.0177000000000005</v>
      </c>
      <c r="K939" s="2020"/>
      <c r="L939" s="2017">
        <v>6</v>
      </c>
    </row>
    <row r="940" spans="1:12">
      <c r="A940" s="2015">
        <v>43389</v>
      </c>
      <c r="B940" s="2016" t="s">
        <v>2149</v>
      </c>
      <c r="C940" s="2017">
        <v>364</v>
      </c>
      <c r="D940" s="2015">
        <v>43753</v>
      </c>
      <c r="E940" s="2018">
        <v>40</v>
      </c>
      <c r="F940" s="2019">
        <v>82.433800000000005</v>
      </c>
      <c r="G940" s="2019">
        <v>40</v>
      </c>
      <c r="H940" s="2019"/>
      <c r="I940" s="2019">
        <v>7.6998999999999995</v>
      </c>
      <c r="J940" s="2019">
        <v>7.1505999999999998</v>
      </c>
      <c r="K940" s="2020"/>
      <c r="L940" s="2017">
        <v>15</v>
      </c>
    </row>
    <row r="941" spans="1:12">
      <c r="A941" s="2015">
        <v>43396</v>
      </c>
      <c r="B941" s="2016" t="s">
        <v>2150</v>
      </c>
      <c r="C941" s="2017">
        <v>1092</v>
      </c>
      <c r="D941" s="2015">
        <v>44488</v>
      </c>
      <c r="E941" s="2018">
        <v>30</v>
      </c>
      <c r="F941" s="2019">
        <v>43.9619</v>
      </c>
      <c r="G941" s="2019">
        <v>30</v>
      </c>
      <c r="H941" s="2019"/>
      <c r="I941" s="2019">
        <v>8.98</v>
      </c>
      <c r="J941" s="2019">
        <v>8.98</v>
      </c>
      <c r="K941" s="2020"/>
      <c r="L941" s="2017">
        <v>5</v>
      </c>
    </row>
    <row r="942" spans="1:12">
      <c r="A942" s="2015">
        <v>43417</v>
      </c>
      <c r="B942" s="2016" t="s">
        <v>2156</v>
      </c>
      <c r="C942" s="2017">
        <v>728</v>
      </c>
      <c r="D942" s="2015">
        <v>44145</v>
      </c>
      <c r="E942" s="2018">
        <v>30</v>
      </c>
      <c r="F942" s="2019">
        <v>28.344200000000001</v>
      </c>
      <c r="G942" s="2019">
        <v>21.0716</v>
      </c>
      <c r="H942" s="2019"/>
      <c r="I942" s="2019">
        <v>8</v>
      </c>
      <c r="J942" s="2019">
        <v>7.9634999999999998</v>
      </c>
      <c r="K942" s="2020"/>
      <c r="L942" s="2017">
        <v>12</v>
      </c>
    </row>
    <row r="943" spans="1:12">
      <c r="A943" s="2015">
        <v>43424</v>
      </c>
      <c r="B943" s="2016" t="s">
        <v>2157</v>
      </c>
      <c r="C943" s="2017">
        <v>364</v>
      </c>
      <c r="D943" s="2015">
        <v>43788</v>
      </c>
      <c r="E943" s="2018">
        <v>40</v>
      </c>
      <c r="F943" s="2019">
        <v>113.3912</v>
      </c>
      <c r="G943" s="2019">
        <v>40</v>
      </c>
      <c r="H943" s="2019"/>
      <c r="I943" s="2019">
        <v>7.7</v>
      </c>
      <c r="J943" s="2019">
        <v>7.5759999999999996</v>
      </c>
      <c r="K943" s="2020"/>
      <c r="L943" s="2017">
        <v>14</v>
      </c>
    </row>
    <row r="944" spans="1:12">
      <c r="A944" s="2015">
        <v>43431</v>
      </c>
      <c r="B944" s="2016" t="s">
        <v>2158</v>
      </c>
      <c r="C944" s="2017">
        <v>1092</v>
      </c>
      <c r="D944" s="2015">
        <v>44523</v>
      </c>
      <c r="E944" s="2018">
        <v>30</v>
      </c>
      <c r="F944" s="2019">
        <v>31.834800000000001</v>
      </c>
      <c r="G944" s="2019">
        <v>20.18</v>
      </c>
      <c r="H944" s="2019"/>
      <c r="I944" s="2019">
        <v>9</v>
      </c>
      <c r="J944" s="2019">
        <v>8.9893000000000001</v>
      </c>
      <c r="K944" s="2020"/>
      <c r="L944" s="2017">
        <v>7</v>
      </c>
    </row>
    <row r="945" spans="1:12">
      <c r="A945" s="2015">
        <v>43445</v>
      </c>
      <c r="B945" s="2016" t="s">
        <v>2164</v>
      </c>
      <c r="C945" s="2017">
        <v>728</v>
      </c>
      <c r="D945" s="2015">
        <v>44173</v>
      </c>
      <c r="E945" s="2018">
        <v>30</v>
      </c>
      <c r="F945" s="2019">
        <v>18.833300000000001</v>
      </c>
      <c r="G945" s="2019">
        <v>13.881</v>
      </c>
      <c r="H945" s="2019"/>
      <c r="I945" s="2019">
        <v>8</v>
      </c>
      <c r="J945" s="2019">
        <v>7.9214999999999991</v>
      </c>
      <c r="K945" s="2020"/>
      <c r="L945" s="2017">
        <v>5</v>
      </c>
    </row>
    <row r="946" spans="1:12">
      <c r="A946" s="2015">
        <v>43452</v>
      </c>
      <c r="B946" s="2016" t="s">
        <v>2165</v>
      </c>
      <c r="C946" s="2017">
        <v>364</v>
      </c>
      <c r="D946" s="2015">
        <v>43816</v>
      </c>
      <c r="E946" s="2018">
        <v>40</v>
      </c>
      <c r="F946" s="2019">
        <v>116.1947</v>
      </c>
      <c r="G946" s="2019">
        <v>40</v>
      </c>
      <c r="H946" s="2019"/>
      <c r="I946" s="2019">
        <v>7.75</v>
      </c>
      <c r="J946" s="2019">
        <v>7.6772000000000009</v>
      </c>
      <c r="K946" s="2020"/>
      <c r="L946" s="2017">
        <v>9</v>
      </c>
    </row>
    <row r="947" spans="1:12">
      <c r="A947" s="2015">
        <v>43459</v>
      </c>
      <c r="B947" s="2016" t="s">
        <v>2166</v>
      </c>
      <c r="C947" s="2017">
        <v>1092</v>
      </c>
      <c r="D947" s="2015">
        <v>44551</v>
      </c>
      <c r="E947" s="2018">
        <v>30</v>
      </c>
      <c r="F947" s="2019">
        <v>17.9375</v>
      </c>
      <c r="G947" s="2019">
        <v>13.298400000000001</v>
      </c>
      <c r="H947" s="2019"/>
      <c r="I947" s="2019">
        <v>9</v>
      </c>
      <c r="J947" s="2019">
        <v>8.9876000000000005</v>
      </c>
      <c r="K947" s="2020"/>
      <c r="L947" s="2017">
        <v>5</v>
      </c>
    </row>
    <row r="948" spans="1:12">
      <c r="A948" s="2021">
        <v>2019</v>
      </c>
      <c r="B948" s="2016"/>
      <c r="C948" s="2017"/>
      <c r="D948" s="2015"/>
      <c r="E948" s="2018"/>
      <c r="F948" s="2019"/>
      <c r="G948" s="2019"/>
      <c r="H948" s="2019"/>
      <c r="I948" s="2019"/>
      <c r="J948" s="2019"/>
      <c r="K948" s="2020"/>
      <c r="L948" s="2017"/>
    </row>
    <row r="949" spans="1:12">
      <c r="A949" s="2015">
        <v>43487</v>
      </c>
      <c r="B949" s="2016" t="s">
        <v>2172</v>
      </c>
      <c r="C949" s="2017">
        <v>364</v>
      </c>
      <c r="D949" s="2015">
        <v>43851</v>
      </c>
      <c r="E949" s="2018">
        <v>25</v>
      </c>
      <c r="F949" s="2019">
        <v>75.164199999999994</v>
      </c>
      <c r="G949" s="2019">
        <v>25</v>
      </c>
      <c r="H949" s="2019"/>
      <c r="I949" s="2019">
        <v>7.7398999999999996</v>
      </c>
      <c r="J949" s="2019">
        <v>7.7114000000000003</v>
      </c>
      <c r="K949" s="2020"/>
      <c r="L949" s="2017">
        <v>13</v>
      </c>
    </row>
    <row r="950" spans="1:12">
      <c r="A950" s="2015">
        <v>43494</v>
      </c>
      <c r="B950" s="2016" t="s">
        <v>2173</v>
      </c>
      <c r="C950" s="2017">
        <v>1092</v>
      </c>
      <c r="D950" s="2015">
        <v>44586</v>
      </c>
      <c r="E950" s="2018">
        <v>15</v>
      </c>
      <c r="F950" s="2019">
        <v>12.5678</v>
      </c>
      <c r="G950" s="2019">
        <v>11.549200000000001</v>
      </c>
      <c r="H950" s="2019"/>
      <c r="I950" s="2019">
        <v>9</v>
      </c>
      <c r="J950" s="2019">
        <v>8.9962</v>
      </c>
      <c r="K950" s="2020"/>
      <c r="L950" s="2017">
        <v>4</v>
      </c>
    </row>
    <row r="951" spans="1:12">
      <c r="A951" s="2015">
        <v>43508</v>
      </c>
      <c r="B951" s="2016" t="s">
        <v>2183</v>
      </c>
      <c r="C951" s="2017">
        <v>728</v>
      </c>
      <c r="D951" s="2015">
        <v>44236</v>
      </c>
      <c r="E951" s="2018">
        <v>20</v>
      </c>
      <c r="F951" s="2019">
        <v>43.610399999999998</v>
      </c>
      <c r="G951" s="2019">
        <v>20</v>
      </c>
      <c r="H951" s="2019"/>
      <c r="I951" s="2019">
        <v>7.99</v>
      </c>
      <c r="J951" s="2019">
        <v>7.9755999999999991</v>
      </c>
      <c r="K951" s="2020"/>
      <c r="L951" s="2017">
        <v>7</v>
      </c>
    </row>
    <row r="952" spans="1:12">
      <c r="A952" s="2015">
        <v>43515</v>
      </c>
      <c r="B952" s="2016" t="s">
        <v>2184</v>
      </c>
      <c r="C952" s="2017">
        <v>364</v>
      </c>
      <c r="D952" s="2015">
        <v>43879</v>
      </c>
      <c r="E952" s="2018">
        <v>25</v>
      </c>
      <c r="F952" s="2019">
        <v>114.6379</v>
      </c>
      <c r="G952" s="2019">
        <v>25</v>
      </c>
      <c r="H952" s="2019"/>
      <c r="I952" s="2019">
        <v>7.2487999999999992</v>
      </c>
      <c r="J952" s="2019">
        <v>7.2176</v>
      </c>
      <c r="K952" s="2020"/>
      <c r="L952" s="2017">
        <v>22</v>
      </c>
    </row>
    <row r="953" spans="1:12">
      <c r="A953" s="2015">
        <v>43522</v>
      </c>
      <c r="B953" s="2016" t="s">
        <v>2185</v>
      </c>
      <c r="C953" s="2017">
        <v>1092</v>
      </c>
      <c r="D953" s="2015">
        <v>44614</v>
      </c>
      <c r="E953" s="2018">
        <v>15</v>
      </c>
      <c r="F953" s="2019">
        <v>25.018799999999999</v>
      </c>
      <c r="G953" s="2019">
        <v>15</v>
      </c>
      <c r="H953" s="2019"/>
      <c r="I953" s="2019">
        <v>9</v>
      </c>
      <c r="J953" s="2019">
        <v>8.9699000000000009</v>
      </c>
      <c r="K953" s="2020"/>
      <c r="L953" s="2017">
        <v>5</v>
      </c>
    </row>
    <row r="954" spans="1:12">
      <c r="A954" s="2015">
        <v>43529</v>
      </c>
      <c r="B954" s="2016" t="s">
        <v>2192</v>
      </c>
      <c r="C954" s="2017">
        <v>728</v>
      </c>
      <c r="D954" s="2015">
        <v>44257</v>
      </c>
      <c r="E954" s="2018">
        <v>20</v>
      </c>
      <c r="F954" s="2019">
        <v>64.481499999999997</v>
      </c>
      <c r="G954" s="2019">
        <v>20</v>
      </c>
      <c r="H954" s="2019"/>
      <c r="I954" s="2019">
        <v>7.5</v>
      </c>
      <c r="J954" s="2019">
        <v>7.5</v>
      </c>
      <c r="K954" s="2020"/>
      <c r="L954" s="2017">
        <v>10</v>
      </c>
    </row>
    <row r="955" spans="1:12">
      <c r="A955" s="2015">
        <v>43536</v>
      </c>
      <c r="B955" s="2016" t="s">
        <v>2193</v>
      </c>
      <c r="C955" s="2017">
        <v>364</v>
      </c>
      <c r="D955" s="2015">
        <v>43900</v>
      </c>
      <c r="E955" s="2018">
        <v>25</v>
      </c>
      <c r="F955" s="2019">
        <v>81.202600000000004</v>
      </c>
      <c r="G955" s="2019">
        <v>25</v>
      </c>
      <c r="H955" s="2019"/>
      <c r="I955" s="2019">
        <v>7.1394000000000002</v>
      </c>
      <c r="J955" s="2019">
        <v>7.0727000000000002</v>
      </c>
      <c r="K955" s="2020"/>
      <c r="L955" s="2017">
        <v>14</v>
      </c>
    </row>
    <row r="956" spans="1:12">
      <c r="A956" s="2015">
        <v>43543</v>
      </c>
      <c r="B956" s="2016" t="s">
        <v>2192</v>
      </c>
      <c r="C956" s="2017">
        <v>1092</v>
      </c>
      <c r="D956" s="2015">
        <v>44635</v>
      </c>
      <c r="E956" s="2018">
        <v>15</v>
      </c>
      <c r="F956" s="2019">
        <v>22.842300000000002</v>
      </c>
      <c r="G956" s="2019">
        <v>15</v>
      </c>
      <c r="H956" s="2019"/>
      <c r="I956" s="2019">
        <v>8.9499999999999993</v>
      </c>
      <c r="J956" s="2019">
        <v>8.9130000000000003</v>
      </c>
      <c r="K956" s="2020"/>
      <c r="L956" s="2017">
        <v>8</v>
      </c>
    </row>
    <row r="957" spans="1:12">
      <c r="A957" s="2015">
        <v>43564</v>
      </c>
      <c r="B957" s="2016" t="s">
        <v>2198</v>
      </c>
      <c r="C957" s="2017">
        <v>728</v>
      </c>
      <c r="D957" s="2015">
        <v>44292</v>
      </c>
      <c r="E957" s="2018">
        <v>20</v>
      </c>
      <c r="F957" s="2019">
        <v>29.066600000000001</v>
      </c>
      <c r="G957" s="2019">
        <v>20</v>
      </c>
      <c r="H957" s="2019"/>
      <c r="I957" s="2019">
        <v>8.09</v>
      </c>
      <c r="J957" s="2019">
        <v>8.0782999999999987</v>
      </c>
      <c r="K957" s="2020"/>
      <c r="L957" s="2017">
        <v>6</v>
      </c>
    </row>
    <row r="958" spans="1:12">
      <c r="A958" s="2015">
        <v>43571</v>
      </c>
      <c r="B958" s="2016" t="s">
        <v>2199</v>
      </c>
      <c r="C958" s="2017">
        <v>364</v>
      </c>
      <c r="D958" s="2015">
        <v>43935</v>
      </c>
      <c r="E958" s="2018">
        <v>25</v>
      </c>
      <c r="F958" s="2019">
        <v>83.441299999999998</v>
      </c>
      <c r="G958" s="2019">
        <v>25</v>
      </c>
      <c r="H958" s="2019"/>
      <c r="I958" s="2019">
        <v>8.18</v>
      </c>
      <c r="J958" s="2019">
        <v>7.5167000000000002</v>
      </c>
      <c r="K958" s="2020"/>
      <c r="L958" s="2017">
        <v>18</v>
      </c>
    </row>
    <row r="959" spans="1:12">
      <c r="A959" s="2015">
        <v>43578</v>
      </c>
      <c r="B959" s="2016" t="s">
        <v>2200</v>
      </c>
      <c r="C959" s="2017">
        <v>1092</v>
      </c>
      <c r="D959" s="2015">
        <v>44670</v>
      </c>
      <c r="E959" s="2018">
        <v>15</v>
      </c>
      <c r="F959" s="2019">
        <v>23.290500000000002</v>
      </c>
      <c r="G959" s="2019">
        <v>15</v>
      </c>
      <c r="H959" s="2019"/>
      <c r="I959" s="2019">
        <v>9.9</v>
      </c>
      <c r="J959" s="2019">
        <v>9.7031000000000009</v>
      </c>
      <c r="K959" s="2020"/>
      <c r="L959" s="2017">
        <v>7</v>
      </c>
    </row>
    <row r="960" spans="1:12">
      <c r="A960" s="2015">
        <v>43592</v>
      </c>
      <c r="B960" s="2016" t="s">
        <v>2206</v>
      </c>
      <c r="C960" s="2017">
        <v>728</v>
      </c>
      <c r="D960" s="2015">
        <v>44320</v>
      </c>
      <c r="E960" s="2018">
        <v>20</v>
      </c>
      <c r="F960" s="2019">
        <v>33.010199999999998</v>
      </c>
      <c r="G960" s="2019">
        <v>20</v>
      </c>
      <c r="H960" s="2019"/>
      <c r="I960" s="2019">
        <v>8.8800000000000008</v>
      </c>
      <c r="J960" s="2019">
        <v>8.7800000000000011</v>
      </c>
      <c r="K960" s="2020"/>
      <c r="L960" s="2017">
        <v>17</v>
      </c>
    </row>
    <row r="961" spans="1:12">
      <c r="A961" s="2015">
        <v>43599</v>
      </c>
      <c r="B961" s="2016" t="s">
        <v>2207</v>
      </c>
      <c r="C961" s="2017">
        <v>364</v>
      </c>
      <c r="D961" s="2015">
        <v>43963</v>
      </c>
      <c r="E961" s="2018">
        <v>25</v>
      </c>
      <c r="F961" s="2019">
        <v>75.228499999999997</v>
      </c>
      <c r="G961" s="2019">
        <v>25</v>
      </c>
      <c r="H961" s="2019"/>
      <c r="I961" s="2019">
        <v>7.3999999999999995</v>
      </c>
      <c r="J961" s="2019">
        <v>7.3365</v>
      </c>
      <c r="K961" s="2020"/>
      <c r="L961" s="2017">
        <v>19</v>
      </c>
    </row>
    <row r="962" spans="1:12">
      <c r="A962" s="2015">
        <v>43606</v>
      </c>
      <c r="B962" s="2016" t="s">
        <v>2208</v>
      </c>
      <c r="C962" s="2017">
        <v>1092</v>
      </c>
      <c r="D962" s="2015">
        <v>44698</v>
      </c>
      <c r="E962" s="2018">
        <v>15</v>
      </c>
      <c r="F962" s="2019">
        <v>15.7529</v>
      </c>
      <c r="G962" s="2019">
        <v>14.202</v>
      </c>
      <c r="H962" s="2019"/>
      <c r="I962" s="2019">
        <v>9.9001000000000001</v>
      </c>
      <c r="J962" s="2019">
        <v>9.6974999999999998</v>
      </c>
      <c r="K962" s="2020"/>
      <c r="L962" s="2017">
        <v>7</v>
      </c>
    </row>
    <row r="963" spans="1:12">
      <c r="A963" s="2015">
        <v>43627</v>
      </c>
      <c r="B963" s="2016" t="s">
        <v>2214</v>
      </c>
      <c r="C963" s="2017">
        <v>728</v>
      </c>
      <c r="D963" s="2015">
        <v>44355</v>
      </c>
      <c r="E963" s="2018">
        <v>20</v>
      </c>
      <c r="F963" s="2019">
        <v>96.083299999999994</v>
      </c>
      <c r="G963" s="2019">
        <v>20</v>
      </c>
      <c r="H963" s="2019"/>
      <c r="I963" s="2019">
        <v>7.3</v>
      </c>
      <c r="J963" s="2019">
        <v>7.1637000000000004</v>
      </c>
      <c r="K963" s="2020"/>
      <c r="L963" s="2017">
        <v>11</v>
      </c>
    </row>
    <row r="964" spans="1:12">
      <c r="A964" s="2015">
        <v>43634</v>
      </c>
      <c r="B964" s="2016" t="s">
        <v>2215</v>
      </c>
      <c r="C964" s="2017">
        <v>364</v>
      </c>
      <c r="D964" s="2015">
        <v>43998</v>
      </c>
      <c r="E964" s="2018">
        <v>25</v>
      </c>
      <c r="F964" s="2019">
        <v>116.9628</v>
      </c>
      <c r="G964" s="2019">
        <v>25</v>
      </c>
      <c r="H964" s="2019"/>
      <c r="I964" s="2019">
        <v>6.6999000000000004</v>
      </c>
      <c r="J964" s="2019">
        <v>6.6326000000000001</v>
      </c>
      <c r="K964" s="2020"/>
      <c r="L964" s="2017">
        <v>21</v>
      </c>
    </row>
    <row r="965" spans="1:12">
      <c r="A965" s="2015">
        <v>43641</v>
      </c>
      <c r="B965" s="2016" t="s">
        <v>2216</v>
      </c>
      <c r="C965" s="2017">
        <v>1092</v>
      </c>
      <c r="D965" s="2015">
        <v>44733</v>
      </c>
      <c r="E965" s="2018">
        <v>15</v>
      </c>
      <c r="F965" s="2019">
        <v>26.034300000000002</v>
      </c>
      <c r="G965" s="2019">
        <v>15</v>
      </c>
      <c r="H965" s="2019"/>
      <c r="I965" s="2019">
        <v>9.49</v>
      </c>
      <c r="J965" s="2019">
        <v>8.9143000000000008</v>
      </c>
      <c r="K965" s="2020"/>
      <c r="L965" s="2017">
        <v>8</v>
      </c>
    </row>
    <row r="966" spans="1:12">
      <c r="A966" s="2015">
        <v>43655</v>
      </c>
      <c r="B966" s="2016" t="s">
        <v>2221</v>
      </c>
      <c r="C966" s="2017">
        <v>1092</v>
      </c>
      <c r="D966" s="2015">
        <v>44747</v>
      </c>
      <c r="E966" s="2018">
        <v>15</v>
      </c>
      <c r="F966" s="2019">
        <v>49.6464</v>
      </c>
      <c r="G966" s="2019">
        <v>15</v>
      </c>
      <c r="H966" s="2019"/>
      <c r="I966" s="2019">
        <v>9.9</v>
      </c>
      <c r="J966" s="2019">
        <v>8.6999999999999993</v>
      </c>
      <c r="K966" s="2020"/>
      <c r="L966" s="2017">
        <v>10</v>
      </c>
    </row>
    <row r="967" spans="1:12">
      <c r="A967" s="2015">
        <v>43662</v>
      </c>
      <c r="B967" s="2016" t="s">
        <v>2222</v>
      </c>
      <c r="C967" s="2017">
        <v>728</v>
      </c>
      <c r="D967" s="2015">
        <v>44390</v>
      </c>
      <c r="E967" s="2018">
        <v>20</v>
      </c>
      <c r="F967" s="2019">
        <v>90.161100000000005</v>
      </c>
      <c r="G967" s="2019">
        <v>20</v>
      </c>
      <c r="H967" s="2019"/>
      <c r="I967" s="2019">
        <v>7.6499999999999995</v>
      </c>
      <c r="J967" s="2019">
        <v>7.5446999999999997</v>
      </c>
      <c r="K967" s="2020"/>
      <c r="L967" s="2017">
        <v>18</v>
      </c>
    </row>
    <row r="968" spans="1:12">
      <c r="A968" s="2015">
        <v>43669</v>
      </c>
      <c r="B968" s="2016" t="s">
        <v>2223</v>
      </c>
      <c r="C968" s="2017">
        <v>364</v>
      </c>
      <c r="D968" s="2015">
        <v>44033</v>
      </c>
      <c r="E968" s="2018">
        <v>25</v>
      </c>
      <c r="F968" s="2019">
        <v>106.80289999999999</v>
      </c>
      <c r="G968" s="2019">
        <v>25</v>
      </c>
      <c r="H968" s="2019"/>
      <c r="I968" s="2019">
        <v>6.1</v>
      </c>
      <c r="J968" s="2019">
        <v>6.0257900000000006</v>
      </c>
      <c r="K968" s="2020"/>
      <c r="L968" s="2017">
        <v>18</v>
      </c>
    </row>
    <row r="969" spans="1:12">
      <c r="A969" s="2015">
        <v>43676</v>
      </c>
      <c r="B969" s="2016" t="s">
        <v>2224</v>
      </c>
      <c r="C969" s="2017">
        <v>728</v>
      </c>
      <c r="D969" s="2015">
        <v>44404</v>
      </c>
      <c r="E969" s="2018">
        <v>25</v>
      </c>
      <c r="F969" s="2019">
        <v>79.118499999999997</v>
      </c>
      <c r="G969" s="2019">
        <v>25</v>
      </c>
      <c r="H969" s="2019"/>
      <c r="I969" s="2019">
        <v>10</v>
      </c>
      <c r="J969" s="2019">
        <v>7.3640999999999996</v>
      </c>
      <c r="K969" s="2020"/>
      <c r="L969" s="2017">
        <v>14</v>
      </c>
    </row>
    <row r="970" spans="1:12">
      <c r="A970" s="2015">
        <v>43683</v>
      </c>
      <c r="B970" s="2016" t="s">
        <v>2230</v>
      </c>
      <c r="C970" s="2017">
        <v>728</v>
      </c>
      <c r="D970" s="2015">
        <v>44411</v>
      </c>
      <c r="E970" s="2018">
        <v>25</v>
      </c>
      <c r="F970" s="2019">
        <v>74.144099999999995</v>
      </c>
      <c r="G970" s="2019">
        <v>25</v>
      </c>
      <c r="H970" s="2019"/>
      <c r="I970" s="2019">
        <v>10</v>
      </c>
      <c r="J970" s="2019">
        <v>7.2754000000000003</v>
      </c>
      <c r="K970" s="2020"/>
      <c r="L970" s="2017">
        <v>14</v>
      </c>
    </row>
    <row r="971" spans="1:12">
      <c r="A971" s="2015">
        <v>43697</v>
      </c>
      <c r="B971" s="2016" t="s">
        <v>2231</v>
      </c>
      <c r="C971" s="2017">
        <v>364</v>
      </c>
      <c r="D971" s="2015">
        <v>44061</v>
      </c>
      <c r="E971" s="2018">
        <v>30</v>
      </c>
      <c r="F971" s="2019">
        <v>94.869399999999999</v>
      </c>
      <c r="G971" s="2019">
        <v>30</v>
      </c>
      <c r="H971" s="2019"/>
      <c r="I971" s="2019">
        <v>6.5</v>
      </c>
      <c r="J971" s="2019">
        <v>6.43</v>
      </c>
      <c r="K971" s="2020"/>
      <c r="L971" s="2017">
        <v>10</v>
      </c>
    </row>
    <row r="972" spans="1:12">
      <c r="A972" s="2015">
        <v>43704</v>
      </c>
      <c r="B972" s="2016" t="s">
        <v>2232</v>
      </c>
      <c r="C972" s="2017">
        <v>1092</v>
      </c>
      <c r="D972" s="2015">
        <v>44796</v>
      </c>
      <c r="E972" s="2018">
        <v>20</v>
      </c>
      <c r="F972" s="2019">
        <v>41.091000000000001</v>
      </c>
      <c r="G972" s="2019">
        <v>20</v>
      </c>
      <c r="H972" s="2019"/>
      <c r="I972" s="2019">
        <v>8.57</v>
      </c>
      <c r="J972" s="2019">
        <v>8.5299999999999994</v>
      </c>
      <c r="K972" s="2020"/>
      <c r="L972" s="2017">
        <v>9</v>
      </c>
    </row>
    <row r="973" spans="1:12">
      <c r="A973" s="2015">
        <v>43718</v>
      </c>
      <c r="B973" s="2016" t="s">
        <v>2238</v>
      </c>
      <c r="C973" s="2017">
        <v>728</v>
      </c>
      <c r="D973" s="2015">
        <v>44446</v>
      </c>
      <c r="E973" s="2018">
        <v>15</v>
      </c>
      <c r="F973" s="2019">
        <v>42.665199999999999</v>
      </c>
      <c r="G973" s="2019">
        <v>15</v>
      </c>
      <c r="H973" s="2019"/>
      <c r="I973" s="2019">
        <v>7.3</v>
      </c>
      <c r="J973" s="2019">
        <v>7.23</v>
      </c>
      <c r="K973" s="2020"/>
      <c r="L973" s="2017">
        <v>12</v>
      </c>
    </row>
    <row r="974" spans="1:12">
      <c r="A974" s="2015">
        <v>43725</v>
      </c>
      <c r="B974" s="2016" t="s">
        <v>2239</v>
      </c>
      <c r="C974" s="2017">
        <v>364</v>
      </c>
      <c r="D974" s="2015">
        <v>44089</v>
      </c>
      <c r="E974" s="2018">
        <v>15</v>
      </c>
      <c r="F974" s="2019">
        <v>43.735599999999998</v>
      </c>
      <c r="G974" s="2019">
        <v>15</v>
      </c>
      <c r="H974" s="2019"/>
      <c r="I974" s="2019">
        <v>6.2599</v>
      </c>
      <c r="J974" s="2019">
        <v>6.2241999999999997</v>
      </c>
      <c r="K974" s="2020"/>
      <c r="L974" s="2017">
        <v>10</v>
      </c>
    </row>
    <row r="975" spans="1:12">
      <c r="A975" s="2015">
        <v>43732</v>
      </c>
      <c r="B975" s="2016" t="s">
        <v>2240</v>
      </c>
      <c r="C975" s="2017">
        <v>1092</v>
      </c>
      <c r="D975" s="2015">
        <v>44824</v>
      </c>
      <c r="E975" s="2018">
        <v>15</v>
      </c>
      <c r="F975" s="2019">
        <v>42.529499999999999</v>
      </c>
      <c r="G975" s="2019">
        <v>15</v>
      </c>
      <c r="H975" s="2019"/>
      <c r="I975" s="2019">
        <v>8.4</v>
      </c>
      <c r="J975" s="2019">
        <v>8.3231000000000002</v>
      </c>
      <c r="K975" s="2020"/>
      <c r="L975" s="2017">
        <v>10</v>
      </c>
    </row>
    <row r="976" spans="1:12">
      <c r="A976" s="2015">
        <v>43746</v>
      </c>
      <c r="B976" s="2016" t="s">
        <v>2396</v>
      </c>
      <c r="C976" s="2017">
        <v>728</v>
      </c>
      <c r="D976" s="2015" t="s">
        <v>2397</v>
      </c>
      <c r="E976" s="2018">
        <v>10</v>
      </c>
      <c r="F976" s="2019">
        <v>39.8339</v>
      </c>
      <c r="G976" s="2019">
        <v>10</v>
      </c>
      <c r="H976" s="2019"/>
      <c r="I976" s="2019">
        <v>7.1999999999999993</v>
      </c>
      <c r="J976" s="2019">
        <v>7.1093000000000002</v>
      </c>
      <c r="K976" s="2020"/>
      <c r="L976" s="2017">
        <v>12</v>
      </c>
    </row>
    <row r="977" spans="1:12">
      <c r="A977" s="2015">
        <v>43753</v>
      </c>
      <c r="B977" s="2016" t="s">
        <v>2398</v>
      </c>
      <c r="C977" s="2017">
        <v>364</v>
      </c>
      <c r="D977" s="2015">
        <v>44117</v>
      </c>
      <c r="E977" s="2018">
        <v>25</v>
      </c>
      <c r="F977" s="2019">
        <v>81.854799999999997</v>
      </c>
      <c r="G977" s="2019">
        <v>25</v>
      </c>
      <c r="H977" s="2019"/>
      <c r="I977" s="2019">
        <v>6.45</v>
      </c>
      <c r="J977" s="2019">
        <v>6.3505000000000003</v>
      </c>
      <c r="K977" s="2020"/>
      <c r="L977" s="2017">
        <v>12</v>
      </c>
    </row>
    <row r="978" spans="1:12">
      <c r="A978" s="2015">
        <v>43760</v>
      </c>
      <c r="B978" s="2016" t="s">
        <v>2399</v>
      </c>
      <c r="C978" s="2017">
        <v>1092</v>
      </c>
      <c r="D978" s="2015">
        <v>44852</v>
      </c>
      <c r="E978" s="2018">
        <v>15</v>
      </c>
      <c r="F978" s="2019">
        <v>41.775199999999998</v>
      </c>
      <c r="G978" s="2019">
        <v>15</v>
      </c>
      <c r="H978" s="2019"/>
      <c r="I978" s="2019">
        <v>8.5</v>
      </c>
      <c r="J978" s="2019">
        <v>8.4249000000000009</v>
      </c>
      <c r="K978" s="2020"/>
      <c r="L978" s="2017">
        <v>8</v>
      </c>
    </row>
    <row r="979" spans="1:12">
      <c r="A979" s="2015">
        <v>43781</v>
      </c>
      <c r="B979" s="2016" t="s">
        <v>2400</v>
      </c>
      <c r="C979" s="2017">
        <v>728</v>
      </c>
      <c r="D979" s="2015">
        <v>44509</v>
      </c>
      <c r="E979" s="2018">
        <v>10</v>
      </c>
      <c r="F979" s="2019">
        <v>35.619100000000003</v>
      </c>
      <c r="G979" s="2019">
        <v>10</v>
      </c>
      <c r="H979" s="2019"/>
      <c r="I979" s="2019">
        <v>7.19</v>
      </c>
      <c r="J979" s="2019">
        <v>7.0969000000000007</v>
      </c>
      <c r="K979" s="2020"/>
      <c r="L979" s="2017">
        <v>10</v>
      </c>
    </row>
    <row r="980" spans="1:12">
      <c r="A980" s="2015">
        <v>43788</v>
      </c>
      <c r="B980" s="2016" t="s">
        <v>2401</v>
      </c>
      <c r="C980" s="2017">
        <v>364</v>
      </c>
      <c r="D980" s="2015">
        <v>44152</v>
      </c>
      <c r="E980" s="2018">
        <v>25</v>
      </c>
      <c r="F980" s="2019">
        <v>125.018</v>
      </c>
      <c r="G980" s="2019">
        <v>25</v>
      </c>
      <c r="H980" s="2019"/>
      <c r="I980" s="2019">
        <v>6.05</v>
      </c>
      <c r="J980" s="2019">
        <v>6.0456000000000003</v>
      </c>
      <c r="K980" s="2020"/>
      <c r="L980" s="2017">
        <v>13</v>
      </c>
    </row>
    <row r="981" spans="1:12">
      <c r="A981" s="2015">
        <v>43795</v>
      </c>
      <c r="B981" s="2016" t="s">
        <v>2402</v>
      </c>
      <c r="C981" s="2017">
        <v>1092</v>
      </c>
      <c r="D981" s="2015">
        <v>44887</v>
      </c>
      <c r="E981" s="2018">
        <v>15</v>
      </c>
      <c r="F981" s="2019">
        <v>78.963499999999996</v>
      </c>
      <c r="G981" s="2019">
        <v>15</v>
      </c>
      <c r="H981" s="2019"/>
      <c r="I981" s="2019">
        <v>8.2000000000000011</v>
      </c>
      <c r="J981" s="2019">
        <v>8.1879999999999988</v>
      </c>
      <c r="K981" s="2020"/>
      <c r="L981" s="2017">
        <v>16</v>
      </c>
    </row>
    <row r="982" spans="1:12">
      <c r="A982" s="2015">
        <v>43809</v>
      </c>
      <c r="B982" s="2016" t="s">
        <v>2403</v>
      </c>
      <c r="C982" s="2017">
        <v>728</v>
      </c>
      <c r="D982" s="2015">
        <v>44537</v>
      </c>
      <c r="E982" s="2018">
        <v>10</v>
      </c>
      <c r="F982" s="2019">
        <v>45.445300000000003</v>
      </c>
      <c r="G982" s="2019">
        <v>10</v>
      </c>
      <c r="H982" s="2019"/>
      <c r="I982" s="2019">
        <v>7.0000000000000009</v>
      </c>
      <c r="J982" s="2019">
        <v>6.8900000000000006</v>
      </c>
      <c r="K982" s="2020"/>
      <c r="L982" s="2017">
        <v>11</v>
      </c>
    </row>
    <row r="983" spans="1:12" s="462" customFormat="1">
      <c r="A983" s="2015">
        <v>43816</v>
      </c>
      <c r="B983" s="2016" t="s">
        <v>2404</v>
      </c>
      <c r="C983" s="2017">
        <v>364</v>
      </c>
      <c r="D983" s="2015">
        <v>44180</v>
      </c>
      <c r="E983" s="2018">
        <v>15</v>
      </c>
      <c r="F983" s="2019">
        <v>85.697199999999995</v>
      </c>
      <c r="G983" s="2019">
        <v>15</v>
      </c>
      <c r="H983" s="2019"/>
      <c r="I983" s="2019">
        <v>5.5941000000000001</v>
      </c>
      <c r="J983" s="2019">
        <v>5.5135000000000005</v>
      </c>
      <c r="K983" s="2020"/>
      <c r="L983" s="2017">
        <v>18</v>
      </c>
    </row>
    <row r="984" spans="1:12">
      <c r="A984" s="2015">
        <v>43823</v>
      </c>
      <c r="B984" s="2016" t="s">
        <v>2405</v>
      </c>
      <c r="C984" s="2017">
        <v>1092</v>
      </c>
      <c r="D984" s="2015" t="s">
        <v>2406</v>
      </c>
      <c r="E984" s="2018">
        <v>10</v>
      </c>
      <c r="F984" s="2019">
        <v>40.9129</v>
      </c>
      <c r="G984" s="2019">
        <v>10</v>
      </c>
      <c r="H984" s="2019"/>
      <c r="I984" s="2019">
        <v>7.7999000000000001</v>
      </c>
      <c r="J984" s="2019">
        <v>7.7216000000000005</v>
      </c>
      <c r="K984" s="2020"/>
      <c r="L984" s="2017">
        <v>11</v>
      </c>
    </row>
    <row r="985" spans="1:12">
      <c r="A985" s="2021">
        <v>2020</v>
      </c>
      <c r="B985" s="2016"/>
      <c r="C985" s="2017"/>
      <c r="D985" s="2015"/>
      <c r="E985" s="2018"/>
      <c r="F985" s="2019"/>
      <c r="G985" s="2019"/>
      <c r="H985" s="2019"/>
      <c r="I985" s="2019"/>
      <c r="J985" s="2019"/>
      <c r="K985" s="2020"/>
      <c r="L985" s="2017"/>
    </row>
    <row r="986" spans="1:12">
      <c r="A986" s="2015">
        <v>43844</v>
      </c>
      <c r="B986" s="2016" t="s">
        <v>2411</v>
      </c>
      <c r="C986" s="2017">
        <v>728</v>
      </c>
      <c r="D986" s="2015">
        <v>44866</v>
      </c>
      <c r="E986" s="2018">
        <v>15</v>
      </c>
      <c r="F986" s="2019">
        <v>88.415499999999994</v>
      </c>
      <c r="G986" s="2019">
        <v>15</v>
      </c>
      <c r="H986" s="2019"/>
      <c r="I986" s="2019">
        <v>5.98</v>
      </c>
      <c r="J986" s="2019">
        <v>5.9417999999999997</v>
      </c>
      <c r="K986" s="2020"/>
      <c r="L986" s="2017">
        <v>18</v>
      </c>
    </row>
    <row r="987" spans="1:12">
      <c r="A987" s="2015">
        <v>43851</v>
      </c>
      <c r="B987" s="2016" t="s">
        <v>2412</v>
      </c>
      <c r="C987" s="2017">
        <v>364</v>
      </c>
      <c r="D987" s="2015" t="s">
        <v>2413</v>
      </c>
      <c r="E987" s="2018">
        <v>10</v>
      </c>
      <c r="F987" s="2019">
        <v>55.789700000000003</v>
      </c>
      <c r="G987" s="2019">
        <v>10</v>
      </c>
      <c r="H987" s="2019"/>
      <c r="I987" s="2019">
        <v>4.4997999999999996</v>
      </c>
      <c r="J987" s="2019">
        <v>4.4238999999999997</v>
      </c>
      <c r="K987" s="2020"/>
      <c r="L987" s="2017">
        <v>14</v>
      </c>
    </row>
    <row r="988" spans="1:12">
      <c r="A988" s="2015">
        <v>43858</v>
      </c>
      <c r="B988" s="2016" t="s">
        <v>2414</v>
      </c>
      <c r="C988" s="2017">
        <v>1820</v>
      </c>
      <c r="D988" s="2015" t="s">
        <v>2415</v>
      </c>
      <c r="E988" s="2018">
        <v>10</v>
      </c>
      <c r="F988" s="2019">
        <v>50.5396</v>
      </c>
      <c r="G988" s="2019">
        <v>10</v>
      </c>
      <c r="H988" s="2019"/>
      <c r="I988" s="2019">
        <v>8.44</v>
      </c>
      <c r="J988" s="2019">
        <v>8.1622000000000003</v>
      </c>
      <c r="K988" s="2020"/>
      <c r="L988" s="2017">
        <v>16</v>
      </c>
    </row>
    <row r="989" spans="1:12">
      <c r="A989" s="2015">
        <v>43866</v>
      </c>
      <c r="B989" s="2016" t="s">
        <v>2418</v>
      </c>
      <c r="C989" s="2017" t="s">
        <v>2419</v>
      </c>
      <c r="D989" s="2015">
        <v>44593</v>
      </c>
      <c r="E989" s="2018">
        <v>15</v>
      </c>
      <c r="F989" s="2019">
        <v>70.679599999999994</v>
      </c>
      <c r="G989" s="2019">
        <v>15</v>
      </c>
      <c r="H989" s="2019"/>
      <c r="I989" s="2019">
        <v>5.3399000000000001</v>
      </c>
      <c r="J989" s="2019">
        <v>5.2641999999999998</v>
      </c>
      <c r="K989" s="2020"/>
      <c r="L989" s="2017" t="s">
        <v>2420</v>
      </c>
    </row>
    <row r="990" spans="1:12">
      <c r="A990" s="2015">
        <v>43872</v>
      </c>
      <c r="B990" s="2016" t="s">
        <v>2421</v>
      </c>
      <c r="C990" s="2017" t="s">
        <v>2422</v>
      </c>
      <c r="D990" s="2015">
        <v>44236</v>
      </c>
      <c r="E990" s="2018" t="s">
        <v>2423</v>
      </c>
      <c r="F990" s="2019">
        <v>45.7639</v>
      </c>
      <c r="G990" s="2019">
        <v>10</v>
      </c>
      <c r="H990" s="2019"/>
      <c r="I990" s="2019">
        <v>3.9994999999999998</v>
      </c>
      <c r="J990" s="2019">
        <v>3.9618000000000002</v>
      </c>
      <c r="K990" s="2020"/>
      <c r="L990" s="2017" t="s">
        <v>2424</v>
      </c>
    </row>
    <row r="991" spans="1:12">
      <c r="A991" s="2015">
        <v>43879</v>
      </c>
      <c r="B991" s="2016" t="s">
        <v>2414</v>
      </c>
      <c r="C991" s="2017" t="s">
        <v>2425</v>
      </c>
      <c r="D991" s="2015">
        <v>45678</v>
      </c>
      <c r="E991" s="2018" t="s">
        <v>2423</v>
      </c>
      <c r="F991" s="2019">
        <v>55.292299999999997</v>
      </c>
      <c r="G991" s="2019">
        <v>10</v>
      </c>
      <c r="H991" s="2019"/>
      <c r="I991" s="2019">
        <v>8.3874999999999993</v>
      </c>
      <c r="J991" s="2019">
        <v>8.2102000000000004</v>
      </c>
      <c r="K991" s="2020"/>
      <c r="L991" s="2017" t="s">
        <v>2426</v>
      </c>
    </row>
    <row r="992" spans="1:12">
      <c r="A992" s="2015">
        <v>43886</v>
      </c>
      <c r="B992" s="2016" t="s">
        <v>2427</v>
      </c>
      <c r="C992" s="2017" t="s">
        <v>2428</v>
      </c>
      <c r="D992" s="2015">
        <v>44978</v>
      </c>
      <c r="E992" s="2018" t="s">
        <v>2429</v>
      </c>
      <c r="F992" s="2019">
        <v>94.805099999999996</v>
      </c>
      <c r="G992" s="2019">
        <v>25</v>
      </c>
      <c r="H992" s="2019"/>
      <c r="I992" s="2019">
        <v>6.3998999999999997</v>
      </c>
      <c r="J992" s="2019">
        <v>6.3998999999999997</v>
      </c>
      <c r="K992" s="2020"/>
      <c r="L992" s="2017" t="s">
        <v>2420</v>
      </c>
    </row>
    <row r="993" spans="1:12">
      <c r="A993" s="2015">
        <v>43893</v>
      </c>
      <c r="B993" s="2016" t="s">
        <v>2430</v>
      </c>
      <c r="C993" s="2017" t="s">
        <v>2419</v>
      </c>
      <c r="D993" s="2015">
        <v>44621</v>
      </c>
      <c r="E993" s="2018" t="s">
        <v>2431</v>
      </c>
      <c r="F993" s="2019">
        <v>42.299500000000002</v>
      </c>
      <c r="G993" s="2019">
        <v>15</v>
      </c>
      <c r="H993" s="2019"/>
      <c r="I993" s="2019">
        <v>5.1898999999999997</v>
      </c>
      <c r="J993" s="2019">
        <v>5.1898999999999997</v>
      </c>
      <c r="K993" s="2020"/>
      <c r="L993" s="2017" t="s">
        <v>2432</v>
      </c>
    </row>
    <row r="994" spans="1:12">
      <c r="A994" s="2015">
        <v>43900</v>
      </c>
      <c r="B994" s="2016" t="s">
        <v>2433</v>
      </c>
      <c r="C994" s="2017">
        <v>364</v>
      </c>
      <c r="D994" s="2015">
        <v>44264</v>
      </c>
      <c r="E994" s="2018">
        <v>10</v>
      </c>
      <c r="F994" s="2019">
        <v>26.768000000000001</v>
      </c>
      <c r="G994" s="2019">
        <v>10</v>
      </c>
      <c r="H994" s="2019"/>
      <c r="I994" s="2019">
        <v>7.99</v>
      </c>
      <c r="J994" s="2019">
        <v>7.4504999999999999</v>
      </c>
      <c r="K994" s="2020"/>
      <c r="L994" s="2017" t="s">
        <v>2434</v>
      </c>
    </row>
    <row r="995" spans="1:12">
      <c r="A995" s="2015">
        <v>43942</v>
      </c>
      <c r="B995" s="2016" t="s">
        <v>2441</v>
      </c>
      <c r="C995" s="2017">
        <v>364</v>
      </c>
      <c r="D995" s="2015">
        <v>44306</v>
      </c>
      <c r="E995" s="2018">
        <v>20</v>
      </c>
      <c r="F995" s="2019">
        <v>71.099999999999994</v>
      </c>
      <c r="G995" s="2019">
        <v>20</v>
      </c>
      <c r="H995" s="2019"/>
      <c r="I995" s="2019">
        <v>6.99</v>
      </c>
      <c r="J995" s="2019">
        <v>6.99</v>
      </c>
      <c r="K995" s="2020"/>
      <c r="L995" s="2017">
        <v>10</v>
      </c>
    </row>
    <row r="996" spans="1:12">
      <c r="A996" s="2015">
        <v>43949</v>
      </c>
      <c r="B996" s="2016" t="s">
        <v>2442</v>
      </c>
      <c r="C996" s="2017">
        <v>728</v>
      </c>
      <c r="D996" s="2015">
        <v>44677</v>
      </c>
      <c r="E996" s="2018">
        <v>15</v>
      </c>
      <c r="F996" s="2019">
        <v>17.29</v>
      </c>
      <c r="G996" s="2019">
        <v>15</v>
      </c>
      <c r="H996" s="2019"/>
      <c r="I996" s="2019">
        <v>17</v>
      </c>
      <c r="J996" s="2019">
        <v>11.92</v>
      </c>
      <c r="K996" s="2020"/>
      <c r="L996" s="2017">
        <v>6</v>
      </c>
    </row>
    <row r="997" spans="1:12">
      <c r="A997" s="2015">
        <v>43956</v>
      </c>
      <c r="B997" s="2016" t="s">
        <v>2443</v>
      </c>
      <c r="C997" s="2017">
        <v>364</v>
      </c>
      <c r="D997" s="2015">
        <v>44320</v>
      </c>
      <c r="E997" s="2018">
        <v>50</v>
      </c>
      <c r="F997" s="2019">
        <v>93.01</v>
      </c>
      <c r="G997" s="2019">
        <v>16.600000000000001</v>
      </c>
      <c r="H997" s="2019"/>
      <c r="I997" s="2019">
        <v>10.49</v>
      </c>
      <c r="J997" s="2019">
        <v>9.89</v>
      </c>
      <c r="K997" s="2020"/>
      <c r="L997" s="2017">
        <v>23</v>
      </c>
    </row>
    <row r="998" spans="1:12">
      <c r="A998" s="2015">
        <v>43963</v>
      </c>
      <c r="B998" s="2016" t="s">
        <v>2443</v>
      </c>
      <c r="C998" s="2017">
        <v>364</v>
      </c>
      <c r="D998" s="2015">
        <v>44320</v>
      </c>
      <c r="E998" s="2018">
        <v>33.39</v>
      </c>
      <c r="F998" s="2019">
        <v>36.229999999999997</v>
      </c>
      <c r="G998" s="2019">
        <v>25.74</v>
      </c>
      <c r="H998" s="2019"/>
      <c r="I998" s="2019">
        <v>10.49</v>
      </c>
      <c r="J998" s="2019">
        <v>9.89</v>
      </c>
      <c r="K998" s="2020"/>
      <c r="L998" s="2017">
        <v>13</v>
      </c>
    </row>
    <row r="999" spans="1:12">
      <c r="A999" s="2015">
        <v>43970</v>
      </c>
      <c r="B999" s="2016" t="s">
        <v>2455</v>
      </c>
      <c r="C999" s="2017">
        <v>728</v>
      </c>
      <c r="D999" s="2015">
        <v>44698</v>
      </c>
      <c r="E999" s="2018">
        <v>20</v>
      </c>
      <c r="F999" s="2019">
        <v>62.349800000000002</v>
      </c>
      <c r="G999" s="2019">
        <v>20</v>
      </c>
      <c r="H999" s="2019"/>
      <c r="I999" s="2019">
        <v>11</v>
      </c>
      <c r="J999" s="2019">
        <v>10.99</v>
      </c>
      <c r="K999" s="2020"/>
      <c r="L999" s="2017">
        <v>19</v>
      </c>
    </row>
    <row r="1000" spans="1:12">
      <c r="A1000" s="2015">
        <v>43970</v>
      </c>
      <c r="B1000" s="2016" t="s">
        <v>2443</v>
      </c>
      <c r="C1000" s="2017">
        <v>364</v>
      </c>
      <c r="D1000" s="2015">
        <v>44320</v>
      </c>
      <c r="E1000" s="2018">
        <v>7.6607000000000003</v>
      </c>
      <c r="F1000" s="2019">
        <v>19.491199999999999</v>
      </c>
      <c r="G1000" s="2019">
        <v>7.6607000000000003</v>
      </c>
      <c r="H1000" s="2019"/>
      <c r="I1000" s="2019">
        <v>8.4899000000000004</v>
      </c>
      <c r="J1000" s="2019">
        <v>8.4899000000000004</v>
      </c>
      <c r="K1000" s="2020"/>
      <c r="L1000" s="2017">
        <v>6</v>
      </c>
    </row>
    <row r="1001" spans="1:12">
      <c r="A1001" s="2015">
        <v>43991</v>
      </c>
      <c r="B1001" s="2016" t="s">
        <v>2456</v>
      </c>
      <c r="C1001" s="2017">
        <v>728</v>
      </c>
      <c r="D1001" s="2015">
        <v>44719</v>
      </c>
      <c r="E1001" s="2018">
        <v>25</v>
      </c>
      <c r="F1001" s="2019">
        <v>48.925400000000003</v>
      </c>
      <c r="G1001" s="2019">
        <v>25</v>
      </c>
      <c r="H1001" s="2019"/>
      <c r="I1001" s="2019">
        <v>10</v>
      </c>
      <c r="J1001" s="2019">
        <v>9.7989999999999995</v>
      </c>
      <c r="K1001" s="2020"/>
      <c r="L1001" s="2017">
        <v>14</v>
      </c>
    </row>
    <row r="1002" spans="1:12">
      <c r="A1002" s="2015">
        <v>43998</v>
      </c>
      <c r="B1002" s="2016" t="s">
        <v>2457</v>
      </c>
      <c r="C1002" s="2017">
        <v>364</v>
      </c>
      <c r="D1002" s="2015">
        <v>44362</v>
      </c>
      <c r="E1002" s="2018">
        <v>30</v>
      </c>
      <c r="F1002" s="2019">
        <v>36.432200000000002</v>
      </c>
      <c r="G1002" s="2019">
        <v>30</v>
      </c>
      <c r="H1002" s="2019"/>
      <c r="I1002" s="2019">
        <v>9</v>
      </c>
      <c r="J1002" s="2019">
        <v>8.4700000000000006</v>
      </c>
      <c r="K1002" s="2020"/>
      <c r="L1002" s="2017">
        <v>16</v>
      </c>
    </row>
    <row r="1003" spans="1:12">
      <c r="A1003" s="2015">
        <v>44005</v>
      </c>
      <c r="B1003" s="2016" t="s">
        <v>2463</v>
      </c>
      <c r="C1003" s="2017" t="s">
        <v>2428</v>
      </c>
      <c r="D1003" s="2015">
        <v>45097</v>
      </c>
      <c r="E1003" s="2018">
        <v>15</v>
      </c>
      <c r="F1003" s="2019">
        <v>39.375300000000003</v>
      </c>
      <c r="G1003" s="2019">
        <v>15</v>
      </c>
      <c r="H1003" s="2019"/>
      <c r="I1003" s="2019">
        <v>12.99</v>
      </c>
      <c r="J1003" s="2019">
        <v>12.1905</v>
      </c>
      <c r="K1003" s="2020"/>
      <c r="L1003" s="2017" t="s">
        <v>2424</v>
      </c>
    </row>
    <row r="1004" spans="1:12">
      <c r="A1004" s="2015">
        <v>44019</v>
      </c>
      <c r="B1004" s="2016" t="s">
        <v>2477</v>
      </c>
      <c r="C1004" s="2017">
        <v>728</v>
      </c>
      <c r="D1004" s="2015">
        <v>44747</v>
      </c>
      <c r="E1004" s="2018">
        <v>20</v>
      </c>
      <c r="F1004" s="2019">
        <v>73.02</v>
      </c>
      <c r="G1004" s="2019">
        <v>30</v>
      </c>
      <c r="H1004" s="2019"/>
      <c r="I1004" s="2019">
        <v>12.9</v>
      </c>
      <c r="J1004" s="2019">
        <v>9.4600000000000009</v>
      </c>
      <c r="K1004" s="2020"/>
      <c r="L1004" s="2017">
        <v>14</v>
      </c>
    </row>
    <row r="1005" spans="1:12">
      <c r="A1005" s="2015">
        <v>44026</v>
      </c>
      <c r="B1005" s="2016" t="s">
        <v>2478</v>
      </c>
      <c r="C1005" s="2017">
        <v>364</v>
      </c>
      <c r="D1005" s="2015">
        <v>44390</v>
      </c>
      <c r="E1005" s="2018">
        <v>30</v>
      </c>
      <c r="F1005" s="2019">
        <v>122.9</v>
      </c>
      <c r="G1005" s="2019">
        <v>45</v>
      </c>
      <c r="H1005" s="2019"/>
      <c r="I1005" s="2019">
        <v>12.06</v>
      </c>
      <c r="J1005" s="2019">
        <v>7.92</v>
      </c>
      <c r="K1005" s="2020"/>
      <c r="L1005" s="2017">
        <v>14</v>
      </c>
    </row>
    <row r="1006" spans="1:12">
      <c r="A1006" s="2015">
        <v>44033</v>
      </c>
      <c r="B1006" s="2016" t="s">
        <v>2479</v>
      </c>
      <c r="C1006" s="2017">
        <v>1092</v>
      </c>
      <c r="D1006" s="2015">
        <v>45125</v>
      </c>
      <c r="E1006" s="2018">
        <v>20</v>
      </c>
      <c r="F1006" s="2019">
        <v>87.12</v>
      </c>
      <c r="G1006" s="2019">
        <v>30</v>
      </c>
      <c r="H1006" s="2019"/>
      <c r="I1006" s="2019">
        <v>15</v>
      </c>
      <c r="J1006" s="2019">
        <v>11.9</v>
      </c>
      <c r="K1006" s="2020"/>
      <c r="L1006" s="2017">
        <v>16</v>
      </c>
    </row>
    <row r="1007" spans="1:12">
      <c r="A1007" s="2015">
        <v>44047</v>
      </c>
      <c r="B1007" s="2016" t="s">
        <v>2480</v>
      </c>
      <c r="C1007" s="2017">
        <v>728</v>
      </c>
      <c r="D1007" s="2015">
        <v>44775</v>
      </c>
      <c r="E1007" s="2018">
        <v>20</v>
      </c>
      <c r="F1007" s="2019">
        <v>90.04</v>
      </c>
      <c r="G1007" s="2019">
        <v>30</v>
      </c>
      <c r="H1007" s="2019"/>
      <c r="I1007" s="2019">
        <v>11.49</v>
      </c>
      <c r="J1007" s="2019">
        <v>8.92</v>
      </c>
      <c r="K1007" s="2020"/>
      <c r="L1007" s="2017">
        <v>14</v>
      </c>
    </row>
    <row r="1008" spans="1:12">
      <c r="A1008" s="2015">
        <v>44061</v>
      </c>
      <c r="B1008" s="2016" t="s">
        <v>2495</v>
      </c>
      <c r="C1008" s="2017" t="s">
        <v>2428</v>
      </c>
      <c r="D1008" s="2015">
        <v>45153</v>
      </c>
      <c r="E1008" s="2018">
        <v>20</v>
      </c>
      <c r="F1008" s="2019">
        <v>87.795000000000002</v>
      </c>
      <c r="G1008" s="2019">
        <v>18.9681</v>
      </c>
      <c r="H1008" s="2019"/>
      <c r="I1008" s="2019">
        <v>9</v>
      </c>
      <c r="J1008" s="2019">
        <v>8.7319999999999993</v>
      </c>
      <c r="K1008" s="2020"/>
      <c r="L1008" s="2017" t="s">
        <v>2420</v>
      </c>
    </row>
    <row r="1009" spans="1:12">
      <c r="A1009" s="2015">
        <v>44075</v>
      </c>
      <c r="B1009" s="2016" t="s">
        <v>2496</v>
      </c>
      <c r="C1009" s="2017" t="s">
        <v>2425</v>
      </c>
      <c r="D1009" s="2015">
        <v>45678</v>
      </c>
      <c r="E1009" s="2018">
        <v>10</v>
      </c>
      <c r="F1009" s="2019">
        <v>27.2331</v>
      </c>
      <c r="G1009" s="2019">
        <v>2.4163999999999999</v>
      </c>
      <c r="H1009" s="2019"/>
      <c r="I1009" s="2019">
        <v>11.2165</v>
      </c>
      <c r="J1009" s="2019">
        <v>10.952999999999999</v>
      </c>
      <c r="K1009" s="2020"/>
      <c r="L1009" s="2017" t="s">
        <v>2432</v>
      </c>
    </row>
    <row r="1010" spans="1:12">
      <c r="A1010" s="2015">
        <v>44082</v>
      </c>
      <c r="B1010" s="2016" t="s">
        <v>2497</v>
      </c>
      <c r="C1010" s="2017" t="s">
        <v>2428</v>
      </c>
      <c r="D1010" s="2015">
        <v>45174</v>
      </c>
      <c r="E1010" s="2018">
        <v>20</v>
      </c>
      <c r="F1010" s="2019">
        <v>75.490300000000005</v>
      </c>
      <c r="G1010" s="2019">
        <v>30</v>
      </c>
      <c r="H1010" s="2019"/>
      <c r="I1010" s="2019">
        <v>9.99</v>
      </c>
      <c r="J1010" s="2019">
        <v>9.8847000000000005</v>
      </c>
      <c r="K1010" s="2020"/>
      <c r="L1010" s="2017" t="s">
        <v>2420</v>
      </c>
    </row>
    <row r="1011" spans="1:12">
      <c r="A1011" s="2015">
        <v>44096</v>
      </c>
      <c r="B1011" s="2016" t="s">
        <v>2537</v>
      </c>
      <c r="C1011" s="2017">
        <v>728</v>
      </c>
      <c r="D1011" s="2015">
        <v>44824</v>
      </c>
      <c r="E1011" s="2018">
        <v>20</v>
      </c>
      <c r="F1011" s="2019">
        <v>83.99</v>
      </c>
      <c r="G1011" s="2019">
        <v>30</v>
      </c>
      <c r="H1011" s="2019"/>
      <c r="I1011" s="2019">
        <v>7.97</v>
      </c>
      <c r="J1011" s="2019">
        <v>7.96</v>
      </c>
      <c r="K1011" s="2020"/>
      <c r="L1011" s="2017">
        <v>10</v>
      </c>
    </row>
    <row r="1012" spans="1:12">
      <c r="A1012" s="2015">
        <v>44103</v>
      </c>
      <c r="B1012" s="2016" t="s">
        <v>2538</v>
      </c>
      <c r="C1012" s="2017">
        <v>364</v>
      </c>
      <c r="D1012" s="2015">
        <v>44467</v>
      </c>
      <c r="E1012" s="2018">
        <v>30</v>
      </c>
      <c r="F1012" s="2019">
        <v>101.7</v>
      </c>
      <c r="G1012" s="2019">
        <v>45</v>
      </c>
      <c r="H1012" s="2019"/>
      <c r="I1012" s="2019">
        <v>7.4</v>
      </c>
      <c r="J1012" s="2019">
        <v>7.37</v>
      </c>
      <c r="K1012" s="2020"/>
      <c r="L1012" s="2017">
        <v>13</v>
      </c>
    </row>
    <row r="1013" spans="1:12">
      <c r="A1013" s="2015">
        <v>44110</v>
      </c>
      <c r="B1013" s="2016" t="s">
        <v>2539</v>
      </c>
      <c r="C1013" s="2017">
        <v>728</v>
      </c>
      <c r="D1013" s="2015">
        <v>44838</v>
      </c>
      <c r="E1013" s="2018">
        <v>30</v>
      </c>
      <c r="F1013" s="2019">
        <v>79.69</v>
      </c>
      <c r="G1013" s="2019">
        <v>45</v>
      </c>
      <c r="H1013" s="2019"/>
      <c r="I1013" s="2019">
        <v>8</v>
      </c>
      <c r="J1013" s="2019">
        <v>7.98</v>
      </c>
      <c r="K1013" s="2020"/>
      <c r="L1013" s="2017">
        <v>11</v>
      </c>
    </row>
    <row r="1014" spans="1:12">
      <c r="A1014" s="2015">
        <v>44117</v>
      </c>
      <c r="B1014" s="2016" t="s">
        <v>2540</v>
      </c>
      <c r="C1014" s="2017">
        <v>364</v>
      </c>
      <c r="D1014" s="2015">
        <v>44481</v>
      </c>
      <c r="E1014" s="2018">
        <v>25</v>
      </c>
      <c r="F1014" s="2019">
        <v>87.89</v>
      </c>
      <c r="G1014" s="2019">
        <v>37.5</v>
      </c>
      <c r="H1014" s="2019"/>
      <c r="I1014" s="2019">
        <v>7.38</v>
      </c>
      <c r="J1014" s="2019">
        <v>7.3</v>
      </c>
      <c r="K1014" s="2020"/>
      <c r="L1014" s="2017">
        <v>14</v>
      </c>
    </row>
    <row r="1015" spans="1:12">
      <c r="A1015" s="2015">
        <v>44124</v>
      </c>
      <c r="B1015" s="2016" t="s">
        <v>2547</v>
      </c>
      <c r="C1015" s="2017">
        <v>1092</v>
      </c>
      <c r="D1015" s="2015">
        <v>45216</v>
      </c>
      <c r="E1015" s="2018">
        <v>20</v>
      </c>
      <c r="F1015" s="2019">
        <v>84.79</v>
      </c>
      <c r="G1015" s="2019">
        <v>30</v>
      </c>
      <c r="H1015" s="2019"/>
      <c r="I1015" s="2019">
        <v>9.9499999999999993</v>
      </c>
      <c r="J1015" s="2019">
        <v>9.84</v>
      </c>
      <c r="K1015" s="2020"/>
      <c r="L1015" s="2017">
        <v>13</v>
      </c>
    </row>
    <row r="1016" spans="1:12">
      <c r="A1016" s="2015">
        <v>44131</v>
      </c>
      <c r="B1016" s="2016" t="s">
        <v>2548</v>
      </c>
      <c r="C1016" s="2017">
        <v>364</v>
      </c>
      <c r="D1016" s="2015">
        <v>44495</v>
      </c>
      <c r="E1016" s="2018">
        <v>30</v>
      </c>
      <c r="F1016" s="2019">
        <v>101.82</v>
      </c>
      <c r="G1016" s="2019">
        <v>42.5</v>
      </c>
      <c r="H1016" s="2019"/>
      <c r="I1016" s="2019">
        <v>6.89</v>
      </c>
      <c r="J1016" s="2019">
        <v>6.89</v>
      </c>
      <c r="K1016" s="2020"/>
      <c r="L1016" s="2017">
        <v>16</v>
      </c>
    </row>
    <row r="1017" spans="1:12">
      <c r="A1017" s="2015">
        <v>44138</v>
      </c>
      <c r="B1017" s="2016" t="s">
        <v>2549</v>
      </c>
      <c r="C1017" s="2017">
        <v>728</v>
      </c>
      <c r="D1017" s="2015">
        <v>44866</v>
      </c>
      <c r="E1017" s="2018">
        <v>100</v>
      </c>
      <c r="F1017" s="2019">
        <v>248</v>
      </c>
      <c r="G1017" s="2019">
        <v>122.02</v>
      </c>
      <c r="H1017" s="2019"/>
      <c r="I1017" s="2019">
        <v>6.85</v>
      </c>
      <c r="J1017" s="2019">
        <v>6.84</v>
      </c>
      <c r="K1017" s="2020"/>
      <c r="L1017" s="2017">
        <v>11</v>
      </c>
    </row>
    <row r="1018" spans="1:12">
      <c r="A1018" s="2015">
        <v>44145</v>
      </c>
      <c r="B1018" s="2016" t="s">
        <v>2550</v>
      </c>
      <c r="C1018" s="2017">
        <v>1092</v>
      </c>
      <c r="D1018" s="2015">
        <v>45237</v>
      </c>
      <c r="E1018" s="2018">
        <v>15</v>
      </c>
      <c r="F1018" s="2019">
        <v>50.29</v>
      </c>
      <c r="G1018" s="2019">
        <v>8.35</v>
      </c>
      <c r="H1018" s="2019"/>
      <c r="I1018" s="2019">
        <v>7.51</v>
      </c>
      <c r="J1018" s="2019">
        <v>7.49</v>
      </c>
      <c r="K1018" s="2020"/>
      <c r="L1018" s="2017">
        <v>6</v>
      </c>
    </row>
    <row r="1019" spans="1:12">
      <c r="A1019" s="2015">
        <v>44152</v>
      </c>
      <c r="B1019" s="2016" t="s">
        <v>2560</v>
      </c>
      <c r="C1019" s="2017">
        <v>728</v>
      </c>
      <c r="D1019" s="2015">
        <v>44880</v>
      </c>
      <c r="E1019" s="2018">
        <v>100</v>
      </c>
      <c r="F1019" s="2019">
        <v>238</v>
      </c>
      <c r="G1019" s="2019">
        <v>118</v>
      </c>
      <c r="H1019" s="2019"/>
      <c r="I1019" s="2019">
        <v>14.01</v>
      </c>
      <c r="J1019" s="2019">
        <v>6.83</v>
      </c>
      <c r="K1019" s="2020"/>
      <c r="L1019" s="2017">
        <v>11</v>
      </c>
    </row>
    <row r="1020" spans="1:12">
      <c r="A1020" s="2015">
        <v>44159</v>
      </c>
      <c r="B1020" s="2016" t="s">
        <v>2561</v>
      </c>
      <c r="C1020" s="2017">
        <v>1092</v>
      </c>
      <c r="D1020" s="2015">
        <v>45251</v>
      </c>
      <c r="E1020" s="2018">
        <v>10</v>
      </c>
      <c r="F1020" s="2019">
        <v>29.8</v>
      </c>
      <c r="G1020" s="2019">
        <v>10</v>
      </c>
      <c r="H1020" s="2019"/>
      <c r="I1020" s="2019">
        <v>9</v>
      </c>
      <c r="J1020" s="2019">
        <v>8</v>
      </c>
      <c r="K1020" s="2020"/>
      <c r="L1020" s="2017">
        <v>5</v>
      </c>
    </row>
    <row r="1021" spans="1:12">
      <c r="A1021" s="2015">
        <v>44166</v>
      </c>
      <c r="B1021" s="2016" t="s">
        <v>2562</v>
      </c>
      <c r="C1021" s="2017">
        <v>728</v>
      </c>
      <c r="D1021" s="2015">
        <v>44894</v>
      </c>
      <c r="E1021" s="2018">
        <v>10</v>
      </c>
      <c r="F1021" s="2019">
        <v>42.1</v>
      </c>
      <c r="G1021" s="2019">
        <v>6.98</v>
      </c>
      <c r="H1021" s="2019"/>
      <c r="I1021" s="2019">
        <v>8</v>
      </c>
      <c r="J1021" s="2019">
        <v>6.68</v>
      </c>
      <c r="K1021" s="2020"/>
      <c r="L1021" s="2017">
        <v>9</v>
      </c>
    </row>
    <row r="1022" spans="1:12">
      <c r="A1022" s="2015">
        <v>44173</v>
      </c>
      <c r="B1022" s="2016" t="s">
        <v>2563</v>
      </c>
      <c r="C1022" s="2017">
        <v>1092</v>
      </c>
      <c r="D1022" s="2015">
        <v>45265</v>
      </c>
      <c r="E1022" s="2018">
        <v>10</v>
      </c>
      <c r="F1022" s="2019">
        <v>39.950000000000003</v>
      </c>
      <c r="G1022" s="2019">
        <v>9.1</v>
      </c>
      <c r="H1022" s="2019"/>
      <c r="I1022" s="2019">
        <v>9</v>
      </c>
      <c r="J1022" s="2019">
        <v>7.76</v>
      </c>
      <c r="K1022" s="2020"/>
      <c r="L1022" s="2017">
        <v>8</v>
      </c>
    </row>
    <row r="1023" spans="1:12">
      <c r="A1023" s="2015">
        <v>44180</v>
      </c>
      <c r="B1023" s="2016" t="s">
        <v>2564</v>
      </c>
      <c r="C1023" s="2017">
        <v>364</v>
      </c>
      <c r="D1023" s="2015">
        <v>44544</v>
      </c>
      <c r="E1023" s="2018">
        <v>20</v>
      </c>
      <c r="F1023" s="2019">
        <v>88.56</v>
      </c>
      <c r="G1023" s="2019">
        <v>30</v>
      </c>
      <c r="H1023" s="2019"/>
      <c r="I1023" s="2019">
        <v>10</v>
      </c>
      <c r="J1023" s="2019">
        <v>5.96</v>
      </c>
      <c r="K1023" s="2020"/>
      <c r="L1023" s="2017">
        <v>17</v>
      </c>
    </row>
    <row r="1024" spans="1:12">
      <c r="A1024" s="2021">
        <v>2021</v>
      </c>
      <c r="B1024" s="2016"/>
      <c r="C1024" s="2017"/>
      <c r="D1024" s="2015"/>
      <c r="E1024" s="2018"/>
      <c r="F1024" s="2019"/>
      <c r="G1024" s="2019"/>
      <c r="H1024" s="2019"/>
      <c r="I1024" s="2019"/>
      <c r="J1024" s="2019"/>
      <c r="K1024" s="2020"/>
      <c r="L1024" s="2017"/>
    </row>
    <row r="1025" spans="1:12">
      <c r="A1025" s="2015">
        <v>44201</v>
      </c>
      <c r="B1025" s="2016" t="s">
        <v>2591</v>
      </c>
      <c r="C1025" s="2017">
        <v>1092</v>
      </c>
      <c r="D1025" s="2015">
        <v>45293</v>
      </c>
      <c r="E1025" s="2018">
        <v>25</v>
      </c>
      <c r="F1025" s="2019">
        <v>71.47</v>
      </c>
      <c r="G1025" s="2019">
        <v>37.5</v>
      </c>
      <c r="H1025" s="2019"/>
      <c r="I1025" s="2019">
        <v>8.5</v>
      </c>
      <c r="J1025" s="2019">
        <v>8.2899999999999991</v>
      </c>
      <c r="K1025" s="2020"/>
      <c r="L1025" s="2017">
        <v>10</v>
      </c>
    </row>
    <row r="1026" spans="1:12">
      <c r="A1026" s="2015">
        <v>44208</v>
      </c>
      <c r="B1026" s="2016" t="s">
        <v>2592</v>
      </c>
      <c r="C1026" s="2017">
        <v>364</v>
      </c>
      <c r="D1026" s="2015">
        <v>44572</v>
      </c>
      <c r="E1026" s="2018">
        <v>20</v>
      </c>
      <c r="F1026" s="2019">
        <v>98.04</v>
      </c>
      <c r="G1026" s="2019">
        <v>30</v>
      </c>
      <c r="H1026" s="2019"/>
      <c r="I1026" s="2019">
        <v>5.98</v>
      </c>
      <c r="J1026" s="2019">
        <v>5.94</v>
      </c>
      <c r="K1026" s="2020"/>
      <c r="L1026" s="2017">
        <v>16</v>
      </c>
    </row>
    <row r="1027" spans="1:12">
      <c r="A1027" s="2015">
        <v>44215</v>
      </c>
      <c r="B1027" s="2016" t="s">
        <v>2593</v>
      </c>
      <c r="C1027" s="2017">
        <v>728</v>
      </c>
      <c r="D1027" s="2015">
        <v>44943</v>
      </c>
      <c r="E1027" s="2018">
        <v>50</v>
      </c>
      <c r="F1027" s="2019">
        <v>172.66</v>
      </c>
      <c r="G1027" s="2019">
        <v>75</v>
      </c>
      <c r="H1027" s="2019"/>
      <c r="I1027" s="2019">
        <v>7.89</v>
      </c>
      <c r="J1027" s="2019">
        <v>7.52</v>
      </c>
      <c r="K1027" s="2020"/>
      <c r="L1027" s="2017">
        <v>16</v>
      </c>
    </row>
    <row r="1028" spans="1:12">
      <c r="A1028" s="2015">
        <v>44222</v>
      </c>
      <c r="B1028" s="2016" t="s">
        <v>2594</v>
      </c>
      <c r="C1028" s="2017">
        <v>1092</v>
      </c>
      <c r="D1028" s="2015">
        <v>45314</v>
      </c>
      <c r="E1028" s="2018">
        <v>20</v>
      </c>
      <c r="F1028" s="2019">
        <v>62.554000000000002</v>
      </c>
      <c r="G1028" s="2019">
        <v>6.992</v>
      </c>
      <c r="H1028" s="2019"/>
      <c r="I1028" s="2019">
        <v>8.5</v>
      </c>
      <c r="J1028" s="2019">
        <v>8.32</v>
      </c>
      <c r="K1028" s="2020"/>
      <c r="L1028" s="2017">
        <v>15</v>
      </c>
    </row>
    <row r="1029" spans="1:12">
      <c r="A1029" s="2015">
        <v>44229</v>
      </c>
      <c r="B1029" s="2016" t="s">
        <v>2595</v>
      </c>
      <c r="C1029" s="2017">
        <v>364</v>
      </c>
      <c r="D1029" s="2015">
        <v>44593</v>
      </c>
      <c r="E1029" s="2018">
        <v>20</v>
      </c>
      <c r="F1029" s="2019">
        <v>73.947000000000003</v>
      </c>
      <c r="G1029" s="2019">
        <v>30</v>
      </c>
      <c r="H1029" s="2019"/>
      <c r="I1029" s="2019">
        <v>6.24</v>
      </c>
      <c r="J1029" s="2019">
        <v>6.1985000000000001</v>
      </c>
      <c r="K1029" s="2020"/>
      <c r="L1029" s="2017">
        <v>16</v>
      </c>
    </row>
    <row r="1030" spans="1:12">
      <c r="A1030" s="2015">
        <v>44236</v>
      </c>
      <c r="B1030" s="2016" t="s">
        <v>2596</v>
      </c>
      <c r="C1030" s="2017">
        <v>1092</v>
      </c>
      <c r="D1030" s="2015">
        <v>45328</v>
      </c>
      <c r="E1030" s="2018">
        <v>35</v>
      </c>
      <c r="F1030" s="2019">
        <v>105.29</v>
      </c>
      <c r="G1030" s="2019">
        <v>25.66</v>
      </c>
      <c r="H1030" s="2019"/>
      <c r="I1030" s="2019">
        <v>8.5</v>
      </c>
      <c r="J1030" s="2019">
        <v>8.3607999999999993</v>
      </c>
      <c r="K1030" s="2020"/>
      <c r="L1030" s="2017">
        <v>17</v>
      </c>
    </row>
    <row r="1031" spans="1:12">
      <c r="A1031" s="2015">
        <v>44243</v>
      </c>
      <c r="B1031" s="2016" t="s">
        <v>2597</v>
      </c>
      <c r="C1031" s="2017">
        <v>728</v>
      </c>
      <c r="D1031" s="2015">
        <v>44971</v>
      </c>
      <c r="E1031" s="2018">
        <v>45</v>
      </c>
      <c r="F1031" s="2019">
        <v>140.80000000000001</v>
      </c>
      <c r="G1031" s="2019">
        <v>67.5</v>
      </c>
      <c r="H1031" s="2019"/>
      <c r="I1031" s="2019">
        <v>7.89</v>
      </c>
      <c r="J1031" s="2019">
        <v>7.85</v>
      </c>
      <c r="K1031" s="2020"/>
      <c r="L1031" s="2017">
        <v>15</v>
      </c>
    </row>
    <row r="1032" spans="1:12">
      <c r="A1032" s="2015">
        <v>44250</v>
      </c>
      <c r="B1032" s="2016" t="s">
        <v>3407</v>
      </c>
      <c r="C1032" s="2017">
        <v>1092</v>
      </c>
      <c r="D1032" s="2015">
        <v>45342</v>
      </c>
      <c r="E1032" s="2018">
        <v>20</v>
      </c>
      <c r="F1032" s="2019">
        <v>75.903000000000006</v>
      </c>
      <c r="G1032" s="2019">
        <v>30</v>
      </c>
      <c r="H1032" s="2019"/>
      <c r="I1032" s="2019">
        <v>8.5</v>
      </c>
      <c r="J1032" s="2019">
        <v>8.4671000000000003</v>
      </c>
      <c r="K1032" s="2020"/>
      <c r="L1032" s="2017">
        <v>15</v>
      </c>
    </row>
    <row r="1033" spans="1:12">
      <c r="A1033" s="2015">
        <v>44257</v>
      </c>
      <c r="B1033" s="2016" t="s">
        <v>2612</v>
      </c>
      <c r="C1033" s="2017">
        <v>1092</v>
      </c>
      <c r="D1033" s="2015">
        <v>45349</v>
      </c>
      <c r="E1033" s="2018">
        <v>30</v>
      </c>
      <c r="F1033" s="2019">
        <v>111.8125</v>
      </c>
      <c r="G1033" s="2019">
        <v>45</v>
      </c>
      <c r="H1033" s="2019"/>
      <c r="I1033" s="2019">
        <v>8.4499999999999993</v>
      </c>
      <c r="J1033" s="2019">
        <v>8.4321000000000002</v>
      </c>
      <c r="K1033" s="2020"/>
      <c r="L1033" s="2017" t="s">
        <v>2431</v>
      </c>
    </row>
    <row r="1034" spans="1:12">
      <c r="A1034" s="2015">
        <v>44264</v>
      </c>
      <c r="B1034" s="2016" t="s">
        <v>2613</v>
      </c>
      <c r="C1034" s="2017">
        <v>728</v>
      </c>
      <c r="D1034" s="2015">
        <v>44992</v>
      </c>
      <c r="E1034" s="2018">
        <v>50</v>
      </c>
      <c r="F1034" s="2019">
        <v>204.03469999999999</v>
      </c>
      <c r="G1034" s="2019">
        <v>75</v>
      </c>
      <c r="H1034" s="2019"/>
      <c r="I1034" s="2019">
        <v>7.8</v>
      </c>
      <c r="J1034" s="2019">
        <v>7.7771999999999997</v>
      </c>
      <c r="K1034" s="2020"/>
      <c r="L1034" s="2017" t="s">
        <v>3408</v>
      </c>
    </row>
    <row r="1035" spans="1:12">
      <c r="A1035" s="2015">
        <v>44271</v>
      </c>
      <c r="B1035" s="2016" t="s">
        <v>2614</v>
      </c>
      <c r="C1035" s="2017" t="s">
        <v>2615</v>
      </c>
      <c r="D1035" s="2015">
        <v>45363</v>
      </c>
      <c r="E1035" s="2018">
        <v>20</v>
      </c>
      <c r="F1035" s="2019">
        <v>120.2538</v>
      </c>
      <c r="G1035" s="2019">
        <v>30</v>
      </c>
      <c r="H1035" s="2019"/>
      <c r="I1035" s="2019">
        <v>8.3491</v>
      </c>
      <c r="J1035" s="2019">
        <v>8.3065999999999995</v>
      </c>
      <c r="K1035" s="2020"/>
      <c r="L1035" s="2017">
        <v>22</v>
      </c>
    </row>
    <row r="1036" spans="1:12">
      <c r="A1036" s="2015">
        <v>44285</v>
      </c>
      <c r="B1036" s="2016" t="s">
        <v>3409</v>
      </c>
      <c r="C1036" s="2017">
        <v>364</v>
      </c>
      <c r="D1036" s="2015">
        <v>44649</v>
      </c>
      <c r="E1036" s="2018">
        <v>10</v>
      </c>
      <c r="F1036" s="2019">
        <v>99.087599999999995</v>
      </c>
      <c r="G1036" s="2019">
        <v>10</v>
      </c>
      <c r="H1036" s="2019"/>
      <c r="I1036" s="2019">
        <v>5.5</v>
      </c>
      <c r="J1036" s="2019">
        <v>5.49</v>
      </c>
      <c r="K1036" s="2020"/>
      <c r="L1036" s="2017">
        <v>19</v>
      </c>
    </row>
    <row r="1037" spans="1:12">
      <c r="A1037" s="2015">
        <v>44292</v>
      </c>
      <c r="B1037" s="2016" t="s">
        <v>2620</v>
      </c>
      <c r="C1037" s="2017">
        <v>1092</v>
      </c>
      <c r="D1037" s="2015">
        <v>45384</v>
      </c>
      <c r="E1037" s="2018">
        <v>30</v>
      </c>
      <c r="F1037" s="2019">
        <v>170.53399999999999</v>
      </c>
      <c r="G1037" s="2019">
        <v>45</v>
      </c>
      <c r="H1037" s="2019"/>
      <c r="I1037" s="2019">
        <v>7.4749999999999996</v>
      </c>
      <c r="J1037" s="2019">
        <v>7.3963000000000001</v>
      </c>
      <c r="K1037" s="2020"/>
      <c r="L1037" s="2017">
        <v>23</v>
      </c>
    </row>
    <row r="1038" spans="1:12">
      <c r="A1038" s="2015">
        <v>44299</v>
      </c>
      <c r="B1038" s="2016" t="s">
        <v>2621</v>
      </c>
      <c r="C1038" s="2017">
        <v>364</v>
      </c>
      <c r="D1038" s="2015">
        <v>44663</v>
      </c>
      <c r="E1038" s="2018">
        <v>20</v>
      </c>
      <c r="F1038" s="2019">
        <v>110.6259</v>
      </c>
      <c r="G1038" s="2019">
        <v>30</v>
      </c>
      <c r="H1038" s="2019"/>
      <c r="I1038" s="2019">
        <v>5.2999000000000001</v>
      </c>
      <c r="J1038" s="2019">
        <v>5.2733999999999996</v>
      </c>
      <c r="K1038" s="2020"/>
      <c r="L1038" s="2017">
        <v>17</v>
      </c>
    </row>
    <row r="1039" spans="1:12">
      <c r="A1039" s="2015">
        <v>44306</v>
      </c>
      <c r="B1039" s="2016" t="s">
        <v>2622</v>
      </c>
      <c r="C1039" s="2017">
        <v>728</v>
      </c>
      <c r="D1039" s="2015">
        <v>45034</v>
      </c>
      <c r="E1039" s="2018">
        <v>40</v>
      </c>
      <c r="F1039" s="2019">
        <v>228.0231</v>
      </c>
      <c r="G1039" s="2019">
        <v>60</v>
      </c>
      <c r="H1039" s="2019"/>
      <c r="I1039" s="2019">
        <v>6.9898999999999996</v>
      </c>
      <c r="J1039" s="2019">
        <v>6.9470999999999998</v>
      </c>
      <c r="K1039" s="2020"/>
      <c r="L1039" s="2017">
        <v>21</v>
      </c>
    </row>
    <row r="1040" spans="1:12">
      <c r="A1040" s="2015">
        <v>44313</v>
      </c>
      <c r="B1040" s="2016" t="s">
        <v>2623</v>
      </c>
      <c r="C1040" s="2017">
        <v>1092</v>
      </c>
      <c r="D1040" s="2015">
        <v>45405</v>
      </c>
      <c r="E1040" s="2018">
        <v>30</v>
      </c>
      <c r="F1040" s="2019">
        <v>148.6198</v>
      </c>
      <c r="G1040" s="2019">
        <v>45</v>
      </c>
      <c r="H1040" s="2019"/>
      <c r="I1040" s="2019">
        <v>7.9</v>
      </c>
      <c r="J1040" s="2019">
        <v>7.8730000000000002</v>
      </c>
      <c r="K1040" s="2020"/>
      <c r="L1040" s="2017">
        <v>18</v>
      </c>
    </row>
    <row r="1041" spans="1:12">
      <c r="A1041" s="2015">
        <v>44320</v>
      </c>
      <c r="B1041" s="2016" t="s">
        <v>2631</v>
      </c>
      <c r="C1041" s="2017">
        <v>1092</v>
      </c>
      <c r="D1041" s="2015">
        <v>45412</v>
      </c>
      <c r="E1041" s="2018">
        <v>40</v>
      </c>
      <c r="F1041" s="2019">
        <v>227.4761</v>
      </c>
      <c r="G1041" s="2019">
        <v>60</v>
      </c>
      <c r="H1041" s="2019"/>
      <c r="I1041" s="2019">
        <v>7.9191000000000003</v>
      </c>
      <c r="J1041" s="2019">
        <v>7.7401</v>
      </c>
      <c r="K1041" s="2020"/>
      <c r="L1041" s="2017">
        <v>23</v>
      </c>
    </row>
    <row r="1042" spans="1:12">
      <c r="A1042" s="2015">
        <v>44324</v>
      </c>
      <c r="B1042" s="2016" t="s">
        <v>2632</v>
      </c>
      <c r="C1042" s="2017">
        <v>360</v>
      </c>
      <c r="D1042" s="2015">
        <v>44684</v>
      </c>
      <c r="E1042" s="2018">
        <v>10</v>
      </c>
      <c r="F1042" s="2019">
        <v>60.5366</v>
      </c>
      <c r="G1042" s="2019">
        <v>15</v>
      </c>
      <c r="H1042" s="2019"/>
      <c r="I1042" s="2019">
        <v>4.4000000000000004</v>
      </c>
      <c r="J1042" s="2019">
        <v>4.4000000000000004</v>
      </c>
      <c r="K1042" s="2020"/>
      <c r="L1042" s="2017">
        <v>13</v>
      </c>
    </row>
    <row r="1043" spans="1:12">
      <c r="A1043" s="2015">
        <v>44324</v>
      </c>
      <c r="B1043" s="2016" t="s">
        <v>2633</v>
      </c>
      <c r="C1043" s="2017">
        <v>1816</v>
      </c>
      <c r="D1043" s="2015">
        <v>46140</v>
      </c>
      <c r="E1043" s="2018">
        <v>10</v>
      </c>
      <c r="F1043" s="2019">
        <v>56.452599999999997</v>
      </c>
      <c r="G1043" s="2019">
        <v>15</v>
      </c>
      <c r="H1043" s="2019"/>
      <c r="I1043" s="2019">
        <v>9.0140999999999991</v>
      </c>
      <c r="J1043" s="2019">
        <v>8.9176000000000002</v>
      </c>
      <c r="K1043" s="2020"/>
      <c r="L1043" s="2017">
        <v>16</v>
      </c>
    </row>
    <row r="1044" spans="1:12">
      <c r="A1044" s="2015">
        <v>44334</v>
      </c>
      <c r="B1044" s="2016" t="s">
        <v>2634</v>
      </c>
      <c r="C1044" s="2017">
        <v>728</v>
      </c>
      <c r="D1044" s="2015">
        <v>45062</v>
      </c>
      <c r="E1044" s="2018">
        <v>40</v>
      </c>
      <c r="F1044" s="2019">
        <v>228.73840000000001</v>
      </c>
      <c r="G1044" s="2019">
        <v>60</v>
      </c>
      <c r="H1044" s="2019"/>
      <c r="I1044" s="2019">
        <v>6.5</v>
      </c>
      <c r="J1044" s="2019">
        <v>6.4953000000000003</v>
      </c>
      <c r="K1044" s="2020"/>
      <c r="L1044" s="2017">
        <v>18</v>
      </c>
    </row>
    <row r="1045" spans="1:12">
      <c r="A1045" s="2015">
        <v>44341</v>
      </c>
      <c r="B1045" s="2016" t="s">
        <v>2635</v>
      </c>
      <c r="C1045" s="2017">
        <v>1092</v>
      </c>
      <c r="D1045" s="2015">
        <v>45433</v>
      </c>
      <c r="E1045" s="2018">
        <v>40</v>
      </c>
      <c r="F1045" s="2019">
        <v>270.82240000000002</v>
      </c>
      <c r="G1045" s="2019">
        <v>60</v>
      </c>
      <c r="H1045" s="2019"/>
      <c r="I1045" s="2019">
        <v>7.39</v>
      </c>
      <c r="J1045" s="2019">
        <v>7.3460999999999999</v>
      </c>
      <c r="K1045" s="2020"/>
      <c r="L1045" s="2017">
        <v>25</v>
      </c>
    </row>
    <row r="1046" spans="1:12">
      <c r="A1046" s="2015">
        <v>44348</v>
      </c>
      <c r="B1046" s="2016" t="s">
        <v>2642</v>
      </c>
      <c r="C1046" s="2017">
        <v>1092</v>
      </c>
      <c r="D1046" s="2015">
        <v>45440</v>
      </c>
      <c r="E1046" s="2018">
        <v>50</v>
      </c>
      <c r="F1046" s="2019">
        <v>297.24119999999999</v>
      </c>
      <c r="G1046" s="2019">
        <v>75</v>
      </c>
      <c r="H1046" s="2019"/>
      <c r="I1046" s="2019">
        <v>6.95</v>
      </c>
      <c r="J1046" s="2019">
        <v>6.9386000000000001</v>
      </c>
      <c r="K1046" s="2020"/>
      <c r="L1046" s="2017">
        <v>23</v>
      </c>
    </row>
    <row r="1047" spans="1:12">
      <c r="A1047" s="2015">
        <v>44355</v>
      </c>
      <c r="B1047" s="2016" t="s">
        <v>3410</v>
      </c>
      <c r="C1047" s="2017">
        <v>1820</v>
      </c>
      <c r="D1047" s="2015">
        <v>46205</v>
      </c>
      <c r="E1047" s="2018">
        <v>10</v>
      </c>
      <c r="F1047" s="2019">
        <v>48.600700000000003</v>
      </c>
      <c r="G1047" s="2019">
        <v>15</v>
      </c>
      <c r="H1047" s="2019"/>
      <c r="I1047" s="2019">
        <v>8.6999999999999993</v>
      </c>
      <c r="J1047" s="2019">
        <v>8.6423000000000005</v>
      </c>
      <c r="K1047" s="2020"/>
      <c r="L1047" s="2017">
        <v>17</v>
      </c>
    </row>
    <row r="1048" spans="1:12">
      <c r="A1048" s="2015">
        <v>44355</v>
      </c>
      <c r="B1048" s="2016" t="s">
        <v>2643</v>
      </c>
      <c r="C1048" s="2017">
        <v>364</v>
      </c>
      <c r="D1048" s="2015">
        <v>44748</v>
      </c>
      <c r="E1048" s="2018">
        <v>20</v>
      </c>
      <c r="F1048" s="2019">
        <v>95.969099999999997</v>
      </c>
      <c r="G1048" s="2019">
        <v>30</v>
      </c>
      <c r="H1048" s="2019"/>
      <c r="I1048" s="2019">
        <v>3.9899</v>
      </c>
      <c r="J1048" s="2019">
        <v>3.9632000000000001</v>
      </c>
      <c r="K1048" s="2020"/>
      <c r="L1048" s="2017">
        <v>9</v>
      </c>
    </row>
    <row r="1049" spans="1:12">
      <c r="A1049" s="2015">
        <v>44369</v>
      </c>
      <c r="B1049" s="2016" t="s">
        <v>2644</v>
      </c>
      <c r="C1049" s="2017">
        <v>1092</v>
      </c>
      <c r="D1049" s="2015">
        <v>45461</v>
      </c>
      <c r="E1049" s="2018">
        <v>25</v>
      </c>
      <c r="F1049" s="2019">
        <v>110.767</v>
      </c>
      <c r="G1049" s="2019">
        <v>37.5</v>
      </c>
      <c r="H1049" s="2019"/>
      <c r="I1049" s="2019">
        <v>6.4898999999999996</v>
      </c>
      <c r="J1049" s="2019">
        <v>6.4402999999999997</v>
      </c>
      <c r="K1049" s="2020"/>
      <c r="L1049" s="2017">
        <v>16</v>
      </c>
    </row>
    <row r="1050" spans="1:12">
      <c r="A1050" s="2015">
        <v>44383</v>
      </c>
      <c r="B1050" s="2016" t="s">
        <v>3411</v>
      </c>
      <c r="C1050" s="2017" t="s">
        <v>2419</v>
      </c>
      <c r="D1050" s="2015">
        <v>45111</v>
      </c>
      <c r="E1050" s="2018">
        <v>20</v>
      </c>
      <c r="F1050" s="2019">
        <v>77.666700000000006</v>
      </c>
      <c r="G1050" s="2019">
        <v>30</v>
      </c>
      <c r="H1050" s="2019"/>
      <c r="I1050" s="2019">
        <v>6</v>
      </c>
      <c r="J1050" s="2019">
        <v>5.9135</v>
      </c>
      <c r="K1050" s="2020"/>
      <c r="L1050" s="2017">
        <v>10</v>
      </c>
    </row>
    <row r="1051" spans="1:12">
      <c r="A1051" s="2015">
        <v>44390</v>
      </c>
      <c r="B1051" s="2016" t="s">
        <v>3412</v>
      </c>
      <c r="C1051" s="2017" t="s">
        <v>2428</v>
      </c>
      <c r="D1051" s="2015">
        <v>45482</v>
      </c>
      <c r="E1051" s="2018">
        <v>40</v>
      </c>
      <c r="F1051" s="2019">
        <v>149.8408</v>
      </c>
      <c r="G1051" s="2019">
        <v>40</v>
      </c>
      <c r="H1051" s="2019"/>
      <c r="I1051" s="2019">
        <v>6.39</v>
      </c>
      <c r="J1051" s="2019">
        <v>6.3722000000000003</v>
      </c>
      <c r="K1051" s="2020"/>
      <c r="L1051" s="2017">
        <v>14</v>
      </c>
    </row>
    <row r="1052" spans="1:12">
      <c r="A1052" s="2015">
        <v>44404</v>
      </c>
      <c r="B1052" s="2016" t="s">
        <v>3413</v>
      </c>
      <c r="C1052" s="2017">
        <v>1092</v>
      </c>
      <c r="D1052" s="2015">
        <v>45496</v>
      </c>
      <c r="E1052" s="2018">
        <v>20</v>
      </c>
      <c r="F1052" s="2019">
        <v>108.9448</v>
      </c>
      <c r="G1052" s="2019">
        <v>20</v>
      </c>
      <c r="H1052" s="2019"/>
      <c r="I1052" s="2019">
        <v>6.23</v>
      </c>
      <c r="J1052" s="2019">
        <v>6.1966000000000001</v>
      </c>
      <c r="K1052" s="2020"/>
      <c r="L1052" s="2017">
        <v>15</v>
      </c>
    </row>
    <row r="1053" spans="1:12">
      <c r="A1053" s="2015">
        <v>44411</v>
      </c>
      <c r="B1053" s="2016" t="s">
        <v>2661</v>
      </c>
      <c r="C1053" s="2017">
        <v>1820</v>
      </c>
      <c r="D1053" s="2015">
        <v>46231</v>
      </c>
      <c r="E1053" s="2018">
        <v>10</v>
      </c>
      <c r="F1053" s="2019">
        <v>70.739099999999993</v>
      </c>
      <c r="G1053" s="2019">
        <v>15</v>
      </c>
      <c r="H1053" s="2019"/>
      <c r="I1053" s="2019">
        <v>7.25</v>
      </c>
      <c r="J1053" s="2019">
        <v>7.1993</v>
      </c>
      <c r="K1053" s="2020"/>
      <c r="L1053" s="2017">
        <v>17</v>
      </c>
    </row>
    <row r="1054" spans="1:12">
      <c r="A1054" s="2015">
        <v>44418</v>
      </c>
      <c r="B1054" s="2016" t="s">
        <v>2662</v>
      </c>
      <c r="C1054" s="2017">
        <v>728</v>
      </c>
      <c r="D1054" s="2015">
        <v>45146</v>
      </c>
      <c r="E1054" s="2018">
        <v>10</v>
      </c>
      <c r="F1054" s="2019">
        <v>64.704800000000006</v>
      </c>
      <c r="G1054" s="2019">
        <v>10</v>
      </c>
      <c r="H1054" s="2019"/>
      <c r="I1054" s="2019">
        <v>5.4450000000000003</v>
      </c>
      <c r="J1054" s="2019">
        <v>5.2659000000000002</v>
      </c>
      <c r="K1054" s="2020"/>
      <c r="L1054" s="2017">
        <v>10</v>
      </c>
    </row>
    <row r="1055" spans="1:12">
      <c r="A1055" s="2015">
        <v>44425</v>
      </c>
      <c r="B1055" s="2016" t="s">
        <v>3414</v>
      </c>
      <c r="C1055" s="2017">
        <v>1092</v>
      </c>
      <c r="D1055" s="2015">
        <v>45517</v>
      </c>
      <c r="E1055" s="2018">
        <v>10</v>
      </c>
      <c r="F1055" s="2019">
        <v>64.626800000000003</v>
      </c>
      <c r="G1055" s="2019">
        <v>15</v>
      </c>
      <c r="H1055" s="2019"/>
      <c r="I1055" s="2019">
        <v>5.7899000000000003</v>
      </c>
      <c r="J1055" s="2019">
        <v>5.7877999999999998</v>
      </c>
      <c r="K1055" s="2020"/>
      <c r="L1055" s="2017">
        <v>12</v>
      </c>
    </row>
    <row r="1056" spans="1:12">
      <c r="A1056" s="2015">
        <v>44432</v>
      </c>
      <c r="B1056" s="2016" t="s">
        <v>3415</v>
      </c>
      <c r="C1056" s="2017">
        <v>2548</v>
      </c>
      <c r="D1056" s="2015">
        <v>46980</v>
      </c>
      <c r="E1056" s="2018">
        <v>10</v>
      </c>
      <c r="F1056" s="2019">
        <v>54.5015</v>
      </c>
      <c r="G1056" s="2019">
        <v>15</v>
      </c>
      <c r="H1056" s="2019"/>
      <c r="I1056" s="2019">
        <v>8.4699000000000009</v>
      </c>
      <c r="J1056" s="2019">
        <v>8.4123000000000001</v>
      </c>
      <c r="K1056" s="2020"/>
      <c r="L1056" s="2017">
        <v>15</v>
      </c>
    </row>
    <row r="1057" spans="1:12">
      <c r="A1057" s="2015">
        <v>44439</v>
      </c>
      <c r="B1057" s="2016" t="s">
        <v>2663</v>
      </c>
      <c r="C1057" s="2017">
        <v>1092</v>
      </c>
      <c r="D1057" s="2015">
        <v>45531</v>
      </c>
      <c r="E1057" s="2018">
        <v>10</v>
      </c>
      <c r="F1057" s="2019">
        <v>71.341999999999999</v>
      </c>
      <c r="G1057" s="2019">
        <v>15</v>
      </c>
      <c r="H1057" s="2019"/>
      <c r="I1057" s="2019">
        <v>5.3498000000000001</v>
      </c>
      <c r="J1057" s="2019">
        <v>5.3150000000000004</v>
      </c>
      <c r="K1057" s="2020"/>
      <c r="L1057" s="2017">
        <v>13</v>
      </c>
    </row>
    <row r="1058" spans="1:12">
      <c r="A1058" s="2015">
        <v>44446</v>
      </c>
      <c r="B1058" s="2016" t="s">
        <v>2717</v>
      </c>
      <c r="C1058" s="2017">
        <v>1820</v>
      </c>
      <c r="D1058" s="2015">
        <v>46266</v>
      </c>
      <c r="E1058" s="2018">
        <v>10</v>
      </c>
      <c r="F1058" s="2019">
        <v>64.472399999999993</v>
      </c>
      <c r="G1058" s="2019">
        <v>15</v>
      </c>
      <c r="H1058" s="2019"/>
      <c r="I1058" s="2019">
        <v>5.9699</v>
      </c>
      <c r="J1058" s="2019">
        <v>5.9699</v>
      </c>
      <c r="K1058" s="2020"/>
      <c r="L1058" s="2017">
        <v>12</v>
      </c>
    </row>
    <row r="1059" spans="1:12">
      <c r="A1059" s="2015">
        <v>44453</v>
      </c>
      <c r="B1059" s="2016" t="s">
        <v>2718</v>
      </c>
      <c r="C1059" s="2017">
        <v>1092</v>
      </c>
      <c r="D1059" s="2015">
        <v>45545</v>
      </c>
      <c r="E1059" s="2018">
        <v>10</v>
      </c>
      <c r="F1059" s="2019">
        <v>72.928299999999993</v>
      </c>
      <c r="G1059" s="2019">
        <v>15</v>
      </c>
      <c r="H1059" s="2019"/>
      <c r="I1059" s="2019">
        <v>4.88</v>
      </c>
      <c r="J1059" s="2019">
        <v>4.6919000000000004</v>
      </c>
      <c r="K1059" s="2020"/>
      <c r="L1059" s="2017">
        <v>12</v>
      </c>
    </row>
    <row r="1060" spans="1:12">
      <c r="A1060" s="2015">
        <v>44460</v>
      </c>
      <c r="B1060" s="2016" t="s">
        <v>2719</v>
      </c>
      <c r="C1060" s="2017">
        <v>2548</v>
      </c>
      <c r="D1060" s="2015">
        <v>47008</v>
      </c>
      <c r="E1060" s="2018">
        <v>10</v>
      </c>
      <c r="F1060" s="2019">
        <v>54.265999999999998</v>
      </c>
      <c r="G1060" s="2019">
        <v>9.9080999999999992</v>
      </c>
      <c r="H1060" s="2019"/>
      <c r="I1060" s="2019">
        <v>8.0998999999999999</v>
      </c>
      <c r="J1060" s="2019">
        <v>7.3301999999999996</v>
      </c>
      <c r="K1060" s="2020"/>
      <c r="L1060" s="2017">
        <v>12</v>
      </c>
    </row>
    <row r="1061" spans="1:12">
      <c r="A1061" s="2015">
        <v>44467</v>
      </c>
      <c r="B1061" s="2016" t="s">
        <v>2720</v>
      </c>
      <c r="C1061" s="2017">
        <v>1820</v>
      </c>
      <c r="D1061" s="2015">
        <v>46287</v>
      </c>
      <c r="E1061" s="2018">
        <v>10</v>
      </c>
      <c r="F1061" s="2019">
        <v>75.366900000000001</v>
      </c>
      <c r="G1061" s="2019">
        <v>15</v>
      </c>
      <c r="H1061" s="2019"/>
      <c r="I1061" s="2019">
        <v>5.8998999999999997</v>
      </c>
      <c r="J1061" s="2019">
        <v>5.8960999999999997</v>
      </c>
      <c r="K1061" s="2020"/>
      <c r="L1061" s="2017">
        <v>17</v>
      </c>
    </row>
    <row r="1062" spans="1:12">
      <c r="A1062" s="2015">
        <v>44474</v>
      </c>
      <c r="B1062" s="2016" t="s">
        <v>2733</v>
      </c>
      <c r="C1062" s="2017">
        <v>1820</v>
      </c>
      <c r="D1062" s="2015">
        <v>46294</v>
      </c>
      <c r="E1062" s="2018">
        <v>25</v>
      </c>
      <c r="F1062" s="2019">
        <v>118.914</v>
      </c>
      <c r="G1062" s="2019">
        <v>37.5</v>
      </c>
      <c r="H1062" s="2019"/>
      <c r="I1062" s="2019">
        <v>5.7899000000000003</v>
      </c>
      <c r="J1062" s="2019">
        <v>5.7851999999999997</v>
      </c>
      <c r="K1062" s="2020"/>
      <c r="L1062" s="2017">
        <v>12</v>
      </c>
    </row>
    <row r="1063" spans="1:12">
      <c r="A1063" s="2015">
        <v>44481</v>
      </c>
      <c r="B1063" s="2016" t="s">
        <v>2734</v>
      </c>
      <c r="C1063" s="2017">
        <v>1092</v>
      </c>
      <c r="D1063" s="2015">
        <v>45573</v>
      </c>
      <c r="E1063" s="2018">
        <v>10</v>
      </c>
      <c r="F1063" s="2019">
        <v>59.766300000000001</v>
      </c>
      <c r="G1063" s="2019">
        <v>15</v>
      </c>
      <c r="H1063" s="2019"/>
      <c r="I1063" s="2019">
        <v>4.5499000000000001</v>
      </c>
      <c r="J1063" s="2019">
        <v>4.5130999999999997</v>
      </c>
      <c r="K1063" s="2020"/>
      <c r="L1063" s="2017">
        <v>12</v>
      </c>
    </row>
    <row r="1064" spans="1:12">
      <c r="A1064" s="2015">
        <v>44488</v>
      </c>
      <c r="B1064" s="2016" t="s">
        <v>2735</v>
      </c>
      <c r="C1064" s="2017">
        <v>2548</v>
      </c>
      <c r="D1064" s="2015">
        <v>47036</v>
      </c>
      <c r="E1064" s="2018">
        <v>10</v>
      </c>
      <c r="F1064" s="2019">
        <v>33.218499999999999</v>
      </c>
      <c r="G1064" s="2019">
        <v>9.5790000000000006</v>
      </c>
      <c r="H1064" s="2019"/>
      <c r="I1064" s="2019">
        <v>7.5</v>
      </c>
      <c r="J1064" s="2019">
        <v>7.2664999999999997</v>
      </c>
      <c r="K1064" s="2020"/>
      <c r="L1064" s="2017">
        <v>11</v>
      </c>
    </row>
    <row r="1065" spans="1:12">
      <c r="A1065" s="2015">
        <v>44495</v>
      </c>
      <c r="B1065" s="2016" t="s">
        <v>2736</v>
      </c>
      <c r="C1065" s="2017">
        <v>1820</v>
      </c>
      <c r="D1065" s="2015">
        <v>46315</v>
      </c>
      <c r="E1065" s="2018">
        <v>20</v>
      </c>
      <c r="F1065" s="2019">
        <v>87.937600000000003</v>
      </c>
      <c r="G1065" s="2019">
        <v>30</v>
      </c>
      <c r="H1065" s="2019"/>
      <c r="I1065" s="2019">
        <v>5.6999000000000004</v>
      </c>
      <c r="J1065" s="2019">
        <v>5.6731999999999996</v>
      </c>
      <c r="K1065" s="2020"/>
      <c r="L1065" s="2017">
        <v>12</v>
      </c>
    </row>
    <row r="1066" spans="1:12">
      <c r="A1066" s="2015">
        <v>44502</v>
      </c>
      <c r="B1066" s="2016" t="s">
        <v>2870</v>
      </c>
      <c r="C1066" s="2017">
        <v>1820</v>
      </c>
      <c r="D1066" s="2015">
        <v>46322</v>
      </c>
      <c r="E1066" s="2018">
        <v>10</v>
      </c>
      <c r="F1066" s="2019">
        <v>51.928100000000001</v>
      </c>
      <c r="G1066" s="2019">
        <v>10</v>
      </c>
      <c r="H1066" s="2019"/>
      <c r="I1066" s="2019">
        <v>5.6498999999999997</v>
      </c>
      <c r="J1066" s="2019">
        <v>5.6363000000000003</v>
      </c>
      <c r="K1066" s="2020"/>
      <c r="L1066" s="2017">
        <v>13</v>
      </c>
    </row>
    <row r="1067" spans="1:12">
      <c r="A1067" s="2015">
        <v>44516</v>
      </c>
      <c r="B1067" s="2016" t="s">
        <v>3416</v>
      </c>
      <c r="C1067" s="2017">
        <v>1092</v>
      </c>
      <c r="D1067" s="2015">
        <v>45608</v>
      </c>
      <c r="E1067" s="2018">
        <v>10</v>
      </c>
      <c r="F1067" s="2019">
        <v>63.238700000000001</v>
      </c>
      <c r="G1067" s="2019">
        <v>10</v>
      </c>
      <c r="H1067" s="2019"/>
      <c r="I1067" s="2019">
        <v>4.4000000000000004</v>
      </c>
      <c r="J1067" s="2019">
        <v>4.3000999999999996</v>
      </c>
      <c r="K1067" s="2020"/>
      <c r="L1067" s="2017">
        <v>13</v>
      </c>
    </row>
    <row r="1068" spans="1:12">
      <c r="A1068" s="2015">
        <v>44523</v>
      </c>
      <c r="B1068" s="2016" t="s">
        <v>3417</v>
      </c>
      <c r="C1068" s="2017">
        <v>2548</v>
      </c>
      <c r="D1068" s="2015">
        <v>47071</v>
      </c>
      <c r="E1068" s="2018">
        <v>10</v>
      </c>
      <c r="F1068" s="2019">
        <v>31.409400000000002</v>
      </c>
      <c r="G1068" s="2019">
        <v>6.1</v>
      </c>
      <c r="H1068" s="2019"/>
      <c r="I1068" s="2019">
        <v>7</v>
      </c>
      <c r="J1068" s="2019">
        <v>7</v>
      </c>
      <c r="K1068" s="2020"/>
      <c r="L1068" s="2017">
        <v>11</v>
      </c>
    </row>
    <row r="1069" spans="1:12">
      <c r="A1069" s="2015">
        <v>44537</v>
      </c>
      <c r="B1069" s="2016" t="s">
        <v>2877</v>
      </c>
      <c r="C1069" s="2017">
        <v>1820</v>
      </c>
      <c r="D1069" s="2015">
        <v>46357</v>
      </c>
      <c r="E1069" s="2018">
        <v>20</v>
      </c>
      <c r="F1069" s="2019">
        <v>90.423500000000004</v>
      </c>
      <c r="G1069" s="2019">
        <v>30</v>
      </c>
      <c r="H1069" s="2019"/>
      <c r="I1069" s="2019">
        <v>5.56</v>
      </c>
      <c r="J1069" s="2019">
        <v>5.5151000000000003</v>
      </c>
      <c r="K1069" s="2020"/>
      <c r="L1069" s="2017">
        <v>14</v>
      </c>
    </row>
    <row r="1070" spans="1:12">
      <c r="A1070" s="2015">
        <v>44544</v>
      </c>
      <c r="B1070" s="2016" t="s">
        <v>3418</v>
      </c>
      <c r="C1070" s="2017">
        <v>1820</v>
      </c>
      <c r="D1070" s="2015">
        <v>46364</v>
      </c>
      <c r="E1070" s="2018">
        <v>20</v>
      </c>
      <c r="F1070" s="2019">
        <v>100.9204</v>
      </c>
      <c r="G1070" s="2019">
        <v>20</v>
      </c>
      <c r="H1070" s="2019"/>
      <c r="I1070" s="2019">
        <v>5.7</v>
      </c>
      <c r="J1070" s="2019">
        <v>5.6661000000000001</v>
      </c>
      <c r="K1070" s="2020"/>
      <c r="L1070" s="2017">
        <v>12</v>
      </c>
    </row>
    <row r="1071" spans="1:12">
      <c r="A1071" s="2015">
        <v>44551</v>
      </c>
      <c r="B1071" s="2016" t="s">
        <v>2878</v>
      </c>
      <c r="C1071" s="2017">
        <v>2548</v>
      </c>
      <c r="D1071" s="2015">
        <v>47099</v>
      </c>
      <c r="E1071" s="2018">
        <v>10</v>
      </c>
      <c r="F1071" s="2019">
        <v>21.78</v>
      </c>
      <c r="G1071" s="2019">
        <v>0.25</v>
      </c>
      <c r="H1071" s="2019"/>
      <c r="I1071" s="2019">
        <v>7</v>
      </c>
      <c r="J1071" s="2019">
        <v>7</v>
      </c>
      <c r="K1071" s="2020"/>
      <c r="L1071" s="2017">
        <v>5</v>
      </c>
    </row>
    <row r="1072" spans="1:12">
      <c r="A1072" s="2021">
        <v>2022</v>
      </c>
      <c r="B1072" s="2016"/>
      <c r="C1072" s="2017"/>
      <c r="D1072" s="2015"/>
      <c r="E1072" s="2018"/>
      <c r="F1072" s="2019"/>
      <c r="G1072" s="2019"/>
      <c r="H1072" s="2019"/>
      <c r="I1072" s="2019"/>
      <c r="J1072" s="2019"/>
      <c r="K1072" s="2020"/>
      <c r="L1072" s="2017"/>
    </row>
    <row r="1073" spans="1:12">
      <c r="A1073" s="2015">
        <v>44572</v>
      </c>
      <c r="B1073" s="2016" t="s">
        <v>2896</v>
      </c>
      <c r="C1073" s="2017">
        <v>1092</v>
      </c>
      <c r="D1073" s="2015">
        <v>45664</v>
      </c>
      <c r="E1073" s="2018">
        <v>40</v>
      </c>
      <c r="F1073" s="2019">
        <v>204.64410000000001</v>
      </c>
      <c r="G1073" s="2019">
        <v>60</v>
      </c>
      <c r="H1073" s="2019"/>
      <c r="I1073" s="2019">
        <v>4.3499999999999996</v>
      </c>
      <c r="J1073" s="2019">
        <v>4.2404000000000002</v>
      </c>
      <c r="K1073" s="2020"/>
      <c r="L1073" s="2017">
        <v>16</v>
      </c>
    </row>
    <row r="1074" spans="1:12">
      <c r="A1074" s="2015">
        <v>44579</v>
      </c>
      <c r="B1074" s="2016" t="s">
        <v>3419</v>
      </c>
      <c r="C1074" s="2017">
        <v>728</v>
      </c>
      <c r="D1074" s="2015">
        <v>45307</v>
      </c>
      <c r="E1074" s="2018">
        <v>5</v>
      </c>
      <c r="F1074" s="2019">
        <v>29.962</v>
      </c>
      <c r="G1074" s="2019">
        <v>7.5</v>
      </c>
      <c r="H1074" s="2019"/>
      <c r="I1074" s="2019">
        <v>3.5</v>
      </c>
      <c r="J1074" s="2019">
        <v>3.5</v>
      </c>
      <c r="K1074" s="2020"/>
      <c r="L1074" s="2017">
        <v>8</v>
      </c>
    </row>
    <row r="1075" spans="1:12">
      <c r="A1075" s="2015">
        <v>44586</v>
      </c>
      <c r="B1075" s="2016" t="s">
        <v>2897</v>
      </c>
      <c r="C1075" s="2017">
        <v>1820</v>
      </c>
      <c r="D1075" s="2015">
        <v>46406</v>
      </c>
      <c r="E1075" s="2018">
        <v>35</v>
      </c>
      <c r="F1075" s="2019">
        <v>136.024</v>
      </c>
      <c r="G1075" s="2019">
        <v>52.5</v>
      </c>
      <c r="H1075" s="2019"/>
      <c r="I1075" s="2019">
        <v>5.65</v>
      </c>
      <c r="J1075" s="2019">
        <v>5.6173999999999999</v>
      </c>
      <c r="K1075" s="2020"/>
      <c r="L1075" s="2017">
        <v>12</v>
      </c>
    </row>
    <row r="1076" spans="1:12">
      <c r="A1076" s="2015">
        <v>44593</v>
      </c>
      <c r="B1076" s="2016" t="s">
        <v>2904</v>
      </c>
      <c r="C1076" s="2017">
        <v>1092</v>
      </c>
      <c r="D1076" s="2015">
        <v>45685</v>
      </c>
      <c r="E1076" s="2018">
        <v>35</v>
      </c>
      <c r="F1076" s="2019">
        <v>127.61879999999999</v>
      </c>
      <c r="G1076" s="2019">
        <v>52.5</v>
      </c>
      <c r="H1076" s="2019"/>
      <c r="I1076" s="2019">
        <v>4.7489999999999997</v>
      </c>
      <c r="J1076" s="2019">
        <v>4.1192000000000002</v>
      </c>
      <c r="K1076" s="2020"/>
      <c r="L1076" s="2017">
        <v>9</v>
      </c>
    </row>
    <row r="1077" spans="1:12">
      <c r="A1077" s="2015">
        <v>44600</v>
      </c>
      <c r="B1077" s="2016" t="s">
        <v>2905</v>
      </c>
      <c r="C1077" s="2017">
        <v>2548</v>
      </c>
      <c r="D1077" s="2015">
        <v>47148</v>
      </c>
      <c r="E1077" s="2018">
        <v>20</v>
      </c>
      <c r="F1077" s="2019">
        <v>55.893500000000003</v>
      </c>
      <c r="G1077" s="2019">
        <v>1.1499999999999999</v>
      </c>
      <c r="H1077" s="2019"/>
      <c r="I1077" s="2019">
        <v>6.4733999999999998</v>
      </c>
      <c r="J1077" s="2019">
        <v>6.4733000000000001</v>
      </c>
      <c r="K1077" s="2020"/>
      <c r="L1077" s="2017">
        <v>9</v>
      </c>
    </row>
    <row r="1078" spans="1:12">
      <c r="A1078" s="2015">
        <v>44607</v>
      </c>
      <c r="B1078" s="2016" t="s">
        <v>2906</v>
      </c>
      <c r="C1078" s="2017">
        <v>1820</v>
      </c>
      <c r="D1078" s="2015">
        <v>46427</v>
      </c>
      <c r="E1078" s="2018">
        <v>25</v>
      </c>
      <c r="F1078" s="2019">
        <v>103.38209999999999</v>
      </c>
      <c r="G1078" s="2019">
        <v>37.5</v>
      </c>
      <c r="H1078" s="2019"/>
      <c r="I1078" s="2019">
        <v>5.5</v>
      </c>
      <c r="J1078" s="2019">
        <v>5.4759000000000002</v>
      </c>
      <c r="K1078" s="2020"/>
      <c r="L1078" s="2017">
        <v>14</v>
      </c>
    </row>
    <row r="1079" spans="1:12">
      <c r="A1079" s="2015">
        <v>44614</v>
      </c>
      <c r="B1079" s="2016" t="s">
        <v>2907</v>
      </c>
      <c r="C1079" s="2017">
        <v>1092</v>
      </c>
      <c r="D1079" s="2015">
        <v>45706</v>
      </c>
      <c r="E1079" s="2018">
        <v>30</v>
      </c>
      <c r="F1079" s="2019">
        <v>120.15349999999999</v>
      </c>
      <c r="G1079" s="2019">
        <v>45</v>
      </c>
      <c r="H1079" s="2019"/>
      <c r="I1079" s="2019">
        <v>4.4398</v>
      </c>
      <c r="J1079" s="2019">
        <v>4.2199</v>
      </c>
      <c r="K1079" s="2020"/>
      <c r="L1079" s="2017">
        <v>9</v>
      </c>
    </row>
    <row r="1080" spans="1:12">
      <c r="A1080" s="2015">
        <v>44621</v>
      </c>
      <c r="B1080" s="2016" t="s">
        <v>2911</v>
      </c>
      <c r="C1080" s="2017">
        <v>1092</v>
      </c>
      <c r="D1080" s="2015">
        <v>45713</v>
      </c>
      <c r="E1080" s="2018">
        <v>60</v>
      </c>
      <c r="F1080" s="2019">
        <v>209.77619999999999</v>
      </c>
      <c r="G1080" s="2019">
        <v>60</v>
      </c>
      <c r="H1080" s="2019"/>
      <c r="I1080" s="2019">
        <v>4.5</v>
      </c>
      <c r="J1080" s="2019">
        <v>4.484</v>
      </c>
      <c r="K1080" s="2020"/>
      <c r="L1080" s="2017">
        <v>11</v>
      </c>
    </row>
    <row r="1081" spans="1:12">
      <c r="A1081" s="2015">
        <v>44635</v>
      </c>
      <c r="B1081" s="2016" t="s">
        <v>2912</v>
      </c>
      <c r="C1081" s="2017">
        <v>1820</v>
      </c>
      <c r="D1081" s="2015">
        <v>46455</v>
      </c>
      <c r="E1081" s="2018">
        <v>50</v>
      </c>
      <c r="F1081" s="2019">
        <v>166.51599999999999</v>
      </c>
      <c r="G1081" s="2019">
        <v>31.9907</v>
      </c>
      <c r="H1081" s="2019"/>
      <c r="I1081" s="2019">
        <v>5.5</v>
      </c>
      <c r="J1081" s="2019">
        <v>5.5</v>
      </c>
      <c r="K1081" s="2020"/>
      <c r="L1081" s="2017">
        <v>11</v>
      </c>
    </row>
    <row r="1082" spans="1:12">
      <c r="A1082" s="2015">
        <v>44656</v>
      </c>
      <c r="B1082" s="2016" t="s">
        <v>3420</v>
      </c>
      <c r="C1082" s="2017">
        <v>728</v>
      </c>
      <c r="D1082" s="2015">
        <v>45384</v>
      </c>
      <c r="E1082" s="2018">
        <v>10</v>
      </c>
      <c r="F1082" s="2019">
        <v>35.599499999999999</v>
      </c>
      <c r="G1082" s="2019">
        <v>15</v>
      </c>
      <c r="H1082" s="2019"/>
      <c r="I1082" s="2019">
        <v>4</v>
      </c>
      <c r="J1082" s="2019">
        <v>3.8355000000000001</v>
      </c>
      <c r="K1082" s="2020"/>
      <c r="L1082" s="2017">
        <v>5</v>
      </c>
    </row>
    <row r="1083" spans="1:12">
      <c r="A1083" s="2015">
        <v>44663</v>
      </c>
      <c r="B1083" s="2016" t="s">
        <v>2918</v>
      </c>
      <c r="C1083" s="2017">
        <v>1092</v>
      </c>
      <c r="D1083" s="2015">
        <v>45755</v>
      </c>
      <c r="E1083" s="2018">
        <v>60</v>
      </c>
      <c r="F1083" s="2019">
        <v>198.68889999999999</v>
      </c>
      <c r="G1083" s="2019">
        <v>21.3596</v>
      </c>
      <c r="H1083" s="2019"/>
      <c r="I1083" s="2019">
        <v>4.5</v>
      </c>
      <c r="J1083" s="2019">
        <v>4.3015999999999996</v>
      </c>
      <c r="K1083" s="2020"/>
      <c r="L1083" s="2017">
        <v>11</v>
      </c>
    </row>
    <row r="1084" spans="1:12">
      <c r="A1084" s="2015">
        <v>44670</v>
      </c>
      <c r="B1084" s="2016" t="s">
        <v>3421</v>
      </c>
      <c r="C1084" s="2017">
        <v>1820</v>
      </c>
      <c r="D1084" s="2015">
        <v>46490</v>
      </c>
      <c r="E1084" s="2018">
        <v>30</v>
      </c>
      <c r="F1084" s="2019">
        <v>109.0372</v>
      </c>
      <c r="G1084" s="2019">
        <v>30.4785</v>
      </c>
      <c r="H1084" s="2019"/>
      <c r="I1084" s="2019">
        <v>6</v>
      </c>
      <c r="J1084" s="2019">
        <v>5.9215999999999998</v>
      </c>
      <c r="K1084" s="2020"/>
      <c r="L1084" s="2017">
        <v>10</v>
      </c>
    </row>
    <row r="1085" spans="1:12">
      <c r="A1085" s="2015">
        <v>44691</v>
      </c>
      <c r="B1085" s="2016" t="s">
        <v>3422</v>
      </c>
      <c r="C1085" s="2017">
        <v>364</v>
      </c>
      <c r="D1085" s="2015">
        <v>45055</v>
      </c>
      <c r="E1085" s="2018">
        <v>15</v>
      </c>
      <c r="F1085" s="2019">
        <v>95.346500000000006</v>
      </c>
      <c r="G1085" s="2019">
        <v>22.5</v>
      </c>
      <c r="H1085" s="2019"/>
      <c r="I1085" s="2019">
        <v>3.0998999999999999</v>
      </c>
      <c r="J1085" s="2019">
        <v>3.0428999999999999</v>
      </c>
      <c r="K1085" s="2020"/>
      <c r="L1085" s="2017">
        <v>11</v>
      </c>
    </row>
    <row r="1086" spans="1:12">
      <c r="A1086" s="2015">
        <v>44698</v>
      </c>
      <c r="B1086" s="2016" t="s">
        <v>2942</v>
      </c>
      <c r="C1086" s="2017">
        <v>1820</v>
      </c>
      <c r="D1086" s="2015">
        <v>46518</v>
      </c>
      <c r="E1086" s="2018">
        <v>40</v>
      </c>
      <c r="F1086" s="2019">
        <v>101.7466</v>
      </c>
      <c r="G1086" s="2019">
        <v>39.137599999999999</v>
      </c>
      <c r="H1086" s="2019"/>
      <c r="I1086" s="2019">
        <v>6.49</v>
      </c>
      <c r="J1086" s="2019">
        <v>6.1</v>
      </c>
      <c r="K1086" s="2020"/>
      <c r="L1086" s="2017">
        <v>11</v>
      </c>
    </row>
    <row r="1087" spans="1:12">
      <c r="A1087" s="2015">
        <v>44705</v>
      </c>
      <c r="B1087" s="2016" t="s">
        <v>2905</v>
      </c>
      <c r="C1087" s="2017">
        <v>2548</v>
      </c>
      <c r="D1087" s="2015">
        <v>47148</v>
      </c>
      <c r="E1087" s="2018">
        <v>10</v>
      </c>
      <c r="F1087" s="2019">
        <v>25.021100000000001</v>
      </c>
      <c r="G1087" s="2019">
        <v>10</v>
      </c>
      <c r="H1087" s="2019"/>
      <c r="I1087" s="2019">
        <v>7.6924000000000001</v>
      </c>
      <c r="J1087" s="2019">
        <v>7.5697999999999999</v>
      </c>
      <c r="K1087" s="2020"/>
      <c r="L1087" s="2017">
        <v>7</v>
      </c>
    </row>
    <row r="1088" spans="1:12">
      <c r="A1088" s="2015">
        <v>44712</v>
      </c>
      <c r="B1088" s="2016" t="s">
        <v>2943</v>
      </c>
      <c r="C1088" s="2017">
        <v>1092</v>
      </c>
      <c r="D1088" s="2015">
        <v>45804</v>
      </c>
      <c r="E1088" s="2018">
        <v>40</v>
      </c>
      <c r="F1088" s="2019">
        <v>163.90899999999999</v>
      </c>
      <c r="G1088" s="2019">
        <v>60</v>
      </c>
      <c r="H1088" s="2019"/>
      <c r="I1088" s="2019">
        <v>5</v>
      </c>
      <c r="J1088" s="2019">
        <v>4.9325999999999999</v>
      </c>
      <c r="K1088" s="2020"/>
      <c r="L1088" s="2017">
        <v>11</v>
      </c>
    </row>
    <row r="1089" spans="1:12">
      <c r="A1089" s="2015">
        <v>44719</v>
      </c>
      <c r="B1089" s="2016" t="s">
        <v>2951</v>
      </c>
      <c r="C1089" s="2017">
        <v>1820</v>
      </c>
      <c r="D1089" s="2015">
        <v>46539</v>
      </c>
      <c r="E1089" s="2018">
        <v>40</v>
      </c>
      <c r="F1089" s="2019">
        <v>104.2903</v>
      </c>
      <c r="G1089" s="2019">
        <v>56.532299999999999</v>
      </c>
      <c r="H1089" s="2019"/>
      <c r="I1089" s="2019">
        <v>7</v>
      </c>
      <c r="J1089" s="2019">
        <v>6.7335000000000003</v>
      </c>
      <c r="K1089" s="2020"/>
      <c r="L1089" s="2017">
        <v>12</v>
      </c>
    </row>
    <row r="1090" spans="1:12">
      <c r="A1090" s="2015">
        <v>44726</v>
      </c>
      <c r="B1090" s="2016" t="s">
        <v>2952</v>
      </c>
      <c r="C1090" s="2017">
        <v>728</v>
      </c>
      <c r="D1090" s="2015">
        <v>45454</v>
      </c>
      <c r="E1090" s="2018">
        <v>20</v>
      </c>
      <c r="F1090" s="2019">
        <v>101.1116</v>
      </c>
      <c r="G1090" s="2019">
        <v>20</v>
      </c>
      <c r="H1090" s="2019"/>
      <c r="I1090" s="2019">
        <v>5.15</v>
      </c>
      <c r="J1090" s="2019">
        <v>5.0292000000000003</v>
      </c>
      <c r="K1090" s="2020"/>
      <c r="L1090" s="2017">
        <v>14</v>
      </c>
    </row>
    <row r="1091" spans="1:12">
      <c r="A1091" s="2015">
        <v>44740</v>
      </c>
      <c r="B1091" s="2016" t="s">
        <v>2953</v>
      </c>
      <c r="C1091" s="2017">
        <v>1092</v>
      </c>
      <c r="D1091" s="2015">
        <v>45832</v>
      </c>
      <c r="E1091" s="2018">
        <v>40</v>
      </c>
      <c r="F1091" s="2019">
        <v>141.6678</v>
      </c>
      <c r="G1091" s="2019">
        <v>40.312399999999997</v>
      </c>
      <c r="H1091" s="2019"/>
      <c r="I1091" s="2019">
        <v>5.9</v>
      </c>
      <c r="J1091" s="2019">
        <v>5.4961000000000002</v>
      </c>
      <c r="K1091" s="2020"/>
      <c r="L1091" s="2017">
        <v>12</v>
      </c>
    </row>
    <row r="1092" spans="1:12">
      <c r="A1092" s="2015">
        <v>44747</v>
      </c>
      <c r="B1092" s="2016" t="s">
        <v>2955</v>
      </c>
      <c r="C1092" s="2017">
        <v>1820</v>
      </c>
      <c r="D1092" s="2015">
        <v>46567</v>
      </c>
      <c r="E1092" s="2018">
        <v>30</v>
      </c>
      <c r="F1092" s="2019">
        <v>46.2498</v>
      </c>
      <c r="G1092" s="2019">
        <v>12.4435</v>
      </c>
      <c r="H1092" s="2019"/>
      <c r="I1092" s="2019">
        <v>7.5</v>
      </c>
      <c r="J1092" s="2019">
        <v>7.3449</v>
      </c>
      <c r="K1092" s="2020"/>
      <c r="L1092" s="2017">
        <v>3</v>
      </c>
    </row>
    <row r="1093" spans="1:12">
      <c r="A1093" s="2015">
        <v>44761</v>
      </c>
      <c r="B1093" s="2016" t="s">
        <v>2956</v>
      </c>
      <c r="C1093" s="2017">
        <v>728</v>
      </c>
      <c r="D1093" s="2015">
        <v>45489</v>
      </c>
      <c r="E1093" s="2018">
        <v>20</v>
      </c>
      <c r="F1093" s="2019">
        <v>78.843599999999995</v>
      </c>
      <c r="G1093" s="2019">
        <v>20</v>
      </c>
      <c r="H1093" s="2019"/>
      <c r="I1093" s="2019">
        <v>5.4497999999999998</v>
      </c>
      <c r="J1093" s="2019">
        <v>5.1420000000000003</v>
      </c>
      <c r="K1093" s="2020"/>
      <c r="L1093" s="2017">
        <v>15</v>
      </c>
    </row>
    <row r="1094" spans="1:12">
      <c r="A1094" s="2015">
        <v>44768</v>
      </c>
      <c r="B1094" s="2016" t="s">
        <v>2953</v>
      </c>
      <c r="C1094" s="2017">
        <v>1092</v>
      </c>
      <c r="D1094" s="2015">
        <v>45832</v>
      </c>
      <c r="E1094" s="2018">
        <v>40</v>
      </c>
      <c r="F1094" s="2019">
        <v>131.4623</v>
      </c>
      <c r="G1094" s="2019">
        <v>40</v>
      </c>
      <c r="H1094" s="2019"/>
      <c r="I1094" s="2019">
        <v>5.9751000000000003</v>
      </c>
      <c r="J1094" s="2019">
        <v>5.8766999999999996</v>
      </c>
      <c r="K1094" s="2020"/>
      <c r="L1094" s="2017">
        <v>17</v>
      </c>
    </row>
    <row r="1095" spans="1:12">
      <c r="A1095" s="2015">
        <v>44775</v>
      </c>
      <c r="B1095" s="2016" t="s">
        <v>2958</v>
      </c>
      <c r="C1095" s="2017">
        <v>1820</v>
      </c>
      <c r="D1095" s="2015">
        <v>46595</v>
      </c>
      <c r="E1095" s="2018">
        <v>20</v>
      </c>
      <c r="F1095" s="2019">
        <v>31.1873</v>
      </c>
      <c r="G1095" s="2019">
        <v>18.874500000000001</v>
      </c>
      <c r="H1095" s="2019"/>
      <c r="I1095" s="2019">
        <v>8</v>
      </c>
      <c r="J1095" s="2019">
        <v>7.8482000000000003</v>
      </c>
      <c r="K1095" s="2020"/>
      <c r="L1095" s="2017">
        <v>4</v>
      </c>
    </row>
    <row r="1096" spans="1:12">
      <c r="A1096" s="2015">
        <v>44782</v>
      </c>
      <c r="B1096" s="2016" t="s">
        <v>2959</v>
      </c>
      <c r="C1096" s="2017">
        <v>1092</v>
      </c>
      <c r="D1096" s="2015">
        <v>45874</v>
      </c>
      <c r="E1096" s="2018">
        <v>30</v>
      </c>
      <c r="F1096" s="2019">
        <v>108.2783</v>
      </c>
      <c r="G1096" s="2019">
        <v>39.500399999999999</v>
      </c>
      <c r="H1096" s="2019"/>
      <c r="I1096" s="2019">
        <v>6.3898999999999999</v>
      </c>
      <c r="J1096" s="2019">
        <v>5.9783999999999997</v>
      </c>
      <c r="K1096" s="2020"/>
      <c r="L1096" s="2017">
        <v>19</v>
      </c>
    </row>
    <row r="1097" spans="1:12">
      <c r="A1097" s="2015">
        <v>44789</v>
      </c>
      <c r="B1097" s="2016" t="s">
        <v>2960</v>
      </c>
      <c r="C1097" s="2017">
        <v>728</v>
      </c>
      <c r="D1097" s="2015">
        <v>45517</v>
      </c>
      <c r="E1097" s="2018">
        <v>10</v>
      </c>
      <c r="F1097" s="2019">
        <v>66.422799999999995</v>
      </c>
      <c r="G1097" s="2019">
        <v>15</v>
      </c>
      <c r="H1097" s="2019"/>
      <c r="I1097" s="2019">
        <v>5.49</v>
      </c>
      <c r="J1097" s="2019">
        <v>5.3747999999999996</v>
      </c>
      <c r="K1097" s="2020"/>
      <c r="L1097" s="2017">
        <v>15</v>
      </c>
    </row>
    <row r="1098" spans="1:12">
      <c r="A1098" s="2015">
        <v>44796</v>
      </c>
      <c r="B1098" s="2016" t="s">
        <v>2953</v>
      </c>
      <c r="C1098" s="2017">
        <v>1092</v>
      </c>
      <c r="D1098" s="2015">
        <v>45832</v>
      </c>
      <c r="E1098" s="2018">
        <v>30</v>
      </c>
      <c r="F1098" s="2019">
        <v>105.6091</v>
      </c>
      <c r="G1098" s="2019">
        <v>45</v>
      </c>
      <c r="H1098" s="2019"/>
      <c r="I1098" s="2019">
        <v>6.4272999999999998</v>
      </c>
      <c r="J1098" s="2019">
        <v>6.1252000000000004</v>
      </c>
      <c r="K1098" s="2020"/>
      <c r="L1098" s="2017">
        <v>18</v>
      </c>
    </row>
    <row r="1099" spans="1:12">
      <c r="A1099" s="2015">
        <v>44810</v>
      </c>
      <c r="B1099" s="2016" t="s">
        <v>3431</v>
      </c>
      <c r="C1099" s="2017">
        <v>1820</v>
      </c>
      <c r="D1099" s="2015">
        <v>46630</v>
      </c>
      <c r="E1099" s="2018">
        <v>10</v>
      </c>
      <c r="F1099" s="2019">
        <v>30.698499999999999</v>
      </c>
      <c r="G1099" s="2019">
        <v>10</v>
      </c>
      <c r="H1099" s="2019"/>
      <c r="I1099" s="2019">
        <v>7.99</v>
      </c>
      <c r="J1099" s="2019">
        <v>7.7446999999999999</v>
      </c>
      <c r="K1099" s="2020"/>
      <c r="L1099" s="2017">
        <v>10</v>
      </c>
    </row>
    <row r="1100" spans="1:12">
      <c r="A1100" s="2015">
        <v>44817</v>
      </c>
      <c r="B1100" s="2016" t="s">
        <v>3432</v>
      </c>
      <c r="C1100" s="2017">
        <v>1092</v>
      </c>
      <c r="D1100" s="2015">
        <v>45909</v>
      </c>
      <c r="E1100" s="2018">
        <v>20</v>
      </c>
      <c r="F1100" s="2019">
        <v>57.448700000000002</v>
      </c>
      <c r="G1100" s="2019">
        <v>20</v>
      </c>
      <c r="H1100" s="2019"/>
      <c r="I1100" s="2019">
        <v>6.4</v>
      </c>
      <c r="J1100" s="2019">
        <v>6.218</v>
      </c>
      <c r="K1100" s="2020"/>
      <c r="L1100" s="2017">
        <v>14</v>
      </c>
    </row>
    <row r="1101" spans="1:12">
      <c r="A1101" s="2015">
        <v>44824</v>
      </c>
      <c r="B1101" s="2016" t="s">
        <v>3433</v>
      </c>
      <c r="C1101" s="2017">
        <v>728</v>
      </c>
      <c r="D1101" s="2015">
        <v>45552</v>
      </c>
      <c r="E1101" s="2018">
        <v>10</v>
      </c>
      <c r="F1101" s="2019">
        <v>52.043500000000002</v>
      </c>
      <c r="G1101" s="2019">
        <v>15</v>
      </c>
      <c r="H1101" s="2019"/>
      <c r="I1101" s="2019">
        <v>5.49</v>
      </c>
      <c r="J1101" s="2019">
        <v>5.3440000000000003</v>
      </c>
      <c r="K1101" s="2020"/>
      <c r="L1101" s="2017">
        <v>16</v>
      </c>
    </row>
    <row r="1102" spans="1:12">
      <c r="A1102" s="2015">
        <v>44831</v>
      </c>
      <c r="B1102" s="2016" t="s">
        <v>2953</v>
      </c>
      <c r="C1102" s="2017">
        <v>1092</v>
      </c>
      <c r="D1102" s="2015">
        <v>45832</v>
      </c>
      <c r="E1102" s="2018">
        <v>30</v>
      </c>
      <c r="F1102" s="2019">
        <v>87.384399999999999</v>
      </c>
      <c r="G1102" s="2019">
        <v>45</v>
      </c>
      <c r="H1102" s="2019"/>
      <c r="I1102" s="2019">
        <v>6.5670999999999999</v>
      </c>
      <c r="J1102" s="2019">
        <v>6.2248999999999999</v>
      </c>
      <c r="K1102" s="2020"/>
      <c r="L1102" s="2017">
        <v>16</v>
      </c>
    </row>
    <row r="1103" spans="1:12">
      <c r="A1103" s="2015">
        <v>44838</v>
      </c>
      <c r="B1103" s="2016" t="s">
        <v>3475</v>
      </c>
      <c r="C1103" s="2017">
        <v>1820</v>
      </c>
      <c r="D1103" s="2015">
        <v>46658</v>
      </c>
      <c r="E1103" s="2018">
        <v>20</v>
      </c>
      <c r="F1103" s="2019">
        <v>32.749000000000002</v>
      </c>
      <c r="G1103" s="2019">
        <v>14.4209</v>
      </c>
      <c r="H1103" s="2019"/>
      <c r="I1103" s="2019">
        <v>9</v>
      </c>
      <c r="J1103" s="2019">
        <v>8.7613000000000003</v>
      </c>
      <c r="K1103" s="2020"/>
      <c r="L1103" s="2017">
        <v>7</v>
      </c>
    </row>
    <row r="1104" spans="1:12">
      <c r="A1104" s="2015">
        <v>44845</v>
      </c>
      <c r="B1104" s="2016" t="s">
        <v>3476</v>
      </c>
      <c r="C1104" s="2017">
        <v>1092</v>
      </c>
      <c r="D1104" s="2015">
        <v>45937</v>
      </c>
      <c r="E1104" s="2018">
        <v>50</v>
      </c>
      <c r="F1104" s="2019">
        <v>171.1713</v>
      </c>
      <c r="G1104" s="2019">
        <v>50</v>
      </c>
      <c r="H1104" s="2019"/>
      <c r="I1104" s="2019">
        <v>7.5</v>
      </c>
      <c r="J1104" s="2019">
        <v>7.4141000000000004</v>
      </c>
      <c r="K1104" s="2020"/>
      <c r="L1104" s="2017">
        <v>19</v>
      </c>
    </row>
    <row r="1105" spans="1:12">
      <c r="A1105" s="2015">
        <v>44852</v>
      </c>
      <c r="B1105" s="2016" t="s">
        <v>3477</v>
      </c>
      <c r="C1105" s="2017">
        <v>728</v>
      </c>
      <c r="D1105" s="2015">
        <v>45580</v>
      </c>
      <c r="E1105" s="2018">
        <v>15</v>
      </c>
      <c r="F1105" s="2019">
        <v>106.12009999999999</v>
      </c>
      <c r="G1105" s="2019">
        <v>15</v>
      </c>
      <c r="H1105" s="2019"/>
      <c r="I1105" s="2019">
        <v>5.49</v>
      </c>
      <c r="J1105" s="2019">
        <v>5.49</v>
      </c>
      <c r="K1105" s="2020"/>
      <c r="L1105" s="2017">
        <v>16</v>
      </c>
    </row>
    <row r="1106" spans="1:12">
      <c r="A1106" s="2015">
        <v>44859</v>
      </c>
      <c r="B1106" s="2016" t="s">
        <v>2953</v>
      </c>
      <c r="C1106" s="2017">
        <v>1092</v>
      </c>
      <c r="D1106" s="2015">
        <v>45832</v>
      </c>
      <c r="E1106" s="2018">
        <v>30</v>
      </c>
      <c r="F1106" s="2019">
        <v>109.6512</v>
      </c>
      <c r="G1106" s="2019">
        <v>45</v>
      </c>
      <c r="H1106" s="2019"/>
      <c r="I1106" s="2019">
        <v>7.7994000000000003</v>
      </c>
      <c r="J1106" s="2019">
        <v>7.4866999999999999</v>
      </c>
      <c r="K1106" s="2020"/>
      <c r="L1106" s="2017">
        <v>19</v>
      </c>
    </row>
    <row r="1107" spans="1:12">
      <c r="A1107" s="2015">
        <v>44866</v>
      </c>
      <c r="B1107" s="2016" t="s">
        <v>3497</v>
      </c>
      <c r="C1107" s="2017">
        <v>1820</v>
      </c>
      <c r="D1107" s="2015">
        <v>46686</v>
      </c>
      <c r="E1107" s="2018">
        <v>20</v>
      </c>
      <c r="F1107" s="2019">
        <v>48.350999999999999</v>
      </c>
      <c r="G1107" s="2019">
        <v>20</v>
      </c>
      <c r="H1107" s="2019"/>
      <c r="I1107" s="2019">
        <v>9.5</v>
      </c>
      <c r="J1107" s="2019">
        <v>9.3191000000000006</v>
      </c>
      <c r="K1107" s="2020"/>
      <c r="L1107" s="2017">
        <v>10</v>
      </c>
    </row>
    <row r="1108" spans="1:12">
      <c r="A1108" s="2015">
        <v>44880</v>
      </c>
      <c r="B1108" s="2016" t="s">
        <v>3498</v>
      </c>
      <c r="C1108" s="2017">
        <v>1092</v>
      </c>
      <c r="D1108" s="2015">
        <v>45972</v>
      </c>
      <c r="E1108" s="2018">
        <v>50</v>
      </c>
      <c r="F1108" s="2019">
        <v>204.679</v>
      </c>
      <c r="G1108" s="2019">
        <v>75</v>
      </c>
      <c r="H1108" s="2019"/>
      <c r="I1108" s="2019">
        <v>8.25</v>
      </c>
      <c r="J1108" s="2019">
        <v>8.0477000000000007</v>
      </c>
      <c r="K1108" s="2020"/>
      <c r="L1108" s="2017">
        <v>16</v>
      </c>
    </row>
    <row r="1109" spans="1:12">
      <c r="A1109" s="2015">
        <v>44887</v>
      </c>
      <c r="B1109" s="2016" t="s">
        <v>3499</v>
      </c>
      <c r="C1109" s="2017">
        <v>728</v>
      </c>
      <c r="D1109" s="2015">
        <v>45615</v>
      </c>
      <c r="E1109" s="2018">
        <v>30</v>
      </c>
      <c r="F1109" s="2019">
        <v>138.054</v>
      </c>
      <c r="G1109" s="2019">
        <v>45</v>
      </c>
      <c r="H1109" s="2019"/>
      <c r="I1109" s="2019">
        <v>6</v>
      </c>
      <c r="J1109" s="2019">
        <v>5.9532999999999996</v>
      </c>
      <c r="K1109" s="2020"/>
      <c r="L1109" s="2017">
        <v>17</v>
      </c>
    </row>
    <row r="1110" spans="1:12">
      <c r="A1110" s="2015">
        <v>44887</v>
      </c>
      <c r="B1110" s="2016" t="s">
        <v>3500</v>
      </c>
      <c r="C1110" s="2017">
        <v>364</v>
      </c>
      <c r="D1110" s="2015">
        <v>45251</v>
      </c>
      <c r="E1110" s="2018">
        <v>100</v>
      </c>
      <c r="F1110" s="2019">
        <v>436.03250000000003</v>
      </c>
      <c r="G1110" s="2019">
        <v>93.453199999999995</v>
      </c>
      <c r="H1110" s="2019"/>
      <c r="I1110" s="2019">
        <v>4.8998999999999997</v>
      </c>
      <c r="J1110" s="2019">
        <v>4.2451999999999996</v>
      </c>
      <c r="K1110" s="2020"/>
      <c r="L1110" s="2017">
        <v>16</v>
      </c>
    </row>
    <row r="1111" spans="1:12">
      <c r="A1111" s="2015">
        <v>44894</v>
      </c>
      <c r="B1111" s="2016" t="s">
        <v>3501</v>
      </c>
      <c r="C1111" s="2017">
        <v>364</v>
      </c>
      <c r="D1111" s="2015">
        <v>45258</v>
      </c>
      <c r="E1111" s="2018">
        <v>100</v>
      </c>
      <c r="F1111" s="2019">
        <v>466.3963</v>
      </c>
      <c r="G1111" s="2019">
        <v>150</v>
      </c>
      <c r="H1111" s="2019"/>
      <c r="I1111" s="2019">
        <v>4.4999000000000002</v>
      </c>
      <c r="J1111" s="2019">
        <v>4.3697999999999997</v>
      </c>
      <c r="K1111" s="2020"/>
      <c r="L1111" s="2017">
        <v>15</v>
      </c>
    </row>
    <row r="1112" spans="1:12">
      <c r="A1112" s="2015">
        <v>44901</v>
      </c>
      <c r="B1112" s="2016" t="s">
        <v>2953</v>
      </c>
      <c r="C1112" s="2017">
        <v>1092</v>
      </c>
      <c r="D1112" s="2015">
        <v>45832</v>
      </c>
      <c r="E1112" s="2018">
        <v>25</v>
      </c>
      <c r="F1112" s="2019">
        <v>162.9376</v>
      </c>
      <c r="G1112" s="2019">
        <v>25</v>
      </c>
      <c r="H1112" s="2019"/>
      <c r="I1112" s="2019">
        <v>7.6036000000000001</v>
      </c>
      <c r="J1112" s="2019">
        <v>7.5606999999999998</v>
      </c>
      <c r="K1112" s="2020"/>
      <c r="L1112" s="2017">
        <v>22</v>
      </c>
    </row>
    <row r="1113" spans="1:12">
      <c r="A1113" s="2015">
        <v>44915</v>
      </c>
      <c r="B1113" s="2016" t="s">
        <v>3537</v>
      </c>
      <c r="C1113" s="2017">
        <v>364</v>
      </c>
      <c r="D1113" s="2015">
        <v>45279</v>
      </c>
      <c r="E1113" s="2018">
        <v>200</v>
      </c>
      <c r="F1113" s="2019">
        <v>213.41550000000001</v>
      </c>
      <c r="G1113" s="2019">
        <v>200</v>
      </c>
      <c r="H1113" s="2019"/>
      <c r="I1113" s="2019">
        <v>7.25</v>
      </c>
      <c r="J1113" s="2019">
        <v>6.0297999999999998</v>
      </c>
      <c r="K1113" s="2020"/>
      <c r="L1113" s="2017">
        <v>14</v>
      </c>
    </row>
    <row r="1114" spans="1:12">
      <c r="A1114" s="2015">
        <v>44915</v>
      </c>
      <c r="B1114" s="2016" t="s">
        <v>3538</v>
      </c>
      <c r="C1114" s="2017">
        <v>1092</v>
      </c>
      <c r="D1114" s="2015">
        <v>46007</v>
      </c>
      <c r="E1114" s="2018">
        <v>150</v>
      </c>
      <c r="F1114" s="2019">
        <v>166.4282</v>
      </c>
      <c r="G1114" s="2019">
        <v>150</v>
      </c>
      <c r="H1114" s="2019"/>
      <c r="I1114" s="2019">
        <v>10</v>
      </c>
      <c r="J1114" s="2019">
        <v>8.8177000000000003</v>
      </c>
      <c r="K1114" s="2020"/>
      <c r="L1114" s="2017">
        <v>22</v>
      </c>
    </row>
    <row r="1115" spans="1:12">
      <c r="A1115" s="2015">
        <v>44922</v>
      </c>
      <c r="B1115" s="2016" t="s">
        <v>3539</v>
      </c>
      <c r="C1115" s="2017">
        <v>364</v>
      </c>
      <c r="D1115" s="2015">
        <v>45286</v>
      </c>
      <c r="E1115" s="2018">
        <v>150</v>
      </c>
      <c r="F1115" s="2019">
        <v>280.50049999999999</v>
      </c>
      <c r="G1115" s="2019">
        <v>120</v>
      </c>
      <c r="H1115" s="2019"/>
      <c r="I1115" s="2019">
        <v>8.49</v>
      </c>
      <c r="J1115" s="2019">
        <v>8.0086999999999993</v>
      </c>
      <c r="K1115" s="2020"/>
      <c r="L1115" s="2017">
        <v>23</v>
      </c>
    </row>
    <row r="1116" spans="1:12">
      <c r="A1116" s="2015">
        <v>44922</v>
      </c>
      <c r="B1116" s="2016" t="s">
        <v>3540</v>
      </c>
      <c r="C1116" s="2017">
        <v>728</v>
      </c>
      <c r="D1116" s="2015">
        <v>45650</v>
      </c>
      <c r="E1116" s="2018">
        <v>150</v>
      </c>
      <c r="F1116" s="2019">
        <v>137.46209999999999</v>
      </c>
      <c r="G1116" s="2019">
        <v>60</v>
      </c>
      <c r="H1116" s="2019"/>
      <c r="I1116" s="2019">
        <v>9.99</v>
      </c>
      <c r="J1116" s="2019">
        <v>9.2604000000000006</v>
      </c>
      <c r="K1116" s="2020"/>
      <c r="L1116" s="2017">
        <v>23</v>
      </c>
    </row>
    <row r="1117" spans="1:12">
      <c r="A1117" s="2015">
        <v>44924</v>
      </c>
      <c r="B1117" s="2016" t="s">
        <v>3541</v>
      </c>
      <c r="C1117" s="2017">
        <v>306</v>
      </c>
      <c r="D1117" s="2015">
        <v>45230</v>
      </c>
      <c r="E1117" s="2018">
        <v>500</v>
      </c>
      <c r="F1117" s="2019">
        <v>683.12710000000004</v>
      </c>
      <c r="G1117" s="2019">
        <v>500</v>
      </c>
      <c r="H1117" s="2019"/>
      <c r="I1117" s="2019">
        <v>4.4999000000000002</v>
      </c>
      <c r="J1117" s="2019">
        <v>4.4999000000000002</v>
      </c>
      <c r="K1117" s="2020"/>
      <c r="L1117" s="2017">
        <v>24</v>
      </c>
    </row>
    <row r="1118" spans="1:12">
      <c r="A1118" s="1550">
        <v>2023</v>
      </c>
      <c r="B1118" s="2022"/>
      <c r="C1118" s="2017"/>
      <c r="D1118" s="2015"/>
      <c r="E1118" s="2018"/>
      <c r="F1118" s="2019"/>
      <c r="G1118" s="2019"/>
      <c r="H1118" s="2019"/>
      <c r="I1118" s="2019"/>
      <c r="J1118" s="2019"/>
      <c r="K1118" s="2020"/>
      <c r="L1118" s="2017"/>
    </row>
    <row r="1119" spans="1:12">
      <c r="A1119" s="2015">
        <v>44943</v>
      </c>
      <c r="B1119" s="2016" t="s">
        <v>3618</v>
      </c>
      <c r="C1119" s="2017">
        <v>728</v>
      </c>
      <c r="D1119" s="2015">
        <v>45671</v>
      </c>
      <c r="E1119" s="2018">
        <v>50</v>
      </c>
      <c r="F1119" s="2019">
        <v>136.2852</v>
      </c>
      <c r="G1119" s="2019">
        <v>50</v>
      </c>
      <c r="H1119" s="2019"/>
      <c r="I1119" s="2019">
        <v>9.27</v>
      </c>
      <c r="J1119" s="2019">
        <v>9.1536000000000008</v>
      </c>
      <c r="K1119" s="2020"/>
      <c r="L1119" s="2017">
        <v>17</v>
      </c>
    </row>
    <row r="1120" spans="1:12">
      <c r="A1120" s="2015">
        <v>44950</v>
      </c>
      <c r="B1120" s="2016" t="s">
        <v>3619</v>
      </c>
      <c r="C1120" s="2017">
        <v>364</v>
      </c>
      <c r="D1120" s="2015">
        <v>45314</v>
      </c>
      <c r="E1120" s="2018">
        <v>50</v>
      </c>
      <c r="F1120" s="2019">
        <v>167.43299999999999</v>
      </c>
      <c r="G1120" s="2019">
        <v>50</v>
      </c>
      <c r="H1120" s="2019"/>
      <c r="I1120" s="2019">
        <v>7.92</v>
      </c>
      <c r="J1120" s="2019">
        <v>7.5391000000000004</v>
      </c>
      <c r="K1120" s="2020"/>
      <c r="L1120" s="2017">
        <v>20</v>
      </c>
    </row>
    <row r="1121" spans="1:12">
      <c r="A1121" s="2015">
        <v>44957</v>
      </c>
      <c r="B1121" s="2016" t="s">
        <v>3620</v>
      </c>
      <c r="C1121" s="2017">
        <v>1092</v>
      </c>
      <c r="D1121" s="2015">
        <v>46049</v>
      </c>
      <c r="E1121" s="2018">
        <v>50</v>
      </c>
      <c r="F1121" s="2019">
        <v>149.78469999999999</v>
      </c>
      <c r="G1121" s="2019">
        <v>50</v>
      </c>
      <c r="H1121" s="2019"/>
      <c r="I1121" s="2019">
        <v>9.99</v>
      </c>
      <c r="J1121" s="2019">
        <v>9.7223000000000006</v>
      </c>
      <c r="K1121" s="2020"/>
      <c r="L1121" s="2017">
        <v>22</v>
      </c>
    </row>
    <row r="1122" spans="1:12">
      <c r="A1122" s="2015">
        <v>44964</v>
      </c>
      <c r="B1122" s="2016" t="s">
        <v>3626</v>
      </c>
      <c r="C1122" s="2017">
        <v>364</v>
      </c>
      <c r="D1122" s="2015">
        <v>45445</v>
      </c>
      <c r="E1122" s="2018">
        <v>50</v>
      </c>
      <c r="F1122" s="2019">
        <v>199.9074</v>
      </c>
      <c r="G1122" s="2019">
        <v>50</v>
      </c>
      <c r="H1122" s="2019"/>
      <c r="I1122" s="2019">
        <v>7.75</v>
      </c>
      <c r="J1122" s="2019">
        <v>6.9678000000000004</v>
      </c>
      <c r="K1122" s="2020"/>
      <c r="L1122" s="2017">
        <v>25</v>
      </c>
    </row>
    <row r="1123" spans="1:12">
      <c r="A1123" s="2015">
        <v>44971</v>
      </c>
      <c r="B1123" s="2016" t="s">
        <v>3627</v>
      </c>
      <c r="C1123" s="2017">
        <v>1092</v>
      </c>
      <c r="D1123" s="2015">
        <v>46297</v>
      </c>
      <c r="E1123" s="2018">
        <v>40</v>
      </c>
      <c r="F1123" s="2019">
        <v>120.73050000000001</v>
      </c>
      <c r="G1123" s="2019">
        <v>60</v>
      </c>
      <c r="H1123" s="2019"/>
      <c r="I1123" s="2019">
        <v>9.99</v>
      </c>
      <c r="J1123" s="2019">
        <v>9.8650000000000002</v>
      </c>
      <c r="K1123" s="2020"/>
      <c r="L1123" s="2017">
        <v>17</v>
      </c>
    </row>
    <row r="1124" spans="1:12">
      <c r="A1124" s="2015">
        <v>44978</v>
      </c>
      <c r="B1124" s="2016" t="s">
        <v>3628</v>
      </c>
      <c r="C1124" s="2017">
        <v>728</v>
      </c>
      <c r="D1124" s="2015">
        <v>45706</v>
      </c>
      <c r="E1124" s="2018">
        <v>40</v>
      </c>
      <c r="F1124" s="2019">
        <v>144.64429999999999</v>
      </c>
      <c r="G1124" s="2019">
        <v>47.051499999999997</v>
      </c>
      <c r="H1124" s="2019"/>
      <c r="I1124" s="2019">
        <v>9.15</v>
      </c>
      <c r="J1124" s="2019">
        <v>9.0353999999999992</v>
      </c>
      <c r="K1124" s="2020"/>
      <c r="L1124" s="2017">
        <v>26</v>
      </c>
    </row>
    <row r="1125" spans="1:12">
      <c r="A1125" s="2015">
        <v>44985</v>
      </c>
      <c r="B1125" s="2016" t="s">
        <v>3629</v>
      </c>
      <c r="C1125" s="2017">
        <v>1092</v>
      </c>
      <c r="D1125" s="2015">
        <v>46077</v>
      </c>
      <c r="E1125" s="2018">
        <v>40</v>
      </c>
      <c r="F1125" s="2019">
        <v>116.758</v>
      </c>
      <c r="G1125" s="2019">
        <v>40</v>
      </c>
      <c r="H1125" s="2019"/>
      <c r="I1125" s="2019">
        <v>9.6896000000000004</v>
      </c>
      <c r="J1125" s="2019">
        <v>9.5000999999999998</v>
      </c>
      <c r="K1125" s="2020"/>
      <c r="L1125" s="2017">
        <v>22</v>
      </c>
    </row>
    <row r="1126" spans="1:12">
      <c r="A1126" s="2015">
        <v>44992</v>
      </c>
      <c r="B1126" s="2016" t="s">
        <v>3633</v>
      </c>
      <c r="C1126" s="2017">
        <v>364</v>
      </c>
      <c r="D1126" s="2015">
        <v>45415</v>
      </c>
      <c r="E1126" s="2018">
        <v>70</v>
      </c>
      <c r="F1126" s="2019">
        <v>273.95330000000001</v>
      </c>
      <c r="G1126" s="2019">
        <v>70</v>
      </c>
      <c r="H1126" s="2019"/>
      <c r="I1126" s="2019">
        <v>6.5580999999999996</v>
      </c>
      <c r="J1126" s="2019">
        <v>6.5155000000000003</v>
      </c>
      <c r="K1126" s="2020"/>
      <c r="L1126" s="2017">
        <v>27</v>
      </c>
    </row>
    <row r="1127" spans="1:12">
      <c r="A1127" s="2015">
        <v>44999</v>
      </c>
      <c r="B1127" s="2016" t="s">
        <v>3634</v>
      </c>
      <c r="C1127" s="2017">
        <v>1092</v>
      </c>
      <c r="D1127" s="2015">
        <v>46298</v>
      </c>
      <c r="E1127" s="2018">
        <v>40</v>
      </c>
      <c r="F1127" s="2019">
        <v>142.22649999999999</v>
      </c>
      <c r="G1127" s="2019">
        <v>40</v>
      </c>
      <c r="H1127" s="2019"/>
      <c r="I1127" s="2019">
        <v>9.34</v>
      </c>
      <c r="J1127" s="2019">
        <v>9.1082999999999998</v>
      </c>
      <c r="K1127" s="2020"/>
      <c r="L1127" s="2017">
        <v>28</v>
      </c>
    </row>
    <row r="1128" spans="1:12">
      <c r="A1128" s="2015">
        <v>45020</v>
      </c>
      <c r="B1128" s="2016" t="s">
        <v>3744</v>
      </c>
      <c r="C1128" s="2017" t="s">
        <v>2422</v>
      </c>
      <c r="D1128" s="2015">
        <v>45326</v>
      </c>
      <c r="E1128" s="2018">
        <v>50</v>
      </c>
      <c r="F1128" s="2019">
        <v>219.36371700000001</v>
      </c>
      <c r="G1128" s="2019">
        <v>75</v>
      </c>
      <c r="H1128" s="2019"/>
      <c r="I1128" s="2019">
        <v>5.9999000000000002</v>
      </c>
      <c r="J1128" s="2019">
        <v>5.7028999999999996</v>
      </c>
      <c r="K1128" s="2020"/>
      <c r="L1128" s="2017">
        <v>17</v>
      </c>
    </row>
    <row r="1129" spans="1:12">
      <c r="A1129" s="2015">
        <v>45027</v>
      </c>
      <c r="B1129" s="2016" t="s">
        <v>3745</v>
      </c>
      <c r="C1129" s="2017">
        <v>1092</v>
      </c>
      <c r="D1129" s="2015">
        <v>46207</v>
      </c>
      <c r="E1129" s="2018">
        <v>40</v>
      </c>
      <c r="F1129" s="2019">
        <v>181.7193</v>
      </c>
      <c r="G1129" s="2019">
        <v>60</v>
      </c>
      <c r="H1129" s="2019"/>
      <c r="I1129" s="2019">
        <v>8.75</v>
      </c>
      <c r="J1129" s="2019">
        <v>8.3712999999999997</v>
      </c>
      <c r="K1129" s="2020"/>
      <c r="L1129" s="2017">
        <v>25</v>
      </c>
    </row>
    <row r="1130" spans="1:12">
      <c r="A1130" s="2015">
        <v>45034</v>
      </c>
      <c r="B1130" s="2016" t="s">
        <v>3746</v>
      </c>
      <c r="C1130" s="2017" t="s">
        <v>3824</v>
      </c>
      <c r="D1130" s="2015">
        <v>45762</v>
      </c>
      <c r="E1130" s="2018">
        <v>30</v>
      </c>
      <c r="F1130" s="2019">
        <v>137.9145</v>
      </c>
      <c r="G1130" s="2019">
        <v>45</v>
      </c>
      <c r="H1130" s="2019"/>
      <c r="I1130" s="2019">
        <v>7.24</v>
      </c>
      <c r="J1130" s="2019">
        <v>7.1605999999999996</v>
      </c>
      <c r="K1130" s="2020"/>
      <c r="L1130" s="2017" t="s">
        <v>3825</v>
      </c>
    </row>
    <row r="1131" spans="1:12">
      <c r="A1131" s="2015">
        <v>45041</v>
      </c>
      <c r="B1131" s="2016" t="s">
        <v>3747</v>
      </c>
      <c r="C1131" s="2017" t="s">
        <v>2615</v>
      </c>
      <c r="D1131" s="2015">
        <v>46133</v>
      </c>
      <c r="E1131" s="2018">
        <v>50</v>
      </c>
      <c r="F1131" s="2019">
        <v>153.4674</v>
      </c>
      <c r="G1131" s="2019">
        <v>50</v>
      </c>
      <c r="H1131" s="2019"/>
      <c r="I1131" s="2019">
        <v>8.1999999999999993</v>
      </c>
      <c r="J1131" s="2019">
        <v>8.0004000000000008</v>
      </c>
      <c r="K1131" s="2020"/>
      <c r="L1131" s="2017" t="s">
        <v>3826</v>
      </c>
    </row>
    <row r="1132" spans="1:12">
      <c r="A1132" s="2015">
        <v>45048</v>
      </c>
      <c r="B1132" s="2016" t="s">
        <v>3827</v>
      </c>
      <c r="C1132" s="2017">
        <v>728</v>
      </c>
      <c r="D1132" s="2015">
        <v>45776</v>
      </c>
      <c r="E1132" s="2018">
        <v>30</v>
      </c>
      <c r="F1132" s="2019">
        <v>131.1354</v>
      </c>
      <c r="G1132" s="2019">
        <v>45</v>
      </c>
      <c r="H1132" s="2019"/>
      <c r="I1132" s="2019">
        <v>7.07</v>
      </c>
      <c r="J1132" s="2019">
        <v>6.9782999999999999</v>
      </c>
      <c r="K1132" s="2020"/>
      <c r="L1132" s="2017">
        <v>18</v>
      </c>
    </row>
    <row r="1133" spans="1:12">
      <c r="A1133" s="2015">
        <v>45062</v>
      </c>
      <c r="B1133" s="2016" t="s">
        <v>3828</v>
      </c>
      <c r="C1133" s="2017">
        <v>1820</v>
      </c>
      <c r="D1133" s="2015">
        <v>47001</v>
      </c>
      <c r="E1133" s="2018">
        <v>20</v>
      </c>
      <c r="F1133" s="2019">
        <v>90.863399999999999</v>
      </c>
      <c r="G1133" s="2019">
        <v>20</v>
      </c>
      <c r="H1133" s="2019"/>
      <c r="I1133" s="2019">
        <v>9.15</v>
      </c>
      <c r="J1133" s="2019">
        <v>8.7135999999999996</v>
      </c>
      <c r="K1133" s="2020"/>
      <c r="L1133" s="2017">
        <v>20</v>
      </c>
    </row>
    <row r="1134" spans="1:12">
      <c r="A1134" s="2015">
        <v>45069</v>
      </c>
      <c r="B1134" s="2016" t="s">
        <v>3829</v>
      </c>
      <c r="C1134" s="2017">
        <v>728</v>
      </c>
      <c r="D1134" s="2015">
        <v>45797</v>
      </c>
      <c r="E1134" s="2018">
        <v>30</v>
      </c>
      <c r="F1134" s="2019">
        <v>133.66120000000001</v>
      </c>
      <c r="G1134" s="2019">
        <v>45</v>
      </c>
      <c r="H1134" s="2019"/>
      <c r="I1134" s="2019">
        <v>7.3</v>
      </c>
      <c r="J1134" s="2019">
        <v>7.1890999999999998</v>
      </c>
      <c r="K1134" s="2020"/>
      <c r="L1134" s="2017">
        <v>14</v>
      </c>
    </row>
    <row r="1135" spans="1:12">
      <c r="A1135" s="2015">
        <v>45076</v>
      </c>
      <c r="B1135" s="2016" t="s">
        <v>3747</v>
      </c>
      <c r="C1135" s="2017">
        <v>1092</v>
      </c>
      <c r="D1135" s="2015">
        <v>46133</v>
      </c>
      <c r="E1135" s="2018">
        <v>50</v>
      </c>
      <c r="F1135" s="2019">
        <v>82.994399999999999</v>
      </c>
      <c r="G1135" s="2019">
        <v>45.262999999999998</v>
      </c>
      <c r="H1135" s="2019"/>
      <c r="I1135" s="2019">
        <v>9.3188999999999993</v>
      </c>
      <c r="J1135" s="2019">
        <v>8.4411000000000005</v>
      </c>
      <c r="K1135" s="2020"/>
      <c r="L1135" s="2017">
        <v>16</v>
      </c>
    </row>
    <row r="1136" spans="1:12">
      <c r="A1136" s="2015">
        <v>45083</v>
      </c>
      <c r="B1136" s="2016" t="s">
        <v>3897</v>
      </c>
      <c r="C1136" s="2017">
        <v>364</v>
      </c>
      <c r="D1136" s="2015">
        <v>45388</v>
      </c>
      <c r="E1136" s="2018">
        <v>40</v>
      </c>
      <c r="F1136" s="2019">
        <v>164.1739</v>
      </c>
      <c r="G1136" s="2019">
        <v>60</v>
      </c>
      <c r="H1136" s="2019"/>
      <c r="I1136" s="2019">
        <v>6.49</v>
      </c>
      <c r="J1136" s="2019">
        <v>6.218</v>
      </c>
      <c r="K1136" s="2020"/>
      <c r="L1136" s="2017">
        <v>15</v>
      </c>
    </row>
    <row r="1137" spans="1:12">
      <c r="A1137" s="2015">
        <v>45090</v>
      </c>
      <c r="B1137" s="2016" t="s">
        <v>3898</v>
      </c>
      <c r="C1137" s="2017">
        <v>1820</v>
      </c>
      <c r="D1137" s="2015">
        <v>46910</v>
      </c>
      <c r="E1137" s="2018">
        <v>50</v>
      </c>
      <c r="F1137" s="2019">
        <v>118.0829</v>
      </c>
      <c r="G1137" s="2019">
        <v>50</v>
      </c>
      <c r="H1137" s="2019"/>
      <c r="I1137" s="2019">
        <v>10.15</v>
      </c>
      <c r="J1137" s="2019">
        <v>9.6854999999999993</v>
      </c>
      <c r="K1137" s="2020"/>
      <c r="L1137" s="2017">
        <v>21</v>
      </c>
    </row>
    <row r="1138" spans="1:12">
      <c r="A1138" s="2015">
        <v>45097</v>
      </c>
      <c r="B1138" s="2016" t="s">
        <v>3899</v>
      </c>
      <c r="C1138" s="2017">
        <v>728</v>
      </c>
      <c r="D1138" s="2015">
        <v>45825</v>
      </c>
      <c r="E1138" s="2018">
        <v>60</v>
      </c>
      <c r="F1138" s="2019">
        <v>209.33609999999999</v>
      </c>
      <c r="G1138" s="2019">
        <v>60</v>
      </c>
      <c r="H1138" s="2019"/>
      <c r="I1138" s="2019">
        <v>8.25</v>
      </c>
      <c r="J1138" s="2019">
        <v>7.7954999999999997</v>
      </c>
      <c r="K1138" s="2020"/>
      <c r="L1138" s="2017">
        <v>20</v>
      </c>
    </row>
    <row r="1139" spans="1:12">
      <c r="A1139" s="2015">
        <v>45101</v>
      </c>
      <c r="B1139" s="2016" t="s">
        <v>3747</v>
      </c>
      <c r="C1139" s="2017">
        <v>1092</v>
      </c>
      <c r="D1139" s="2015">
        <v>46133</v>
      </c>
      <c r="E1139" s="2018">
        <v>55</v>
      </c>
      <c r="F1139" s="2019">
        <v>186.63800000000001</v>
      </c>
      <c r="G1139" s="2019">
        <v>55</v>
      </c>
      <c r="H1139" s="2019"/>
      <c r="I1139" s="2019">
        <v>9.1608999999999998</v>
      </c>
      <c r="J1139" s="2019">
        <v>8.8239999999999998</v>
      </c>
      <c r="K1139" s="2020"/>
      <c r="L1139" s="2017">
        <v>23</v>
      </c>
    </row>
    <row r="1140" spans="1:12">
      <c r="A1140" s="2015">
        <v>45111</v>
      </c>
      <c r="B1140" s="2016" t="s">
        <v>3934</v>
      </c>
      <c r="C1140" s="2017">
        <v>1092</v>
      </c>
      <c r="D1140" s="2015">
        <v>46203</v>
      </c>
      <c r="E1140" s="2018">
        <v>60</v>
      </c>
      <c r="F1140" s="2019">
        <v>177.92410000000001</v>
      </c>
      <c r="G1140" s="2019">
        <v>90</v>
      </c>
      <c r="H1140" s="2019"/>
      <c r="I1140" s="2019">
        <v>9.9</v>
      </c>
      <c r="J1140" s="2019">
        <v>9.2235999999999994</v>
      </c>
      <c r="K1140" s="2020"/>
      <c r="L1140" s="2017">
        <v>24</v>
      </c>
    </row>
    <row r="1141" spans="1:12">
      <c r="A1141" s="2015">
        <v>45125</v>
      </c>
      <c r="B1141" s="2016" t="s">
        <v>3935</v>
      </c>
      <c r="C1141" s="2017">
        <v>728</v>
      </c>
      <c r="D1141" s="2015">
        <v>45853</v>
      </c>
      <c r="E1141" s="2018">
        <v>60</v>
      </c>
      <c r="F1141" s="2019">
        <v>195.858923</v>
      </c>
      <c r="G1141" s="2019">
        <v>90</v>
      </c>
      <c r="H1141" s="2019"/>
      <c r="I1141" s="2019">
        <v>8.98</v>
      </c>
      <c r="J1141" s="2019">
        <v>8.3820999999999994</v>
      </c>
      <c r="K1141" s="2020"/>
      <c r="L1141" s="2017">
        <v>25</v>
      </c>
    </row>
    <row r="1142" spans="1:12">
      <c r="A1142" s="2015">
        <v>45132</v>
      </c>
      <c r="B1142" s="2016" t="s">
        <v>3747</v>
      </c>
      <c r="C1142" s="2017">
        <v>1092</v>
      </c>
      <c r="D1142" s="2015">
        <v>46133</v>
      </c>
      <c r="E1142" s="2018">
        <v>55</v>
      </c>
      <c r="F1142" s="2019">
        <v>191.02549999999999</v>
      </c>
      <c r="G1142" s="2019">
        <v>82.5</v>
      </c>
      <c r="H1142" s="2019"/>
      <c r="I1142" s="2019">
        <v>9.7545000000000002</v>
      </c>
      <c r="J1142" s="2019">
        <v>9.4183000000000003</v>
      </c>
      <c r="K1142" s="2020"/>
      <c r="L1142" s="2017">
        <v>32</v>
      </c>
    </row>
    <row r="1143" spans="1:12">
      <c r="A1143" s="2015">
        <v>45139</v>
      </c>
      <c r="B1143" s="2016" t="s">
        <v>3970</v>
      </c>
      <c r="C1143" s="2017">
        <v>364</v>
      </c>
      <c r="D1143" s="2015">
        <v>45503</v>
      </c>
      <c r="E1143" s="2018">
        <v>50</v>
      </c>
      <c r="F1143" s="2019">
        <v>143.4872</v>
      </c>
      <c r="G1143" s="2019">
        <v>75</v>
      </c>
      <c r="H1143" s="2019"/>
      <c r="I1143" s="2019">
        <v>6.98</v>
      </c>
      <c r="J1143" s="2019">
        <v>6.5026000000000002</v>
      </c>
      <c r="K1143" s="2020"/>
      <c r="L1143" s="2017">
        <v>13</v>
      </c>
    </row>
    <row r="1144" spans="1:12">
      <c r="A1144" s="2015">
        <v>45146</v>
      </c>
      <c r="B1144" s="2016" t="s">
        <v>3971</v>
      </c>
      <c r="C1144" s="2017">
        <v>1092</v>
      </c>
      <c r="D1144" s="2015">
        <v>46120</v>
      </c>
      <c r="E1144" s="2018">
        <v>90</v>
      </c>
      <c r="F1144" s="2019">
        <v>399.42250000000001</v>
      </c>
      <c r="G1144" s="2019">
        <v>135</v>
      </c>
      <c r="H1144" s="2019"/>
      <c r="I1144" s="2019">
        <v>9</v>
      </c>
      <c r="J1144" s="2019">
        <v>8.7661999999999995</v>
      </c>
      <c r="K1144" s="2020"/>
      <c r="L1144" s="2017">
        <v>36</v>
      </c>
    </row>
    <row r="1145" spans="1:12">
      <c r="A1145" s="2015">
        <v>45153</v>
      </c>
      <c r="B1145" s="2016" t="s">
        <v>3972</v>
      </c>
      <c r="C1145" s="2017">
        <v>728</v>
      </c>
      <c r="D1145" s="2015">
        <v>45999</v>
      </c>
      <c r="E1145" s="2018">
        <v>80</v>
      </c>
      <c r="F1145" s="2019">
        <v>345.30540000000002</v>
      </c>
      <c r="G1145" s="2019">
        <v>120</v>
      </c>
      <c r="H1145" s="2019"/>
      <c r="I1145" s="2019">
        <v>8.2499000000000002</v>
      </c>
      <c r="J1145" s="2019">
        <v>8.0507000000000009</v>
      </c>
      <c r="K1145" s="2020"/>
      <c r="L1145" s="2017">
        <v>30</v>
      </c>
    </row>
    <row r="1146" spans="1:12">
      <c r="A1146" s="2015">
        <v>45160</v>
      </c>
      <c r="B1146" s="2016" t="s">
        <v>3973</v>
      </c>
      <c r="C1146" s="2017">
        <v>1092</v>
      </c>
      <c r="D1146" s="2015">
        <v>46133</v>
      </c>
      <c r="E1146" s="2018">
        <v>55</v>
      </c>
      <c r="F1146" s="2019">
        <v>216.2337</v>
      </c>
      <c r="G1146" s="2019">
        <v>82.5</v>
      </c>
      <c r="H1146" s="2019"/>
      <c r="I1146" s="2019">
        <v>8.48</v>
      </c>
      <c r="J1146" s="2019">
        <v>8.2745999999999995</v>
      </c>
      <c r="K1146" s="2020"/>
      <c r="L1146" s="2017">
        <v>31</v>
      </c>
    </row>
    <row r="1147" spans="1:12">
      <c r="A1147" s="2015">
        <v>45167</v>
      </c>
      <c r="B1147" s="2016" t="s">
        <v>3974</v>
      </c>
      <c r="C1147" s="2017">
        <v>1092</v>
      </c>
      <c r="D1147" s="2015">
        <v>46259</v>
      </c>
      <c r="E1147" s="2018">
        <v>40</v>
      </c>
      <c r="F1147" s="2019">
        <v>198.84049999999999</v>
      </c>
      <c r="G1147" s="2019">
        <v>60</v>
      </c>
      <c r="H1147" s="2019"/>
      <c r="I1147" s="2019">
        <v>8.3800000000000008</v>
      </c>
      <c r="J1147" s="2019">
        <v>8.2582000000000004</v>
      </c>
      <c r="K1147" s="2020"/>
      <c r="L1147" s="2017">
        <v>33</v>
      </c>
    </row>
    <row r="1148" spans="1:12">
      <c r="A1148" s="2015">
        <v>45174</v>
      </c>
      <c r="B1148" s="2016" t="s">
        <v>3975</v>
      </c>
      <c r="C1148" s="2017">
        <v>364</v>
      </c>
      <c r="D1148" s="2015">
        <v>45360</v>
      </c>
      <c r="E1148" s="2018">
        <v>70</v>
      </c>
      <c r="F1148" s="2019">
        <v>226.5812</v>
      </c>
      <c r="G1148" s="2019">
        <v>105</v>
      </c>
      <c r="H1148" s="2019"/>
      <c r="I1148" s="2019">
        <v>7.2</v>
      </c>
      <c r="J1148" s="2019">
        <v>6.2614000000000001</v>
      </c>
      <c r="K1148" s="2020"/>
      <c r="L1148" s="2017">
        <v>12</v>
      </c>
    </row>
    <row r="1149" spans="1:12">
      <c r="A1149" s="2015">
        <v>45174</v>
      </c>
      <c r="B1149" s="2016" t="s">
        <v>3976</v>
      </c>
      <c r="C1149" s="2017">
        <v>728</v>
      </c>
      <c r="D1149" s="2015">
        <v>45697</v>
      </c>
      <c r="E1149" s="2018">
        <v>65</v>
      </c>
      <c r="F1149" s="2019">
        <v>224.33539999999999</v>
      </c>
      <c r="G1149" s="2019">
        <v>97.5</v>
      </c>
      <c r="H1149" s="2019"/>
      <c r="I1149" s="2019">
        <v>7.9999000000000002</v>
      </c>
      <c r="J1149" s="2019">
        <v>7.4821999999999997</v>
      </c>
      <c r="K1149" s="2020"/>
      <c r="L1149" s="2017">
        <v>25</v>
      </c>
    </row>
    <row r="1150" spans="1:12">
      <c r="A1150" s="2015">
        <v>45181</v>
      </c>
      <c r="B1150" s="2016" t="s">
        <v>3977</v>
      </c>
      <c r="C1150" s="2017">
        <v>1092</v>
      </c>
      <c r="D1150" s="2015">
        <v>46243</v>
      </c>
      <c r="E1150" s="2018">
        <v>80</v>
      </c>
      <c r="F1150" s="2019">
        <v>212.25030000000001</v>
      </c>
      <c r="G1150" s="2019">
        <v>120</v>
      </c>
      <c r="H1150" s="2019"/>
      <c r="I1150" s="2019">
        <v>8.3797999999999995</v>
      </c>
      <c r="J1150" s="2019">
        <v>8.1574000000000009</v>
      </c>
      <c r="K1150" s="2020"/>
      <c r="L1150" s="2017">
        <v>26</v>
      </c>
    </row>
    <row r="1151" spans="1:12">
      <c r="A1151" s="2015">
        <v>45188</v>
      </c>
      <c r="B1151" s="2016" t="s">
        <v>3978</v>
      </c>
      <c r="C1151" s="2017">
        <v>728</v>
      </c>
      <c r="D1151" s="2015">
        <v>45916</v>
      </c>
      <c r="E1151" s="2018">
        <v>90</v>
      </c>
      <c r="F1151" s="2019">
        <v>198.07329999999999</v>
      </c>
      <c r="G1151" s="2019">
        <v>135</v>
      </c>
      <c r="H1151" s="2019"/>
      <c r="I1151" s="2019">
        <v>8.1898</v>
      </c>
      <c r="J1151" s="2019">
        <v>8.0391999999999992</v>
      </c>
      <c r="K1151" s="2020"/>
      <c r="L1151" s="2017">
        <v>24</v>
      </c>
    </row>
    <row r="1152" spans="1:12">
      <c r="A1152" s="2015">
        <v>45195</v>
      </c>
      <c r="B1152" s="2016" t="s">
        <v>3747</v>
      </c>
      <c r="C1152" s="2017">
        <v>1092</v>
      </c>
      <c r="D1152" s="2015">
        <v>46133</v>
      </c>
      <c r="E1152" s="2018">
        <v>55</v>
      </c>
      <c r="F1152" s="2019">
        <v>141.63239999999999</v>
      </c>
      <c r="G1152" s="2019">
        <v>55</v>
      </c>
      <c r="H1152" s="2019"/>
      <c r="I1152" s="2019">
        <v>8.0436999999999994</v>
      </c>
      <c r="J1152" s="2019">
        <v>7.8663999999999996</v>
      </c>
      <c r="K1152" s="2020"/>
      <c r="L1152" s="2017">
        <v>23</v>
      </c>
    </row>
    <row r="1153" spans="1:12">
      <c r="A1153" s="2015">
        <v>45202</v>
      </c>
      <c r="B1153" s="2016" t="s">
        <v>4000</v>
      </c>
      <c r="C1153" s="2017">
        <v>364</v>
      </c>
      <c r="D1153" s="2015">
        <v>45301</v>
      </c>
      <c r="E1153" s="2018">
        <v>80</v>
      </c>
      <c r="F1153" s="2019">
        <v>247.8956</v>
      </c>
      <c r="G1153" s="2019">
        <v>80</v>
      </c>
      <c r="H1153" s="2019"/>
      <c r="I1153" s="2019">
        <v>7.99</v>
      </c>
      <c r="J1153" s="2019">
        <v>7.6108000000000002</v>
      </c>
      <c r="K1153" s="2020"/>
      <c r="L1153" s="2017">
        <v>13</v>
      </c>
    </row>
    <row r="1154" spans="1:12">
      <c r="A1154" s="2015">
        <v>45209</v>
      </c>
      <c r="B1154" s="2016" t="s">
        <v>4001</v>
      </c>
      <c r="C1154" s="2017">
        <v>1092</v>
      </c>
      <c r="D1154" s="2015">
        <v>46183</v>
      </c>
      <c r="E1154" s="2018">
        <v>90</v>
      </c>
      <c r="F1154" s="2019">
        <v>170.6583</v>
      </c>
      <c r="G1154" s="2019">
        <v>90</v>
      </c>
      <c r="H1154" s="2019"/>
      <c r="I1154" s="2019">
        <v>8.59</v>
      </c>
      <c r="J1154" s="2019">
        <v>8.2245000000000008</v>
      </c>
      <c r="K1154" s="2020"/>
      <c r="L1154" s="2017">
        <v>25</v>
      </c>
    </row>
    <row r="1155" spans="1:12">
      <c r="A1155" s="2015">
        <v>45216</v>
      </c>
      <c r="B1155" s="2016" t="s">
        <v>4002</v>
      </c>
      <c r="C1155" s="2017">
        <v>728</v>
      </c>
      <c r="D1155" s="2015">
        <v>45944</v>
      </c>
      <c r="E1155" s="2018">
        <v>90</v>
      </c>
      <c r="F1155" s="2019">
        <v>211.43430000000001</v>
      </c>
      <c r="G1155" s="2019">
        <v>135</v>
      </c>
      <c r="H1155" s="2019"/>
      <c r="I1155" s="2019">
        <v>8.4</v>
      </c>
      <c r="J1155" s="2019">
        <v>8.2215000000000007</v>
      </c>
      <c r="K1155" s="2020"/>
      <c r="L1155" s="2017">
        <v>25</v>
      </c>
    </row>
    <row r="1156" spans="1:12">
      <c r="A1156" s="2015">
        <v>45223</v>
      </c>
      <c r="B1156" s="2016" t="s">
        <v>4003</v>
      </c>
      <c r="C1156" s="2017">
        <v>364</v>
      </c>
      <c r="D1156" s="2015">
        <v>45587</v>
      </c>
      <c r="E1156" s="2018">
        <v>80</v>
      </c>
      <c r="F1156" s="2019">
        <v>227.84639999999999</v>
      </c>
      <c r="G1156" s="2019">
        <v>120</v>
      </c>
      <c r="H1156" s="2019"/>
      <c r="I1156" s="2019">
        <v>7.9999000000000002</v>
      </c>
      <c r="J1156" s="2019">
        <v>7.9039999999999999</v>
      </c>
      <c r="K1156" s="2020"/>
      <c r="L1156" s="2017">
        <v>19</v>
      </c>
    </row>
    <row r="1157" spans="1:12">
      <c r="A1157" s="2015">
        <v>45230</v>
      </c>
      <c r="B1157" s="2016" t="s">
        <v>3973</v>
      </c>
      <c r="C1157" s="2017">
        <v>1092</v>
      </c>
      <c r="D1157" s="2015">
        <v>46133</v>
      </c>
      <c r="E1157" s="2018">
        <v>55</v>
      </c>
      <c r="F1157" s="2019">
        <v>110.2243</v>
      </c>
      <c r="G1157" s="2019">
        <v>82.5</v>
      </c>
      <c r="H1157" s="2019"/>
      <c r="I1157" s="2019">
        <v>8.9764999999999997</v>
      </c>
      <c r="J1157" s="2019">
        <v>8.3127999999999993</v>
      </c>
      <c r="K1157" s="2020"/>
      <c r="L1157" s="2017">
        <v>14</v>
      </c>
    </row>
    <row r="1158" spans="1:12">
      <c r="A1158" s="2015">
        <v>45237</v>
      </c>
      <c r="B1158" s="2016" t="s">
        <v>4032</v>
      </c>
      <c r="C1158" s="2017">
        <v>1092</v>
      </c>
      <c r="D1158" s="2015">
        <v>46092</v>
      </c>
      <c r="E1158" s="2018">
        <v>90</v>
      </c>
      <c r="F1158" s="2019">
        <v>216.7783</v>
      </c>
      <c r="G1158" s="2019">
        <v>90</v>
      </c>
      <c r="H1158" s="2019"/>
      <c r="I1158" s="2019">
        <v>8.4499999999999993</v>
      </c>
      <c r="J1158" s="2019">
        <v>8.3475999999999999</v>
      </c>
      <c r="K1158" s="2020"/>
      <c r="L1158" s="2017">
        <v>22</v>
      </c>
    </row>
    <row r="1159" spans="1:12">
      <c r="A1159" s="2015">
        <v>45244</v>
      </c>
      <c r="B1159" s="2016" t="s">
        <v>4033</v>
      </c>
      <c r="C1159" s="2017">
        <v>728</v>
      </c>
      <c r="D1159" s="2015">
        <v>45972</v>
      </c>
      <c r="E1159" s="2018">
        <v>90</v>
      </c>
      <c r="F1159" s="2019">
        <v>247.30869999999999</v>
      </c>
      <c r="G1159" s="2019">
        <v>90</v>
      </c>
      <c r="H1159" s="2019"/>
      <c r="I1159" s="2019">
        <v>8.1999999999999993</v>
      </c>
      <c r="J1159" s="2019">
        <v>8.0229999999999997</v>
      </c>
      <c r="K1159" s="2020"/>
      <c r="L1159" s="2017">
        <v>26</v>
      </c>
    </row>
    <row r="1160" spans="1:12">
      <c r="A1160" s="2015">
        <v>45251</v>
      </c>
      <c r="B1160" s="2016" t="s">
        <v>4034</v>
      </c>
      <c r="C1160" s="2017">
        <v>364</v>
      </c>
      <c r="D1160" s="2015">
        <v>45615</v>
      </c>
      <c r="E1160" s="2018">
        <v>90</v>
      </c>
      <c r="F1160" s="2019">
        <v>240.32169999999999</v>
      </c>
      <c r="G1160" s="2019">
        <v>135</v>
      </c>
      <c r="H1160" s="2019"/>
      <c r="I1160" s="2019">
        <v>8.0500000000000007</v>
      </c>
      <c r="J1160" s="2019">
        <v>7.9333999999999998</v>
      </c>
      <c r="K1160" s="2020"/>
      <c r="L1160" s="2017">
        <v>20</v>
      </c>
    </row>
    <row r="1161" spans="1:12">
      <c r="A1161" s="2015">
        <v>45272</v>
      </c>
      <c r="B1161" s="2016" t="s">
        <v>4068</v>
      </c>
      <c r="C1161" s="2017">
        <v>1092</v>
      </c>
      <c r="D1161" s="2015">
        <v>46246</v>
      </c>
      <c r="E1161" s="2018">
        <v>100</v>
      </c>
      <c r="F1161" s="2019">
        <v>362.52019999999999</v>
      </c>
      <c r="G1161" s="2019">
        <v>150</v>
      </c>
      <c r="H1161" s="2019"/>
      <c r="I1161" s="2019">
        <v>6.2</v>
      </c>
      <c r="J1161" s="2019">
        <v>6.2</v>
      </c>
      <c r="K1161" s="2020"/>
      <c r="L1161" s="2017">
        <v>21</v>
      </c>
    </row>
    <row r="1162" spans="1:12">
      <c r="A1162" s="2015">
        <v>45279</v>
      </c>
      <c r="B1162" s="2016" t="s">
        <v>4069</v>
      </c>
      <c r="C1162" s="2017">
        <v>364</v>
      </c>
      <c r="D1162" s="2015" t="s">
        <v>4070</v>
      </c>
      <c r="E1162" s="2018">
        <v>150</v>
      </c>
      <c r="F1162" s="2019">
        <v>350.98509999999999</v>
      </c>
      <c r="G1162" s="2019">
        <v>161.9134</v>
      </c>
      <c r="H1162" s="2019"/>
      <c r="I1162" s="2019">
        <v>5.9999000000000002</v>
      </c>
      <c r="J1162" s="2019">
        <v>5.9972000000000003</v>
      </c>
      <c r="K1162" s="2020"/>
      <c r="L1162" s="2017">
        <v>13</v>
      </c>
    </row>
    <row r="1163" spans="1:12">
      <c r="A1163" s="2015">
        <v>45279</v>
      </c>
      <c r="B1163" s="2016" t="s">
        <v>4071</v>
      </c>
      <c r="C1163" s="2017">
        <v>728</v>
      </c>
      <c r="D1163" s="2015" t="s">
        <v>4072</v>
      </c>
      <c r="E1163" s="2018">
        <v>100</v>
      </c>
      <c r="F1163" s="2019">
        <v>166.4101</v>
      </c>
      <c r="G1163" s="2019">
        <v>100.67270000000001</v>
      </c>
      <c r="H1163" s="2019"/>
      <c r="I1163" s="2019">
        <v>6.11</v>
      </c>
      <c r="J1163" s="2019">
        <v>6.11</v>
      </c>
      <c r="K1163" s="2020"/>
      <c r="L1163" s="2017">
        <v>18</v>
      </c>
    </row>
    <row r="1164" spans="1:12">
      <c r="A1164" s="2015">
        <v>45281</v>
      </c>
      <c r="B1164" s="2016" t="s">
        <v>4073</v>
      </c>
      <c r="C1164" s="2017">
        <v>1092</v>
      </c>
      <c r="D1164" s="2015" t="s">
        <v>4074</v>
      </c>
      <c r="E1164" s="2018">
        <v>150</v>
      </c>
      <c r="F1164" s="2019">
        <v>258.03039999999999</v>
      </c>
      <c r="G1164" s="2019">
        <v>207.19390000000001</v>
      </c>
      <c r="H1164" s="2019"/>
      <c r="I1164" s="2019">
        <v>6.3</v>
      </c>
      <c r="J1164" s="2019">
        <v>6.3</v>
      </c>
      <c r="K1164" s="2020"/>
      <c r="L1164" s="2017">
        <v>10</v>
      </c>
    </row>
    <row r="1165" spans="1:12">
      <c r="A1165" s="2015">
        <v>45288</v>
      </c>
      <c r="B1165" s="2016" t="s">
        <v>4075</v>
      </c>
      <c r="C1165" s="2017">
        <v>364</v>
      </c>
      <c r="D1165" s="2015" t="s">
        <v>4076</v>
      </c>
      <c r="E1165" s="2018">
        <v>150</v>
      </c>
      <c r="F1165" s="2019">
        <v>335.29520000000002</v>
      </c>
      <c r="G1165" s="2019">
        <v>137.69999999999999</v>
      </c>
      <c r="H1165" s="2019"/>
      <c r="I1165" s="2019">
        <v>5.9999000000000002</v>
      </c>
      <c r="J1165" s="2019">
        <v>5.9898999999999996</v>
      </c>
      <c r="K1165" s="2020"/>
      <c r="L1165" s="2017">
        <v>19</v>
      </c>
    </row>
    <row r="1166" spans="1:12">
      <c r="A1166" s="2096">
        <v>2024</v>
      </c>
      <c r="B1166" s="2016"/>
      <c r="C1166" s="2017"/>
      <c r="D1166" s="2015"/>
      <c r="E1166" s="2018"/>
      <c r="F1166" s="2019"/>
      <c r="G1166" s="2019"/>
      <c r="H1166" s="2019"/>
      <c r="I1166" s="2019"/>
      <c r="J1166" s="2019"/>
      <c r="K1166" s="2020"/>
      <c r="L1166" s="2017"/>
    </row>
    <row r="1167" spans="1:12">
      <c r="A1167" s="2015">
        <v>45306</v>
      </c>
      <c r="B1167" s="2016" t="s">
        <v>4095</v>
      </c>
      <c r="C1167" s="2017">
        <v>364</v>
      </c>
      <c r="D1167" s="2015" t="s">
        <v>4096</v>
      </c>
      <c r="E1167" s="2018">
        <v>100</v>
      </c>
      <c r="F1167" s="2019">
        <v>148.5395</v>
      </c>
      <c r="G1167" s="2019">
        <v>89.024900000000002</v>
      </c>
      <c r="H1167" s="2019"/>
      <c r="I1167" s="2019">
        <v>7.0799000000000003</v>
      </c>
      <c r="J1167" s="2019">
        <v>6.7826000000000004</v>
      </c>
      <c r="K1167" s="2020"/>
      <c r="L1167" s="2017">
        <v>12</v>
      </c>
    </row>
    <row r="1168" spans="1:12">
      <c r="A1168" s="2015">
        <v>45321</v>
      </c>
      <c r="B1168" s="2016" t="s">
        <v>4097</v>
      </c>
      <c r="C1168" s="2017">
        <v>1092</v>
      </c>
      <c r="D1168" s="2015" t="s">
        <v>4098</v>
      </c>
      <c r="E1168" s="2018">
        <v>100</v>
      </c>
      <c r="F1168" s="2019">
        <v>107.87869999999999</v>
      </c>
      <c r="G1168" s="2019">
        <v>100</v>
      </c>
      <c r="H1168" s="2019"/>
      <c r="I1168" s="2019">
        <v>8.6999999999999993</v>
      </c>
      <c r="J1168" s="2019">
        <v>7.8986999999999998</v>
      </c>
      <c r="K1168" s="2020"/>
      <c r="L1168" s="2017">
        <v>24</v>
      </c>
    </row>
    <row r="1169" spans="1:12">
      <c r="A1169" s="2015">
        <v>45328</v>
      </c>
      <c r="B1169" s="2016" t="s">
        <v>4117</v>
      </c>
      <c r="C1169" s="2017">
        <v>364</v>
      </c>
      <c r="D1169" s="2015">
        <v>45749</v>
      </c>
      <c r="E1169" s="2018">
        <v>90</v>
      </c>
      <c r="F1169" s="2019">
        <v>151.74449999999999</v>
      </c>
      <c r="G1169" s="2019">
        <v>90</v>
      </c>
      <c r="H1169" s="2019"/>
      <c r="I1169" s="2019">
        <v>7.2398999999999996</v>
      </c>
      <c r="J1169" s="2019">
        <v>7.0471000000000004</v>
      </c>
      <c r="K1169" s="2020"/>
      <c r="L1169" s="2017">
        <v>20</v>
      </c>
    </row>
    <row r="1170" spans="1:12">
      <c r="A1170" s="2015">
        <v>45342</v>
      </c>
      <c r="B1170" s="2016" t="s">
        <v>4118</v>
      </c>
      <c r="C1170" s="2023">
        <v>728</v>
      </c>
      <c r="D1170" s="2015" t="s">
        <v>4119</v>
      </c>
      <c r="E1170" s="2024">
        <v>90</v>
      </c>
      <c r="F1170" s="2019">
        <v>269.81119999999999</v>
      </c>
      <c r="G1170" s="2019">
        <v>90</v>
      </c>
      <c r="H1170" s="2019"/>
      <c r="I1170" s="2019">
        <v>7.8398000000000003</v>
      </c>
      <c r="J1170" s="2019">
        <v>7.1089000000000002</v>
      </c>
      <c r="K1170" s="2020"/>
      <c r="L1170" s="2017">
        <v>23</v>
      </c>
    </row>
    <row r="1171" spans="1:12">
      <c r="A1171" s="2025">
        <v>45349</v>
      </c>
      <c r="B1171" s="2026" t="s">
        <v>4120</v>
      </c>
      <c r="C1171" s="2027">
        <v>1092</v>
      </c>
      <c r="D1171" s="2025" t="s">
        <v>4121</v>
      </c>
      <c r="E1171" s="2028">
        <v>100</v>
      </c>
      <c r="F1171" s="2029">
        <v>276.26560000000001</v>
      </c>
      <c r="G1171" s="2029">
        <v>150</v>
      </c>
      <c r="H1171" s="2029"/>
      <c r="I1171" s="2029">
        <v>8.2288999999999994</v>
      </c>
      <c r="J1171" s="2029">
        <v>8.0381</v>
      </c>
      <c r="K1171" s="2030"/>
      <c r="L1171" s="2027">
        <v>29</v>
      </c>
    </row>
    <row r="1172" spans="1:12" s="580" customFormat="1" ht="25.5" customHeight="1">
      <c r="A1172" s="2559" t="s">
        <v>2774</v>
      </c>
      <c r="B1172" s="2560"/>
      <c r="C1172" s="2560"/>
      <c r="D1172" s="2560"/>
      <c r="E1172" s="2560"/>
      <c r="F1172" s="2560"/>
      <c r="G1172" s="2560"/>
      <c r="H1172" s="2560"/>
      <c r="I1172" s="2560"/>
      <c r="J1172" s="2560"/>
      <c r="K1172" s="2560"/>
      <c r="L1172" s="2560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72:L1172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15"/>
  <sheetViews>
    <sheetView showGridLines="0" view="pageBreakPreview" zoomScale="115" zoomScaleNormal="130" zoomScaleSheetLayoutView="115" workbookViewId="0">
      <pane ySplit="9" topLeftCell="A896" activePane="bottomLeft" state="frozen"/>
      <selection activeCell="G291" sqref="G291"/>
      <selection pane="bottomLeft" activeCell="O915" sqref="O915"/>
    </sheetView>
  </sheetViews>
  <sheetFormatPr defaultColWidth="9.109375" defaultRowHeight="13.2"/>
  <cols>
    <col min="1" max="1" width="11" style="546" customWidth="1"/>
    <col min="2" max="2" width="12.33203125" style="546" customWidth="1"/>
    <col min="3" max="3" width="5.5546875" style="546" customWidth="1"/>
    <col min="4" max="4" width="10.88671875" style="547" customWidth="1"/>
    <col min="5" max="5" width="8.109375" style="546" customWidth="1"/>
    <col min="6" max="6" width="8.88671875" style="546" customWidth="1"/>
    <col min="7" max="7" width="8.33203125" style="546" customWidth="1"/>
    <col min="8" max="8" width="7.5546875" style="546" customWidth="1"/>
    <col min="9" max="9" width="9" style="546" customWidth="1"/>
    <col min="10" max="10" width="8.6640625" style="546" customWidth="1"/>
    <col min="11" max="11" width="8.109375" style="546" customWidth="1"/>
    <col min="12" max="12" width="7.109375" style="546" customWidth="1"/>
    <col min="13" max="16384" width="9.109375" style="546"/>
  </cols>
  <sheetData>
    <row r="1" spans="1:87" ht="7.5" customHeight="1"/>
    <row r="2" spans="1:87" s="563" customFormat="1" ht="15" customHeight="1">
      <c r="A2" s="2589" t="s">
        <v>2780</v>
      </c>
      <c r="B2" s="2589"/>
      <c r="C2" s="2589"/>
      <c r="D2" s="2589"/>
      <c r="E2" s="2589"/>
      <c r="F2" s="2589"/>
      <c r="G2" s="2589"/>
      <c r="H2" s="2589"/>
      <c r="I2" s="2589"/>
      <c r="J2" s="2589"/>
      <c r="K2" s="2589"/>
      <c r="L2" s="2589"/>
    </row>
    <row r="3" spans="1:87" s="563" customFormat="1" ht="21" customHeight="1">
      <c r="A3" s="2579" t="s">
        <v>3632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</row>
    <row r="4" spans="1:87" s="563" customFormat="1" ht="12" customHeight="1">
      <c r="A4" s="628"/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</row>
    <row r="5" spans="1:87" ht="12" customHeight="1">
      <c r="A5" s="2592"/>
      <c r="B5" s="2592"/>
      <c r="C5" s="2592"/>
      <c r="D5" s="2592"/>
      <c r="E5" s="2592"/>
      <c r="F5" s="2592"/>
      <c r="G5" s="2592"/>
      <c r="H5" s="2592"/>
      <c r="I5" s="2592"/>
      <c r="J5" s="2592"/>
      <c r="K5" s="2592"/>
      <c r="L5" s="2592"/>
    </row>
    <row r="6" spans="1:87" s="404" customFormat="1" ht="15" customHeight="1">
      <c r="A6" s="2591" t="s">
        <v>389</v>
      </c>
      <c r="B6" s="2593" t="s">
        <v>806</v>
      </c>
      <c r="C6" s="2597" t="s">
        <v>390</v>
      </c>
      <c r="D6" s="2596" t="s">
        <v>391</v>
      </c>
      <c r="E6" s="2591" t="s">
        <v>392</v>
      </c>
      <c r="F6" s="2591"/>
      <c r="G6" s="2591"/>
      <c r="H6" s="2591"/>
      <c r="I6" s="2591" t="s">
        <v>393</v>
      </c>
      <c r="J6" s="2591"/>
      <c r="K6" s="2591"/>
      <c r="L6" s="2598" t="s">
        <v>2698</v>
      </c>
    </row>
    <row r="7" spans="1:87" s="404" customFormat="1" ht="39.75" customHeight="1">
      <c r="A7" s="2591"/>
      <c r="B7" s="2594"/>
      <c r="C7" s="2597"/>
      <c r="D7" s="2596"/>
      <c r="E7" s="2590" t="s">
        <v>395</v>
      </c>
      <c r="F7" s="2599" t="s">
        <v>2697</v>
      </c>
      <c r="G7" s="2590" t="s">
        <v>2696</v>
      </c>
      <c r="H7" s="2590" t="s">
        <v>2451</v>
      </c>
      <c r="I7" s="2590" t="s">
        <v>397</v>
      </c>
      <c r="J7" s="2590" t="s">
        <v>398</v>
      </c>
      <c r="K7" s="2590" t="s">
        <v>399</v>
      </c>
      <c r="L7" s="2590"/>
    </row>
    <row r="8" spans="1:87" s="404" customFormat="1" ht="40.5" customHeight="1">
      <c r="A8" s="2591"/>
      <c r="B8" s="2594"/>
      <c r="C8" s="2597"/>
      <c r="D8" s="2596"/>
      <c r="E8" s="2590"/>
      <c r="F8" s="2599"/>
      <c r="G8" s="2590"/>
      <c r="H8" s="2590"/>
      <c r="I8" s="2590"/>
      <c r="J8" s="2590"/>
      <c r="K8" s="2590"/>
      <c r="L8" s="2590"/>
    </row>
    <row r="9" spans="1:87" s="404" customFormat="1" ht="69.75" customHeight="1">
      <c r="A9" s="2591"/>
      <c r="B9" s="2595"/>
      <c r="C9" s="2597"/>
      <c r="D9" s="2596"/>
      <c r="E9" s="2590"/>
      <c r="F9" s="2599"/>
      <c r="G9" s="2590"/>
      <c r="H9" s="2590"/>
      <c r="I9" s="2590"/>
      <c r="J9" s="2590"/>
      <c r="K9" s="2590"/>
      <c r="L9" s="2590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</row>
    <row r="10" spans="1:87" ht="13.5" customHeight="1">
      <c r="A10" s="2581"/>
      <c r="B10" s="2582"/>
      <c r="C10" s="2582"/>
      <c r="D10" s="2582"/>
      <c r="E10" s="2582"/>
      <c r="F10" s="2582"/>
      <c r="G10" s="2582"/>
      <c r="H10" s="2582"/>
      <c r="I10" s="2582"/>
      <c r="J10" s="2582"/>
      <c r="K10" s="2582"/>
      <c r="L10" s="2582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</row>
    <row r="11" spans="1:87" ht="12.75" customHeight="1">
      <c r="A11" s="2583" t="s">
        <v>400</v>
      </c>
      <c r="B11" s="2585" t="s">
        <v>807</v>
      </c>
      <c r="C11" s="2585" t="s">
        <v>808</v>
      </c>
      <c r="D11" s="2587" t="s">
        <v>402</v>
      </c>
      <c r="E11" s="560" t="s">
        <v>403</v>
      </c>
      <c r="F11" s="559" t="s">
        <v>2695</v>
      </c>
      <c r="G11" s="561"/>
      <c r="H11" s="558"/>
      <c r="I11" s="560"/>
      <c r="J11" s="559" t="s">
        <v>404</v>
      </c>
      <c r="K11" s="558"/>
      <c r="L11" s="2585" t="s">
        <v>405</v>
      </c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</row>
    <row r="12" spans="1:87" ht="65.25" customHeight="1">
      <c r="A12" s="2584"/>
      <c r="B12" s="2586"/>
      <c r="C12" s="2586"/>
      <c r="D12" s="2588"/>
      <c r="E12" s="557" t="s">
        <v>1809</v>
      </c>
      <c r="F12" s="557" t="s">
        <v>406</v>
      </c>
      <c r="G12" s="557" t="s">
        <v>809</v>
      </c>
      <c r="H12" s="557" t="s">
        <v>810</v>
      </c>
      <c r="I12" s="1085" t="s">
        <v>397</v>
      </c>
      <c r="J12" s="1085" t="s">
        <v>407</v>
      </c>
      <c r="K12" s="557" t="s">
        <v>811</v>
      </c>
      <c r="L12" s="2586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</row>
    <row r="13" spans="1:87" s="551" customFormat="1" ht="12" hidden="1" customHeight="1">
      <c r="A13" s="842">
        <v>39232</v>
      </c>
      <c r="B13" s="843" t="s">
        <v>812</v>
      </c>
      <c r="C13" s="844">
        <v>28</v>
      </c>
      <c r="D13" s="842">
        <v>39260</v>
      </c>
      <c r="E13" s="845">
        <v>80</v>
      </c>
      <c r="F13" s="845">
        <v>43.883400000000002</v>
      </c>
      <c r="G13" s="845">
        <v>43.833399999999997</v>
      </c>
      <c r="H13" s="845">
        <v>-5.1843999999999992</v>
      </c>
      <c r="I13" s="846">
        <v>0.11020000000000001</v>
      </c>
      <c r="J13" s="846">
        <v>0.1168</v>
      </c>
      <c r="K13" s="846">
        <v>0.11409999999999999</v>
      </c>
      <c r="L13" s="844">
        <v>11</v>
      </c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</row>
    <row r="14" spans="1:87" s="551" customFormat="1" ht="12" hidden="1" customHeight="1">
      <c r="A14" s="842">
        <v>39239</v>
      </c>
      <c r="B14" s="843" t="s">
        <v>813</v>
      </c>
      <c r="C14" s="844">
        <v>28</v>
      </c>
      <c r="D14" s="842">
        <v>39267</v>
      </c>
      <c r="E14" s="845">
        <v>60</v>
      </c>
      <c r="F14" s="845">
        <v>27.360399999999998</v>
      </c>
      <c r="G14" s="845">
        <v>27.360399999999998</v>
      </c>
      <c r="H14" s="845">
        <v>-1.1000000000000001</v>
      </c>
      <c r="I14" s="846">
        <v>0.11409999999999999</v>
      </c>
      <c r="J14" s="846">
        <v>0.11940000000000001</v>
      </c>
      <c r="K14" s="846">
        <v>0.11550000000000001</v>
      </c>
      <c r="L14" s="844">
        <v>11</v>
      </c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49"/>
      <c r="AG14" s="549"/>
      <c r="AH14" s="549"/>
      <c r="AI14" s="549"/>
      <c r="AJ14" s="549"/>
      <c r="AK14" s="549"/>
      <c r="AL14" s="549"/>
      <c r="AM14" s="549"/>
      <c r="AN14" s="549"/>
      <c r="AO14" s="549"/>
      <c r="AP14" s="549"/>
      <c r="AQ14" s="549"/>
      <c r="AR14" s="549"/>
      <c r="AS14" s="549"/>
      <c r="AT14" s="549"/>
      <c r="AU14" s="549"/>
      <c r="AV14" s="549"/>
      <c r="AW14" s="549"/>
      <c r="AX14" s="549"/>
      <c r="AY14" s="549"/>
      <c r="AZ14" s="549"/>
      <c r="BA14" s="549"/>
      <c r="BB14" s="549"/>
      <c r="BC14" s="549"/>
      <c r="BD14" s="549"/>
      <c r="BE14" s="549"/>
      <c r="BF14" s="549"/>
      <c r="BG14" s="549"/>
      <c r="BH14" s="549"/>
      <c r="BI14" s="549"/>
      <c r="BJ14" s="549"/>
      <c r="BK14" s="549"/>
      <c r="BL14" s="549"/>
      <c r="BM14" s="549"/>
      <c r="BN14" s="549"/>
      <c r="BO14" s="549"/>
      <c r="BP14" s="549"/>
      <c r="BQ14" s="549"/>
      <c r="BR14" s="549"/>
      <c r="BS14" s="549"/>
      <c r="BT14" s="549"/>
      <c r="BU14" s="549"/>
      <c r="BV14" s="549"/>
      <c r="BW14" s="549"/>
      <c r="BX14" s="549"/>
      <c r="BY14" s="549"/>
      <c r="BZ14" s="549"/>
      <c r="CA14" s="549"/>
      <c r="CB14" s="549"/>
      <c r="CC14" s="549"/>
      <c r="CD14" s="549"/>
      <c r="CE14" s="549"/>
      <c r="CF14" s="549"/>
      <c r="CG14" s="549"/>
      <c r="CH14" s="549"/>
      <c r="CI14" s="549"/>
    </row>
    <row r="15" spans="1:87" s="551" customFormat="1" ht="12" hidden="1" customHeight="1">
      <c r="A15" s="842">
        <v>39246</v>
      </c>
      <c r="B15" s="843" t="s">
        <v>814</v>
      </c>
      <c r="C15" s="844">
        <v>28</v>
      </c>
      <c r="D15" s="842">
        <v>39274</v>
      </c>
      <c r="E15" s="845">
        <v>60</v>
      </c>
      <c r="F15" s="845">
        <v>21.664999999999999</v>
      </c>
      <c r="G15" s="845">
        <v>21.664999999999999</v>
      </c>
      <c r="H15" s="845">
        <v>6.9011999999999993</v>
      </c>
      <c r="I15" s="846">
        <v>0.11550000000000001</v>
      </c>
      <c r="J15" s="846">
        <v>0.11550000000000001</v>
      </c>
      <c r="K15" s="846">
        <v>0.11550000000000001</v>
      </c>
      <c r="L15" s="844">
        <v>8</v>
      </c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</row>
    <row r="16" spans="1:87" s="551" customFormat="1" ht="12" hidden="1" customHeight="1">
      <c r="A16" s="842">
        <v>39253</v>
      </c>
      <c r="B16" s="843" t="s">
        <v>815</v>
      </c>
      <c r="C16" s="844">
        <v>28</v>
      </c>
      <c r="D16" s="842">
        <v>39281</v>
      </c>
      <c r="E16" s="845">
        <v>60</v>
      </c>
      <c r="F16" s="845">
        <v>42.177399999999999</v>
      </c>
      <c r="G16" s="845">
        <v>42.177399999999999</v>
      </c>
      <c r="H16" s="845">
        <v>-1.2931999999999999</v>
      </c>
      <c r="I16" s="846">
        <v>0.11409999999999999</v>
      </c>
      <c r="J16" s="846">
        <v>0.1181</v>
      </c>
      <c r="K16" s="846">
        <v>0.11550000000000001</v>
      </c>
      <c r="L16" s="844">
        <v>9</v>
      </c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</row>
    <row r="17" spans="1:87" s="551" customFormat="1" ht="12" hidden="1" customHeight="1">
      <c r="A17" s="842">
        <v>39260</v>
      </c>
      <c r="B17" s="843" t="s">
        <v>816</v>
      </c>
      <c r="C17" s="844">
        <v>28</v>
      </c>
      <c r="D17" s="842">
        <v>39288</v>
      </c>
      <c r="E17" s="845">
        <v>60</v>
      </c>
      <c r="F17" s="845">
        <v>31.546600000000002</v>
      </c>
      <c r="G17" s="845">
        <v>31.546599999999998</v>
      </c>
      <c r="H17" s="845">
        <v>-1.5131999999999999</v>
      </c>
      <c r="I17" s="846">
        <v>0.11550000000000001</v>
      </c>
      <c r="J17" s="846">
        <v>0.11940000000000001</v>
      </c>
      <c r="K17" s="846">
        <v>0.1168</v>
      </c>
      <c r="L17" s="844">
        <v>11</v>
      </c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</row>
    <row r="18" spans="1:87" s="551" customFormat="1" ht="12" hidden="1" customHeight="1">
      <c r="A18" s="842">
        <v>39267</v>
      </c>
      <c r="B18" s="843" t="s">
        <v>817</v>
      </c>
      <c r="C18" s="844">
        <v>28</v>
      </c>
      <c r="D18" s="842">
        <v>39295</v>
      </c>
      <c r="E18" s="845">
        <v>60</v>
      </c>
      <c r="F18" s="845">
        <v>43.3322</v>
      </c>
      <c r="G18" s="845">
        <v>43.3322</v>
      </c>
      <c r="H18" s="845">
        <v>9.3163999999999998</v>
      </c>
      <c r="I18" s="846">
        <v>0.11550000000000001</v>
      </c>
      <c r="J18" s="846">
        <v>0.1207</v>
      </c>
      <c r="K18" s="846">
        <v>0.1181</v>
      </c>
      <c r="L18" s="844">
        <v>10</v>
      </c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49"/>
      <c r="AV18" s="549"/>
      <c r="AW18" s="549"/>
      <c r="AX18" s="549"/>
      <c r="AY18" s="549"/>
      <c r="AZ18" s="549"/>
      <c r="BA18" s="549"/>
      <c r="BB18" s="549"/>
      <c r="BC18" s="549"/>
      <c r="BD18" s="549"/>
      <c r="BE18" s="549"/>
      <c r="BF18" s="549"/>
      <c r="BG18" s="549"/>
      <c r="BH18" s="549"/>
      <c r="BI18" s="549"/>
      <c r="BJ18" s="549"/>
      <c r="BK18" s="549"/>
      <c r="BL18" s="549"/>
      <c r="BM18" s="549"/>
      <c r="BN18" s="549"/>
      <c r="BO18" s="549"/>
      <c r="BP18" s="549"/>
      <c r="BQ18" s="549"/>
      <c r="BR18" s="549"/>
      <c r="BS18" s="549"/>
      <c r="BT18" s="549"/>
      <c r="BU18" s="549"/>
      <c r="BV18" s="549"/>
      <c r="BW18" s="549"/>
      <c r="BX18" s="549"/>
      <c r="BY18" s="549"/>
      <c r="BZ18" s="549"/>
      <c r="CA18" s="549"/>
      <c r="CB18" s="549"/>
      <c r="CC18" s="549"/>
      <c r="CD18" s="549"/>
      <c r="CE18" s="549"/>
      <c r="CF18" s="549"/>
      <c r="CG18" s="549"/>
      <c r="CH18" s="549"/>
      <c r="CI18" s="549"/>
    </row>
    <row r="19" spans="1:87" s="551" customFormat="1" ht="12" hidden="1" customHeight="1">
      <c r="A19" s="842">
        <v>39274</v>
      </c>
      <c r="B19" s="843" t="s">
        <v>818</v>
      </c>
      <c r="C19" s="844">
        <v>28</v>
      </c>
      <c r="D19" s="842">
        <v>39302</v>
      </c>
      <c r="E19" s="845">
        <v>60</v>
      </c>
      <c r="F19" s="845">
        <v>52.108600000000003</v>
      </c>
      <c r="G19" s="845">
        <v>30.816400000000002</v>
      </c>
      <c r="H19" s="845">
        <v>7.0094000000000003</v>
      </c>
      <c r="I19" s="846">
        <v>0.1168</v>
      </c>
      <c r="J19" s="846">
        <v>0.11940000000000001</v>
      </c>
      <c r="K19" s="846">
        <v>0.1181</v>
      </c>
      <c r="L19" s="844">
        <v>12</v>
      </c>
      <c r="M19" s="549"/>
      <c r="N19" s="549"/>
      <c r="O19" s="549"/>
      <c r="P19" s="549"/>
      <c r="Q19" s="549"/>
      <c r="R19" s="549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49"/>
      <c r="AV19" s="549"/>
      <c r="AW19" s="549"/>
      <c r="AX19" s="549"/>
      <c r="AY19" s="549"/>
      <c r="AZ19" s="549"/>
      <c r="BA19" s="549"/>
      <c r="BB19" s="549"/>
      <c r="BC19" s="549"/>
      <c r="BD19" s="549"/>
      <c r="BE19" s="549"/>
      <c r="BF19" s="549"/>
      <c r="BG19" s="549"/>
      <c r="BH19" s="549"/>
      <c r="BI19" s="549"/>
      <c r="BJ19" s="549"/>
      <c r="BK19" s="549"/>
      <c r="BL19" s="549"/>
      <c r="BM19" s="549"/>
      <c r="BN19" s="549"/>
      <c r="BO19" s="549"/>
      <c r="BP19" s="549"/>
      <c r="BQ19" s="549"/>
      <c r="BR19" s="549"/>
      <c r="BS19" s="549"/>
      <c r="BT19" s="549"/>
      <c r="BU19" s="549"/>
      <c r="BV19" s="549"/>
      <c r="BW19" s="549"/>
      <c r="BX19" s="549"/>
      <c r="BY19" s="549"/>
      <c r="BZ19" s="549"/>
      <c r="CA19" s="549"/>
      <c r="CB19" s="549"/>
      <c r="CC19" s="549"/>
      <c r="CD19" s="549"/>
      <c r="CE19" s="549"/>
      <c r="CF19" s="549"/>
      <c r="CG19" s="549"/>
      <c r="CH19" s="549"/>
      <c r="CI19" s="549"/>
    </row>
    <row r="20" spans="1:87" s="551" customFormat="1" ht="12" hidden="1" customHeight="1">
      <c r="A20" s="842">
        <v>39281</v>
      </c>
      <c r="B20" s="843" t="s">
        <v>819</v>
      </c>
      <c r="C20" s="844">
        <v>28</v>
      </c>
      <c r="D20" s="842">
        <v>39309</v>
      </c>
      <c r="E20" s="845">
        <v>60</v>
      </c>
      <c r="F20" s="845">
        <v>77.185000000000002</v>
      </c>
      <c r="G20" s="845">
        <v>52.193600000000004</v>
      </c>
      <c r="H20" s="845">
        <v>7.8064</v>
      </c>
      <c r="I20" s="846">
        <v>0.11550000000000001</v>
      </c>
      <c r="J20" s="846">
        <v>0.1168</v>
      </c>
      <c r="K20" s="846">
        <v>0.11550000000000001</v>
      </c>
      <c r="L20" s="844">
        <v>4</v>
      </c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</row>
    <row r="21" spans="1:87" s="551" customFormat="1" ht="12" hidden="1" customHeight="1">
      <c r="A21" s="842">
        <v>39288</v>
      </c>
      <c r="B21" s="843" t="s">
        <v>820</v>
      </c>
      <c r="C21" s="844">
        <v>28</v>
      </c>
      <c r="D21" s="842">
        <v>39316</v>
      </c>
      <c r="E21" s="845">
        <v>30</v>
      </c>
      <c r="F21" s="845">
        <v>58.820599999999999</v>
      </c>
      <c r="G21" s="845">
        <v>30</v>
      </c>
      <c r="H21" s="845">
        <v>0</v>
      </c>
      <c r="I21" s="846">
        <v>0.11020000000000001</v>
      </c>
      <c r="J21" s="846">
        <v>0.1128</v>
      </c>
      <c r="K21" s="846">
        <v>0.1115</v>
      </c>
      <c r="L21" s="844">
        <v>8</v>
      </c>
      <c r="M21" s="549"/>
      <c r="N21" s="549"/>
      <c r="O21" s="549"/>
      <c r="P21" s="549"/>
      <c r="Q21" s="549"/>
      <c r="R21" s="549"/>
      <c r="S21" s="549"/>
      <c r="T21" s="549"/>
      <c r="U21" s="549"/>
      <c r="V21" s="549"/>
      <c r="W21" s="549"/>
      <c r="X21" s="549"/>
      <c r="Y21" s="549"/>
      <c r="Z21" s="549"/>
      <c r="AA21" s="549"/>
      <c r="AB21" s="549"/>
      <c r="AC21" s="549"/>
      <c r="AD21" s="549"/>
      <c r="AE21" s="549"/>
      <c r="AF21" s="549"/>
      <c r="AG21" s="549"/>
      <c r="AH21" s="549"/>
      <c r="AI21" s="549"/>
      <c r="AJ21" s="549"/>
      <c r="AK21" s="549"/>
      <c r="AL21" s="549"/>
      <c r="AM21" s="549"/>
      <c r="AN21" s="549"/>
      <c r="AO21" s="549"/>
      <c r="AP21" s="549"/>
      <c r="AQ21" s="549"/>
      <c r="AR21" s="549"/>
      <c r="AS21" s="549"/>
      <c r="AT21" s="549"/>
      <c r="AU21" s="549"/>
      <c r="AV21" s="549"/>
      <c r="AW21" s="549"/>
      <c r="AX21" s="549"/>
      <c r="AY21" s="549"/>
      <c r="AZ21" s="549"/>
      <c r="BA21" s="549"/>
      <c r="BB21" s="549"/>
      <c r="BC21" s="549"/>
      <c r="BD21" s="549"/>
      <c r="BE21" s="549"/>
      <c r="BF21" s="549"/>
      <c r="BG21" s="549"/>
      <c r="BH21" s="549"/>
      <c r="BI21" s="549"/>
      <c r="BJ21" s="549"/>
      <c r="BK21" s="549"/>
      <c r="BL21" s="549"/>
      <c r="BM21" s="549"/>
      <c r="BN21" s="549"/>
      <c r="BO21" s="549"/>
      <c r="BP21" s="549"/>
      <c r="BQ21" s="549"/>
      <c r="BR21" s="549"/>
      <c r="BS21" s="549"/>
      <c r="BT21" s="549"/>
      <c r="BU21" s="549"/>
      <c r="BV21" s="549"/>
      <c r="BW21" s="549"/>
      <c r="BX21" s="549"/>
      <c r="BY21" s="549"/>
      <c r="BZ21" s="549"/>
      <c r="CA21" s="549"/>
      <c r="CB21" s="549"/>
      <c r="CC21" s="549"/>
      <c r="CD21" s="549"/>
      <c r="CE21" s="549"/>
      <c r="CF21" s="549"/>
      <c r="CG21" s="549"/>
      <c r="CH21" s="549"/>
      <c r="CI21" s="549"/>
    </row>
    <row r="22" spans="1:87" s="551" customFormat="1" ht="12" hidden="1" customHeight="1">
      <c r="A22" s="842">
        <v>39295</v>
      </c>
      <c r="B22" s="843" t="s">
        <v>821</v>
      </c>
      <c r="C22" s="844">
        <v>28</v>
      </c>
      <c r="D22" s="842">
        <v>39323</v>
      </c>
      <c r="E22" s="845">
        <v>50</v>
      </c>
      <c r="F22" s="845">
        <v>81.2</v>
      </c>
      <c r="G22" s="845">
        <v>40.612000000000002</v>
      </c>
      <c r="H22" s="845">
        <v>3.8</v>
      </c>
      <c r="I22" s="846">
        <v>0.1037</v>
      </c>
      <c r="J22" s="846">
        <v>0.105</v>
      </c>
      <c r="K22" s="846">
        <v>0.105</v>
      </c>
      <c r="L22" s="844">
        <v>16</v>
      </c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</row>
    <row r="23" spans="1:87" s="551" customFormat="1" ht="12" hidden="1" customHeight="1">
      <c r="A23" s="842">
        <v>39302</v>
      </c>
      <c r="B23" s="843" t="s">
        <v>822</v>
      </c>
      <c r="C23" s="844">
        <v>28</v>
      </c>
      <c r="D23" s="842">
        <v>39330</v>
      </c>
      <c r="E23" s="845">
        <v>40</v>
      </c>
      <c r="F23" s="845">
        <v>74.994200000000006</v>
      </c>
      <c r="G23" s="845">
        <v>30</v>
      </c>
      <c r="H23" s="845">
        <v>0</v>
      </c>
      <c r="I23" s="846">
        <v>9.06E-2</v>
      </c>
      <c r="J23" s="846">
        <v>9.4500000000000001E-2</v>
      </c>
      <c r="K23" s="846">
        <v>9.06E-2</v>
      </c>
      <c r="L23" s="844">
        <v>17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</row>
    <row r="24" spans="1:87" s="551" customFormat="1" ht="12" hidden="1" customHeight="1">
      <c r="A24" s="842">
        <v>39309</v>
      </c>
      <c r="B24" s="843" t="s">
        <v>823</v>
      </c>
      <c r="C24" s="844">
        <v>28</v>
      </c>
      <c r="D24" s="842">
        <v>39337</v>
      </c>
      <c r="E24" s="845">
        <v>65</v>
      </c>
      <c r="F24" s="845">
        <v>86.950400000000002</v>
      </c>
      <c r="G24" s="845">
        <v>60</v>
      </c>
      <c r="H24" s="845">
        <v>0</v>
      </c>
      <c r="I24" s="846">
        <v>6.9800000000000001E-2</v>
      </c>
      <c r="J24" s="846">
        <v>8.0199999999999994E-2</v>
      </c>
      <c r="K24" s="846">
        <v>7.8899999999999998E-2</v>
      </c>
      <c r="L24" s="844">
        <v>13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</row>
    <row r="25" spans="1:87" s="551" customFormat="1" ht="12" hidden="1" customHeight="1">
      <c r="A25" s="842">
        <v>39316</v>
      </c>
      <c r="B25" s="843" t="s">
        <v>824</v>
      </c>
      <c r="C25" s="844">
        <v>28</v>
      </c>
      <c r="D25" s="842">
        <v>39344</v>
      </c>
      <c r="E25" s="845">
        <v>30</v>
      </c>
      <c r="F25" s="845">
        <v>42.607799999999997</v>
      </c>
      <c r="G25" s="845">
        <v>30</v>
      </c>
      <c r="H25" s="845">
        <v>0</v>
      </c>
      <c r="I25" s="846">
        <v>5.9400000000000001E-2</v>
      </c>
      <c r="J25" s="846">
        <v>6.8500000000000005E-2</v>
      </c>
      <c r="K25" s="846">
        <v>6.4600000000000005E-2</v>
      </c>
      <c r="L25" s="844">
        <v>10</v>
      </c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</row>
    <row r="26" spans="1:87" s="551" customFormat="1" ht="12" hidden="1" customHeight="1">
      <c r="A26" s="842">
        <v>39323</v>
      </c>
      <c r="B26" s="843" t="s">
        <v>825</v>
      </c>
      <c r="C26" s="844">
        <v>28</v>
      </c>
      <c r="D26" s="842">
        <v>39351</v>
      </c>
      <c r="E26" s="845">
        <v>60</v>
      </c>
      <c r="F26" s="845">
        <v>42.072800000000001</v>
      </c>
      <c r="G26" s="845">
        <v>42.072800000000001</v>
      </c>
      <c r="H26" s="845">
        <v>0</v>
      </c>
      <c r="I26" s="846">
        <v>5.5500000000000001E-2</v>
      </c>
      <c r="J26" s="846">
        <v>6.4600000000000005E-2</v>
      </c>
      <c r="K26" s="846">
        <v>6.3299999999999995E-2</v>
      </c>
      <c r="L26" s="844">
        <v>8</v>
      </c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</row>
    <row r="27" spans="1:87" s="551" customFormat="1" ht="12" hidden="1" customHeight="1">
      <c r="A27" s="842">
        <v>39330</v>
      </c>
      <c r="B27" s="843" t="s">
        <v>826</v>
      </c>
      <c r="C27" s="844">
        <v>28</v>
      </c>
      <c r="D27" s="842">
        <v>39358</v>
      </c>
      <c r="E27" s="845">
        <v>50</v>
      </c>
      <c r="F27" s="845">
        <v>46.704999999999998</v>
      </c>
      <c r="G27" s="845">
        <v>35</v>
      </c>
      <c r="H27" s="845">
        <v>0</v>
      </c>
      <c r="I27" s="846">
        <v>5.8099999999999999E-2</v>
      </c>
      <c r="J27" s="846">
        <v>6.3299999999999995E-2</v>
      </c>
      <c r="K27" s="846">
        <v>6.2E-2</v>
      </c>
      <c r="L27" s="844">
        <v>8</v>
      </c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</row>
    <row r="28" spans="1:87" s="551" customFormat="1" ht="12" hidden="1" customHeight="1">
      <c r="A28" s="842">
        <v>39337</v>
      </c>
      <c r="B28" s="843" t="s">
        <v>827</v>
      </c>
      <c r="C28" s="844">
        <v>28</v>
      </c>
      <c r="D28" s="842">
        <v>39365</v>
      </c>
      <c r="E28" s="845">
        <v>75</v>
      </c>
      <c r="F28" s="845">
        <v>76.924499999999995</v>
      </c>
      <c r="G28" s="845">
        <v>65</v>
      </c>
      <c r="H28" s="845">
        <v>-3.6614</v>
      </c>
      <c r="I28" s="846">
        <v>5.5500000000000001E-2</v>
      </c>
      <c r="J28" s="846">
        <v>6.3299999999999995E-2</v>
      </c>
      <c r="K28" s="846">
        <v>6.0699999999999997E-2</v>
      </c>
      <c r="L28" s="844">
        <v>10</v>
      </c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</row>
    <row r="29" spans="1:87" s="551" customFormat="1" ht="12" hidden="1" customHeight="1">
      <c r="A29" s="842">
        <v>39344</v>
      </c>
      <c r="B29" s="843" t="s">
        <v>828</v>
      </c>
      <c r="C29" s="844">
        <v>28</v>
      </c>
      <c r="D29" s="842">
        <v>39372</v>
      </c>
      <c r="E29" s="845">
        <v>40</v>
      </c>
      <c r="F29" s="845">
        <v>43.058300000000003</v>
      </c>
      <c r="G29" s="845">
        <v>35</v>
      </c>
      <c r="H29" s="845">
        <v>0</v>
      </c>
      <c r="I29" s="846">
        <v>5.0299999999999997E-2</v>
      </c>
      <c r="J29" s="846">
        <v>6.3299999999999995E-2</v>
      </c>
      <c r="K29" s="846">
        <v>6.2E-2</v>
      </c>
      <c r="L29" s="844">
        <v>7</v>
      </c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</row>
    <row r="30" spans="1:87" s="551" customFormat="1" ht="12" hidden="1" customHeight="1">
      <c r="A30" s="842">
        <v>39351</v>
      </c>
      <c r="B30" s="843" t="s">
        <v>829</v>
      </c>
      <c r="C30" s="844">
        <v>28</v>
      </c>
      <c r="D30" s="842">
        <v>39379</v>
      </c>
      <c r="E30" s="845">
        <v>55</v>
      </c>
      <c r="F30" s="845">
        <v>49.092300000000002</v>
      </c>
      <c r="G30" s="845">
        <v>45</v>
      </c>
      <c r="H30" s="845">
        <v>0</v>
      </c>
      <c r="I30" s="846">
        <v>5.9400000000000001E-2</v>
      </c>
      <c r="J30" s="846">
        <v>6.9800000000000001E-2</v>
      </c>
      <c r="K30" s="846">
        <v>6.2E-2</v>
      </c>
      <c r="L30" s="844">
        <v>9</v>
      </c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</row>
    <row r="31" spans="1:87" s="551" customFormat="1" ht="12" hidden="1" customHeight="1">
      <c r="A31" s="842">
        <v>39358</v>
      </c>
      <c r="B31" s="843" t="s">
        <v>830</v>
      </c>
      <c r="C31" s="844">
        <v>28</v>
      </c>
      <c r="D31" s="842">
        <v>39386</v>
      </c>
      <c r="E31" s="845">
        <v>45</v>
      </c>
      <c r="F31" s="845">
        <v>45</v>
      </c>
      <c r="G31" s="845">
        <v>40</v>
      </c>
      <c r="H31" s="845">
        <v>-1.002</v>
      </c>
      <c r="I31" s="846">
        <v>6.2E-2</v>
      </c>
      <c r="J31" s="846">
        <v>6.3299999999999995E-2</v>
      </c>
      <c r="K31" s="846">
        <v>6.3299999999999995E-2</v>
      </c>
      <c r="L31" s="844">
        <v>10</v>
      </c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</row>
    <row r="32" spans="1:87" s="551" customFormat="1" ht="12" hidden="1" customHeight="1">
      <c r="A32" s="842">
        <v>39365</v>
      </c>
      <c r="B32" s="843" t="s">
        <v>831</v>
      </c>
      <c r="C32" s="844">
        <v>28</v>
      </c>
      <c r="D32" s="842">
        <v>39393</v>
      </c>
      <c r="E32" s="845">
        <v>80</v>
      </c>
      <c r="F32" s="845">
        <v>95.164000000000001</v>
      </c>
      <c r="G32" s="845">
        <v>70</v>
      </c>
      <c r="H32" s="845">
        <v>0</v>
      </c>
      <c r="I32" s="846">
        <v>6.0699999999999997E-2</v>
      </c>
      <c r="J32" s="846">
        <v>6.3299999999999995E-2</v>
      </c>
      <c r="K32" s="846">
        <v>6.0699999999999997E-2</v>
      </c>
      <c r="L32" s="844">
        <v>6</v>
      </c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</row>
    <row r="33" spans="1:87" s="551" customFormat="1" ht="12" hidden="1" customHeight="1">
      <c r="A33" s="842">
        <v>39372</v>
      </c>
      <c r="B33" s="843" t="s">
        <v>832</v>
      </c>
      <c r="C33" s="844">
        <v>28</v>
      </c>
      <c r="D33" s="842">
        <v>39400</v>
      </c>
      <c r="E33" s="845">
        <v>60</v>
      </c>
      <c r="F33" s="845">
        <v>35.612000000000002</v>
      </c>
      <c r="G33" s="845">
        <v>35.611999999999995</v>
      </c>
      <c r="H33" s="845">
        <v>-1.9060000000000001</v>
      </c>
      <c r="I33" s="846">
        <v>6.0699999999999997E-2</v>
      </c>
      <c r="J33" s="846">
        <v>6.4600000000000005E-2</v>
      </c>
      <c r="K33" s="846">
        <v>6.2E-2</v>
      </c>
      <c r="L33" s="844">
        <v>9</v>
      </c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</row>
    <row r="34" spans="1:87" s="551" customFormat="1" ht="12" hidden="1" customHeight="1">
      <c r="A34" s="842">
        <v>39379</v>
      </c>
      <c r="B34" s="843" t="s">
        <v>833</v>
      </c>
      <c r="C34" s="844">
        <v>28</v>
      </c>
      <c r="D34" s="842">
        <v>39407</v>
      </c>
      <c r="E34" s="845">
        <v>60</v>
      </c>
      <c r="F34" s="845">
        <v>39.518799999999999</v>
      </c>
      <c r="G34" s="845">
        <v>39.518799999999999</v>
      </c>
      <c r="H34" s="845">
        <v>0</v>
      </c>
      <c r="I34" s="846">
        <v>6.0699999999999997E-2</v>
      </c>
      <c r="J34" s="846">
        <v>6.59E-2</v>
      </c>
      <c r="K34" s="846">
        <v>6.3299999999999995E-2</v>
      </c>
      <c r="L34" s="844">
        <v>10</v>
      </c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</row>
    <row r="35" spans="1:87" s="551" customFormat="1" ht="12" hidden="1" customHeight="1">
      <c r="A35" s="842">
        <v>39386</v>
      </c>
      <c r="B35" s="843" t="s">
        <v>834</v>
      </c>
      <c r="C35" s="844">
        <v>28</v>
      </c>
      <c r="D35" s="842">
        <v>39414</v>
      </c>
      <c r="E35" s="845">
        <v>50</v>
      </c>
      <c r="F35" s="845">
        <v>43.074599999999997</v>
      </c>
      <c r="G35" s="845">
        <v>43.074600000000004</v>
      </c>
      <c r="H35" s="845">
        <v>0</v>
      </c>
      <c r="I35" s="846">
        <v>6.3299999999999995E-2</v>
      </c>
      <c r="J35" s="846">
        <v>7.8899999999999998E-2</v>
      </c>
      <c r="K35" s="846">
        <v>6.59E-2</v>
      </c>
      <c r="L35" s="844">
        <v>7</v>
      </c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</row>
    <row r="36" spans="1:87" s="551" customFormat="1" ht="12" hidden="1" customHeight="1">
      <c r="A36" s="842">
        <v>39393</v>
      </c>
      <c r="B36" s="843" t="s">
        <v>835</v>
      </c>
      <c r="C36" s="844">
        <v>28</v>
      </c>
      <c r="D36" s="842">
        <v>39421</v>
      </c>
      <c r="E36" s="845">
        <v>80</v>
      </c>
      <c r="F36" s="845">
        <v>62.8048</v>
      </c>
      <c r="G36" s="845">
        <v>62.8048</v>
      </c>
      <c r="H36" s="845">
        <v>0</v>
      </c>
      <c r="I36" s="846">
        <v>7.1099999999999997E-2</v>
      </c>
      <c r="J36" s="846">
        <v>8.5400000000000004E-2</v>
      </c>
      <c r="K36" s="846">
        <v>7.8899999999999998E-2</v>
      </c>
      <c r="L36" s="844">
        <v>6</v>
      </c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</row>
    <row r="37" spans="1:87" s="551" customFormat="1" ht="12" hidden="1" customHeight="1">
      <c r="A37" s="842">
        <v>39400</v>
      </c>
      <c r="B37" s="843" t="s">
        <v>836</v>
      </c>
      <c r="C37" s="844">
        <v>28</v>
      </c>
      <c r="D37" s="842">
        <v>39428</v>
      </c>
      <c r="E37" s="845">
        <v>50</v>
      </c>
      <c r="F37" s="845">
        <v>36.760800000000003</v>
      </c>
      <c r="G37" s="845">
        <v>36.760799999999996</v>
      </c>
      <c r="H37" s="845">
        <v>0</v>
      </c>
      <c r="I37" s="846">
        <v>7.4999999999999997E-2</v>
      </c>
      <c r="J37" s="846">
        <v>8.7999999999999995E-2</v>
      </c>
      <c r="K37" s="846">
        <v>8.1500000000000003E-2</v>
      </c>
      <c r="L37" s="844">
        <v>8</v>
      </c>
      <c r="M37" s="549"/>
      <c r="N37" s="549"/>
      <c r="O37" s="549"/>
      <c r="P37" s="549"/>
      <c r="Q37" s="549"/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</row>
    <row r="38" spans="1:87" s="551" customFormat="1" ht="12" hidden="1" customHeight="1">
      <c r="A38" s="842">
        <v>39407</v>
      </c>
      <c r="B38" s="843" t="s">
        <v>837</v>
      </c>
      <c r="C38" s="844">
        <v>28</v>
      </c>
      <c r="D38" s="842">
        <v>39435</v>
      </c>
      <c r="E38" s="845">
        <v>40</v>
      </c>
      <c r="F38" s="845">
        <v>29.311</v>
      </c>
      <c r="G38" s="845">
        <v>29.311</v>
      </c>
      <c r="H38" s="845">
        <v>0</v>
      </c>
      <c r="I38" s="846">
        <v>8.0199999999999994E-2</v>
      </c>
      <c r="J38" s="846">
        <v>9.98E-2</v>
      </c>
      <c r="K38" s="846">
        <v>8.9300000000000004E-2</v>
      </c>
      <c r="L38" s="844">
        <v>7</v>
      </c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  <c r="AE38" s="549"/>
      <c r="AF38" s="549"/>
      <c r="AG38" s="549"/>
      <c r="AH38" s="549"/>
      <c r="AI38" s="549"/>
      <c r="AJ38" s="549"/>
      <c r="AK38" s="549"/>
      <c r="AL38" s="549"/>
      <c r="AM38" s="549"/>
      <c r="AN38" s="549"/>
      <c r="AO38" s="549"/>
      <c r="AP38" s="549"/>
      <c r="AQ38" s="549"/>
      <c r="AR38" s="549"/>
      <c r="AS38" s="549"/>
      <c r="AT38" s="549"/>
      <c r="AU38" s="549"/>
      <c r="AV38" s="549"/>
      <c r="AW38" s="549"/>
      <c r="AX38" s="549"/>
      <c r="AY38" s="549"/>
      <c r="AZ38" s="549"/>
      <c r="BA38" s="549"/>
      <c r="BB38" s="549"/>
      <c r="BC38" s="549"/>
      <c r="BD38" s="549"/>
      <c r="BE38" s="549"/>
      <c r="BF38" s="549"/>
      <c r="BG38" s="549"/>
      <c r="BH38" s="549"/>
      <c r="BI38" s="549"/>
      <c r="BJ38" s="549"/>
      <c r="BK38" s="549"/>
      <c r="BL38" s="549"/>
      <c r="BM38" s="549"/>
      <c r="BN38" s="549"/>
      <c r="BO38" s="549"/>
      <c r="BP38" s="549"/>
      <c r="BQ38" s="549"/>
      <c r="BR38" s="549"/>
      <c r="BS38" s="549"/>
      <c r="BT38" s="549"/>
      <c r="BU38" s="549"/>
      <c r="BV38" s="549"/>
      <c r="BW38" s="549"/>
      <c r="BX38" s="549"/>
      <c r="BY38" s="549"/>
      <c r="BZ38" s="549"/>
      <c r="CA38" s="549"/>
      <c r="CB38" s="549"/>
      <c r="CC38" s="549"/>
      <c r="CD38" s="549"/>
      <c r="CE38" s="549"/>
      <c r="CF38" s="549"/>
      <c r="CG38" s="549"/>
      <c r="CH38" s="549"/>
      <c r="CI38" s="549"/>
    </row>
    <row r="39" spans="1:87" s="551" customFormat="1" ht="12" hidden="1" customHeight="1">
      <c r="A39" s="842">
        <v>39414</v>
      </c>
      <c r="B39" s="843" t="s">
        <v>838</v>
      </c>
      <c r="C39" s="844">
        <v>28</v>
      </c>
      <c r="D39" s="842">
        <v>39442</v>
      </c>
      <c r="E39" s="845">
        <v>50</v>
      </c>
      <c r="F39" s="845">
        <v>42.091200000000001</v>
      </c>
      <c r="G39" s="845">
        <v>42.091200000000001</v>
      </c>
      <c r="H39" s="845">
        <v>-5.0430000000000001</v>
      </c>
      <c r="I39" s="846">
        <v>8.9300000000000004E-2</v>
      </c>
      <c r="J39" s="846">
        <v>0.11940000000000001</v>
      </c>
      <c r="K39" s="846">
        <v>0.105</v>
      </c>
      <c r="L39" s="844">
        <v>7</v>
      </c>
      <c r="M39" s="549"/>
      <c r="N39" s="549"/>
      <c r="O39" s="549"/>
      <c r="P39" s="549"/>
      <c r="Q39" s="549"/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  <c r="AE39" s="549"/>
      <c r="AF39" s="549"/>
      <c r="AG39" s="549"/>
      <c r="AH39" s="549"/>
      <c r="AI39" s="549"/>
      <c r="AJ39" s="549"/>
      <c r="AK39" s="549"/>
      <c r="AL39" s="549"/>
      <c r="AM39" s="549"/>
      <c r="AN39" s="549"/>
      <c r="AO39" s="549"/>
      <c r="AP39" s="549"/>
      <c r="AQ39" s="549"/>
      <c r="AR39" s="549"/>
      <c r="AS39" s="549"/>
      <c r="AT39" s="549"/>
      <c r="AU39" s="549"/>
      <c r="AV39" s="549"/>
      <c r="AW39" s="549"/>
      <c r="AX39" s="549"/>
      <c r="AY39" s="549"/>
      <c r="AZ39" s="549"/>
      <c r="BA39" s="549"/>
      <c r="BB39" s="549"/>
      <c r="BC39" s="549"/>
      <c r="BD39" s="549"/>
      <c r="BE39" s="549"/>
      <c r="BF39" s="549"/>
      <c r="BG39" s="549"/>
      <c r="BH39" s="549"/>
      <c r="BI39" s="549"/>
      <c r="BJ39" s="549"/>
      <c r="BK39" s="549"/>
      <c r="BL39" s="549"/>
      <c r="BM39" s="549"/>
      <c r="BN39" s="549"/>
      <c r="BO39" s="549"/>
      <c r="BP39" s="549"/>
      <c r="BQ39" s="549"/>
      <c r="BR39" s="549"/>
      <c r="BS39" s="549"/>
      <c r="BT39" s="549"/>
      <c r="BU39" s="549"/>
      <c r="BV39" s="549"/>
      <c r="BW39" s="549"/>
      <c r="BX39" s="549"/>
      <c r="BY39" s="549"/>
      <c r="BZ39" s="549"/>
      <c r="CA39" s="549"/>
      <c r="CB39" s="549"/>
      <c r="CC39" s="549"/>
      <c r="CD39" s="549"/>
      <c r="CE39" s="549"/>
      <c r="CF39" s="549"/>
      <c r="CG39" s="549"/>
      <c r="CH39" s="549"/>
      <c r="CI39" s="549"/>
    </row>
    <row r="40" spans="1:87" s="551" customFormat="1" ht="12" hidden="1" customHeight="1">
      <c r="A40" s="842">
        <v>39421</v>
      </c>
      <c r="B40" s="843" t="s">
        <v>839</v>
      </c>
      <c r="C40" s="844">
        <v>29</v>
      </c>
      <c r="D40" s="842">
        <v>39450</v>
      </c>
      <c r="E40" s="845">
        <v>70</v>
      </c>
      <c r="F40" s="845">
        <v>67.5535</v>
      </c>
      <c r="G40" s="845">
        <v>61.107600000000005</v>
      </c>
      <c r="H40" s="845">
        <v>0</v>
      </c>
      <c r="I40" s="846">
        <v>0.11020000000000001</v>
      </c>
      <c r="J40" s="846">
        <v>0.12790000000000001</v>
      </c>
      <c r="K40" s="846">
        <v>0.1191</v>
      </c>
      <c r="L40" s="844">
        <v>6</v>
      </c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  <c r="AE40" s="549"/>
      <c r="AF40" s="549"/>
      <c r="AG40" s="549"/>
      <c r="AH40" s="549"/>
      <c r="AI40" s="549"/>
      <c r="AJ40" s="549"/>
      <c r="AK40" s="549"/>
      <c r="AL40" s="549"/>
      <c r="AM40" s="549"/>
      <c r="AN40" s="549"/>
      <c r="AO40" s="549"/>
      <c r="AP40" s="549"/>
      <c r="AQ40" s="549"/>
      <c r="AR40" s="549"/>
      <c r="AS40" s="549"/>
      <c r="AT40" s="549"/>
      <c r="AU40" s="549"/>
      <c r="AV40" s="549"/>
      <c r="AW40" s="549"/>
      <c r="AX40" s="549"/>
      <c r="AY40" s="549"/>
      <c r="AZ40" s="549"/>
      <c r="BA40" s="549"/>
      <c r="BB40" s="549"/>
      <c r="BC40" s="549"/>
      <c r="BD40" s="549"/>
      <c r="BE40" s="549"/>
      <c r="BF40" s="549"/>
      <c r="BG40" s="549"/>
      <c r="BH40" s="549"/>
      <c r="BI40" s="549"/>
      <c r="BJ40" s="549"/>
      <c r="BK40" s="549"/>
      <c r="BL40" s="549"/>
      <c r="BM40" s="549"/>
      <c r="BN40" s="549"/>
      <c r="BO40" s="549"/>
      <c r="BP40" s="549"/>
      <c r="BQ40" s="549"/>
      <c r="BR40" s="549"/>
      <c r="BS40" s="549"/>
      <c r="BT40" s="549"/>
      <c r="BU40" s="549"/>
      <c r="BV40" s="549"/>
      <c r="BW40" s="549"/>
      <c r="BX40" s="549"/>
      <c r="BY40" s="549"/>
      <c r="BZ40" s="549"/>
      <c r="CA40" s="549"/>
      <c r="CB40" s="549"/>
      <c r="CC40" s="549"/>
      <c r="CD40" s="549"/>
      <c r="CE40" s="549"/>
      <c r="CF40" s="549"/>
      <c r="CG40" s="549"/>
      <c r="CH40" s="549"/>
      <c r="CI40" s="549"/>
    </row>
    <row r="41" spans="1:87" s="551" customFormat="1" ht="12" hidden="1" customHeight="1">
      <c r="A41" s="842">
        <v>39428</v>
      </c>
      <c r="B41" s="843" t="s">
        <v>840</v>
      </c>
      <c r="C41" s="844">
        <v>28</v>
      </c>
      <c r="D41" s="842">
        <v>39456</v>
      </c>
      <c r="E41" s="845">
        <v>70</v>
      </c>
      <c r="F41" s="845">
        <v>73.377600000000001</v>
      </c>
      <c r="G41" s="845">
        <v>70</v>
      </c>
      <c r="H41" s="845">
        <v>0</v>
      </c>
      <c r="I41" s="846">
        <v>0.1128</v>
      </c>
      <c r="J41" s="846">
        <v>0.1128</v>
      </c>
      <c r="K41" s="846">
        <v>0.1128</v>
      </c>
      <c r="L41" s="844">
        <v>10</v>
      </c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  <c r="AE41" s="549"/>
      <c r="AF41" s="549"/>
      <c r="AG41" s="549"/>
      <c r="AH41" s="549"/>
      <c r="AI41" s="549"/>
      <c r="AJ41" s="549"/>
      <c r="AK41" s="549"/>
      <c r="AL41" s="549"/>
      <c r="AM41" s="549"/>
      <c r="AN41" s="549"/>
      <c r="AO41" s="549"/>
      <c r="AP41" s="549"/>
      <c r="AQ41" s="549"/>
      <c r="AR41" s="549"/>
      <c r="AS41" s="549"/>
      <c r="AT41" s="549"/>
      <c r="AU41" s="549"/>
      <c r="AV41" s="549"/>
      <c r="AW41" s="549"/>
      <c r="AX41" s="549"/>
      <c r="AY41" s="549"/>
      <c r="AZ41" s="549"/>
      <c r="BA41" s="549"/>
      <c r="BB41" s="549"/>
      <c r="BC41" s="549"/>
      <c r="BD41" s="549"/>
      <c r="BE41" s="549"/>
      <c r="BF41" s="549"/>
      <c r="BG41" s="549"/>
      <c r="BH41" s="549"/>
      <c r="BI41" s="549"/>
      <c r="BJ41" s="549"/>
      <c r="BK41" s="549"/>
      <c r="BL41" s="549"/>
      <c r="BM41" s="549"/>
      <c r="BN41" s="549"/>
      <c r="BO41" s="549"/>
      <c r="BP41" s="549"/>
      <c r="BQ41" s="549"/>
      <c r="BR41" s="549"/>
      <c r="BS41" s="549"/>
      <c r="BT41" s="549"/>
      <c r="BU41" s="549"/>
      <c r="BV41" s="549"/>
      <c r="BW41" s="549"/>
      <c r="BX41" s="549"/>
      <c r="BY41" s="549"/>
      <c r="BZ41" s="549"/>
      <c r="CA41" s="549"/>
      <c r="CB41" s="549"/>
      <c r="CC41" s="549"/>
      <c r="CD41" s="549"/>
      <c r="CE41" s="549"/>
      <c r="CF41" s="549"/>
      <c r="CG41" s="549"/>
      <c r="CH41" s="549"/>
      <c r="CI41" s="549"/>
    </row>
    <row r="42" spans="1:87" s="551" customFormat="1" ht="12" hidden="1" customHeight="1">
      <c r="A42" s="842">
        <v>39435</v>
      </c>
      <c r="B42" s="843" t="s">
        <v>841</v>
      </c>
      <c r="C42" s="844">
        <v>28</v>
      </c>
      <c r="D42" s="842">
        <v>39463</v>
      </c>
      <c r="E42" s="845">
        <v>80</v>
      </c>
      <c r="F42" s="845">
        <v>54.659199999999998</v>
      </c>
      <c r="G42" s="845">
        <v>50</v>
      </c>
      <c r="H42" s="845">
        <v>28.401399999999995</v>
      </c>
      <c r="I42" s="846">
        <v>0.1115</v>
      </c>
      <c r="J42" s="846">
        <v>0.1115</v>
      </c>
      <c r="K42" s="846">
        <v>0.1115</v>
      </c>
      <c r="L42" s="844">
        <v>13</v>
      </c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  <c r="AE42" s="549"/>
      <c r="AF42" s="549"/>
      <c r="AG42" s="549"/>
      <c r="AH42" s="549"/>
      <c r="AI42" s="549"/>
      <c r="AJ42" s="549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</row>
    <row r="43" spans="1:87" s="551" customFormat="1" ht="12" hidden="1" customHeight="1">
      <c r="A43" s="842">
        <v>39442</v>
      </c>
      <c r="B43" s="843" t="s">
        <v>842</v>
      </c>
      <c r="C43" s="844">
        <v>28</v>
      </c>
      <c r="D43" s="842">
        <v>39470</v>
      </c>
      <c r="E43" s="845">
        <v>70</v>
      </c>
      <c r="F43" s="845">
        <v>36.127200000000002</v>
      </c>
      <c r="G43" s="845">
        <v>36.127200000000002</v>
      </c>
      <c r="H43" s="845">
        <v>0.502</v>
      </c>
      <c r="I43" s="846">
        <v>0.1089</v>
      </c>
      <c r="J43" s="846">
        <v>0.1089</v>
      </c>
      <c r="K43" s="846">
        <v>0.1089</v>
      </c>
      <c r="L43" s="844">
        <v>5</v>
      </c>
      <c r="M43" s="549"/>
      <c r="N43" s="549"/>
      <c r="O43" s="549"/>
      <c r="P43" s="549"/>
      <c r="Q43" s="549"/>
      <c r="R43" s="549"/>
      <c r="S43" s="549"/>
      <c r="T43" s="549"/>
      <c r="U43" s="549"/>
      <c r="V43" s="549"/>
      <c r="W43" s="549"/>
      <c r="X43" s="549"/>
      <c r="Y43" s="549"/>
      <c r="Z43" s="549"/>
      <c r="AA43" s="549"/>
      <c r="AB43" s="549"/>
      <c r="AC43" s="549"/>
      <c r="AD43" s="549"/>
      <c r="AE43" s="549"/>
      <c r="AF43" s="549"/>
      <c r="AG43" s="549"/>
      <c r="AH43" s="549"/>
      <c r="AI43" s="549"/>
      <c r="AJ43" s="549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</row>
    <row r="44" spans="1:87" s="551" customFormat="1" ht="12" hidden="1" customHeight="1">
      <c r="A44" s="842">
        <v>39445</v>
      </c>
      <c r="B44" s="843" t="s">
        <v>843</v>
      </c>
      <c r="C44" s="844">
        <v>32</v>
      </c>
      <c r="D44" s="842">
        <v>39477</v>
      </c>
      <c r="E44" s="845">
        <v>100</v>
      </c>
      <c r="F44" s="845">
        <v>68.132999999999996</v>
      </c>
      <c r="G44" s="845">
        <v>68.132999999999996</v>
      </c>
      <c r="H44" s="845">
        <v>-5.7696000000000005</v>
      </c>
      <c r="I44" s="846">
        <v>9.9900000000000003E-2</v>
      </c>
      <c r="J44" s="846">
        <v>0.1113</v>
      </c>
      <c r="K44" s="846">
        <v>0.1056</v>
      </c>
      <c r="L44" s="844">
        <v>11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</row>
    <row r="45" spans="1:87" s="551" customFormat="1" ht="12" hidden="1" customHeight="1">
      <c r="A45" s="842">
        <v>39456</v>
      </c>
      <c r="B45" s="843" t="s">
        <v>844</v>
      </c>
      <c r="C45" s="844">
        <v>28</v>
      </c>
      <c r="D45" s="842">
        <v>39484</v>
      </c>
      <c r="E45" s="845">
        <v>100</v>
      </c>
      <c r="F45" s="845">
        <v>70</v>
      </c>
      <c r="G45" s="845">
        <v>70</v>
      </c>
      <c r="H45" s="845">
        <v>-1.004</v>
      </c>
      <c r="I45" s="846">
        <v>0.105</v>
      </c>
      <c r="J45" s="846">
        <v>0.1115</v>
      </c>
      <c r="K45" s="846">
        <v>0.1089</v>
      </c>
      <c r="L45" s="844">
        <v>13</v>
      </c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</row>
    <row r="46" spans="1:87" s="551" customFormat="1" ht="12" hidden="1" customHeight="1">
      <c r="A46" s="842">
        <v>39463</v>
      </c>
      <c r="B46" s="843" t="s">
        <v>845</v>
      </c>
      <c r="C46" s="844">
        <v>28</v>
      </c>
      <c r="D46" s="842">
        <v>39491</v>
      </c>
      <c r="E46" s="845">
        <v>100</v>
      </c>
      <c r="F46" s="845">
        <v>70.409800000000004</v>
      </c>
      <c r="G46" s="845">
        <v>70.409800000000004</v>
      </c>
      <c r="H46" s="845">
        <v>-0.20119999999999999</v>
      </c>
      <c r="I46" s="846">
        <v>0.105</v>
      </c>
      <c r="J46" s="846">
        <v>0.1115</v>
      </c>
      <c r="K46" s="846">
        <v>0.1089</v>
      </c>
      <c r="L46" s="844">
        <v>10</v>
      </c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549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  <c r="CG46" s="549"/>
      <c r="CH46" s="549"/>
      <c r="CI46" s="549"/>
    </row>
    <row r="47" spans="1:87" s="551" customFormat="1" ht="12" hidden="1" customHeight="1">
      <c r="A47" s="842">
        <v>39470</v>
      </c>
      <c r="B47" s="843" t="s">
        <v>846</v>
      </c>
      <c r="C47" s="844">
        <v>28</v>
      </c>
      <c r="D47" s="842">
        <v>39498</v>
      </c>
      <c r="E47" s="845">
        <v>50</v>
      </c>
      <c r="F47" s="845">
        <v>59.509399999999999</v>
      </c>
      <c r="G47" s="845">
        <v>32</v>
      </c>
      <c r="H47" s="845">
        <v>0</v>
      </c>
      <c r="I47" s="846">
        <v>0.10630000000000001</v>
      </c>
      <c r="J47" s="846">
        <v>0.1089</v>
      </c>
      <c r="K47" s="846">
        <v>0.10630000000000001</v>
      </c>
      <c r="L47" s="844">
        <v>8</v>
      </c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549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  <c r="CG47" s="549"/>
      <c r="CH47" s="549"/>
      <c r="CI47" s="549"/>
    </row>
    <row r="48" spans="1:87" s="551" customFormat="1" ht="12" hidden="1" customHeight="1">
      <c r="A48" s="842">
        <v>39477</v>
      </c>
      <c r="B48" s="843" t="s">
        <v>847</v>
      </c>
      <c r="C48" s="844">
        <v>28</v>
      </c>
      <c r="D48" s="842">
        <v>39505</v>
      </c>
      <c r="E48" s="845">
        <v>65</v>
      </c>
      <c r="F48" s="845">
        <v>41.542999999999999</v>
      </c>
      <c r="G48" s="845">
        <v>41.542999999999999</v>
      </c>
      <c r="H48" s="845">
        <v>0</v>
      </c>
      <c r="I48" s="846">
        <v>0.1024</v>
      </c>
      <c r="J48" s="846">
        <v>0.11020000000000001</v>
      </c>
      <c r="K48" s="846">
        <v>0.1076</v>
      </c>
      <c r="L48" s="844">
        <v>11</v>
      </c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549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  <c r="CG48" s="549"/>
      <c r="CH48" s="549"/>
      <c r="CI48" s="549"/>
    </row>
    <row r="49" spans="1:87" s="551" customFormat="1" ht="12" hidden="1" customHeight="1">
      <c r="A49" s="842">
        <v>39484</v>
      </c>
      <c r="B49" s="843" t="s">
        <v>848</v>
      </c>
      <c r="C49" s="844">
        <v>28</v>
      </c>
      <c r="D49" s="842">
        <v>39512</v>
      </c>
      <c r="E49" s="845">
        <v>60</v>
      </c>
      <c r="F49" s="845">
        <v>48.953400000000002</v>
      </c>
      <c r="G49" s="845">
        <v>48.953400000000002</v>
      </c>
      <c r="H49" s="845">
        <v>0</v>
      </c>
      <c r="I49" s="846">
        <v>0.10630000000000001</v>
      </c>
      <c r="J49" s="846">
        <v>0.11020000000000001</v>
      </c>
      <c r="K49" s="846">
        <v>0.1076</v>
      </c>
      <c r="L49" s="844">
        <v>11</v>
      </c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  <c r="CG49" s="549"/>
      <c r="CH49" s="549"/>
      <c r="CI49" s="549"/>
    </row>
    <row r="50" spans="1:87" s="551" customFormat="1" ht="12" hidden="1" customHeight="1">
      <c r="A50" s="842">
        <v>39491</v>
      </c>
      <c r="B50" s="843" t="s">
        <v>849</v>
      </c>
      <c r="C50" s="844">
        <v>28</v>
      </c>
      <c r="D50" s="842">
        <v>39519</v>
      </c>
      <c r="E50" s="845">
        <v>80</v>
      </c>
      <c r="F50" s="845">
        <v>45.758600000000001</v>
      </c>
      <c r="G50" s="845">
        <v>41.7196</v>
      </c>
      <c r="H50" s="845">
        <v>0</v>
      </c>
      <c r="I50" s="846">
        <v>0.10630000000000001</v>
      </c>
      <c r="J50" s="846">
        <v>0.11020000000000001</v>
      </c>
      <c r="K50" s="846">
        <v>0.1089</v>
      </c>
      <c r="L50" s="844">
        <v>15</v>
      </c>
      <c r="M50" s="549"/>
      <c r="N50" s="549"/>
      <c r="O50" s="549"/>
      <c r="P50" s="549"/>
      <c r="Q50" s="549"/>
      <c r="R50" s="549"/>
      <c r="S50" s="549"/>
      <c r="T50" s="549"/>
      <c r="U50" s="549"/>
      <c r="V50" s="549"/>
      <c r="W50" s="549"/>
      <c r="X50" s="549"/>
      <c r="Y50" s="549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  <c r="CG50" s="549"/>
      <c r="CH50" s="549"/>
      <c r="CI50" s="549"/>
    </row>
    <row r="51" spans="1:87" s="551" customFormat="1" ht="12" hidden="1" customHeight="1">
      <c r="A51" s="842">
        <v>39498</v>
      </c>
      <c r="B51" s="843" t="s">
        <v>850</v>
      </c>
      <c r="C51" s="844">
        <v>28</v>
      </c>
      <c r="D51" s="842">
        <v>39526</v>
      </c>
      <c r="E51" s="845">
        <v>40</v>
      </c>
      <c r="F51" s="845">
        <v>59.083599999999997</v>
      </c>
      <c r="G51" s="845">
        <v>25</v>
      </c>
      <c r="H51" s="845">
        <v>0</v>
      </c>
      <c r="I51" s="846">
        <v>0.105</v>
      </c>
      <c r="J51" s="846">
        <v>0.105</v>
      </c>
      <c r="K51" s="846">
        <v>0.105</v>
      </c>
      <c r="L51" s="844">
        <v>6</v>
      </c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/>
      <c r="Y51" s="549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  <c r="CG51" s="549"/>
      <c r="CH51" s="549"/>
      <c r="CI51" s="549"/>
    </row>
    <row r="52" spans="1:87" s="551" customFormat="1" ht="12" hidden="1" customHeight="1">
      <c r="A52" s="842">
        <v>39505</v>
      </c>
      <c r="B52" s="843" t="s">
        <v>851</v>
      </c>
      <c r="C52" s="844">
        <v>29</v>
      </c>
      <c r="D52" s="842">
        <v>39534</v>
      </c>
      <c r="E52" s="845">
        <v>40</v>
      </c>
      <c r="F52" s="845">
        <v>103.55549999999999</v>
      </c>
      <c r="G52" s="845">
        <v>35</v>
      </c>
      <c r="H52" s="845">
        <v>-0.58160000000000001</v>
      </c>
      <c r="I52" s="846">
        <v>9.1899999999999996E-2</v>
      </c>
      <c r="J52" s="846">
        <v>9.3200000000000005E-2</v>
      </c>
      <c r="K52" s="846">
        <v>9.3200000000000005E-2</v>
      </c>
      <c r="L52" s="844">
        <v>12</v>
      </c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</row>
    <row r="53" spans="1:87" s="551" customFormat="1" ht="12" hidden="1" customHeight="1">
      <c r="A53" s="842">
        <v>39512</v>
      </c>
      <c r="B53" s="843" t="s">
        <v>852</v>
      </c>
      <c r="C53" s="844">
        <v>28</v>
      </c>
      <c r="D53" s="842">
        <v>39540</v>
      </c>
      <c r="E53" s="845">
        <v>60</v>
      </c>
      <c r="F53" s="845">
        <v>87.842700000000008</v>
      </c>
      <c r="G53" s="845">
        <v>50</v>
      </c>
      <c r="H53" s="845">
        <v>-2.4176000000000002</v>
      </c>
      <c r="I53" s="846">
        <v>7.8899999999999998E-2</v>
      </c>
      <c r="J53" s="846">
        <v>9.4500000000000001E-2</v>
      </c>
      <c r="K53" s="846">
        <v>8.6699999999999999E-2</v>
      </c>
      <c r="L53" s="844">
        <v>11</v>
      </c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</row>
    <row r="54" spans="1:87" s="551" customFormat="1" ht="12" hidden="1" customHeight="1">
      <c r="A54" s="842">
        <v>39519</v>
      </c>
      <c r="B54" s="843" t="s">
        <v>853</v>
      </c>
      <c r="C54" s="844">
        <v>28</v>
      </c>
      <c r="D54" s="842">
        <v>39547</v>
      </c>
      <c r="E54" s="845">
        <v>55</v>
      </c>
      <c r="F54" s="845">
        <v>92.868800000000007</v>
      </c>
      <c r="G54" s="845">
        <v>50</v>
      </c>
      <c r="H54" s="845">
        <v>-0.40100000000000008</v>
      </c>
      <c r="I54" s="846">
        <v>8.5400000000000004E-2</v>
      </c>
      <c r="J54" s="846">
        <v>9.3200000000000005E-2</v>
      </c>
      <c r="K54" s="846">
        <v>9.06E-2</v>
      </c>
      <c r="L54" s="844">
        <v>13</v>
      </c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</row>
    <row r="55" spans="1:87" s="551" customFormat="1" ht="12" hidden="1" customHeight="1">
      <c r="A55" s="842">
        <v>39526</v>
      </c>
      <c r="B55" s="843" t="s">
        <v>854</v>
      </c>
      <c r="C55" s="844">
        <v>28</v>
      </c>
      <c r="D55" s="842">
        <v>39554</v>
      </c>
      <c r="E55" s="845">
        <v>35</v>
      </c>
      <c r="F55" s="845">
        <v>54.475999999999999</v>
      </c>
      <c r="G55" s="845">
        <v>35</v>
      </c>
      <c r="H55" s="845">
        <v>0</v>
      </c>
      <c r="I55" s="846">
        <v>7.4999999999999997E-2</v>
      </c>
      <c r="J55" s="846">
        <v>9.3200000000000005E-2</v>
      </c>
      <c r="K55" s="846">
        <v>8.9300000000000004E-2</v>
      </c>
      <c r="L55" s="844">
        <v>8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</row>
    <row r="56" spans="1:87" s="551" customFormat="1" ht="12" hidden="1" customHeight="1">
      <c r="A56" s="842">
        <v>39536</v>
      </c>
      <c r="B56" s="843" t="s">
        <v>855</v>
      </c>
      <c r="C56" s="844">
        <v>25</v>
      </c>
      <c r="D56" s="842">
        <v>39561</v>
      </c>
      <c r="E56" s="845">
        <v>50</v>
      </c>
      <c r="F56" s="845">
        <v>35.657600000000002</v>
      </c>
      <c r="G56" s="845">
        <v>35.657600000000002</v>
      </c>
      <c r="H56" s="845">
        <v>-2.5069999999999997</v>
      </c>
      <c r="I56" s="846">
        <v>8.5500000000000007E-2</v>
      </c>
      <c r="J56" s="846">
        <v>0.1103</v>
      </c>
      <c r="K56" s="846">
        <v>9.2799999999999994E-2</v>
      </c>
      <c r="L56" s="844">
        <v>5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</row>
    <row r="57" spans="1:87" s="551" customFormat="1" ht="12" hidden="1" customHeight="1">
      <c r="A57" s="842">
        <v>39540</v>
      </c>
      <c r="B57" s="843" t="s">
        <v>856</v>
      </c>
      <c r="C57" s="844">
        <v>28</v>
      </c>
      <c r="D57" s="842">
        <v>39568</v>
      </c>
      <c r="E57" s="845">
        <v>55</v>
      </c>
      <c r="F57" s="845">
        <v>70.306600000000003</v>
      </c>
      <c r="G57" s="845">
        <v>50</v>
      </c>
      <c r="H57" s="845">
        <v>-15.0052</v>
      </c>
      <c r="I57" s="846">
        <v>9.1899999999999996E-2</v>
      </c>
      <c r="J57" s="846">
        <v>0.1037</v>
      </c>
      <c r="K57" s="846">
        <v>0.1024</v>
      </c>
      <c r="L57" s="844">
        <v>13</v>
      </c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9"/>
      <c r="BH57" s="549"/>
      <c r="BI57" s="549"/>
      <c r="BJ57" s="549"/>
      <c r="BK57" s="549"/>
      <c r="BL57" s="549"/>
      <c r="BM57" s="549"/>
      <c r="BN57" s="549"/>
      <c r="BO57" s="549"/>
      <c r="BP57" s="549"/>
      <c r="BQ57" s="549"/>
      <c r="BR57" s="549"/>
      <c r="BS57" s="549"/>
      <c r="BT57" s="549"/>
      <c r="BU57" s="549"/>
      <c r="BV57" s="549"/>
      <c r="BW57" s="549"/>
      <c r="BX57" s="549"/>
      <c r="BY57" s="549"/>
      <c r="BZ57" s="549"/>
      <c r="CA57" s="549"/>
      <c r="CB57" s="549"/>
      <c r="CC57" s="549"/>
      <c r="CD57" s="549"/>
      <c r="CE57" s="549"/>
      <c r="CF57" s="549"/>
      <c r="CG57" s="549"/>
      <c r="CH57" s="549"/>
      <c r="CI57" s="549"/>
    </row>
    <row r="58" spans="1:87" s="551" customFormat="1" ht="12" hidden="1" customHeight="1">
      <c r="A58" s="842">
        <v>39547</v>
      </c>
      <c r="B58" s="843" t="s">
        <v>857</v>
      </c>
      <c r="C58" s="844">
        <v>28</v>
      </c>
      <c r="D58" s="842">
        <v>39575</v>
      </c>
      <c r="E58" s="845">
        <v>60</v>
      </c>
      <c r="F58" s="845">
        <v>68.849000000000004</v>
      </c>
      <c r="G58" s="845">
        <v>50</v>
      </c>
      <c r="H58" s="845">
        <v>-1.9104000000000001</v>
      </c>
      <c r="I58" s="846">
        <v>9.4500000000000001E-2</v>
      </c>
      <c r="J58" s="846">
        <v>0.1024</v>
      </c>
      <c r="K58" s="846">
        <v>9.98E-2</v>
      </c>
      <c r="L58" s="844">
        <v>12</v>
      </c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549"/>
      <c r="BH58" s="549"/>
      <c r="BI58" s="549"/>
      <c r="BJ58" s="549"/>
      <c r="BK58" s="549"/>
      <c r="BL58" s="549"/>
      <c r="BM58" s="549"/>
      <c r="BN58" s="549"/>
      <c r="BO58" s="549"/>
      <c r="BP58" s="549"/>
      <c r="BQ58" s="549"/>
      <c r="BR58" s="549"/>
      <c r="BS58" s="549"/>
      <c r="BT58" s="549"/>
      <c r="BU58" s="549"/>
      <c r="BV58" s="549"/>
      <c r="BW58" s="549"/>
      <c r="BX58" s="549"/>
      <c r="BY58" s="549"/>
      <c r="BZ58" s="549"/>
      <c r="CA58" s="549"/>
      <c r="CB58" s="549"/>
      <c r="CC58" s="549"/>
      <c r="CD58" s="549"/>
      <c r="CE58" s="549"/>
      <c r="CF58" s="549"/>
      <c r="CG58" s="549"/>
      <c r="CH58" s="549"/>
      <c r="CI58" s="549"/>
    </row>
    <row r="59" spans="1:87" s="551" customFormat="1" ht="12" hidden="1" customHeight="1">
      <c r="A59" s="842">
        <v>39554</v>
      </c>
      <c r="B59" s="843" t="s">
        <v>858</v>
      </c>
      <c r="C59" s="844">
        <v>28</v>
      </c>
      <c r="D59" s="842">
        <v>39582</v>
      </c>
      <c r="E59" s="845">
        <v>50</v>
      </c>
      <c r="F59" s="845">
        <v>32.110999999999997</v>
      </c>
      <c r="G59" s="845">
        <v>32.110999999999997</v>
      </c>
      <c r="H59" s="845">
        <v>0</v>
      </c>
      <c r="I59" s="846">
        <v>9.1899999999999996E-2</v>
      </c>
      <c r="J59" s="846">
        <v>0.1024</v>
      </c>
      <c r="K59" s="846">
        <v>0.1011</v>
      </c>
      <c r="L59" s="844">
        <v>7</v>
      </c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9"/>
      <c r="BH59" s="549"/>
      <c r="BI59" s="549"/>
      <c r="BJ59" s="549"/>
      <c r="BK59" s="549"/>
      <c r="BL59" s="549"/>
      <c r="BM59" s="549"/>
      <c r="BN59" s="549"/>
      <c r="BO59" s="549"/>
      <c r="BP59" s="549"/>
      <c r="BQ59" s="549"/>
      <c r="BR59" s="549"/>
      <c r="BS59" s="549"/>
      <c r="BT59" s="549"/>
      <c r="BU59" s="549"/>
      <c r="BV59" s="549"/>
      <c r="BW59" s="549"/>
      <c r="BX59" s="549"/>
      <c r="BY59" s="549"/>
      <c r="BZ59" s="549"/>
      <c r="CA59" s="549"/>
      <c r="CB59" s="549"/>
      <c r="CC59" s="549"/>
      <c r="CD59" s="549"/>
      <c r="CE59" s="549"/>
      <c r="CF59" s="549"/>
      <c r="CG59" s="549"/>
      <c r="CH59" s="549"/>
      <c r="CI59" s="549"/>
    </row>
    <row r="60" spans="1:87" s="551" customFormat="1" ht="12" hidden="1" customHeight="1">
      <c r="A60" s="842">
        <v>39561</v>
      </c>
      <c r="B60" s="843" t="s">
        <v>859</v>
      </c>
      <c r="C60" s="844">
        <v>28</v>
      </c>
      <c r="D60" s="842">
        <v>39589</v>
      </c>
      <c r="E60" s="845">
        <v>50</v>
      </c>
      <c r="F60" s="845">
        <v>24.9084</v>
      </c>
      <c r="G60" s="845">
        <v>24.9084</v>
      </c>
      <c r="H60" s="845">
        <v>-0.60499999999999998</v>
      </c>
      <c r="I60" s="846">
        <v>9.8500000000000004E-2</v>
      </c>
      <c r="J60" s="846">
        <v>0.105</v>
      </c>
      <c r="K60" s="846">
        <v>0.1024</v>
      </c>
      <c r="L60" s="844">
        <v>7</v>
      </c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549"/>
      <c r="BH60" s="549"/>
      <c r="BI60" s="549"/>
      <c r="BJ60" s="549"/>
      <c r="BK60" s="549"/>
      <c r="BL60" s="549"/>
      <c r="BM60" s="549"/>
      <c r="BN60" s="549"/>
      <c r="BO60" s="549"/>
      <c r="BP60" s="549"/>
      <c r="BQ60" s="549"/>
      <c r="BR60" s="549"/>
      <c r="BS60" s="549"/>
      <c r="BT60" s="549"/>
      <c r="BU60" s="549"/>
      <c r="BV60" s="549"/>
      <c r="BW60" s="549"/>
      <c r="BX60" s="549"/>
      <c r="BY60" s="549"/>
      <c r="BZ60" s="549"/>
      <c r="CA60" s="549"/>
      <c r="CB60" s="549"/>
      <c r="CC60" s="549"/>
      <c r="CD60" s="549"/>
      <c r="CE60" s="549"/>
      <c r="CF60" s="549"/>
      <c r="CG60" s="549"/>
      <c r="CH60" s="549"/>
      <c r="CI60" s="549"/>
    </row>
    <row r="61" spans="1:87" s="551" customFormat="1" ht="12" hidden="1" customHeight="1">
      <c r="A61" s="842">
        <v>39568</v>
      </c>
      <c r="B61" s="843" t="s">
        <v>860</v>
      </c>
      <c r="C61" s="844">
        <v>29</v>
      </c>
      <c r="D61" s="842">
        <v>39597</v>
      </c>
      <c r="E61" s="845">
        <v>50</v>
      </c>
      <c r="F61" s="845">
        <v>37.738399999999999</v>
      </c>
      <c r="G61" s="845">
        <v>37.738399999999999</v>
      </c>
      <c r="H61" s="845">
        <v>-9.7103999999999999</v>
      </c>
      <c r="I61" s="846">
        <v>9.5100000000000004E-2</v>
      </c>
      <c r="J61" s="846">
        <v>0.1052</v>
      </c>
      <c r="K61" s="846">
        <v>0.1026</v>
      </c>
      <c r="L61" s="844">
        <v>9</v>
      </c>
      <c r="M61" s="549"/>
      <c r="N61" s="549"/>
      <c r="O61" s="549"/>
      <c r="P61" s="549"/>
      <c r="Q61" s="549"/>
      <c r="R61" s="549"/>
      <c r="S61" s="549"/>
      <c r="T61" s="549"/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  <c r="AK61" s="549"/>
      <c r="AL61" s="549"/>
      <c r="AM61" s="549"/>
      <c r="AN61" s="549"/>
      <c r="AO61" s="549"/>
      <c r="AP61" s="549"/>
      <c r="AQ61" s="549"/>
      <c r="AR61" s="549"/>
      <c r="AS61" s="549"/>
      <c r="AT61" s="549"/>
      <c r="AU61" s="549"/>
      <c r="AV61" s="549"/>
      <c r="AW61" s="549"/>
      <c r="AX61" s="549"/>
      <c r="AY61" s="549"/>
      <c r="AZ61" s="549"/>
      <c r="BA61" s="549"/>
      <c r="BB61" s="549"/>
      <c r="BC61" s="549"/>
      <c r="BD61" s="549"/>
      <c r="BE61" s="549"/>
      <c r="BF61" s="549"/>
      <c r="BG61" s="549"/>
      <c r="BH61" s="549"/>
      <c r="BI61" s="549"/>
      <c r="BJ61" s="549"/>
      <c r="BK61" s="549"/>
      <c r="BL61" s="549"/>
      <c r="BM61" s="549"/>
      <c r="BN61" s="549"/>
      <c r="BO61" s="549"/>
      <c r="BP61" s="549"/>
      <c r="BQ61" s="549"/>
      <c r="BR61" s="549"/>
      <c r="BS61" s="549"/>
      <c r="BT61" s="549"/>
      <c r="BU61" s="549"/>
      <c r="BV61" s="549"/>
      <c r="BW61" s="549"/>
      <c r="BX61" s="549"/>
      <c r="BY61" s="549"/>
      <c r="BZ61" s="549"/>
      <c r="CA61" s="549"/>
      <c r="CB61" s="549"/>
      <c r="CC61" s="549"/>
      <c r="CD61" s="549"/>
      <c r="CE61" s="549"/>
      <c r="CF61" s="549"/>
      <c r="CG61" s="549"/>
      <c r="CH61" s="549"/>
      <c r="CI61" s="549"/>
    </row>
    <row r="62" spans="1:87" s="551" customFormat="1" ht="12" hidden="1" customHeight="1">
      <c r="A62" s="842">
        <v>39575</v>
      </c>
      <c r="B62" s="843" t="s">
        <v>861</v>
      </c>
      <c r="C62" s="844">
        <v>28</v>
      </c>
      <c r="D62" s="842">
        <v>39603</v>
      </c>
      <c r="E62" s="845">
        <v>60</v>
      </c>
      <c r="F62" s="845">
        <v>63.486600000000003</v>
      </c>
      <c r="G62" s="845">
        <v>50</v>
      </c>
      <c r="H62" s="845">
        <v>0</v>
      </c>
      <c r="I62" s="846">
        <v>9.8500000000000004E-2</v>
      </c>
      <c r="J62" s="846">
        <v>0.1011</v>
      </c>
      <c r="K62" s="846">
        <v>9.98E-2</v>
      </c>
      <c r="L62" s="844">
        <v>12</v>
      </c>
      <c r="M62" s="549"/>
      <c r="N62" s="549"/>
      <c r="O62" s="549"/>
      <c r="P62" s="549"/>
      <c r="Q62" s="549"/>
      <c r="R62" s="549"/>
      <c r="S62" s="549"/>
      <c r="T62" s="549"/>
      <c r="U62" s="549"/>
      <c r="V62" s="549"/>
      <c r="W62" s="549"/>
      <c r="X62" s="549"/>
      <c r="Y62" s="549"/>
      <c r="Z62" s="549"/>
      <c r="AA62" s="549"/>
      <c r="AB62" s="549"/>
      <c r="AC62" s="549"/>
      <c r="AD62" s="549"/>
      <c r="AE62" s="549"/>
      <c r="AF62" s="549"/>
      <c r="AG62" s="549"/>
      <c r="AH62" s="549"/>
      <c r="AI62" s="549"/>
      <c r="AJ62" s="549"/>
      <c r="AK62" s="549"/>
      <c r="AL62" s="549"/>
      <c r="AM62" s="549"/>
      <c r="AN62" s="549"/>
      <c r="AO62" s="549"/>
      <c r="AP62" s="549"/>
      <c r="AQ62" s="549"/>
      <c r="AR62" s="549"/>
      <c r="AS62" s="549"/>
      <c r="AT62" s="549"/>
      <c r="AU62" s="549"/>
      <c r="AV62" s="549"/>
      <c r="AW62" s="549"/>
      <c r="AX62" s="549"/>
      <c r="AY62" s="549"/>
      <c r="AZ62" s="549"/>
      <c r="BA62" s="549"/>
      <c r="BB62" s="549"/>
      <c r="BC62" s="549"/>
      <c r="BD62" s="549"/>
      <c r="BE62" s="549"/>
      <c r="BF62" s="549"/>
      <c r="BG62" s="549"/>
      <c r="BH62" s="549"/>
      <c r="BI62" s="549"/>
      <c r="BJ62" s="549"/>
      <c r="BK62" s="549"/>
      <c r="BL62" s="549"/>
      <c r="BM62" s="549"/>
      <c r="BN62" s="549"/>
      <c r="BO62" s="549"/>
      <c r="BP62" s="549"/>
      <c r="BQ62" s="549"/>
      <c r="BR62" s="549"/>
      <c r="BS62" s="549"/>
      <c r="BT62" s="549"/>
      <c r="BU62" s="549"/>
      <c r="BV62" s="549"/>
      <c r="BW62" s="549"/>
      <c r="BX62" s="549"/>
      <c r="BY62" s="549"/>
      <c r="BZ62" s="549"/>
      <c r="CA62" s="549"/>
      <c r="CB62" s="549"/>
      <c r="CC62" s="549"/>
      <c r="CD62" s="549"/>
      <c r="CE62" s="549"/>
      <c r="CF62" s="549"/>
      <c r="CG62" s="549"/>
      <c r="CH62" s="549"/>
      <c r="CI62" s="549"/>
    </row>
    <row r="63" spans="1:87" s="551" customFormat="1" ht="12" hidden="1" customHeight="1">
      <c r="A63" s="842">
        <v>39582</v>
      </c>
      <c r="B63" s="843" t="s">
        <v>862</v>
      </c>
      <c r="C63" s="844">
        <v>28</v>
      </c>
      <c r="D63" s="842">
        <v>39610</v>
      </c>
      <c r="E63" s="845">
        <v>50</v>
      </c>
      <c r="F63" s="845">
        <v>27.9376</v>
      </c>
      <c r="G63" s="845">
        <v>27.9376</v>
      </c>
      <c r="H63" s="845">
        <v>-22.972000000000001</v>
      </c>
      <c r="I63" s="846">
        <v>9.8500000000000004E-2</v>
      </c>
      <c r="J63" s="846">
        <v>0.1024</v>
      </c>
      <c r="K63" s="846">
        <v>0.1011</v>
      </c>
      <c r="L63" s="844">
        <v>4</v>
      </c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  <c r="BA63" s="549"/>
      <c r="BB63" s="549"/>
      <c r="BC63" s="549"/>
      <c r="BD63" s="549"/>
      <c r="BE63" s="549"/>
      <c r="BF63" s="549"/>
      <c r="BG63" s="549"/>
      <c r="BH63" s="549"/>
      <c r="BI63" s="549"/>
      <c r="BJ63" s="549"/>
      <c r="BK63" s="549"/>
      <c r="BL63" s="549"/>
      <c r="BM63" s="549"/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</row>
    <row r="64" spans="1:87" ht="12" hidden="1" customHeight="1">
      <c r="A64" s="555"/>
      <c r="B64" s="556"/>
      <c r="C64" s="552"/>
      <c r="D64" s="555"/>
      <c r="E64" s="554"/>
      <c r="F64" s="554"/>
      <c r="G64" s="554"/>
      <c r="H64" s="554"/>
      <c r="I64" s="553"/>
      <c r="J64" s="553"/>
      <c r="K64" s="553"/>
      <c r="L64" s="552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49"/>
      <c r="AJ64" s="549"/>
      <c r="AK64" s="549"/>
      <c r="AL64" s="549"/>
      <c r="AM64" s="549"/>
      <c r="AN64" s="549"/>
      <c r="AO64" s="549"/>
      <c r="AP64" s="549"/>
      <c r="AQ64" s="549"/>
      <c r="AR64" s="549"/>
      <c r="AS64" s="549"/>
      <c r="AT64" s="549"/>
      <c r="AU64" s="549"/>
      <c r="AV64" s="549"/>
      <c r="AW64" s="549"/>
      <c r="AX64" s="549"/>
      <c r="AY64" s="549"/>
      <c r="AZ64" s="549"/>
      <c r="BA64" s="549"/>
      <c r="BB64" s="549"/>
      <c r="BC64" s="549"/>
      <c r="BD64" s="549"/>
      <c r="BE64" s="549"/>
      <c r="BF64" s="549"/>
      <c r="BG64" s="549"/>
      <c r="BH64" s="549"/>
      <c r="BI64" s="549"/>
      <c r="BJ64" s="549"/>
      <c r="BK64" s="549"/>
      <c r="BL64" s="549"/>
      <c r="BM64" s="549"/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</row>
    <row r="65" spans="1:87" ht="12" hidden="1" customHeight="1">
      <c r="A65" s="552">
        <v>2008</v>
      </c>
      <c r="B65" s="556"/>
      <c r="C65" s="552"/>
      <c r="D65" s="555"/>
      <c r="E65" s="554"/>
      <c r="F65" s="554"/>
      <c r="G65" s="554"/>
      <c r="H65" s="554"/>
      <c r="I65" s="553"/>
      <c r="J65" s="553"/>
      <c r="K65" s="553"/>
      <c r="L65" s="552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549"/>
      <c r="Y65" s="549"/>
      <c r="Z65" s="549"/>
      <c r="AA65" s="549"/>
      <c r="AB65" s="549"/>
      <c r="AC65" s="549"/>
      <c r="AD65" s="549"/>
      <c r="AE65" s="549"/>
      <c r="AF65" s="549"/>
      <c r="AG65" s="549"/>
      <c r="AH65" s="549"/>
      <c r="AI65" s="549"/>
      <c r="AJ65" s="549"/>
      <c r="AK65" s="549"/>
      <c r="AL65" s="549"/>
      <c r="AM65" s="549"/>
      <c r="AN65" s="549"/>
      <c r="AO65" s="549"/>
      <c r="AP65" s="549"/>
      <c r="AQ65" s="549"/>
      <c r="AR65" s="549"/>
      <c r="AS65" s="549"/>
      <c r="AT65" s="549"/>
      <c r="AU65" s="549"/>
      <c r="AV65" s="549"/>
      <c r="AW65" s="549"/>
      <c r="AX65" s="549"/>
      <c r="AY65" s="549"/>
      <c r="AZ65" s="549"/>
      <c r="BA65" s="549"/>
      <c r="BB65" s="549"/>
      <c r="BC65" s="549"/>
      <c r="BD65" s="549"/>
      <c r="BE65" s="549"/>
      <c r="BF65" s="549"/>
      <c r="BG65" s="549"/>
      <c r="BH65" s="549"/>
      <c r="BI65" s="549"/>
      <c r="BJ65" s="549"/>
      <c r="BK65" s="549"/>
      <c r="BL65" s="549"/>
      <c r="BM65" s="549"/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</row>
    <row r="66" spans="1:87" s="551" customFormat="1" ht="12" hidden="1" customHeight="1">
      <c r="A66" s="842">
        <v>39597</v>
      </c>
      <c r="B66" s="843" t="s">
        <v>863</v>
      </c>
      <c r="C66" s="844">
        <v>27</v>
      </c>
      <c r="D66" s="842">
        <v>39624</v>
      </c>
      <c r="E66" s="845">
        <v>40</v>
      </c>
      <c r="F66" s="845">
        <v>34.417499999999997</v>
      </c>
      <c r="G66" s="845">
        <v>30</v>
      </c>
      <c r="H66" s="845">
        <v>-3.7113999999999998</v>
      </c>
      <c r="I66" s="846">
        <v>9.8000000000000004E-2</v>
      </c>
      <c r="J66" s="846">
        <v>0.1008</v>
      </c>
      <c r="K66" s="846">
        <v>0.1008</v>
      </c>
      <c r="L66" s="844">
        <v>9</v>
      </c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549"/>
      <c r="AC66" s="549"/>
      <c r="AD66" s="549"/>
      <c r="AE66" s="549"/>
      <c r="AF66" s="549"/>
      <c r="AG66" s="549"/>
      <c r="AH66" s="549"/>
      <c r="AI66" s="549"/>
      <c r="AJ66" s="549"/>
      <c r="AK66" s="549"/>
      <c r="AL66" s="549"/>
      <c r="AM66" s="549"/>
      <c r="AN66" s="549"/>
      <c r="AO66" s="549"/>
      <c r="AP66" s="549"/>
      <c r="AQ66" s="549"/>
      <c r="AR66" s="549"/>
      <c r="AS66" s="549"/>
      <c r="AT66" s="549"/>
      <c r="AU66" s="549"/>
      <c r="AV66" s="549"/>
      <c r="AW66" s="549"/>
      <c r="AX66" s="549"/>
      <c r="AY66" s="549"/>
      <c r="AZ66" s="549"/>
      <c r="BA66" s="549"/>
      <c r="BB66" s="549"/>
      <c r="BC66" s="549"/>
      <c r="BD66" s="549"/>
      <c r="BE66" s="549"/>
      <c r="BF66" s="549"/>
      <c r="BG66" s="549"/>
      <c r="BH66" s="549"/>
      <c r="BI66" s="549"/>
      <c r="BJ66" s="549"/>
      <c r="BK66" s="549"/>
      <c r="BL66" s="549"/>
      <c r="BM66" s="549"/>
      <c r="BN66" s="549"/>
      <c r="BO66" s="549"/>
      <c r="BP66" s="549"/>
      <c r="BQ66" s="549"/>
      <c r="BR66" s="549"/>
      <c r="BS66" s="549"/>
      <c r="BT66" s="549"/>
      <c r="BU66" s="549"/>
      <c r="BV66" s="549"/>
      <c r="BW66" s="549"/>
      <c r="BX66" s="549"/>
      <c r="BY66" s="549"/>
      <c r="BZ66" s="549"/>
      <c r="CA66" s="549"/>
      <c r="CB66" s="549"/>
      <c r="CC66" s="549"/>
      <c r="CD66" s="549"/>
      <c r="CE66" s="549"/>
      <c r="CF66" s="549"/>
      <c r="CG66" s="549"/>
      <c r="CH66" s="549"/>
      <c r="CI66" s="549"/>
    </row>
    <row r="67" spans="1:87" ht="12" hidden="1" customHeight="1">
      <c r="A67" s="847">
        <v>39603</v>
      </c>
      <c r="B67" s="848" t="s">
        <v>864</v>
      </c>
      <c r="C67" s="849">
        <v>28</v>
      </c>
      <c r="D67" s="847">
        <v>39631</v>
      </c>
      <c r="E67" s="850">
        <v>60</v>
      </c>
      <c r="F67" s="850">
        <v>30.401800000000001</v>
      </c>
      <c r="G67" s="850">
        <v>30.401800000000001</v>
      </c>
      <c r="H67" s="850">
        <v>-2.0217999999999998</v>
      </c>
      <c r="I67" s="851">
        <v>9.7199999999999995E-2</v>
      </c>
      <c r="J67" s="851">
        <v>0.1024</v>
      </c>
      <c r="K67" s="851">
        <v>0.1011</v>
      </c>
      <c r="L67" s="849">
        <v>8</v>
      </c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549"/>
      <c r="AC67" s="549"/>
      <c r="AD67" s="549"/>
      <c r="AE67" s="549"/>
      <c r="AF67" s="549"/>
      <c r="AG67" s="549"/>
      <c r="AH67" s="549"/>
      <c r="AI67" s="549"/>
      <c r="AJ67" s="549"/>
      <c r="AK67" s="549"/>
      <c r="AL67" s="549"/>
      <c r="AM67" s="549"/>
      <c r="AN67" s="549"/>
      <c r="AO67" s="549"/>
      <c r="AP67" s="549"/>
      <c r="AQ67" s="549"/>
      <c r="AR67" s="549"/>
      <c r="AS67" s="549"/>
      <c r="AT67" s="549"/>
      <c r="AU67" s="549"/>
      <c r="AV67" s="549"/>
      <c r="AW67" s="549"/>
      <c r="AX67" s="549"/>
      <c r="AY67" s="549"/>
      <c r="AZ67" s="549"/>
      <c r="BA67" s="549"/>
      <c r="BB67" s="549"/>
      <c r="BC67" s="549"/>
      <c r="BD67" s="549"/>
      <c r="BE67" s="549"/>
      <c r="BF67" s="549"/>
      <c r="BG67" s="549"/>
      <c r="BH67" s="549"/>
      <c r="BI67" s="549"/>
      <c r="BJ67" s="549"/>
      <c r="BK67" s="549"/>
      <c r="BL67" s="549"/>
      <c r="BM67" s="549"/>
      <c r="BN67" s="549"/>
      <c r="BO67" s="549"/>
      <c r="BP67" s="549"/>
      <c r="BQ67" s="549"/>
      <c r="BR67" s="549"/>
      <c r="BS67" s="549"/>
      <c r="BT67" s="549"/>
      <c r="BU67" s="549"/>
      <c r="BV67" s="549"/>
      <c r="BW67" s="549"/>
      <c r="BX67" s="549"/>
      <c r="BY67" s="549"/>
      <c r="BZ67" s="549"/>
      <c r="CA67" s="549"/>
      <c r="CB67" s="549"/>
      <c r="CC67" s="549"/>
      <c r="CD67" s="549"/>
      <c r="CE67" s="549"/>
      <c r="CF67" s="549"/>
      <c r="CG67" s="549"/>
      <c r="CH67" s="549"/>
      <c r="CI67" s="549"/>
    </row>
    <row r="68" spans="1:87" s="551" customFormat="1" ht="12" hidden="1" customHeight="1">
      <c r="A68" s="847">
        <v>39610</v>
      </c>
      <c r="B68" s="848" t="s">
        <v>865</v>
      </c>
      <c r="C68" s="849">
        <v>28</v>
      </c>
      <c r="D68" s="847">
        <v>39638</v>
      </c>
      <c r="E68" s="850">
        <v>20</v>
      </c>
      <c r="F68" s="850">
        <v>13.8094</v>
      </c>
      <c r="G68" s="850">
        <v>13.8094</v>
      </c>
      <c r="H68" s="850">
        <v>-2.0142000000000002</v>
      </c>
      <c r="I68" s="851">
        <v>9.98E-2</v>
      </c>
      <c r="J68" s="851">
        <v>0.1115</v>
      </c>
      <c r="K68" s="851">
        <v>0.10630000000000001</v>
      </c>
      <c r="L68" s="849">
        <v>7</v>
      </c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549"/>
      <c r="AC68" s="549"/>
      <c r="AD68" s="549"/>
      <c r="AE68" s="549"/>
      <c r="AF68" s="549"/>
      <c r="AG68" s="549"/>
      <c r="AH68" s="549"/>
      <c r="AI68" s="549"/>
      <c r="AJ68" s="549"/>
      <c r="AK68" s="549"/>
      <c r="AL68" s="549"/>
      <c r="AM68" s="549"/>
      <c r="AN68" s="549"/>
      <c r="AO68" s="549"/>
      <c r="AP68" s="549"/>
      <c r="AQ68" s="549"/>
      <c r="AR68" s="549"/>
      <c r="AS68" s="549"/>
      <c r="AT68" s="549"/>
      <c r="AU68" s="549"/>
      <c r="AV68" s="549"/>
      <c r="AW68" s="549"/>
      <c r="AX68" s="549"/>
      <c r="AY68" s="549"/>
      <c r="AZ68" s="549"/>
      <c r="BA68" s="549"/>
      <c r="BB68" s="549"/>
      <c r="BC68" s="549"/>
      <c r="BD68" s="549"/>
      <c r="BE68" s="549"/>
      <c r="BF68" s="549"/>
      <c r="BG68" s="549"/>
      <c r="BH68" s="549"/>
      <c r="BI68" s="549"/>
      <c r="BJ68" s="549"/>
      <c r="BK68" s="549"/>
      <c r="BL68" s="549"/>
      <c r="BM68" s="549"/>
      <c r="BN68" s="549"/>
      <c r="BO68" s="549"/>
      <c r="BP68" s="549"/>
      <c r="BQ68" s="549"/>
      <c r="BR68" s="549"/>
      <c r="BS68" s="549"/>
      <c r="BT68" s="549"/>
      <c r="BU68" s="549"/>
      <c r="BV68" s="549"/>
      <c r="BW68" s="549"/>
      <c r="BX68" s="549"/>
      <c r="BY68" s="549"/>
      <c r="BZ68" s="549"/>
      <c r="CA68" s="549"/>
      <c r="CB68" s="549"/>
      <c r="CC68" s="549"/>
      <c r="CD68" s="549"/>
      <c r="CE68" s="549"/>
      <c r="CF68" s="549"/>
      <c r="CG68" s="549"/>
      <c r="CH68" s="549"/>
      <c r="CI68" s="549"/>
    </row>
    <row r="69" spans="1:87" ht="12" hidden="1" customHeight="1">
      <c r="A69" s="847">
        <v>39617</v>
      </c>
      <c r="B69" s="848" t="s">
        <v>866</v>
      </c>
      <c r="C69" s="849">
        <v>28</v>
      </c>
      <c r="D69" s="847">
        <v>39645</v>
      </c>
      <c r="E69" s="850">
        <v>20</v>
      </c>
      <c r="F69" s="850">
        <v>43.156199999999998</v>
      </c>
      <c r="G69" s="850">
        <v>20</v>
      </c>
      <c r="H69" s="850">
        <v>-1.3557999999999999</v>
      </c>
      <c r="I69" s="851">
        <v>9.8500000000000004E-2</v>
      </c>
      <c r="J69" s="851">
        <v>0.1076</v>
      </c>
      <c r="K69" s="851">
        <v>0.1037</v>
      </c>
      <c r="L69" s="849">
        <v>11</v>
      </c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549"/>
      <c r="Y69" s="549"/>
      <c r="Z69" s="549"/>
      <c r="AA69" s="549"/>
      <c r="AB69" s="549"/>
      <c r="AC69" s="549"/>
      <c r="AD69" s="549"/>
      <c r="AE69" s="549"/>
      <c r="AF69" s="549"/>
      <c r="AG69" s="549"/>
      <c r="AH69" s="549"/>
      <c r="AI69" s="549"/>
      <c r="AJ69" s="549"/>
      <c r="AK69" s="549"/>
      <c r="AL69" s="549"/>
      <c r="AM69" s="549"/>
      <c r="AN69" s="549"/>
      <c r="AO69" s="549"/>
      <c r="AP69" s="549"/>
      <c r="AQ69" s="549"/>
      <c r="AR69" s="549"/>
      <c r="AS69" s="549"/>
      <c r="AT69" s="549"/>
      <c r="AU69" s="549"/>
      <c r="AV69" s="549"/>
      <c r="AW69" s="549"/>
      <c r="AX69" s="549"/>
      <c r="AY69" s="549"/>
      <c r="AZ69" s="549"/>
      <c r="BA69" s="549"/>
      <c r="BB69" s="549"/>
      <c r="BC69" s="549"/>
      <c r="BD69" s="549"/>
      <c r="BE69" s="549"/>
      <c r="BF69" s="549"/>
      <c r="BG69" s="549"/>
      <c r="BH69" s="549"/>
      <c r="BI69" s="549"/>
      <c r="BJ69" s="549"/>
      <c r="BK69" s="549"/>
      <c r="BL69" s="549"/>
      <c r="BM69" s="549"/>
      <c r="BN69" s="549"/>
      <c r="BO69" s="549"/>
      <c r="BP69" s="549"/>
      <c r="BQ69" s="549"/>
      <c r="BR69" s="549"/>
      <c r="BS69" s="549"/>
      <c r="BT69" s="549"/>
      <c r="BU69" s="549"/>
      <c r="BV69" s="549"/>
      <c r="BW69" s="549"/>
      <c r="BX69" s="549"/>
      <c r="BY69" s="549"/>
      <c r="BZ69" s="549"/>
      <c r="CA69" s="549"/>
      <c r="CB69" s="549"/>
      <c r="CC69" s="549"/>
      <c r="CD69" s="549"/>
      <c r="CE69" s="549"/>
      <c r="CF69" s="549"/>
      <c r="CG69" s="549"/>
      <c r="CH69" s="549"/>
      <c r="CI69" s="549"/>
    </row>
    <row r="70" spans="1:87" s="551" customFormat="1" ht="12" hidden="1" customHeight="1">
      <c r="A70" s="847">
        <v>39624</v>
      </c>
      <c r="B70" s="848" t="s">
        <v>867</v>
      </c>
      <c r="C70" s="849">
        <v>28</v>
      </c>
      <c r="D70" s="847">
        <v>39652</v>
      </c>
      <c r="E70" s="850">
        <v>60</v>
      </c>
      <c r="F70" s="850">
        <v>85.871799999999993</v>
      </c>
      <c r="G70" s="850">
        <v>40</v>
      </c>
      <c r="H70" s="850">
        <v>-10.710599999999999</v>
      </c>
      <c r="I70" s="851">
        <v>8.9300000000000004E-2</v>
      </c>
      <c r="J70" s="851">
        <v>9.7199999999999995E-2</v>
      </c>
      <c r="K70" s="851">
        <v>9.4500000000000001E-2</v>
      </c>
      <c r="L70" s="849">
        <v>18</v>
      </c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549"/>
      <c r="Z70" s="549"/>
      <c r="AA70" s="549"/>
      <c r="AB70" s="549"/>
      <c r="AC70" s="549"/>
      <c r="AD70" s="549"/>
      <c r="AE70" s="549"/>
      <c r="AF70" s="549"/>
      <c r="AG70" s="549"/>
      <c r="AH70" s="549"/>
      <c r="AI70" s="549"/>
      <c r="AJ70" s="549"/>
      <c r="AK70" s="549"/>
      <c r="AL70" s="549"/>
      <c r="AM70" s="549"/>
      <c r="AN70" s="549"/>
      <c r="AO70" s="549"/>
      <c r="AP70" s="549"/>
      <c r="AQ70" s="549"/>
      <c r="AR70" s="549"/>
      <c r="AS70" s="549"/>
      <c r="AT70" s="549"/>
      <c r="AU70" s="549"/>
      <c r="AV70" s="549"/>
      <c r="AW70" s="549"/>
      <c r="AX70" s="549"/>
      <c r="AY70" s="549"/>
      <c r="AZ70" s="549"/>
      <c r="BA70" s="549"/>
      <c r="BB70" s="549"/>
      <c r="BC70" s="549"/>
      <c r="BD70" s="549"/>
      <c r="BE70" s="549"/>
      <c r="BF70" s="549"/>
      <c r="BG70" s="549"/>
      <c r="BH70" s="549"/>
      <c r="BI70" s="549"/>
      <c r="BJ70" s="549"/>
      <c r="BK70" s="549"/>
      <c r="BL70" s="549"/>
      <c r="BM70" s="549"/>
      <c r="BN70" s="549"/>
      <c r="BO70" s="549"/>
      <c r="BP70" s="549"/>
      <c r="BQ70" s="549"/>
      <c r="BR70" s="549"/>
      <c r="BS70" s="549"/>
      <c r="BT70" s="549"/>
      <c r="BU70" s="549"/>
      <c r="BV70" s="549"/>
      <c r="BW70" s="549"/>
      <c r="BX70" s="549"/>
      <c r="BY70" s="549"/>
      <c r="BZ70" s="549"/>
      <c r="CA70" s="549"/>
      <c r="CB70" s="549"/>
      <c r="CC70" s="549"/>
      <c r="CD70" s="549"/>
      <c r="CE70" s="549"/>
      <c r="CF70" s="549"/>
      <c r="CG70" s="549"/>
      <c r="CH70" s="549"/>
      <c r="CI70" s="549"/>
    </row>
    <row r="71" spans="1:87" ht="12" hidden="1" customHeight="1">
      <c r="A71" s="847">
        <v>39631</v>
      </c>
      <c r="B71" s="848" t="s">
        <v>868</v>
      </c>
      <c r="C71" s="849">
        <v>28</v>
      </c>
      <c r="D71" s="847">
        <v>39659</v>
      </c>
      <c r="E71" s="850">
        <v>60</v>
      </c>
      <c r="F71" s="850">
        <v>37.665399999999998</v>
      </c>
      <c r="G71" s="850">
        <v>37.665399999999998</v>
      </c>
      <c r="H71" s="850">
        <v>-10.7</v>
      </c>
      <c r="I71" s="851">
        <v>9.06E-2</v>
      </c>
      <c r="J71" s="851">
        <v>0.1076</v>
      </c>
      <c r="K71" s="851">
        <v>9.8500000000000004E-2</v>
      </c>
      <c r="L71" s="849">
        <v>10</v>
      </c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549"/>
      <c r="Z71" s="549"/>
      <c r="AA71" s="549"/>
      <c r="AB71" s="549"/>
      <c r="AC71" s="549"/>
      <c r="AD71" s="549"/>
      <c r="AE71" s="549"/>
      <c r="AF71" s="549"/>
      <c r="AG71" s="549"/>
      <c r="AH71" s="549"/>
      <c r="AI71" s="549"/>
      <c r="AJ71" s="549"/>
      <c r="AK71" s="549"/>
      <c r="AL71" s="549"/>
      <c r="AM71" s="549"/>
      <c r="AN71" s="549"/>
      <c r="AO71" s="549"/>
      <c r="AP71" s="549"/>
      <c r="AQ71" s="549"/>
      <c r="AR71" s="549"/>
      <c r="AS71" s="549"/>
      <c r="AT71" s="549"/>
      <c r="AU71" s="549"/>
      <c r="AV71" s="549"/>
      <c r="AW71" s="549"/>
      <c r="AX71" s="549"/>
      <c r="AY71" s="549"/>
      <c r="AZ71" s="549"/>
      <c r="BA71" s="549"/>
      <c r="BB71" s="549"/>
      <c r="BC71" s="549"/>
      <c r="BD71" s="549"/>
      <c r="BE71" s="549"/>
      <c r="BF71" s="549"/>
      <c r="BG71" s="549"/>
      <c r="BH71" s="549"/>
      <c r="BI71" s="549"/>
      <c r="BJ71" s="549"/>
      <c r="BK71" s="549"/>
      <c r="BL71" s="549"/>
      <c r="BM71" s="549"/>
      <c r="BN71" s="549"/>
      <c r="BO71" s="549"/>
      <c r="BP71" s="549"/>
      <c r="BQ71" s="549"/>
      <c r="BR71" s="549"/>
      <c r="BS71" s="549"/>
      <c r="BT71" s="549"/>
      <c r="BU71" s="549"/>
      <c r="BV71" s="549"/>
      <c r="BW71" s="549"/>
      <c r="BX71" s="549"/>
      <c r="BY71" s="549"/>
      <c r="BZ71" s="549"/>
      <c r="CA71" s="549"/>
      <c r="CB71" s="549"/>
      <c r="CC71" s="549"/>
      <c r="CD71" s="549"/>
      <c r="CE71" s="549"/>
      <c r="CF71" s="549"/>
      <c r="CG71" s="549"/>
      <c r="CH71" s="549"/>
      <c r="CI71" s="549"/>
    </row>
    <row r="72" spans="1:87" s="551" customFormat="1" ht="12" hidden="1" customHeight="1">
      <c r="A72" s="847">
        <v>39638</v>
      </c>
      <c r="B72" s="848" t="s">
        <v>869</v>
      </c>
      <c r="C72" s="849">
        <v>28</v>
      </c>
      <c r="D72" s="847">
        <v>39666</v>
      </c>
      <c r="E72" s="850">
        <v>30</v>
      </c>
      <c r="F72" s="850">
        <v>20.498999999999999</v>
      </c>
      <c r="G72" s="850">
        <v>20</v>
      </c>
      <c r="H72" s="850">
        <v>-5.8402000000000003</v>
      </c>
      <c r="I72" s="851">
        <v>9.4500000000000001E-2</v>
      </c>
      <c r="J72" s="851">
        <v>0.1089</v>
      </c>
      <c r="K72" s="851">
        <v>9.8500000000000004E-2</v>
      </c>
      <c r="L72" s="849">
        <v>11</v>
      </c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  <c r="Z72" s="549"/>
      <c r="AA72" s="549"/>
      <c r="AB72" s="549"/>
      <c r="AC72" s="549"/>
      <c r="AD72" s="549"/>
      <c r="AE72" s="549"/>
      <c r="AF72" s="549"/>
      <c r="AG72" s="549"/>
      <c r="AH72" s="549"/>
      <c r="AI72" s="549"/>
      <c r="AJ72" s="549"/>
      <c r="AK72" s="549"/>
      <c r="AL72" s="549"/>
      <c r="AM72" s="549"/>
      <c r="AN72" s="549"/>
      <c r="AO72" s="549"/>
      <c r="AP72" s="549"/>
      <c r="AQ72" s="549"/>
      <c r="AR72" s="549"/>
      <c r="AS72" s="549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</row>
    <row r="73" spans="1:87" ht="12" hidden="1" customHeight="1">
      <c r="A73" s="847">
        <v>39645</v>
      </c>
      <c r="B73" s="848" t="s">
        <v>870</v>
      </c>
      <c r="C73" s="849">
        <v>28</v>
      </c>
      <c r="D73" s="847">
        <v>39673</v>
      </c>
      <c r="E73" s="850">
        <v>50</v>
      </c>
      <c r="F73" s="850">
        <v>21.052800000000001</v>
      </c>
      <c r="G73" s="850">
        <v>21.052800000000001</v>
      </c>
      <c r="H73" s="850">
        <v>-4.5286</v>
      </c>
      <c r="I73" s="851">
        <v>9.98E-2</v>
      </c>
      <c r="J73" s="851">
        <v>0.1128</v>
      </c>
      <c r="K73" s="851">
        <v>0.10630000000000001</v>
      </c>
      <c r="L73" s="849">
        <v>8</v>
      </c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549"/>
      <c r="Z73" s="549"/>
      <c r="AA73" s="549"/>
      <c r="AB73" s="549"/>
      <c r="AC73" s="549"/>
      <c r="AD73" s="549"/>
      <c r="AE73" s="549"/>
      <c r="AF73" s="549"/>
      <c r="AG73" s="549"/>
      <c r="AH73" s="549"/>
      <c r="AI73" s="549"/>
      <c r="AJ73" s="549"/>
      <c r="AK73" s="549"/>
      <c r="AL73" s="549"/>
      <c r="AM73" s="549"/>
      <c r="AN73" s="549"/>
      <c r="AO73" s="549"/>
      <c r="AP73" s="549"/>
      <c r="AQ73" s="549"/>
      <c r="AR73" s="549"/>
      <c r="AS73" s="549"/>
      <c r="AT73" s="549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49"/>
      <c r="BF73" s="549"/>
      <c r="BG73" s="549"/>
      <c r="BH73" s="549"/>
      <c r="BI73" s="549"/>
      <c r="BJ73" s="549"/>
      <c r="BK73" s="549"/>
      <c r="BL73" s="549"/>
      <c r="BM73" s="549"/>
      <c r="BN73" s="549"/>
      <c r="BO73" s="549"/>
      <c r="BP73" s="549"/>
      <c r="BQ73" s="549"/>
      <c r="BR73" s="549"/>
      <c r="BS73" s="549"/>
      <c r="BT73" s="549"/>
      <c r="BU73" s="549"/>
      <c r="BV73" s="549"/>
      <c r="BW73" s="549"/>
      <c r="BX73" s="549"/>
      <c r="BY73" s="549"/>
      <c r="BZ73" s="549"/>
      <c r="CA73" s="549"/>
      <c r="CB73" s="549"/>
      <c r="CC73" s="549"/>
      <c r="CD73" s="549"/>
      <c r="CE73" s="549"/>
      <c r="CF73" s="549"/>
      <c r="CG73" s="549"/>
      <c r="CH73" s="549"/>
      <c r="CI73" s="549"/>
    </row>
    <row r="74" spans="1:87" s="551" customFormat="1" ht="12" hidden="1" customHeight="1">
      <c r="A74" s="847">
        <v>39652</v>
      </c>
      <c r="B74" s="848" t="s">
        <v>871</v>
      </c>
      <c r="C74" s="849">
        <v>28</v>
      </c>
      <c r="D74" s="847">
        <v>39680</v>
      </c>
      <c r="E74" s="850">
        <v>60</v>
      </c>
      <c r="F74" s="850">
        <v>32.717199999999998</v>
      </c>
      <c r="G74" s="850">
        <v>31.197199999999999</v>
      </c>
      <c r="H74" s="850">
        <v>-4.6349999999999998</v>
      </c>
      <c r="I74" s="851">
        <v>9.98E-2</v>
      </c>
      <c r="J74" s="851">
        <v>0.1168</v>
      </c>
      <c r="K74" s="851">
        <v>0.11020000000000001</v>
      </c>
      <c r="L74" s="849">
        <v>14</v>
      </c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549"/>
      <c r="Z74" s="549"/>
      <c r="AA74" s="549"/>
      <c r="AB74" s="549"/>
      <c r="AC74" s="549"/>
      <c r="AD74" s="549"/>
      <c r="AE74" s="549"/>
      <c r="AF74" s="549"/>
      <c r="AG74" s="549"/>
      <c r="AH74" s="549"/>
      <c r="AI74" s="549"/>
      <c r="AJ74" s="549"/>
      <c r="AK74" s="549"/>
      <c r="AL74" s="549"/>
      <c r="AM74" s="549"/>
      <c r="AN74" s="549"/>
      <c r="AO74" s="549"/>
      <c r="AP74" s="549"/>
      <c r="AQ74" s="549"/>
      <c r="AR74" s="549"/>
      <c r="AS74" s="549"/>
      <c r="AT74" s="549"/>
      <c r="AU74" s="549"/>
      <c r="AV74" s="549"/>
      <c r="AW74" s="549"/>
      <c r="AX74" s="549"/>
      <c r="AY74" s="549"/>
      <c r="AZ74" s="549"/>
      <c r="BA74" s="549"/>
      <c r="BB74" s="549"/>
      <c r="BC74" s="549"/>
      <c r="BD74" s="549"/>
      <c r="BE74" s="549"/>
      <c r="BF74" s="549"/>
      <c r="BG74" s="549"/>
      <c r="BH74" s="549"/>
      <c r="BI74" s="549"/>
      <c r="BJ74" s="549"/>
      <c r="BK74" s="549"/>
      <c r="BL74" s="549"/>
      <c r="BM74" s="549"/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</row>
    <row r="75" spans="1:87" ht="12" hidden="1" customHeight="1">
      <c r="A75" s="847">
        <v>39659</v>
      </c>
      <c r="B75" s="848" t="s">
        <v>872</v>
      </c>
      <c r="C75" s="849">
        <v>28</v>
      </c>
      <c r="D75" s="847">
        <v>39687</v>
      </c>
      <c r="E75" s="850">
        <v>40</v>
      </c>
      <c r="F75" s="850">
        <v>28.450199999999999</v>
      </c>
      <c r="G75" s="850">
        <v>28.450199999999999</v>
      </c>
      <c r="H75" s="850">
        <v>-10.951599999999999</v>
      </c>
      <c r="I75" s="851">
        <v>0.1011</v>
      </c>
      <c r="J75" s="851">
        <v>0.1168</v>
      </c>
      <c r="K75" s="851">
        <v>0.1089</v>
      </c>
      <c r="L75" s="849">
        <v>10</v>
      </c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549"/>
      <c r="Z75" s="549"/>
      <c r="AA75" s="549"/>
      <c r="AB75" s="549"/>
      <c r="AC75" s="549"/>
      <c r="AD75" s="549"/>
      <c r="AE75" s="549"/>
      <c r="AF75" s="549"/>
      <c r="AG75" s="549"/>
      <c r="AH75" s="549"/>
      <c r="AI75" s="549"/>
      <c r="AJ75" s="549"/>
      <c r="AK75" s="549"/>
      <c r="AL75" s="549"/>
      <c r="AM75" s="549"/>
      <c r="AN75" s="549"/>
      <c r="AO75" s="549"/>
      <c r="AP75" s="549"/>
      <c r="AQ75" s="549"/>
      <c r="AR75" s="549"/>
      <c r="AS75" s="549"/>
      <c r="AT75" s="549"/>
      <c r="AU75" s="549"/>
      <c r="AV75" s="549"/>
      <c r="AW75" s="549"/>
      <c r="AX75" s="549"/>
      <c r="AY75" s="549"/>
      <c r="AZ75" s="549"/>
      <c r="BA75" s="549"/>
      <c r="BB75" s="549"/>
      <c r="BC75" s="549"/>
      <c r="BD75" s="549"/>
      <c r="BE75" s="549"/>
      <c r="BF75" s="549"/>
      <c r="BG75" s="549"/>
      <c r="BH75" s="549"/>
      <c r="BI75" s="549"/>
      <c r="BJ75" s="549"/>
      <c r="BK75" s="549"/>
      <c r="BL75" s="549"/>
      <c r="BM75" s="549"/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</row>
    <row r="76" spans="1:87" s="551" customFormat="1" ht="12" hidden="1" customHeight="1">
      <c r="A76" s="847">
        <v>39666</v>
      </c>
      <c r="B76" s="848" t="s">
        <v>873</v>
      </c>
      <c r="C76" s="849">
        <v>28</v>
      </c>
      <c r="D76" s="847">
        <v>39694</v>
      </c>
      <c r="E76" s="850">
        <v>40</v>
      </c>
      <c r="F76" s="850">
        <v>6.3785999999999996</v>
      </c>
      <c r="G76" s="850">
        <v>6.3785999999999996</v>
      </c>
      <c r="H76" s="850">
        <v>-3.8540000000000001</v>
      </c>
      <c r="I76" s="851">
        <v>0.1089</v>
      </c>
      <c r="J76" s="851">
        <v>0.1207</v>
      </c>
      <c r="K76" s="851">
        <v>0.1168</v>
      </c>
      <c r="L76" s="849">
        <v>4</v>
      </c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9"/>
      <c r="BH76" s="549"/>
      <c r="BI76" s="549"/>
      <c r="BJ76" s="549"/>
      <c r="BK76" s="549"/>
      <c r="BL76" s="549"/>
      <c r="BM76" s="549"/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</row>
    <row r="77" spans="1:87" ht="12" hidden="1" customHeight="1">
      <c r="A77" s="847">
        <v>39673</v>
      </c>
      <c r="B77" s="848" t="s">
        <v>874</v>
      </c>
      <c r="C77" s="849">
        <v>28</v>
      </c>
      <c r="D77" s="847">
        <v>39701</v>
      </c>
      <c r="E77" s="850">
        <v>30</v>
      </c>
      <c r="F77" s="850">
        <v>12.202400000000001</v>
      </c>
      <c r="G77" s="850">
        <v>11.6944</v>
      </c>
      <c r="H77" s="850">
        <v>-1.732</v>
      </c>
      <c r="I77" s="851">
        <v>0.1076</v>
      </c>
      <c r="J77" s="851">
        <v>0.11940000000000001</v>
      </c>
      <c r="K77" s="851">
        <v>0.1128</v>
      </c>
      <c r="L77" s="849">
        <v>6</v>
      </c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9"/>
      <c r="BH77" s="549"/>
      <c r="BI77" s="549"/>
      <c r="BJ77" s="549"/>
      <c r="BK77" s="549"/>
      <c r="BL77" s="549"/>
      <c r="BM77" s="549"/>
      <c r="BN77" s="549"/>
      <c r="BO77" s="549"/>
      <c r="BP77" s="549"/>
      <c r="BQ77" s="549"/>
      <c r="BR77" s="549"/>
      <c r="BS77" s="549"/>
      <c r="BT77" s="549"/>
      <c r="BU77" s="549"/>
      <c r="BV77" s="549"/>
      <c r="BW77" s="549"/>
      <c r="BX77" s="549"/>
      <c r="BY77" s="549"/>
      <c r="BZ77" s="549"/>
      <c r="CA77" s="549"/>
      <c r="CB77" s="549"/>
      <c r="CC77" s="549"/>
      <c r="CD77" s="549"/>
      <c r="CE77" s="549"/>
      <c r="CF77" s="549"/>
      <c r="CG77" s="549"/>
      <c r="CH77" s="549"/>
      <c r="CI77" s="549"/>
    </row>
    <row r="78" spans="1:87" s="551" customFormat="1" ht="12" hidden="1" customHeight="1">
      <c r="A78" s="847">
        <v>39680</v>
      </c>
      <c r="B78" s="848" t="s">
        <v>875</v>
      </c>
      <c r="C78" s="849">
        <v>28</v>
      </c>
      <c r="D78" s="847">
        <v>39708</v>
      </c>
      <c r="E78" s="850">
        <v>35</v>
      </c>
      <c r="F78" s="850">
        <v>12.664400000000001</v>
      </c>
      <c r="G78" s="850">
        <v>12.664400000000001</v>
      </c>
      <c r="H78" s="850">
        <v>-2.032</v>
      </c>
      <c r="I78" s="851">
        <v>0.1089</v>
      </c>
      <c r="J78" s="851">
        <v>0.11940000000000001</v>
      </c>
      <c r="K78" s="851">
        <v>0.11409999999999999</v>
      </c>
      <c r="L78" s="849">
        <v>8</v>
      </c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549"/>
      <c r="Z78" s="549"/>
      <c r="AA78" s="549"/>
      <c r="AB78" s="549"/>
      <c r="AC78" s="549"/>
      <c r="AD78" s="549"/>
      <c r="AE78" s="549"/>
      <c r="AF78" s="549"/>
      <c r="AG78" s="549"/>
      <c r="AH78" s="549"/>
      <c r="AI78" s="549"/>
      <c r="AJ78" s="549"/>
      <c r="AK78" s="549"/>
      <c r="AL78" s="549"/>
      <c r="AM78" s="549"/>
      <c r="AN78" s="549"/>
      <c r="AO78" s="549"/>
      <c r="AP78" s="549"/>
      <c r="AQ78" s="549"/>
      <c r="AR78" s="549"/>
      <c r="AS78" s="549"/>
      <c r="AT78" s="549"/>
      <c r="AU78" s="549"/>
      <c r="AV78" s="549"/>
      <c r="AW78" s="549"/>
      <c r="AX78" s="549"/>
      <c r="AY78" s="549"/>
      <c r="AZ78" s="549"/>
      <c r="BA78" s="549"/>
      <c r="BB78" s="549"/>
      <c r="BC78" s="549"/>
      <c r="BD78" s="549"/>
      <c r="BE78" s="549"/>
      <c r="BF78" s="549"/>
      <c r="BG78" s="549"/>
      <c r="BH78" s="549"/>
      <c r="BI78" s="549"/>
      <c r="BJ78" s="549"/>
      <c r="BK78" s="549"/>
      <c r="BL78" s="549"/>
      <c r="BM78" s="549"/>
      <c r="BN78" s="549"/>
      <c r="BO78" s="549"/>
      <c r="BP78" s="549"/>
      <c r="BQ78" s="549"/>
      <c r="BR78" s="549"/>
      <c r="BS78" s="549"/>
      <c r="BT78" s="549"/>
      <c r="BU78" s="549"/>
      <c r="BV78" s="549"/>
      <c r="BW78" s="549"/>
      <c r="BX78" s="549"/>
      <c r="BY78" s="549"/>
      <c r="BZ78" s="549"/>
      <c r="CA78" s="549"/>
      <c r="CB78" s="549"/>
      <c r="CC78" s="549"/>
      <c r="CD78" s="549"/>
      <c r="CE78" s="549"/>
      <c r="CF78" s="549"/>
      <c r="CG78" s="549"/>
      <c r="CH78" s="549"/>
      <c r="CI78" s="549"/>
    </row>
    <row r="79" spans="1:87" ht="12" hidden="1" customHeight="1">
      <c r="A79" s="847">
        <v>39687</v>
      </c>
      <c r="B79" s="848" t="s">
        <v>876</v>
      </c>
      <c r="C79" s="849">
        <v>28</v>
      </c>
      <c r="D79" s="847">
        <v>39715</v>
      </c>
      <c r="E79" s="850">
        <v>30</v>
      </c>
      <c r="F79" s="850">
        <v>12.6472</v>
      </c>
      <c r="G79" s="850">
        <v>12.6472</v>
      </c>
      <c r="H79" s="850">
        <v>-0.25219999999999998</v>
      </c>
      <c r="I79" s="851">
        <v>0.11020000000000001</v>
      </c>
      <c r="J79" s="851">
        <v>0.11940000000000001</v>
      </c>
      <c r="K79" s="851">
        <v>0.11409999999999999</v>
      </c>
      <c r="L79" s="849">
        <v>8</v>
      </c>
      <c r="M79" s="549"/>
      <c r="N79" s="549"/>
      <c r="O79" s="549"/>
      <c r="P79" s="549"/>
      <c r="Q79" s="549"/>
      <c r="R79" s="549"/>
      <c r="S79" s="549"/>
      <c r="T79" s="549"/>
      <c r="U79" s="549"/>
      <c r="V79" s="549"/>
      <c r="W79" s="549"/>
      <c r="X79" s="549"/>
      <c r="Y79" s="549"/>
      <c r="Z79" s="549"/>
      <c r="AA79" s="549"/>
      <c r="AB79" s="549"/>
      <c r="AC79" s="549"/>
      <c r="AD79" s="549"/>
      <c r="AE79" s="549"/>
      <c r="AF79" s="549"/>
      <c r="AG79" s="549"/>
      <c r="AH79" s="549"/>
      <c r="AI79" s="549"/>
      <c r="AJ79" s="549"/>
      <c r="AK79" s="549"/>
      <c r="AL79" s="549"/>
      <c r="AM79" s="549"/>
      <c r="AN79" s="549"/>
      <c r="AO79" s="549"/>
      <c r="AP79" s="549"/>
      <c r="AQ79" s="549"/>
      <c r="AR79" s="549"/>
      <c r="AS79" s="549"/>
      <c r="AT79" s="549"/>
      <c r="AU79" s="549"/>
      <c r="AV79" s="549"/>
      <c r="AW79" s="549"/>
      <c r="AX79" s="549"/>
      <c r="AY79" s="549"/>
      <c r="AZ79" s="549"/>
      <c r="BA79" s="549"/>
      <c r="BB79" s="549"/>
      <c r="BC79" s="549"/>
      <c r="BD79" s="549"/>
      <c r="BE79" s="549"/>
      <c r="BF79" s="549"/>
      <c r="BG79" s="549"/>
      <c r="BH79" s="549"/>
      <c r="BI79" s="549"/>
      <c r="BJ79" s="549"/>
      <c r="BK79" s="549"/>
      <c r="BL79" s="549"/>
      <c r="BM79" s="549"/>
      <c r="BN79" s="549"/>
      <c r="BO79" s="549"/>
      <c r="BP79" s="549"/>
      <c r="BQ79" s="549"/>
      <c r="BR79" s="549"/>
      <c r="BS79" s="549"/>
      <c r="BT79" s="549"/>
      <c r="BU79" s="549"/>
      <c r="BV79" s="549"/>
      <c r="BW79" s="549"/>
      <c r="BX79" s="549"/>
      <c r="BY79" s="549"/>
      <c r="BZ79" s="549"/>
      <c r="CA79" s="549"/>
      <c r="CB79" s="549"/>
      <c r="CC79" s="549"/>
      <c r="CD79" s="549"/>
      <c r="CE79" s="549"/>
      <c r="CF79" s="549"/>
      <c r="CG79" s="549"/>
      <c r="CH79" s="549"/>
      <c r="CI79" s="549"/>
    </row>
    <row r="80" spans="1:87" s="551" customFormat="1" ht="12" hidden="1" customHeight="1">
      <c r="A80" s="847">
        <v>39694</v>
      </c>
      <c r="B80" s="848" t="s">
        <v>877</v>
      </c>
      <c r="C80" s="849">
        <v>29</v>
      </c>
      <c r="D80" s="847">
        <v>39723</v>
      </c>
      <c r="E80" s="850">
        <v>30</v>
      </c>
      <c r="F80" s="850">
        <v>0.504</v>
      </c>
      <c r="G80" s="850">
        <v>0.504</v>
      </c>
      <c r="H80" s="850">
        <v>0</v>
      </c>
      <c r="I80" s="851">
        <v>0.11020000000000001</v>
      </c>
      <c r="J80" s="851">
        <v>0.11020000000000001</v>
      </c>
      <c r="K80" s="851">
        <v>0.11020000000000001</v>
      </c>
      <c r="L80" s="849">
        <v>1</v>
      </c>
      <c r="M80" s="549"/>
      <c r="N80" s="549"/>
      <c r="O80" s="549"/>
      <c r="P80" s="549"/>
      <c r="Q80" s="549"/>
      <c r="R80" s="549"/>
      <c r="S80" s="549"/>
      <c r="T80" s="549"/>
      <c r="U80" s="549"/>
      <c r="V80" s="549"/>
      <c r="W80" s="549"/>
      <c r="X80" s="549"/>
      <c r="Y80" s="549"/>
      <c r="Z80" s="549"/>
      <c r="AA80" s="549"/>
      <c r="AB80" s="549"/>
      <c r="AC80" s="549"/>
      <c r="AD80" s="549"/>
      <c r="AE80" s="549"/>
      <c r="AF80" s="549"/>
      <c r="AG80" s="549"/>
      <c r="AH80" s="549"/>
      <c r="AI80" s="549"/>
      <c r="AJ80" s="549"/>
      <c r="AK80" s="549"/>
      <c r="AL80" s="549"/>
      <c r="AM80" s="549"/>
      <c r="AN80" s="549"/>
      <c r="AO80" s="549"/>
      <c r="AP80" s="549"/>
      <c r="AQ80" s="549"/>
      <c r="AR80" s="549"/>
      <c r="AS80" s="549"/>
      <c r="AT80" s="549"/>
      <c r="AU80" s="549"/>
      <c r="AV80" s="549"/>
      <c r="AW80" s="549"/>
      <c r="AX80" s="549"/>
      <c r="AY80" s="549"/>
      <c r="AZ80" s="549"/>
      <c r="BA80" s="549"/>
      <c r="BB80" s="549"/>
      <c r="BC80" s="549"/>
      <c r="BD80" s="549"/>
      <c r="BE80" s="549"/>
      <c r="BF80" s="549"/>
      <c r="BG80" s="549"/>
      <c r="BH80" s="549"/>
      <c r="BI80" s="549"/>
      <c r="BJ80" s="549"/>
      <c r="BK80" s="549"/>
      <c r="BL80" s="549"/>
      <c r="BM80" s="549"/>
      <c r="BN80" s="549"/>
      <c r="BO80" s="549"/>
      <c r="BP80" s="549"/>
      <c r="BQ80" s="549"/>
      <c r="BR80" s="549"/>
      <c r="BS80" s="549"/>
      <c r="BT80" s="549"/>
      <c r="BU80" s="549"/>
      <c r="BV80" s="549"/>
      <c r="BW80" s="549"/>
      <c r="BX80" s="549"/>
      <c r="BY80" s="549"/>
      <c r="BZ80" s="549"/>
      <c r="CA80" s="549"/>
      <c r="CB80" s="549"/>
      <c r="CC80" s="549"/>
      <c r="CD80" s="549"/>
      <c r="CE80" s="549"/>
      <c r="CF80" s="549"/>
      <c r="CG80" s="549"/>
      <c r="CH80" s="549"/>
      <c r="CI80" s="549"/>
    </row>
    <row r="81" spans="1:87" ht="12" hidden="1" customHeight="1">
      <c r="A81" s="847">
        <v>39701</v>
      </c>
      <c r="B81" s="848" t="s">
        <v>878</v>
      </c>
      <c r="C81" s="849">
        <v>28</v>
      </c>
      <c r="D81" s="847">
        <v>39729</v>
      </c>
      <c r="E81" s="850">
        <v>30</v>
      </c>
      <c r="F81" s="850">
        <v>45.877200000000002</v>
      </c>
      <c r="G81" s="850">
        <v>30</v>
      </c>
      <c r="H81" s="850">
        <v>0</v>
      </c>
      <c r="I81" s="851">
        <v>0.11020000000000001</v>
      </c>
      <c r="J81" s="851">
        <v>0.11020000000000001</v>
      </c>
      <c r="K81" s="851">
        <v>0.11020000000000001</v>
      </c>
      <c r="L81" s="849">
        <v>8</v>
      </c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549"/>
      <c r="Z81" s="549"/>
      <c r="AA81" s="549"/>
      <c r="AB81" s="549"/>
      <c r="AC81" s="549"/>
      <c r="AD81" s="549"/>
      <c r="AE81" s="549"/>
      <c r="AF81" s="549"/>
      <c r="AG81" s="549"/>
      <c r="AH81" s="549"/>
      <c r="AI81" s="549"/>
      <c r="AJ81" s="549"/>
      <c r="AK81" s="549"/>
      <c r="AL81" s="549"/>
      <c r="AM81" s="549"/>
      <c r="AN81" s="549"/>
      <c r="AO81" s="549"/>
      <c r="AP81" s="549"/>
      <c r="AQ81" s="549"/>
      <c r="AR81" s="549"/>
      <c r="AS81" s="549"/>
      <c r="AT81" s="549"/>
      <c r="AU81" s="549"/>
      <c r="AV81" s="549"/>
      <c r="AW81" s="549"/>
      <c r="AX81" s="549"/>
      <c r="AY81" s="549"/>
      <c r="AZ81" s="549"/>
      <c r="BA81" s="549"/>
      <c r="BB81" s="549"/>
      <c r="BC81" s="549"/>
      <c r="BD81" s="549"/>
      <c r="BE81" s="549"/>
      <c r="BF81" s="549"/>
      <c r="BG81" s="549"/>
      <c r="BH81" s="549"/>
      <c r="BI81" s="549"/>
      <c r="BJ81" s="549"/>
      <c r="BK81" s="549"/>
      <c r="BL81" s="549"/>
      <c r="BM81" s="549"/>
      <c r="BN81" s="549"/>
      <c r="BO81" s="549"/>
      <c r="BP81" s="549"/>
      <c r="BQ81" s="549"/>
      <c r="BR81" s="549"/>
      <c r="BS81" s="549"/>
      <c r="BT81" s="549"/>
      <c r="BU81" s="549"/>
      <c r="BV81" s="549"/>
      <c r="BW81" s="549"/>
      <c r="BX81" s="549"/>
      <c r="BY81" s="549"/>
      <c r="BZ81" s="549"/>
      <c r="CA81" s="549"/>
      <c r="CB81" s="549"/>
      <c r="CC81" s="549"/>
      <c r="CD81" s="549"/>
      <c r="CE81" s="549"/>
      <c r="CF81" s="549"/>
      <c r="CG81" s="549"/>
      <c r="CH81" s="549"/>
      <c r="CI81" s="549"/>
    </row>
    <row r="82" spans="1:87" s="551" customFormat="1" ht="12" hidden="1" customHeight="1">
      <c r="A82" s="847">
        <v>39708</v>
      </c>
      <c r="B82" s="848" t="s">
        <v>879</v>
      </c>
      <c r="C82" s="849">
        <v>28</v>
      </c>
      <c r="D82" s="847">
        <v>39736</v>
      </c>
      <c r="E82" s="850">
        <v>30</v>
      </c>
      <c r="F82" s="850">
        <v>29.015599999999999</v>
      </c>
      <c r="G82" s="850">
        <v>20</v>
      </c>
      <c r="H82" s="850">
        <v>0</v>
      </c>
      <c r="I82" s="851">
        <v>0.1011</v>
      </c>
      <c r="J82" s="851">
        <v>0.10630000000000001</v>
      </c>
      <c r="K82" s="851">
        <v>0.1024</v>
      </c>
      <c r="L82" s="849">
        <v>8</v>
      </c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549"/>
      <c r="Z82" s="549"/>
      <c r="AA82" s="549"/>
      <c r="AB82" s="549"/>
      <c r="AC82" s="549"/>
      <c r="AD82" s="549"/>
      <c r="AE82" s="549"/>
      <c r="AF82" s="549"/>
      <c r="AG82" s="549"/>
      <c r="AH82" s="549"/>
      <c r="AI82" s="549"/>
      <c r="AJ82" s="549"/>
      <c r="AK82" s="549"/>
      <c r="AL82" s="549"/>
      <c r="AM82" s="549"/>
      <c r="AN82" s="549"/>
      <c r="AO82" s="549"/>
      <c r="AP82" s="549"/>
      <c r="AQ82" s="549"/>
      <c r="AR82" s="549"/>
      <c r="AS82" s="549"/>
      <c r="AT82" s="549"/>
      <c r="AU82" s="549"/>
      <c r="AV82" s="549"/>
      <c r="AW82" s="549"/>
      <c r="AX82" s="549"/>
      <c r="AY82" s="549"/>
      <c r="AZ82" s="549"/>
      <c r="BA82" s="549"/>
      <c r="BB82" s="549"/>
      <c r="BC82" s="549"/>
      <c r="BD82" s="549"/>
      <c r="BE82" s="549"/>
      <c r="BF82" s="549"/>
      <c r="BG82" s="549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</row>
    <row r="83" spans="1:87" ht="12" hidden="1" customHeight="1">
      <c r="A83" s="847">
        <v>39715</v>
      </c>
      <c r="B83" s="848" t="s">
        <v>880</v>
      </c>
      <c r="C83" s="849">
        <v>28</v>
      </c>
      <c r="D83" s="847">
        <v>39743</v>
      </c>
      <c r="E83" s="850">
        <v>40</v>
      </c>
      <c r="F83" s="850">
        <v>33.222200000000001</v>
      </c>
      <c r="G83" s="850">
        <v>30</v>
      </c>
      <c r="H83" s="850">
        <v>0</v>
      </c>
      <c r="I83" s="851">
        <v>9.3200000000000005E-2</v>
      </c>
      <c r="J83" s="851">
        <v>0.105</v>
      </c>
      <c r="K83" s="851">
        <v>9.4500000000000001E-2</v>
      </c>
      <c r="L83" s="849">
        <v>9</v>
      </c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49"/>
      <c r="Z83" s="549"/>
      <c r="AA83" s="549"/>
      <c r="AB83" s="549"/>
      <c r="AC83" s="549"/>
      <c r="AD83" s="549"/>
      <c r="AE83" s="549"/>
      <c r="AF83" s="549"/>
      <c r="AG83" s="549"/>
      <c r="AH83" s="549"/>
      <c r="AI83" s="549"/>
      <c r="AJ83" s="549"/>
      <c r="AK83" s="549"/>
      <c r="AL83" s="549"/>
      <c r="AM83" s="549"/>
      <c r="AN83" s="549"/>
      <c r="AO83" s="549"/>
      <c r="AP83" s="549"/>
      <c r="AQ83" s="549"/>
      <c r="AR83" s="549"/>
      <c r="AS83" s="549"/>
      <c r="AT83" s="549"/>
      <c r="AU83" s="549"/>
      <c r="AV83" s="549"/>
      <c r="AW83" s="549"/>
      <c r="AX83" s="549"/>
      <c r="AY83" s="549"/>
      <c r="AZ83" s="549"/>
      <c r="BA83" s="549"/>
      <c r="BB83" s="549"/>
      <c r="BC83" s="549"/>
      <c r="BD83" s="549"/>
      <c r="BE83" s="549"/>
      <c r="BF83" s="549"/>
      <c r="BG83" s="549"/>
      <c r="BH83" s="549"/>
      <c r="BI83" s="549"/>
      <c r="BJ83" s="549"/>
      <c r="BK83" s="549"/>
      <c r="BL83" s="549"/>
      <c r="BM83" s="549"/>
      <c r="BN83" s="549"/>
      <c r="BO83" s="549"/>
      <c r="BP83" s="549"/>
      <c r="BQ83" s="549"/>
      <c r="BR83" s="549"/>
      <c r="BS83" s="549"/>
      <c r="BT83" s="549"/>
      <c r="BU83" s="549"/>
      <c r="BV83" s="549"/>
      <c r="BW83" s="549"/>
      <c r="BX83" s="549"/>
      <c r="BY83" s="549"/>
      <c r="BZ83" s="549"/>
      <c r="CA83" s="549"/>
      <c r="CB83" s="549"/>
      <c r="CC83" s="549"/>
      <c r="CD83" s="549"/>
      <c r="CE83" s="549"/>
      <c r="CF83" s="549"/>
      <c r="CG83" s="549"/>
      <c r="CH83" s="549"/>
      <c r="CI83" s="549"/>
    </row>
    <row r="84" spans="1:87" s="551" customFormat="1" ht="12" hidden="1" customHeight="1">
      <c r="A84" s="847">
        <v>39723</v>
      </c>
      <c r="B84" s="848" t="s">
        <v>881</v>
      </c>
      <c r="C84" s="849">
        <v>27</v>
      </c>
      <c r="D84" s="847">
        <v>39750</v>
      </c>
      <c r="E84" s="850">
        <v>50</v>
      </c>
      <c r="F84" s="850">
        <v>21.464600000000001</v>
      </c>
      <c r="G84" s="850">
        <v>20.759399999999999</v>
      </c>
      <c r="H84" s="850">
        <v>0</v>
      </c>
      <c r="I84" s="851">
        <v>9.6699999999999994E-2</v>
      </c>
      <c r="J84" s="851">
        <v>0.1062</v>
      </c>
      <c r="K84" s="851">
        <v>0.1021</v>
      </c>
      <c r="L84" s="849">
        <v>9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</row>
    <row r="85" spans="1:87" ht="12" hidden="1" customHeight="1">
      <c r="A85" s="847">
        <v>39729</v>
      </c>
      <c r="B85" s="848" t="s">
        <v>882</v>
      </c>
      <c r="C85" s="849">
        <v>28</v>
      </c>
      <c r="D85" s="847">
        <v>39757</v>
      </c>
      <c r="E85" s="850">
        <v>50</v>
      </c>
      <c r="F85" s="850">
        <v>48.946199999999997</v>
      </c>
      <c r="G85" s="850">
        <v>30</v>
      </c>
      <c r="H85" s="850">
        <v>0</v>
      </c>
      <c r="I85" s="851">
        <v>9.4500000000000001E-2</v>
      </c>
      <c r="J85" s="851">
        <v>0.10630000000000001</v>
      </c>
      <c r="K85" s="851">
        <v>9.8500000000000004E-2</v>
      </c>
      <c r="L85" s="849">
        <v>9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</row>
    <row r="86" spans="1:87" s="551" customFormat="1" ht="12" hidden="1" customHeight="1">
      <c r="A86" s="847">
        <v>39737</v>
      </c>
      <c r="B86" s="848" t="s">
        <v>883</v>
      </c>
      <c r="C86" s="849">
        <v>27</v>
      </c>
      <c r="D86" s="847">
        <v>39764</v>
      </c>
      <c r="E86" s="850">
        <v>50</v>
      </c>
      <c r="F86" s="850">
        <v>28.395600000000002</v>
      </c>
      <c r="G86" s="850">
        <v>20</v>
      </c>
      <c r="H86" s="850">
        <v>0</v>
      </c>
      <c r="I86" s="851">
        <v>9.1300000000000006E-2</v>
      </c>
      <c r="J86" s="851">
        <v>9.6699999999999994E-2</v>
      </c>
      <c r="K86" s="851">
        <v>9.4E-2</v>
      </c>
      <c r="L86" s="849">
        <v>8</v>
      </c>
      <c r="M86" s="549"/>
      <c r="N86" s="549"/>
      <c r="O86" s="549"/>
      <c r="P86" s="549"/>
      <c r="Q86" s="549"/>
      <c r="R86" s="549"/>
      <c r="S86" s="549"/>
      <c r="T86" s="549"/>
      <c r="U86" s="549"/>
      <c r="V86" s="549"/>
      <c r="W86" s="549"/>
      <c r="X86" s="549"/>
      <c r="Y86" s="549"/>
      <c r="Z86" s="549"/>
      <c r="AA86" s="549"/>
      <c r="AB86" s="549"/>
      <c r="AC86" s="549"/>
      <c r="AD86" s="549"/>
      <c r="AE86" s="549"/>
      <c r="AF86" s="549"/>
      <c r="AG86" s="549"/>
      <c r="AH86" s="549"/>
      <c r="AI86" s="549"/>
      <c r="AJ86" s="549"/>
      <c r="AK86" s="549"/>
      <c r="AL86" s="549"/>
      <c r="AM86" s="549"/>
      <c r="AN86" s="549"/>
      <c r="AO86" s="549"/>
      <c r="AP86" s="549"/>
      <c r="AQ86" s="549"/>
      <c r="AR86" s="549"/>
      <c r="AS86" s="549"/>
      <c r="AT86" s="549"/>
      <c r="AU86" s="549"/>
      <c r="AV86" s="549"/>
      <c r="AW86" s="549"/>
      <c r="AX86" s="549"/>
      <c r="AY86" s="549"/>
      <c r="AZ86" s="549"/>
      <c r="BA86" s="549"/>
      <c r="BB86" s="549"/>
      <c r="BC86" s="549"/>
      <c r="BD86" s="549"/>
      <c r="BE86" s="549"/>
      <c r="BF86" s="549"/>
      <c r="BG86" s="549"/>
      <c r="BH86" s="549"/>
      <c r="BI86" s="549"/>
      <c r="BJ86" s="549"/>
      <c r="BK86" s="549"/>
      <c r="BL86" s="549"/>
      <c r="BM86" s="549"/>
      <c r="BN86" s="549"/>
      <c r="BO86" s="549"/>
      <c r="BP86" s="549"/>
      <c r="BQ86" s="549"/>
      <c r="BR86" s="549"/>
      <c r="BS86" s="549"/>
      <c r="BT86" s="549"/>
      <c r="BU86" s="549"/>
      <c r="BV86" s="549"/>
      <c r="BW86" s="549"/>
      <c r="BX86" s="549"/>
      <c r="BY86" s="549"/>
      <c r="BZ86" s="549"/>
      <c r="CA86" s="549"/>
      <c r="CB86" s="549"/>
      <c r="CC86" s="549"/>
      <c r="CD86" s="549"/>
      <c r="CE86" s="549"/>
      <c r="CF86" s="549"/>
      <c r="CG86" s="549"/>
      <c r="CH86" s="549"/>
      <c r="CI86" s="549"/>
    </row>
    <row r="87" spans="1:87" ht="12" hidden="1" customHeight="1">
      <c r="A87" s="847">
        <v>39743</v>
      </c>
      <c r="B87" s="848" t="s">
        <v>884</v>
      </c>
      <c r="C87" s="849">
        <v>28</v>
      </c>
      <c r="D87" s="847">
        <v>39771</v>
      </c>
      <c r="E87" s="850">
        <v>50</v>
      </c>
      <c r="F87" s="850">
        <v>73.463999999999999</v>
      </c>
      <c r="G87" s="850">
        <v>25</v>
      </c>
      <c r="H87" s="850">
        <v>0</v>
      </c>
      <c r="I87" s="851">
        <v>8.2799999999999999E-2</v>
      </c>
      <c r="J87" s="851">
        <v>9.7199999999999995E-2</v>
      </c>
      <c r="K87" s="851">
        <v>8.4099999999999994E-2</v>
      </c>
      <c r="L87" s="849">
        <v>13</v>
      </c>
      <c r="M87" s="549"/>
      <c r="N87" s="549"/>
      <c r="O87" s="549"/>
      <c r="P87" s="549"/>
      <c r="Q87" s="549"/>
      <c r="R87" s="549"/>
      <c r="S87" s="549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  <c r="AK87" s="549"/>
      <c r="AL87" s="549"/>
      <c r="AM87" s="549"/>
      <c r="AN87" s="549"/>
      <c r="AO87" s="549"/>
      <c r="AP87" s="549"/>
      <c r="AQ87" s="549"/>
      <c r="AR87" s="549"/>
      <c r="AS87" s="549"/>
      <c r="AT87" s="549"/>
      <c r="AU87" s="549"/>
      <c r="AV87" s="549"/>
      <c r="AW87" s="549"/>
      <c r="AX87" s="549"/>
      <c r="AY87" s="549"/>
      <c r="AZ87" s="549"/>
      <c r="BA87" s="549"/>
      <c r="BB87" s="549"/>
      <c r="BC87" s="549"/>
      <c r="BD87" s="549"/>
      <c r="BE87" s="549"/>
      <c r="BF87" s="549"/>
      <c r="BG87" s="549"/>
      <c r="BH87" s="549"/>
      <c r="BI87" s="549"/>
      <c r="BJ87" s="549"/>
      <c r="BK87" s="549"/>
      <c r="BL87" s="549"/>
      <c r="BM87" s="549"/>
      <c r="BN87" s="549"/>
      <c r="BO87" s="549"/>
      <c r="BP87" s="549"/>
      <c r="BQ87" s="549"/>
      <c r="BR87" s="549"/>
      <c r="BS87" s="549"/>
      <c r="BT87" s="549"/>
      <c r="BU87" s="549"/>
      <c r="BV87" s="549"/>
      <c r="BW87" s="549"/>
      <c r="BX87" s="549"/>
      <c r="BY87" s="549"/>
      <c r="BZ87" s="549"/>
      <c r="CA87" s="549"/>
      <c r="CB87" s="549"/>
      <c r="CC87" s="549"/>
      <c r="CD87" s="549"/>
      <c r="CE87" s="549"/>
      <c r="CF87" s="549"/>
      <c r="CG87" s="549"/>
      <c r="CH87" s="549"/>
      <c r="CI87" s="549"/>
    </row>
    <row r="88" spans="1:87" ht="12.75" hidden="1" customHeight="1">
      <c r="A88" s="847">
        <v>39750</v>
      </c>
      <c r="B88" s="848" t="s">
        <v>885</v>
      </c>
      <c r="C88" s="849">
        <v>28</v>
      </c>
      <c r="D88" s="847">
        <v>39778</v>
      </c>
      <c r="E88" s="850">
        <v>30</v>
      </c>
      <c r="F88" s="850">
        <v>63.082500000000003</v>
      </c>
      <c r="G88" s="850">
        <v>25</v>
      </c>
      <c r="H88" s="850">
        <v>0</v>
      </c>
      <c r="I88" s="851">
        <v>6.2E-2</v>
      </c>
      <c r="J88" s="851">
        <v>9.5899999999999999E-2</v>
      </c>
      <c r="K88" s="851">
        <v>6.3299999999999995E-2</v>
      </c>
      <c r="L88" s="849">
        <v>7</v>
      </c>
    </row>
    <row r="89" spans="1:87" ht="12.75" hidden="1" customHeight="1">
      <c r="A89" s="847">
        <v>39757</v>
      </c>
      <c r="B89" s="848" t="s">
        <v>886</v>
      </c>
      <c r="C89" s="849">
        <v>28</v>
      </c>
      <c r="D89" s="847">
        <v>39785</v>
      </c>
      <c r="E89" s="850">
        <v>50</v>
      </c>
      <c r="F89" s="850">
        <v>45.357799999999997</v>
      </c>
      <c r="G89" s="850">
        <v>35</v>
      </c>
      <c r="H89" s="850">
        <v>0</v>
      </c>
      <c r="I89" s="851">
        <v>0.04</v>
      </c>
      <c r="J89" s="851">
        <v>8.0199999999999994E-2</v>
      </c>
      <c r="K89" s="851">
        <v>5.8099999999999999E-2</v>
      </c>
      <c r="L89" s="849">
        <v>9</v>
      </c>
    </row>
    <row r="90" spans="1:87" ht="12" hidden="1" customHeight="1">
      <c r="A90" s="847">
        <v>39764</v>
      </c>
      <c r="B90" s="848" t="s">
        <v>887</v>
      </c>
      <c r="C90" s="849">
        <v>28</v>
      </c>
      <c r="D90" s="847">
        <v>39792</v>
      </c>
      <c r="E90" s="850">
        <v>50</v>
      </c>
      <c r="F90" s="850">
        <v>40.959400000000002</v>
      </c>
      <c r="G90" s="850">
        <v>30</v>
      </c>
      <c r="H90" s="850">
        <v>0</v>
      </c>
      <c r="I90" s="851">
        <v>0.04</v>
      </c>
      <c r="J90" s="851">
        <v>8.1500000000000003E-2</v>
      </c>
      <c r="K90" s="851">
        <v>7.6300000000000007E-2</v>
      </c>
      <c r="L90" s="849">
        <v>10</v>
      </c>
    </row>
    <row r="91" spans="1:87" ht="12.75" hidden="1" customHeight="1">
      <c r="A91" s="847">
        <v>39771</v>
      </c>
      <c r="B91" s="848" t="s">
        <v>888</v>
      </c>
      <c r="C91" s="849">
        <v>28</v>
      </c>
      <c r="D91" s="847">
        <v>39799</v>
      </c>
      <c r="E91" s="850">
        <v>50</v>
      </c>
      <c r="F91" s="850">
        <v>79.031400000000005</v>
      </c>
      <c r="G91" s="850">
        <v>30</v>
      </c>
      <c r="H91" s="850">
        <v>0</v>
      </c>
      <c r="I91" s="851">
        <v>5.9400000000000001E-2</v>
      </c>
      <c r="J91" s="851">
        <v>6.0699999999999997E-2</v>
      </c>
      <c r="K91" s="851">
        <v>5.9400000000000001E-2</v>
      </c>
      <c r="L91" s="849">
        <v>10</v>
      </c>
    </row>
    <row r="92" spans="1:87" ht="12" hidden="1" customHeight="1">
      <c r="A92" s="847">
        <v>39778</v>
      </c>
      <c r="B92" s="848" t="s">
        <v>889</v>
      </c>
      <c r="C92" s="849">
        <v>28</v>
      </c>
      <c r="D92" s="847">
        <v>39806</v>
      </c>
      <c r="E92" s="850">
        <v>50</v>
      </c>
      <c r="F92" s="850">
        <v>49.840800000000002</v>
      </c>
      <c r="G92" s="850">
        <v>30</v>
      </c>
      <c r="H92" s="850">
        <v>0</v>
      </c>
      <c r="I92" s="851">
        <v>5.0299999999999997E-2</v>
      </c>
      <c r="J92" s="851">
        <v>5.5500000000000001E-2</v>
      </c>
      <c r="K92" s="851">
        <v>5.4199999999999998E-2</v>
      </c>
      <c r="L92" s="849">
        <v>10</v>
      </c>
    </row>
    <row r="93" spans="1:87" ht="12.75" hidden="1" customHeight="1">
      <c r="A93" s="847">
        <v>39785</v>
      </c>
      <c r="B93" s="848" t="s">
        <v>890</v>
      </c>
      <c r="C93" s="849">
        <v>27</v>
      </c>
      <c r="D93" s="847">
        <v>39812</v>
      </c>
      <c r="E93" s="850">
        <v>50</v>
      </c>
      <c r="F93" s="850">
        <v>56.777200000000001</v>
      </c>
      <c r="G93" s="850">
        <v>40</v>
      </c>
      <c r="H93" s="850">
        <v>0</v>
      </c>
      <c r="I93" s="851">
        <v>4.0099999999999997E-2</v>
      </c>
      <c r="J93" s="851">
        <v>4.82E-2</v>
      </c>
      <c r="K93" s="851">
        <v>4.41E-2</v>
      </c>
      <c r="L93" s="849">
        <v>8</v>
      </c>
    </row>
    <row r="94" spans="1:87" ht="12" hidden="1" customHeight="1">
      <c r="A94" s="847">
        <v>39792</v>
      </c>
      <c r="B94" s="848" t="s">
        <v>891</v>
      </c>
      <c r="C94" s="849">
        <v>28</v>
      </c>
      <c r="D94" s="847">
        <v>39820</v>
      </c>
      <c r="E94" s="850">
        <v>50</v>
      </c>
      <c r="F94" s="850">
        <v>43.443199999999997</v>
      </c>
      <c r="G94" s="850">
        <v>38</v>
      </c>
      <c r="H94" s="850">
        <v>0</v>
      </c>
      <c r="I94" s="851">
        <v>0.04</v>
      </c>
      <c r="J94" s="851">
        <v>4.65E-2</v>
      </c>
      <c r="K94" s="851">
        <v>4.2599999999999999E-2</v>
      </c>
      <c r="L94" s="849">
        <v>8</v>
      </c>
    </row>
    <row r="95" spans="1:87" ht="12.75" hidden="1" customHeight="1">
      <c r="A95" s="847">
        <v>39799</v>
      </c>
      <c r="B95" s="848" t="s">
        <v>892</v>
      </c>
      <c r="C95" s="849">
        <v>28</v>
      </c>
      <c r="D95" s="847">
        <v>39827</v>
      </c>
      <c r="E95" s="850">
        <v>50</v>
      </c>
      <c r="F95" s="850">
        <v>42.690399999999997</v>
      </c>
      <c r="G95" s="850">
        <v>40</v>
      </c>
      <c r="H95" s="850">
        <v>0</v>
      </c>
      <c r="I95" s="851">
        <v>0.04</v>
      </c>
      <c r="J95" s="851">
        <v>4.2599999999999999E-2</v>
      </c>
      <c r="K95" s="851">
        <v>4.1300000000000003E-2</v>
      </c>
      <c r="L95" s="849">
        <v>6</v>
      </c>
    </row>
    <row r="96" spans="1:87" ht="12" hidden="1" customHeight="1">
      <c r="A96" s="847">
        <v>39806</v>
      </c>
      <c r="B96" s="848" t="s">
        <v>893</v>
      </c>
      <c r="C96" s="849">
        <v>28</v>
      </c>
      <c r="D96" s="847">
        <v>39834</v>
      </c>
      <c r="E96" s="850">
        <v>50</v>
      </c>
      <c r="F96" s="850">
        <v>57.232599999999998</v>
      </c>
      <c r="G96" s="850">
        <v>40</v>
      </c>
      <c r="H96" s="850">
        <v>0</v>
      </c>
      <c r="I96" s="851">
        <v>3.7400000000000003E-2</v>
      </c>
      <c r="J96" s="851">
        <v>5.5500000000000001E-2</v>
      </c>
      <c r="K96" s="851">
        <v>5.16E-2</v>
      </c>
      <c r="L96" s="849">
        <v>8</v>
      </c>
    </row>
    <row r="97" spans="1:12" ht="12.75" hidden="1" customHeight="1">
      <c r="A97" s="847">
        <v>39812</v>
      </c>
      <c r="B97" s="848" t="s">
        <v>894</v>
      </c>
      <c r="C97" s="849">
        <v>29</v>
      </c>
      <c r="D97" s="847">
        <v>39841</v>
      </c>
      <c r="E97" s="850">
        <v>50</v>
      </c>
      <c r="F97" s="850">
        <v>31.8766</v>
      </c>
      <c r="G97" s="850">
        <v>31.8766</v>
      </c>
      <c r="H97" s="850">
        <v>0</v>
      </c>
      <c r="I97" s="851">
        <v>4.1099999999999998E-2</v>
      </c>
      <c r="J97" s="851">
        <v>5.4899999999999997E-2</v>
      </c>
      <c r="K97" s="851">
        <v>4.7399999999999998E-2</v>
      </c>
      <c r="L97" s="849">
        <v>6</v>
      </c>
    </row>
    <row r="98" spans="1:12" ht="12.75" hidden="1" customHeight="1">
      <c r="A98" s="847">
        <v>39820</v>
      </c>
      <c r="B98" s="848" t="s">
        <v>895</v>
      </c>
      <c r="C98" s="849">
        <v>28</v>
      </c>
      <c r="D98" s="847">
        <v>39848</v>
      </c>
      <c r="E98" s="850">
        <v>50</v>
      </c>
      <c r="F98" s="850">
        <v>66.069999999999993</v>
      </c>
      <c r="G98" s="850">
        <v>40</v>
      </c>
      <c r="H98" s="850">
        <v>0</v>
      </c>
      <c r="I98" s="851">
        <v>4.1300000000000003E-2</v>
      </c>
      <c r="J98" s="851">
        <v>4.2599999999999999E-2</v>
      </c>
      <c r="K98" s="851">
        <v>4.2599999999999999E-2</v>
      </c>
      <c r="L98" s="849">
        <v>10</v>
      </c>
    </row>
    <row r="99" spans="1:12" ht="12" hidden="1" customHeight="1">
      <c r="A99" s="847">
        <v>39827</v>
      </c>
      <c r="B99" s="848" t="s">
        <v>896</v>
      </c>
      <c r="C99" s="849">
        <v>28</v>
      </c>
      <c r="D99" s="847">
        <v>39855</v>
      </c>
      <c r="E99" s="850">
        <v>60</v>
      </c>
      <c r="F99" s="850">
        <v>18.383600000000001</v>
      </c>
      <c r="G99" s="850">
        <v>18.383600000000001</v>
      </c>
      <c r="H99" s="850">
        <v>0</v>
      </c>
      <c r="I99" s="851">
        <v>0.04</v>
      </c>
      <c r="J99" s="851">
        <v>5.9400000000000001E-2</v>
      </c>
      <c r="K99" s="851">
        <v>4.5199999999999997E-2</v>
      </c>
      <c r="L99" s="849">
        <v>6</v>
      </c>
    </row>
    <row r="100" spans="1:12" ht="12.75" hidden="1" customHeight="1">
      <c r="A100" s="847">
        <v>39834</v>
      </c>
      <c r="B100" s="848" t="s">
        <v>897</v>
      </c>
      <c r="C100" s="849">
        <v>28</v>
      </c>
      <c r="D100" s="847">
        <v>39862</v>
      </c>
      <c r="E100" s="850">
        <v>60</v>
      </c>
      <c r="F100" s="850">
        <v>31.502310000000001</v>
      </c>
      <c r="G100" s="850">
        <v>22.69</v>
      </c>
      <c r="H100" s="850">
        <v>-16.034199999999998</v>
      </c>
      <c r="I100" s="851">
        <v>4.3900000000000002E-2</v>
      </c>
      <c r="J100" s="851">
        <v>4.65E-2</v>
      </c>
      <c r="K100" s="851">
        <v>4.5199999999999997E-2</v>
      </c>
      <c r="L100" s="849">
        <v>6</v>
      </c>
    </row>
    <row r="101" spans="1:12" ht="12" hidden="1" customHeight="1">
      <c r="A101" s="847">
        <v>39841</v>
      </c>
      <c r="B101" s="848" t="s">
        <v>898</v>
      </c>
      <c r="C101" s="849">
        <v>28</v>
      </c>
      <c r="D101" s="847">
        <v>39869</v>
      </c>
      <c r="E101" s="850">
        <v>30</v>
      </c>
      <c r="F101" s="850">
        <v>35.134234999999997</v>
      </c>
      <c r="G101" s="850">
        <v>20</v>
      </c>
      <c r="H101" s="850">
        <v>-2.4868000000000001</v>
      </c>
      <c r="I101" s="851">
        <v>3.8699999999999998E-2</v>
      </c>
      <c r="J101" s="851">
        <v>0.04</v>
      </c>
      <c r="K101" s="851">
        <v>3.8699999999999998E-2</v>
      </c>
      <c r="L101" s="849">
        <v>8</v>
      </c>
    </row>
    <row r="102" spans="1:12" ht="12" hidden="1" customHeight="1">
      <c r="A102" s="847">
        <v>39848</v>
      </c>
      <c r="B102" s="848" t="s">
        <v>899</v>
      </c>
      <c r="C102" s="849">
        <v>28</v>
      </c>
      <c r="D102" s="847">
        <v>39876</v>
      </c>
      <c r="E102" s="850">
        <v>50</v>
      </c>
      <c r="F102" s="850">
        <v>47.456000000000003</v>
      </c>
      <c r="G102" s="850">
        <v>30</v>
      </c>
      <c r="H102" s="850">
        <v>-5.7148000000000003</v>
      </c>
      <c r="I102" s="851">
        <v>2.58E-2</v>
      </c>
      <c r="J102" s="851">
        <v>3.2199999999999999E-2</v>
      </c>
      <c r="K102" s="851">
        <v>3.09E-2</v>
      </c>
      <c r="L102" s="849">
        <v>6</v>
      </c>
    </row>
    <row r="103" spans="1:12" ht="12" hidden="1" customHeight="1">
      <c r="A103" s="847">
        <v>39855</v>
      </c>
      <c r="B103" s="848" t="s">
        <v>900</v>
      </c>
      <c r="C103" s="849">
        <v>28</v>
      </c>
      <c r="D103" s="847">
        <v>39883</v>
      </c>
      <c r="E103" s="850">
        <v>40</v>
      </c>
      <c r="F103" s="850">
        <v>2.0036</v>
      </c>
      <c r="G103" s="850">
        <v>2.0036</v>
      </c>
      <c r="H103" s="850">
        <v>0</v>
      </c>
      <c r="I103" s="851">
        <v>2.9600000000000001E-2</v>
      </c>
      <c r="J103" s="851">
        <v>2.9600000000000001E-2</v>
      </c>
      <c r="K103" s="851">
        <v>2.9600000000000001E-2</v>
      </c>
      <c r="L103" s="849">
        <v>1</v>
      </c>
    </row>
    <row r="104" spans="1:12" ht="12" hidden="1" customHeight="1">
      <c r="A104" s="847">
        <v>39862</v>
      </c>
      <c r="B104" s="848" t="s">
        <v>541</v>
      </c>
      <c r="C104" s="849">
        <v>27</v>
      </c>
      <c r="D104" s="847">
        <v>39889</v>
      </c>
      <c r="E104" s="850">
        <v>20</v>
      </c>
      <c r="F104" s="850">
        <v>8.3133999999999997</v>
      </c>
      <c r="G104" s="850">
        <v>8.3133999999999997</v>
      </c>
      <c r="H104" s="850">
        <v>0</v>
      </c>
      <c r="I104" s="851">
        <v>4.0099999999999997E-2</v>
      </c>
      <c r="J104" s="851">
        <v>4.82E-2</v>
      </c>
      <c r="K104" s="851">
        <v>4.5499999999999999E-2</v>
      </c>
      <c r="L104" s="849">
        <v>3</v>
      </c>
    </row>
    <row r="105" spans="1:12" ht="12" hidden="1" customHeight="1">
      <c r="A105" s="847">
        <v>39869</v>
      </c>
      <c r="B105" s="848" t="s">
        <v>901</v>
      </c>
      <c r="C105" s="849">
        <v>28</v>
      </c>
      <c r="D105" s="847">
        <v>39897</v>
      </c>
      <c r="E105" s="850">
        <v>20</v>
      </c>
      <c r="F105" s="850">
        <v>3.0095999999999998</v>
      </c>
      <c r="G105" s="850">
        <v>3.0096000000000003</v>
      </c>
      <c r="H105" s="850">
        <v>0</v>
      </c>
      <c r="I105" s="851">
        <v>4.1300000000000003E-2</v>
      </c>
      <c r="J105" s="851">
        <v>4.9000000000000002E-2</v>
      </c>
      <c r="K105" s="851">
        <v>4.5199999999999997E-2</v>
      </c>
      <c r="L105" s="849">
        <v>3</v>
      </c>
    </row>
    <row r="106" spans="1:12" ht="12" hidden="1" customHeight="1">
      <c r="A106" s="847">
        <v>39876</v>
      </c>
      <c r="B106" s="848" t="s">
        <v>902</v>
      </c>
      <c r="C106" s="849">
        <v>28</v>
      </c>
      <c r="D106" s="847">
        <v>39904</v>
      </c>
      <c r="E106" s="850">
        <v>20</v>
      </c>
      <c r="F106" s="850">
        <v>20.960999999999999</v>
      </c>
      <c r="G106" s="850">
        <v>10</v>
      </c>
      <c r="H106" s="850">
        <v>-3.1859999999999999</v>
      </c>
      <c r="I106" s="851">
        <v>2.7099999999999999E-2</v>
      </c>
      <c r="J106" s="851">
        <v>2.9600000000000001E-2</v>
      </c>
      <c r="K106" s="851">
        <v>2.8299999999999999E-2</v>
      </c>
      <c r="L106" s="849">
        <v>4</v>
      </c>
    </row>
    <row r="107" spans="1:12" ht="12" hidden="1" customHeight="1">
      <c r="A107" s="847">
        <v>39883</v>
      </c>
      <c r="B107" s="848" t="s">
        <v>903</v>
      </c>
      <c r="C107" s="849">
        <v>28</v>
      </c>
      <c r="D107" s="847">
        <v>39911</v>
      </c>
      <c r="E107" s="850">
        <v>10</v>
      </c>
      <c r="F107" s="850">
        <v>11.014799999999999</v>
      </c>
      <c r="G107" s="850">
        <v>5</v>
      </c>
      <c r="H107" s="850">
        <v>0</v>
      </c>
      <c r="I107" s="851">
        <v>2.8299999999999999E-2</v>
      </c>
      <c r="J107" s="851">
        <v>2.8299999999999999E-2</v>
      </c>
      <c r="K107" s="851">
        <v>2.8299999999999999E-2</v>
      </c>
      <c r="L107" s="849">
        <v>2</v>
      </c>
    </row>
    <row r="108" spans="1:12" ht="12" hidden="1" customHeight="1">
      <c r="A108" s="847">
        <v>39889</v>
      </c>
      <c r="B108" s="848" t="s">
        <v>904</v>
      </c>
      <c r="C108" s="849">
        <v>29</v>
      </c>
      <c r="D108" s="847">
        <v>39918</v>
      </c>
      <c r="E108" s="850">
        <v>15</v>
      </c>
      <c r="F108" s="850">
        <v>3.0392000000000001</v>
      </c>
      <c r="G108" s="850">
        <v>3.0392000000000001</v>
      </c>
      <c r="H108" s="850">
        <v>0</v>
      </c>
      <c r="I108" s="851">
        <v>2.6100000000000002E-2</v>
      </c>
      <c r="J108" s="851">
        <v>2.7400000000000001E-2</v>
      </c>
      <c r="K108" s="851">
        <v>2.6100000000000002E-2</v>
      </c>
      <c r="L108" s="849">
        <v>2</v>
      </c>
    </row>
    <row r="109" spans="1:12" ht="12" hidden="1" customHeight="1">
      <c r="A109" s="847">
        <v>39904</v>
      </c>
      <c r="B109" s="848" t="s">
        <v>905</v>
      </c>
      <c r="C109" s="849">
        <v>28</v>
      </c>
      <c r="D109" s="847">
        <v>39932</v>
      </c>
      <c r="E109" s="850">
        <v>20</v>
      </c>
      <c r="F109" s="850">
        <v>16.745000000000001</v>
      </c>
      <c r="G109" s="850">
        <v>5</v>
      </c>
      <c r="H109" s="850">
        <v>0</v>
      </c>
      <c r="I109" s="851">
        <v>2.4500000000000001E-2</v>
      </c>
      <c r="J109" s="851">
        <v>2.4500000000000001E-2</v>
      </c>
      <c r="K109" s="851">
        <v>2.4500000000000001E-2</v>
      </c>
      <c r="L109" s="849">
        <v>3</v>
      </c>
    </row>
    <row r="110" spans="1:12" ht="12" hidden="1" customHeight="1">
      <c r="A110" s="847">
        <v>39911</v>
      </c>
      <c r="B110" s="848" t="s">
        <v>906</v>
      </c>
      <c r="C110" s="849">
        <v>28</v>
      </c>
      <c r="D110" s="847">
        <v>39939</v>
      </c>
      <c r="E110" s="850">
        <v>5</v>
      </c>
      <c r="F110" s="850">
        <v>9.0175999999999998</v>
      </c>
      <c r="G110" s="850">
        <v>5</v>
      </c>
      <c r="H110" s="850">
        <v>0</v>
      </c>
      <c r="I110" s="851">
        <v>2.06E-2</v>
      </c>
      <c r="J110" s="851">
        <v>2.4500000000000001E-2</v>
      </c>
      <c r="K110" s="851">
        <v>2.1899999999999999E-2</v>
      </c>
      <c r="L110" s="849">
        <v>3</v>
      </c>
    </row>
    <row r="111" spans="1:12" ht="12" hidden="1" customHeight="1">
      <c r="A111" s="847">
        <v>39918</v>
      </c>
      <c r="B111" s="848" t="s">
        <v>907</v>
      </c>
      <c r="C111" s="849">
        <v>28</v>
      </c>
      <c r="D111" s="847">
        <v>39946</v>
      </c>
      <c r="E111" s="850">
        <v>5</v>
      </c>
      <c r="F111" s="850">
        <v>8.7363999999999997</v>
      </c>
      <c r="G111" s="850">
        <v>5</v>
      </c>
      <c r="H111" s="850">
        <v>0</v>
      </c>
      <c r="I111" s="851">
        <v>2.3199999999999998E-2</v>
      </c>
      <c r="J111" s="851">
        <v>2.7099999999999999E-2</v>
      </c>
      <c r="K111" s="851">
        <v>2.58E-2</v>
      </c>
      <c r="L111" s="849">
        <v>4</v>
      </c>
    </row>
    <row r="112" spans="1:12" ht="12" hidden="1" customHeight="1">
      <c r="A112" s="847">
        <v>39925</v>
      </c>
      <c r="B112" s="848" t="s">
        <v>908</v>
      </c>
      <c r="C112" s="849">
        <v>28</v>
      </c>
      <c r="D112" s="847">
        <v>39953</v>
      </c>
      <c r="E112" s="850">
        <v>5</v>
      </c>
      <c r="F112" s="850">
        <v>9.0117999999999991</v>
      </c>
      <c r="G112" s="850">
        <v>5</v>
      </c>
      <c r="H112" s="850">
        <v>0</v>
      </c>
      <c r="I112" s="851">
        <v>2.4500000000000001E-2</v>
      </c>
      <c r="J112" s="851">
        <v>2.7099999999999999E-2</v>
      </c>
      <c r="K112" s="851">
        <v>2.58E-2</v>
      </c>
      <c r="L112" s="849">
        <v>4</v>
      </c>
    </row>
    <row r="113" spans="1:12" ht="12" hidden="1" customHeight="1">
      <c r="A113" s="847">
        <v>39932</v>
      </c>
      <c r="B113" s="848" t="s">
        <v>909</v>
      </c>
      <c r="C113" s="849">
        <v>28</v>
      </c>
      <c r="D113" s="847">
        <v>39960</v>
      </c>
      <c r="E113" s="850">
        <v>4</v>
      </c>
      <c r="F113" s="850">
        <v>10.016</v>
      </c>
      <c r="G113" s="850">
        <v>4</v>
      </c>
      <c r="H113" s="850">
        <v>0</v>
      </c>
      <c r="I113" s="851">
        <v>2.3199999999999998E-2</v>
      </c>
      <c r="J113" s="851">
        <v>2.4500000000000001E-2</v>
      </c>
      <c r="K113" s="851">
        <v>2.3199999999999998E-2</v>
      </c>
      <c r="L113" s="849">
        <v>5</v>
      </c>
    </row>
    <row r="114" spans="1:12" ht="12" hidden="1" customHeight="1">
      <c r="A114" s="847">
        <v>39939</v>
      </c>
      <c r="B114" s="848" t="s">
        <v>910</v>
      </c>
      <c r="C114" s="849">
        <v>28</v>
      </c>
      <c r="D114" s="847">
        <v>39967</v>
      </c>
      <c r="E114" s="850">
        <v>5</v>
      </c>
      <c r="F114" s="850">
        <v>9.3989999999999991</v>
      </c>
      <c r="G114" s="850">
        <v>4</v>
      </c>
      <c r="H114" s="850">
        <v>0</v>
      </c>
      <c r="I114" s="851">
        <v>2.06E-2</v>
      </c>
      <c r="J114" s="851">
        <v>2.06E-2</v>
      </c>
      <c r="K114" s="851">
        <v>2.06E-2</v>
      </c>
      <c r="L114" s="849">
        <v>3</v>
      </c>
    </row>
    <row r="115" spans="1:12" ht="12" hidden="1" customHeight="1">
      <c r="A115" s="847">
        <v>39946</v>
      </c>
      <c r="B115" s="848" t="s">
        <v>911</v>
      </c>
      <c r="C115" s="849">
        <v>28</v>
      </c>
      <c r="D115" s="847">
        <v>39974</v>
      </c>
      <c r="E115" s="850">
        <v>5</v>
      </c>
      <c r="F115" s="850">
        <v>9.8331999999999997</v>
      </c>
      <c r="G115" s="850">
        <v>4</v>
      </c>
      <c r="H115" s="850">
        <v>0</v>
      </c>
      <c r="I115" s="851">
        <v>1.7999999999999999E-2</v>
      </c>
      <c r="J115" s="851">
        <v>1.9300000000000001E-2</v>
      </c>
      <c r="K115" s="851">
        <v>1.9300000000000001E-2</v>
      </c>
      <c r="L115" s="849">
        <v>4</v>
      </c>
    </row>
    <row r="116" spans="1:12" ht="12" hidden="1" customHeight="1">
      <c r="A116" s="847">
        <v>39953</v>
      </c>
      <c r="B116" s="848" t="s">
        <v>912</v>
      </c>
      <c r="C116" s="849">
        <v>28</v>
      </c>
      <c r="D116" s="847">
        <v>39981</v>
      </c>
      <c r="E116" s="850">
        <v>5</v>
      </c>
      <c r="F116" s="850">
        <v>14.9474</v>
      </c>
      <c r="G116" s="850">
        <v>4</v>
      </c>
      <c r="H116" s="850">
        <v>0</v>
      </c>
      <c r="I116" s="851">
        <v>1.4200000000000001E-2</v>
      </c>
      <c r="J116" s="851">
        <v>1.67E-2</v>
      </c>
      <c r="K116" s="851">
        <v>1.4200000000000001E-2</v>
      </c>
      <c r="L116" s="849">
        <v>5</v>
      </c>
    </row>
    <row r="117" spans="1:12" ht="12" hidden="1" customHeight="1">
      <c r="A117" s="847">
        <v>39967</v>
      </c>
      <c r="B117" s="848" t="s">
        <v>913</v>
      </c>
      <c r="C117" s="849">
        <v>28</v>
      </c>
      <c r="D117" s="847">
        <v>39995</v>
      </c>
      <c r="E117" s="850">
        <v>5</v>
      </c>
      <c r="F117" s="850">
        <v>9.8274000000000008</v>
      </c>
      <c r="G117" s="850">
        <v>4</v>
      </c>
      <c r="H117" s="850">
        <v>0</v>
      </c>
      <c r="I117" s="851">
        <v>1.03E-2</v>
      </c>
      <c r="J117" s="851">
        <v>1.1599999999999999E-2</v>
      </c>
      <c r="K117" s="851">
        <v>1.03E-2</v>
      </c>
      <c r="L117" s="849">
        <v>3</v>
      </c>
    </row>
    <row r="118" spans="1:12" ht="12" hidden="1" customHeight="1">
      <c r="A118" s="847">
        <v>39974</v>
      </c>
      <c r="B118" s="848" t="s">
        <v>914</v>
      </c>
      <c r="C118" s="849">
        <v>28</v>
      </c>
      <c r="D118" s="847">
        <v>40002</v>
      </c>
      <c r="E118" s="850">
        <v>5</v>
      </c>
      <c r="F118" s="850">
        <v>6.6021999999999998</v>
      </c>
      <c r="G118" s="850">
        <v>4</v>
      </c>
      <c r="H118" s="850">
        <v>0</v>
      </c>
      <c r="I118" s="851">
        <v>1.1599999999999999E-2</v>
      </c>
      <c r="J118" s="851">
        <v>1.1599999999999999E-2</v>
      </c>
      <c r="K118" s="851">
        <v>1.1599999999999999E-2</v>
      </c>
      <c r="L118" s="849">
        <v>2</v>
      </c>
    </row>
    <row r="119" spans="1:12" ht="12" hidden="1" customHeight="1">
      <c r="A119" s="847">
        <v>39981</v>
      </c>
      <c r="B119" s="848" t="s">
        <v>915</v>
      </c>
      <c r="C119" s="849">
        <v>28</v>
      </c>
      <c r="D119" s="847">
        <v>40009</v>
      </c>
      <c r="E119" s="850">
        <v>5</v>
      </c>
      <c r="F119" s="850">
        <v>4.0128000000000004</v>
      </c>
      <c r="G119" s="850">
        <v>4</v>
      </c>
      <c r="H119" s="850">
        <v>0</v>
      </c>
      <c r="I119" s="851">
        <v>1.03E-2</v>
      </c>
      <c r="J119" s="851">
        <v>1.1599999999999999E-2</v>
      </c>
      <c r="K119" s="851">
        <v>1.03E-2</v>
      </c>
      <c r="L119" s="849">
        <v>2</v>
      </c>
    </row>
    <row r="120" spans="1:12" ht="12" hidden="1" customHeight="1">
      <c r="A120" s="847">
        <v>39988</v>
      </c>
      <c r="B120" s="848" t="s">
        <v>916</v>
      </c>
      <c r="C120" s="849">
        <v>28</v>
      </c>
      <c r="D120" s="847">
        <v>40016</v>
      </c>
      <c r="E120" s="850">
        <v>5</v>
      </c>
      <c r="F120" s="850">
        <v>5.8</v>
      </c>
      <c r="G120" s="850">
        <v>4</v>
      </c>
      <c r="H120" s="850">
        <v>0</v>
      </c>
      <c r="I120" s="851">
        <v>1.03E-2</v>
      </c>
      <c r="J120" s="851">
        <v>1.4200000000000001E-2</v>
      </c>
      <c r="K120" s="851">
        <v>1.1599999999999999E-2</v>
      </c>
      <c r="L120" s="849">
        <v>2</v>
      </c>
    </row>
    <row r="121" spans="1:12" ht="12" hidden="1" customHeight="1">
      <c r="A121" s="847">
        <v>39995</v>
      </c>
      <c r="B121" s="848" t="s">
        <v>917</v>
      </c>
      <c r="C121" s="849">
        <v>28</v>
      </c>
      <c r="D121" s="847">
        <v>40023</v>
      </c>
      <c r="E121" s="850">
        <v>5</v>
      </c>
      <c r="F121" s="850">
        <v>9.2256</v>
      </c>
      <c r="G121" s="850">
        <v>4</v>
      </c>
      <c r="H121" s="850">
        <v>0</v>
      </c>
      <c r="I121" s="851">
        <v>1.29E-2</v>
      </c>
      <c r="J121" s="851">
        <v>1.4200000000000001E-2</v>
      </c>
      <c r="K121" s="851">
        <v>1.29E-2</v>
      </c>
      <c r="L121" s="849">
        <v>3</v>
      </c>
    </row>
    <row r="122" spans="1:12" ht="12" hidden="1" customHeight="1">
      <c r="A122" s="847">
        <v>40002</v>
      </c>
      <c r="B122" s="848" t="s">
        <v>918</v>
      </c>
      <c r="C122" s="849">
        <v>28</v>
      </c>
      <c r="D122" s="847">
        <v>40030</v>
      </c>
      <c r="E122" s="850">
        <v>5</v>
      </c>
      <c r="F122" s="850">
        <v>10.004200000000001</v>
      </c>
      <c r="G122" s="850">
        <v>4</v>
      </c>
      <c r="H122" s="850">
        <v>0</v>
      </c>
      <c r="I122" s="851">
        <v>1.03E-2</v>
      </c>
      <c r="J122" s="851">
        <v>1.1599999999999999E-2</v>
      </c>
      <c r="K122" s="851">
        <v>1.03E-2</v>
      </c>
      <c r="L122" s="849">
        <v>3</v>
      </c>
    </row>
    <row r="123" spans="1:12" ht="12" hidden="1" customHeight="1">
      <c r="A123" s="847">
        <v>40009</v>
      </c>
      <c r="B123" s="848" t="s">
        <v>919</v>
      </c>
      <c r="C123" s="849">
        <v>28</v>
      </c>
      <c r="D123" s="847">
        <v>40037</v>
      </c>
      <c r="E123" s="850">
        <v>5</v>
      </c>
      <c r="F123" s="850">
        <v>3.9054000000000002</v>
      </c>
      <c r="G123" s="850">
        <v>3.9054000000000002</v>
      </c>
      <c r="H123" s="850">
        <v>0</v>
      </c>
      <c r="I123" s="851">
        <v>1.03E-2</v>
      </c>
      <c r="J123" s="851">
        <v>1.03E-2</v>
      </c>
      <c r="K123" s="851">
        <v>1.03E-2</v>
      </c>
      <c r="L123" s="849">
        <v>1</v>
      </c>
    </row>
    <row r="124" spans="1:12" ht="12" hidden="1" customHeight="1">
      <c r="A124" s="847">
        <v>40016</v>
      </c>
      <c r="B124" s="848" t="s">
        <v>920</v>
      </c>
      <c r="C124" s="849">
        <v>28</v>
      </c>
      <c r="D124" s="847">
        <v>40044</v>
      </c>
      <c r="E124" s="850">
        <v>5</v>
      </c>
      <c r="F124" s="850">
        <v>8.5508000000000006</v>
      </c>
      <c r="G124" s="850">
        <v>4</v>
      </c>
      <c r="H124" s="850">
        <v>0</v>
      </c>
      <c r="I124" s="851">
        <v>1.03E-2</v>
      </c>
      <c r="J124" s="851">
        <v>1.03E-2</v>
      </c>
      <c r="K124" s="851">
        <v>1.03E-2</v>
      </c>
      <c r="L124" s="849">
        <v>2</v>
      </c>
    </row>
    <row r="125" spans="1:12" ht="12" hidden="1" customHeight="1">
      <c r="A125" s="847">
        <v>40023</v>
      </c>
      <c r="B125" s="848" t="s">
        <v>921</v>
      </c>
      <c r="C125" s="849">
        <v>28</v>
      </c>
      <c r="D125" s="847">
        <v>40051</v>
      </c>
      <c r="E125" s="850">
        <v>5</v>
      </c>
      <c r="F125" s="850">
        <v>10.012</v>
      </c>
      <c r="G125" s="850">
        <v>0</v>
      </c>
      <c r="H125" s="850">
        <v>0</v>
      </c>
      <c r="I125" s="851">
        <v>0</v>
      </c>
      <c r="J125" s="851">
        <v>0</v>
      </c>
      <c r="K125" s="851">
        <v>0</v>
      </c>
      <c r="L125" s="849">
        <v>3</v>
      </c>
    </row>
    <row r="126" spans="1:12" ht="12" hidden="1" customHeight="1">
      <c r="A126" s="847">
        <v>40030</v>
      </c>
      <c r="B126" s="848" t="s">
        <v>922</v>
      </c>
      <c r="C126" s="849">
        <v>28</v>
      </c>
      <c r="D126" s="847">
        <v>40058</v>
      </c>
      <c r="E126" s="850">
        <v>5</v>
      </c>
      <c r="F126" s="850">
        <v>6.4020000000000001</v>
      </c>
      <c r="G126" s="850">
        <v>4</v>
      </c>
      <c r="H126" s="850">
        <v>0</v>
      </c>
      <c r="I126" s="851">
        <v>1.0500000000000001E-2</v>
      </c>
      <c r="J126" s="851">
        <v>1.0500000000000001E-2</v>
      </c>
      <c r="K126" s="851">
        <v>1.0500000000000001E-2</v>
      </c>
      <c r="L126" s="849">
        <v>5</v>
      </c>
    </row>
    <row r="127" spans="1:12" ht="12" hidden="1" customHeight="1">
      <c r="A127" s="847">
        <v>40037</v>
      </c>
      <c r="B127" s="848" t="s">
        <v>923</v>
      </c>
      <c r="C127" s="849">
        <v>28</v>
      </c>
      <c r="D127" s="847">
        <v>40065</v>
      </c>
      <c r="E127" s="850">
        <v>5</v>
      </c>
      <c r="F127" s="850">
        <v>7.8011999999999997</v>
      </c>
      <c r="G127" s="850">
        <v>4</v>
      </c>
      <c r="H127" s="850">
        <v>0</v>
      </c>
      <c r="I127" s="851">
        <v>1.0500000000000001E-2</v>
      </c>
      <c r="J127" s="851">
        <v>1.0500000000000001E-2</v>
      </c>
      <c r="K127" s="851">
        <v>1.0500000000000001E-2</v>
      </c>
      <c r="L127" s="849">
        <v>3</v>
      </c>
    </row>
    <row r="128" spans="1:12" ht="12" hidden="1" customHeight="1">
      <c r="A128" s="847">
        <v>40044</v>
      </c>
      <c r="B128" s="848" t="s">
        <v>924</v>
      </c>
      <c r="C128" s="849">
        <v>28</v>
      </c>
      <c r="D128" s="847">
        <v>40072</v>
      </c>
      <c r="E128" s="850">
        <v>5</v>
      </c>
      <c r="F128" s="850">
        <v>11.0038</v>
      </c>
      <c r="G128" s="850">
        <v>4</v>
      </c>
      <c r="H128" s="850">
        <v>0</v>
      </c>
      <c r="I128" s="851">
        <v>1.0500000000000001E-2</v>
      </c>
      <c r="J128" s="851">
        <v>1.0500000000000001E-2</v>
      </c>
      <c r="K128" s="851">
        <v>1.0500000000000001E-2</v>
      </c>
      <c r="L128" s="849">
        <v>4</v>
      </c>
    </row>
    <row r="129" spans="1:12" ht="12" hidden="1" customHeight="1">
      <c r="A129" s="847">
        <v>40051</v>
      </c>
      <c r="B129" s="848" t="s">
        <v>925</v>
      </c>
      <c r="C129" s="849">
        <v>28</v>
      </c>
      <c r="D129" s="847">
        <v>40079</v>
      </c>
      <c r="E129" s="850">
        <v>5</v>
      </c>
      <c r="F129" s="850">
        <v>6.3655999999999997</v>
      </c>
      <c r="G129" s="850">
        <v>0</v>
      </c>
      <c r="H129" s="850">
        <v>0</v>
      </c>
      <c r="I129" s="851">
        <v>0</v>
      </c>
      <c r="J129" s="851">
        <v>0</v>
      </c>
      <c r="K129" s="851">
        <v>0</v>
      </c>
      <c r="L129" s="849">
        <v>1</v>
      </c>
    </row>
    <row r="130" spans="1:12" ht="12" hidden="1" customHeight="1">
      <c r="A130" s="847">
        <v>40058</v>
      </c>
      <c r="B130" s="848" t="s">
        <v>926</v>
      </c>
      <c r="C130" s="849">
        <v>28</v>
      </c>
      <c r="D130" s="847">
        <v>40086</v>
      </c>
      <c r="E130" s="850">
        <v>5</v>
      </c>
      <c r="F130" s="850">
        <v>11.0938</v>
      </c>
      <c r="G130" s="850">
        <v>4</v>
      </c>
      <c r="H130" s="850">
        <v>0</v>
      </c>
      <c r="I130" s="851">
        <v>0.01</v>
      </c>
      <c r="J130" s="851">
        <v>0.01</v>
      </c>
      <c r="K130" s="851">
        <v>0.01</v>
      </c>
      <c r="L130" s="849">
        <v>3</v>
      </c>
    </row>
    <row r="131" spans="1:12" ht="12" hidden="1" customHeight="1">
      <c r="A131" s="847">
        <v>40065</v>
      </c>
      <c r="B131" s="848" t="s">
        <v>927</v>
      </c>
      <c r="C131" s="849">
        <v>28</v>
      </c>
      <c r="D131" s="847">
        <v>40093</v>
      </c>
      <c r="E131" s="850">
        <v>5</v>
      </c>
      <c r="F131" s="850">
        <v>4.8726000000000003</v>
      </c>
      <c r="G131" s="850">
        <v>4</v>
      </c>
      <c r="H131" s="850">
        <v>0</v>
      </c>
      <c r="I131" s="851">
        <v>0.01</v>
      </c>
      <c r="J131" s="851">
        <v>0.01</v>
      </c>
      <c r="K131" s="851">
        <v>0.01</v>
      </c>
      <c r="L131" s="849">
        <v>3</v>
      </c>
    </row>
    <row r="132" spans="1:12" ht="12" hidden="1" customHeight="1">
      <c r="A132" s="847">
        <v>40072</v>
      </c>
      <c r="B132" s="848" t="s">
        <v>928</v>
      </c>
      <c r="C132" s="849">
        <v>28</v>
      </c>
      <c r="D132" s="847">
        <v>40100</v>
      </c>
      <c r="E132" s="850">
        <v>5</v>
      </c>
      <c r="F132" s="850">
        <v>8.4725000000000001</v>
      </c>
      <c r="G132" s="850">
        <v>4</v>
      </c>
      <c r="H132" s="850">
        <v>0</v>
      </c>
      <c r="I132" s="851">
        <v>0.01</v>
      </c>
      <c r="J132" s="851">
        <v>0.01</v>
      </c>
      <c r="K132" s="851">
        <v>0.01</v>
      </c>
      <c r="L132" s="849">
        <v>3</v>
      </c>
    </row>
    <row r="133" spans="1:12" ht="12" hidden="1" customHeight="1">
      <c r="A133" s="847">
        <v>40079</v>
      </c>
      <c r="B133" s="848" t="s">
        <v>929</v>
      </c>
      <c r="C133" s="849">
        <v>28</v>
      </c>
      <c r="D133" s="847">
        <v>40107</v>
      </c>
      <c r="E133" s="850">
        <v>5</v>
      </c>
      <c r="F133" s="850">
        <v>4.8529999999999998</v>
      </c>
      <c r="G133" s="850">
        <v>4</v>
      </c>
      <c r="H133" s="850">
        <v>0</v>
      </c>
      <c r="I133" s="851">
        <v>0.01</v>
      </c>
      <c r="J133" s="851">
        <v>0.01</v>
      </c>
      <c r="K133" s="851">
        <v>0.01</v>
      </c>
      <c r="L133" s="849">
        <v>2</v>
      </c>
    </row>
    <row r="134" spans="1:12" ht="12" hidden="1" customHeight="1">
      <c r="A134" s="847">
        <v>40086</v>
      </c>
      <c r="B134" s="848" t="s">
        <v>930</v>
      </c>
      <c r="C134" s="849">
        <v>28</v>
      </c>
      <c r="D134" s="847">
        <v>40114</v>
      </c>
      <c r="E134" s="850">
        <v>5</v>
      </c>
      <c r="F134" s="850">
        <v>12.0016</v>
      </c>
      <c r="G134" s="850">
        <v>3</v>
      </c>
      <c r="H134" s="850">
        <v>0</v>
      </c>
      <c r="I134" s="851">
        <v>0.01</v>
      </c>
      <c r="J134" s="851">
        <v>0.01</v>
      </c>
      <c r="K134" s="851">
        <v>0.01</v>
      </c>
      <c r="L134" s="849">
        <v>2</v>
      </c>
    </row>
    <row r="135" spans="1:12" ht="12" hidden="1" customHeight="1">
      <c r="A135" s="847">
        <v>40093</v>
      </c>
      <c r="B135" s="848" t="s">
        <v>931</v>
      </c>
      <c r="C135" s="849">
        <v>28</v>
      </c>
      <c r="D135" s="847">
        <v>40121</v>
      </c>
      <c r="E135" s="850">
        <v>4</v>
      </c>
      <c r="F135" s="850">
        <v>3.548</v>
      </c>
      <c r="G135" s="850">
        <v>3</v>
      </c>
      <c r="H135" s="850">
        <v>0</v>
      </c>
      <c r="I135" s="851">
        <v>0.01</v>
      </c>
      <c r="J135" s="851">
        <v>0.01</v>
      </c>
      <c r="K135" s="851">
        <v>0.01</v>
      </c>
      <c r="L135" s="849">
        <v>2</v>
      </c>
    </row>
    <row r="136" spans="1:12" ht="12" hidden="1" customHeight="1">
      <c r="A136" s="847">
        <v>40100</v>
      </c>
      <c r="B136" s="848" t="s">
        <v>932</v>
      </c>
      <c r="C136" s="849">
        <v>28</v>
      </c>
      <c r="D136" s="847">
        <v>40128</v>
      </c>
      <c r="E136" s="850">
        <v>4</v>
      </c>
      <c r="F136" s="850">
        <v>2.907</v>
      </c>
      <c r="G136" s="850">
        <v>0</v>
      </c>
      <c r="H136" s="850">
        <v>0</v>
      </c>
      <c r="I136" s="851">
        <v>0</v>
      </c>
      <c r="J136" s="851">
        <v>0</v>
      </c>
      <c r="K136" s="851">
        <v>0</v>
      </c>
      <c r="L136" s="849">
        <v>1</v>
      </c>
    </row>
    <row r="137" spans="1:12" ht="12" hidden="1" customHeight="1">
      <c r="A137" s="847">
        <v>40107</v>
      </c>
      <c r="B137" s="848" t="s">
        <v>933</v>
      </c>
      <c r="C137" s="849">
        <v>28</v>
      </c>
      <c r="D137" s="847">
        <v>40135</v>
      </c>
      <c r="E137" s="850">
        <v>4</v>
      </c>
      <c r="F137" s="850">
        <v>3</v>
      </c>
      <c r="G137" s="850">
        <v>0</v>
      </c>
      <c r="H137" s="850">
        <v>0</v>
      </c>
      <c r="I137" s="851">
        <v>0</v>
      </c>
      <c r="J137" s="851">
        <v>0</v>
      </c>
      <c r="K137" s="851">
        <v>0</v>
      </c>
      <c r="L137" s="849">
        <v>1</v>
      </c>
    </row>
    <row r="138" spans="1:12" ht="12" hidden="1" customHeight="1">
      <c r="A138" s="847">
        <v>40114</v>
      </c>
      <c r="B138" s="848" t="s">
        <v>1138</v>
      </c>
      <c r="C138" s="849">
        <v>28</v>
      </c>
      <c r="D138" s="847">
        <v>40142</v>
      </c>
      <c r="E138" s="850">
        <v>4</v>
      </c>
      <c r="F138" s="850">
        <v>14.003399999999999</v>
      </c>
      <c r="G138" s="850">
        <v>3</v>
      </c>
      <c r="H138" s="850">
        <v>0</v>
      </c>
      <c r="I138" s="851">
        <v>0.01</v>
      </c>
      <c r="J138" s="851">
        <v>0.01</v>
      </c>
      <c r="K138" s="851">
        <v>0.01</v>
      </c>
      <c r="L138" s="849">
        <v>3</v>
      </c>
    </row>
    <row r="139" spans="1:12" ht="12" hidden="1" customHeight="1">
      <c r="A139" s="847">
        <v>40121</v>
      </c>
      <c r="B139" s="848" t="s">
        <v>934</v>
      </c>
      <c r="C139" s="849">
        <v>28</v>
      </c>
      <c r="D139" s="847">
        <v>40149</v>
      </c>
      <c r="E139" s="850">
        <v>4</v>
      </c>
      <c r="F139" s="850">
        <v>22.956600000000002</v>
      </c>
      <c r="G139" s="850">
        <v>3</v>
      </c>
      <c r="H139" s="850">
        <v>0</v>
      </c>
      <c r="I139" s="851">
        <v>0.01</v>
      </c>
      <c r="J139" s="851">
        <v>0.01</v>
      </c>
      <c r="K139" s="851">
        <v>0.01</v>
      </c>
      <c r="L139" s="849">
        <v>2</v>
      </c>
    </row>
    <row r="140" spans="1:12" ht="12" hidden="1" customHeight="1">
      <c r="A140" s="847">
        <v>40128</v>
      </c>
      <c r="B140" s="848" t="s">
        <v>935</v>
      </c>
      <c r="C140" s="849">
        <v>28</v>
      </c>
      <c r="D140" s="847">
        <v>40156</v>
      </c>
      <c r="E140" s="850">
        <v>4</v>
      </c>
      <c r="F140" s="850">
        <v>9.0022000000000002</v>
      </c>
      <c r="G140" s="850">
        <v>3</v>
      </c>
      <c r="H140" s="850">
        <v>0</v>
      </c>
      <c r="I140" s="851">
        <v>0.01</v>
      </c>
      <c r="J140" s="851">
        <v>0.01</v>
      </c>
      <c r="K140" s="851">
        <v>0.01</v>
      </c>
      <c r="L140" s="849">
        <v>2</v>
      </c>
    </row>
    <row r="141" spans="1:12" ht="12" hidden="1" customHeight="1">
      <c r="A141" s="847">
        <v>40135</v>
      </c>
      <c r="B141" s="848" t="s">
        <v>936</v>
      </c>
      <c r="C141" s="849">
        <v>28</v>
      </c>
      <c r="D141" s="847">
        <v>40163</v>
      </c>
      <c r="E141" s="850">
        <v>4</v>
      </c>
      <c r="F141" s="850">
        <v>1.4979</v>
      </c>
      <c r="G141" s="850">
        <v>0</v>
      </c>
      <c r="H141" s="850">
        <v>0</v>
      </c>
      <c r="I141" s="851">
        <v>0</v>
      </c>
      <c r="J141" s="851">
        <v>0</v>
      </c>
      <c r="K141" s="851">
        <v>0</v>
      </c>
      <c r="L141" s="849">
        <v>1</v>
      </c>
    </row>
    <row r="142" spans="1:12" ht="12" hidden="1" customHeight="1">
      <c r="A142" s="847">
        <v>40142</v>
      </c>
      <c r="B142" s="848" t="s">
        <v>937</v>
      </c>
      <c r="C142" s="849">
        <v>28</v>
      </c>
      <c r="D142" s="847">
        <v>40170</v>
      </c>
      <c r="E142" s="850">
        <v>4</v>
      </c>
      <c r="F142" s="850">
        <v>2.5007999999999999</v>
      </c>
      <c r="G142" s="850">
        <v>2.5007999999999999</v>
      </c>
      <c r="H142" s="850">
        <v>0</v>
      </c>
      <c r="I142" s="851">
        <v>0.01</v>
      </c>
      <c r="J142" s="851">
        <v>0.01</v>
      </c>
      <c r="K142" s="851">
        <v>0.01</v>
      </c>
      <c r="L142" s="849">
        <v>2</v>
      </c>
    </row>
    <row r="143" spans="1:12" ht="12" hidden="1" customHeight="1">
      <c r="A143" s="847">
        <v>40149</v>
      </c>
      <c r="B143" s="848" t="s">
        <v>938</v>
      </c>
      <c r="C143" s="849">
        <v>28</v>
      </c>
      <c r="D143" s="847">
        <v>40177</v>
      </c>
      <c r="E143" s="850">
        <v>4</v>
      </c>
      <c r="F143" s="850">
        <v>0</v>
      </c>
      <c r="G143" s="850">
        <v>0</v>
      </c>
      <c r="H143" s="850">
        <v>0</v>
      </c>
      <c r="I143" s="851">
        <v>0</v>
      </c>
      <c r="J143" s="851">
        <v>0</v>
      </c>
      <c r="K143" s="851">
        <v>0</v>
      </c>
      <c r="L143" s="849">
        <v>0</v>
      </c>
    </row>
    <row r="144" spans="1:12" ht="12" hidden="1" customHeight="1">
      <c r="A144" s="847">
        <v>40156</v>
      </c>
      <c r="B144" s="848" t="s">
        <v>939</v>
      </c>
      <c r="C144" s="849">
        <v>28</v>
      </c>
      <c r="D144" s="847">
        <v>40184</v>
      </c>
      <c r="E144" s="850">
        <v>4</v>
      </c>
      <c r="F144" s="850">
        <v>3.5644</v>
      </c>
      <c r="G144" s="850">
        <v>0</v>
      </c>
      <c r="H144" s="850">
        <v>0</v>
      </c>
      <c r="I144" s="851">
        <v>0</v>
      </c>
      <c r="J144" s="851">
        <v>0</v>
      </c>
      <c r="K144" s="851">
        <v>0</v>
      </c>
      <c r="L144" s="849">
        <v>1</v>
      </c>
    </row>
    <row r="145" spans="1:12" ht="12" hidden="1" customHeight="1">
      <c r="A145" s="847">
        <v>40163</v>
      </c>
      <c r="B145" s="848" t="s">
        <v>940</v>
      </c>
      <c r="C145" s="849">
        <v>28</v>
      </c>
      <c r="D145" s="847">
        <v>40191</v>
      </c>
      <c r="E145" s="850">
        <v>5</v>
      </c>
      <c r="F145" s="850">
        <v>4.0477999999999996</v>
      </c>
      <c r="G145" s="850">
        <v>4</v>
      </c>
      <c r="H145" s="850">
        <v>0</v>
      </c>
      <c r="I145" s="851">
        <v>0.01</v>
      </c>
      <c r="J145" s="851">
        <v>0.01</v>
      </c>
      <c r="K145" s="851">
        <v>0.01</v>
      </c>
      <c r="L145" s="849">
        <v>2</v>
      </c>
    </row>
    <row r="146" spans="1:12" ht="12" hidden="1" customHeight="1">
      <c r="A146" s="847">
        <v>40171</v>
      </c>
      <c r="B146" s="848" t="s">
        <v>941</v>
      </c>
      <c r="C146" s="849">
        <v>28</v>
      </c>
      <c r="D146" s="847">
        <v>40199</v>
      </c>
      <c r="E146" s="850">
        <v>5</v>
      </c>
      <c r="F146" s="850">
        <v>0</v>
      </c>
      <c r="G146" s="850">
        <v>0</v>
      </c>
      <c r="H146" s="850">
        <v>0</v>
      </c>
      <c r="I146" s="851">
        <v>0</v>
      </c>
      <c r="J146" s="851">
        <v>0</v>
      </c>
      <c r="K146" s="851">
        <v>0</v>
      </c>
      <c r="L146" s="849">
        <v>0</v>
      </c>
    </row>
    <row r="147" spans="1:12" ht="12" hidden="1" customHeight="1">
      <c r="A147" s="847">
        <v>40177</v>
      </c>
      <c r="B147" s="848" t="s">
        <v>942</v>
      </c>
      <c r="C147" s="849">
        <v>28</v>
      </c>
      <c r="D147" s="847">
        <v>40205</v>
      </c>
      <c r="E147" s="850">
        <v>5</v>
      </c>
      <c r="F147" s="850">
        <v>4.9957000000000003</v>
      </c>
      <c r="G147" s="850">
        <v>4</v>
      </c>
      <c r="H147" s="850">
        <v>0</v>
      </c>
      <c r="I147" s="851">
        <v>0.01</v>
      </c>
      <c r="J147" s="851">
        <v>0.01</v>
      </c>
      <c r="K147" s="851">
        <v>0.01</v>
      </c>
      <c r="L147" s="849">
        <v>3</v>
      </c>
    </row>
    <row r="148" spans="1:12" ht="12" hidden="1" customHeight="1">
      <c r="A148" s="847">
        <v>40184</v>
      </c>
      <c r="B148" s="848" t="s">
        <v>943</v>
      </c>
      <c r="C148" s="849">
        <v>28</v>
      </c>
      <c r="D148" s="847">
        <v>40212</v>
      </c>
      <c r="E148" s="850">
        <v>5</v>
      </c>
      <c r="F148" s="850">
        <v>1.6003000000000001</v>
      </c>
      <c r="G148" s="850">
        <v>1.6003000000000001</v>
      </c>
      <c r="H148" s="850">
        <v>0</v>
      </c>
      <c r="I148" s="851">
        <v>0.01</v>
      </c>
      <c r="J148" s="851">
        <v>0.01</v>
      </c>
      <c r="K148" s="851">
        <v>0.01</v>
      </c>
      <c r="L148" s="849">
        <v>2</v>
      </c>
    </row>
    <row r="149" spans="1:12" ht="12" hidden="1" customHeight="1">
      <c r="A149" s="847">
        <v>40191</v>
      </c>
      <c r="B149" s="848" t="s">
        <v>944</v>
      </c>
      <c r="C149" s="849">
        <v>28</v>
      </c>
      <c r="D149" s="847">
        <v>40219</v>
      </c>
      <c r="E149" s="850">
        <v>5</v>
      </c>
      <c r="F149" s="850">
        <v>6.9625000000000004</v>
      </c>
      <c r="G149" s="850">
        <v>4</v>
      </c>
      <c r="H149" s="850">
        <v>0</v>
      </c>
      <c r="I149" s="851">
        <v>0.01</v>
      </c>
      <c r="J149" s="851">
        <v>0.01</v>
      </c>
      <c r="K149" s="851">
        <v>0.01</v>
      </c>
      <c r="L149" s="849">
        <v>3</v>
      </c>
    </row>
    <row r="150" spans="1:12" ht="12" hidden="1" customHeight="1">
      <c r="A150" s="847">
        <v>40199</v>
      </c>
      <c r="B150" s="848" t="s">
        <v>945</v>
      </c>
      <c r="C150" s="849">
        <v>27</v>
      </c>
      <c r="D150" s="847">
        <v>40226</v>
      </c>
      <c r="E150" s="850">
        <v>5</v>
      </c>
      <c r="F150" s="850">
        <v>6.5008999999999997</v>
      </c>
      <c r="G150" s="850">
        <v>4</v>
      </c>
      <c r="H150" s="850">
        <v>0</v>
      </c>
      <c r="I150" s="851">
        <v>0.01</v>
      </c>
      <c r="J150" s="851">
        <v>0.01</v>
      </c>
      <c r="K150" s="851">
        <v>0.01</v>
      </c>
      <c r="L150" s="849">
        <v>2</v>
      </c>
    </row>
    <row r="151" spans="1:12" ht="12" hidden="1" customHeight="1">
      <c r="A151" s="847">
        <v>40205</v>
      </c>
      <c r="B151" s="848" t="s">
        <v>946</v>
      </c>
      <c r="C151" s="849">
        <v>28</v>
      </c>
      <c r="D151" s="847">
        <v>40233</v>
      </c>
      <c r="E151" s="850">
        <v>5</v>
      </c>
      <c r="F151" s="850">
        <v>8.0024999999999995</v>
      </c>
      <c r="G151" s="850">
        <v>4</v>
      </c>
      <c r="H151" s="850">
        <v>0</v>
      </c>
      <c r="I151" s="851">
        <v>0.01</v>
      </c>
      <c r="J151" s="851">
        <v>0.01</v>
      </c>
      <c r="K151" s="851">
        <v>0.01</v>
      </c>
      <c r="L151" s="849">
        <v>2</v>
      </c>
    </row>
    <row r="152" spans="1:12" ht="12" hidden="1" customHeight="1">
      <c r="A152" s="847">
        <v>40212</v>
      </c>
      <c r="B152" s="848" t="s">
        <v>947</v>
      </c>
      <c r="C152" s="849">
        <v>28</v>
      </c>
      <c r="D152" s="847">
        <v>40240</v>
      </c>
      <c r="E152" s="850">
        <v>5</v>
      </c>
      <c r="F152" s="850">
        <v>27.0062</v>
      </c>
      <c r="G152" s="850">
        <v>4</v>
      </c>
      <c r="H152" s="850">
        <v>0</v>
      </c>
      <c r="I152" s="851">
        <v>0.01</v>
      </c>
      <c r="J152" s="851">
        <v>0.01</v>
      </c>
      <c r="K152" s="851">
        <v>0.01</v>
      </c>
      <c r="L152" s="849">
        <v>2</v>
      </c>
    </row>
    <row r="153" spans="1:12" ht="12" hidden="1" customHeight="1">
      <c r="A153" s="847">
        <v>40219</v>
      </c>
      <c r="B153" s="848" t="s">
        <v>948</v>
      </c>
      <c r="C153" s="849">
        <v>28</v>
      </c>
      <c r="D153" s="847">
        <v>40247</v>
      </c>
      <c r="E153" s="850">
        <v>5</v>
      </c>
      <c r="F153" s="850">
        <v>11.6073</v>
      </c>
      <c r="G153" s="850">
        <v>4</v>
      </c>
      <c r="H153" s="850">
        <v>0</v>
      </c>
      <c r="I153" s="851">
        <v>0.01</v>
      </c>
      <c r="J153" s="851">
        <v>0.01</v>
      </c>
      <c r="K153" s="851">
        <v>0.01</v>
      </c>
      <c r="L153" s="849">
        <v>2</v>
      </c>
    </row>
    <row r="154" spans="1:12" ht="12" hidden="1" customHeight="1">
      <c r="A154" s="847">
        <v>40226</v>
      </c>
      <c r="B154" s="848" t="s">
        <v>949</v>
      </c>
      <c r="C154" s="849">
        <v>28</v>
      </c>
      <c r="D154" s="847">
        <v>40254</v>
      </c>
      <c r="E154" s="850">
        <v>5</v>
      </c>
      <c r="F154" s="850">
        <v>52.011699999999998</v>
      </c>
      <c r="G154" s="850">
        <v>4</v>
      </c>
      <c r="H154" s="850">
        <v>0</v>
      </c>
      <c r="I154" s="851">
        <v>0.01</v>
      </c>
      <c r="J154" s="851">
        <v>0.01</v>
      </c>
      <c r="K154" s="851">
        <v>0.01</v>
      </c>
      <c r="L154" s="849">
        <v>5</v>
      </c>
    </row>
    <row r="155" spans="1:12" ht="12" hidden="1" customHeight="1">
      <c r="A155" s="847">
        <v>40233</v>
      </c>
      <c r="B155" s="848" t="s">
        <v>950</v>
      </c>
      <c r="C155" s="849">
        <v>33</v>
      </c>
      <c r="D155" s="847">
        <v>40266</v>
      </c>
      <c r="E155" s="850">
        <v>5</v>
      </c>
      <c r="F155" s="850">
        <v>38.916200000000003</v>
      </c>
      <c r="G155" s="850">
        <v>4</v>
      </c>
      <c r="H155" s="850">
        <v>0</v>
      </c>
      <c r="I155" s="851">
        <v>0.01</v>
      </c>
      <c r="J155" s="851">
        <v>0.01</v>
      </c>
      <c r="K155" s="851">
        <v>0.01</v>
      </c>
      <c r="L155" s="849">
        <v>3</v>
      </c>
    </row>
    <row r="156" spans="1:12" ht="12" hidden="1" customHeight="1">
      <c r="A156" s="847">
        <v>40240</v>
      </c>
      <c r="B156" s="848" t="s">
        <v>951</v>
      </c>
      <c r="C156" s="849">
        <v>28</v>
      </c>
      <c r="D156" s="847">
        <v>40268</v>
      </c>
      <c r="E156" s="850">
        <v>5</v>
      </c>
      <c r="F156" s="850">
        <v>37.018225700000002</v>
      </c>
      <c r="G156" s="850">
        <v>4</v>
      </c>
      <c r="H156" s="850">
        <v>0</v>
      </c>
      <c r="I156" s="851">
        <v>0.01</v>
      </c>
      <c r="J156" s="851">
        <v>0.01</v>
      </c>
      <c r="K156" s="851">
        <v>0.01</v>
      </c>
      <c r="L156" s="849">
        <v>3</v>
      </c>
    </row>
    <row r="157" spans="1:12" ht="12" hidden="1" customHeight="1">
      <c r="A157" s="847">
        <v>40247</v>
      </c>
      <c r="B157" s="848" t="s">
        <v>952</v>
      </c>
      <c r="C157" s="849">
        <v>28</v>
      </c>
      <c r="D157" s="847">
        <v>40275</v>
      </c>
      <c r="E157" s="850">
        <v>5</v>
      </c>
      <c r="F157" s="850">
        <v>60.016100000000002</v>
      </c>
      <c r="G157" s="850">
        <v>4</v>
      </c>
      <c r="H157" s="850">
        <v>0</v>
      </c>
      <c r="I157" s="851">
        <v>0.01</v>
      </c>
      <c r="J157" s="851">
        <v>0.01</v>
      </c>
      <c r="K157" s="851">
        <v>0.01</v>
      </c>
      <c r="L157" s="849">
        <v>4</v>
      </c>
    </row>
    <row r="158" spans="1:12" ht="12" hidden="1" customHeight="1">
      <c r="A158" s="847">
        <v>40254</v>
      </c>
      <c r="B158" s="848" t="s">
        <v>953</v>
      </c>
      <c r="C158" s="849">
        <v>28</v>
      </c>
      <c r="D158" s="847">
        <v>40282</v>
      </c>
      <c r="E158" s="850">
        <v>5</v>
      </c>
      <c r="F158" s="850">
        <v>17.712800000000001</v>
      </c>
      <c r="G158" s="850">
        <v>4</v>
      </c>
      <c r="H158" s="850">
        <v>0</v>
      </c>
      <c r="I158" s="851">
        <v>0.01</v>
      </c>
      <c r="J158" s="851">
        <v>0.01</v>
      </c>
      <c r="K158" s="851">
        <v>0.01</v>
      </c>
      <c r="L158" s="849">
        <v>4</v>
      </c>
    </row>
    <row r="159" spans="1:12" ht="12" hidden="1" customHeight="1">
      <c r="A159" s="847">
        <v>40268</v>
      </c>
      <c r="B159" s="848" t="s">
        <v>954</v>
      </c>
      <c r="C159" s="849">
        <v>28</v>
      </c>
      <c r="D159" s="847">
        <v>40296</v>
      </c>
      <c r="E159" s="850">
        <v>5</v>
      </c>
      <c r="F159" s="850">
        <v>44.011000000000003</v>
      </c>
      <c r="G159" s="850">
        <v>4</v>
      </c>
      <c r="H159" s="850">
        <v>0</v>
      </c>
      <c r="I159" s="851">
        <v>0.01</v>
      </c>
      <c r="J159" s="851">
        <v>0.01</v>
      </c>
      <c r="K159" s="851">
        <v>0.01</v>
      </c>
      <c r="L159" s="849">
        <v>5</v>
      </c>
    </row>
    <row r="160" spans="1:12" ht="12" hidden="1" customHeight="1">
      <c r="A160" s="847">
        <v>40275</v>
      </c>
      <c r="B160" s="848" t="s">
        <v>955</v>
      </c>
      <c r="C160" s="849">
        <v>28</v>
      </c>
      <c r="D160" s="847">
        <v>40303</v>
      </c>
      <c r="E160" s="850">
        <v>5</v>
      </c>
      <c r="F160" s="850">
        <v>42.011000000000003</v>
      </c>
      <c r="G160" s="850">
        <v>4</v>
      </c>
      <c r="H160" s="850">
        <v>0</v>
      </c>
      <c r="I160" s="851">
        <v>0.01</v>
      </c>
      <c r="J160" s="851">
        <v>0.01</v>
      </c>
      <c r="K160" s="851">
        <v>0.01</v>
      </c>
      <c r="L160" s="849">
        <v>4</v>
      </c>
    </row>
    <row r="161" spans="1:12" ht="12" hidden="1" customHeight="1">
      <c r="A161" s="847">
        <v>40282</v>
      </c>
      <c r="B161" s="848" t="s">
        <v>956</v>
      </c>
      <c r="C161" s="849">
        <v>28</v>
      </c>
      <c r="D161" s="847">
        <v>40310</v>
      </c>
      <c r="E161" s="850">
        <v>5</v>
      </c>
      <c r="F161" s="850">
        <v>31.6921</v>
      </c>
      <c r="G161" s="850">
        <v>4</v>
      </c>
      <c r="H161" s="850">
        <v>0</v>
      </c>
      <c r="I161" s="851">
        <v>0.01</v>
      </c>
      <c r="J161" s="851">
        <v>0.01</v>
      </c>
      <c r="K161" s="851">
        <v>0.01</v>
      </c>
      <c r="L161" s="849">
        <v>3</v>
      </c>
    </row>
    <row r="162" spans="1:12" ht="12" hidden="1" customHeight="1">
      <c r="A162" s="847">
        <v>40289</v>
      </c>
      <c r="B162" s="848" t="s">
        <v>957</v>
      </c>
      <c r="C162" s="849">
        <v>28</v>
      </c>
      <c r="D162" s="847">
        <v>40317</v>
      </c>
      <c r="E162" s="850">
        <v>5</v>
      </c>
      <c r="F162" s="850">
        <v>24.0002</v>
      </c>
      <c r="G162" s="850">
        <v>4</v>
      </c>
      <c r="H162" s="850">
        <v>0</v>
      </c>
      <c r="I162" s="851">
        <v>0.01</v>
      </c>
      <c r="J162" s="851">
        <v>0.01</v>
      </c>
      <c r="K162" s="851">
        <v>0.01</v>
      </c>
      <c r="L162" s="849">
        <v>2</v>
      </c>
    </row>
    <row r="163" spans="1:12" ht="12" hidden="1" customHeight="1">
      <c r="A163" s="847">
        <v>40296</v>
      </c>
      <c r="B163" s="848" t="s">
        <v>958</v>
      </c>
      <c r="C163" s="849">
        <v>28</v>
      </c>
      <c r="D163" s="847">
        <v>40324</v>
      </c>
      <c r="E163" s="850">
        <v>5</v>
      </c>
      <c r="F163" s="850">
        <v>24.299800000000001</v>
      </c>
      <c r="G163" s="850">
        <v>4</v>
      </c>
      <c r="H163" s="850">
        <v>0</v>
      </c>
      <c r="I163" s="851">
        <v>0.01</v>
      </c>
      <c r="J163" s="851">
        <v>0.01</v>
      </c>
      <c r="K163" s="851">
        <v>0.01</v>
      </c>
      <c r="L163" s="849">
        <v>2</v>
      </c>
    </row>
    <row r="164" spans="1:12" ht="12" hidden="1" customHeight="1">
      <c r="A164" s="847">
        <v>40303</v>
      </c>
      <c r="B164" s="848" t="s">
        <v>959</v>
      </c>
      <c r="C164" s="849">
        <v>28</v>
      </c>
      <c r="D164" s="847">
        <v>40331</v>
      </c>
      <c r="E164" s="850">
        <v>5</v>
      </c>
      <c r="F164" s="850">
        <v>26.717500000000001</v>
      </c>
      <c r="G164" s="850">
        <v>4</v>
      </c>
      <c r="H164" s="850">
        <v>0</v>
      </c>
      <c r="I164" s="851">
        <v>0.01</v>
      </c>
      <c r="J164" s="851">
        <v>0.01</v>
      </c>
      <c r="K164" s="851">
        <v>0.01</v>
      </c>
      <c r="L164" s="849">
        <v>2</v>
      </c>
    </row>
    <row r="165" spans="1:12" ht="12" hidden="1" customHeight="1">
      <c r="A165" s="847">
        <v>40310</v>
      </c>
      <c r="B165" s="848" t="s">
        <v>960</v>
      </c>
      <c r="C165" s="849">
        <v>28</v>
      </c>
      <c r="D165" s="847">
        <v>40338</v>
      </c>
      <c r="E165" s="850">
        <v>5</v>
      </c>
      <c r="F165" s="850">
        <v>28.006599999999999</v>
      </c>
      <c r="G165" s="850">
        <v>4</v>
      </c>
      <c r="H165" s="850">
        <v>0</v>
      </c>
      <c r="I165" s="851">
        <v>0.01</v>
      </c>
      <c r="J165" s="851">
        <v>0.01</v>
      </c>
      <c r="K165" s="851">
        <v>0.01</v>
      </c>
      <c r="L165" s="849">
        <v>2</v>
      </c>
    </row>
    <row r="166" spans="1:12" ht="12" hidden="1" customHeight="1">
      <c r="A166" s="847">
        <v>40317</v>
      </c>
      <c r="B166" s="848" t="s">
        <v>961</v>
      </c>
      <c r="C166" s="849">
        <v>28</v>
      </c>
      <c r="D166" s="847">
        <v>40345</v>
      </c>
      <c r="E166" s="850">
        <v>5</v>
      </c>
      <c r="F166" s="850">
        <v>28.984400000000001</v>
      </c>
      <c r="G166" s="850">
        <v>4</v>
      </c>
      <c r="H166" s="850">
        <v>0</v>
      </c>
      <c r="I166" s="851">
        <v>0.01</v>
      </c>
      <c r="J166" s="851">
        <v>0.01</v>
      </c>
      <c r="K166" s="851">
        <v>0.01</v>
      </c>
      <c r="L166" s="849">
        <v>3</v>
      </c>
    </row>
    <row r="167" spans="1:12" ht="12" hidden="1" customHeight="1">
      <c r="A167" s="847">
        <v>40331</v>
      </c>
      <c r="B167" s="848" t="s">
        <v>962</v>
      </c>
      <c r="C167" s="849">
        <v>28</v>
      </c>
      <c r="D167" s="847">
        <v>40359</v>
      </c>
      <c r="E167" s="850">
        <v>6</v>
      </c>
      <c r="F167" s="850">
        <v>16.003299999999999</v>
      </c>
      <c r="G167" s="850">
        <v>6</v>
      </c>
      <c r="H167" s="850">
        <v>0</v>
      </c>
      <c r="I167" s="851">
        <v>0.01</v>
      </c>
      <c r="J167" s="851">
        <v>0.01</v>
      </c>
      <c r="K167" s="851">
        <v>0.01</v>
      </c>
      <c r="L167" s="849">
        <v>2</v>
      </c>
    </row>
    <row r="168" spans="1:12" ht="12" hidden="1" customHeight="1">
      <c r="A168" s="847">
        <v>40338</v>
      </c>
      <c r="B168" s="848" t="s">
        <v>963</v>
      </c>
      <c r="C168" s="849">
        <v>28</v>
      </c>
      <c r="D168" s="847">
        <v>40366</v>
      </c>
      <c r="E168" s="850">
        <v>6</v>
      </c>
      <c r="F168" s="850">
        <v>24.006</v>
      </c>
      <c r="G168" s="850">
        <v>6</v>
      </c>
      <c r="H168" s="850">
        <v>0</v>
      </c>
      <c r="I168" s="851">
        <v>0.01</v>
      </c>
      <c r="J168" s="851">
        <v>0.01</v>
      </c>
      <c r="K168" s="851">
        <v>0.01</v>
      </c>
      <c r="L168" s="849">
        <v>3</v>
      </c>
    </row>
    <row r="169" spans="1:12" ht="12" hidden="1" customHeight="1">
      <c r="A169" s="847">
        <v>40345</v>
      </c>
      <c r="B169" s="848" t="s">
        <v>964</v>
      </c>
      <c r="C169" s="849">
        <v>28</v>
      </c>
      <c r="D169" s="847">
        <v>40373</v>
      </c>
      <c r="E169" s="850">
        <v>6</v>
      </c>
      <c r="F169" s="850">
        <v>12.003</v>
      </c>
      <c r="G169" s="850">
        <v>6</v>
      </c>
      <c r="H169" s="850">
        <v>0</v>
      </c>
      <c r="I169" s="851">
        <v>0.01</v>
      </c>
      <c r="J169" s="851">
        <v>0.01</v>
      </c>
      <c r="K169" s="851">
        <v>0.01</v>
      </c>
      <c r="L169" s="849">
        <v>3</v>
      </c>
    </row>
    <row r="170" spans="1:12" ht="12" hidden="1" customHeight="1">
      <c r="A170" s="847">
        <v>40352</v>
      </c>
      <c r="B170" s="848" t="s">
        <v>965</v>
      </c>
      <c r="C170" s="849">
        <v>28</v>
      </c>
      <c r="D170" s="847">
        <v>40380</v>
      </c>
      <c r="E170" s="850">
        <v>7</v>
      </c>
      <c r="F170" s="850">
        <v>9.3459000000000003</v>
      </c>
      <c r="G170" s="850">
        <v>6</v>
      </c>
      <c r="H170" s="850">
        <v>0</v>
      </c>
      <c r="I170" s="851">
        <v>0.01</v>
      </c>
      <c r="J170" s="851">
        <v>0.01</v>
      </c>
      <c r="K170" s="851">
        <v>0.01</v>
      </c>
      <c r="L170" s="849">
        <v>2</v>
      </c>
    </row>
    <row r="171" spans="1:12" ht="12" hidden="1" customHeight="1">
      <c r="A171" s="847">
        <v>40359</v>
      </c>
      <c r="B171" s="848" t="s">
        <v>966</v>
      </c>
      <c r="C171" s="849">
        <v>28</v>
      </c>
      <c r="D171" s="847">
        <v>40387</v>
      </c>
      <c r="E171" s="850">
        <v>7</v>
      </c>
      <c r="F171" s="850">
        <v>9.1273999999999997</v>
      </c>
      <c r="G171" s="850">
        <v>6</v>
      </c>
      <c r="H171" s="850">
        <v>0</v>
      </c>
      <c r="I171" s="851">
        <v>0.01</v>
      </c>
      <c r="J171" s="851">
        <v>0.01</v>
      </c>
      <c r="K171" s="851">
        <v>0.01</v>
      </c>
      <c r="L171" s="849">
        <v>2</v>
      </c>
    </row>
    <row r="172" spans="1:12" ht="12" hidden="1" customHeight="1">
      <c r="A172" s="847">
        <v>40366</v>
      </c>
      <c r="B172" s="848" t="s">
        <v>967</v>
      </c>
      <c r="C172" s="849">
        <v>28</v>
      </c>
      <c r="D172" s="847">
        <v>40394</v>
      </c>
      <c r="E172" s="850">
        <v>6</v>
      </c>
      <c r="F172" s="850">
        <v>7.9946999999999999</v>
      </c>
      <c r="G172" s="850">
        <v>5</v>
      </c>
      <c r="H172" s="850">
        <v>0</v>
      </c>
      <c r="I172" s="851">
        <v>0.01</v>
      </c>
      <c r="J172" s="851">
        <v>0.01</v>
      </c>
      <c r="K172" s="851">
        <v>0.01</v>
      </c>
      <c r="L172" s="849">
        <v>2</v>
      </c>
    </row>
    <row r="173" spans="1:12" ht="12" hidden="1" customHeight="1">
      <c r="A173" s="847">
        <v>40373</v>
      </c>
      <c r="B173" s="848" t="s">
        <v>968</v>
      </c>
      <c r="C173" s="849">
        <v>28</v>
      </c>
      <c r="D173" s="847">
        <v>40401</v>
      </c>
      <c r="E173" s="850">
        <v>6</v>
      </c>
      <c r="F173" s="850">
        <v>10.918200000000001</v>
      </c>
      <c r="G173" s="850">
        <v>5</v>
      </c>
      <c r="H173" s="850">
        <v>-0.20930000000000001</v>
      </c>
      <c r="I173" s="851">
        <v>0.01</v>
      </c>
      <c r="J173" s="851">
        <v>0.01</v>
      </c>
      <c r="K173" s="851">
        <v>0.01</v>
      </c>
      <c r="L173" s="849">
        <v>2</v>
      </c>
    </row>
    <row r="174" spans="1:12" ht="12" hidden="1" customHeight="1">
      <c r="A174" s="847">
        <v>40380</v>
      </c>
      <c r="B174" s="848" t="s">
        <v>969</v>
      </c>
      <c r="C174" s="849">
        <v>28</v>
      </c>
      <c r="D174" s="847">
        <v>40408</v>
      </c>
      <c r="E174" s="850">
        <v>6</v>
      </c>
      <c r="F174" s="850">
        <v>0</v>
      </c>
      <c r="G174" s="850">
        <v>0</v>
      </c>
      <c r="H174" s="850">
        <v>0</v>
      </c>
      <c r="I174" s="851">
        <v>0</v>
      </c>
      <c r="J174" s="851">
        <v>0</v>
      </c>
      <c r="K174" s="851">
        <v>0</v>
      </c>
      <c r="L174" s="849">
        <v>0</v>
      </c>
    </row>
    <row r="175" spans="1:12" ht="12" hidden="1" customHeight="1">
      <c r="A175" s="847">
        <v>40387</v>
      </c>
      <c r="B175" s="848" t="s">
        <v>970</v>
      </c>
      <c r="C175" s="849">
        <v>28</v>
      </c>
      <c r="D175" s="847">
        <v>40415</v>
      </c>
      <c r="E175" s="850">
        <v>6</v>
      </c>
      <c r="F175" s="850">
        <v>2.0230999999999999</v>
      </c>
      <c r="G175" s="850">
        <v>1.9731000000000001</v>
      </c>
      <c r="H175" s="850">
        <v>0</v>
      </c>
      <c r="I175" s="851">
        <v>0.01</v>
      </c>
      <c r="J175" s="851">
        <v>0.01</v>
      </c>
      <c r="K175" s="851">
        <v>0.01</v>
      </c>
      <c r="L175" s="849">
        <v>2</v>
      </c>
    </row>
    <row r="176" spans="1:12" ht="12" hidden="1" customHeight="1">
      <c r="A176" s="847">
        <v>40394</v>
      </c>
      <c r="B176" s="848" t="s">
        <v>971</v>
      </c>
      <c r="C176" s="849">
        <v>28</v>
      </c>
      <c r="D176" s="847">
        <v>40422</v>
      </c>
      <c r="E176" s="850">
        <v>5</v>
      </c>
      <c r="F176" s="850">
        <v>13.290324999999999</v>
      </c>
      <c r="G176" s="850">
        <v>4</v>
      </c>
      <c r="H176" s="850">
        <v>0</v>
      </c>
      <c r="I176" s="851">
        <v>0.01</v>
      </c>
      <c r="J176" s="851">
        <v>0.01</v>
      </c>
      <c r="K176" s="851">
        <v>0.01</v>
      </c>
      <c r="L176" s="849">
        <v>2</v>
      </c>
    </row>
    <row r="177" spans="1:12" ht="12" hidden="1" customHeight="1">
      <c r="A177" s="847">
        <v>40401</v>
      </c>
      <c r="B177" s="848" t="s">
        <v>972</v>
      </c>
      <c r="C177" s="849">
        <v>28</v>
      </c>
      <c r="D177" s="847">
        <v>40429</v>
      </c>
      <c r="E177" s="850">
        <v>6</v>
      </c>
      <c r="F177" s="850">
        <v>15.89756036</v>
      </c>
      <c r="G177" s="850">
        <v>5</v>
      </c>
      <c r="H177" s="850">
        <v>0</v>
      </c>
      <c r="I177" s="851">
        <v>0.01</v>
      </c>
      <c r="J177" s="851">
        <v>0.01</v>
      </c>
      <c r="K177" s="851">
        <v>0.01</v>
      </c>
      <c r="L177" s="849">
        <v>2</v>
      </c>
    </row>
    <row r="178" spans="1:12" ht="12" hidden="1" customHeight="1">
      <c r="A178" s="847">
        <v>40408</v>
      </c>
      <c r="B178" s="848" t="s">
        <v>973</v>
      </c>
      <c r="C178" s="849">
        <v>28</v>
      </c>
      <c r="D178" s="847">
        <v>40436</v>
      </c>
      <c r="E178" s="850">
        <v>5</v>
      </c>
      <c r="F178" s="850">
        <v>9.4017999999999997</v>
      </c>
      <c r="G178" s="850">
        <v>4</v>
      </c>
      <c r="H178" s="850">
        <v>0</v>
      </c>
      <c r="I178" s="851">
        <v>0.01</v>
      </c>
      <c r="J178" s="851">
        <v>0.01</v>
      </c>
      <c r="K178" s="851">
        <v>0.01</v>
      </c>
      <c r="L178" s="849">
        <v>2</v>
      </c>
    </row>
    <row r="179" spans="1:12" ht="12" hidden="1" customHeight="1">
      <c r="A179" s="847">
        <v>40415</v>
      </c>
      <c r="B179" s="848" t="s">
        <v>974</v>
      </c>
      <c r="C179" s="849">
        <v>28</v>
      </c>
      <c r="D179" s="847">
        <v>40443</v>
      </c>
      <c r="E179" s="850">
        <v>5</v>
      </c>
      <c r="F179" s="850">
        <v>15.9764</v>
      </c>
      <c r="G179" s="850">
        <v>4</v>
      </c>
      <c r="H179" s="850">
        <v>0</v>
      </c>
      <c r="I179" s="851">
        <v>0.01</v>
      </c>
      <c r="J179" s="851">
        <v>0.01</v>
      </c>
      <c r="K179" s="851">
        <v>0.01</v>
      </c>
      <c r="L179" s="849">
        <v>2</v>
      </c>
    </row>
    <row r="180" spans="1:12" ht="12" hidden="1" customHeight="1">
      <c r="A180" s="847">
        <v>40422</v>
      </c>
      <c r="B180" s="848" t="s">
        <v>975</v>
      </c>
      <c r="C180" s="849">
        <v>28</v>
      </c>
      <c r="D180" s="847">
        <v>40450</v>
      </c>
      <c r="E180" s="850">
        <v>5</v>
      </c>
      <c r="F180" s="850">
        <v>12.3727</v>
      </c>
      <c r="G180" s="850">
        <v>4</v>
      </c>
      <c r="H180" s="850">
        <v>0</v>
      </c>
      <c r="I180" s="851">
        <v>0.01</v>
      </c>
      <c r="J180" s="851">
        <v>0.01</v>
      </c>
      <c r="K180" s="851">
        <v>0.01</v>
      </c>
      <c r="L180" s="849">
        <v>2</v>
      </c>
    </row>
    <row r="181" spans="1:12" ht="12" hidden="1" customHeight="1">
      <c r="A181" s="847">
        <v>40429</v>
      </c>
      <c r="B181" s="848" t="s">
        <v>976</v>
      </c>
      <c r="C181" s="849">
        <v>28</v>
      </c>
      <c r="D181" s="847">
        <v>40457</v>
      </c>
      <c r="E181" s="850">
        <v>6</v>
      </c>
      <c r="F181" s="850">
        <v>12</v>
      </c>
      <c r="G181" s="850">
        <v>5</v>
      </c>
      <c r="H181" s="850">
        <v>0</v>
      </c>
      <c r="I181" s="851">
        <v>0.01</v>
      </c>
      <c r="J181" s="851">
        <v>0.01</v>
      </c>
      <c r="K181" s="851">
        <v>0.01</v>
      </c>
      <c r="L181" s="849">
        <v>2</v>
      </c>
    </row>
    <row r="182" spans="1:12" ht="12" hidden="1" customHeight="1">
      <c r="A182" s="847">
        <v>40436</v>
      </c>
      <c r="B182" s="848" t="s">
        <v>977</v>
      </c>
      <c r="C182" s="849">
        <v>28</v>
      </c>
      <c r="D182" s="847">
        <v>40464</v>
      </c>
      <c r="E182" s="850">
        <v>6</v>
      </c>
      <c r="F182" s="850">
        <v>11.5039</v>
      </c>
      <c r="G182" s="850">
        <v>4</v>
      </c>
      <c r="H182" s="850">
        <v>0</v>
      </c>
      <c r="I182" s="851">
        <v>0.01</v>
      </c>
      <c r="J182" s="851">
        <v>0.01</v>
      </c>
      <c r="K182" s="851">
        <v>0.01</v>
      </c>
      <c r="L182" s="849">
        <v>3</v>
      </c>
    </row>
    <row r="183" spans="1:12" ht="12" hidden="1" customHeight="1">
      <c r="A183" s="847">
        <v>40443</v>
      </c>
      <c r="B183" s="848" t="s">
        <v>978</v>
      </c>
      <c r="C183" s="849">
        <v>28</v>
      </c>
      <c r="D183" s="847">
        <v>40471</v>
      </c>
      <c r="E183" s="850">
        <v>6</v>
      </c>
      <c r="F183" s="850">
        <v>13.0007</v>
      </c>
      <c r="G183" s="850">
        <v>5</v>
      </c>
      <c r="H183" s="850">
        <v>0</v>
      </c>
      <c r="I183" s="851">
        <v>0.01</v>
      </c>
      <c r="J183" s="851">
        <v>0.01</v>
      </c>
      <c r="K183" s="851">
        <v>0.01</v>
      </c>
      <c r="L183" s="849">
        <v>2</v>
      </c>
    </row>
    <row r="184" spans="1:12" ht="12" hidden="1" customHeight="1">
      <c r="A184" s="847">
        <v>40450</v>
      </c>
      <c r="B184" s="848" t="s">
        <v>979</v>
      </c>
      <c r="C184" s="849">
        <v>28</v>
      </c>
      <c r="D184" s="847">
        <v>40478</v>
      </c>
      <c r="E184" s="850">
        <v>6</v>
      </c>
      <c r="F184" s="850">
        <v>15.003299999999999</v>
      </c>
      <c r="G184" s="850">
        <v>4</v>
      </c>
      <c r="H184" s="850">
        <v>0</v>
      </c>
      <c r="I184" s="851">
        <v>0.01</v>
      </c>
      <c r="J184" s="851">
        <v>0.01</v>
      </c>
      <c r="K184" s="851">
        <v>0.01</v>
      </c>
      <c r="L184" s="849">
        <v>2</v>
      </c>
    </row>
    <row r="185" spans="1:12" ht="12" hidden="1" customHeight="1">
      <c r="A185" s="847">
        <v>40457</v>
      </c>
      <c r="B185" s="848" t="s">
        <v>980</v>
      </c>
      <c r="C185" s="849">
        <v>28</v>
      </c>
      <c r="D185" s="847">
        <v>40485</v>
      </c>
      <c r="E185" s="850">
        <v>6</v>
      </c>
      <c r="F185" s="850">
        <v>10.2502</v>
      </c>
      <c r="G185" s="850">
        <v>6</v>
      </c>
      <c r="H185" s="850">
        <v>0</v>
      </c>
      <c r="I185" s="851">
        <v>0.01</v>
      </c>
      <c r="J185" s="851">
        <v>0.01</v>
      </c>
      <c r="K185" s="851">
        <v>0.01</v>
      </c>
      <c r="L185" s="849">
        <v>2</v>
      </c>
    </row>
    <row r="186" spans="1:12" ht="12" hidden="1" customHeight="1">
      <c r="A186" s="847">
        <v>40464</v>
      </c>
      <c r="B186" s="848" t="s">
        <v>981</v>
      </c>
      <c r="C186" s="849">
        <v>28</v>
      </c>
      <c r="D186" s="847">
        <v>40492</v>
      </c>
      <c r="E186" s="850">
        <v>6</v>
      </c>
      <c r="F186" s="850">
        <v>7.7526000000000002</v>
      </c>
      <c r="G186" s="850">
        <v>5</v>
      </c>
      <c r="H186" s="850">
        <v>0</v>
      </c>
      <c r="I186" s="851">
        <v>0.01</v>
      </c>
      <c r="J186" s="851">
        <v>0.01</v>
      </c>
      <c r="K186" s="851">
        <v>0.01</v>
      </c>
      <c r="L186" s="849">
        <v>2</v>
      </c>
    </row>
    <row r="187" spans="1:12" ht="12" hidden="1" customHeight="1">
      <c r="A187" s="847">
        <v>40471</v>
      </c>
      <c r="B187" s="848" t="s">
        <v>982</v>
      </c>
      <c r="C187" s="849">
        <v>29</v>
      </c>
      <c r="D187" s="847">
        <v>40500</v>
      </c>
      <c r="E187" s="850">
        <v>7</v>
      </c>
      <c r="F187" s="850">
        <v>3.8170000000000002</v>
      </c>
      <c r="G187" s="850">
        <v>0</v>
      </c>
      <c r="H187" s="850">
        <v>0</v>
      </c>
      <c r="I187" s="851">
        <v>0</v>
      </c>
      <c r="J187" s="851">
        <v>0</v>
      </c>
      <c r="K187" s="851">
        <v>0</v>
      </c>
      <c r="L187" s="849">
        <v>1</v>
      </c>
    </row>
    <row r="188" spans="1:12" ht="12" hidden="1" customHeight="1">
      <c r="A188" s="847">
        <v>40478</v>
      </c>
      <c r="B188" s="848" t="s">
        <v>983</v>
      </c>
      <c r="C188" s="849">
        <v>28</v>
      </c>
      <c r="D188" s="847">
        <v>40506</v>
      </c>
      <c r="E188" s="850">
        <v>10</v>
      </c>
      <c r="F188" s="850">
        <v>7</v>
      </c>
      <c r="G188" s="850">
        <v>0</v>
      </c>
      <c r="H188" s="850">
        <v>0</v>
      </c>
      <c r="I188" s="851">
        <v>0</v>
      </c>
      <c r="J188" s="851">
        <v>0</v>
      </c>
      <c r="K188" s="851">
        <v>0</v>
      </c>
      <c r="L188" s="849">
        <v>1</v>
      </c>
    </row>
    <row r="189" spans="1:12" ht="12" hidden="1" customHeight="1">
      <c r="A189" s="847">
        <v>40485</v>
      </c>
      <c r="B189" s="848" t="s">
        <v>984</v>
      </c>
      <c r="C189" s="849">
        <v>28</v>
      </c>
      <c r="D189" s="847">
        <v>40513</v>
      </c>
      <c r="E189" s="850">
        <v>7</v>
      </c>
      <c r="F189" s="850">
        <v>7</v>
      </c>
      <c r="G189" s="850">
        <v>7</v>
      </c>
      <c r="H189" s="850">
        <v>0</v>
      </c>
      <c r="I189" s="851">
        <v>1.29E-2</v>
      </c>
      <c r="J189" s="851">
        <v>1.4200000000000001E-2</v>
      </c>
      <c r="K189" s="851">
        <v>1.3100000000000001E-2</v>
      </c>
      <c r="L189" s="849">
        <v>2</v>
      </c>
    </row>
    <row r="190" spans="1:12" ht="12" hidden="1" customHeight="1">
      <c r="A190" s="847">
        <v>40492</v>
      </c>
      <c r="B190" s="848" t="s">
        <v>985</v>
      </c>
      <c r="C190" s="849">
        <v>28</v>
      </c>
      <c r="D190" s="847">
        <v>40520</v>
      </c>
      <c r="E190" s="850">
        <v>7</v>
      </c>
      <c r="F190" s="850">
        <v>7.8986999999999998</v>
      </c>
      <c r="G190" s="850">
        <v>7</v>
      </c>
      <c r="H190" s="850">
        <v>0</v>
      </c>
      <c r="I190" s="851">
        <v>1.29E-2</v>
      </c>
      <c r="J190" s="851">
        <v>1.95E-2</v>
      </c>
      <c r="K190" s="851">
        <v>1.8700000000000001E-2</v>
      </c>
      <c r="L190" s="849">
        <v>2</v>
      </c>
    </row>
    <row r="191" spans="1:12" ht="12" hidden="1" customHeight="1">
      <c r="A191" s="847">
        <v>40500</v>
      </c>
      <c r="B191" s="848" t="s">
        <v>986</v>
      </c>
      <c r="C191" s="849">
        <v>27</v>
      </c>
      <c r="D191" s="847">
        <v>40527</v>
      </c>
      <c r="E191" s="850">
        <v>5</v>
      </c>
      <c r="F191" s="850">
        <v>12.6069</v>
      </c>
      <c r="G191" s="850">
        <v>2</v>
      </c>
      <c r="H191" s="850">
        <v>0</v>
      </c>
      <c r="I191" s="851">
        <v>1.29E-2</v>
      </c>
      <c r="J191" s="851">
        <v>1.29E-2</v>
      </c>
      <c r="K191" s="851">
        <v>1.29E-2</v>
      </c>
      <c r="L191" s="849">
        <v>3</v>
      </c>
    </row>
    <row r="192" spans="1:12" ht="12" hidden="1" customHeight="1">
      <c r="A192" s="847">
        <v>40506</v>
      </c>
      <c r="B192" s="848" t="s">
        <v>987</v>
      </c>
      <c r="C192" s="849">
        <v>28</v>
      </c>
      <c r="D192" s="847">
        <v>40534</v>
      </c>
      <c r="E192" s="850">
        <v>10</v>
      </c>
      <c r="F192" s="850">
        <v>17.488900000000001</v>
      </c>
      <c r="G192" s="850">
        <v>3</v>
      </c>
      <c r="H192" s="850">
        <v>0</v>
      </c>
      <c r="I192" s="851">
        <v>1.29E-2</v>
      </c>
      <c r="J192" s="851">
        <v>1.29E-2</v>
      </c>
      <c r="K192" s="851">
        <v>1.29E-2</v>
      </c>
      <c r="L192" s="849">
        <v>4</v>
      </c>
    </row>
    <row r="193" spans="1:12" ht="12" hidden="1" customHeight="1">
      <c r="A193" s="847">
        <v>40513</v>
      </c>
      <c r="B193" s="848" t="s">
        <v>1139</v>
      </c>
      <c r="C193" s="849">
        <v>28</v>
      </c>
      <c r="D193" s="847">
        <v>40541</v>
      </c>
      <c r="E193" s="850">
        <v>7</v>
      </c>
      <c r="F193" s="850">
        <v>0.99870000000000003</v>
      </c>
      <c r="G193" s="850">
        <v>0</v>
      </c>
      <c r="H193" s="850">
        <v>0</v>
      </c>
      <c r="I193" s="851">
        <v>0</v>
      </c>
      <c r="J193" s="851">
        <v>0</v>
      </c>
      <c r="K193" s="851">
        <v>0</v>
      </c>
      <c r="L193" s="849">
        <v>1</v>
      </c>
    </row>
    <row r="194" spans="1:12" ht="12" hidden="1" customHeight="1">
      <c r="A194" s="847">
        <v>40520</v>
      </c>
      <c r="B194" s="848" t="s">
        <v>1140</v>
      </c>
      <c r="C194" s="849">
        <v>28</v>
      </c>
      <c r="D194" s="847">
        <v>40548</v>
      </c>
      <c r="E194" s="850">
        <v>10</v>
      </c>
      <c r="F194" s="850">
        <v>14.9053</v>
      </c>
      <c r="G194" s="850">
        <v>10</v>
      </c>
      <c r="H194" s="850">
        <v>0</v>
      </c>
      <c r="I194" s="851">
        <v>1.2E-2</v>
      </c>
      <c r="J194" s="851">
        <v>1.9900000000000001E-2</v>
      </c>
      <c r="K194" s="851">
        <v>1.4E-2</v>
      </c>
      <c r="L194" s="849">
        <v>4</v>
      </c>
    </row>
    <row r="195" spans="1:12" ht="12" hidden="1" customHeight="1">
      <c r="A195" s="847">
        <v>40527</v>
      </c>
      <c r="B195" s="848" t="s">
        <v>1141</v>
      </c>
      <c r="C195" s="849">
        <v>28</v>
      </c>
      <c r="D195" s="847">
        <v>40555</v>
      </c>
      <c r="E195" s="850">
        <v>10</v>
      </c>
      <c r="F195" s="850">
        <v>15.111000000000001</v>
      </c>
      <c r="G195" s="850">
        <v>10</v>
      </c>
      <c r="H195" s="850">
        <v>0</v>
      </c>
      <c r="I195" s="851">
        <v>1.2200000000000001E-2</v>
      </c>
      <c r="J195" s="851">
        <v>2.0199999999999999E-2</v>
      </c>
      <c r="K195" s="851">
        <v>1.7299999999999999E-2</v>
      </c>
      <c r="L195" s="849">
        <v>5</v>
      </c>
    </row>
    <row r="196" spans="1:12" ht="12" hidden="1" customHeight="1">
      <c r="A196" s="847">
        <v>40534</v>
      </c>
      <c r="B196" s="848" t="s">
        <v>1142</v>
      </c>
      <c r="C196" s="849">
        <v>28</v>
      </c>
      <c r="D196" s="847">
        <v>40562</v>
      </c>
      <c r="E196" s="850">
        <v>10</v>
      </c>
      <c r="F196" s="850">
        <v>4.218</v>
      </c>
      <c r="G196" s="850">
        <v>4.218</v>
      </c>
      <c r="H196" s="850">
        <v>0</v>
      </c>
      <c r="I196" s="851">
        <v>1.9800000000000002E-2</v>
      </c>
      <c r="J196" s="851">
        <v>2.1999999999999999E-2</v>
      </c>
      <c r="K196" s="851">
        <v>2.1399999999999999E-2</v>
      </c>
      <c r="L196" s="849">
        <v>2</v>
      </c>
    </row>
    <row r="197" spans="1:12" ht="12" hidden="1" customHeight="1">
      <c r="A197" s="847">
        <v>40541</v>
      </c>
      <c r="B197" s="848" t="s">
        <v>1143</v>
      </c>
      <c r="C197" s="849">
        <v>28</v>
      </c>
      <c r="D197" s="847">
        <v>40569</v>
      </c>
      <c r="E197" s="850">
        <v>10</v>
      </c>
      <c r="F197" s="850">
        <v>20</v>
      </c>
      <c r="G197" s="850">
        <v>10</v>
      </c>
      <c r="H197" s="850">
        <v>0</v>
      </c>
      <c r="I197" s="851">
        <v>0.02</v>
      </c>
      <c r="J197" s="851">
        <v>2.1999999999999999E-2</v>
      </c>
      <c r="K197" s="851">
        <v>2.0799999999999999E-2</v>
      </c>
      <c r="L197" s="849">
        <v>3</v>
      </c>
    </row>
    <row r="198" spans="1:12" ht="12" hidden="1" customHeight="1">
      <c r="A198" s="847">
        <v>40548</v>
      </c>
      <c r="B198" s="848" t="s">
        <v>1144</v>
      </c>
      <c r="C198" s="849">
        <v>28</v>
      </c>
      <c r="D198" s="847">
        <v>40576</v>
      </c>
      <c r="E198" s="850">
        <v>10</v>
      </c>
      <c r="F198" s="850">
        <v>13.396699999999999</v>
      </c>
      <c r="G198" s="850">
        <v>10</v>
      </c>
      <c r="H198" s="850">
        <v>0</v>
      </c>
      <c r="I198" s="851">
        <v>2.1999999999999999E-2</v>
      </c>
      <c r="J198" s="851">
        <v>2.1999999999999999E-2</v>
      </c>
      <c r="K198" s="851">
        <v>2.1999999999999999E-2</v>
      </c>
      <c r="L198" s="849">
        <v>3</v>
      </c>
    </row>
    <row r="199" spans="1:12" ht="12" hidden="1" customHeight="1">
      <c r="A199" s="847">
        <v>40555</v>
      </c>
      <c r="B199" s="848" t="s">
        <v>1145</v>
      </c>
      <c r="C199" s="849">
        <v>28</v>
      </c>
      <c r="D199" s="847">
        <v>40583</v>
      </c>
      <c r="E199" s="850">
        <v>12</v>
      </c>
      <c r="F199" s="850">
        <v>40.637700000000002</v>
      </c>
      <c r="G199" s="850">
        <v>12</v>
      </c>
      <c r="H199" s="850">
        <v>0</v>
      </c>
      <c r="I199" s="851">
        <v>0.02</v>
      </c>
      <c r="J199" s="851">
        <v>0.02</v>
      </c>
      <c r="K199" s="851">
        <v>0.02</v>
      </c>
      <c r="L199" s="849">
        <v>6</v>
      </c>
    </row>
    <row r="200" spans="1:12" ht="12" hidden="1" customHeight="1">
      <c r="A200" s="847">
        <v>40562</v>
      </c>
      <c r="B200" s="848" t="s">
        <v>1146</v>
      </c>
      <c r="C200" s="849">
        <v>28</v>
      </c>
      <c r="D200" s="847">
        <v>40590</v>
      </c>
      <c r="E200" s="850">
        <v>15</v>
      </c>
      <c r="F200" s="850">
        <v>48.584400000000002</v>
      </c>
      <c r="G200" s="850">
        <v>12</v>
      </c>
      <c r="H200" s="850">
        <v>0</v>
      </c>
      <c r="I200" s="851">
        <v>1.7999999999999999E-2</v>
      </c>
      <c r="J200" s="851">
        <v>1.8800000000000001E-2</v>
      </c>
      <c r="K200" s="851">
        <v>1.9E-2</v>
      </c>
      <c r="L200" s="849">
        <v>9</v>
      </c>
    </row>
    <row r="201" spans="1:12" ht="12" hidden="1" customHeight="1">
      <c r="A201" s="847">
        <v>40569</v>
      </c>
      <c r="B201" s="848" t="s">
        <v>1147</v>
      </c>
      <c r="C201" s="849">
        <v>28</v>
      </c>
      <c r="D201" s="847">
        <v>40597</v>
      </c>
      <c r="E201" s="850">
        <v>20</v>
      </c>
      <c r="F201" s="850">
        <v>51.126399999999997</v>
      </c>
      <c r="G201" s="850">
        <v>15</v>
      </c>
      <c r="H201" s="850">
        <v>0</v>
      </c>
      <c r="I201" s="851">
        <v>1.61E-2</v>
      </c>
      <c r="J201" s="851">
        <v>1.6500000000000001E-2</v>
      </c>
      <c r="K201" s="851">
        <v>1.6500000000000001E-2</v>
      </c>
      <c r="L201" s="849">
        <v>6</v>
      </c>
    </row>
    <row r="202" spans="1:12" ht="12" hidden="1" customHeight="1">
      <c r="A202" s="847">
        <v>40576</v>
      </c>
      <c r="B202" s="848" t="s">
        <v>1148</v>
      </c>
      <c r="C202" s="849">
        <v>28</v>
      </c>
      <c r="D202" s="847">
        <v>40604</v>
      </c>
      <c r="E202" s="850">
        <v>30</v>
      </c>
      <c r="F202" s="850">
        <v>54.067399999999999</v>
      </c>
      <c r="G202" s="850">
        <v>20</v>
      </c>
      <c r="H202" s="850">
        <v>0</v>
      </c>
      <c r="I202" s="851">
        <v>1.35E-2</v>
      </c>
      <c r="J202" s="851">
        <v>1.5800000000000002E-2</v>
      </c>
      <c r="K202" s="851">
        <v>1.4200000000000001E-2</v>
      </c>
      <c r="L202" s="849">
        <v>6</v>
      </c>
    </row>
    <row r="203" spans="1:12" ht="12" hidden="1" customHeight="1">
      <c r="A203" s="847">
        <v>40583</v>
      </c>
      <c r="B203" s="848" t="s">
        <v>1149</v>
      </c>
      <c r="C203" s="849">
        <v>28</v>
      </c>
      <c r="D203" s="847">
        <v>40611</v>
      </c>
      <c r="E203" s="850">
        <v>30</v>
      </c>
      <c r="F203" s="850">
        <v>57.121699999999997</v>
      </c>
      <c r="G203" s="850">
        <v>20</v>
      </c>
      <c r="H203" s="850">
        <v>0</v>
      </c>
      <c r="I203" s="851">
        <v>1.29E-2</v>
      </c>
      <c r="J203" s="851">
        <v>1.4800000000000001E-2</v>
      </c>
      <c r="K203" s="851">
        <v>1.32E-2</v>
      </c>
      <c r="L203" s="849">
        <v>7</v>
      </c>
    </row>
    <row r="204" spans="1:12" ht="12" hidden="1" customHeight="1">
      <c r="A204" s="847">
        <v>40590</v>
      </c>
      <c r="B204" s="848" t="s">
        <v>1150</v>
      </c>
      <c r="C204" s="849">
        <v>28</v>
      </c>
      <c r="D204" s="847">
        <v>40618</v>
      </c>
      <c r="E204" s="850">
        <v>30</v>
      </c>
      <c r="F204" s="850">
        <v>46.122799999999998</v>
      </c>
      <c r="G204" s="850">
        <v>15</v>
      </c>
      <c r="H204" s="850">
        <v>0</v>
      </c>
      <c r="I204" s="851">
        <v>1.2500000000000001E-2</v>
      </c>
      <c r="J204" s="851">
        <v>1.26E-2</v>
      </c>
      <c r="K204" s="851">
        <v>1.2500000000000001E-2</v>
      </c>
      <c r="L204" s="849">
        <v>6</v>
      </c>
    </row>
    <row r="205" spans="1:12" ht="12" hidden="1" customHeight="1">
      <c r="A205" s="847">
        <v>40597</v>
      </c>
      <c r="B205" s="848" t="s">
        <v>1151</v>
      </c>
      <c r="C205" s="849">
        <v>28</v>
      </c>
      <c r="D205" s="847">
        <v>40625</v>
      </c>
      <c r="E205" s="850">
        <v>20</v>
      </c>
      <c r="F205" s="850">
        <v>35.390500000000003</v>
      </c>
      <c r="G205" s="850">
        <v>15</v>
      </c>
      <c r="H205" s="850">
        <v>0</v>
      </c>
      <c r="I205" s="851">
        <v>1.1599999999999999E-2</v>
      </c>
      <c r="J205" s="851">
        <v>1.1599999999999999E-2</v>
      </c>
      <c r="K205" s="851">
        <v>1.1599999999999999E-2</v>
      </c>
      <c r="L205" s="849">
        <v>7</v>
      </c>
    </row>
    <row r="206" spans="1:12" ht="12" hidden="1" customHeight="1">
      <c r="A206" s="847">
        <v>40604</v>
      </c>
      <c r="B206" s="848" t="s">
        <v>1152</v>
      </c>
      <c r="C206" s="849">
        <v>28</v>
      </c>
      <c r="D206" s="847">
        <v>40632</v>
      </c>
      <c r="E206" s="850">
        <v>30</v>
      </c>
      <c r="F206" s="850">
        <v>36.023699999999998</v>
      </c>
      <c r="G206" s="850">
        <v>20</v>
      </c>
      <c r="H206" s="850">
        <v>0</v>
      </c>
      <c r="I206" s="851">
        <v>0.01</v>
      </c>
      <c r="J206" s="851">
        <v>1.26E-2</v>
      </c>
      <c r="K206" s="851">
        <v>1.14E-2</v>
      </c>
      <c r="L206" s="849">
        <v>6</v>
      </c>
    </row>
    <row r="207" spans="1:12" ht="12" hidden="1" customHeight="1">
      <c r="A207" s="847">
        <v>40611</v>
      </c>
      <c r="B207" s="848" t="s">
        <v>1153</v>
      </c>
      <c r="C207" s="849">
        <v>28</v>
      </c>
      <c r="D207" s="847">
        <v>40639</v>
      </c>
      <c r="E207" s="850">
        <v>30</v>
      </c>
      <c r="F207" s="850">
        <v>40.1995</v>
      </c>
      <c r="G207" s="850">
        <v>20</v>
      </c>
      <c r="H207" s="850">
        <v>0</v>
      </c>
      <c r="I207" s="851">
        <v>0.01</v>
      </c>
      <c r="J207" s="851">
        <v>1.06E-2</v>
      </c>
      <c r="K207" s="851">
        <v>1.04E-2</v>
      </c>
      <c r="L207" s="849">
        <v>7</v>
      </c>
    </row>
    <row r="208" spans="1:12" ht="12" hidden="1" customHeight="1">
      <c r="A208" s="847">
        <v>40618</v>
      </c>
      <c r="B208" s="848" t="s">
        <v>1154</v>
      </c>
      <c r="C208" s="849">
        <v>28</v>
      </c>
      <c r="D208" s="847">
        <v>40646</v>
      </c>
      <c r="E208" s="850">
        <v>30</v>
      </c>
      <c r="F208" s="850">
        <v>31.979299999999999</v>
      </c>
      <c r="G208" s="850">
        <v>15</v>
      </c>
      <c r="H208" s="850">
        <v>0</v>
      </c>
      <c r="I208" s="851">
        <v>0.01</v>
      </c>
      <c r="J208" s="851">
        <v>1.01E-2</v>
      </c>
      <c r="K208" s="851">
        <v>0.01</v>
      </c>
      <c r="L208" s="849">
        <v>6</v>
      </c>
    </row>
    <row r="209" spans="1:12" ht="12" hidden="1" customHeight="1">
      <c r="A209" s="847">
        <v>40632</v>
      </c>
      <c r="B209" s="848" t="s">
        <v>1155</v>
      </c>
      <c r="C209" s="849">
        <v>28</v>
      </c>
      <c r="D209" s="847">
        <v>40660</v>
      </c>
      <c r="E209" s="850">
        <v>50</v>
      </c>
      <c r="F209" s="850">
        <v>61.913699999999999</v>
      </c>
      <c r="G209" s="850">
        <v>35</v>
      </c>
      <c r="H209" s="850">
        <v>0</v>
      </c>
      <c r="I209" s="851">
        <v>0.01</v>
      </c>
      <c r="J209" s="851">
        <v>1.3100000000000001E-2</v>
      </c>
      <c r="K209" s="851">
        <v>1.21E-2</v>
      </c>
      <c r="L209" s="849">
        <v>5</v>
      </c>
    </row>
    <row r="210" spans="1:12" ht="12" hidden="1" customHeight="1">
      <c r="A210" s="847">
        <v>40639</v>
      </c>
      <c r="B210" s="848" t="s">
        <v>1156</v>
      </c>
      <c r="C210" s="849">
        <v>28</v>
      </c>
      <c r="D210" s="847">
        <v>40667</v>
      </c>
      <c r="E210" s="850">
        <v>30</v>
      </c>
      <c r="F210" s="850">
        <v>52.511899999999997</v>
      </c>
      <c r="G210" s="850">
        <v>20</v>
      </c>
      <c r="H210" s="850">
        <v>0</v>
      </c>
      <c r="I210" s="851">
        <v>0.01</v>
      </c>
      <c r="J210" s="851">
        <v>1.03E-2</v>
      </c>
      <c r="K210" s="851">
        <v>0.01</v>
      </c>
      <c r="L210" s="849">
        <v>7</v>
      </c>
    </row>
    <row r="211" spans="1:12" ht="12" hidden="1" customHeight="1">
      <c r="A211" s="847">
        <v>40646</v>
      </c>
      <c r="B211" s="848" t="s">
        <v>1157</v>
      </c>
      <c r="C211" s="849">
        <v>28</v>
      </c>
      <c r="D211" s="847">
        <v>40674</v>
      </c>
      <c r="E211" s="850">
        <v>30</v>
      </c>
      <c r="F211" s="850">
        <v>49.2164</v>
      </c>
      <c r="G211" s="850">
        <v>20</v>
      </c>
      <c r="H211" s="850">
        <v>0</v>
      </c>
      <c r="I211" s="851">
        <v>0.01</v>
      </c>
      <c r="J211" s="851">
        <v>0.01</v>
      </c>
      <c r="K211" s="851">
        <v>0.01</v>
      </c>
      <c r="L211" s="849">
        <v>6</v>
      </c>
    </row>
    <row r="212" spans="1:12" ht="12" hidden="1" customHeight="1">
      <c r="A212" s="847">
        <v>40653</v>
      </c>
      <c r="B212" s="848" t="s">
        <v>1158</v>
      </c>
      <c r="C212" s="849">
        <v>28</v>
      </c>
      <c r="D212" s="847">
        <v>40681</v>
      </c>
      <c r="E212" s="850">
        <v>30</v>
      </c>
      <c r="F212" s="850">
        <v>33.004399999999997</v>
      </c>
      <c r="G212" s="850">
        <v>20</v>
      </c>
      <c r="H212" s="850">
        <v>0</v>
      </c>
      <c r="I212" s="851">
        <v>0.01</v>
      </c>
      <c r="J212" s="851">
        <v>1.66E-2</v>
      </c>
      <c r="K212" s="851">
        <v>1.29E-2</v>
      </c>
      <c r="L212" s="849">
        <v>6</v>
      </c>
    </row>
    <row r="213" spans="1:12" ht="12" hidden="1" customHeight="1">
      <c r="A213" s="847">
        <v>40660</v>
      </c>
      <c r="B213" s="848" t="s">
        <v>1159</v>
      </c>
      <c r="C213" s="849">
        <v>28</v>
      </c>
      <c r="D213" s="847">
        <v>40688</v>
      </c>
      <c r="E213" s="850">
        <v>50</v>
      </c>
      <c r="F213" s="850">
        <v>71.380799999999994</v>
      </c>
      <c r="G213" s="850">
        <v>35</v>
      </c>
      <c r="H213" s="850">
        <v>0</v>
      </c>
      <c r="I213" s="851">
        <v>0.01</v>
      </c>
      <c r="J213" s="851">
        <v>0.02</v>
      </c>
      <c r="K213" s="851">
        <v>1.5100000000000001E-2</v>
      </c>
      <c r="L213" s="849">
        <v>5</v>
      </c>
    </row>
    <row r="214" spans="1:12" ht="12" hidden="1" customHeight="1">
      <c r="A214" s="847">
        <v>40667</v>
      </c>
      <c r="B214" s="848" t="s">
        <v>2694</v>
      </c>
      <c r="C214" s="849">
        <v>28</v>
      </c>
      <c r="D214" s="847">
        <v>40695</v>
      </c>
      <c r="E214" s="850">
        <v>35</v>
      </c>
      <c r="F214" s="850">
        <v>27.723600000000001</v>
      </c>
      <c r="G214" s="850">
        <v>25</v>
      </c>
      <c r="H214" s="850">
        <v>0</v>
      </c>
      <c r="I214" s="851">
        <v>1.29E-2</v>
      </c>
      <c r="J214" s="851">
        <v>2.1999999999999999E-2</v>
      </c>
      <c r="K214" s="851">
        <v>1.8100000000000002E-2</v>
      </c>
      <c r="L214" s="849">
        <v>5</v>
      </c>
    </row>
    <row r="215" spans="1:12" ht="12" hidden="1" customHeight="1">
      <c r="A215" s="847">
        <v>40674</v>
      </c>
      <c r="B215" s="848" t="s">
        <v>2693</v>
      </c>
      <c r="C215" s="849">
        <v>28</v>
      </c>
      <c r="D215" s="847">
        <v>40702</v>
      </c>
      <c r="E215" s="850">
        <v>30</v>
      </c>
      <c r="F215" s="850">
        <v>17.803999999999998</v>
      </c>
      <c r="G215" s="850">
        <v>17.803999999999998</v>
      </c>
      <c r="H215" s="850">
        <v>0</v>
      </c>
      <c r="I215" s="851">
        <v>1.4800000000000001E-2</v>
      </c>
      <c r="J215" s="851">
        <v>2.5000000000000001E-2</v>
      </c>
      <c r="K215" s="851">
        <v>2.0400000000000001E-2</v>
      </c>
      <c r="L215" s="849">
        <v>6</v>
      </c>
    </row>
    <row r="216" spans="1:12" ht="12" hidden="1" customHeight="1">
      <c r="A216" s="847">
        <v>40681</v>
      </c>
      <c r="B216" s="848" t="s">
        <v>2692</v>
      </c>
      <c r="C216" s="849">
        <v>29</v>
      </c>
      <c r="D216" s="847">
        <v>40710</v>
      </c>
      <c r="E216" s="850">
        <v>30</v>
      </c>
      <c r="F216" s="850">
        <v>31.025300000000001</v>
      </c>
      <c r="G216" s="850">
        <v>15</v>
      </c>
      <c r="H216" s="850">
        <v>0</v>
      </c>
      <c r="I216" s="851">
        <v>1.9300000000000001E-2</v>
      </c>
      <c r="J216" s="851">
        <v>2.3E-2</v>
      </c>
      <c r="K216" s="851">
        <v>2.0799999999999999E-2</v>
      </c>
      <c r="L216" s="849">
        <v>6</v>
      </c>
    </row>
    <row r="217" spans="1:12" ht="12" hidden="1" customHeight="1">
      <c r="A217" s="847">
        <v>40695</v>
      </c>
      <c r="B217" s="848" t="s">
        <v>2691</v>
      </c>
      <c r="C217" s="849">
        <v>28</v>
      </c>
      <c r="D217" s="847">
        <v>40723</v>
      </c>
      <c r="E217" s="850">
        <v>35</v>
      </c>
      <c r="F217" s="850">
        <v>42.0441</v>
      </c>
      <c r="G217" s="850">
        <v>20</v>
      </c>
      <c r="H217" s="850">
        <v>0</v>
      </c>
      <c r="I217" s="851">
        <v>1.4999999999999999E-2</v>
      </c>
      <c r="J217" s="851">
        <v>2.1999999999999999E-2</v>
      </c>
      <c r="K217" s="851">
        <v>1.9E-2</v>
      </c>
      <c r="L217" s="849">
        <v>5</v>
      </c>
    </row>
    <row r="218" spans="1:12" ht="12" hidden="1" customHeight="1">
      <c r="A218" s="847">
        <v>40702</v>
      </c>
      <c r="B218" s="848" t="s">
        <v>2690</v>
      </c>
      <c r="C218" s="849">
        <v>28</v>
      </c>
      <c r="D218" s="847">
        <v>40730</v>
      </c>
      <c r="E218" s="850">
        <v>30</v>
      </c>
      <c r="F218" s="850">
        <v>24.659099999999999</v>
      </c>
      <c r="G218" s="850">
        <v>20</v>
      </c>
      <c r="H218" s="850">
        <v>0</v>
      </c>
      <c r="I218" s="851">
        <v>1.54E-2</v>
      </c>
      <c r="J218" s="851">
        <v>2.1000000000000001E-2</v>
      </c>
      <c r="K218" s="851">
        <v>1.8499999999999999E-2</v>
      </c>
      <c r="L218" s="849">
        <v>6</v>
      </c>
    </row>
    <row r="219" spans="1:12" ht="12" hidden="1" customHeight="1">
      <c r="A219" s="847">
        <v>40710</v>
      </c>
      <c r="B219" s="848" t="s">
        <v>2689</v>
      </c>
      <c r="C219" s="849">
        <v>27</v>
      </c>
      <c r="D219" s="847">
        <v>40737</v>
      </c>
      <c r="E219" s="850">
        <v>30</v>
      </c>
      <c r="F219" s="850">
        <v>13.748799999999999</v>
      </c>
      <c r="G219" s="850">
        <v>11.748800000000001</v>
      </c>
      <c r="H219" s="850">
        <v>0</v>
      </c>
      <c r="I219" s="851">
        <v>1.6E-2</v>
      </c>
      <c r="J219" s="851">
        <v>2.5000000000000001E-2</v>
      </c>
      <c r="K219" s="851">
        <v>1.9599999999999999E-2</v>
      </c>
      <c r="L219" s="849">
        <v>5</v>
      </c>
    </row>
    <row r="220" spans="1:12" ht="12" hidden="1" customHeight="1">
      <c r="A220" s="847">
        <v>40716</v>
      </c>
      <c r="B220" s="848" t="s">
        <v>2688</v>
      </c>
      <c r="C220" s="849">
        <v>28</v>
      </c>
      <c r="D220" s="847">
        <v>40744</v>
      </c>
      <c r="E220" s="850">
        <v>50</v>
      </c>
      <c r="F220" s="850">
        <v>19.507100000000001</v>
      </c>
      <c r="G220" s="850">
        <v>19.507100000000001</v>
      </c>
      <c r="H220" s="850">
        <v>0</v>
      </c>
      <c r="I220" s="851">
        <v>0.02</v>
      </c>
      <c r="J220" s="851">
        <v>3.5000000000000003E-2</v>
      </c>
      <c r="K220" s="851">
        <v>2.5600000000000001E-2</v>
      </c>
      <c r="L220" s="849">
        <v>5</v>
      </c>
    </row>
    <row r="221" spans="1:12" ht="12" hidden="1" customHeight="1">
      <c r="A221" s="847">
        <v>40723</v>
      </c>
      <c r="B221" s="848" t="s">
        <v>2687</v>
      </c>
      <c r="C221" s="849">
        <v>28</v>
      </c>
      <c r="D221" s="847">
        <v>40751</v>
      </c>
      <c r="E221" s="850">
        <v>35</v>
      </c>
      <c r="F221" s="850">
        <v>39.027500000000003</v>
      </c>
      <c r="G221" s="850">
        <v>15</v>
      </c>
      <c r="H221" s="850">
        <v>0</v>
      </c>
      <c r="I221" s="851">
        <v>2.5000000000000001E-2</v>
      </c>
      <c r="J221" s="851">
        <v>2.5000000000000001E-2</v>
      </c>
      <c r="K221" s="851">
        <v>2.5000000000000001E-2</v>
      </c>
      <c r="L221" s="849">
        <v>6</v>
      </c>
    </row>
    <row r="222" spans="1:12" ht="12" hidden="1" customHeight="1">
      <c r="A222" s="847">
        <v>40730</v>
      </c>
      <c r="B222" s="848" t="s">
        <v>1271</v>
      </c>
      <c r="C222" s="849">
        <v>28</v>
      </c>
      <c r="D222" s="847">
        <v>40758</v>
      </c>
      <c r="E222" s="850">
        <v>30</v>
      </c>
      <c r="F222" s="850">
        <v>11.1031</v>
      </c>
      <c r="G222" s="850">
        <v>9.0977999999999994</v>
      </c>
      <c r="H222" s="850">
        <v>0</v>
      </c>
      <c r="I222" s="851">
        <v>0.02</v>
      </c>
      <c r="J222" s="851">
        <v>2.8299999999999999E-2</v>
      </c>
      <c r="K222" s="851">
        <v>2.2100000000000002E-2</v>
      </c>
      <c r="L222" s="849">
        <v>4</v>
      </c>
    </row>
    <row r="223" spans="1:12" ht="12" hidden="1" customHeight="1">
      <c r="A223" s="847">
        <v>40737</v>
      </c>
      <c r="B223" s="848" t="s">
        <v>1272</v>
      </c>
      <c r="C223" s="849">
        <v>28</v>
      </c>
      <c r="D223" s="847">
        <v>40765</v>
      </c>
      <c r="E223" s="850">
        <v>20</v>
      </c>
      <c r="F223" s="850">
        <v>7.1147999999999998</v>
      </c>
      <c r="G223" s="850">
        <v>5.1081000000000003</v>
      </c>
      <c r="H223" s="850">
        <v>0</v>
      </c>
      <c r="I223" s="851">
        <v>2.3E-2</v>
      </c>
      <c r="J223" s="851">
        <v>3.1600000000000003E-2</v>
      </c>
      <c r="K223" s="851">
        <v>2.7300000000000001E-2</v>
      </c>
      <c r="L223" s="849">
        <v>3</v>
      </c>
    </row>
    <row r="224" spans="1:12" ht="12" hidden="1" customHeight="1">
      <c r="A224" s="847">
        <v>40744</v>
      </c>
      <c r="B224" s="848" t="s">
        <v>1273</v>
      </c>
      <c r="C224" s="849">
        <v>28</v>
      </c>
      <c r="D224" s="847">
        <v>40772</v>
      </c>
      <c r="E224" s="850">
        <v>20</v>
      </c>
      <c r="F224" s="850">
        <v>5.5124000000000004</v>
      </c>
      <c r="G224" s="850">
        <v>0.502</v>
      </c>
      <c r="H224" s="850">
        <v>0</v>
      </c>
      <c r="I224" s="851">
        <v>2.98E-2</v>
      </c>
      <c r="J224" s="851">
        <v>2.98E-2</v>
      </c>
      <c r="K224" s="851">
        <v>2.98E-2</v>
      </c>
      <c r="L224" s="849">
        <v>2</v>
      </c>
    </row>
    <row r="225" spans="1:12" ht="12" hidden="1" customHeight="1">
      <c r="A225" s="847">
        <v>40751</v>
      </c>
      <c r="B225" s="848" t="s">
        <v>1274</v>
      </c>
      <c r="C225" s="849">
        <v>28</v>
      </c>
      <c r="D225" s="847">
        <v>40779</v>
      </c>
      <c r="E225" s="850">
        <v>15</v>
      </c>
      <c r="F225" s="850">
        <v>21.163</v>
      </c>
      <c r="G225" s="850">
        <v>5</v>
      </c>
      <c r="H225" s="850">
        <v>0</v>
      </c>
      <c r="I225" s="851">
        <v>2.4E-2</v>
      </c>
      <c r="J225" s="851">
        <v>0.03</v>
      </c>
      <c r="K225" s="851">
        <v>2.8199999999999999E-2</v>
      </c>
      <c r="L225" s="849">
        <v>4</v>
      </c>
    </row>
    <row r="226" spans="1:12" ht="12" hidden="1" customHeight="1">
      <c r="A226" s="847">
        <v>40758</v>
      </c>
      <c r="B226" s="848" t="s">
        <v>1278</v>
      </c>
      <c r="C226" s="849">
        <v>28</v>
      </c>
      <c r="D226" s="847">
        <v>40786</v>
      </c>
      <c r="E226" s="850">
        <v>15</v>
      </c>
      <c r="F226" s="850">
        <v>19.427199999999999</v>
      </c>
      <c r="G226" s="850">
        <v>10</v>
      </c>
      <c r="H226" s="850">
        <v>0</v>
      </c>
      <c r="I226" s="851">
        <v>2.5000000000000001E-2</v>
      </c>
      <c r="J226" s="851">
        <v>0.03</v>
      </c>
      <c r="K226" s="851">
        <v>2.8500000000000001E-2</v>
      </c>
      <c r="L226" s="849">
        <v>5</v>
      </c>
    </row>
    <row r="227" spans="1:12" ht="12" hidden="1" customHeight="1">
      <c r="A227" s="847">
        <v>40765</v>
      </c>
      <c r="B227" s="848" t="s">
        <v>1279</v>
      </c>
      <c r="C227" s="849">
        <v>28</v>
      </c>
      <c r="D227" s="847">
        <v>40793</v>
      </c>
      <c r="E227" s="850">
        <v>15</v>
      </c>
      <c r="F227" s="850">
        <v>21.0303</v>
      </c>
      <c r="G227" s="850">
        <v>5</v>
      </c>
      <c r="H227" s="850">
        <v>0</v>
      </c>
      <c r="I227" s="851">
        <v>2.5000000000000001E-2</v>
      </c>
      <c r="J227" s="851">
        <v>2.9000000000000001E-2</v>
      </c>
      <c r="K227" s="851">
        <v>2.7E-2</v>
      </c>
      <c r="L227" s="849">
        <v>5</v>
      </c>
    </row>
    <row r="228" spans="1:12" ht="12" hidden="1" customHeight="1">
      <c r="A228" s="847">
        <v>40772</v>
      </c>
      <c r="B228" s="848" t="s">
        <v>1280</v>
      </c>
      <c r="C228" s="849">
        <v>28</v>
      </c>
      <c r="D228" s="847">
        <v>40800</v>
      </c>
      <c r="E228" s="850">
        <v>10</v>
      </c>
      <c r="F228" s="850">
        <v>16.514299999999999</v>
      </c>
      <c r="G228" s="850">
        <v>5</v>
      </c>
      <c r="H228" s="850">
        <v>0</v>
      </c>
      <c r="I228" s="851">
        <v>2.3199999999999998E-2</v>
      </c>
      <c r="J228" s="851">
        <v>2.4799999999999999E-2</v>
      </c>
      <c r="K228" s="851">
        <v>2.35E-2</v>
      </c>
      <c r="L228" s="849">
        <v>5</v>
      </c>
    </row>
    <row r="229" spans="1:12" ht="12" hidden="1" customHeight="1">
      <c r="A229" s="847">
        <v>40779</v>
      </c>
      <c r="B229" s="848" t="s">
        <v>1281</v>
      </c>
      <c r="C229" s="849">
        <v>28</v>
      </c>
      <c r="D229" s="847">
        <v>40807</v>
      </c>
      <c r="E229" s="850">
        <v>15</v>
      </c>
      <c r="F229" s="850">
        <v>9</v>
      </c>
      <c r="G229" s="850">
        <v>5</v>
      </c>
      <c r="H229" s="850">
        <v>0</v>
      </c>
      <c r="I229" s="851">
        <v>2.06E-2</v>
      </c>
      <c r="J229" s="851">
        <v>2.4E-2</v>
      </c>
      <c r="K229" s="851">
        <v>2.1299999999999999E-2</v>
      </c>
      <c r="L229" s="849">
        <v>2</v>
      </c>
    </row>
    <row r="230" spans="1:12" ht="12" hidden="1" customHeight="1">
      <c r="A230" s="847">
        <v>40787</v>
      </c>
      <c r="B230" s="848" t="s">
        <v>1286</v>
      </c>
      <c r="C230" s="849">
        <v>27</v>
      </c>
      <c r="D230" s="847">
        <v>40814</v>
      </c>
      <c r="E230" s="850">
        <v>15</v>
      </c>
      <c r="F230" s="850">
        <v>6.9165999999999999</v>
      </c>
      <c r="G230" s="850">
        <v>2.9066999999999998</v>
      </c>
      <c r="H230" s="850">
        <v>0</v>
      </c>
      <c r="I230" s="851">
        <v>0.02</v>
      </c>
      <c r="J230" s="851">
        <v>2.3E-2</v>
      </c>
      <c r="K230" s="851">
        <v>2.2100000000000002E-2</v>
      </c>
      <c r="L230" s="849">
        <v>2</v>
      </c>
    </row>
    <row r="231" spans="1:12" ht="12" hidden="1" customHeight="1">
      <c r="A231" s="847">
        <v>40793</v>
      </c>
      <c r="B231" s="848" t="s">
        <v>1287</v>
      </c>
      <c r="C231" s="849">
        <v>28</v>
      </c>
      <c r="D231" s="847">
        <v>40821</v>
      </c>
      <c r="E231" s="850">
        <v>15</v>
      </c>
      <c r="F231" s="850">
        <v>2.5072999999999999</v>
      </c>
      <c r="G231" s="850">
        <v>1.5055000000000001</v>
      </c>
      <c r="H231" s="850">
        <v>0</v>
      </c>
      <c r="I231" s="851">
        <v>2.1499999999999998E-2</v>
      </c>
      <c r="J231" s="851">
        <v>2.4E-2</v>
      </c>
      <c r="K231" s="851">
        <v>2.23E-2</v>
      </c>
      <c r="L231" s="849">
        <v>3</v>
      </c>
    </row>
    <row r="232" spans="1:12" ht="12" hidden="1" customHeight="1">
      <c r="A232" s="847">
        <v>40800</v>
      </c>
      <c r="B232" s="848" t="s">
        <v>1288</v>
      </c>
      <c r="C232" s="849">
        <v>28</v>
      </c>
      <c r="D232" s="847">
        <v>40828</v>
      </c>
      <c r="E232" s="850">
        <v>15</v>
      </c>
      <c r="F232" s="850">
        <v>3.0032999999999999</v>
      </c>
      <c r="G232" s="850">
        <v>3.0032999999999999</v>
      </c>
      <c r="H232" s="850">
        <v>0</v>
      </c>
      <c r="I232" s="851">
        <v>2.4E-2</v>
      </c>
      <c r="J232" s="851">
        <v>2.9000000000000001E-2</v>
      </c>
      <c r="K232" s="851">
        <v>2.6700000000000002E-2</v>
      </c>
      <c r="L232" s="849">
        <v>2</v>
      </c>
    </row>
    <row r="233" spans="1:12" ht="12" hidden="1" customHeight="1">
      <c r="A233" s="847">
        <v>40807</v>
      </c>
      <c r="B233" s="848" t="s">
        <v>1289</v>
      </c>
      <c r="C233" s="849">
        <v>28</v>
      </c>
      <c r="D233" s="847">
        <v>40835</v>
      </c>
      <c r="E233" s="850">
        <v>15</v>
      </c>
      <c r="F233" s="850">
        <v>4.5026000000000002</v>
      </c>
      <c r="G233" s="850">
        <v>4.5026000000000002</v>
      </c>
      <c r="H233" s="850">
        <v>0</v>
      </c>
      <c r="I233" s="851">
        <v>2.58E-2</v>
      </c>
      <c r="J233" s="851">
        <v>2.9499999999999998E-2</v>
      </c>
      <c r="K233" s="851">
        <v>2.7E-2</v>
      </c>
      <c r="L233" s="849">
        <v>2</v>
      </c>
    </row>
    <row r="234" spans="1:12" ht="12" hidden="1" customHeight="1">
      <c r="A234" s="847">
        <v>40814</v>
      </c>
      <c r="B234" s="848" t="s">
        <v>1290</v>
      </c>
      <c r="C234" s="849">
        <v>28</v>
      </c>
      <c r="D234" s="847">
        <v>40842</v>
      </c>
      <c r="E234" s="850">
        <v>15</v>
      </c>
      <c r="F234" s="850">
        <v>5.1094999999999997</v>
      </c>
      <c r="G234" s="850">
        <v>5</v>
      </c>
      <c r="H234" s="850">
        <v>0</v>
      </c>
      <c r="I234" s="851">
        <v>2.58E-2</v>
      </c>
      <c r="J234" s="851">
        <v>2.9399999999999999E-2</v>
      </c>
      <c r="K234" s="851">
        <v>2.7199999999999998E-2</v>
      </c>
      <c r="L234" s="849">
        <v>3</v>
      </c>
    </row>
    <row r="235" spans="1:12" ht="12" hidden="1" customHeight="1">
      <c r="A235" s="847">
        <v>40821</v>
      </c>
      <c r="B235" s="848" t="s">
        <v>1295</v>
      </c>
      <c r="C235" s="849">
        <v>28</v>
      </c>
      <c r="D235" s="847">
        <v>40849</v>
      </c>
      <c r="E235" s="850">
        <v>20</v>
      </c>
      <c r="F235" s="850">
        <v>2.5034999999999998</v>
      </c>
      <c r="G235" s="850">
        <v>2.5034999999999998</v>
      </c>
      <c r="H235" s="850">
        <v>0</v>
      </c>
      <c r="I235" s="851">
        <v>2.7E-2</v>
      </c>
      <c r="J235" s="851">
        <v>2.9399999999999999E-2</v>
      </c>
      <c r="K235" s="851">
        <v>2.87E-2</v>
      </c>
      <c r="L235" s="849">
        <v>2</v>
      </c>
    </row>
    <row r="236" spans="1:12" ht="12" hidden="1" customHeight="1">
      <c r="A236" s="847">
        <v>40828</v>
      </c>
      <c r="B236" s="848" t="s">
        <v>1296</v>
      </c>
      <c r="C236" s="849">
        <v>29</v>
      </c>
      <c r="D236" s="847">
        <v>40857</v>
      </c>
      <c r="E236" s="850">
        <v>15</v>
      </c>
      <c r="F236" s="850">
        <v>4.5091000000000001</v>
      </c>
      <c r="G236" s="850">
        <v>4.5091000000000001</v>
      </c>
      <c r="H236" s="850">
        <v>0</v>
      </c>
      <c r="I236" s="851">
        <v>2.7400000000000001E-2</v>
      </c>
      <c r="J236" s="851">
        <v>2.8400000000000002E-2</v>
      </c>
      <c r="K236" s="851">
        <v>2.8000000000000001E-2</v>
      </c>
      <c r="L236" s="849">
        <v>3</v>
      </c>
    </row>
    <row r="237" spans="1:12" ht="12" hidden="1" customHeight="1">
      <c r="A237" s="847">
        <v>40835</v>
      </c>
      <c r="B237" s="848" t="s">
        <v>1297</v>
      </c>
      <c r="C237" s="849">
        <v>28</v>
      </c>
      <c r="D237" s="847">
        <v>40863</v>
      </c>
      <c r="E237" s="850">
        <v>20</v>
      </c>
      <c r="F237" s="850">
        <v>5.5045999999999999</v>
      </c>
      <c r="G237" s="850">
        <v>5.5045999999999999</v>
      </c>
      <c r="H237" s="850">
        <v>0</v>
      </c>
      <c r="I237" s="851">
        <v>2.8299999999999999E-2</v>
      </c>
      <c r="J237" s="851">
        <v>2.9399999999999999E-2</v>
      </c>
      <c r="K237" s="851">
        <v>2.87E-2</v>
      </c>
      <c r="L237" s="849">
        <v>2</v>
      </c>
    </row>
    <row r="238" spans="1:12" ht="12" hidden="1" customHeight="1">
      <c r="A238" s="847">
        <v>40842</v>
      </c>
      <c r="B238" s="848" t="s">
        <v>1298</v>
      </c>
      <c r="C238" s="849">
        <v>28</v>
      </c>
      <c r="D238" s="847">
        <v>40870</v>
      </c>
      <c r="E238" s="850">
        <v>20</v>
      </c>
      <c r="F238" s="850">
        <v>4.0050999999999997</v>
      </c>
      <c r="G238" s="850">
        <v>4.0050999999999997</v>
      </c>
      <c r="H238" s="850">
        <v>0</v>
      </c>
      <c r="I238" s="851">
        <v>2.8299999999999999E-2</v>
      </c>
      <c r="J238" s="851" t="s">
        <v>2686</v>
      </c>
      <c r="K238" s="851">
        <v>2.8799999999999999E-2</v>
      </c>
      <c r="L238" s="849">
        <v>3</v>
      </c>
    </row>
    <row r="239" spans="1:12" ht="12" hidden="1" customHeight="1">
      <c r="A239" s="847">
        <v>40849</v>
      </c>
      <c r="B239" s="848" t="s">
        <v>1314</v>
      </c>
      <c r="C239" s="849">
        <v>28</v>
      </c>
      <c r="D239" s="847">
        <v>40877</v>
      </c>
      <c r="E239" s="850">
        <v>25</v>
      </c>
      <c r="F239" s="850">
        <v>1.8021</v>
      </c>
      <c r="G239" s="850">
        <v>1.8021</v>
      </c>
      <c r="H239" s="850">
        <v>0</v>
      </c>
      <c r="I239" s="851">
        <v>2.9000000000000001E-2</v>
      </c>
      <c r="J239" s="851">
        <v>0.03</v>
      </c>
      <c r="K239" s="851">
        <v>2.9499999999999998E-2</v>
      </c>
      <c r="L239" s="849">
        <v>2</v>
      </c>
    </row>
    <row r="240" spans="1:12" ht="12" hidden="1" customHeight="1">
      <c r="A240" s="847">
        <v>40857</v>
      </c>
      <c r="B240" s="848" t="s">
        <v>1315</v>
      </c>
      <c r="C240" s="849">
        <v>27</v>
      </c>
      <c r="D240" s="847">
        <v>40884</v>
      </c>
      <c r="E240" s="850">
        <v>20</v>
      </c>
      <c r="F240" s="850">
        <v>3.5104000000000002</v>
      </c>
      <c r="G240" s="850">
        <v>3.5104000000000002</v>
      </c>
      <c r="H240" s="850">
        <v>0</v>
      </c>
      <c r="I240" s="851">
        <v>3.0599999999999999E-2</v>
      </c>
      <c r="J240" s="851">
        <v>3.1099999999999999E-2</v>
      </c>
      <c r="K240" s="851">
        <v>3.09E-2</v>
      </c>
      <c r="L240" s="849">
        <v>2</v>
      </c>
    </row>
    <row r="241" spans="1:12" ht="12" hidden="1" customHeight="1">
      <c r="A241" s="847">
        <v>40863</v>
      </c>
      <c r="B241" s="848" t="s">
        <v>1316</v>
      </c>
      <c r="C241" s="849">
        <v>28</v>
      </c>
      <c r="D241" s="847">
        <v>40891</v>
      </c>
      <c r="E241" s="850">
        <v>25</v>
      </c>
      <c r="F241" s="850">
        <v>8.7095000000000002</v>
      </c>
      <c r="G241" s="850">
        <v>8.7095000000000002</v>
      </c>
      <c r="H241" s="850">
        <v>0</v>
      </c>
      <c r="I241" s="851">
        <v>2.9100000000000001E-2</v>
      </c>
      <c r="J241" s="851">
        <v>3.1300000000000001E-2</v>
      </c>
      <c r="K241" s="851">
        <v>2.9100000000000001E-2</v>
      </c>
      <c r="L241" s="849">
        <v>3</v>
      </c>
    </row>
    <row r="242" spans="1:12" ht="12" hidden="1" customHeight="1">
      <c r="A242" s="847">
        <v>40870</v>
      </c>
      <c r="B242" s="848" t="s">
        <v>1317</v>
      </c>
      <c r="C242" s="849">
        <v>28</v>
      </c>
      <c r="D242" s="847">
        <v>40898</v>
      </c>
      <c r="E242" s="850">
        <v>25</v>
      </c>
      <c r="F242" s="850">
        <v>16.633900000000001</v>
      </c>
      <c r="G242" s="850">
        <v>10</v>
      </c>
      <c r="H242" s="850">
        <v>0</v>
      </c>
      <c r="I242" s="851">
        <v>2.8299999999999999E-2</v>
      </c>
      <c r="J242" s="851">
        <v>2.98E-2</v>
      </c>
      <c r="K242" s="851">
        <v>2.9100000000000001E-2</v>
      </c>
      <c r="L242" s="849">
        <v>3</v>
      </c>
    </row>
    <row r="243" spans="1:12" ht="12" hidden="1" customHeight="1">
      <c r="A243" s="847">
        <v>40877</v>
      </c>
      <c r="B243" s="848" t="s">
        <v>1318</v>
      </c>
      <c r="C243" s="849">
        <v>28</v>
      </c>
      <c r="D243" s="847">
        <v>40905</v>
      </c>
      <c r="E243" s="850">
        <v>30</v>
      </c>
      <c r="F243" s="850">
        <v>8.0053999999999998</v>
      </c>
      <c r="G243" s="850">
        <v>8.0053999999999998</v>
      </c>
      <c r="H243" s="850">
        <v>0</v>
      </c>
      <c r="I243" s="851">
        <v>2.58E-2</v>
      </c>
      <c r="J243" s="851">
        <v>3.0499999999999999E-2</v>
      </c>
      <c r="K243" s="851">
        <v>2.8400000000000002E-2</v>
      </c>
      <c r="L243" s="849">
        <v>3</v>
      </c>
    </row>
    <row r="244" spans="1:12" ht="12" hidden="1" customHeight="1">
      <c r="A244" s="847">
        <v>40884</v>
      </c>
      <c r="B244" s="848" t="s">
        <v>1319</v>
      </c>
      <c r="C244" s="849">
        <v>29</v>
      </c>
      <c r="D244" s="847">
        <v>40913</v>
      </c>
      <c r="E244" s="850">
        <v>25</v>
      </c>
      <c r="F244" s="850">
        <v>21.5321</v>
      </c>
      <c r="G244" s="850">
        <v>15</v>
      </c>
      <c r="H244" s="850">
        <v>0</v>
      </c>
      <c r="I244" s="851">
        <v>2.4899999999999999E-2</v>
      </c>
      <c r="J244" s="851">
        <v>2.9700000000000001E-2</v>
      </c>
      <c r="K244" s="851">
        <v>2.8500000000000001E-2</v>
      </c>
      <c r="L244" s="849">
        <v>5</v>
      </c>
    </row>
    <row r="245" spans="1:12" ht="12" hidden="1" customHeight="1">
      <c r="A245" s="847">
        <v>40891</v>
      </c>
      <c r="B245" s="848" t="s">
        <v>1320</v>
      </c>
      <c r="C245" s="849">
        <v>28</v>
      </c>
      <c r="D245" s="847">
        <v>40919</v>
      </c>
      <c r="E245" s="850">
        <v>30</v>
      </c>
      <c r="F245" s="850">
        <v>11.222200000000001</v>
      </c>
      <c r="G245" s="850">
        <v>11.222200000000001</v>
      </c>
      <c r="H245" s="850">
        <v>0</v>
      </c>
      <c r="I245" s="851">
        <v>2.5999999999999999E-2</v>
      </c>
      <c r="J245" s="851">
        <v>0.03</v>
      </c>
      <c r="K245" s="851">
        <v>2.7699999999999999E-2</v>
      </c>
      <c r="L245" s="849">
        <v>4</v>
      </c>
    </row>
    <row r="246" spans="1:12" ht="12" hidden="1" customHeight="1">
      <c r="A246" s="847">
        <v>40898</v>
      </c>
      <c r="B246" s="848" t="s">
        <v>1321</v>
      </c>
      <c r="C246" s="849">
        <v>28</v>
      </c>
      <c r="D246" s="847">
        <v>40926</v>
      </c>
      <c r="E246" s="850">
        <v>30</v>
      </c>
      <c r="F246" s="850">
        <v>19.366</v>
      </c>
      <c r="G246" s="850">
        <v>15</v>
      </c>
      <c r="H246" s="850">
        <v>0</v>
      </c>
      <c r="I246" s="851">
        <v>2.6800000000000001E-2</v>
      </c>
      <c r="J246" s="851">
        <v>0.03</v>
      </c>
      <c r="K246" s="851">
        <v>2.76E-2</v>
      </c>
      <c r="L246" s="849">
        <v>4</v>
      </c>
    </row>
    <row r="247" spans="1:12" ht="12" hidden="1" customHeight="1">
      <c r="A247" s="847">
        <v>40905</v>
      </c>
      <c r="B247" s="848" t="s">
        <v>1322</v>
      </c>
      <c r="C247" s="849">
        <v>28</v>
      </c>
      <c r="D247" s="847">
        <v>40933</v>
      </c>
      <c r="E247" s="850">
        <v>35</v>
      </c>
      <c r="F247" s="850">
        <v>9.0113000000000003</v>
      </c>
      <c r="G247" s="850">
        <v>9.0113000000000003</v>
      </c>
      <c r="H247" s="850">
        <v>0</v>
      </c>
      <c r="I247" s="851">
        <v>2.6499999999999999E-2</v>
      </c>
      <c r="J247" s="851">
        <v>0.03</v>
      </c>
      <c r="K247" s="851">
        <v>2.7699999999999999E-2</v>
      </c>
      <c r="L247" s="849">
        <v>3</v>
      </c>
    </row>
    <row r="248" spans="1:12" ht="12" hidden="1" customHeight="1">
      <c r="A248" s="847">
        <v>40913</v>
      </c>
      <c r="B248" s="848" t="s">
        <v>1328</v>
      </c>
      <c r="C248" s="849">
        <v>27</v>
      </c>
      <c r="D248" s="847">
        <v>40940</v>
      </c>
      <c r="E248" s="850">
        <v>30</v>
      </c>
      <c r="F248" s="850">
        <v>47.409100000000002</v>
      </c>
      <c r="G248" s="850">
        <v>20</v>
      </c>
      <c r="H248" s="850">
        <v>0</v>
      </c>
      <c r="I248" s="851">
        <v>2.7E-2</v>
      </c>
      <c r="J248" s="851">
        <v>2.9700000000000001E-2</v>
      </c>
      <c r="K248" s="851">
        <v>2.8400000000000002E-2</v>
      </c>
      <c r="L248" s="849">
        <v>3</v>
      </c>
    </row>
    <row r="249" spans="1:12" ht="12" hidden="1" customHeight="1">
      <c r="A249" s="847">
        <v>40919</v>
      </c>
      <c r="B249" s="848" t="s">
        <v>1329</v>
      </c>
      <c r="C249" s="849">
        <v>28</v>
      </c>
      <c r="D249" s="847">
        <v>40947</v>
      </c>
      <c r="E249" s="850">
        <v>40</v>
      </c>
      <c r="F249" s="850">
        <v>70.286100000000005</v>
      </c>
      <c r="G249" s="850">
        <v>30</v>
      </c>
      <c r="H249" s="850">
        <v>0</v>
      </c>
      <c r="I249" s="851">
        <v>2.5999999999999999E-2</v>
      </c>
      <c r="J249" s="851">
        <v>2.8000000000000001E-2</v>
      </c>
      <c r="K249" s="851">
        <v>2.76E-2</v>
      </c>
      <c r="L249" s="849">
        <v>8</v>
      </c>
    </row>
    <row r="250" spans="1:12" ht="12" hidden="1" customHeight="1">
      <c r="A250" s="847">
        <v>40926</v>
      </c>
      <c r="B250" s="848" t="s">
        <v>1330</v>
      </c>
      <c r="C250" s="849">
        <v>28</v>
      </c>
      <c r="D250" s="847">
        <v>40954</v>
      </c>
      <c r="E250" s="850">
        <v>30</v>
      </c>
      <c r="F250" s="850">
        <v>40.888300000000001</v>
      </c>
      <c r="G250" s="850">
        <v>15</v>
      </c>
      <c r="H250" s="850">
        <v>0</v>
      </c>
      <c r="I250" s="851">
        <v>2.0199999999999999E-2</v>
      </c>
      <c r="J250" s="851">
        <v>2.7E-2</v>
      </c>
      <c r="K250" s="851">
        <v>2.1899999999999999E-2</v>
      </c>
      <c r="L250" s="849">
        <v>6</v>
      </c>
    </row>
    <row r="251" spans="1:12" ht="12" hidden="1" customHeight="1">
      <c r="A251" s="847">
        <v>40933</v>
      </c>
      <c r="B251" s="848" t="s">
        <v>1331</v>
      </c>
      <c r="C251" s="849">
        <v>28</v>
      </c>
      <c r="D251" s="847">
        <v>40961</v>
      </c>
      <c r="E251" s="850">
        <v>35</v>
      </c>
      <c r="F251" s="850">
        <v>33.4604</v>
      </c>
      <c r="G251" s="850">
        <v>20</v>
      </c>
      <c r="H251" s="850">
        <v>0</v>
      </c>
      <c r="I251" s="851">
        <v>0.02</v>
      </c>
      <c r="J251" s="851">
        <v>2.1000000000000001E-2</v>
      </c>
      <c r="K251" s="851">
        <v>2.0199999999999999E-2</v>
      </c>
      <c r="L251" s="849">
        <v>5</v>
      </c>
    </row>
    <row r="252" spans="1:12" ht="12" hidden="1" customHeight="1">
      <c r="A252" s="847">
        <v>40940</v>
      </c>
      <c r="B252" s="848" t="s">
        <v>1332</v>
      </c>
      <c r="C252" s="849">
        <v>28</v>
      </c>
      <c r="D252" s="847">
        <v>40968</v>
      </c>
      <c r="E252" s="850">
        <v>30</v>
      </c>
      <c r="F252" s="850">
        <v>36.435899999999997</v>
      </c>
      <c r="G252" s="850">
        <v>20</v>
      </c>
      <c r="H252" s="850">
        <v>0</v>
      </c>
      <c r="I252" s="851">
        <v>1.7399999999999999E-2</v>
      </c>
      <c r="J252" s="851">
        <v>0.02</v>
      </c>
      <c r="K252" s="851">
        <v>1.9900000000000001E-2</v>
      </c>
      <c r="L252" s="849">
        <v>4</v>
      </c>
    </row>
    <row r="253" spans="1:12" ht="12" hidden="1" customHeight="1">
      <c r="A253" s="847">
        <v>40947</v>
      </c>
      <c r="B253" s="848" t="s">
        <v>1333</v>
      </c>
      <c r="C253" s="849">
        <v>28</v>
      </c>
      <c r="D253" s="847">
        <v>40975</v>
      </c>
      <c r="E253" s="850">
        <v>45</v>
      </c>
      <c r="F253" s="850">
        <v>70.038799999999995</v>
      </c>
      <c r="G253" s="850">
        <v>35</v>
      </c>
      <c r="H253" s="850">
        <v>0</v>
      </c>
      <c r="I253" s="851">
        <v>1.7999999999999999E-2</v>
      </c>
      <c r="J253" s="851">
        <v>2.0799999999999999E-2</v>
      </c>
      <c r="K253" s="851">
        <v>1.9599999999999999E-2</v>
      </c>
      <c r="L253" s="849">
        <v>7</v>
      </c>
    </row>
    <row r="254" spans="1:12" ht="12" hidden="1" customHeight="1">
      <c r="A254" s="847">
        <v>40954</v>
      </c>
      <c r="B254" s="848" t="s">
        <v>1334</v>
      </c>
      <c r="C254" s="849">
        <v>28</v>
      </c>
      <c r="D254" s="847">
        <v>40982</v>
      </c>
      <c r="E254" s="850">
        <v>35</v>
      </c>
      <c r="F254" s="850">
        <v>49.061100000000003</v>
      </c>
      <c r="G254" s="850">
        <v>20</v>
      </c>
      <c r="H254" s="850">
        <v>0</v>
      </c>
      <c r="I254" s="851">
        <v>1.7999999999999999E-2</v>
      </c>
      <c r="J254" s="851">
        <v>1.95E-2</v>
      </c>
      <c r="K254" s="851">
        <v>1.9E-2</v>
      </c>
      <c r="L254" s="849">
        <v>7</v>
      </c>
    </row>
    <row r="255" spans="1:12" ht="12" hidden="1" customHeight="1">
      <c r="A255" s="847">
        <v>40961</v>
      </c>
      <c r="B255" s="848" t="s">
        <v>1335</v>
      </c>
      <c r="C255" s="849">
        <v>26</v>
      </c>
      <c r="D255" s="847">
        <v>40987</v>
      </c>
      <c r="E255" s="850">
        <v>35</v>
      </c>
      <c r="F255" s="850">
        <v>54.948300000000003</v>
      </c>
      <c r="G255" s="850">
        <v>20</v>
      </c>
      <c r="H255" s="850">
        <v>0</v>
      </c>
      <c r="I255" s="851">
        <v>1.61E-2</v>
      </c>
      <c r="J255" s="851">
        <v>1.7899999999999999E-2</v>
      </c>
      <c r="K255" s="851">
        <v>1.7399999999999999E-2</v>
      </c>
      <c r="L255" s="849">
        <v>8</v>
      </c>
    </row>
    <row r="256" spans="1:12" ht="12" hidden="1" customHeight="1">
      <c r="A256" s="847">
        <v>40968</v>
      </c>
      <c r="B256" s="848" t="s">
        <v>1336</v>
      </c>
      <c r="C256" s="849">
        <v>28</v>
      </c>
      <c r="D256" s="847">
        <v>40996</v>
      </c>
      <c r="E256" s="850">
        <v>30</v>
      </c>
      <c r="F256" s="850">
        <v>40.298299999999998</v>
      </c>
      <c r="G256" s="850">
        <v>20</v>
      </c>
      <c r="H256" s="850">
        <v>0</v>
      </c>
      <c r="I256" s="851">
        <v>1.54E-2</v>
      </c>
      <c r="J256" s="851">
        <v>1.7000000000000001E-2</v>
      </c>
      <c r="K256" s="851">
        <v>1.66E-2</v>
      </c>
      <c r="L256" s="849">
        <v>5</v>
      </c>
    </row>
    <row r="257" spans="1:12" ht="12" hidden="1" customHeight="1">
      <c r="A257" s="847">
        <v>40968</v>
      </c>
      <c r="B257" s="848" t="s">
        <v>1336</v>
      </c>
      <c r="C257" s="849">
        <v>28</v>
      </c>
      <c r="D257" s="847">
        <v>40996</v>
      </c>
      <c r="E257" s="850">
        <v>30</v>
      </c>
      <c r="F257" s="850">
        <v>40.298299999999998</v>
      </c>
      <c r="G257" s="850">
        <v>20</v>
      </c>
      <c r="H257" s="850">
        <v>0</v>
      </c>
      <c r="I257" s="851">
        <v>1.54E-2</v>
      </c>
      <c r="J257" s="851">
        <v>1.7000000000000001E-2</v>
      </c>
      <c r="K257" s="851">
        <v>1.66E-2</v>
      </c>
      <c r="L257" s="849">
        <v>5</v>
      </c>
    </row>
    <row r="258" spans="1:12" ht="12" hidden="1" customHeight="1">
      <c r="A258" s="847">
        <v>40975</v>
      </c>
      <c r="B258" s="848" t="s">
        <v>1338</v>
      </c>
      <c r="C258" s="849">
        <v>28</v>
      </c>
      <c r="D258" s="847">
        <v>41003</v>
      </c>
      <c r="E258" s="850">
        <v>50</v>
      </c>
      <c r="F258" s="850">
        <v>78.960800000000006</v>
      </c>
      <c r="G258" s="850">
        <v>35</v>
      </c>
      <c r="H258" s="850">
        <v>0</v>
      </c>
      <c r="I258" s="851">
        <v>1.0999999999999999E-2</v>
      </c>
      <c r="J258" s="851">
        <v>1.6799999999999999E-2</v>
      </c>
      <c r="K258" s="851">
        <v>1.5599999999999999E-2</v>
      </c>
      <c r="L258" s="849">
        <v>8</v>
      </c>
    </row>
    <row r="259" spans="1:12" ht="12" hidden="1" customHeight="1">
      <c r="A259" s="847">
        <v>40982</v>
      </c>
      <c r="B259" s="848" t="s">
        <v>1339</v>
      </c>
      <c r="C259" s="849">
        <v>28</v>
      </c>
      <c r="D259" s="847">
        <v>41010</v>
      </c>
      <c r="E259" s="850">
        <v>35</v>
      </c>
      <c r="F259" s="850">
        <v>41.396500000000003</v>
      </c>
      <c r="G259" s="850">
        <v>20</v>
      </c>
      <c r="H259" s="850">
        <v>0</v>
      </c>
      <c r="I259" s="851">
        <v>1.4500000000000001E-2</v>
      </c>
      <c r="J259" s="851">
        <v>1.6E-2</v>
      </c>
      <c r="K259" s="851">
        <v>1.4800000000000001E-2</v>
      </c>
      <c r="L259" s="849">
        <v>6</v>
      </c>
    </row>
    <row r="260" spans="1:12" ht="12" hidden="1" customHeight="1">
      <c r="A260" s="847">
        <v>40987</v>
      </c>
      <c r="B260" s="848" t="s">
        <v>1340</v>
      </c>
      <c r="C260" s="849">
        <v>30</v>
      </c>
      <c r="D260" s="847">
        <v>41017</v>
      </c>
      <c r="E260" s="850">
        <v>35</v>
      </c>
      <c r="F260" s="850">
        <v>41.713299999999997</v>
      </c>
      <c r="G260" s="850">
        <v>20</v>
      </c>
      <c r="H260" s="850">
        <v>0</v>
      </c>
      <c r="I260" s="851">
        <v>0.01</v>
      </c>
      <c r="J260" s="851">
        <v>1.4999999999999999E-2</v>
      </c>
      <c r="K260" s="851">
        <v>1.32E-2</v>
      </c>
      <c r="L260" s="849">
        <v>5</v>
      </c>
    </row>
    <row r="261" spans="1:12" ht="12" hidden="1" customHeight="1">
      <c r="A261" s="847">
        <v>40996</v>
      </c>
      <c r="B261" s="848" t="s">
        <v>1341</v>
      </c>
      <c r="C261" s="849">
        <v>28</v>
      </c>
      <c r="D261" s="847">
        <v>41024</v>
      </c>
      <c r="E261" s="850">
        <v>35</v>
      </c>
      <c r="F261" s="850">
        <v>46.808300000000003</v>
      </c>
      <c r="G261" s="850">
        <v>20</v>
      </c>
      <c r="H261" s="850">
        <v>0</v>
      </c>
      <c r="I261" s="851">
        <v>1.2800000000000001E-2</v>
      </c>
      <c r="J261" s="851">
        <v>1.29E-2</v>
      </c>
      <c r="K261" s="851">
        <v>1.2800000000000001E-2</v>
      </c>
      <c r="L261" s="849">
        <v>4</v>
      </c>
    </row>
    <row r="262" spans="1:12" ht="12" hidden="1" customHeight="1">
      <c r="A262" s="847">
        <v>41003</v>
      </c>
      <c r="B262" s="848" t="s">
        <v>1342</v>
      </c>
      <c r="C262" s="849">
        <v>28</v>
      </c>
      <c r="D262" s="847">
        <v>41031</v>
      </c>
      <c r="E262" s="850">
        <v>40</v>
      </c>
      <c r="F262" s="850">
        <v>50.090800000000002</v>
      </c>
      <c r="G262" s="850">
        <v>35</v>
      </c>
      <c r="H262" s="850">
        <v>0</v>
      </c>
      <c r="I262" s="851">
        <v>0.01</v>
      </c>
      <c r="J262" s="851">
        <v>1.15E-2</v>
      </c>
      <c r="K262" s="851">
        <v>1.0800000000000001E-2</v>
      </c>
      <c r="L262" s="849">
        <v>5</v>
      </c>
    </row>
    <row r="263" spans="1:12" ht="12" hidden="1" customHeight="1">
      <c r="A263" s="847">
        <v>41010</v>
      </c>
      <c r="B263" s="848" t="s">
        <v>1343</v>
      </c>
      <c r="C263" s="849">
        <v>29</v>
      </c>
      <c r="D263" s="847">
        <v>41039</v>
      </c>
      <c r="E263" s="850">
        <v>35</v>
      </c>
      <c r="F263" s="850">
        <v>61.238999999999997</v>
      </c>
      <c r="G263" s="850">
        <v>20</v>
      </c>
      <c r="H263" s="850">
        <v>0</v>
      </c>
      <c r="I263" s="851">
        <v>9.7000000000000003E-3</v>
      </c>
      <c r="J263" s="851">
        <v>1.2500000000000001E-2</v>
      </c>
      <c r="K263" s="851">
        <v>1.12E-2</v>
      </c>
      <c r="L263" s="849">
        <v>5</v>
      </c>
    </row>
    <row r="264" spans="1:12" ht="12" hidden="1" customHeight="1">
      <c r="A264" s="847">
        <v>41017</v>
      </c>
      <c r="B264" s="848" t="s">
        <v>1344</v>
      </c>
      <c r="C264" s="849">
        <v>28</v>
      </c>
      <c r="D264" s="847">
        <v>41045</v>
      </c>
      <c r="E264" s="850">
        <v>35</v>
      </c>
      <c r="F264" s="850">
        <v>40.2057</v>
      </c>
      <c r="G264" s="850">
        <v>20</v>
      </c>
      <c r="H264" s="850">
        <v>0</v>
      </c>
      <c r="I264" s="851">
        <v>1.2E-2</v>
      </c>
      <c r="J264" s="851">
        <v>1.3100000000000001E-2</v>
      </c>
      <c r="K264" s="851">
        <v>1.2699999999999999E-2</v>
      </c>
      <c r="L264" s="849">
        <v>3</v>
      </c>
    </row>
    <row r="265" spans="1:12" ht="12" hidden="1" customHeight="1">
      <c r="A265" s="847">
        <v>41024</v>
      </c>
      <c r="B265" s="848" t="s">
        <v>1345</v>
      </c>
      <c r="C265" s="849">
        <v>28</v>
      </c>
      <c r="D265" s="847">
        <v>41052</v>
      </c>
      <c r="E265" s="850">
        <v>35</v>
      </c>
      <c r="F265" s="850">
        <v>30.318000000000001</v>
      </c>
      <c r="G265" s="850">
        <v>20</v>
      </c>
      <c r="H265" s="850">
        <v>0</v>
      </c>
      <c r="I265" s="851">
        <v>1.3100000000000001E-2</v>
      </c>
      <c r="J265" s="851">
        <v>1.34E-2</v>
      </c>
      <c r="K265" s="851">
        <v>1.34E-2</v>
      </c>
      <c r="L265" s="849">
        <v>2</v>
      </c>
    </row>
    <row r="266" spans="1:12" ht="12" hidden="1" customHeight="1">
      <c r="A266" s="847">
        <v>41031</v>
      </c>
      <c r="B266" s="848" t="s">
        <v>1348</v>
      </c>
      <c r="C266" s="849">
        <v>28</v>
      </c>
      <c r="D266" s="847">
        <v>41059</v>
      </c>
      <c r="E266" s="850">
        <v>40</v>
      </c>
      <c r="F266" s="850">
        <v>42.525300000000001</v>
      </c>
      <c r="G266" s="850">
        <v>35</v>
      </c>
      <c r="H266" s="850">
        <v>0</v>
      </c>
      <c r="I266" s="851">
        <v>1.15E-2</v>
      </c>
      <c r="J266" s="851">
        <v>1.4200000000000001E-2</v>
      </c>
      <c r="K266" s="851">
        <v>1.35E-2</v>
      </c>
      <c r="L266" s="849">
        <v>4</v>
      </c>
    </row>
    <row r="267" spans="1:12" ht="12" hidden="1" customHeight="1">
      <c r="A267" s="847">
        <v>41039</v>
      </c>
      <c r="B267" s="848" t="s">
        <v>1349</v>
      </c>
      <c r="C267" s="849">
        <v>27</v>
      </c>
      <c r="D267" s="847">
        <v>41066</v>
      </c>
      <c r="E267" s="850">
        <v>35</v>
      </c>
      <c r="F267" s="850">
        <v>35.733699999999999</v>
      </c>
      <c r="G267" s="850">
        <v>20</v>
      </c>
      <c r="H267" s="850">
        <v>0</v>
      </c>
      <c r="I267" s="851">
        <v>1.15E-2</v>
      </c>
      <c r="J267" s="851">
        <v>1.4800000000000001E-2</v>
      </c>
      <c r="K267" s="851">
        <v>1.3899999999999999E-2</v>
      </c>
      <c r="L267" s="849">
        <v>5</v>
      </c>
    </row>
    <row r="268" spans="1:12" ht="12" hidden="1" customHeight="1">
      <c r="A268" s="847">
        <v>41045</v>
      </c>
      <c r="B268" s="848" t="s">
        <v>1350</v>
      </c>
      <c r="C268" s="849">
        <v>28</v>
      </c>
      <c r="D268" s="847">
        <v>41073</v>
      </c>
      <c r="E268" s="850">
        <v>35</v>
      </c>
      <c r="F268" s="850">
        <v>48.054600000000001</v>
      </c>
      <c r="G268" s="850">
        <v>15</v>
      </c>
      <c r="H268" s="850">
        <v>0</v>
      </c>
      <c r="I268" s="851">
        <v>1.35E-2</v>
      </c>
      <c r="J268" s="851">
        <v>1.4E-2</v>
      </c>
      <c r="K268" s="851">
        <v>1.37E-2</v>
      </c>
      <c r="L268" s="849">
        <v>2</v>
      </c>
    </row>
    <row r="269" spans="1:12" ht="12" hidden="1" customHeight="1">
      <c r="A269" s="847">
        <v>41052</v>
      </c>
      <c r="B269" s="848" t="s">
        <v>1351</v>
      </c>
      <c r="C269" s="849">
        <v>28</v>
      </c>
      <c r="D269" s="847">
        <v>41080</v>
      </c>
      <c r="E269" s="850">
        <v>35</v>
      </c>
      <c r="F269" s="850">
        <v>55.060400000000001</v>
      </c>
      <c r="G269" s="850">
        <v>20</v>
      </c>
      <c r="H269" s="850">
        <v>0</v>
      </c>
      <c r="I269" s="851">
        <v>1.35E-2</v>
      </c>
      <c r="J269" s="851">
        <v>1.3899999999999999E-2</v>
      </c>
      <c r="K269" s="851">
        <v>1.3599999999999999E-2</v>
      </c>
      <c r="L269" s="849">
        <v>2</v>
      </c>
    </row>
    <row r="270" spans="1:12" ht="12" hidden="1" customHeight="1">
      <c r="A270" s="847">
        <v>41059</v>
      </c>
      <c r="B270" s="848" t="s">
        <v>1352</v>
      </c>
      <c r="C270" s="849">
        <v>28</v>
      </c>
      <c r="D270" s="847">
        <v>41087</v>
      </c>
      <c r="E270" s="850">
        <v>40</v>
      </c>
      <c r="F270" s="850">
        <v>73.561000000000007</v>
      </c>
      <c r="G270" s="850">
        <v>35</v>
      </c>
      <c r="H270" s="850">
        <v>0</v>
      </c>
      <c r="I270" s="851">
        <v>1.26E-2</v>
      </c>
      <c r="J270" s="851">
        <v>1.4E-2</v>
      </c>
      <c r="K270" s="851">
        <v>1.3599999999999999E-2</v>
      </c>
      <c r="L270" s="849">
        <v>4</v>
      </c>
    </row>
    <row r="271" spans="1:12" ht="12" hidden="1" customHeight="1">
      <c r="A271" s="847">
        <v>41066</v>
      </c>
      <c r="B271" s="848" t="s">
        <v>1353</v>
      </c>
      <c r="C271" s="849">
        <v>28</v>
      </c>
      <c r="D271" s="847">
        <v>41094</v>
      </c>
      <c r="E271" s="850">
        <v>35</v>
      </c>
      <c r="F271" s="850">
        <v>40.300600000000003</v>
      </c>
      <c r="G271" s="850">
        <v>20</v>
      </c>
      <c r="H271" s="850">
        <v>0</v>
      </c>
      <c r="I271" s="851">
        <v>1.26E-2</v>
      </c>
      <c r="J271" s="851">
        <v>1.4E-2</v>
      </c>
      <c r="K271" s="851">
        <v>1.37E-2</v>
      </c>
      <c r="L271" s="849">
        <v>3</v>
      </c>
    </row>
    <row r="272" spans="1:12" ht="12" hidden="1" customHeight="1">
      <c r="A272" s="847">
        <v>41073</v>
      </c>
      <c r="B272" s="848" t="s">
        <v>1354</v>
      </c>
      <c r="C272" s="849">
        <v>28</v>
      </c>
      <c r="D272" s="847">
        <v>41101</v>
      </c>
      <c r="E272" s="850">
        <v>35</v>
      </c>
      <c r="F272" s="850">
        <v>42.043799999999997</v>
      </c>
      <c r="G272" s="850">
        <v>15</v>
      </c>
      <c r="H272" s="850">
        <v>0</v>
      </c>
      <c r="I272" s="851">
        <v>1.35E-2</v>
      </c>
      <c r="J272" s="851">
        <v>1.37E-2</v>
      </c>
      <c r="K272" s="851">
        <v>1.3599999999999999E-2</v>
      </c>
      <c r="L272" s="849">
        <v>3</v>
      </c>
    </row>
    <row r="273" spans="1:12" ht="12" hidden="1" customHeight="1">
      <c r="A273" s="847">
        <v>41080</v>
      </c>
      <c r="B273" s="848" t="s">
        <v>1355</v>
      </c>
      <c r="C273" s="849">
        <v>28</v>
      </c>
      <c r="D273" s="847">
        <v>41108</v>
      </c>
      <c r="E273" s="850">
        <v>35</v>
      </c>
      <c r="F273" s="850">
        <v>38.033700000000003</v>
      </c>
      <c r="G273" s="850">
        <v>20</v>
      </c>
      <c r="H273" s="850">
        <v>0</v>
      </c>
      <c r="I273" s="851">
        <v>1.2999999999999999E-2</v>
      </c>
      <c r="J273" s="851">
        <v>1.4E-2</v>
      </c>
      <c r="K273" s="851">
        <v>1.3599999999999999E-2</v>
      </c>
      <c r="L273" s="849">
        <v>3</v>
      </c>
    </row>
    <row r="274" spans="1:12" ht="12" hidden="1" customHeight="1">
      <c r="A274" s="847">
        <v>41087</v>
      </c>
      <c r="B274" s="848" t="s">
        <v>1356</v>
      </c>
      <c r="C274" s="849">
        <v>28</v>
      </c>
      <c r="D274" s="847">
        <v>41115</v>
      </c>
      <c r="E274" s="850">
        <v>40</v>
      </c>
      <c r="F274" s="850">
        <v>47.604100000000003</v>
      </c>
      <c r="G274" s="850">
        <v>35</v>
      </c>
      <c r="H274" s="850">
        <v>0</v>
      </c>
      <c r="I274" s="851">
        <v>1.32E-2</v>
      </c>
      <c r="J274" s="851">
        <v>1.41E-2</v>
      </c>
      <c r="K274" s="851">
        <v>1.38E-2</v>
      </c>
      <c r="L274" s="849">
        <v>4</v>
      </c>
    </row>
    <row r="275" spans="1:12" ht="12" hidden="1" customHeight="1">
      <c r="A275" s="847">
        <v>41101</v>
      </c>
      <c r="B275" s="848" t="s">
        <v>1370</v>
      </c>
      <c r="C275" s="849">
        <v>28</v>
      </c>
      <c r="D275" s="847">
        <v>41129</v>
      </c>
      <c r="E275" s="850">
        <v>35</v>
      </c>
      <c r="F275" s="850">
        <v>24.0245</v>
      </c>
      <c r="G275" s="850">
        <v>10</v>
      </c>
      <c r="H275" s="850">
        <v>0</v>
      </c>
      <c r="I275" s="851">
        <v>1.2999999999999999E-2</v>
      </c>
      <c r="J275" s="851">
        <v>1.43E-2</v>
      </c>
      <c r="K275" s="851">
        <v>1.4E-2</v>
      </c>
      <c r="L275" s="849">
        <v>2</v>
      </c>
    </row>
    <row r="276" spans="1:12" ht="12" hidden="1" customHeight="1">
      <c r="A276" s="847">
        <v>41108</v>
      </c>
      <c r="B276" s="848" t="s">
        <v>1371</v>
      </c>
      <c r="C276" s="849">
        <v>28</v>
      </c>
      <c r="D276" s="847">
        <v>41136</v>
      </c>
      <c r="E276" s="850">
        <v>35</v>
      </c>
      <c r="F276" s="850">
        <v>28.523399999999999</v>
      </c>
      <c r="G276" s="850">
        <v>20</v>
      </c>
      <c r="H276" s="850">
        <v>0</v>
      </c>
      <c r="I276" s="851">
        <v>1.2999999999999999E-2</v>
      </c>
      <c r="J276" s="851">
        <v>1.46E-2</v>
      </c>
      <c r="K276" s="851">
        <v>1.3899999999999999E-2</v>
      </c>
      <c r="L276" s="849">
        <v>3</v>
      </c>
    </row>
    <row r="277" spans="1:12" ht="12" hidden="1" customHeight="1">
      <c r="A277" s="847">
        <v>41115</v>
      </c>
      <c r="B277" s="848" t="s">
        <v>1372</v>
      </c>
      <c r="C277" s="849">
        <v>28</v>
      </c>
      <c r="D277" s="847">
        <v>41143</v>
      </c>
      <c r="E277" s="850">
        <v>40</v>
      </c>
      <c r="F277" s="850">
        <v>46.553956319999998</v>
      </c>
      <c r="G277" s="850">
        <v>35</v>
      </c>
      <c r="H277" s="850">
        <v>0</v>
      </c>
      <c r="I277" s="851">
        <v>1.29E-2</v>
      </c>
      <c r="J277" s="851">
        <v>1.47E-2</v>
      </c>
      <c r="K277" s="851">
        <v>1.4500000000000001E-2</v>
      </c>
      <c r="L277" s="849">
        <v>2</v>
      </c>
    </row>
    <row r="278" spans="1:12" ht="12" hidden="1" customHeight="1">
      <c r="A278" s="847">
        <v>41122</v>
      </c>
      <c r="B278" s="848" t="s">
        <v>1373</v>
      </c>
      <c r="C278" s="849">
        <v>28</v>
      </c>
      <c r="D278" s="847">
        <v>41150</v>
      </c>
      <c r="E278" s="850">
        <v>35</v>
      </c>
      <c r="F278" s="850">
        <v>16.99997308</v>
      </c>
      <c r="G278" s="850">
        <v>10</v>
      </c>
      <c r="H278" s="850">
        <v>0</v>
      </c>
      <c r="I278" s="851">
        <v>1.4200000000000001E-2</v>
      </c>
      <c r="J278" s="851">
        <v>1.47E-2</v>
      </c>
      <c r="K278" s="851">
        <v>1.4500000000000001E-2</v>
      </c>
      <c r="L278" s="849">
        <v>2</v>
      </c>
    </row>
    <row r="279" spans="1:12" ht="12" hidden="1" customHeight="1">
      <c r="A279" s="847">
        <v>41129</v>
      </c>
      <c r="B279" s="848" t="s">
        <v>1374</v>
      </c>
      <c r="C279" s="849">
        <v>28</v>
      </c>
      <c r="D279" s="847">
        <v>41157</v>
      </c>
      <c r="E279" s="850">
        <v>35</v>
      </c>
      <c r="F279" s="850">
        <v>4.0011999999999999</v>
      </c>
      <c r="G279" s="850">
        <v>4.0011999999999999</v>
      </c>
      <c r="H279" s="850">
        <v>0</v>
      </c>
      <c r="I279" s="851">
        <v>1.4E-2</v>
      </c>
      <c r="J279" s="851">
        <v>1.4500000000000001E-2</v>
      </c>
      <c r="K279" s="851">
        <v>1.43E-2</v>
      </c>
      <c r="L279" s="849">
        <v>2</v>
      </c>
    </row>
    <row r="280" spans="1:12" ht="12" hidden="1" customHeight="1">
      <c r="A280" s="847">
        <v>41136</v>
      </c>
      <c r="B280" s="848" t="s">
        <v>1375</v>
      </c>
      <c r="C280" s="849">
        <v>28</v>
      </c>
      <c r="D280" s="847">
        <v>41164</v>
      </c>
      <c r="E280" s="850">
        <v>35</v>
      </c>
      <c r="F280" s="850">
        <v>8.5008999999999997</v>
      </c>
      <c r="G280" s="850">
        <v>8.5008999999999997</v>
      </c>
      <c r="H280" s="850">
        <v>0</v>
      </c>
      <c r="I280" s="851">
        <v>1.4200000000000001E-2</v>
      </c>
      <c r="J280" s="851">
        <v>1.4999999999999999E-2</v>
      </c>
      <c r="K280" s="851">
        <v>1.43E-2</v>
      </c>
      <c r="L280" s="849">
        <v>2</v>
      </c>
    </row>
    <row r="281" spans="1:12" ht="12" hidden="1" customHeight="1">
      <c r="A281" s="847">
        <v>41143</v>
      </c>
      <c r="B281" s="848" t="s">
        <v>1376</v>
      </c>
      <c r="C281" s="849">
        <v>28</v>
      </c>
      <c r="D281" s="847">
        <v>41171</v>
      </c>
      <c r="E281" s="850">
        <v>40</v>
      </c>
      <c r="F281" s="850">
        <v>0</v>
      </c>
      <c r="G281" s="850">
        <v>0</v>
      </c>
      <c r="H281" s="850">
        <v>0</v>
      </c>
      <c r="I281" s="851">
        <v>0</v>
      </c>
      <c r="J281" s="851">
        <v>0</v>
      </c>
      <c r="K281" s="851">
        <v>0</v>
      </c>
      <c r="L281" s="849">
        <v>0</v>
      </c>
    </row>
    <row r="282" spans="1:12" ht="12" hidden="1" customHeight="1">
      <c r="A282" s="847">
        <v>41150</v>
      </c>
      <c r="B282" s="848" t="s">
        <v>1377</v>
      </c>
      <c r="C282" s="849">
        <v>28</v>
      </c>
      <c r="D282" s="847">
        <v>41178</v>
      </c>
      <c r="E282" s="850">
        <v>35</v>
      </c>
      <c r="F282" s="850">
        <v>3.5507</v>
      </c>
      <c r="G282" s="850">
        <v>3.5507</v>
      </c>
      <c r="H282" s="850">
        <v>0</v>
      </c>
      <c r="I282" s="851">
        <v>1.4E-2</v>
      </c>
      <c r="J282" s="851">
        <v>1.54E-2</v>
      </c>
      <c r="K282" s="851">
        <v>1.49E-2</v>
      </c>
      <c r="L282" s="849">
        <v>3</v>
      </c>
    </row>
    <row r="283" spans="1:12" ht="12" hidden="1" customHeight="1">
      <c r="A283" s="847">
        <v>41157</v>
      </c>
      <c r="B283" s="848" t="s">
        <v>1388</v>
      </c>
      <c r="C283" s="849">
        <v>28</v>
      </c>
      <c r="D283" s="847">
        <v>41185</v>
      </c>
      <c r="E283" s="850">
        <v>35</v>
      </c>
      <c r="F283" s="850">
        <v>0</v>
      </c>
      <c r="G283" s="850">
        <v>0</v>
      </c>
      <c r="H283" s="850">
        <v>0</v>
      </c>
      <c r="I283" s="851">
        <v>0</v>
      </c>
      <c r="J283" s="851">
        <v>0</v>
      </c>
      <c r="K283" s="851">
        <v>0</v>
      </c>
      <c r="L283" s="849">
        <v>1</v>
      </c>
    </row>
    <row r="284" spans="1:12" ht="12" hidden="1" customHeight="1">
      <c r="A284" s="847">
        <v>41164</v>
      </c>
      <c r="B284" s="848" t="s">
        <v>1389</v>
      </c>
      <c r="C284" s="849">
        <v>28</v>
      </c>
      <c r="D284" s="847">
        <v>41192</v>
      </c>
      <c r="E284" s="850">
        <v>35</v>
      </c>
      <c r="F284" s="850">
        <v>8.0007000000000001</v>
      </c>
      <c r="G284" s="850">
        <v>8.0007000000000001</v>
      </c>
      <c r="H284" s="850">
        <v>0</v>
      </c>
      <c r="I284" s="851">
        <v>1.4E-2</v>
      </c>
      <c r="J284" s="851">
        <v>1.61E-2</v>
      </c>
      <c r="K284" s="851">
        <v>1.43E-2</v>
      </c>
      <c r="L284" s="849">
        <v>2</v>
      </c>
    </row>
    <row r="285" spans="1:12" ht="12" hidden="1" customHeight="1">
      <c r="A285" s="847">
        <v>41171</v>
      </c>
      <c r="B285" s="848" t="s">
        <v>1390</v>
      </c>
      <c r="C285" s="849">
        <v>28</v>
      </c>
      <c r="D285" s="847">
        <v>41199</v>
      </c>
      <c r="E285" s="850">
        <v>35</v>
      </c>
      <c r="F285" s="850">
        <v>0</v>
      </c>
      <c r="G285" s="850">
        <v>0</v>
      </c>
      <c r="H285" s="850">
        <v>0</v>
      </c>
      <c r="I285" s="851">
        <v>0</v>
      </c>
      <c r="J285" s="851">
        <v>0</v>
      </c>
      <c r="K285" s="851">
        <v>0</v>
      </c>
      <c r="L285" s="849">
        <v>0</v>
      </c>
    </row>
    <row r="286" spans="1:12" ht="12" hidden="1" customHeight="1">
      <c r="A286" s="847">
        <v>41178</v>
      </c>
      <c r="B286" s="848" t="s">
        <v>1391</v>
      </c>
      <c r="C286" s="849">
        <v>28</v>
      </c>
      <c r="D286" s="847">
        <v>41206</v>
      </c>
      <c r="E286" s="850">
        <v>35</v>
      </c>
      <c r="F286" s="850">
        <v>3.7551000000000001</v>
      </c>
      <c r="G286" s="850">
        <v>3.7550999999999997</v>
      </c>
      <c r="H286" s="850">
        <v>0</v>
      </c>
      <c r="I286" s="851">
        <v>1.5100000000000001E-2</v>
      </c>
      <c r="J286" s="851">
        <v>3.5000000000000003E-2</v>
      </c>
      <c r="K286" s="851">
        <v>2.1999999999999999E-2</v>
      </c>
      <c r="L286" s="849">
        <v>3</v>
      </c>
    </row>
    <row r="287" spans="1:12" ht="12" hidden="1" customHeight="1">
      <c r="A287" s="847">
        <v>41185</v>
      </c>
      <c r="B287" s="848" t="s">
        <v>1403</v>
      </c>
      <c r="C287" s="849">
        <v>28</v>
      </c>
      <c r="D287" s="847">
        <v>41213</v>
      </c>
      <c r="E287" s="850">
        <v>35</v>
      </c>
      <c r="F287" s="850">
        <v>7.0034000000000001</v>
      </c>
      <c r="G287" s="850">
        <v>5</v>
      </c>
      <c r="H287" s="850">
        <v>0</v>
      </c>
      <c r="I287" s="851">
        <v>2.8000000000000001E-2</v>
      </c>
      <c r="J287" s="851">
        <v>2.8000000000000001E-2</v>
      </c>
      <c r="K287" s="851">
        <v>2.8000000000000001E-2</v>
      </c>
      <c r="L287" s="849">
        <v>2</v>
      </c>
    </row>
    <row r="288" spans="1:12" ht="12" hidden="1" customHeight="1">
      <c r="A288" s="847">
        <v>41192</v>
      </c>
      <c r="B288" s="848" t="s">
        <v>1404</v>
      </c>
      <c r="C288" s="849">
        <v>28</v>
      </c>
      <c r="D288" s="847">
        <v>41220</v>
      </c>
      <c r="E288" s="850">
        <v>35</v>
      </c>
      <c r="F288" s="850">
        <v>16.003</v>
      </c>
      <c r="G288" s="850">
        <v>10</v>
      </c>
      <c r="H288" s="850">
        <v>0</v>
      </c>
      <c r="I288" s="851">
        <v>2.7E-2</v>
      </c>
      <c r="J288" s="851">
        <v>2.7E-2</v>
      </c>
      <c r="K288" s="851">
        <v>2.7E-2</v>
      </c>
      <c r="L288" s="849">
        <v>3</v>
      </c>
    </row>
    <row r="289" spans="1:12" ht="12" hidden="1" customHeight="1">
      <c r="A289" s="847">
        <v>41199</v>
      </c>
      <c r="B289" s="848" t="s">
        <v>1405</v>
      </c>
      <c r="C289" s="849">
        <v>28</v>
      </c>
      <c r="D289" s="847">
        <v>41227</v>
      </c>
      <c r="E289" s="850">
        <v>35</v>
      </c>
      <c r="F289" s="850">
        <v>14</v>
      </c>
      <c r="G289" s="850">
        <v>10</v>
      </c>
      <c r="H289" s="850">
        <v>0</v>
      </c>
      <c r="I289" s="851">
        <v>2.5999999999999999E-2</v>
      </c>
      <c r="J289" s="851">
        <v>2.7E-2</v>
      </c>
      <c r="K289" s="851">
        <v>2.6700000000000002E-2</v>
      </c>
      <c r="L289" s="849">
        <v>2</v>
      </c>
    </row>
    <row r="290" spans="1:12" ht="12" hidden="1" customHeight="1">
      <c r="A290" s="847">
        <v>41206</v>
      </c>
      <c r="B290" s="848" t="s">
        <v>1406</v>
      </c>
      <c r="C290" s="849">
        <v>28</v>
      </c>
      <c r="D290" s="847">
        <v>41234</v>
      </c>
      <c r="E290" s="850">
        <v>35</v>
      </c>
      <c r="F290" s="850">
        <v>19.557500000000001</v>
      </c>
      <c r="G290" s="850">
        <v>10</v>
      </c>
      <c r="H290" s="850">
        <v>4.4528999999999996</v>
      </c>
      <c r="I290" s="851">
        <v>2.5700000000000001E-2</v>
      </c>
      <c r="J290" s="851">
        <v>2.8000000000000001E-2</v>
      </c>
      <c r="K290" s="851">
        <v>2.75E-2</v>
      </c>
      <c r="L290" s="849">
        <v>5</v>
      </c>
    </row>
    <row r="291" spans="1:12" ht="12" hidden="1" customHeight="1">
      <c r="A291" s="847">
        <v>41213</v>
      </c>
      <c r="B291" s="848" t="s">
        <v>1407</v>
      </c>
      <c r="C291" s="849">
        <v>28</v>
      </c>
      <c r="D291" s="847">
        <v>41241</v>
      </c>
      <c r="E291" s="850">
        <v>35</v>
      </c>
      <c r="F291" s="850">
        <v>13.5151</v>
      </c>
      <c r="G291" s="850">
        <v>10</v>
      </c>
      <c r="H291" s="850">
        <v>24.999600000000001</v>
      </c>
      <c r="I291" s="851">
        <v>2.5700000000000001E-2</v>
      </c>
      <c r="J291" s="851">
        <v>2.75E-2</v>
      </c>
      <c r="K291" s="851">
        <v>2.7099999999999999E-2</v>
      </c>
      <c r="L291" s="849">
        <v>3</v>
      </c>
    </row>
    <row r="292" spans="1:12" ht="12" hidden="1" customHeight="1">
      <c r="A292" s="847">
        <v>41220</v>
      </c>
      <c r="B292" s="848" t="s">
        <v>1418</v>
      </c>
      <c r="C292" s="849">
        <v>28</v>
      </c>
      <c r="D292" s="847">
        <v>41248</v>
      </c>
      <c r="E292" s="850">
        <v>35</v>
      </c>
      <c r="F292" s="850">
        <v>11.009</v>
      </c>
      <c r="G292" s="850">
        <v>10</v>
      </c>
      <c r="H292" s="850">
        <v>21.492999999999999</v>
      </c>
      <c r="I292" s="851">
        <v>2.58E-2</v>
      </c>
      <c r="J292" s="851">
        <v>3.1600000000000003E-2</v>
      </c>
      <c r="K292" s="851">
        <v>2.7300000000000001E-2</v>
      </c>
      <c r="L292" s="849">
        <v>4</v>
      </c>
    </row>
    <row r="293" spans="1:12" ht="12" hidden="1" customHeight="1">
      <c r="A293" s="847">
        <v>41227</v>
      </c>
      <c r="B293" s="848" t="s">
        <v>1419</v>
      </c>
      <c r="C293" s="849">
        <v>28</v>
      </c>
      <c r="D293" s="847">
        <v>41255</v>
      </c>
      <c r="E293" s="850">
        <v>35</v>
      </c>
      <c r="F293" s="850">
        <v>16.576499999999999</v>
      </c>
      <c r="G293" s="850">
        <v>10</v>
      </c>
      <c r="H293" s="850">
        <v>25</v>
      </c>
      <c r="I293" s="851">
        <v>2.5999999999999999E-2</v>
      </c>
      <c r="J293" s="851">
        <v>0.03</v>
      </c>
      <c r="K293" s="851">
        <v>2.8500000000000001E-2</v>
      </c>
      <c r="L293" s="849">
        <v>4</v>
      </c>
    </row>
    <row r="294" spans="1:12" ht="12" hidden="1" customHeight="1">
      <c r="A294" s="847">
        <v>41234</v>
      </c>
      <c r="B294" s="848" t="s">
        <v>1420</v>
      </c>
      <c r="C294" s="849">
        <v>28</v>
      </c>
      <c r="D294" s="847">
        <v>41262</v>
      </c>
      <c r="E294" s="850">
        <v>35</v>
      </c>
      <c r="F294" s="850">
        <v>21.950406990000001</v>
      </c>
      <c r="G294" s="850">
        <v>10</v>
      </c>
      <c r="H294" s="850">
        <v>24.9999</v>
      </c>
      <c r="I294" s="851">
        <v>2.9499999999999998E-2</v>
      </c>
      <c r="J294" s="851">
        <v>3.1E-2</v>
      </c>
      <c r="K294" s="851">
        <v>3.0700000000000002E-2</v>
      </c>
      <c r="L294" s="849">
        <v>3</v>
      </c>
    </row>
    <row r="295" spans="1:12" ht="12" hidden="1" customHeight="1">
      <c r="A295" s="847">
        <v>41241</v>
      </c>
      <c r="B295" s="848" t="s">
        <v>1421</v>
      </c>
      <c r="C295" s="849">
        <v>28</v>
      </c>
      <c r="D295" s="847">
        <v>41269</v>
      </c>
      <c r="E295" s="850">
        <v>35</v>
      </c>
      <c r="F295" s="850">
        <v>17.17124797</v>
      </c>
      <c r="G295" s="850">
        <v>10</v>
      </c>
      <c r="H295" s="850">
        <v>24.999600000000001</v>
      </c>
      <c r="I295" s="851">
        <v>2.7400000000000001E-2</v>
      </c>
      <c r="J295" s="851">
        <v>3.4200000000000001E-2</v>
      </c>
      <c r="K295" s="851">
        <v>3.1699999999999999E-2</v>
      </c>
      <c r="L295" s="849">
        <v>5</v>
      </c>
    </row>
    <row r="296" spans="1:12" ht="12" hidden="1" customHeight="1">
      <c r="A296" s="847">
        <v>41248</v>
      </c>
      <c r="B296" s="848" t="s">
        <v>1434</v>
      </c>
      <c r="C296" s="849">
        <v>29</v>
      </c>
      <c r="D296" s="847">
        <v>41277</v>
      </c>
      <c r="E296" s="850">
        <v>30</v>
      </c>
      <c r="F296" s="850">
        <v>21.0732</v>
      </c>
      <c r="G296" s="850">
        <v>8</v>
      </c>
      <c r="H296" s="850">
        <v>22</v>
      </c>
      <c r="I296" s="851">
        <v>2.5100000000000001E-2</v>
      </c>
      <c r="J296" s="851">
        <v>2.7400000000000001E-2</v>
      </c>
      <c r="K296" s="851">
        <v>2.5600000000000001E-2</v>
      </c>
      <c r="L296" s="849">
        <v>4</v>
      </c>
    </row>
    <row r="297" spans="1:12" ht="12" hidden="1" customHeight="1">
      <c r="A297" s="847">
        <v>41255</v>
      </c>
      <c r="B297" s="848" t="s">
        <v>1435</v>
      </c>
      <c r="C297" s="849">
        <v>28</v>
      </c>
      <c r="D297" s="847">
        <v>41283</v>
      </c>
      <c r="E297" s="850">
        <v>30</v>
      </c>
      <c r="F297" s="850">
        <v>38.4542</v>
      </c>
      <c r="G297" s="850">
        <v>10</v>
      </c>
      <c r="H297" s="850">
        <v>20</v>
      </c>
      <c r="I297" s="851">
        <v>2.1499999999999998E-2</v>
      </c>
      <c r="J297" s="851">
        <v>2.1999999999999999E-2</v>
      </c>
      <c r="K297" s="851">
        <v>2.1999999999999999E-2</v>
      </c>
      <c r="L297" s="849">
        <v>6</v>
      </c>
    </row>
    <row r="298" spans="1:12" ht="12" hidden="1" customHeight="1">
      <c r="A298" s="847">
        <v>41262</v>
      </c>
      <c r="B298" s="848" t="s">
        <v>1436</v>
      </c>
      <c r="C298" s="849">
        <v>28</v>
      </c>
      <c r="D298" s="847">
        <v>41290</v>
      </c>
      <c r="E298" s="850">
        <v>30</v>
      </c>
      <c r="F298" s="850">
        <v>23.9633</v>
      </c>
      <c r="G298" s="850">
        <v>10</v>
      </c>
      <c r="H298" s="850">
        <v>20</v>
      </c>
      <c r="I298" s="851">
        <v>1.4200000000000001E-2</v>
      </c>
      <c r="J298" s="851">
        <v>1.4200000000000001E-2</v>
      </c>
      <c r="K298" s="851">
        <v>1.4200000000000001E-2</v>
      </c>
      <c r="L298" s="849">
        <v>2</v>
      </c>
    </row>
    <row r="299" spans="1:12" ht="12" hidden="1" customHeight="1">
      <c r="A299" s="847">
        <v>41269</v>
      </c>
      <c r="B299" s="848" t="s">
        <v>1437</v>
      </c>
      <c r="C299" s="849">
        <v>28</v>
      </c>
      <c r="D299" s="847">
        <v>41297</v>
      </c>
      <c r="E299" s="850">
        <v>30</v>
      </c>
      <c r="F299" s="850">
        <v>19.483839669999998</v>
      </c>
      <c r="G299" s="850">
        <v>10</v>
      </c>
      <c r="H299" s="850">
        <v>20</v>
      </c>
      <c r="I299" s="851">
        <v>1.2E-2</v>
      </c>
      <c r="J299" s="851">
        <v>2.6499999999999999E-2</v>
      </c>
      <c r="K299" s="851">
        <v>1.8700000000000001E-2</v>
      </c>
      <c r="L299" s="849">
        <v>5</v>
      </c>
    </row>
    <row r="300" spans="1:12" ht="11.25" hidden="1" customHeight="1">
      <c r="A300" s="847">
        <v>41283</v>
      </c>
      <c r="B300" s="848" t="s">
        <v>1450</v>
      </c>
      <c r="C300" s="849">
        <v>28</v>
      </c>
      <c r="D300" s="847">
        <v>41311</v>
      </c>
      <c r="E300" s="850">
        <v>30</v>
      </c>
      <c r="F300" s="850">
        <v>17.003399999999999</v>
      </c>
      <c r="G300" s="850">
        <v>10</v>
      </c>
      <c r="H300" s="850">
        <v>20</v>
      </c>
      <c r="I300" s="851">
        <v>1.2999999999999999E-2</v>
      </c>
      <c r="J300" s="851">
        <v>2.2200000000000001E-2</v>
      </c>
      <c r="K300" s="851">
        <v>1.7600000000000001E-2</v>
      </c>
      <c r="L300" s="849">
        <v>3</v>
      </c>
    </row>
    <row r="301" spans="1:12" ht="12" hidden="1" customHeight="1">
      <c r="A301" s="847">
        <v>41290</v>
      </c>
      <c r="B301" s="848" t="s">
        <v>1451</v>
      </c>
      <c r="C301" s="849">
        <v>28</v>
      </c>
      <c r="D301" s="847">
        <v>41318</v>
      </c>
      <c r="E301" s="850">
        <v>30</v>
      </c>
      <c r="F301" s="850">
        <v>16.978899999999999</v>
      </c>
      <c r="G301" s="850">
        <v>10</v>
      </c>
      <c r="H301" s="850">
        <v>20</v>
      </c>
      <c r="I301" s="851">
        <v>1.61E-2</v>
      </c>
      <c r="J301" s="851">
        <v>1.9800000000000002E-2</v>
      </c>
      <c r="K301" s="851">
        <v>1.7500000000000002E-2</v>
      </c>
      <c r="L301" s="849">
        <v>2</v>
      </c>
    </row>
    <row r="302" spans="1:12" ht="11.25" hidden="1" customHeight="1">
      <c r="A302" s="847">
        <v>41297</v>
      </c>
      <c r="B302" s="848" t="s">
        <v>1452</v>
      </c>
      <c r="C302" s="849">
        <v>28</v>
      </c>
      <c r="D302" s="847">
        <v>41325</v>
      </c>
      <c r="E302" s="850">
        <v>30</v>
      </c>
      <c r="F302" s="850">
        <v>25.226300000000002</v>
      </c>
      <c r="G302" s="850">
        <v>10</v>
      </c>
      <c r="H302" s="850">
        <v>0</v>
      </c>
      <c r="I302" s="851">
        <v>1.54E-2</v>
      </c>
      <c r="J302" s="851">
        <v>1.95E-2</v>
      </c>
      <c r="K302" s="851">
        <v>1.7600000000000001E-2</v>
      </c>
      <c r="L302" s="849">
        <v>6</v>
      </c>
    </row>
    <row r="303" spans="1:12" ht="12" hidden="1" customHeight="1">
      <c r="A303" s="847">
        <v>41304</v>
      </c>
      <c r="B303" s="848" t="s">
        <v>1453</v>
      </c>
      <c r="C303" s="849">
        <v>28</v>
      </c>
      <c r="D303" s="847">
        <v>41332</v>
      </c>
      <c r="E303" s="850">
        <v>30</v>
      </c>
      <c r="F303" s="850">
        <v>18.002700000000001</v>
      </c>
      <c r="G303" s="850">
        <v>10</v>
      </c>
      <c r="H303" s="850">
        <v>0</v>
      </c>
      <c r="I303" s="851">
        <v>1.46E-2</v>
      </c>
      <c r="J303" s="851">
        <v>1.46E-2</v>
      </c>
      <c r="K303" s="851">
        <v>1.46E-2</v>
      </c>
      <c r="L303" s="849">
        <v>4</v>
      </c>
    </row>
    <row r="304" spans="1:12" ht="12" hidden="1" customHeight="1">
      <c r="A304" s="847">
        <v>41311</v>
      </c>
      <c r="B304" s="848" t="s">
        <v>1454</v>
      </c>
      <c r="C304" s="849">
        <v>28</v>
      </c>
      <c r="D304" s="847">
        <v>41339</v>
      </c>
      <c r="E304" s="850">
        <v>30</v>
      </c>
      <c r="F304" s="850">
        <v>20.979299999999999</v>
      </c>
      <c r="G304" s="850">
        <v>10</v>
      </c>
      <c r="H304" s="850">
        <v>0</v>
      </c>
      <c r="I304" s="851">
        <v>1.2999999999999999E-2</v>
      </c>
      <c r="J304" s="851">
        <v>1.35E-2</v>
      </c>
      <c r="K304" s="851">
        <v>1.32E-2</v>
      </c>
      <c r="L304" s="849">
        <v>3</v>
      </c>
    </row>
    <row r="305" spans="1:12" ht="12" hidden="1" customHeight="1">
      <c r="A305" s="847">
        <v>41318</v>
      </c>
      <c r="B305" s="848" t="s">
        <v>1455</v>
      </c>
      <c r="C305" s="849">
        <v>28</v>
      </c>
      <c r="D305" s="847">
        <v>41346</v>
      </c>
      <c r="E305" s="850">
        <v>30</v>
      </c>
      <c r="F305" s="850">
        <v>23.976611999999999</v>
      </c>
      <c r="G305" s="850">
        <v>10</v>
      </c>
      <c r="H305" s="850">
        <v>0</v>
      </c>
      <c r="I305" s="851">
        <v>1.21E-2</v>
      </c>
      <c r="J305" s="851">
        <v>1.21E-2</v>
      </c>
      <c r="K305" s="851">
        <v>1.21E-2</v>
      </c>
      <c r="L305" s="849">
        <v>2</v>
      </c>
    </row>
    <row r="306" spans="1:12" ht="12" hidden="1" customHeight="1">
      <c r="A306" s="847">
        <v>41325</v>
      </c>
      <c r="B306" s="848" t="s">
        <v>1456</v>
      </c>
      <c r="C306" s="849">
        <v>27</v>
      </c>
      <c r="D306" s="847">
        <v>41352</v>
      </c>
      <c r="E306" s="850">
        <v>30</v>
      </c>
      <c r="F306" s="850">
        <v>29.2182</v>
      </c>
      <c r="G306" s="850">
        <v>10</v>
      </c>
      <c r="H306" s="850">
        <v>0</v>
      </c>
      <c r="I306" s="851">
        <v>1.2E-2</v>
      </c>
      <c r="J306" s="851">
        <v>1.3299999999999999E-2</v>
      </c>
      <c r="K306" s="851">
        <v>1.2E-2</v>
      </c>
      <c r="L306" s="849">
        <v>4</v>
      </c>
    </row>
    <row r="307" spans="1:12" ht="12" hidden="1" customHeight="1">
      <c r="A307" s="847">
        <v>41332</v>
      </c>
      <c r="B307" s="848" t="s">
        <v>1457</v>
      </c>
      <c r="C307" s="849">
        <v>28</v>
      </c>
      <c r="D307" s="847">
        <v>41360</v>
      </c>
      <c r="E307" s="850">
        <v>30</v>
      </c>
      <c r="F307" s="850">
        <v>18.002800000000001</v>
      </c>
      <c r="G307" s="850">
        <v>10</v>
      </c>
      <c r="H307" s="850">
        <v>0</v>
      </c>
      <c r="I307" s="851">
        <v>1.2E-2</v>
      </c>
      <c r="J307" s="851">
        <v>1.3100000000000001E-2</v>
      </c>
      <c r="K307" s="851">
        <v>1.2500000000000001E-2</v>
      </c>
      <c r="L307" s="849">
        <v>3</v>
      </c>
    </row>
    <row r="308" spans="1:12" ht="12" hidden="1" customHeight="1">
      <c r="A308" s="847">
        <v>41339</v>
      </c>
      <c r="B308" s="848" t="s">
        <v>1458</v>
      </c>
      <c r="C308" s="849">
        <v>28</v>
      </c>
      <c r="D308" s="847">
        <v>41367</v>
      </c>
      <c r="E308" s="850">
        <v>30</v>
      </c>
      <c r="F308" s="850">
        <v>25.008500000000002</v>
      </c>
      <c r="G308" s="850">
        <v>10</v>
      </c>
      <c r="H308" s="850">
        <v>0</v>
      </c>
      <c r="I308" s="851">
        <v>1.2E-2</v>
      </c>
      <c r="J308" s="851">
        <v>1.2699999999999999E-2</v>
      </c>
      <c r="K308" s="851">
        <v>1.24E-2</v>
      </c>
      <c r="L308" s="849">
        <v>5</v>
      </c>
    </row>
    <row r="309" spans="1:12" ht="12" hidden="1" customHeight="1">
      <c r="A309" s="847">
        <v>41346</v>
      </c>
      <c r="B309" s="848" t="s">
        <v>1459</v>
      </c>
      <c r="C309" s="849">
        <v>28</v>
      </c>
      <c r="D309" s="847">
        <v>41374</v>
      </c>
      <c r="E309" s="850">
        <v>30</v>
      </c>
      <c r="F309" s="850">
        <v>21.004000000000001</v>
      </c>
      <c r="G309" s="850">
        <v>10</v>
      </c>
      <c r="H309" s="850">
        <v>4.0095000000000001</v>
      </c>
      <c r="I309" s="851">
        <v>1.2E-2</v>
      </c>
      <c r="J309" s="851">
        <v>1.21E-2</v>
      </c>
      <c r="K309" s="851">
        <v>1.21E-2</v>
      </c>
      <c r="L309" s="849">
        <v>3</v>
      </c>
    </row>
    <row r="310" spans="1:12" ht="12" hidden="1" customHeight="1">
      <c r="A310" s="847">
        <v>41352</v>
      </c>
      <c r="B310" s="848" t="s">
        <v>1460</v>
      </c>
      <c r="C310" s="849">
        <v>29</v>
      </c>
      <c r="D310" s="847">
        <v>41381</v>
      </c>
      <c r="E310" s="850">
        <v>30</v>
      </c>
      <c r="F310" s="850">
        <v>27.2164</v>
      </c>
      <c r="G310" s="850">
        <v>10</v>
      </c>
      <c r="H310" s="850">
        <v>0</v>
      </c>
      <c r="I310" s="851">
        <v>1.14E-2</v>
      </c>
      <c r="J310" s="851">
        <v>1.21E-2</v>
      </c>
      <c r="K310" s="851">
        <v>1.18E-2</v>
      </c>
      <c r="L310" s="849">
        <v>6</v>
      </c>
    </row>
    <row r="311" spans="1:12" ht="12" hidden="1" customHeight="1">
      <c r="A311" s="847">
        <v>41360</v>
      </c>
      <c r="B311" s="848" t="s">
        <v>1461</v>
      </c>
      <c r="C311" s="849">
        <v>28</v>
      </c>
      <c r="D311" s="847">
        <v>41388</v>
      </c>
      <c r="E311" s="850">
        <v>30</v>
      </c>
      <c r="F311" s="850">
        <v>10.002800000000001</v>
      </c>
      <c r="G311" s="850">
        <v>10</v>
      </c>
      <c r="H311" s="850">
        <v>0</v>
      </c>
      <c r="I311" s="851">
        <v>1.2E-2</v>
      </c>
      <c r="J311" s="851">
        <v>1.2500000000000001E-2</v>
      </c>
      <c r="K311" s="851">
        <v>1.2200000000000001E-2</v>
      </c>
      <c r="L311" s="849">
        <v>3</v>
      </c>
    </row>
    <row r="312" spans="1:12" ht="12" hidden="1" customHeight="1">
      <c r="A312" s="847">
        <v>41367</v>
      </c>
      <c r="B312" s="848" t="s">
        <v>1462</v>
      </c>
      <c r="C312" s="849">
        <v>28</v>
      </c>
      <c r="D312" s="847">
        <v>41395</v>
      </c>
      <c r="E312" s="850">
        <v>30</v>
      </c>
      <c r="F312" s="850">
        <v>10.506600000000001</v>
      </c>
      <c r="G312" s="850">
        <v>10</v>
      </c>
      <c r="H312" s="850">
        <v>0</v>
      </c>
      <c r="I312" s="851">
        <v>1.2E-2</v>
      </c>
      <c r="J312" s="851">
        <v>1.35E-2</v>
      </c>
      <c r="K312" s="851">
        <v>1.23E-2</v>
      </c>
      <c r="L312" s="849">
        <v>4</v>
      </c>
    </row>
    <row r="313" spans="1:12" ht="12" hidden="1" customHeight="1">
      <c r="A313" s="847">
        <v>41374</v>
      </c>
      <c r="B313" s="848" t="s">
        <v>1463</v>
      </c>
      <c r="C313" s="849">
        <v>28</v>
      </c>
      <c r="D313" s="847">
        <v>41402</v>
      </c>
      <c r="E313" s="850">
        <v>30</v>
      </c>
      <c r="F313" s="850">
        <v>14.5046</v>
      </c>
      <c r="G313" s="850">
        <v>10</v>
      </c>
      <c r="H313" s="850">
        <v>0</v>
      </c>
      <c r="I313" s="851">
        <v>1.0999999999999999E-2</v>
      </c>
      <c r="J313" s="851">
        <v>1.2E-2</v>
      </c>
      <c r="K313" s="851">
        <v>1.12E-2</v>
      </c>
      <c r="L313" s="849">
        <v>3</v>
      </c>
    </row>
    <row r="314" spans="1:12" ht="12" hidden="1" customHeight="1">
      <c r="A314" s="847">
        <v>41381</v>
      </c>
      <c r="B314" s="848" t="s">
        <v>1464</v>
      </c>
      <c r="C314" s="849">
        <v>28</v>
      </c>
      <c r="D314" s="847">
        <v>41409</v>
      </c>
      <c r="E314" s="850">
        <v>30</v>
      </c>
      <c r="F314" s="850">
        <v>8.2124000000000006</v>
      </c>
      <c r="G314" s="850">
        <v>8.2124000000000006</v>
      </c>
      <c r="H314" s="850">
        <v>0</v>
      </c>
      <c r="I314" s="851">
        <v>1.0999999999999999E-2</v>
      </c>
      <c r="J314" s="851">
        <v>1.21E-2</v>
      </c>
      <c r="K314" s="851">
        <v>1.1599999999999999E-2</v>
      </c>
      <c r="L314" s="849">
        <v>4</v>
      </c>
    </row>
    <row r="315" spans="1:12" ht="12" hidden="1" customHeight="1">
      <c r="A315" s="847">
        <v>41388</v>
      </c>
      <c r="B315" s="848" t="s">
        <v>1465</v>
      </c>
      <c r="C315" s="849">
        <v>28</v>
      </c>
      <c r="D315" s="847">
        <v>41416</v>
      </c>
      <c r="E315" s="850">
        <v>30</v>
      </c>
      <c r="F315" s="850">
        <v>5.0027999999999997</v>
      </c>
      <c r="G315" s="850">
        <v>3.9028</v>
      </c>
      <c r="H315" s="850">
        <v>0</v>
      </c>
      <c r="I315" s="851">
        <v>1.2E-2</v>
      </c>
      <c r="J315" s="851">
        <v>1.35E-2</v>
      </c>
      <c r="K315" s="851">
        <v>1.24E-2</v>
      </c>
      <c r="L315" s="849">
        <v>2</v>
      </c>
    </row>
    <row r="316" spans="1:12" ht="12" hidden="1" customHeight="1">
      <c r="A316" s="847">
        <v>41395</v>
      </c>
      <c r="B316" s="848" t="s">
        <v>1484</v>
      </c>
      <c r="C316" s="849">
        <v>28</v>
      </c>
      <c r="D316" s="847">
        <v>41423</v>
      </c>
      <c r="E316" s="850">
        <v>30</v>
      </c>
      <c r="F316" s="850">
        <v>7.5060000000000002</v>
      </c>
      <c r="G316" s="850">
        <v>5</v>
      </c>
      <c r="H316" s="850">
        <v>0</v>
      </c>
      <c r="I316" s="851">
        <v>1.2E-2</v>
      </c>
      <c r="J316" s="851">
        <v>1.2E-2</v>
      </c>
      <c r="K316" s="851">
        <v>1.2E-2</v>
      </c>
      <c r="L316" s="849">
        <v>2</v>
      </c>
    </row>
    <row r="317" spans="1:12" ht="12" hidden="1" customHeight="1">
      <c r="A317" s="847">
        <v>41402</v>
      </c>
      <c r="B317" s="848" t="s">
        <v>1485</v>
      </c>
      <c r="C317" s="849">
        <v>28</v>
      </c>
      <c r="D317" s="847">
        <v>41430</v>
      </c>
      <c r="E317" s="850">
        <v>30</v>
      </c>
      <c r="F317" s="850">
        <v>0</v>
      </c>
      <c r="G317" s="850">
        <v>0</v>
      </c>
      <c r="H317" s="850">
        <v>0</v>
      </c>
      <c r="I317" s="851">
        <v>0</v>
      </c>
      <c r="J317" s="851">
        <v>0</v>
      </c>
      <c r="K317" s="851">
        <v>0</v>
      </c>
      <c r="L317" s="849">
        <v>0</v>
      </c>
    </row>
    <row r="318" spans="1:12" ht="12" hidden="1" customHeight="1">
      <c r="A318" s="847">
        <v>41409</v>
      </c>
      <c r="B318" s="848" t="s">
        <v>1486</v>
      </c>
      <c r="C318" s="849">
        <v>28</v>
      </c>
      <c r="D318" s="847">
        <v>41437</v>
      </c>
      <c r="E318" s="850">
        <v>30</v>
      </c>
      <c r="F318" s="850">
        <v>6.2118000000000002</v>
      </c>
      <c r="G318" s="850">
        <v>5</v>
      </c>
      <c r="H318" s="850">
        <v>0</v>
      </c>
      <c r="I318" s="851">
        <v>1.2E-2</v>
      </c>
      <c r="J318" s="851">
        <v>1.21E-2</v>
      </c>
      <c r="K318" s="851">
        <v>1.2E-2</v>
      </c>
      <c r="L318" s="849">
        <v>4</v>
      </c>
    </row>
    <row r="319" spans="1:12" ht="12" hidden="1" customHeight="1">
      <c r="A319" s="847">
        <v>41416</v>
      </c>
      <c r="B319" s="848" t="s">
        <v>1487</v>
      </c>
      <c r="C319" s="849">
        <v>28</v>
      </c>
      <c r="D319" s="847">
        <v>41444</v>
      </c>
      <c r="E319" s="850">
        <v>30</v>
      </c>
      <c r="F319" s="850">
        <v>3.1027999999999998</v>
      </c>
      <c r="G319" s="850">
        <v>3.0028000000000001</v>
      </c>
      <c r="H319" s="850">
        <v>0</v>
      </c>
      <c r="I319" s="851">
        <v>1.2E-2</v>
      </c>
      <c r="J319" s="851">
        <v>1.2E-2</v>
      </c>
      <c r="K319" s="851">
        <v>1.2E-2</v>
      </c>
      <c r="L319" s="849">
        <v>2</v>
      </c>
    </row>
    <row r="320" spans="1:12" ht="12" hidden="1" customHeight="1">
      <c r="A320" s="847">
        <v>41423</v>
      </c>
      <c r="B320" s="848" t="s">
        <v>1488</v>
      </c>
      <c r="C320" s="849">
        <v>29</v>
      </c>
      <c r="D320" s="847">
        <v>41452</v>
      </c>
      <c r="E320" s="850">
        <v>30</v>
      </c>
      <c r="F320" s="850">
        <v>0</v>
      </c>
      <c r="G320" s="850">
        <v>0</v>
      </c>
      <c r="H320" s="850">
        <v>0</v>
      </c>
      <c r="I320" s="851">
        <v>0</v>
      </c>
      <c r="J320" s="851">
        <v>0</v>
      </c>
      <c r="K320" s="851">
        <v>0</v>
      </c>
      <c r="L320" s="849">
        <v>0</v>
      </c>
    </row>
    <row r="321" spans="1:12" ht="12" hidden="1" customHeight="1">
      <c r="A321" s="847">
        <v>41430</v>
      </c>
      <c r="B321" s="848" t="s">
        <v>1534</v>
      </c>
      <c r="C321" s="849">
        <v>28</v>
      </c>
      <c r="D321" s="847">
        <v>41458</v>
      </c>
      <c r="E321" s="850">
        <v>30</v>
      </c>
      <c r="F321" s="850">
        <v>8.5</v>
      </c>
      <c r="G321" s="850">
        <v>5</v>
      </c>
      <c r="H321" s="850">
        <v>0</v>
      </c>
      <c r="I321" s="851">
        <v>1.2E-2</v>
      </c>
      <c r="J321" s="851">
        <v>1.2E-2</v>
      </c>
      <c r="K321" s="851">
        <v>1.2E-2</v>
      </c>
      <c r="L321" s="849">
        <v>2</v>
      </c>
    </row>
    <row r="322" spans="1:12" ht="12" hidden="1" customHeight="1">
      <c r="A322" s="847">
        <v>41437</v>
      </c>
      <c r="B322" s="848" t="s">
        <v>1535</v>
      </c>
      <c r="C322" s="849">
        <v>28</v>
      </c>
      <c r="D322" s="847">
        <v>41465</v>
      </c>
      <c r="E322" s="850">
        <v>30</v>
      </c>
      <c r="F322" s="850">
        <v>10.203200000000001</v>
      </c>
      <c r="G322" s="850">
        <v>5</v>
      </c>
      <c r="H322" s="850">
        <v>0</v>
      </c>
      <c r="I322" s="851">
        <v>1.2E-2</v>
      </c>
      <c r="J322" s="851">
        <v>1.2E-2</v>
      </c>
      <c r="K322" s="851">
        <v>1.2E-2</v>
      </c>
      <c r="L322" s="849">
        <v>3</v>
      </c>
    </row>
    <row r="323" spans="1:12" ht="12" hidden="1" customHeight="1">
      <c r="A323" s="847">
        <v>41444</v>
      </c>
      <c r="B323" s="848" t="s">
        <v>1536</v>
      </c>
      <c r="C323" s="849">
        <v>28</v>
      </c>
      <c r="D323" s="847">
        <v>41472</v>
      </c>
      <c r="E323" s="850">
        <v>30</v>
      </c>
      <c r="F323" s="850">
        <v>8.0045000000000002</v>
      </c>
      <c r="G323" s="850">
        <v>5</v>
      </c>
      <c r="H323" s="850">
        <v>0</v>
      </c>
      <c r="I323" s="851">
        <v>1.2E-2</v>
      </c>
      <c r="J323" s="851">
        <v>1.2E-2</v>
      </c>
      <c r="K323" s="851">
        <v>1.2E-2</v>
      </c>
      <c r="L323" s="849">
        <v>2</v>
      </c>
    </row>
    <row r="324" spans="1:12" ht="12" hidden="1" customHeight="1">
      <c r="A324" s="847">
        <v>41450</v>
      </c>
      <c r="B324" s="848" t="s">
        <v>1537</v>
      </c>
      <c r="C324" s="849">
        <v>29</v>
      </c>
      <c r="D324" s="847">
        <v>41479</v>
      </c>
      <c r="E324" s="850">
        <v>30</v>
      </c>
      <c r="F324" s="850">
        <v>0</v>
      </c>
      <c r="G324" s="850">
        <v>0</v>
      </c>
      <c r="H324" s="850">
        <v>0</v>
      </c>
      <c r="I324" s="851">
        <v>0</v>
      </c>
      <c r="J324" s="851">
        <v>0</v>
      </c>
      <c r="K324" s="851">
        <v>0</v>
      </c>
      <c r="L324" s="849">
        <v>0</v>
      </c>
    </row>
    <row r="325" spans="1:12" ht="12" hidden="1" customHeight="1">
      <c r="A325" s="847">
        <v>41458</v>
      </c>
      <c r="B325" s="848" t="s">
        <v>1538</v>
      </c>
      <c r="C325" s="849">
        <v>28</v>
      </c>
      <c r="D325" s="847">
        <v>41486</v>
      </c>
      <c r="E325" s="850">
        <v>30</v>
      </c>
      <c r="F325" s="850">
        <v>8.5060000000000002</v>
      </c>
      <c r="G325" s="850">
        <v>5</v>
      </c>
      <c r="H325" s="850">
        <v>0</v>
      </c>
      <c r="I325" s="851">
        <v>1.2E-2</v>
      </c>
      <c r="J325" s="851">
        <v>1.2E-2</v>
      </c>
      <c r="K325" s="851">
        <v>1.2E-2</v>
      </c>
      <c r="L325" s="849">
        <v>3</v>
      </c>
    </row>
    <row r="326" spans="1:12" ht="12" hidden="1" customHeight="1">
      <c r="A326" s="847">
        <v>41465</v>
      </c>
      <c r="B326" s="848" t="s">
        <v>1539</v>
      </c>
      <c r="C326" s="849">
        <v>28</v>
      </c>
      <c r="D326" s="847">
        <v>41493</v>
      </c>
      <c r="E326" s="850">
        <v>30</v>
      </c>
      <c r="F326" s="850">
        <v>6.3009000000000004</v>
      </c>
      <c r="G326" s="850">
        <v>5</v>
      </c>
      <c r="H326" s="850">
        <v>0</v>
      </c>
      <c r="I326" s="851">
        <v>1.2E-2</v>
      </c>
      <c r="J326" s="851">
        <v>1.2E-2</v>
      </c>
      <c r="K326" s="851">
        <v>1.2E-2</v>
      </c>
      <c r="L326" s="849">
        <v>2</v>
      </c>
    </row>
    <row r="327" spans="1:12" ht="12" hidden="1" customHeight="1">
      <c r="A327" s="847">
        <v>41472</v>
      </c>
      <c r="B327" s="848" t="s">
        <v>1540</v>
      </c>
      <c r="C327" s="849">
        <v>28</v>
      </c>
      <c r="D327" s="847">
        <v>41500</v>
      </c>
      <c r="E327" s="850">
        <v>30</v>
      </c>
      <c r="F327" s="850">
        <v>8.004543</v>
      </c>
      <c r="G327" s="850">
        <v>5</v>
      </c>
      <c r="H327" s="850">
        <v>0</v>
      </c>
      <c r="I327" s="851">
        <v>1.2E-2</v>
      </c>
      <c r="J327" s="851">
        <v>1.2E-2</v>
      </c>
      <c r="K327" s="851">
        <v>1.2E-2</v>
      </c>
      <c r="L327" s="849">
        <v>2</v>
      </c>
    </row>
    <row r="328" spans="1:12" ht="12" hidden="1" customHeight="1">
      <c r="A328" s="847">
        <v>41479</v>
      </c>
      <c r="B328" s="848" t="s">
        <v>1541</v>
      </c>
      <c r="C328" s="849">
        <v>28</v>
      </c>
      <c r="D328" s="847">
        <v>41507</v>
      </c>
      <c r="E328" s="850">
        <v>30</v>
      </c>
      <c r="F328" s="850">
        <v>0</v>
      </c>
      <c r="G328" s="850">
        <v>0</v>
      </c>
      <c r="H328" s="850">
        <v>0</v>
      </c>
      <c r="I328" s="851">
        <v>0</v>
      </c>
      <c r="J328" s="851">
        <v>0</v>
      </c>
      <c r="K328" s="851">
        <v>0</v>
      </c>
      <c r="L328" s="849">
        <v>0</v>
      </c>
    </row>
    <row r="329" spans="1:12" ht="12" hidden="1" customHeight="1">
      <c r="A329" s="847">
        <v>41486</v>
      </c>
      <c r="B329" s="848" t="s">
        <v>1542</v>
      </c>
      <c r="C329" s="849">
        <v>28</v>
      </c>
      <c r="D329" s="847">
        <v>41514</v>
      </c>
      <c r="E329" s="850">
        <v>30</v>
      </c>
      <c r="F329" s="850">
        <v>7.9929800000000002</v>
      </c>
      <c r="G329" s="850">
        <v>5</v>
      </c>
      <c r="H329" s="850">
        <v>0</v>
      </c>
      <c r="I329" s="851">
        <v>1.2E-2</v>
      </c>
      <c r="J329" s="851">
        <v>1.2E-2</v>
      </c>
      <c r="K329" s="851">
        <v>1.2E-2</v>
      </c>
      <c r="L329" s="849">
        <v>2</v>
      </c>
    </row>
    <row r="330" spans="1:12" ht="12" hidden="1" customHeight="1">
      <c r="A330" s="847">
        <v>41493</v>
      </c>
      <c r="B330" s="848" t="s">
        <v>1547</v>
      </c>
      <c r="C330" s="849">
        <v>28</v>
      </c>
      <c r="D330" s="847">
        <v>41521</v>
      </c>
      <c r="E330" s="850">
        <v>30</v>
      </c>
      <c r="F330" s="850">
        <v>12.007199999999999</v>
      </c>
      <c r="G330" s="850">
        <v>5</v>
      </c>
      <c r="H330" s="850">
        <v>0</v>
      </c>
      <c r="I330" s="851">
        <v>1.15E-2</v>
      </c>
      <c r="J330" s="851">
        <v>1.2E-2</v>
      </c>
      <c r="K330" s="851">
        <v>1.1599999999999999E-2</v>
      </c>
      <c r="L330" s="849">
        <v>3</v>
      </c>
    </row>
    <row r="331" spans="1:12" ht="12" hidden="1" customHeight="1">
      <c r="A331" s="847">
        <v>41500</v>
      </c>
      <c r="B331" s="848" t="s">
        <v>1548</v>
      </c>
      <c r="C331" s="849">
        <v>28</v>
      </c>
      <c r="D331" s="847">
        <v>41528</v>
      </c>
      <c r="E331" s="850">
        <v>30</v>
      </c>
      <c r="F331" s="850">
        <v>10.0052</v>
      </c>
      <c r="G331" s="850">
        <v>5</v>
      </c>
      <c r="H331" s="850">
        <v>0</v>
      </c>
      <c r="I331" s="851">
        <v>1.15E-2</v>
      </c>
      <c r="J331" s="851">
        <v>1.18E-2</v>
      </c>
      <c r="K331" s="851">
        <v>1.15E-2</v>
      </c>
      <c r="L331" s="849">
        <v>2</v>
      </c>
    </row>
    <row r="332" spans="1:12" ht="12" hidden="1" customHeight="1">
      <c r="A332" s="847">
        <v>41507</v>
      </c>
      <c r="B332" s="848" t="s">
        <v>1549</v>
      </c>
      <c r="C332" s="849">
        <v>28</v>
      </c>
      <c r="D332" s="847">
        <v>41535</v>
      </c>
      <c r="E332" s="850">
        <v>30</v>
      </c>
      <c r="F332" s="850">
        <v>8.0054999999999996</v>
      </c>
      <c r="G332" s="850">
        <v>5</v>
      </c>
      <c r="H332" s="850">
        <v>0</v>
      </c>
      <c r="I332" s="851">
        <v>1.1299999999999999E-2</v>
      </c>
      <c r="J332" s="851">
        <v>1.15E-2</v>
      </c>
      <c r="K332" s="851">
        <v>1.14E-2</v>
      </c>
      <c r="L332" s="849">
        <v>2</v>
      </c>
    </row>
    <row r="333" spans="1:12" ht="12" hidden="1" customHeight="1">
      <c r="A333" s="847">
        <v>41514</v>
      </c>
      <c r="B333" s="848" t="s">
        <v>1550</v>
      </c>
      <c r="C333" s="849">
        <v>28</v>
      </c>
      <c r="D333" s="847">
        <v>41542</v>
      </c>
      <c r="E333" s="850">
        <v>30</v>
      </c>
      <c r="F333" s="850">
        <v>11.006399999999999</v>
      </c>
      <c r="G333" s="850">
        <v>5</v>
      </c>
      <c r="H333" s="850">
        <v>0</v>
      </c>
      <c r="I333" s="851">
        <v>1.1299999999999999E-2</v>
      </c>
      <c r="J333" s="851">
        <v>1.15E-2</v>
      </c>
      <c r="K333" s="851">
        <v>1.15E-2</v>
      </c>
      <c r="L333" s="849">
        <v>2</v>
      </c>
    </row>
    <row r="334" spans="1:12" ht="12" hidden="1" customHeight="1">
      <c r="A334" s="847">
        <v>41521</v>
      </c>
      <c r="B334" s="848" t="s">
        <v>1566</v>
      </c>
      <c r="C334" s="849">
        <v>28</v>
      </c>
      <c r="D334" s="847">
        <v>41549</v>
      </c>
      <c r="E334" s="850">
        <v>30</v>
      </c>
      <c r="F334" s="850">
        <v>0</v>
      </c>
      <c r="G334" s="850">
        <v>0</v>
      </c>
      <c r="H334" s="850">
        <v>0</v>
      </c>
      <c r="I334" s="851">
        <v>0</v>
      </c>
      <c r="J334" s="851">
        <v>0</v>
      </c>
      <c r="K334" s="851">
        <v>0</v>
      </c>
      <c r="L334" s="849">
        <v>0</v>
      </c>
    </row>
    <row r="335" spans="1:12" ht="12" hidden="1" customHeight="1">
      <c r="A335" s="847">
        <v>41528</v>
      </c>
      <c r="B335" s="848" t="s">
        <v>1567</v>
      </c>
      <c r="C335" s="849">
        <v>28</v>
      </c>
      <c r="D335" s="847">
        <v>41556</v>
      </c>
      <c r="E335" s="850">
        <v>30</v>
      </c>
      <c r="F335" s="850">
        <v>7.9930000000000003</v>
      </c>
      <c r="G335" s="850">
        <v>5</v>
      </c>
      <c r="H335" s="850">
        <v>0</v>
      </c>
      <c r="I335" s="851">
        <v>1.0999999999999999E-2</v>
      </c>
      <c r="J335" s="851">
        <v>1.15E-2</v>
      </c>
      <c r="K335" s="851">
        <v>1.11E-2</v>
      </c>
      <c r="L335" s="849">
        <v>2</v>
      </c>
    </row>
    <row r="336" spans="1:12" ht="12" hidden="1" customHeight="1">
      <c r="A336" s="847">
        <v>41535</v>
      </c>
      <c r="B336" s="848" t="s">
        <v>1568</v>
      </c>
      <c r="C336" s="849">
        <v>28</v>
      </c>
      <c r="D336" s="847">
        <v>41563</v>
      </c>
      <c r="E336" s="850">
        <v>30</v>
      </c>
      <c r="F336" s="850">
        <v>13.0016</v>
      </c>
      <c r="G336" s="850">
        <v>5</v>
      </c>
      <c r="H336" s="850">
        <v>0</v>
      </c>
      <c r="I336" s="851">
        <v>1.1299999999999999E-2</v>
      </c>
      <c r="J336" s="851">
        <v>1.1299999999999999E-2</v>
      </c>
      <c r="K336" s="851">
        <v>1.1299999999999999E-2</v>
      </c>
      <c r="L336" s="849">
        <v>2</v>
      </c>
    </row>
    <row r="337" spans="1:12" ht="12" hidden="1" customHeight="1">
      <c r="A337" s="847">
        <v>41542</v>
      </c>
      <c r="B337" s="848" t="s">
        <v>1569</v>
      </c>
      <c r="C337" s="849">
        <v>28</v>
      </c>
      <c r="D337" s="847">
        <v>41570</v>
      </c>
      <c r="E337" s="850">
        <v>30</v>
      </c>
      <c r="F337" s="850">
        <v>15.003500000000001</v>
      </c>
      <c r="G337" s="850">
        <v>5</v>
      </c>
      <c r="H337" s="850">
        <v>0</v>
      </c>
      <c r="I337" s="851">
        <v>1.1299999999999999E-2</v>
      </c>
      <c r="J337" s="851">
        <v>1.1299999999999999E-2</v>
      </c>
      <c r="K337" s="851">
        <v>1.1299999999999999E-2</v>
      </c>
      <c r="L337" s="849">
        <v>2</v>
      </c>
    </row>
    <row r="338" spans="1:12" ht="12" hidden="1" customHeight="1">
      <c r="A338" s="847">
        <v>41549</v>
      </c>
      <c r="B338" s="848" t="s">
        <v>1582</v>
      </c>
      <c r="C338" s="849">
        <v>28</v>
      </c>
      <c r="D338" s="847">
        <v>41577</v>
      </c>
      <c r="E338" s="850">
        <v>30</v>
      </c>
      <c r="F338" s="850">
        <v>10.001799999999999</v>
      </c>
      <c r="G338" s="850">
        <v>5</v>
      </c>
      <c r="H338" s="850">
        <v>0</v>
      </c>
      <c r="I338" s="851">
        <v>1.1299999999999999E-2</v>
      </c>
      <c r="J338" s="851">
        <v>1.1299999999999999E-2</v>
      </c>
      <c r="K338" s="851">
        <v>1.1299999999999999E-2</v>
      </c>
      <c r="L338" s="849">
        <v>2</v>
      </c>
    </row>
    <row r="339" spans="1:12" ht="12" hidden="1" customHeight="1">
      <c r="A339" s="847">
        <v>41557</v>
      </c>
      <c r="B339" s="848" t="s">
        <v>1583</v>
      </c>
      <c r="C339" s="849">
        <v>27</v>
      </c>
      <c r="D339" s="847">
        <v>41584</v>
      </c>
      <c r="E339" s="850">
        <v>30</v>
      </c>
      <c r="F339" s="850">
        <v>15.005800000000001</v>
      </c>
      <c r="G339" s="850">
        <v>5</v>
      </c>
      <c r="H339" s="850">
        <v>0</v>
      </c>
      <c r="I339" s="851">
        <v>1.17E-2</v>
      </c>
      <c r="J339" s="851">
        <v>1.17E-2</v>
      </c>
      <c r="K339" s="851">
        <v>1.17E-2</v>
      </c>
      <c r="L339" s="849">
        <v>3</v>
      </c>
    </row>
    <row r="340" spans="1:12" ht="12" hidden="1" customHeight="1">
      <c r="A340" s="847">
        <v>41564</v>
      </c>
      <c r="B340" s="848" t="s">
        <v>1584</v>
      </c>
      <c r="C340" s="849">
        <v>27</v>
      </c>
      <c r="D340" s="847">
        <v>41591</v>
      </c>
      <c r="E340" s="850">
        <v>30</v>
      </c>
      <c r="F340" s="850">
        <v>10.001799999999999</v>
      </c>
      <c r="G340" s="850">
        <v>5</v>
      </c>
      <c r="H340" s="850">
        <v>0</v>
      </c>
      <c r="I340" s="851">
        <v>1.1599999999999999E-2</v>
      </c>
      <c r="J340" s="851">
        <v>1.1599999999999999E-2</v>
      </c>
      <c r="K340" s="851">
        <v>1.1599999999999999E-2</v>
      </c>
      <c r="L340" s="849">
        <v>2</v>
      </c>
    </row>
    <row r="341" spans="1:12" ht="12" hidden="1" customHeight="1">
      <c r="A341" s="847">
        <v>41570</v>
      </c>
      <c r="B341" s="848" t="s">
        <v>1585</v>
      </c>
      <c r="C341" s="849">
        <v>28</v>
      </c>
      <c r="D341" s="847">
        <v>41598</v>
      </c>
      <c r="E341" s="850">
        <v>30</v>
      </c>
      <c r="F341" s="850">
        <v>10.001799999999999</v>
      </c>
      <c r="G341" s="850">
        <v>5</v>
      </c>
      <c r="H341" s="850">
        <v>0</v>
      </c>
      <c r="I341" s="851">
        <v>1.1299999999999999E-2</v>
      </c>
      <c r="J341" s="851">
        <v>1.1299999999999999E-2</v>
      </c>
      <c r="K341" s="851">
        <v>1.1299999999999999E-2</v>
      </c>
      <c r="L341" s="849">
        <v>2</v>
      </c>
    </row>
    <row r="342" spans="1:12" ht="12" hidden="1" customHeight="1">
      <c r="A342" s="847">
        <v>41577</v>
      </c>
      <c r="B342" s="848" t="s">
        <v>1586</v>
      </c>
      <c r="C342" s="849">
        <v>28</v>
      </c>
      <c r="D342" s="847">
        <v>41605</v>
      </c>
      <c r="E342" s="850">
        <v>30</v>
      </c>
      <c r="F342" s="850">
        <v>10.0022</v>
      </c>
      <c r="G342" s="850">
        <v>5</v>
      </c>
      <c r="H342" s="850">
        <v>0</v>
      </c>
      <c r="I342" s="851">
        <v>1.09E-2</v>
      </c>
      <c r="J342" s="851">
        <v>1.09E-2</v>
      </c>
      <c r="K342" s="851">
        <v>1.09E-2</v>
      </c>
      <c r="L342" s="849">
        <v>2</v>
      </c>
    </row>
    <row r="343" spans="1:12" ht="12" hidden="1" customHeight="1">
      <c r="A343" s="847">
        <v>41584</v>
      </c>
      <c r="B343" s="848" t="s">
        <v>1641</v>
      </c>
      <c r="C343" s="849">
        <v>28</v>
      </c>
      <c r="D343" s="847">
        <v>41612</v>
      </c>
      <c r="E343" s="850">
        <v>30</v>
      </c>
      <c r="F343" s="850">
        <v>10.2987</v>
      </c>
      <c r="G343" s="850">
        <v>5</v>
      </c>
      <c r="H343" s="850">
        <v>0</v>
      </c>
      <c r="I343" s="851">
        <v>1.0999999999999999E-2</v>
      </c>
      <c r="J343" s="851">
        <v>1.0999999999999999E-2</v>
      </c>
      <c r="K343" s="851">
        <v>1.0999999999999999E-2</v>
      </c>
      <c r="L343" s="849">
        <v>2</v>
      </c>
    </row>
    <row r="344" spans="1:12" ht="12" hidden="1" customHeight="1">
      <c r="A344" s="847">
        <v>41591</v>
      </c>
      <c r="B344" s="848" t="s">
        <v>1642</v>
      </c>
      <c r="C344" s="849">
        <v>28</v>
      </c>
      <c r="D344" s="847">
        <v>41619</v>
      </c>
      <c r="E344" s="850">
        <v>30</v>
      </c>
      <c r="F344" s="850">
        <v>10.0017</v>
      </c>
      <c r="G344" s="850">
        <v>5</v>
      </c>
      <c r="H344" s="850">
        <v>0</v>
      </c>
      <c r="I344" s="851">
        <v>1.09E-2</v>
      </c>
      <c r="J344" s="851">
        <v>1.09E-2</v>
      </c>
      <c r="K344" s="851">
        <v>1.09E-2</v>
      </c>
      <c r="L344" s="849">
        <v>2</v>
      </c>
    </row>
    <row r="345" spans="1:12" ht="12" hidden="1" customHeight="1">
      <c r="A345" s="847">
        <v>41598</v>
      </c>
      <c r="B345" s="848" t="s">
        <v>1643</v>
      </c>
      <c r="C345" s="849">
        <v>28</v>
      </c>
      <c r="D345" s="847">
        <v>41626</v>
      </c>
      <c r="E345" s="850">
        <v>30</v>
      </c>
      <c r="F345" s="850">
        <v>10.0021</v>
      </c>
      <c r="G345" s="850">
        <v>5</v>
      </c>
      <c r="H345" s="850">
        <v>0</v>
      </c>
      <c r="I345" s="851">
        <v>1.09E-2</v>
      </c>
      <c r="J345" s="851">
        <v>1.09E-2</v>
      </c>
      <c r="K345" s="851">
        <v>1.09E-2</v>
      </c>
      <c r="L345" s="849">
        <v>2</v>
      </c>
    </row>
    <row r="346" spans="1:12" ht="12" hidden="1" customHeight="1">
      <c r="A346" s="847">
        <v>41605</v>
      </c>
      <c r="B346" s="848" t="s">
        <v>1644</v>
      </c>
      <c r="C346" s="849">
        <v>28</v>
      </c>
      <c r="D346" s="847">
        <v>41633</v>
      </c>
      <c r="E346" s="850">
        <v>30</v>
      </c>
      <c r="F346" s="850">
        <v>10.0017</v>
      </c>
      <c r="G346" s="850">
        <v>5</v>
      </c>
      <c r="H346" s="850">
        <v>0</v>
      </c>
      <c r="I346" s="851">
        <v>1.0800000000000001E-2</v>
      </c>
      <c r="J346" s="851">
        <v>1.0800000000000001E-2</v>
      </c>
      <c r="K346" s="851">
        <v>1.0800000000000001E-2</v>
      </c>
      <c r="L346" s="849">
        <v>2</v>
      </c>
    </row>
    <row r="347" spans="1:12" ht="12" hidden="1" customHeight="1">
      <c r="A347" s="847">
        <v>41612</v>
      </c>
      <c r="B347" s="848" t="s">
        <v>1656</v>
      </c>
      <c r="C347" s="849">
        <v>30</v>
      </c>
      <c r="D347" s="847">
        <v>41642</v>
      </c>
      <c r="E347" s="850">
        <v>30</v>
      </c>
      <c r="F347" s="850">
        <v>10.001899999999999</v>
      </c>
      <c r="G347" s="850">
        <v>5</v>
      </c>
      <c r="H347" s="850">
        <v>0</v>
      </c>
      <c r="I347" s="851">
        <v>0.01</v>
      </c>
      <c r="J347" s="851">
        <v>0.01</v>
      </c>
      <c r="K347" s="851">
        <v>0.01</v>
      </c>
      <c r="L347" s="849">
        <v>2</v>
      </c>
    </row>
    <row r="348" spans="1:12" ht="12" hidden="1" customHeight="1">
      <c r="A348" s="847">
        <v>41619</v>
      </c>
      <c r="B348" s="848" t="s">
        <v>1657</v>
      </c>
      <c r="C348" s="849">
        <v>28</v>
      </c>
      <c r="D348" s="847">
        <v>41647</v>
      </c>
      <c r="E348" s="850">
        <v>30</v>
      </c>
      <c r="F348" s="850">
        <v>10.0016</v>
      </c>
      <c r="G348" s="850">
        <v>5</v>
      </c>
      <c r="H348" s="850">
        <v>0</v>
      </c>
      <c r="I348" s="851">
        <v>1.0699999999999999E-2</v>
      </c>
      <c r="J348" s="851">
        <v>1.0699999999999999E-2</v>
      </c>
      <c r="K348" s="851">
        <v>1.0699999999999999E-2</v>
      </c>
      <c r="L348" s="849">
        <v>2</v>
      </c>
    </row>
    <row r="349" spans="1:12" ht="12" hidden="1" customHeight="1">
      <c r="A349" s="847">
        <v>41626</v>
      </c>
      <c r="B349" s="848" t="s">
        <v>1658</v>
      </c>
      <c r="C349" s="849">
        <v>28</v>
      </c>
      <c r="D349" s="847">
        <v>41654</v>
      </c>
      <c r="E349" s="850">
        <v>30</v>
      </c>
      <c r="F349" s="850">
        <v>10.0016</v>
      </c>
      <c r="G349" s="850">
        <v>5</v>
      </c>
      <c r="H349" s="850">
        <v>0</v>
      </c>
      <c r="I349" s="851">
        <v>1.0699999999999999E-2</v>
      </c>
      <c r="J349" s="851">
        <v>1.0699999999999999E-2</v>
      </c>
      <c r="K349" s="851">
        <v>1.0699999999999999E-2</v>
      </c>
      <c r="L349" s="849">
        <v>2</v>
      </c>
    </row>
    <row r="350" spans="1:12" ht="12" hidden="1" customHeight="1">
      <c r="A350" s="847">
        <v>41633</v>
      </c>
      <c r="B350" s="848" t="s">
        <v>1659</v>
      </c>
      <c r="C350" s="849">
        <v>28</v>
      </c>
      <c r="D350" s="847">
        <v>41661</v>
      </c>
      <c r="E350" s="850">
        <v>30</v>
      </c>
      <c r="F350" s="850">
        <v>7.0033000000000003</v>
      </c>
      <c r="G350" s="850">
        <v>5</v>
      </c>
      <c r="H350" s="850">
        <v>0</v>
      </c>
      <c r="I350" s="851">
        <v>1.0500000000000001E-2</v>
      </c>
      <c r="J350" s="851">
        <v>1.0699999999999999E-2</v>
      </c>
      <c r="K350" s="851">
        <v>1.06E-2</v>
      </c>
      <c r="L350" s="849">
        <v>2</v>
      </c>
    </row>
    <row r="351" spans="1:12" ht="12" hidden="1" customHeight="1">
      <c r="A351" s="847">
        <v>41647</v>
      </c>
      <c r="B351" s="848" t="s">
        <v>1662</v>
      </c>
      <c r="C351" s="849">
        <v>28</v>
      </c>
      <c r="D351" s="847">
        <v>41675</v>
      </c>
      <c r="E351" s="850">
        <v>30</v>
      </c>
      <c r="F351" s="850">
        <v>10.002000000000001</v>
      </c>
      <c r="G351" s="850">
        <v>5</v>
      </c>
      <c r="H351" s="850">
        <v>0</v>
      </c>
      <c r="I351" s="851">
        <v>1.0699999999999999E-2</v>
      </c>
      <c r="J351" s="851">
        <v>1.0699999999999999E-2</v>
      </c>
      <c r="K351" s="851">
        <v>1.0699999999999999E-2</v>
      </c>
      <c r="L351" s="849">
        <v>2</v>
      </c>
    </row>
    <row r="352" spans="1:12" ht="12" hidden="1" customHeight="1">
      <c r="A352" s="847">
        <v>41654</v>
      </c>
      <c r="B352" s="848" t="s">
        <v>1663</v>
      </c>
      <c r="C352" s="849">
        <v>28</v>
      </c>
      <c r="D352" s="847">
        <v>41682</v>
      </c>
      <c r="E352" s="850">
        <v>30</v>
      </c>
      <c r="F352" s="850">
        <v>10.0016</v>
      </c>
      <c r="G352" s="850">
        <v>5</v>
      </c>
      <c r="H352" s="850">
        <v>0</v>
      </c>
      <c r="I352" s="851">
        <v>1.0699999999999999E-2</v>
      </c>
      <c r="J352" s="851">
        <v>1.0699999999999999E-2</v>
      </c>
      <c r="K352" s="851">
        <v>1.0699999999999999E-2</v>
      </c>
      <c r="L352" s="849">
        <v>2</v>
      </c>
    </row>
    <row r="353" spans="1:12" ht="12" hidden="1" customHeight="1">
      <c r="A353" s="847">
        <v>41661</v>
      </c>
      <c r="B353" s="848" t="s">
        <v>1664</v>
      </c>
      <c r="C353" s="849">
        <v>28</v>
      </c>
      <c r="D353" s="847">
        <v>41689</v>
      </c>
      <c r="E353" s="850">
        <v>30</v>
      </c>
      <c r="F353" s="850">
        <v>9.0039999999999996</v>
      </c>
      <c r="G353" s="850">
        <v>8</v>
      </c>
      <c r="H353" s="850">
        <v>0</v>
      </c>
      <c r="I353" s="851">
        <v>1.0500000000000001E-2</v>
      </c>
      <c r="J353" s="851">
        <v>1.0699999999999999E-2</v>
      </c>
      <c r="K353" s="851">
        <v>1.06E-2</v>
      </c>
      <c r="L353" s="849">
        <v>3</v>
      </c>
    </row>
    <row r="354" spans="1:12" ht="12" hidden="1" customHeight="1">
      <c r="A354" s="847">
        <v>41668</v>
      </c>
      <c r="B354" s="848" t="s">
        <v>1665</v>
      </c>
      <c r="C354" s="849">
        <v>28</v>
      </c>
      <c r="D354" s="847">
        <v>41696</v>
      </c>
      <c r="E354" s="850">
        <v>30</v>
      </c>
      <c r="F354" s="850">
        <v>7.0030999999999999</v>
      </c>
      <c r="G354" s="850">
        <v>7.0030999999999999</v>
      </c>
      <c r="H354" s="850">
        <v>0</v>
      </c>
      <c r="I354" s="851">
        <v>1.06E-2</v>
      </c>
      <c r="J354" s="851">
        <v>1.0699999999999999E-2</v>
      </c>
      <c r="K354" s="851">
        <v>1.0699999999999999E-2</v>
      </c>
      <c r="L354" s="849">
        <v>2</v>
      </c>
    </row>
    <row r="355" spans="1:12" ht="12" hidden="1" customHeight="1">
      <c r="A355" s="847">
        <v>41675</v>
      </c>
      <c r="B355" s="848" t="s">
        <v>1666</v>
      </c>
      <c r="C355" s="849">
        <v>28</v>
      </c>
      <c r="D355" s="847">
        <v>41703</v>
      </c>
      <c r="E355" s="850">
        <v>30</v>
      </c>
      <c r="F355" s="850">
        <v>7.0030999999999999</v>
      </c>
      <c r="G355" s="850">
        <v>5</v>
      </c>
      <c r="H355" s="850">
        <v>0</v>
      </c>
      <c r="I355" s="851">
        <v>1.06E-2</v>
      </c>
      <c r="J355" s="851">
        <v>1.0699999999999999E-2</v>
      </c>
      <c r="K355" s="851">
        <v>1.0699999999999999E-2</v>
      </c>
      <c r="L355" s="849">
        <v>2</v>
      </c>
    </row>
    <row r="356" spans="1:12" ht="12" hidden="1" customHeight="1">
      <c r="A356" s="847">
        <v>41682</v>
      </c>
      <c r="B356" s="848" t="s">
        <v>1667</v>
      </c>
      <c r="C356" s="849">
        <v>28</v>
      </c>
      <c r="D356" s="847">
        <v>41710</v>
      </c>
      <c r="E356" s="850">
        <v>30</v>
      </c>
      <c r="F356" s="850">
        <v>12.007199999999999</v>
      </c>
      <c r="G356" s="850">
        <v>5</v>
      </c>
      <c r="H356" s="850">
        <v>0</v>
      </c>
      <c r="I356" s="851">
        <v>0.01</v>
      </c>
      <c r="J356" s="851">
        <v>1.04E-2</v>
      </c>
      <c r="K356" s="851">
        <v>4.0399299999997022E-3</v>
      </c>
      <c r="L356" s="849">
        <v>2</v>
      </c>
    </row>
    <row r="357" spans="1:12" ht="12" hidden="1" customHeight="1">
      <c r="A357" s="847">
        <v>41689</v>
      </c>
      <c r="B357" s="848" t="s">
        <v>1668</v>
      </c>
      <c r="C357" s="849">
        <v>28</v>
      </c>
      <c r="D357" s="847">
        <v>41717</v>
      </c>
      <c r="E357" s="850">
        <v>30</v>
      </c>
      <c r="F357" s="850">
        <v>25.009699999999999</v>
      </c>
      <c r="G357" s="850">
        <v>5</v>
      </c>
      <c r="H357" s="850">
        <v>4.9992999999999999</v>
      </c>
      <c r="I357" s="851">
        <v>0.01</v>
      </c>
      <c r="J357" s="851">
        <v>0.01</v>
      </c>
      <c r="K357" s="851">
        <v>0.01</v>
      </c>
      <c r="L357" s="849">
        <v>3</v>
      </c>
    </row>
    <row r="358" spans="1:12" ht="12" hidden="1" customHeight="1">
      <c r="A358" s="847">
        <v>41696</v>
      </c>
      <c r="B358" s="848" t="s">
        <v>1669</v>
      </c>
      <c r="C358" s="849">
        <v>29</v>
      </c>
      <c r="D358" s="847">
        <v>41725</v>
      </c>
      <c r="E358" s="850">
        <v>30</v>
      </c>
      <c r="F358" s="850">
        <v>14.010400000000001</v>
      </c>
      <c r="G358" s="850">
        <v>5</v>
      </c>
      <c r="H358" s="850">
        <v>5.0049999999999999</v>
      </c>
      <c r="I358" s="851">
        <v>0.01</v>
      </c>
      <c r="J358" s="851">
        <v>0.01</v>
      </c>
      <c r="K358" s="851">
        <v>0.01</v>
      </c>
      <c r="L358" s="849">
        <v>3</v>
      </c>
    </row>
    <row r="359" spans="1:12" ht="12" hidden="1" customHeight="1">
      <c r="A359" s="847">
        <v>41703</v>
      </c>
      <c r="B359" s="848" t="s">
        <v>1671</v>
      </c>
      <c r="C359" s="849">
        <v>28</v>
      </c>
      <c r="D359" s="847">
        <v>41731</v>
      </c>
      <c r="E359" s="850">
        <v>30</v>
      </c>
      <c r="F359" s="850">
        <v>0</v>
      </c>
      <c r="G359" s="850">
        <v>0</v>
      </c>
      <c r="H359" s="850">
        <v>0</v>
      </c>
      <c r="I359" s="851">
        <v>0</v>
      </c>
      <c r="J359" s="851">
        <v>0</v>
      </c>
      <c r="K359" s="851">
        <v>0</v>
      </c>
      <c r="L359" s="849">
        <v>0</v>
      </c>
    </row>
    <row r="360" spans="1:12" ht="12" hidden="1" customHeight="1">
      <c r="A360" s="847">
        <v>41710</v>
      </c>
      <c r="B360" s="848" t="s">
        <v>1672</v>
      </c>
      <c r="C360" s="849">
        <v>28</v>
      </c>
      <c r="D360" s="847">
        <v>41738</v>
      </c>
      <c r="E360" s="850">
        <v>30</v>
      </c>
      <c r="F360" s="850">
        <v>12.506500000000001</v>
      </c>
      <c r="G360" s="850">
        <v>5</v>
      </c>
      <c r="H360" s="850">
        <v>25</v>
      </c>
      <c r="I360" s="851">
        <v>0.01</v>
      </c>
      <c r="J360" s="851">
        <v>0.01</v>
      </c>
      <c r="K360" s="851">
        <v>0.01</v>
      </c>
      <c r="L360" s="849">
        <v>3</v>
      </c>
    </row>
    <row r="361" spans="1:12" ht="12" hidden="1" customHeight="1">
      <c r="A361" s="847">
        <v>41717</v>
      </c>
      <c r="B361" s="848" t="s">
        <v>1673</v>
      </c>
      <c r="C361" s="849">
        <v>28</v>
      </c>
      <c r="D361" s="847">
        <v>41745</v>
      </c>
      <c r="E361" s="850">
        <v>30</v>
      </c>
      <c r="F361" s="850">
        <v>10.7019</v>
      </c>
      <c r="G361" s="850">
        <v>5</v>
      </c>
      <c r="H361" s="850">
        <v>25</v>
      </c>
      <c r="I361" s="851">
        <v>0.01</v>
      </c>
      <c r="J361" s="851">
        <v>0.01</v>
      </c>
      <c r="K361" s="851">
        <v>0.01</v>
      </c>
      <c r="L361" s="849">
        <v>3</v>
      </c>
    </row>
    <row r="362" spans="1:12" ht="12" hidden="1" customHeight="1">
      <c r="A362" s="847">
        <v>41725</v>
      </c>
      <c r="B362" s="848" t="s">
        <v>1674</v>
      </c>
      <c r="C362" s="849">
        <v>27</v>
      </c>
      <c r="D362" s="847">
        <v>41752</v>
      </c>
      <c r="E362" s="850">
        <v>30</v>
      </c>
      <c r="F362" s="850">
        <v>10.0017</v>
      </c>
      <c r="G362" s="850">
        <v>5</v>
      </c>
      <c r="H362" s="850">
        <v>25</v>
      </c>
      <c r="I362" s="851">
        <v>0.01</v>
      </c>
      <c r="J362" s="851">
        <v>0.01</v>
      </c>
      <c r="K362" s="851">
        <v>0.01</v>
      </c>
      <c r="L362" s="849">
        <v>3</v>
      </c>
    </row>
    <row r="363" spans="1:12" ht="12" hidden="1" customHeight="1">
      <c r="A363" s="847">
        <v>41731</v>
      </c>
      <c r="B363" s="848" t="s">
        <v>1675</v>
      </c>
      <c r="C363" s="849">
        <v>28</v>
      </c>
      <c r="D363" s="847">
        <v>41759</v>
      </c>
      <c r="E363" s="850">
        <v>30</v>
      </c>
      <c r="F363" s="850">
        <v>8.0013000000000005</v>
      </c>
      <c r="G363" s="850">
        <v>5</v>
      </c>
      <c r="H363" s="850">
        <v>25</v>
      </c>
      <c r="I363" s="851">
        <v>0.01</v>
      </c>
      <c r="J363" s="851">
        <v>0.01</v>
      </c>
      <c r="K363" s="851">
        <v>0.01</v>
      </c>
      <c r="L363" s="849">
        <v>2</v>
      </c>
    </row>
    <row r="364" spans="1:12" ht="12" hidden="1" customHeight="1">
      <c r="A364" s="847">
        <v>41738</v>
      </c>
      <c r="B364" s="848" t="s">
        <v>1676</v>
      </c>
      <c r="C364" s="849">
        <v>28</v>
      </c>
      <c r="D364" s="847">
        <v>41766</v>
      </c>
      <c r="E364" s="850">
        <v>30</v>
      </c>
      <c r="F364" s="850">
        <v>11.002800000000001</v>
      </c>
      <c r="G364" s="850">
        <v>5</v>
      </c>
      <c r="H364" s="850">
        <v>25</v>
      </c>
      <c r="I364" s="851">
        <v>0.01</v>
      </c>
      <c r="J364" s="851">
        <v>0.01</v>
      </c>
      <c r="K364" s="851">
        <v>0.01</v>
      </c>
      <c r="L364" s="849">
        <v>4</v>
      </c>
    </row>
    <row r="365" spans="1:12" ht="12" hidden="1" customHeight="1">
      <c r="A365" s="847">
        <v>41745</v>
      </c>
      <c r="B365" s="848" t="s">
        <v>1677</v>
      </c>
      <c r="C365" s="849">
        <v>28</v>
      </c>
      <c r="D365" s="847">
        <v>41773</v>
      </c>
      <c r="E365" s="850">
        <v>30</v>
      </c>
      <c r="F365" s="850">
        <v>8.5027000000000008</v>
      </c>
      <c r="G365" s="850">
        <v>5</v>
      </c>
      <c r="H365" s="850">
        <v>25</v>
      </c>
      <c r="I365" s="851">
        <v>0.01</v>
      </c>
      <c r="J365" s="851">
        <v>0.01</v>
      </c>
      <c r="K365" s="851">
        <v>0.01</v>
      </c>
      <c r="L365" s="849">
        <v>2</v>
      </c>
    </row>
    <row r="366" spans="1:12" ht="12" hidden="1" customHeight="1">
      <c r="A366" s="847">
        <v>41752</v>
      </c>
      <c r="B366" s="848" t="s">
        <v>1688</v>
      </c>
      <c r="C366" s="849">
        <v>28</v>
      </c>
      <c r="D366" s="847">
        <v>41780</v>
      </c>
      <c r="E366" s="850">
        <v>30</v>
      </c>
      <c r="F366" s="850">
        <v>9.3168600000000001</v>
      </c>
      <c r="G366" s="850">
        <v>5</v>
      </c>
      <c r="H366" s="850">
        <v>25</v>
      </c>
      <c r="I366" s="851">
        <v>0.01</v>
      </c>
      <c r="J366" s="851">
        <v>1.09E-2</v>
      </c>
      <c r="K366" s="851">
        <v>4.2200899999998509E-3</v>
      </c>
      <c r="L366" s="849">
        <v>2</v>
      </c>
    </row>
    <row r="367" spans="1:12" ht="12" hidden="1" customHeight="1">
      <c r="A367" s="847">
        <v>41759</v>
      </c>
      <c r="B367" s="848" t="s">
        <v>1689</v>
      </c>
      <c r="C367" s="849">
        <v>28</v>
      </c>
      <c r="D367" s="847">
        <v>41787</v>
      </c>
      <c r="E367" s="850">
        <v>30</v>
      </c>
      <c r="F367" s="850">
        <v>10</v>
      </c>
      <c r="G367" s="850">
        <v>5</v>
      </c>
      <c r="H367" s="850">
        <v>25</v>
      </c>
      <c r="I367" s="851">
        <v>1.06E-2</v>
      </c>
      <c r="J367" s="851">
        <v>1.06E-2</v>
      </c>
      <c r="K367" s="851">
        <v>4.1000000000000003E-3</v>
      </c>
      <c r="L367" s="849">
        <v>2</v>
      </c>
    </row>
    <row r="368" spans="1:12" ht="12" hidden="1" customHeight="1">
      <c r="A368" s="847">
        <v>41773</v>
      </c>
      <c r="B368" s="848" t="s">
        <v>1690</v>
      </c>
      <c r="C368" s="849">
        <v>28</v>
      </c>
      <c r="D368" s="847">
        <v>41801</v>
      </c>
      <c r="E368" s="850">
        <v>30</v>
      </c>
      <c r="F368" s="850">
        <v>10.001300000000001</v>
      </c>
      <c r="G368" s="850">
        <v>5</v>
      </c>
      <c r="H368" s="850">
        <v>15</v>
      </c>
      <c r="I368" s="851">
        <v>9.9000000000000008E-3</v>
      </c>
      <c r="J368" s="851">
        <v>9.9000000000000008E-3</v>
      </c>
      <c r="K368" s="851">
        <v>9.9000000000000008E-3</v>
      </c>
      <c r="L368" s="849">
        <v>2</v>
      </c>
    </row>
    <row r="369" spans="1:15" ht="12" hidden="1" customHeight="1">
      <c r="A369" s="847">
        <v>41780</v>
      </c>
      <c r="B369" s="848" t="s">
        <v>1691</v>
      </c>
      <c r="C369" s="849">
        <v>28</v>
      </c>
      <c r="D369" s="847">
        <v>41808</v>
      </c>
      <c r="E369" s="850">
        <v>30</v>
      </c>
      <c r="F369" s="850">
        <v>9.1697000000000006</v>
      </c>
      <c r="G369" s="850">
        <v>5</v>
      </c>
      <c r="H369" s="850">
        <v>25</v>
      </c>
      <c r="I369" s="851">
        <v>9.9000000000000008E-3</v>
      </c>
      <c r="J369" s="851">
        <v>1.0999999999999999E-2</v>
      </c>
      <c r="K369" s="851">
        <v>9.9000000000000008E-3</v>
      </c>
      <c r="L369" s="849">
        <v>2</v>
      </c>
    </row>
    <row r="370" spans="1:15" ht="12" hidden="1" customHeight="1">
      <c r="A370" s="847">
        <v>41788</v>
      </c>
      <c r="B370" s="848" t="s">
        <v>1692</v>
      </c>
      <c r="C370" s="849">
        <v>27</v>
      </c>
      <c r="D370" s="847">
        <v>41815</v>
      </c>
      <c r="E370" s="850">
        <v>30</v>
      </c>
      <c r="F370" s="850">
        <v>10.001200000000001</v>
      </c>
      <c r="G370" s="850">
        <v>5</v>
      </c>
      <c r="H370" s="850">
        <v>25</v>
      </c>
      <c r="I370" s="851">
        <v>9.9000000000000008E-3</v>
      </c>
      <c r="J370" s="851">
        <v>9.9000000000000008E-3</v>
      </c>
      <c r="K370" s="851">
        <v>9.9000000000000008E-3</v>
      </c>
      <c r="L370" s="849">
        <v>2</v>
      </c>
    </row>
    <row r="371" spans="1:15" ht="12" hidden="1" customHeight="1">
      <c r="A371" s="847">
        <v>41794</v>
      </c>
      <c r="B371" s="848" t="s">
        <v>1709</v>
      </c>
      <c r="C371" s="849">
        <v>28</v>
      </c>
      <c r="D371" s="847">
        <v>41822</v>
      </c>
      <c r="E371" s="850">
        <v>30</v>
      </c>
      <c r="F371" s="850">
        <v>0</v>
      </c>
      <c r="G371" s="850">
        <v>0</v>
      </c>
      <c r="H371" s="850">
        <v>0</v>
      </c>
      <c r="I371" s="851">
        <v>0</v>
      </c>
      <c r="J371" s="851">
        <v>0</v>
      </c>
      <c r="K371" s="851">
        <v>0</v>
      </c>
      <c r="L371" s="849">
        <v>0</v>
      </c>
    </row>
    <row r="372" spans="1:15" ht="12.75" hidden="1" customHeight="1">
      <c r="A372" s="847">
        <v>41801</v>
      </c>
      <c r="B372" s="848" t="s">
        <v>1710</v>
      </c>
      <c r="C372" s="849">
        <v>28</v>
      </c>
      <c r="D372" s="847">
        <v>41829</v>
      </c>
      <c r="E372" s="850">
        <v>30</v>
      </c>
      <c r="F372" s="850">
        <v>0</v>
      </c>
      <c r="G372" s="850">
        <v>0</v>
      </c>
      <c r="H372" s="850">
        <v>0</v>
      </c>
      <c r="I372" s="851">
        <v>0</v>
      </c>
      <c r="J372" s="851">
        <v>0</v>
      </c>
      <c r="K372" s="851">
        <v>0</v>
      </c>
      <c r="L372" s="849">
        <v>0</v>
      </c>
      <c r="M372" s="550"/>
      <c r="N372" s="550"/>
      <c r="O372" s="550"/>
    </row>
    <row r="373" spans="1:15" hidden="1">
      <c r="A373" s="847">
        <v>41808</v>
      </c>
      <c r="B373" s="848" t="s">
        <v>1711</v>
      </c>
      <c r="C373" s="849">
        <v>28</v>
      </c>
      <c r="D373" s="847">
        <v>41836</v>
      </c>
      <c r="E373" s="850">
        <v>30</v>
      </c>
      <c r="F373" s="850">
        <v>5.1729000000000003</v>
      </c>
      <c r="G373" s="850">
        <v>4.1729000000000003</v>
      </c>
      <c r="H373" s="850">
        <v>0</v>
      </c>
      <c r="I373" s="851">
        <v>9.9000000000000008E-3</v>
      </c>
      <c r="J373" s="851">
        <v>9.9000000000000008E-3</v>
      </c>
      <c r="K373" s="851">
        <v>9.9000000000000008E-3</v>
      </c>
      <c r="L373" s="849">
        <v>2</v>
      </c>
    </row>
    <row r="374" spans="1:15" hidden="1">
      <c r="A374" s="847">
        <v>41815</v>
      </c>
      <c r="B374" s="848" t="s">
        <v>1712</v>
      </c>
      <c r="C374" s="849">
        <v>28</v>
      </c>
      <c r="D374" s="847">
        <v>41843</v>
      </c>
      <c r="E374" s="850">
        <v>30</v>
      </c>
      <c r="F374" s="850">
        <v>6.0012999999999996</v>
      </c>
      <c r="G374" s="850">
        <v>5</v>
      </c>
      <c r="H374" s="850">
        <v>0</v>
      </c>
      <c r="I374" s="851">
        <v>9.9000000000000008E-3</v>
      </c>
      <c r="J374" s="851">
        <v>9.9000000000000008E-3</v>
      </c>
      <c r="K374" s="851">
        <v>9.9000000000000008E-3</v>
      </c>
      <c r="L374" s="849">
        <v>2</v>
      </c>
    </row>
    <row r="375" spans="1:15" ht="12" hidden="1" customHeight="1">
      <c r="A375" s="847">
        <v>41822</v>
      </c>
      <c r="B375" s="848" t="s">
        <v>1727</v>
      </c>
      <c r="C375" s="849">
        <v>28</v>
      </c>
      <c r="D375" s="847">
        <v>41850</v>
      </c>
      <c r="E375" s="850">
        <v>30</v>
      </c>
      <c r="F375" s="850">
        <v>7.0023999999999997</v>
      </c>
      <c r="G375" s="850">
        <v>5</v>
      </c>
      <c r="H375" s="850">
        <v>0</v>
      </c>
      <c r="I375" s="851">
        <v>9.9000000000000008E-3</v>
      </c>
      <c r="J375" s="851">
        <v>9.9000000000000008E-3</v>
      </c>
      <c r="K375" s="851">
        <v>9.8818749942820618E-3</v>
      </c>
      <c r="L375" s="849">
        <v>3</v>
      </c>
    </row>
    <row r="376" spans="1:15" ht="12" hidden="1" customHeight="1">
      <c r="A376" s="847">
        <v>41836</v>
      </c>
      <c r="B376" s="848" t="s">
        <v>1728</v>
      </c>
      <c r="C376" s="849">
        <v>28</v>
      </c>
      <c r="D376" s="847">
        <v>41864</v>
      </c>
      <c r="E376" s="850">
        <v>30</v>
      </c>
      <c r="F376" s="850">
        <v>0</v>
      </c>
      <c r="G376" s="850">
        <v>0</v>
      </c>
      <c r="H376" s="850">
        <v>0</v>
      </c>
      <c r="I376" s="851">
        <v>0</v>
      </c>
      <c r="J376" s="851">
        <v>0</v>
      </c>
      <c r="K376" s="851">
        <v>0</v>
      </c>
      <c r="L376" s="849">
        <v>0</v>
      </c>
    </row>
    <row r="377" spans="1:15" ht="12" hidden="1" customHeight="1">
      <c r="A377" s="847">
        <v>41843</v>
      </c>
      <c r="B377" s="848" t="s">
        <v>1729</v>
      </c>
      <c r="C377" s="849">
        <v>28</v>
      </c>
      <c r="D377" s="847">
        <v>41871</v>
      </c>
      <c r="E377" s="850">
        <v>30</v>
      </c>
      <c r="F377" s="850">
        <v>0</v>
      </c>
      <c r="G377" s="850">
        <v>0</v>
      </c>
      <c r="H377" s="850">
        <v>0</v>
      </c>
      <c r="I377" s="851">
        <v>0</v>
      </c>
      <c r="J377" s="851">
        <v>0</v>
      </c>
      <c r="K377" s="851">
        <v>0</v>
      </c>
      <c r="L377" s="849">
        <v>0</v>
      </c>
    </row>
    <row r="378" spans="1:15" ht="12" hidden="1" customHeight="1">
      <c r="A378" s="847">
        <v>41850</v>
      </c>
      <c r="B378" s="848" t="s">
        <v>1730</v>
      </c>
      <c r="C378" s="849">
        <v>28</v>
      </c>
      <c r="D378" s="847">
        <v>41878</v>
      </c>
      <c r="E378" s="850">
        <v>30</v>
      </c>
      <c r="F378" s="850">
        <v>0</v>
      </c>
      <c r="G378" s="850">
        <v>0</v>
      </c>
      <c r="H378" s="850">
        <v>0</v>
      </c>
      <c r="I378" s="851">
        <v>0</v>
      </c>
      <c r="J378" s="851">
        <v>0</v>
      </c>
      <c r="K378" s="851">
        <v>0</v>
      </c>
      <c r="L378" s="849">
        <v>0</v>
      </c>
    </row>
    <row r="379" spans="1:15" ht="12" hidden="1" customHeight="1">
      <c r="A379" s="847">
        <v>41857</v>
      </c>
      <c r="B379" s="848" t="s">
        <v>1736</v>
      </c>
      <c r="C379" s="849">
        <v>28</v>
      </c>
      <c r="D379" s="847">
        <v>41885</v>
      </c>
      <c r="E379" s="850">
        <v>30</v>
      </c>
      <c r="F379" s="850">
        <v>5.1379999999999999</v>
      </c>
      <c r="G379" s="850">
        <v>5</v>
      </c>
      <c r="H379" s="850">
        <v>0</v>
      </c>
      <c r="I379" s="851">
        <v>9.9000000000000008E-3</v>
      </c>
      <c r="J379" s="851">
        <v>9.9000000000000008E-3</v>
      </c>
      <c r="K379" s="851">
        <v>9.9000000000000008E-3</v>
      </c>
      <c r="L379" s="849">
        <v>2</v>
      </c>
    </row>
    <row r="380" spans="1:15" ht="12.75" hidden="1" customHeight="1">
      <c r="A380" s="847">
        <v>41864</v>
      </c>
      <c r="B380" s="848" t="s">
        <v>1737</v>
      </c>
      <c r="C380" s="849">
        <v>28</v>
      </c>
      <c r="D380" s="847">
        <v>41892</v>
      </c>
      <c r="E380" s="850">
        <v>30</v>
      </c>
      <c r="F380" s="850">
        <v>4.0998447000000002</v>
      </c>
      <c r="G380" s="850">
        <v>4.0034000000000001</v>
      </c>
      <c r="H380" s="850">
        <v>0</v>
      </c>
      <c r="I380" s="851">
        <v>1.0999999999999999E-2</v>
      </c>
      <c r="J380" s="851">
        <v>1.0999999999999999E-2</v>
      </c>
      <c r="K380" s="851">
        <v>1.0999999999999999E-2</v>
      </c>
      <c r="L380" s="849">
        <v>2</v>
      </c>
      <c r="M380" s="550"/>
      <c r="N380" s="550"/>
      <c r="O380" s="550"/>
    </row>
    <row r="381" spans="1:15" hidden="1">
      <c r="A381" s="847">
        <v>41871</v>
      </c>
      <c r="B381" s="848" t="s">
        <v>1738</v>
      </c>
      <c r="C381" s="849">
        <v>28</v>
      </c>
      <c r="D381" s="847">
        <v>41899</v>
      </c>
      <c r="E381" s="850">
        <v>30</v>
      </c>
      <c r="F381" s="850">
        <v>0</v>
      </c>
      <c r="G381" s="850">
        <v>0</v>
      </c>
      <c r="H381" s="850">
        <v>0</v>
      </c>
      <c r="I381" s="851">
        <v>0</v>
      </c>
      <c r="J381" s="851">
        <v>0</v>
      </c>
      <c r="K381" s="851">
        <v>0</v>
      </c>
      <c r="L381" s="849">
        <v>0</v>
      </c>
    </row>
    <row r="382" spans="1:15" hidden="1">
      <c r="A382" s="847">
        <v>41878</v>
      </c>
      <c r="B382" s="848" t="s">
        <v>1739</v>
      </c>
      <c r="C382" s="849">
        <v>28</v>
      </c>
      <c r="D382" s="847">
        <v>41906</v>
      </c>
      <c r="E382" s="850">
        <v>30</v>
      </c>
      <c r="F382" s="850">
        <v>0</v>
      </c>
      <c r="G382" s="850">
        <v>0</v>
      </c>
      <c r="H382" s="850">
        <v>0</v>
      </c>
      <c r="I382" s="851">
        <v>0</v>
      </c>
      <c r="J382" s="851">
        <v>0</v>
      </c>
      <c r="K382" s="851">
        <v>0</v>
      </c>
      <c r="L382" s="849">
        <v>0</v>
      </c>
    </row>
    <row r="383" spans="1:15" ht="12" hidden="1" customHeight="1">
      <c r="A383" s="847">
        <v>41885</v>
      </c>
      <c r="B383" s="848" t="s">
        <v>1755</v>
      </c>
      <c r="C383" s="849">
        <v>28</v>
      </c>
      <c r="D383" s="847">
        <v>41913</v>
      </c>
      <c r="E383" s="850">
        <v>30</v>
      </c>
      <c r="F383" s="850">
        <v>0</v>
      </c>
      <c r="G383" s="850">
        <v>0</v>
      </c>
      <c r="H383" s="850">
        <v>0</v>
      </c>
      <c r="I383" s="851">
        <v>0</v>
      </c>
      <c r="J383" s="851">
        <v>0</v>
      </c>
      <c r="K383" s="851">
        <v>0</v>
      </c>
      <c r="L383" s="849">
        <v>0</v>
      </c>
    </row>
    <row r="384" spans="1:15" ht="12.75" hidden="1" customHeight="1">
      <c r="A384" s="847">
        <v>41892</v>
      </c>
      <c r="B384" s="848" t="s">
        <v>1756</v>
      </c>
      <c r="C384" s="849">
        <v>28</v>
      </c>
      <c r="D384" s="847">
        <v>41920</v>
      </c>
      <c r="E384" s="850">
        <v>30</v>
      </c>
      <c r="F384" s="850">
        <v>14.0137</v>
      </c>
      <c r="G384" s="850">
        <v>5</v>
      </c>
      <c r="H384" s="850">
        <v>5.0019999999999998</v>
      </c>
      <c r="I384" s="851">
        <v>1.0500000000000001E-2</v>
      </c>
      <c r="J384" s="851">
        <v>1.0500000000000001E-2</v>
      </c>
      <c r="K384" s="851">
        <v>1.0500000000000001E-2</v>
      </c>
      <c r="L384" s="849">
        <v>3</v>
      </c>
      <c r="M384" s="550"/>
      <c r="N384" s="550"/>
      <c r="O384" s="550"/>
    </row>
    <row r="385" spans="1:15" hidden="1">
      <c r="A385" s="847">
        <v>41899</v>
      </c>
      <c r="B385" s="848" t="s">
        <v>1757</v>
      </c>
      <c r="C385" s="849">
        <v>28</v>
      </c>
      <c r="D385" s="847">
        <v>41927</v>
      </c>
      <c r="E385" s="850">
        <v>30</v>
      </c>
      <c r="F385" s="850">
        <v>6.5026999999999999</v>
      </c>
      <c r="G385" s="850">
        <v>5</v>
      </c>
      <c r="H385" s="850">
        <v>0</v>
      </c>
      <c r="I385" s="851">
        <v>1.0500000000000001E-2</v>
      </c>
      <c r="J385" s="851">
        <v>1.0500000000000001E-2</v>
      </c>
      <c r="K385" s="851">
        <v>1.0500000000000001E-2</v>
      </c>
      <c r="L385" s="849">
        <v>2</v>
      </c>
    </row>
    <row r="386" spans="1:15" hidden="1">
      <c r="A386" s="847">
        <v>41906</v>
      </c>
      <c r="B386" s="848" t="s">
        <v>1758</v>
      </c>
      <c r="C386" s="849">
        <v>28</v>
      </c>
      <c r="D386" s="847">
        <v>41934</v>
      </c>
      <c r="E386" s="850">
        <v>30</v>
      </c>
      <c r="F386" s="850">
        <v>0</v>
      </c>
      <c r="G386" s="850">
        <v>0</v>
      </c>
      <c r="H386" s="850">
        <v>0</v>
      </c>
      <c r="I386" s="851">
        <v>0</v>
      </c>
      <c r="J386" s="851">
        <v>0</v>
      </c>
      <c r="K386" s="851">
        <v>0</v>
      </c>
      <c r="L386" s="849">
        <v>0</v>
      </c>
    </row>
    <row r="387" spans="1:15" ht="12" hidden="1" customHeight="1">
      <c r="A387" s="847">
        <v>41913</v>
      </c>
      <c r="B387" s="848" t="s">
        <v>1771</v>
      </c>
      <c r="C387" s="849">
        <v>28</v>
      </c>
      <c r="D387" s="847">
        <v>41941</v>
      </c>
      <c r="E387" s="850">
        <v>30</v>
      </c>
      <c r="F387" s="850">
        <v>0</v>
      </c>
      <c r="G387" s="850">
        <v>0</v>
      </c>
      <c r="H387" s="850">
        <v>0</v>
      </c>
      <c r="I387" s="851">
        <v>0</v>
      </c>
      <c r="J387" s="851">
        <v>0</v>
      </c>
      <c r="K387" s="851">
        <v>0</v>
      </c>
      <c r="L387" s="849">
        <v>0</v>
      </c>
    </row>
    <row r="388" spans="1:15" ht="12.75" hidden="1" customHeight="1">
      <c r="A388" s="847">
        <v>41920</v>
      </c>
      <c r="B388" s="848" t="s">
        <v>1772</v>
      </c>
      <c r="C388" s="849">
        <v>28</v>
      </c>
      <c r="D388" s="847">
        <v>41948</v>
      </c>
      <c r="E388" s="850">
        <v>30</v>
      </c>
      <c r="F388" s="850">
        <v>0</v>
      </c>
      <c r="G388" s="850">
        <v>0</v>
      </c>
      <c r="H388" s="850">
        <v>0</v>
      </c>
      <c r="I388" s="851">
        <v>0</v>
      </c>
      <c r="J388" s="851">
        <v>0</v>
      </c>
      <c r="K388" s="851">
        <v>0</v>
      </c>
      <c r="L388" s="849">
        <v>0</v>
      </c>
      <c r="M388" s="550"/>
      <c r="N388" s="550"/>
      <c r="O388" s="550"/>
    </row>
    <row r="389" spans="1:15" hidden="1">
      <c r="A389" s="847">
        <v>41927</v>
      </c>
      <c r="B389" s="848" t="s">
        <v>1773</v>
      </c>
      <c r="C389" s="849">
        <v>28</v>
      </c>
      <c r="D389" s="847">
        <v>41955</v>
      </c>
      <c r="E389" s="850">
        <v>30</v>
      </c>
      <c r="F389" s="850">
        <v>0</v>
      </c>
      <c r="G389" s="850">
        <v>0</v>
      </c>
      <c r="H389" s="850">
        <v>0</v>
      </c>
      <c r="I389" s="851">
        <v>0</v>
      </c>
      <c r="J389" s="851">
        <v>0</v>
      </c>
      <c r="K389" s="851">
        <v>0</v>
      </c>
      <c r="L389" s="849">
        <v>0</v>
      </c>
    </row>
    <row r="390" spans="1:15" hidden="1">
      <c r="A390" s="847">
        <v>41934</v>
      </c>
      <c r="B390" s="848" t="s">
        <v>1774</v>
      </c>
      <c r="C390" s="849">
        <v>28</v>
      </c>
      <c r="D390" s="847">
        <v>41962</v>
      </c>
      <c r="E390" s="850">
        <v>30</v>
      </c>
      <c r="F390" s="850">
        <v>0</v>
      </c>
      <c r="G390" s="850">
        <v>0</v>
      </c>
      <c r="H390" s="850">
        <v>0</v>
      </c>
      <c r="I390" s="851">
        <v>0</v>
      </c>
      <c r="J390" s="851">
        <v>0</v>
      </c>
      <c r="K390" s="851">
        <v>0</v>
      </c>
      <c r="L390" s="849">
        <v>0</v>
      </c>
    </row>
    <row r="391" spans="1:15" hidden="1">
      <c r="A391" s="847">
        <v>41941</v>
      </c>
      <c r="B391" s="848" t="s">
        <v>1775</v>
      </c>
      <c r="C391" s="849">
        <v>28</v>
      </c>
      <c r="D391" s="847">
        <v>41969</v>
      </c>
      <c r="E391" s="850">
        <v>30</v>
      </c>
      <c r="F391" s="850">
        <v>10.0015</v>
      </c>
      <c r="G391" s="850">
        <v>5</v>
      </c>
      <c r="H391" s="850">
        <v>5</v>
      </c>
      <c r="I391" s="851">
        <v>9.7000000000000003E-3</v>
      </c>
      <c r="J391" s="851">
        <v>9.7000000000000003E-3</v>
      </c>
      <c r="K391" s="851">
        <v>9.7000000000000003E-3</v>
      </c>
      <c r="L391" s="849">
        <v>2</v>
      </c>
    </row>
    <row r="392" spans="1:15" ht="12.75" hidden="1" customHeight="1">
      <c r="A392" s="847">
        <v>41948</v>
      </c>
      <c r="B392" s="848" t="s">
        <v>1786</v>
      </c>
      <c r="C392" s="849">
        <v>28</v>
      </c>
      <c r="D392" s="847">
        <v>41976</v>
      </c>
      <c r="E392" s="850">
        <v>30</v>
      </c>
      <c r="F392" s="850">
        <v>5.0999999999999996</v>
      </c>
      <c r="G392" s="850">
        <v>5</v>
      </c>
      <c r="H392" s="850">
        <v>5.0030000000000001</v>
      </c>
      <c r="I392" s="851">
        <v>9.7000000000000003E-3</v>
      </c>
      <c r="J392" s="851">
        <v>9.7000000000000003E-3</v>
      </c>
      <c r="K392" s="851">
        <v>9.7000000000000003E-3</v>
      </c>
      <c r="L392" s="849">
        <v>2</v>
      </c>
      <c r="M392" s="550"/>
      <c r="N392" s="550"/>
      <c r="O392" s="550"/>
    </row>
    <row r="393" spans="1:15" hidden="1">
      <c r="A393" s="847">
        <v>41955</v>
      </c>
      <c r="B393" s="848" t="s">
        <v>1787</v>
      </c>
      <c r="C393" s="849">
        <v>28</v>
      </c>
      <c r="D393" s="847">
        <v>41983</v>
      </c>
      <c r="E393" s="850">
        <v>30</v>
      </c>
      <c r="F393" s="850">
        <v>10.001200000000001</v>
      </c>
      <c r="G393" s="850">
        <v>5</v>
      </c>
      <c r="H393" s="850">
        <v>15.0032</v>
      </c>
      <c r="I393" s="851">
        <v>9.5999999999999992E-3</v>
      </c>
      <c r="J393" s="851">
        <v>9.5999999999999992E-3</v>
      </c>
      <c r="K393" s="851">
        <v>9.5999999999999992E-3</v>
      </c>
      <c r="L393" s="849">
        <v>2</v>
      </c>
    </row>
    <row r="394" spans="1:15" hidden="1">
      <c r="A394" s="847">
        <v>41962</v>
      </c>
      <c r="B394" s="848" t="s">
        <v>1788</v>
      </c>
      <c r="C394" s="849">
        <v>28</v>
      </c>
      <c r="D394" s="847">
        <v>41990</v>
      </c>
      <c r="E394" s="850">
        <v>30</v>
      </c>
      <c r="F394" s="850">
        <v>0</v>
      </c>
      <c r="G394" s="850">
        <v>0</v>
      </c>
      <c r="H394" s="850">
        <v>0</v>
      </c>
      <c r="I394" s="851">
        <v>0</v>
      </c>
      <c r="J394" s="851">
        <v>0</v>
      </c>
      <c r="K394" s="851">
        <v>0</v>
      </c>
      <c r="L394" s="849">
        <v>0</v>
      </c>
    </row>
    <row r="395" spans="1:15" hidden="1">
      <c r="A395" s="847">
        <v>41969</v>
      </c>
      <c r="B395" s="848" t="s">
        <v>1789</v>
      </c>
      <c r="C395" s="849">
        <v>28</v>
      </c>
      <c r="D395" s="847">
        <v>41997</v>
      </c>
      <c r="E395" s="850">
        <v>30</v>
      </c>
      <c r="F395" s="850">
        <v>0</v>
      </c>
      <c r="G395" s="850">
        <v>0</v>
      </c>
      <c r="H395" s="850">
        <v>0</v>
      </c>
      <c r="I395" s="851">
        <v>0</v>
      </c>
      <c r="J395" s="851">
        <v>0</v>
      </c>
      <c r="K395" s="851">
        <v>0</v>
      </c>
      <c r="L395" s="849">
        <v>0</v>
      </c>
    </row>
    <row r="396" spans="1:15" hidden="1">
      <c r="A396" s="847">
        <v>41976</v>
      </c>
      <c r="B396" s="848" t="s">
        <v>1790</v>
      </c>
      <c r="C396" s="849">
        <v>27</v>
      </c>
      <c r="D396" s="847">
        <v>42003</v>
      </c>
      <c r="E396" s="850">
        <v>30</v>
      </c>
      <c r="F396" s="850">
        <v>0</v>
      </c>
      <c r="G396" s="850">
        <v>0</v>
      </c>
      <c r="H396" s="850">
        <v>0</v>
      </c>
      <c r="I396" s="851">
        <v>0</v>
      </c>
      <c r="J396" s="851">
        <v>0</v>
      </c>
      <c r="K396" s="851">
        <v>0</v>
      </c>
      <c r="L396" s="849">
        <v>0</v>
      </c>
    </row>
    <row r="397" spans="1:15" hidden="1">
      <c r="A397" s="847">
        <v>41983</v>
      </c>
      <c r="B397" s="848" t="s">
        <v>1791</v>
      </c>
      <c r="C397" s="849">
        <v>28</v>
      </c>
      <c r="D397" s="847">
        <v>42011</v>
      </c>
      <c r="E397" s="850">
        <v>30</v>
      </c>
      <c r="F397" s="850">
        <v>0</v>
      </c>
      <c r="G397" s="850">
        <v>0</v>
      </c>
      <c r="H397" s="850">
        <v>0</v>
      </c>
      <c r="I397" s="851">
        <v>0</v>
      </c>
      <c r="J397" s="851">
        <v>0</v>
      </c>
      <c r="K397" s="851">
        <v>0</v>
      </c>
      <c r="L397" s="849">
        <v>0</v>
      </c>
    </row>
    <row r="398" spans="1:15" ht="12.75" hidden="1" customHeight="1">
      <c r="A398" s="847">
        <v>41990</v>
      </c>
      <c r="B398" s="848" t="s">
        <v>1792</v>
      </c>
      <c r="C398" s="849">
        <v>28</v>
      </c>
      <c r="D398" s="847">
        <v>42018</v>
      </c>
      <c r="E398" s="850">
        <v>30</v>
      </c>
      <c r="F398" s="850">
        <v>5.0999999999999996</v>
      </c>
      <c r="G398" s="850">
        <v>5</v>
      </c>
      <c r="H398" s="850">
        <v>15.013999999999999</v>
      </c>
      <c r="I398" s="851">
        <v>9.7000000000000003E-3</v>
      </c>
      <c r="J398" s="851">
        <v>9.7000000000000003E-3</v>
      </c>
      <c r="K398" s="851">
        <v>9.6500947138926964E-3</v>
      </c>
      <c r="L398" s="849">
        <v>2</v>
      </c>
      <c r="M398" s="550"/>
      <c r="N398" s="550"/>
      <c r="O398" s="550"/>
    </row>
    <row r="399" spans="1:15" hidden="1">
      <c r="A399" s="847">
        <v>41997</v>
      </c>
      <c r="B399" s="848" t="s">
        <v>1793</v>
      </c>
      <c r="C399" s="849">
        <v>28</v>
      </c>
      <c r="D399" s="847">
        <v>42025</v>
      </c>
      <c r="E399" s="850">
        <v>30</v>
      </c>
      <c r="F399" s="850">
        <v>6.9961052500000003</v>
      </c>
      <c r="G399" s="850">
        <v>5</v>
      </c>
      <c r="H399" s="850">
        <v>2.0034999999999998</v>
      </c>
      <c r="I399" s="851">
        <v>8.0000000000000002E-3</v>
      </c>
      <c r="J399" s="851">
        <v>9.14793275161482E-3</v>
      </c>
      <c r="K399" s="851">
        <v>3.5538300000000746E-3</v>
      </c>
      <c r="L399" s="849">
        <v>2</v>
      </c>
    </row>
    <row r="400" spans="1:15" hidden="1">
      <c r="A400" s="847">
        <v>42003</v>
      </c>
      <c r="B400" s="848" t="s">
        <v>1794</v>
      </c>
      <c r="C400" s="849">
        <v>29</v>
      </c>
      <c r="D400" s="847">
        <v>42032</v>
      </c>
      <c r="E400" s="850">
        <v>30</v>
      </c>
      <c r="F400" s="850">
        <v>0</v>
      </c>
      <c r="G400" s="850">
        <v>0</v>
      </c>
      <c r="H400" s="850">
        <v>0</v>
      </c>
      <c r="I400" s="851">
        <v>0</v>
      </c>
      <c r="J400" s="851">
        <v>0</v>
      </c>
      <c r="K400" s="851">
        <v>0</v>
      </c>
      <c r="L400" s="849">
        <v>0</v>
      </c>
    </row>
    <row r="401" spans="1:15" hidden="1">
      <c r="A401" s="847">
        <v>42025</v>
      </c>
      <c r="B401" s="848" t="s">
        <v>1856</v>
      </c>
      <c r="C401" s="849">
        <v>28</v>
      </c>
      <c r="D401" s="847">
        <v>42053</v>
      </c>
      <c r="E401" s="850">
        <v>30</v>
      </c>
      <c r="F401" s="850">
        <v>0</v>
      </c>
      <c r="G401" s="850">
        <v>0</v>
      </c>
      <c r="H401" s="850">
        <v>0</v>
      </c>
      <c r="I401" s="851">
        <v>0</v>
      </c>
      <c r="J401" s="851">
        <v>0</v>
      </c>
      <c r="K401" s="851">
        <v>0</v>
      </c>
      <c r="L401" s="849">
        <v>0</v>
      </c>
    </row>
    <row r="402" spans="1:15" hidden="1">
      <c r="A402" s="847">
        <v>42032</v>
      </c>
      <c r="B402" s="848" t="s">
        <v>1857</v>
      </c>
      <c r="C402" s="849">
        <v>28</v>
      </c>
      <c r="D402" s="847">
        <v>42060</v>
      </c>
      <c r="E402" s="850">
        <v>30</v>
      </c>
      <c r="F402" s="850">
        <v>0</v>
      </c>
      <c r="G402" s="850">
        <v>0</v>
      </c>
      <c r="H402" s="850">
        <v>0</v>
      </c>
      <c r="I402" s="851">
        <v>0</v>
      </c>
      <c r="J402" s="851">
        <v>0</v>
      </c>
      <c r="K402" s="851">
        <v>0</v>
      </c>
      <c r="L402" s="849">
        <v>0</v>
      </c>
    </row>
    <row r="403" spans="1:15" hidden="1">
      <c r="A403" s="847">
        <v>42039</v>
      </c>
      <c r="B403" s="848" t="s">
        <v>1859</v>
      </c>
      <c r="C403" s="849">
        <v>28</v>
      </c>
      <c r="D403" s="847">
        <v>42067</v>
      </c>
      <c r="E403" s="850">
        <v>30</v>
      </c>
      <c r="F403" s="850">
        <v>0</v>
      </c>
      <c r="G403" s="850">
        <v>0</v>
      </c>
      <c r="H403" s="850">
        <v>0</v>
      </c>
      <c r="I403" s="851">
        <v>0</v>
      </c>
      <c r="J403" s="851">
        <v>0</v>
      </c>
      <c r="K403" s="851">
        <v>0</v>
      </c>
      <c r="L403" s="849">
        <v>0</v>
      </c>
    </row>
    <row r="404" spans="1:15" ht="12.75" hidden="1" customHeight="1">
      <c r="A404" s="847">
        <v>42046</v>
      </c>
      <c r="B404" s="848" t="s">
        <v>1860</v>
      </c>
      <c r="C404" s="849">
        <v>28</v>
      </c>
      <c r="D404" s="847">
        <v>42074</v>
      </c>
      <c r="E404" s="850">
        <v>30</v>
      </c>
      <c r="F404" s="850">
        <v>0</v>
      </c>
      <c r="G404" s="850">
        <v>0</v>
      </c>
      <c r="H404" s="850">
        <v>0</v>
      </c>
      <c r="I404" s="851">
        <v>0</v>
      </c>
      <c r="J404" s="851">
        <v>0</v>
      </c>
      <c r="K404" s="851">
        <v>0</v>
      </c>
      <c r="L404" s="849">
        <v>0</v>
      </c>
      <c r="M404" s="550"/>
      <c r="N404" s="550"/>
      <c r="O404" s="550"/>
    </row>
    <row r="405" spans="1:15" hidden="1">
      <c r="A405" s="847">
        <v>42053</v>
      </c>
      <c r="B405" s="848" t="s">
        <v>1861</v>
      </c>
      <c r="C405" s="849">
        <v>28</v>
      </c>
      <c r="D405" s="847">
        <v>42081</v>
      </c>
      <c r="E405" s="850">
        <v>30</v>
      </c>
      <c r="F405" s="850">
        <v>0</v>
      </c>
      <c r="G405" s="850">
        <v>0</v>
      </c>
      <c r="H405" s="850">
        <v>0</v>
      </c>
      <c r="I405" s="851">
        <v>0</v>
      </c>
      <c r="J405" s="851">
        <v>0</v>
      </c>
      <c r="K405" s="851">
        <v>0</v>
      </c>
      <c r="L405" s="849">
        <v>0</v>
      </c>
    </row>
    <row r="406" spans="1:15" hidden="1">
      <c r="A406" s="847">
        <v>42060</v>
      </c>
      <c r="B406" s="848" t="s">
        <v>1862</v>
      </c>
      <c r="C406" s="849">
        <v>32</v>
      </c>
      <c r="D406" s="847">
        <v>42092</v>
      </c>
      <c r="E406" s="850">
        <v>30</v>
      </c>
      <c r="F406" s="850">
        <v>0</v>
      </c>
      <c r="G406" s="850">
        <v>0</v>
      </c>
      <c r="H406" s="850">
        <v>0</v>
      </c>
      <c r="I406" s="851">
        <v>0</v>
      </c>
      <c r="J406" s="851">
        <v>0</v>
      </c>
      <c r="K406" s="851">
        <v>0</v>
      </c>
      <c r="L406" s="849">
        <v>0</v>
      </c>
    </row>
    <row r="407" spans="1:15" hidden="1">
      <c r="A407" s="847">
        <v>42067</v>
      </c>
      <c r="B407" s="848" t="s">
        <v>1867</v>
      </c>
      <c r="C407" s="849">
        <v>28</v>
      </c>
      <c r="D407" s="847">
        <v>42095</v>
      </c>
      <c r="E407" s="850">
        <v>30</v>
      </c>
      <c r="F407" s="850">
        <v>0</v>
      </c>
      <c r="G407" s="850">
        <v>0</v>
      </c>
      <c r="H407" s="850">
        <v>0</v>
      </c>
      <c r="I407" s="851">
        <v>0</v>
      </c>
      <c r="J407" s="851">
        <v>0</v>
      </c>
      <c r="K407" s="851">
        <v>0</v>
      </c>
      <c r="L407" s="849">
        <v>0</v>
      </c>
    </row>
    <row r="408" spans="1:15" hidden="1">
      <c r="A408" s="847">
        <v>42074</v>
      </c>
      <c r="B408" s="848" t="s">
        <v>1868</v>
      </c>
      <c r="C408" s="849">
        <v>28</v>
      </c>
      <c r="D408" s="847">
        <v>42102</v>
      </c>
      <c r="E408" s="850">
        <v>30</v>
      </c>
      <c r="F408" s="850">
        <v>0</v>
      </c>
      <c r="G408" s="850">
        <v>0</v>
      </c>
      <c r="H408" s="850">
        <v>0</v>
      </c>
      <c r="I408" s="851">
        <v>0</v>
      </c>
      <c r="J408" s="851">
        <v>0</v>
      </c>
      <c r="K408" s="851">
        <v>0</v>
      </c>
      <c r="L408" s="849">
        <v>0</v>
      </c>
    </row>
    <row r="409" spans="1:15" hidden="1">
      <c r="A409" s="847">
        <v>42081</v>
      </c>
      <c r="B409" s="848" t="s">
        <v>1869</v>
      </c>
      <c r="C409" s="849">
        <v>28</v>
      </c>
      <c r="D409" s="847">
        <v>42109</v>
      </c>
      <c r="E409" s="850">
        <v>30</v>
      </c>
      <c r="F409" s="850">
        <v>0</v>
      </c>
      <c r="G409" s="850">
        <v>0</v>
      </c>
      <c r="H409" s="850">
        <v>0</v>
      </c>
      <c r="I409" s="851">
        <v>0</v>
      </c>
      <c r="J409" s="851">
        <v>0</v>
      </c>
      <c r="K409" s="851">
        <v>0</v>
      </c>
      <c r="L409" s="849">
        <v>0</v>
      </c>
    </row>
    <row r="410" spans="1:15" hidden="1">
      <c r="A410" s="847">
        <v>42095</v>
      </c>
      <c r="B410" s="848" t="s">
        <v>1887</v>
      </c>
      <c r="C410" s="849">
        <v>28</v>
      </c>
      <c r="D410" s="847">
        <v>42123</v>
      </c>
      <c r="E410" s="850">
        <v>30</v>
      </c>
      <c r="F410" s="850">
        <v>0</v>
      </c>
      <c r="G410" s="850">
        <v>0</v>
      </c>
      <c r="H410" s="850">
        <v>0</v>
      </c>
      <c r="I410" s="851">
        <v>0</v>
      </c>
      <c r="J410" s="851">
        <v>0</v>
      </c>
      <c r="K410" s="851">
        <v>0</v>
      </c>
      <c r="L410" s="849">
        <v>0</v>
      </c>
    </row>
    <row r="411" spans="1:15" hidden="1">
      <c r="A411" s="847">
        <v>42102</v>
      </c>
      <c r="B411" s="848" t="s">
        <v>1888</v>
      </c>
      <c r="C411" s="849">
        <v>28</v>
      </c>
      <c r="D411" s="847">
        <v>42130</v>
      </c>
      <c r="E411" s="850">
        <v>30</v>
      </c>
      <c r="F411" s="850">
        <v>0</v>
      </c>
      <c r="G411" s="850">
        <v>0</v>
      </c>
      <c r="H411" s="850">
        <v>0</v>
      </c>
      <c r="I411" s="851">
        <v>0</v>
      </c>
      <c r="J411" s="851">
        <v>0</v>
      </c>
      <c r="K411" s="851">
        <v>0</v>
      </c>
      <c r="L411" s="849">
        <v>0</v>
      </c>
    </row>
    <row r="412" spans="1:15" hidden="1">
      <c r="A412" s="847">
        <v>42109</v>
      </c>
      <c r="B412" s="848" t="s">
        <v>1889</v>
      </c>
      <c r="C412" s="849">
        <v>28</v>
      </c>
      <c r="D412" s="847">
        <v>42137</v>
      </c>
      <c r="E412" s="850">
        <v>30</v>
      </c>
      <c r="F412" s="850">
        <v>0</v>
      </c>
      <c r="G412" s="850">
        <v>0</v>
      </c>
      <c r="H412" s="850">
        <v>0</v>
      </c>
      <c r="I412" s="851">
        <v>0</v>
      </c>
      <c r="J412" s="851">
        <v>0</v>
      </c>
      <c r="K412" s="851">
        <v>0</v>
      </c>
      <c r="L412" s="849">
        <v>0</v>
      </c>
    </row>
    <row r="413" spans="1:15" hidden="1">
      <c r="A413" s="847">
        <v>42116</v>
      </c>
      <c r="B413" s="848" t="s">
        <v>1890</v>
      </c>
      <c r="C413" s="849">
        <v>28</v>
      </c>
      <c r="D413" s="847">
        <v>42144</v>
      </c>
      <c r="E413" s="850">
        <v>30</v>
      </c>
      <c r="F413" s="850">
        <v>0</v>
      </c>
      <c r="G413" s="850">
        <v>0</v>
      </c>
      <c r="H413" s="850">
        <v>0</v>
      </c>
      <c r="I413" s="851">
        <v>0</v>
      </c>
      <c r="J413" s="851">
        <v>0</v>
      </c>
      <c r="K413" s="851">
        <v>0</v>
      </c>
      <c r="L413" s="849">
        <v>0</v>
      </c>
    </row>
    <row r="414" spans="1:15" hidden="1">
      <c r="A414" s="847">
        <v>42123</v>
      </c>
      <c r="B414" s="848" t="s">
        <v>1891</v>
      </c>
      <c r="C414" s="849">
        <v>28</v>
      </c>
      <c r="D414" s="847">
        <v>42151</v>
      </c>
      <c r="E414" s="850">
        <v>30</v>
      </c>
      <c r="F414" s="850">
        <v>0</v>
      </c>
      <c r="G414" s="850">
        <v>0</v>
      </c>
      <c r="H414" s="850">
        <v>0</v>
      </c>
      <c r="I414" s="851">
        <v>0</v>
      </c>
      <c r="J414" s="851">
        <v>0</v>
      </c>
      <c r="K414" s="851">
        <v>0</v>
      </c>
      <c r="L414" s="849">
        <v>0</v>
      </c>
    </row>
    <row r="415" spans="1:15" hidden="1">
      <c r="A415" s="847">
        <v>42676</v>
      </c>
      <c r="B415" s="848" t="s">
        <v>1928</v>
      </c>
      <c r="C415" s="849">
        <v>28</v>
      </c>
      <c r="D415" s="847">
        <v>42704</v>
      </c>
      <c r="E415" s="850">
        <v>50</v>
      </c>
      <c r="F415" s="850">
        <v>64.2363</v>
      </c>
      <c r="G415" s="850">
        <v>50</v>
      </c>
      <c r="H415" s="850">
        <v>0</v>
      </c>
      <c r="I415" s="851">
        <v>0.14000000000000001</v>
      </c>
      <c r="J415" s="851">
        <v>0.14979999999999999</v>
      </c>
      <c r="K415" s="851">
        <v>0.14710000000000001</v>
      </c>
      <c r="L415" s="849">
        <v>3</v>
      </c>
    </row>
    <row r="416" spans="1:15" hidden="1">
      <c r="A416" s="847">
        <v>42684</v>
      </c>
      <c r="B416" s="848" t="s">
        <v>1929</v>
      </c>
      <c r="C416" s="849">
        <v>27</v>
      </c>
      <c r="D416" s="847">
        <v>42711</v>
      </c>
      <c r="E416" s="850">
        <v>75</v>
      </c>
      <c r="F416" s="850">
        <v>26.718499999999999</v>
      </c>
      <c r="G416" s="850">
        <v>26.718499999999999</v>
      </c>
      <c r="H416" s="850">
        <v>0</v>
      </c>
      <c r="I416" s="851">
        <v>0.14269999999999999</v>
      </c>
      <c r="J416" s="851">
        <v>0.14990000000000001</v>
      </c>
      <c r="K416" s="851">
        <v>0.14949999999999999</v>
      </c>
      <c r="L416" s="849">
        <v>3</v>
      </c>
    </row>
    <row r="417" spans="1:12" hidden="1">
      <c r="A417" s="847">
        <v>42690</v>
      </c>
      <c r="B417" s="848" t="s">
        <v>1930</v>
      </c>
      <c r="C417" s="849">
        <v>28</v>
      </c>
      <c r="D417" s="847">
        <v>42718</v>
      </c>
      <c r="E417" s="850">
        <v>75</v>
      </c>
      <c r="F417" s="850">
        <v>30.338200000000001</v>
      </c>
      <c r="G417" s="850">
        <v>30.338200000000001</v>
      </c>
      <c r="H417" s="850">
        <v>0</v>
      </c>
      <c r="I417" s="851">
        <v>0.14499999999999999</v>
      </c>
      <c r="J417" s="851">
        <v>0.14499999999999999</v>
      </c>
      <c r="K417" s="851">
        <v>0.14499999999999999</v>
      </c>
      <c r="L417" s="849">
        <v>1</v>
      </c>
    </row>
    <row r="418" spans="1:12" hidden="1">
      <c r="A418" s="847">
        <v>42697</v>
      </c>
      <c r="B418" s="848" t="s">
        <v>1931</v>
      </c>
      <c r="C418" s="849">
        <v>28</v>
      </c>
      <c r="D418" s="847">
        <v>42725</v>
      </c>
      <c r="E418" s="850">
        <v>75</v>
      </c>
      <c r="F418" s="850">
        <v>5.0583</v>
      </c>
      <c r="G418" s="850">
        <v>5.0583</v>
      </c>
      <c r="H418" s="850">
        <v>0</v>
      </c>
      <c r="I418" s="851">
        <v>0.14990000000000001</v>
      </c>
      <c r="J418" s="851">
        <v>0.14990000000000001</v>
      </c>
      <c r="K418" s="851">
        <v>0.14990000000000001</v>
      </c>
      <c r="L418" s="849">
        <v>1</v>
      </c>
    </row>
    <row r="419" spans="1:12" hidden="1">
      <c r="A419" s="847">
        <v>42704</v>
      </c>
      <c r="B419" s="848" t="s">
        <v>1932</v>
      </c>
      <c r="C419" s="849">
        <v>28</v>
      </c>
      <c r="D419" s="847">
        <v>42732</v>
      </c>
      <c r="E419" s="850">
        <v>75</v>
      </c>
      <c r="F419" s="850">
        <v>50.116599999999998</v>
      </c>
      <c r="G419" s="850">
        <v>50.116599999999998</v>
      </c>
      <c r="H419" s="850">
        <v>0</v>
      </c>
      <c r="I419" s="851">
        <v>0.14990000000000001</v>
      </c>
      <c r="J419" s="851">
        <v>0.14990000000000001</v>
      </c>
      <c r="K419" s="851">
        <v>0.14990000000000001</v>
      </c>
      <c r="L419" s="849">
        <v>1</v>
      </c>
    </row>
    <row r="420" spans="1:12" hidden="1">
      <c r="A420" s="847">
        <v>42711</v>
      </c>
      <c r="B420" s="848" t="s">
        <v>1938</v>
      </c>
      <c r="C420" s="849">
        <v>29</v>
      </c>
      <c r="D420" s="847">
        <v>42740</v>
      </c>
      <c r="E420" s="850">
        <v>75</v>
      </c>
      <c r="F420" s="850">
        <v>3.2370000000000001</v>
      </c>
      <c r="G420" s="850">
        <v>3.2370000000000001</v>
      </c>
      <c r="H420" s="850">
        <v>0</v>
      </c>
      <c r="I420" s="851">
        <v>0.1406</v>
      </c>
      <c r="J420" s="851">
        <v>0.1457</v>
      </c>
      <c r="K420" s="851">
        <v>0.14249999999999999</v>
      </c>
      <c r="L420" s="849">
        <v>2</v>
      </c>
    </row>
    <row r="421" spans="1:12" hidden="1">
      <c r="A421" s="847">
        <v>42718</v>
      </c>
      <c r="B421" s="848" t="s">
        <v>1939</v>
      </c>
      <c r="C421" s="849">
        <v>28</v>
      </c>
      <c r="D421" s="847">
        <v>42746</v>
      </c>
      <c r="E421" s="850">
        <v>75</v>
      </c>
      <c r="F421" s="850">
        <v>50.583100000000002</v>
      </c>
      <c r="G421" s="850">
        <v>50.583100000000002</v>
      </c>
      <c r="H421" s="850">
        <v>0</v>
      </c>
      <c r="I421" s="851">
        <v>0.14990000000000001</v>
      </c>
      <c r="J421" s="851">
        <v>0.14990000000000001</v>
      </c>
      <c r="K421" s="851">
        <v>0.14990000000000001</v>
      </c>
      <c r="L421" s="849">
        <v>2</v>
      </c>
    </row>
    <row r="422" spans="1:12" hidden="1">
      <c r="A422" s="847">
        <v>42725</v>
      </c>
      <c r="B422" s="848" t="s">
        <v>1940</v>
      </c>
      <c r="C422" s="849">
        <v>28</v>
      </c>
      <c r="D422" s="847">
        <v>42753</v>
      </c>
      <c r="E422" s="850">
        <v>50</v>
      </c>
      <c r="F422" s="850">
        <v>45.5777</v>
      </c>
      <c r="G422" s="850">
        <v>45.5777</v>
      </c>
      <c r="H422" s="850">
        <v>0</v>
      </c>
      <c r="I422" s="851">
        <v>0.14990000000000001</v>
      </c>
      <c r="J422" s="851">
        <v>0.14990000000000001</v>
      </c>
      <c r="K422" s="851">
        <v>0.14990000000000001</v>
      </c>
      <c r="L422" s="849">
        <v>2</v>
      </c>
    </row>
    <row r="423" spans="1:12" hidden="1">
      <c r="A423" s="847">
        <v>42732</v>
      </c>
      <c r="B423" s="848" t="s">
        <v>1941</v>
      </c>
      <c r="C423" s="849">
        <v>28</v>
      </c>
      <c r="D423" s="847">
        <v>42760</v>
      </c>
      <c r="E423" s="850">
        <v>50</v>
      </c>
      <c r="F423" s="850">
        <v>10.2227</v>
      </c>
      <c r="G423" s="850">
        <v>10.2227</v>
      </c>
      <c r="H423" s="850">
        <v>0</v>
      </c>
      <c r="I423" s="851">
        <v>0.14990000000000001</v>
      </c>
      <c r="J423" s="851">
        <v>0.14990000000000001</v>
      </c>
      <c r="K423" s="851">
        <v>0.14990000000000001</v>
      </c>
      <c r="L423" s="849">
        <v>1</v>
      </c>
    </row>
    <row r="424" spans="1:12">
      <c r="A424" s="1083">
        <v>2017</v>
      </c>
      <c r="B424" s="848"/>
      <c r="C424" s="849"/>
      <c r="D424" s="847"/>
      <c r="E424" s="850"/>
      <c r="F424" s="850"/>
      <c r="G424" s="850"/>
      <c r="H424" s="850"/>
      <c r="I424" s="851"/>
      <c r="J424" s="851"/>
      <c r="K424" s="851"/>
      <c r="L424" s="849"/>
    </row>
    <row r="425" spans="1:12">
      <c r="A425" s="847">
        <v>42740</v>
      </c>
      <c r="B425" s="848" t="s">
        <v>1943</v>
      </c>
      <c r="C425" s="849">
        <v>27</v>
      </c>
      <c r="D425" s="847">
        <v>42767</v>
      </c>
      <c r="E425" s="850">
        <v>5</v>
      </c>
      <c r="F425" s="850">
        <v>3.5074999999999998</v>
      </c>
      <c r="G425" s="850">
        <v>3.5074999999999998</v>
      </c>
      <c r="H425" s="850">
        <v>0</v>
      </c>
      <c r="I425" s="851">
        <v>0.14990000000000001</v>
      </c>
      <c r="J425" s="851">
        <v>0.14990000000000001</v>
      </c>
      <c r="K425" s="851">
        <v>0.14990000000000001</v>
      </c>
      <c r="L425" s="849">
        <v>2</v>
      </c>
    </row>
    <row r="426" spans="1:12">
      <c r="A426" s="847">
        <v>42746</v>
      </c>
      <c r="B426" s="848" t="s">
        <v>1944</v>
      </c>
      <c r="C426" s="849">
        <v>28</v>
      </c>
      <c r="D426" s="847">
        <v>42774</v>
      </c>
      <c r="E426" s="850">
        <v>5</v>
      </c>
      <c r="F426" s="850">
        <v>10</v>
      </c>
      <c r="G426" s="850">
        <v>5</v>
      </c>
      <c r="H426" s="850">
        <v>0</v>
      </c>
      <c r="I426" s="851">
        <v>0.14280000000000001</v>
      </c>
      <c r="J426" s="851">
        <v>0.14560000000000001</v>
      </c>
      <c r="K426" s="851">
        <v>0.14399999999999999</v>
      </c>
      <c r="L426" s="849">
        <v>2</v>
      </c>
    </row>
    <row r="427" spans="1:12">
      <c r="A427" s="847">
        <v>42753</v>
      </c>
      <c r="B427" s="848" t="s">
        <v>1945</v>
      </c>
      <c r="C427" s="849">
        <v>28</v>
      </c>
      <c r="D427" s="847">
        <v>42781</v>
      </c>
      <c r="E427" s="850">
        <v>5</v>
      </c>
      <c r="F427" s="850">
        <v>10</v>
      </c>
      <c r="G427" s="850">
        <v>5</v>
      </c>
      <c r="H427" s="850">
        <v>0</v>
      </c>
      <c r="I427" s="851">
        <v>0.1201</v>
      </c>
      <c r="J427" s="851">
        <v>0.1201</v>
      </c>
      <c r="K427" s="851">
        <v>0.1201</v>
      </c>
      <c r="L427" s="849">
        <v>2</v>
      </c>
    </row>
    <row r="428" spans="1:12">
      <c r="A428" s="847">
        <v>42761</v>
      </c>
      <c r="B428" s="848" t="s">
        <v>1946</v>
      </c>
      <c r="C428" s="849">
        <v>28</v>
      </c>
      <c r="D428" s="847">
        <v>42789</v>
      </c>
      <c r="E428" s="850">
        <v>25</v>
      </c>
      <c r="F428" s="850">
        <v>53.033900000000003</v>
      </c>
      <c r="G428" s="850">
        <v>25</v>
      </c>
      <c r="H428" s="850">
        <v>0</v>
      </c>
      <c r="I428" s="851">
        <v>0.125</v>
      </c>
      <c r="J428" s="851">
        <v>0.125</v>
      </c>
      <c r="K428" s="851">
        <v>0.125</v>
      </c>
      <c r="L428" s="849">
        <v>4</v>
      </c>
    </row>
    <row r="429" spans="1:12">
      <c r="A429" s="847">
        <v>42767</v>
      </c>
      <c r="B429" s="848" t="s">
        <v>1950</v>
      </c>
      <c r="C429" s="849">
        <v>28</v>
      </c>
      <c r="D429" s="847">
        <v>42795</v>
      </c>
      <c r="E429" s="850">
        <v>50</v>
      </c>
      <c r="F429" s="850">
        <v>29.616</v>
      </c>
      <c r="G429" s="850">
        <v>29.616</v>
      </c>
      <c r="H429" s="850">
        <v>0</v>
      </c>
      <c r="I429" s="851">
        <v>0.13</v>
      </c>
      <c r="J429" s="851">
        <v>0.13</v>
      </c>
      <c r="K429" s="851">
        <v>0.13</v>
      </c>
      <c r="L429" s="849">
        <v>5</v>
      </c>
    </row>
    <row r="430" spans="1:12">
      <c r="A430" s="847">
        <v>42774</v>
      </c>
      <c r="B430" s="848" t="s">
        <v>1951</v>
      </c>
      <c r="C430" s="849">
        <v>29</v>
      </c>
      <c r="D430" s="847">
        <v>42803</v>
      </c>
      <c r="E430" s="850">
        <v>50</v>
      </c>
      <c r="F430" s="850">
        <v>22.759</v>
      </c>
      <c r="G430" s="850">
        <v>22.759</v>
      </c>
      <c r="H430" s="850">
        <v>0</v>
      </c>
      <c r="I430" s="851">
        <v>0.12989999999999999</v>
      </c>
      <c r="J430" s="851">
        <v>0.14499999999999999</v>
      </c>
      <c r="K430" s="851">
        <v>0.13880000000000001</v>
      </c>
      <c r="L430" s="849">
        <v>3</v>
      </c>
    </row>
    <row r="431" spans="1:12">
      <c r="A431" s="847">
        <v>42781</v>
      </c>
      <c r="B431" s="848" t="s">
        <v>1952</v>
      </c>
      <c r="C431" s="849">
        <v>28</v>
      </c>
      <c r="D431" s="847">
        <v>42809</v>
      </c>
      <c r="E431" s="850">
        <v>50</v>
      </c>
      <c r="F431" s="850">
        <v>25.291499999999999</v>
      </c>
      <c r="G431" s="850">
        <v>25.291499999999999</v>
      </c>
      <c r="H431" s="850">
        <v>0</v>
      </c>
      <c r="I431" s="851">
        <v>0.1305</v>
      </c>
      <c r="J431" s="851">
        <v>0.14990000000000001</v>
      </c>
      <c r="K431" s="851">
        <v>0.14560000000000001</v>
      </c>
      <c r="L431" s="849">
        <v>1</v>
      </c>
    </row>
    <row r="432" spans="1:12">
      <c r="A432" s="847">
        <v>42788</v>
      </c>
      <c r="B432" s="848" t="s">
        <v>1953</v>
      </c>
      <c r="C432" s="849">
        <v>35</v>
      </c>
      <c r="D432" s="847">
        <v>42823</v>
      </c>
      <c r="E432" s="850">
        <v>50</v>
      </c>
      <c r="F432" s="850">
        <v>12.3756</v>
      </c>
      <c r="G432" s="850">
        <v>12.3756</v>
      </c>
      <c r="H432" s="850">
        <v>0</v>
      </c>
      <c r="I432" s="851">
        <v>0.14180000000000001</v>
      </c>
      <c r="J432" s="851">
        <v>0.14480000000000001</v>
      </c>
      <c r="K432" s="851">
        <v>0.14480000000000001</v>
      </c>
      <c r="L432" s="849">
        <v>4</v>
      </c>
    </row>
    <row r="433" spans="1:12">
      <c r="A433" s="847">
        <v>42795</v>
      </c>
      <c r="B433" s="848" t="s">
        <v>1959</v>
      </c>
      <c r="C433" s="849">
        <v>28</v>
      </c>
      <c r="D433" s="847">
        <v>42823</v>
      </c>
      <c r="E433" s="850">
        <v>50</v>
      </c>
      <c r="F433" s="850">
        <v>11.7456</v>
      </c>
      <c r="G433" s="850">
        <v>11.7456</v>
      </c>
      <c r="H433" s="850">
        <v>0</v>
      </c>
      <c r="I433" s="851">
        <v>0.13020000000000001</v>
      </c>
      <c r="J433" s="851">
        <v>0.14990000000000001</v>
      </c>
      <c r="K433" s="851">
        <v>0.14829999999999999</v>
      </c>
      <c r="L433" s="849">
        <v>2</v>
      </c>
    </row>
    <row r="434" spans="1:12">
      <c r="A434" s="847">
        <v>42803</v>
      </c>
      <c r="B434" s="848" t="s">
        <v>1960</v>
      </c>
      <c r="C434" s="849">
        <v>27</v>
      </c>
      <c r="D434" s="847">
        <v>42830</v>
      </c>
      <c r="E434" s="850">
        <v>50</v>
      </c>
      <c r="F434" s="850">
        <v>9.3712999999999997</v>
      </c>
      <c r="G434" s="850">
        <v>9.3712999999999997</v>
      </c>
      <c r="H434" s="850">
        <v>0</v>
      </c>
      <c r="I434" s="851">
        <v>0.14430000000000001</v>
      </c>
      <c r="J434" s="851">
        <v>0.14990000000000001</v>
      </c>
      <c r="K434" s="851">
        <v>0.1492</v>
      </c>
      <c r="L434" s="849">
        <v>3</v>
      </c>
    </row>
    <row r="435" spans="1:12">
      <c r="A435" s="847">
        <v>42809</v>
      </c>
      <c r="B435" s="848" t="s">
        <v>1961</v>
      </c>
      <c r="C435" s="849">
        <v>28</v>
      </c>
      <c r="D435" s="847">
        <v>42837</v>
      </c>
      <c r="E435" s="850">
        <v>50</v>
      </c>
      <c r="F435" s="850">
        <v>26.303100000000001</v>
      </c>
      <c r="G435" s="850">
        <v>26.303100000000001</v>
      </c>
      <c r="H435" s="850">
        <v>0</v>
      </c>
      <c r="I435" s="851">
        <v>0.14560000000000001</v>
      </c>
      <c r="J435" s="851">
        <v>0.14990000000000001</v>
      </c>
      <c r="K435" s="851">
        <v>0.14799999999999999</v>
      </c>
      <c r="L435" s="849">
        <v>2</v>
      </c>
    </row>
    <row r="436" spans="1:12">
      <c r="A436" s="847">
        <v>42823</v>
      </c>
      <c r="B436" s="848" t="s">
        <v>1962</v>
      </c>
      <c r="C436" s="849">
        <v>28</v>
      </c>
      <c r="D436" s="847">
        <v>42851</v>
      </c>
      <c r="E436" s="850">
        <v>50</v>
      </c>
      <c r="F436" s="850">
        <v>33.423999999999999</v>
      </c>
      <c r="G436" s="850">
        <v>33.423999999999999</v>
      </c>
      <c r="H436" s="850">
        <v>0</v>
      </c>
      <c r="I436" s="851">
        <v>0.14990000000000001</v>
      </c>
      <c r="J436" s="851">
        <v>0.14990000000000001</v>
      </c>
      <c r="K436" s="851">
        <v>0.14990000000000001</v>
      </c>
      <c r="L436" s="849">
        <v>4</v>
      </c>
    </row>
    <row r="437" spans="1:12">
      <c r="A437" s="847">
        <v>42830</v>
      </c>
      <c r="B437" s="848" t="s">
        <v>1968</v>
      </c>
      <c r="C437" s="849">
        <v>28</v>
      </c>
      <c r="D437" s="847">
        <v>42858</v>
      </c>
      <c r="E437" s="850">
        <v>50</v>
      </c>
      <c r="F437" s="850">
        <v>27.867999999999999</v>
      </c>
      <c r="G437" s="850">
        <v>27.867999999999999</v>
      </c>
      <c r="H437" s="850">
        <v>0</v>
      </c>
      <c r="I437" s="851">
        <v>0.14599999999999999</v>
      </c>
      <c r="J437" s="851">
        <v>0.14990000000000001</v>
      </c>
      <c r="K437" s="851">
        <v>0.1497</v>
      </c>
      <c r="L437" s="849">
        <v>2</v>
      </c>
    </row>
    <row r="438" spans="1:12">
      <c r="A438" s="847">
        <v>42837</v>
      </c>
      <c r="B438" s="848" t="s">
        <v>1969</v>
      </c>
      <c r="C438" s="849">
        <v>28</v>
      </c>
      <c r="D438" s="847">
        <v>42865</v>
      </c>
      <c r="E438" s="850">
        <v>25</v>
      </c>
      <c r="F438" s="850">
        <v>60.112699999999997</v>
      </c>
      <c r="G438" s="850">
        <v>25</v>
      </c>
      <c r="H438" s="850">
        <v>0</v>
      </c>
      <c r="I438" s="851">
        <v>0.14799999999999999</v>
      </c>
      <c r="J438" s="851">
        <v>0.14990000000000001</v>
      </c>
      <c r="K438" s="851">
        <v>0.14979999999999999</v>
      </c>
      <c r="L438" s="849">
        <v>3</v>
      </c>
    </row>
    <row r="439" spans="1:12">
      <c r="A439" s="847">
        <v>42851</v>
      </c>
      <c r="B439" s="848" t="s">
        <v>1970</v>
      </c>
      <c r="C439" s="849">
        <v>28</v>
      </c>
      <c r="D439" s="847">
        <v>42879</v>
      </c>
      <c r="E439" s="850">
        <v>25</v>
      </c>
      <c r="F439" s="850">
        <v>21.81</v>
      </c>
      <c r="G439" s="850">
        <v>21.81</v>
      </c>
      <c r="H439" s="850">
        <v>0</v>
      </c>
      <c r="I439" s="851">
        <v>0.1389</v>
      </c>
      <c r="J439" s="851">
        <v>0.1389</v>
      </c>
      <c r="K439" s="851">
        <v>0.1389</v>
      </c>
      <c r="L439" s="849">
        <v>3</v>
      </c>
    </row>
    <row r="440" spans="1:12">
      <c r="A440" s="847">
        <v>42858</v>
      </c>
      <c r="B440" s="848" t="s">
        <v>1975</v>
      </c>
      <c r="C440" s="849">
        <v>28</v>
      </c>
      <c r="D440" s="847">
        <v>42886</v>
      </c>
      <c r="E440" s="850">
        <v>25</v>
      </c>
      <c r="F440" s="850">
        <v>52.18</v>
      </c>
      <c r="G440" s="850">
        <v>25</v>
      </c>
      <c r="H440" s="850">
        <v>0</v>
      </c>
      <c r="I440" s="851">
        <v>0.129</v>
      </c>
      <c r="J440" s="851">
        <v>0.14990000000000001</v>
      </c>
      <c r="K440" s="851">
        <v>0.14580000000000001</v>
      </c>
      <c r="L440" s="849">
        <v>3</v>
      </c>
    </row>
    <row r="441" spans="1:12">
      <c r="A441" s="847">
        <v>42865</v>
      </c>
      <c r="B441" s="848" t="s">
        <v>1976</v>
      </c>
      <c r="C441" s="849">
        <v>28</v>
      </c>
      <c r="D441" s="847">
        <v>42893</v>
      </c>
      <c r="E441" s="850">
        <v>25</v>
      </c>
      <c r="F441" s="850">
        <v>75.253699999999995</v>
      </c>
      <c r="G441" s="850">
        <v>25</v>
      </c>
      <c r="H441" s="850">
        <v>0</v>
      </c>
      <c r="I441" s="851">
        <v>0.14560000000000001</v>
      </c>
      <c r="J441" s="851">
        <v>0.14799999999999999</v>
      </c>
      <c r="K441" s="851">
        <v>0.1479</v>
      </c>
      <c r="L441" s="849">
        <v>5</v>
      </c>
    </row>
    <row r="442" spans="1:12">
      <c r="A442" s="847">
        <v>42872</v>
      </c>
      <c r="B442" s="848" t="s">
        <v>1977</v>
      </c>
      <c r="C442" s="849">
        <v>28</v>
      </c>
      <c r="D442" s="847">
        <v>42900</v>
      </c>
      <c r="E442" s="850">
        <v>25</v>
      </c>
      <c r="F442" s="850">
        <v>117.6808</v>
      </c>
      <c r="G442" s="850">
        <v>25</v>
      </c>
      <c r="H442" s="850">
        <v>0</v>
      </c>
      <c r="I442" s="851">
        <v>0.124</v>
      </c>
      <c r="J442" s="851">
        <v>0.13900000000000001</v>
      </c>
      <c r="K442" s="851">
        <v>0.13059999999999999</v>
      </c>
      <c r="L442" s="849">
        <v>8</v>
      </c>
    </row>
    <row r="443" spans="1:12">
      <c r="A443" s="847">
        <v>42879</v>
      </c>
      <c r="B443" s="848" t="s">
        <v>1978</v>
      </c>
      <c r="C443" s="849">
        <v>28</v>
      </c>
      <c r="D443" s="847">
        <v>42907</v>
      </c>
      <c r="E443" s="850">
        <v>25</v>
      </c>
      <c r="F443" s="850">
        <v>115.1399</v>
      </c>
      <c r="G443" s="850">
        <v>25</v>
      </c>
      <c r="H443" s="850">
        <v>0</v>
      </c>
      <c r="I443" s="851">
        <v>0.1201</v>
      </c>
      <c r="J443" s="851">
        <v>0.1201</v>
      </c>
      <c r="K443" s="851">
        <v>0.1201</v>
      </c>
      <c r="L443" s="849">
        <v>6</v>
      </c>
    </row>
    <row r="444" spans="1:12">
      <c r="A444" s="847">
        <v>42886</v>
      </c>
      <c r="B444" s="848" t="s">
        <v>1979</v>
      </c>
      <c r="C444" s="849">
        <v>29</v>
      </c>
      <c r="D444" s="847">
        <v>42915</v>
      </c>
      <c r="E444" s="850">
        <v>50</v>
      </c>
      <c r="F444" s="850">
        <v>108.6514</v>
      </c>
      <c r="G444" s="850">
        <v>50</v>
      </c>
      <c r="H444" s="850">
        <v>0</v>
      </c>
      <c r="I444" s="851">
        <v>0.1201</v>
      </c>
      <c r="J444" s="851">
        <v>0.1201</v>
      </c>
      <c r="K444" s="851">
        <v>0.1201</v>
      </c>
      <c r="L444" s="849">
        <v>5</v>
      </c>
    </row>
    <row r="445" spans="1:12">
      <c r="A445" s="847">
        <v>42893</v>
      </c>
      <c r="B445" s="848" t="s">
        <v>2011</v>
      </c>
      <c r="C445" s="849">
        <v>28</v>
      </c>
      <c r="D445" s="847">
        <v>42921</v>
      </c>
      <c r="E445" s="850">
        <v>50</v>
      </c>
      <c r="F445" s="850">
        <v>179.98589999999999</v>
      </c>
      <c r="G445" s="850">
        <v>50</v>
      </c>
      <c r="H445" s="850">
        <v>0</v>
      </c>
      <c r="I445" s="851">
        <v>0.1201</v>
      </c>
      <c r="J445" s="851">
        <v>0.1201</v>
      </c>
      <c r="K445" s="851">
        <v>0.1201</v>
      </c>
      <c r="L445" s="849">
        <v>10</v>
      </c>
    </row>
    <row r="446" spans="1:12">
      <c r="A446" s="847">
        <v>42900</v>
      </c>
      <c r="B446" s="848" t="s">
        <v>2012</v>
      </c>
      <c r="C446" s="849">
        <v>28</v>
      </c>
      <c r="D446" s="847">
        <v>42928</v>
      </c>
      <c r="E446" s="850">
        <v>100</v>
      </c>
      <c r="F446" s="850">
        <v>245.763091</v>
      </c>
      <c r="G446" s="850">
        <v>100</v>
      </c>
      <c r="H446" s="850">
        <v>0</v>
      </c>
      <c r="I446" s="851">
        <v>0.1201</v>
      </c>
      <c r="J446" s="851">
        <v>0.1201</v>
      </c>
      <c r="K446" s="851">
        <v>0.1201</v>
      </c>
      <c r="L446" s="849">
        <v>10</v>
      </c>
    </row>
    <row r="447" spans="1:12">
      <c r="A447" s="847">
        <v>42907</v>
      </c>
      <c r="B447" s="848" t="s">
        <v>2013</v>
      </c>
      <c r="C447" s="849">
        <v>28</v>
      </c>
      <c r="D447" s="847">
        <v>42935</v>
      </c>
      <c r="E447" s="850">
        <v>150</v>
      </c>
      <c r="F447" s="850">
        <v>171.840182</v>
      </c>
      <c r="G447" s="850">
        <v>150</v>
      </c>
      <c r="H447" s="850">
        <v>0</v>
      </c>
      <c r="I447" s="851">
        <v>0.1201</v>
      </c>
      <c r="J447" s="851">
        <v>0.1201</v>
      </c>
      <c r="K447" s="851">
        <v>0.1201</v>
      </c>
      <c r="L447" s="849">
        <v>8</v>
      </c>
    </row>
    <row r="448" spans="1:12">
      <c r="A448" s="847">
        <v>42915</v>
      </c>
      <c r="B448" s="848" t="s">
        <v>2014</v>
      </c>
      <c r="C448" s="849">
        <v>27</v>
      </c>
      <c r="D448" s="847">
        <v>42942</v>
      </c>
      <c r="E448" s="850">
        <v>150</v>
      </c>
      <c r="F448" s="850">
        <v>163.619</v>
      </c>
      <c r="G448" s="850">
        <v>50</v>
      </c>
      <c r="H448" s="850">
        <v>0</v>
      </c>
      <c r="I448" s="851">
        <v>0.1201</v>
      </c>
      <c r="J448" s="851">
        <v>0.13500000000000001</v>
      </c>
      <c r="K448" s="851">
        <v>0.123852</v>
      </c>
      <c r="L448" s="849">
        <v>7</v>
      </c>
    </row>
    <row r="449" spans="1:12">
      <c r="A449" s="847">
        <v>42921</v>
      </c>
      <c r="B449" s="848" t="s">
        <v>2020</v>
      </c>
      <c r="C449" s="849">
        <v>28</v>
      </c>
      <c r="D449" s="847">
        <v>42949</v>
      </c>
      <c r="E449" s="850">
        <v>100</v>
      </c>
      <c r="F449" s="850">
        <v>320.27398499999998</v>
      </c>
      <c r="G449" s="850">
        <v>100</v>
      </c>
      <c r="H449" s="850">
        <v>0</v>
      </c>
      <c r="I449" s="851">
        <v>0.10009999999999999</v>
      </c>
      <c r="J449" s="851">
        <v>0.10009999999999999</v>
      </c>
      <c r="K449" s="851">
        <v>0.10009999999999999</v>
      </c>
      <c r="L449" s="849">
        <v>7</v>
      </c>
    </row>
    <row r="450" spans="1:12">
      <c r="A450" s="847">
        <v>42928</v>
      </c>
      <c r="B450" s="848" t="s">
        <v>2021</v>
      </c>
      <c r="C450" s="849">
        <v>28</v>
      </c>
      <c r="D450" s="847">
        <v>42956</v>
      </c>
      <c r="E450" s="850">
        <v>100</v>
      </c>
      <c r="F450" s="850">
        <v>417.2346</v>
      </c>
      <c r="G450" s="850">
        <v>100</v>
      </c>
      <c r="H450" s="850">
        <v>0</v>
      </c>
      <c r="I450" s="851">
        <v>0.10009999999999999</v>
      </c>
      <c r="J450" s="851">
        <v>0.10009999999999999</v>
      </c>
      <c r="K450" s="851">
        <v>0.10009999999999999</v>
      </c>
      <c r="L450" s="849">
        <v>15</v>
      </c>
    </row>
    <row r="451" spans="1:12">
      <c r="A451" s="847">
        <v>42935</v>
      </c>
      <c r="B451" s="848" t="s">
        <v>2022</v>
      </c>
      <c r="C451" s="849">
        <v>28</v>
      </c>
      <c r="D451" s="847">
        <v>42963</v>
      </c>
      <c r="E451" s="850">
        <v>200</v>
      </c>
      <c r="F451" s="850">
        <v>431.46600000000001</v>
      </c>
      <c r="G451" s="850">
        <v>200</v>
      </c>
      <c r="H451" s="850">
        <v>0</v>
      </c>
      <c r="I451" s="851">
        <v>0.10009999999999999</v>
      </c>
      <c r="J451" s="851">
        <v>0.10009999999999999</v>
      </c>
      <c r="K451" s="851">
        <v>0.10009999999999999</v>
      </c>
      <c r="L451" s="849">
        <v>15</v>
      </c>
    </row>
    <row r="452" spans="1:12">
      <c r="A452" s="847">
        <v>42942</v>
      </c>
      <c r="B452" s="848" t="s">
        <v>2023</v>
      </c>
      <c r="C452" s="849">
        <v>28</v>
      </c>
      <c r="D452" s="847">
        <v>42970</v>
      </c>
      <c r="E452" s="850">
        <v>150</v>
      </c>
      <c r="F452" s="850">
        <v>127.648</v>
      </c>
      <c r="G452" s="850">
        <v>50</v>
      </c>
      <c r="H452" s="850">
        <v>0</v>
      </c>
      <c r="I452" s="851">
        <v>0.10009999999999999</v>
      </c>
      <c r="J452" s="851">
        <v>0.10009999999999999</v>
      </c>
      <c r="K452" s="851">
        <v>0.10009999999999999</v>
      </c>
      <c r="L452" s="849">
        <v>7</v>
      </c>
    </row>
    <row r="453" spans="1:12">
      <c r="A453" s="847">
        <v>42949</v>
      </c>
      <c r="B453" s="848" t="s">
        <v>2030</v>
      </c>
      <c r="C453" s="849">
        <v>28</v>
      </c>
      <c r="D453" s="847">
        <v>42977</v>
      </c>
      <c r="E453" s="850">
        <v>150</v>
      </c>
      <c r="F453" s="850">
        <v>337.19</v>
      </c>
      <c r="G453" s="850">
        <v>149.999</v>
      </c>
      <c r="H453" s="850">
        <v>0</v>
      </c>
      <c r="I453" s="851">
        <v>0.10009999999999999</v>
      </c>
      <c r="J453" s="851">
        <v>0.10009999999999999</v>
      </c>
      <c r="K453" s="851">
        <v>0.10009999999999999</v>
      </c>
      <c r="L453" s="852">
        <v>10</v>
      </c>
    </row>
    <row r="454" spans="1:12">
      <c r="A454" s="847">
        <v>42956</v>
      </c>
      <c r="B454" s="848" t="s">
        <v>2031</v>
      </c>
      <c r="C454" s="849">
        <v>28</v>
      </c>
      <c r="D454" s="847">
        <v>42984</v>
      </c>
      <c r="E454" s="850">
        <v>100</v>
      </c>
      <c r="F454" s="850">
        <v>260.41059999999999</v>
      </c>
      <c r="G454" s="850">
        <v>100</v>
      </c>
      <c r="H454" s="850">
        <v>0</v>
      </c>
      <c r="I454" s="851">
        <v>0.10009999999999999</v>
      </c>
      <c r="J454" s="851">
        <v>0.10009999999999999</v>
      </c>
      <c r="K454" s="851">
        <v>0.10009999999999999</v>
      </c>
      <c r="L454" s="852">
        <v>13</v>
      </c>
    </row>
    <row r="455" spans="1:12">
      <c r="A455" s="847">
        <v>42963</v>
      </c>
      <c r="B455" s="848" t="s">
        <v>2032</v>
      </c>
      <c r="C455" s="849">
        <v>28</v>
      </c>
      <c r="D455" s="847">
        <v>42991</v>
      </c>
      <c r="E455" s="850">
        <v>200</v>
      </c>
      <c r="F455" s="850">
        <v>541.378063</v>
      </c>
      <c r="G455" s="850">
        <v>200</v>
      </c>
      <c r="H455" s="850">
        <v>0</v>
      </c>
      <c r="I455" s="851">
        <v>0.10009999999999999</v>
      </c>
      <c r="J455" s="851">
        <v>0.10009999999999999</v>
      </c>
      <c r="K455" s="851">
        <v>0.10009999999999999</v>
      </c>
      <c r="L455" s="849">
        <v>15</v>
      </c>
    </row>
    <row r="456" spans="1:12">
      <c r="A456" s="847">
        <v>42970</v>
      </c>
      <c r="B456" s="848" t="s">
        <v>2033</v>
      </c>
      <c r="C456" s="849">
        <v>28</v>
      </c>
      <c r="D456" s="847">
        <v>42998</v>
      </c>
      <c r="E456" s="850">
        <v>100</v>
      </c>
      <c r="F456" s="850">
        <v>421.09892600000001</v>
      </c>
      <c r="G456" s="850">
        <v>100</v>
      </c>
      <c r="H456" s="850">
        <v>0</v>
      </c>
      <c r="I456" s="851">
        <v>0.10009999999999999</v>
      </c>
      <c r="J456" s="851">
        <v>0.10009999999999999</v>
      </c>
      <c r="K456" s="851">
        <v>0.10009999999999999</v>
      </c>
      <c r="L456" s="849">
        <v>15</v>
      </c>
    </row>
    <row r="457" spans="1:12">
      <c r="A457" s="847">
        <v>42977</v>
      </c>
      <c r="B457" s="848" t="s">
        <v>2034</v>
      </c>
      <c r="C457" s="849">
        <v>28</v>
      </c>
      <c r="D457" s="847">
        <v>43005</v>
      </c>
      <c r="E457" s="850">
        <v>150</v>
      </c>
      <c r="F457" s="850">
        <v>463.04234300000002</v>
      </c>
      <c r="G457" s="850">
        <v>150</v>
      </c>
      <c r="H457" s="850">
        <v>0</v>
      </c>
      <c r="I457" s="851">
        <v>0.10009999999999999</v>
      </c>
      <c r="J457" s="851">
        <v>0.10009999999999999</v>
      </c>
      <c r="K457" s="851">
        <v>0.10009999999999999</v>
      </c>
      <c r="L457" s="849">
        <v>15</v>
      </c>
    </row>
    <row r="458" spans="1:12">
      <c r="A458" s="847">
        <v>42984</v>
      </c>
      <c r="B458" s="848" t="s">
        <v>2041</v>
      </c>
      <c r="C458" s="849">
        <v>28</v>
      </c>
      <c r="D458" s="847">
        <v>43012</v>
      </c>
      <c r="E458" s="850">
        <v>150</v>
      </c>
      <c r="F458" s="850">
        <v>452.77697999999998</v>
      </c>
      <c r="G458" s="850">
        <v>150</v>
      </c>
      <c r="H458" s="850">
        <v>0</v>
      </c>
      <c r="I458" s="851">
        <v>0.10009999999999999</v>
      </c>
      <c r="J458" s="851">
        <v>0.10009999999999999</v>
      </c>
      <c r="K458" s="851">
        <v>0.10009999999999999</v>
      </c>
      <c r="L458" s="852">
        <v>17</v>
      </c>
    </row>
    <row r="459" spans="1:12">
      <c r="A459" s="847">
        <v>42991</v>
      </c>
      <c r="B459" s="848" t="s">
        <v>2042</v>
      </c>
      <c r="C459" s="849">
        <v>28</v>
      </c>
      <c r="D459" s="847">
        <v>43019</v>
      </c>
      <c r="E459" s="850">
        <v>150</v>
      </c>
      <c r="F459" s="850">
        <v>492.54790000000003</v>
      </c>
      <c r="G459" s="850">
        <v>150</v>
      </c>
      <c r="H459" s="850">
        <v>0</v>
      </c>
      <c r="I459" s="851">
        <v>0.10009999999999999</v>
      </c>
      <c r="J459" s="851">
        <v>0.10009999999999999</v>
      </c>
      <c r="K459" s="851">
        <v>0.10009999999999999</v>
      </c>
      <c r="L459" s="849">
        <v>17</v>
      </c>
    </row>
    <row r="460" spans="1:12">
      <c r="A460" s="847">
        <v>42998</v>
      </c>
      <c r="B460" s="848" t="s">
        <v>2043</v>
      </c>
      <c r="C460" s="849">
        <v>28</v>
      </c>
      <c r="D460" s="847">
        <v>43026</v>
      </c>
      <c r="E460" s="850">
        <v>100</v>
      </c>
      <c r="F460" s="850">
        <v>380.82170000000002</v>
      </c>
      <c r="G460" s="850">
        <v>100</v>
      </c>
      <c r="H460" s="850">
        <v>0</v>
      </c>
      <c r="I460" s="851">
        <v>0.10009999999999999</v>
      </c>
      <c r="J460" s="851">
        <v>0.10009999999999999</v>
      </c>
      <c r="K460" s="851">
        <v>0.10009999999999999</v>
      </c>
      <c r="L460" s="849">
        <v>17</v>
      </c>
    </row>
    <row r="461" spans="1:12">
      <c r="A461" s="847">
        <v>43005</v>
      </c>
      <c r="B461" s="848" t="s">
        <v>2044</v>
      </c>
      <c r="C461" s="849">
        <v>28</v>
      </c>
      <c r="D461" s="847">
        <v>43033</v>
      </c>
      <c r="E461" s="850">
        <v>200</v>
      </c>
      <c r="F461" s="850">
        <v>550.31979999999999</v>
      </c>
      <c r="G461" s="850">
        <v>200</v>
      </c>
      <c r="H461" s="850">
        <v>0</v>
      </c>
      <c r="I461" s="851">
        <v>0.10009999999999999</v>
      </c>
      <c r="J461" s="851">
        <v>0.10009999999999999</v>
      </c>
      <c r="K461" s="851">
        <v>0.10009999999999999</v>
      </c>
      <c r="L461" s="849">
        <v>18</v>
      </c>
    </row>
    <row r="462" spans="1:12">
      <c r="A462" s="847">
        <v>43012</v>
      </c>
      <c r="B462" s="848" t="s">
        <v>2054</v>
      </c>
      <c r="C462" s="849">
        <v>28</v>
      </c>
      <c r="D462" s="847">
        <v>43040</v>
      </c>
      <c r="E462" s="850">
        <v>250</v>
      </c>
      <c r="F462" s="850">
        <v>445.61673300000001</v>
      </c>
      <c r="G462" s="850">
        <v>250</v>
      </c>
      <c r="H462" s="850">
        <v>0</v>
      </c>
      <c r="I462" s="851">
        <v>0.10009999999999999</v>
      </c>
      <c r="J462" s="851">
        <v>0.10009999999999999</v>
      </c>
      <c r="K462" s="851">
        <v>0.10009999999999999</v>
      </c>
      <c r="L462" s="852">
        <v>17</v>
      </c>
    </row>
    <row r="463" spans="1:12">
      <c r="A463" s="847">
        <v>43019</v>
      </c>
      <c r="B463" s="848" t="s">
        <v>2055</v>
      </c>
      <c r="C463" s="849">
        <v>28</v>
      </c>
      <c r="D463" s="847">
        <v>43047</v>
      </c>
      <c r="E463" s="850">
        <v>150</v>
      </c>
      <c r="F463" s="850">
        <v>443.73849999999999</v>
      </c>
      <c r="G463" s="850">
        <v>150</v>
      </c>
      <c r="H463" s="850">
        <v>0</v>
      </c>
      <c r="I463" s="851">
        <v>0.10009999999999999</v>
      </c>
      <c r="J463" s="851">
        <v>0.10009999999999999</v>
      </c>
      <c r="K463" s="851">
        <v>0.10009999999999999</v>
      </c>
      <c r="L463" s="849">
        <v>15</v>
      </c>
    </row>
    <row r="464" spans="1:12">
      <c r="A464" s="847">
        <v>43026</v>
      </c>
      <c r="B464" s="848" t="s">
        <v>2056</v>
      </c>
      <c r="C464" s="849">
        <v>28</v>
      </c>
      <c r="D464" s="847">
        <v>43054</v>
      </c>
      <c r="E464" s="850">
        <v>100</v>
      </c>
      <c r="F464" s="850">
        <v>422.48970000000003</v>
      </c>
      <c r="G464" s="850">
        <v>100</v>
      </c>
      <c r="H464" s="850">
        <v>0</v>
      </c>
      <c r="I464" s="851">
        <v>0.10009999999999999</v>
      </c>
      <c r="J464" s="851">
        <v>0.10009999999999999</v>
      </c>
      <c r="K464" s="851">
        <v>0.10009999999999999</v>
      </c>
      <c r="L464" s="849">
        <v>15</v>
      </c>
    </row>
    <row r="465" spans="1:12">
      <c r="A465" s="847">
        <v>43033</v>
      </c>
      <c r="B465" s="848" t="s">
        <v>2057</v>
      </c>
      <c r="C465" s="849">
        <v>28</v>
      </c>
      <c r="D465" s="847">
        <v>43061</v>
      </c>
      <c r="E465" s="850">
        <v>200</v>
      </c>
      <c r="F465" s="850">
        <v>540.47249999999997</v>
      </c>
      <c r="G465" s="850">
        <v>200</v>
      </c>
      <c r="H465" s="850">
        <v>0</v>
      </c>
      <c r="I465" s="851">
        <v>0.10009999999999999</v>
      </c>
      <c r="J465" s="851">
        <v>0.10009999999999999</v>
      </c>
      <c r="K465" s="851">
        <v>0.10009999999999999</v>
      </c>
      <c r="L465" s="849">
        <v>16</v>
      </c>
    </row>
    <row r="466" spans="1:12">
      <c r="A466" s="847">
        <v>43040</v>
      </c>
      <c r="B466" s="848" t="s">
        <v>2064</v>
      </c>
      <c r="C466" s="849">
        <v>28</v>
      </c>
      <c r="D466" s="847">
        <v>43068</v>
      </c>
      <c r="E466" s="850">
        <v>250</v>
      </c>
      <c r="F466" s="850">
        <v>539.56550000000004</v>
      </c>
      <c r="G466" s="850">
        <v>250</v>
      </c>
      <c r="H466" s="850">
        <v>0</v>
      </c>
      <c r="I466" s="851">
        <v>0.10009999999999999</v>
      </c>
      <c r="J466" s="851">
        <v>0.10009999999999999</v>
      </c>
      <c r="K466" s="851">
        <v>0.10009999999999999</v>
      </c>
      <c r="L466" s="849">
        <v>15</v>
      </c>
    </row>
    <row r="467" spans="1:12">
      <c r="A467" s="847">
        <v>43047</v>
      </c>
      <c r="B467" s="848" t="s">
        <v>2065</v>
      </c>
      <c r="C467" s="849">
        <v>28</v>
      </c>
      <c r="D467" s="847">
        <v>43075</v>
      </c>
      <c r="E467" s="850">
        <v>150</v>
      </c>
      <c r="F467" s="850">
        <v>544.50350000000003</v>
      </c>
      <c r="G467" s="850">
        <v>150</v>
      </c>
      <c r="H467" s="850">
        <v>0</v>
      </c>
      <c r="I467" s="851">
        <v>0.10009999999999999</v>
      </c>
      <c r="J467" s="851">
        <v>0.10009999999999999</v>
      </c>
      <c r="K467" s="851">
        <v>0.10009999999999999</v>
      </c>
      <c r="L467" s="849">
        <v>16</v>
      </c>
    </row>
    <row r="468" spans="1:12">
      <c r="A468" s="847">
        <v>43054</v>
      </c>
      <c r="B468" s="848" t="s">
        <v>2066</v>
      </c>
      <c r="C468" s="849">
        <v>28</v>
      </c>
      <c r="D468" s="847">
        <v>43082</v>
      </c>
      <c r="E468" s="850">
        <v>100</v>
      </c>
      <c r="F468" s="850">
        <v>499.39429999999999</v>
      </c>
      <c r="G468" s="850">
        <v>100</v>
      </c>
      <c r="H468" s="850">
        <v>0</v>
      </c>
      <c r="I468" s="851">
        <v>0.10009999999999999</v>
      </c>
      <c r="J468" s="851">
        <v>0.10009999999999999</v>
      </c>
      <c r="K468" s="851">
        <v>0.10009999999999999</v>
      </c>
      <c r="L468" s="852">
        <v>14</v>
      </c>
    </row>
    <row r="469" spans="1:12">
      <c r="A469" s="847">
        <v>43061</v>
      </c>
      <c r="B469" s="848" t="s">
        <v>2067</v>
      </c>
      <c r="C469" s="849">
        <v>28</v>
      </c>
      <c r="D469" s="847">
        <v>43089</v>
      </c>
      <c r="E469" s="850">
        <v>200</v>
      </c>
      <c r="F469" s="850">
        <v>763.66089999999997</v>
      </c>
      <c r="G469" s="850">
        <v>200</v>
      </c>
      <c r="H469" s="850">
        <v>0</v>
      </c>
      <c r="I469" s="851">
        <v>0.10009999999999999</v>
      </c>
      <c r="J469" s="851">
        <v>0.10009999999999999</v>
      </c>
      <c r="K469" s="851">
        <v>0.10009999999999999</v>
      </c>
      <c r="L469" s="849">
        <v>17</v>
      </c>
    </row>
    <row r="470" spans="1:12">
      <c r="A470" s="847">
        <v>43068</v>
      </c>
      <c r="B470" s="848" t="s">
        <v>2068</v>
      </c>
      <c r="C470" s="849">
        <v>28</v>
      </c>
      <c r="D470" s="847">
        <v>43096</v>
      </c>
      <c r="E470" s="850">
        <v>350</v>
      </c>
      <c r="F470" s="850">
        <v>701.22460000000001</v>
      </c>
      <c r="G470" s="850">
        <v>350</v>
      </c>
      <c r="H470" s="850">
        <v>0</v>
      </c>
      <c r="I470" s="851">
        <v>0.10009999999999999</v>
      </c>
      <c r="J470" s="851">
        <v>0.10009999999999999</v>
      </c>
      <c r="K470" s="851">
        <v>0.10009999999999999</v>
      </c>
      <c r="L470" s="849">
        <v>18</v>
      </c>
    </row>
    <row r="471" spans="1:12">
      <c r="A471" s="847">
        <v>43075</v>
      </c>
      <c r="B471" s="848" t="s">
        <v>2074</v>
      </c>
      <c r="C471" s="849">
        <v>29</v>
      </c>
      <c r="D471" s="847">
        <v>43104</v>
      </c>
      <c r="E471" s="850">
        <v>250</v>
      </c>
      <c r="F471" s="850">
        <v>464.83139999999997</v>
      </c>
      <c r="G471" s="850">
        <v>250</v>
      </c>
      <c r="H471" s="850">
        <v>0</v>
      </c>
      <c r="I471" s="851">
        <v>0.10009999999999999</v>
      </c>
      <c r="J471" s="851">
        <v>0.10009999999999999</v>
      </c>
      <c r="K471" s="851">
        <v>0.10009999999999999</v>
      </c>
      <c r="L471" s="849">
        <v>16</v>
      </c>
    </row>
    <row r="472" spans="1:12">
      <c r="A472" s="847">
        <v>43082</v>
      </c>
      <c r="B472" s="848" t="s">
        <v>2075</v>
      </c>
      <c r="C472" s="849">
        <v>28</v>
      </c>
      <c r="D472" s="847">
        <v>43110</v>
      </c>
      <c r="E472" s="850">
        <v>300</v>
      </c>
      <c r="F472" s="850">
        <v>147.35759999999999</v>
      </c>
      <c r="G472" s="850">
        <v>147.35759999999999</v>
      </c>
      <c r="H472" s="850">
        <v>-20.084900000000001</v>
      </c>
      <c r="I472" s="851">
        <v>0.10009999999999999</v>
      </c>
      <c r="J472" s="851">
        <v>0.10009999999999999</v>
      </c>
      <c r="K472" s="851">
        <v>0.10009999999999999</v>
      </c>
      <c r="L472" s="849">
        <v>11</v>
      </c>
    </row>
    <row r="473" spans="1:12">
      <c r="A473" s="847">
        <v>43089</v>
      </c>
      <c r="B473" s="848" t="s">
        <v>2076</v>
      </c>
      <c r="C473" s="849">
        <v>28</v>
      </c>
      <c r="D473" s="847">
        <v>43117</v>
      </c>
      <c r="E473" s="850">
        <v>200</v>
      </c>
      <c r="F473" s="850">
        <v>206.83330000000001</v>
      </c>
      <c r="G473" s="850">
        <v>200</v>
      </c>
      <c r="H473" s="850">
        <v>0</v>
      </c>
      <c r="I473" s="851">
        <v>0.10009999999999999</v>
      </c>
      <c r="J473" s="851">
        <v>0.149946</v>
      </c>
      <c r="K473" s="851">
        <v>0.124061</v>
      </c>
      <c r="L473" s="849">
        <v>10</v>
      </c>
    </row>
    <row r="474" spans="1:12">
      <c r="A474" s="847">
        <v>43096</v>
      </c>
      <c r="B474" s="848" t="s">
        <v>2077</v>
      </c>
      <c r="C474" s="849">
        <v>28</v>
      </c>
      <c r="D474" s="847">
        <v>43124</v>
      </c>
      <c r="E474" s="850">
        <v>350</v>
      </c>
      <c r="F474" s="850">
        <v>348.33879999999999</v>
      </c>
      <c r="G474" s="850">
        <v>348.33879999999999</v>
      </c>
      <c r="H474" s="850">
        <v>0</v>
      </c>
      <c r="I474" s="851">
        <v>0.10009999999999999</v>
      </c>
      <c r="J474" s="851">
        <v>0.14990000000000001</v>
      </c>
      <c r="K474" s="851">
        <v>0.12609999999999999</v>
      </c>
      <c r="L474" s="852">
        <v>14</v>
      </c>
    </row>
    <row r="475" spans="1:12">
      <c r="A475" s="1083">
        <v>2018</v>
      </c>
      <c r="B475" s="848"/>
      <c r="C475" s="849"/>
      <c r="D475" s="847"/>
      <c r="E475" s="850"/>
      <c r="F475" s="850"/>
      <c r="G475" s="850"/>
      <c r="H475" s="850"/>
      <c r="I475" s="851"/>
      <c r="J475" s="851"/>
      <c r="K475" s="851"/>
      <c r="L475" s="852"/>
    </row>
    <row r="476" spans="1:12">
      <c r="A476" s="847">
        <v>43104</v>
      </c>
      <c r="B476" s="848" t="s">
        <v>2081</v>
      </c>
      <c r="C476" s="849">
        <v>27</v>
      </c>
      <c r="D476" s="847">
        <v>43131</v>
      </c>
      <c r="E476" s="850">
        <v>250</v>
      </c>
      <c r="F476" s="850">
        <v>80.062299999999993</v>
      </c>
      <c r="G476" s="850">
        <v>80.062299999999993</v>
      </c>
      <c r="H476" s="850">
        <v>0</v>
      </c>
      <c r="I476" s="851">
        <v>0.10536124695995054</v>
      </c>
      <c r="J476" s="851">
        <v>0.11154774471780478</v>
      </c>
      <c r="K476" s="851">
        <v>0.10899901952106085</v>
      </c>
      <c r="L476" s="849">
        <v>7</v>
      </c>
    </row>
    <row r="477" spans="1:12">
      <c r="A477" s="847">
        <v>43110</v>
      </c>
      <c r="B477" s="848" t="s">
        <v>2082</v>
      </c>
      <c r="C477" s="849">
        <v>28</v>
      </c>
      <c r="D477" s="847">
        <v>43138</v>
      </c>
      <c r="E477" s="850">
        <v>150</v>
      </c>
      <c r="F477" s="850">
        <v>150.68620000000001</v>
      </c>
      <c r="G477" s="850">
        <v>150</v>
      </c>
      <c r="H477" s="850">
        <v>0</v>
      </c>
      <c r="I477" s="851">
        <v>0.13009999999999999</v>
      </c>
      <c r="J477" s="851">
        <v>0.14460000000000001</v>
      </c>
      <c r="K477" s="851">
        <v>0.1401</v>
      </c>
      <c r="L477" s="852">
        <v>15</v>
      </c>
    </row>
    <row r="478" spans="1:12">
      <c r="A478" s="847">
        <v>43117</v>
      </c>
      <c r="B478" s="848" t="s">
        <v>2083</v>
      </c>
      <c r="C478" s="849">
        <v>28</v>
      </c>
      <c r="D478" s="847">
        <v>43145</v>
      </c>
      <c r="E478" s="850">
        <v>250</v>
      </c>
      <c r="F478" s="850">
        <v>290.96170000000001</v>
      </c>
      <c r="G478" s="850">
        <v>250</v>
      </c>
      <c r="H478" s="850">
        <v>0</v>
      </c>
      <c r="I478" s="851">
        <v>0.12</v>
      </c>
      <c r="J478" s="851">
        <v>0.14990000000000001</v>
      </c>
      <c r="K478" s="851">
        <v>0.14660000000000001</v>
      </c>
      <c r="L478" s="849">
        <v>13</v>
      </c>
    </row>
    <row r="479" spans="1:12">
      <c r="A479" s="847">
        <v>43124</v>
      </c>
      <c r="B479" s="848" t="s">
        <v>2084</v>
      </c>
      <c r="C479" s="849">
        <v>28</v>
      </c>
      <c r="D479" s="847">
        <v>43152</v>
      </c>
      <c r="E479" s="850">
        <v>250</v>
      </c>
      <c r="F479" s="850">
        <v>381.62139999999999</v>
      </c>
      <c r="G479" s="850">
        <v>250</v>
      </c>
      <c r="H479" s="850">
        <v>0</v>
      </c>
      <c r="I479" s="851">
        <v>0.1391</v>
      </c>
      <c r="J479" s="851">
        <v>0.14499999999999999</v>
      </c>
      <c r="K479" s="851">
        <v>0.1444</v>
      </c>
      <c r="L479" s="852">
        <v>14</v>
      </c>
    </row>
    <row r="480" spans="1:12">
      <c r="A480" s="847">
        <v>43131</v>
      </c>
      <c r="B480" s="848" t="s">
        <v>2085</v>
      </c>
      <c r="C480" s="849">
        <v>28</v>
      </c>
      <c r="D480" s="847">
        <v>43159</v>
      </c>
      <c r="E480" s="850">
        <v>250</v>
      </c>
      <c r="F480" s="850">
        <v>416.7901</v>
      </c>
      <c r="G480" s="850">
        <v>250</v>
      </c>
      <c r="H480" s="850">
        <v>0</v>
      </c>
      <c r="I480" s="851">
        <v>0.12989999999999999</v>
      </c>
      <c r="J480" s="851">
        <v>0.14180000000000001</v>
      </c>
      <c r="K480" s="851">
        <v>0.1401</v>
      </c>
      <c r="L480" s="849">
        <v>15</v>
      </c>
    </row>
    <row r="481" spans="1:12">
      <c r="A481" s="847">
        <v>43138</v>
      </c>
      <c r="B481" s="848" t="s">
        <v>2094</v>
      </c>
      <c r="C481" s="849">
        <v>28</v>
      </c>
      <c r="D481" s="847">
        <v>43166</v>
      </c>
      <c r="E481" s="850">
        <v>150</v>
      </c>
      <c r="F481" s="850">
        <v>414.0215</v>
      </c>
      <c r="G481" s="850">
        <v>150</v>
      </c>
      <c r="H481" s="850">
        <v>0</v>
      </c>
      <c r="I481" s="851">
        <v>0.10009999999999999</v>
      </c>
      <c r="J481" s="851">
        <v>0.10009999999999999</v>
      </c>
      <c r="K481" s="851">
        <v>0.10009999999999999</v>
      </c>
      <c r="L481" s="849">
        <v>17</v>
      </c>
    </row>
    <row r="482" spans="1:12">
      <c r="A482" s="847">
        <v>43145</v>
      </c>
      <c r="B482" s="848" t="s">
        <v>2095</v>
      </c>
      <c r="C482" s="849">
        <v>28</v>
      </c>
      <c r="D482" s="847">
        <v>43173</v>
      </c>
      <c r="E482" s="850">
        <v>200</v>
      </c>
      <c r="F482" s="850">
        <v>704.23979999999995</v>
      </c>
      <c r="G482" s="850">
        <v>200</v>
      </c>
      <c r="H482" s="850">
        <v>0</v>
      </c>
      <c r="I482" s="851">
        <v>0.10009999999999999</v>
      </c>
      <c r="J482" s="851">
        <v>0.10009999999999999</v>
      </c>
      <c r="K482" s="851">
        <v>0.10009999999999999</v>
      </c>
      <c r="L482" s="849">
        <v>18</v>
      </c>
    </row>
    <row r="483" spans="1:12">
      <c r="A483" s="847">
        <v>43152</v>
      </c>
      <c r="B483" s="848" t="s">
        <v>2096</v>
      </c>
      <c r="C483" s="849">
        <v>28</v>
      </c>
      <c r="D483" s="847">
        <v>43180</v>
      </c>
      <c r="E483" s="850">
        <v>250</v>
      </c>
      <c r="F483" s="850">
        <v>819.26819999999998</v>
      </c>
      <c r="G483" s="850">
        <v>250</v>
      </c>
      <c r="H483" s="850">
        <v>0</v>
      </c>
      <c r="I483" s="851">
        <v>8.0100000000000005E-2</v>
      </c>
      <c r="J483" s="851">
        <v>8.0100000000000005E-2</v>
      </c>
      <c r="K483" s="851">
        <v>8.0100000000000005E-2</v>
      </c>
      <c r="L483" s="849">
        <v>19</v>
      </c>
    </row>
    <row r="484" spans="1:12">
      <c r="A484" s="847">
        <v>43159</v>
      </c>
      <c r="B484" s="848" t="s">
        <v>2097</v>
      </c>
      <c r="C484" s="849">
        <v>28</v>
      </c>
      <c r="D484" s="847">
        <v>43187</v>
      </c>
      <c r="E484" s="850">
        <v>250</v>
      </c>
      <c r="F484" s="850">
        <v>942.3741</v>
      </c>
      <c r="G484" s="850">
        <v>250</v>
      </c>
      <c r="H484" s="850">
        <v>0</v>
      </c>
      <c r="I484" s="851">
        <v>8.0100000000000005E-2</v>
      </c>
      <c r="J484" s="851">
        <v>8.0100000000000005E-2</v>
      </c>
      <c r="K484" s="851">
        <v>8.0100000000000005E-2</v>
      </c>
      <c r="L484" s="849">
        <v>20</v>
      </c>
    </row>
    <row r="485" spans="1:12">
      <c r="A485" s="847">
        <v>43166</v>
      </c>
      <c r="B485" s="848" t="s">
        <v>2100</v>
      </c>
      <c r="C485" s="849">
        <v>28</v>
      </c>
      <c r="D485" s="847">
        <v>43194</v>
      </c>
      <c r="E485" s="850">
        <v>150</v>
      </c>
      <c r="F485" s="850">
        <v>830.86469999999997</v>
      </c>
      <c r="G485" s="850">
        <v>150</v>
      </c>
      <c r="H485" s="850">
        <v>0</v>
      </c>
      <c r="I485" s="851">
        <v>8.0100000000000005E-2</v>
      </c>
      <c r="J485" s="851">
        <v>8.0100000000000005E-2</v>
      </c>
      <c r="K485" s="851">
        <v>8.0100000000000005E-2</v>
      </c>
      <c r="L485" s="849">
        <v>20</v>
      </c>
    </row>
    <row r="486" spans="1:12">
      <c r="A486" s="847">
        <v>43173</v>
      </c>
      <c r="B486" s="848" t="s">
        <v>2101</v>
      </c>
      <c r="C486" s="849">
        <v>28</v>
      </c>
      <c r="D486" s="847">
        <v>43201</v>
      </c>
      <c r="E486" s="850">
        <v>200</v>
      </c>
      <c r="F486" s="850">
        <v>1039.2405000000001</v>
      </c>
      <c r="G486" s="850">
        <v>200</v>
      </c>
      <c r="H486" s="850">
        <v>0</v>
      </c>
      <c r="I486" s="851">
        <v>8.0100000000000005E-2</v>
      </c>
      <c r="J486" s="851">
        <v>8.0100000000000005E-2</v>
      </c>
      <c r="K486" s="851">
        <v>8.0100000000000005E-2</v>
      </c>
      <c r="L486" s="849">
        <v>22</v>
      </c>
    </row>
    <row r="487" spans="1:12">
      <c r="A487" s="847">
        <v>43187</v>
      </c>
      <c r="B487" s="848" t="s">
        <v>2102</v>
      </c>
      <c r="C487" s="849">
        <v>28</v>
      </c>
      <c r="D487" s="847">
        <v>43215</v>
      </c>
      <c r="E487" s="850">
        <v>250</v>
      </c>
      <c r="F487" s="850">
        <v>822.428</v>
      </c>
      <c r="G487" s="850">
        <v>250</v>
      </c>
      <c r="H487" s="850">
        <v>0</v>
      </c>
      <c r="I487" s="851">
        <v>8.0100000000000005E-2</v>
      </c>
      <c r="J487" s="851">
        <v>8.0100000000000005E-2</v>
      </c>
      <c r="K487" s="851">
        <v>8.0100000000000005E-2</v>
      </c>
      <c r="L487" s="849">
        <v>18</v>
      </c>
    </row>
    <row r="488" spans="1:12">
      <c r="A488" s="847">
        <v>43194</v>
      </c>
      <c r="B488" s="848" t="s">
        <v>2106</v>
      </c>
      <c r="C488" s="849">
        <v>28</v>
      </c>
      <c r="D488" s="847">
        <v>43222</v>
      </c>
      <c r="E488" s="850">
        <v>150</v>
      </c>
      <c r="F488" s="850">
        <v>788.035347</v>
      </c>
      <c r="G488" s="850">
        <v>150</v>
      </c>
      <c r="H488" s="850">
        <v>0</v>
      </c>
      <c r="I488" s="851">
        <v>8.0100000000000005E-2</v>
      </c>
      <c r="J488" s="851">
        <v>8.0100000000000005E-2</v>
      </c>
      <c r="K488" s="851">
        <v>8.0100000000000005E-2</v>
      </c>
      <c r="L488" s="849">
        <v>18</v>
      </c>
    </row>
    <row r="489" spans="1:12">
      <c r="A489" s="847">
        <v>43202</v>
      </c>
      <c r="B489" s="848" t="s">
        <v>2107</v>
      </c>
      <c r="C489" s="849">
        <v>28</v>
      </c>
      <c r="D489" s="847">
        <v>43230</v>
      </c>
      <c r="E489" s="850">
        <v>200</v>
      </c>
      <c r="F489" s="850">
        <v>591.72659999999996</v>
      </c>
      <c r="G489" s="850">
        <v>200</v>
      </c>
      <c r="H489" s="850">
        <v>0</v>
      </c>
      <c r="I489" s="851">
        <v>8.0100000000000005E-2</v>
      </c>
      <c r="J489" s="851">
        <v>8.0100000000000005E-2</v>
      </c>
      <c r="K489" s="851">
        <v>8.0100000000000005E-2</v>
      </c>
      <c r="L489" s="849">
        <v>13</v>
      </c>
    </row>
    <row r="490" spans="1:12">
      <c r="A490" s="847">
        <v>43208</v>
      </c>
      <c r="B490" s="848" t="s">
        <v>2108</v>
      </c>
      <c r="C490" s="849">
        <v>28</v>
      </c>
      <c r="D490" s="847">
        <v>43236</v>
      </c>
      <c r="E490" s="850">
        <v>250</v>
      </c>
      <c r="F490" s="850">
        <v>718.9479</v>
      </c>
      <c r="G490" s="850">
        <v>250</v>
      </c>
      <c r="H490" s="850">
        <v>0</v>
      </c>
      <c r="I490" s="851">
        <v>8.0100000000000005E-2</v>
      </c>
      <c r="J490" s="851">
        <v>8.0100000000000005E-2</v>
      </c>
      <c r="K490" s="851">
        <v>8.0100000000000005E-2</v>
      </c>
      <c r="L490" s="849">
        <v>17</v>
      </c>
    </row>
    <row r="491" spans="1:12">
      <c r="A491" s="847">
        <v>43215</v>
      </c>
      <c r="B491" s="848" t="s">
        <v>2109</v>
      </c>
      <c r="C491" s="849">
        <v>28</v>
      </c>
      <c r="D491" s="847">
        <v>43243</v>
      </c>
      <c r="E491" s="850">
        <v>300</v>
      </c>
      <c r="F491" s="850">
        <v>681.86839999999995</v>
      </c>
      <c r="G491" s="850">
        <v>300</v>
      </c>
      <c r="H491" s="850">
        <v>0</v>
      </c>
      <c r="I491" s="851">
        <v>8.0100000000000005E-2</v>
      </c>
      <c r="J491" s="851">
        <v>8.0100000000000005E-2</v>
      </c>
      <c r="K491" s="851">
        <v>8.0100000000000005E-2</v>
      </c>
      <c r="L491" s="849">
        <v>13</v>
      </c>
    </row>
    <row r="492" spans="1:12">
      <c r="A492" s="847">
        <v>43222</v>
      </c>
      <c r="B492" s="848" t="s">
        <v>2113</v>
      </c>
      <c r="C492" s="849">
        <v>28</v>
      </c>
      <c r="D492" s="847">
        <v>43250</v>
      </c>
      <c r="E492" s="850">
        <v>250</v>
      </c>
      <c r="F492" s="850">
        <v>630.97239999999999</v>
      </c>
      <c r="G492" s="850">
        <v>250</v>
      </c>
      <c r="H492" s="850">
        <v>0</v>
      </c>
      <c r="I492" s="851">
        <v>8.0100000000000005E-2</v>
      </c>
      <c r="J492" s="851">
        <v>8.0100000000000005E-2</v>
      </c>
      <c r="K492" s="851">
        <v>8.0100000000000005E-2</v>
      </c>
      <c r="L492" s="849">
        <v>14</v>
      </c>
    </row>
    <row r="493" spans="1:12">
      <c r="A493" s="847">
        <v>43230</v>
      </c>
      <c r="B493" s="848" t="s">
        <v>2114</v>
      </c>
      <c r="C493" s="849">
        <v>27</v>
      </c>
      <c r="D493" s="847">
        <v>43257</v>
      </c>
      <c r="E493" s="850">
        <v>200</v>
      </c>
      <c r="F493" s="850">
        <v>527.66869999999994</v>
      </c>
      <c r="G493" s="850">
        <v>200</v>
      </c>
      <c r="H493" s="850">
        <v>0</v>
      </c>
      <c r="I493" s="851">
        <v>8.0100000000000005E-2</v>
      </c>
      <c r="J493" s="851">
        <v>8.0100000000000005E-2</v>
      </c>
      <c r="K493" s="851">
        <v>8.0100000000000005E-2</v>
      </c>
      <c r="L493" s="849">
        <v>13</v>
      </c>
    </row>
    <row r="494" spans="1:12">
      <c r="A494" s="847">
        <v>43236</v>
      </c>
      <c r="B494" s="848" t="s">
        <v>2115</v>
      </c>
      <c r="C494" s="849">
        <v>28</v>
      </c>
      <c r="D494" s="847">
        <v>43264</v>
      </c>
      <c r="E494" s="850">
        <v>250</v>
      </c>
      <c r="F494" s="850">
        <v>626.17340000000002</v>
      </c>
      <c r="G494" s="850">
        <v>250</v>
      </c>
      <c r="H494" s="850">
        <v>0</v>
      </c>
      <c r="I494" s="851">
        <v>8.0100000000000005E-2</v>
      </c>
      <c r="J494" s="851">
        <v>8.0100000000000005E-2</v>
      </c>
      <c r="K494" s="851">
        <v>8.0100000000000005E-2</v>
      </c>
      <c r="L494" s="849">
        <v>15</v>
      </c>
    </row>
    <row r="495" spans="1:12">
      <c r="A495" s="847">
        <v>43243</v>
      </c>
      <c r="B495" s="848" t="s">
        <v>2116</v>
      </c>
      <c r="C495" s="849">
        <v>28</v>
      </c>
      <c r="D495" s="847">
        <v>43271</v>
      </c>
      <c r="E495" s="850">
        <v>300</v>
      </c>
      <c r="F495" s="850">
        <v>535.66340000000002</v>
      </c>
      <c r="G495" s="850">
        <v>300</v>
      </c>
      <c r="H495" s="850">
        <v>0</v>
      </c>
      <c r="I495" s="851">
        <v>8.0100000000000005E-2</v>
      </c>
      <c r="J495" s="851">
        <v>8.0100000000000005E-2</v>
      </c>
      <c r="K495" s="851">
        <v>8.0100000000000005E-2</v>
      </c>
      <c r="L495" s="849">
        <v>17</v>
      </c>
    </row>
    <row r="496" spans="1:12">
      <c r="A496" s="847">
        <v>43250</v>
      </c>
      <c r="B496" s="848" t="s">
        <v>2117</v>
      </c>
      <c r="C496" s="849">
        <v>28</v>
      </c>
      <c r="D496" s="847">
        <v>43278</v>
      </c>
      <c r="E496" s="850">
        <v>250</v>
      </c>
      <c r="F496" s="850">
        <v>621.38520000000005</v>
      </c>
      <c r="G496" s="850">
        <v>250</v>
      </c>
      <c r="H496" s="850">
        <v>0</v>
      </c>
      <c r="I496" s="851">
        <v>8.0100000000000005E-2</v>
      </c>
      <c r="J496" s="851">
        <v>8.0100000000000005E-2</v>
      </c>
      <c r="K496" s="851">
        <v>8.0100000000000005E-2</v>
      </c>
      <c r="L496" s="849">
        <v>15</v>
      </c>
    </row>
    <row r="497" spans="1:12">
      <c r="A497" s="847">
        <v>43257</v>
      </c>
      <c r="B497" s="848" t="s">
        <v>2122</v>
      </c>
      <c r="C497" s="849">
        <v>28</v>
      </c>
      <c r="D497" s="847">
        <v>43285</v>
      </c>
      <c r="E497" s="850">
        <v>200</v>
      </c>
      <c r="F497" s="850">
        <v>531.09789999999998</v>
      </c>
      <c r="G497" s="850">
        <v>200</v>
      </c>
      <c r="H497" s="850">
        <v>0</v>
      </c>
      <c r="I497" s="851">
        <v>8.0100000000000005E-2</v>
      </c>
      <c r="J497" s="851">
        <v>8.0100000000000005E-2</v>
      </c>
      <c r="K497" s="851">
        <v>8.0100000000000005E-2</v>
      </c>
      <c r="L497" s="849">
        <v>13</v>
      </c>
    </row>
    <row r="498" spans="1:12">
      <c r="A498" s="847">
        <v>43264</v>
      </c>
      <c r="B498" s="848" t="s">
        <v>2123</v>
      </c>
      <c r="C498" s="849">
        <v>28</v>
      </c>
      <c r="D498" s="847">
        <v>43292</v>
      </c>
      <c r="E498" s="850">
        <v>250</v>
      </c>
      <c r="F498" s="850">
        <v>564.99490000000003</v>
      </c>
      <c r="G498" s="850">
        <v>250</v>
      </c>
      <c r="H498" s="850">
        <v>0</v>
      </c>
      <c r="I498" s="851">
        <v>8.0100000000000005E-2</v>
      </c>
      <c r="J498" s="851">
        <v>8.0100000000000005E-2</v>
      </c>
      <c r="K498" s="851">
        <v>8.0100000000000005E-2</v>
      </c>
      <c r="L498" s="849">
        <v>15</v>
      </c>
    </row>
    <row r="499" spans="1:12">
      <c r="A499" s="847">
        <v>43271</v>
      </c>
      <c r="B499" s="848" t="s">
        <v>2124</v>
      </c>
      <c r="C499" s="849">
        <v>28</v>
      </c>
      <c r="D499" s="847">
        <v>43299</v>
      </c>
      <c r="E499" s="850">
        <v>300</v>
      </c>
      <c r="F499" s="850">
        <v>431.36799999999999</v>
      </c>
      <c r="G499" s="850">
        <v>300</v>
      </c>
      <c r="H499" s="850">
        <v>0</v>
      </c>
      <c r="I499" s="851">
        <v>8.0100000000000005E-2</v>
      </c>
      <c r="J499" s="851">
        <v>8.0100000000000005E-2</v>
      </c>
      <c r="K499" s="851">
        <v>8.0100000000000005E-2</v>
      </c>
      <c r="L499" s="849">
        <v>13</v>
      </c>
    </row>
    <row r="500" spans="1:12">
      <c r="A500" s="847">
        <v>43278</v>
      </c>
      <c r="B500" s="848" t="s">
        <v>2125</v>
      </c>
      <c r="C500" s="849">
        <v>28</v>
      </c>
      <c r="D500" s="847">
        <v>43306</v>
      </c>
      <c r="E500" s="850">
        <v>250</v>
      </c>
      <c r="F500" s="850">
        <v>603.52750000000003</v>
      </c>
      <c r="G500" s="850">
        <v>250</v>
      </c>
      <c r="H500" s="850">
        <v>0</v>
      </c>
      <c r="I500" s="851">
        <v>8.0100000000000005E-2</v>
      </c>
      <c r="J500" s="851">
        <v>8.0100000000000005E-2</v>
      </c>
      <c r="K500" s="851">
        <v>8.0100000000000005E-2</v>
      </c>
      <c r="L500" s="849">
        <v>15</v>
      </c>
    </row>
    <row r="501" spans="1:12">
      <c r="A501" s="847">
        <v>43285</v>
      </c>
      <c r="B501" s="848" t="s">
        <v>2130</v>
      </c>
      <c r="C501" s="849">
        <v>28</v>
      </c>
      <c r="D501" s="847">
        <v>43313</v>
      </c>
      <c r="E501" s="850">
        <v>200</v>
      </c>
      <c r="F501" s="850">
        <v>578.62940000000003</v>
      </c>
      <c r="G501" s="850">
        <v>200</v>
      </c>
      <c r="H501" s="850">
        <v>0</v>
      </c>
      <c r="I501" s="851">
        <v>8.0100000000000005E-2</v>
      </c>
      <c r="J501" s="851">
        <v>8.0100000000000005E-2</v>
      </c>
      <c r="K501" s="851">
        <v>8.0100000000000005E-2</v>
      </c>
      <c r="L501" s="849">
        <v>16</v>
      </c>
    </row>
    <row r="502" spans="1:12">
      <c r="A502" s="847">
        <v>43292</v>
      </c>
      <c r="B502" s="848" t="s">
        <v>2131</v>
      </c>
      <c r="C502" s="849">
        <v>28</v>
      </c>
      <c r="D502" s="847">
        <v>43320</v>
      </c>
      <c r="E502" s="850">
        <v>250</v>
      </c>
      <c r="F502" s="850">
        <v>658.68499999999995</v>
      </c>
      <c r="G502" s="850">
        <v>250</v>
      </c>
      <c r="H502" s="850">
        <v>0</v>
      </c>
      <c r="I502" s="851">
        <v>8.0100000000000005E-2</v>
      </c>
      <c r="J502" s="851">
        <v>8.0100000000000005E-2</v>
      </c>
      <c r="K502" s="851">
        <v>8.0100000000000005E-2</v>
      </c>
      <c r="L502" s="849">
        <v>16</v>
      </c>
    </row>
    <row r="503" spans="1:12">
      <c r="A503" s="847">
        <v>43299</v>
      </c>
      <c r="B503" s="848" t="s">
        <v>2685</v>
      </c>
      <c r="C503" s="849">
        <v>28</v>
      </c>
      <c r="D503" s="847">
        <v>43327</v>
      </c>
      <c r="E503" s="850">
        <v>300</v>
      </c>
      <c r="F503" s="850">
        <v>720.4325</v>
      </c>
      <c r="G503" s="850">
        <v>300</v>
      </c>
      <c r="H503" s="850">
        <v>0</v>
      </c>
      <c r="I503" s="851">
        <v>8.0100000000000005E-2</v>
      </c>
      <c r="J503" s="851">
        <v>8.0100000000000005E-2</v>
      </c>
      <c r="K503" s="851">
        <v>8.0100000000000005E-2</v>
      </c>
      <c r="L503" s="849">
        <v>14</v>
      </c>
    </row>
    <row r="504" spans="1:12">
      <c r="A504" s="847">
        <v>43306</v>
      </c>
      <c r="B504" s="848" t="s">
        <v>2132</v>
      </c>
      <c r="C504" s="849">
        <v>28</v>
      </c>
      <c r="D504" s="847">
        <v>43334</v>
      </c>
      <c r="E504" s="850">
        <v>250</v>
      </c>
      <c r="F504" s="850">
        <v>466.26600000000002</v>
      </c>
      <c r="G504" s="850">
        <v>250</v>
      </c>
      <c r="H504" s="850">
        <v>0</v>
      </c>
      <c r="I504" s="851">
        <v>8.0100000000000005E-2</v>
      </c>
      <c r="J504" s="851">
        <v>8.0100000000000005E-2</v>
      </c>
      <c r="K504" s="851">
        <v>8.0100000000000005E-2</v>
      </c>
      <c r="L504" s="849">
        <v>14</v>
      </c>
    </row>
    <row r="505" spans="1:12">
      <c r="A505" s="847">
        <v>43313</v>
      </c>
      <c r="B505" s="848" t="s">
        <v>2137</v>
      </c>
      <c r="C505" s="849">
        <v>28</v>
      </c>
      <c r="D505" s="847">
        <v>43341</v>
      </c>
      <c r="E505" s="850">
        <v>200</v>
      </c>
      <c r="F505" s="850">
        <v>583.85739999999998</v>
      </c>
      <c r="G505" s="850">
        <v>200</v>
      </c>
      <c r="H505" s="850">
        <v>0</v>
      </c>
      <c r="I505" s="851">
        <v>8.0100000000000005E-2</v>
      </c>
      <c r="J505" s="851">
        <v>8.0100000000000005E-2</v>
      </c>
      <c r="K505" s="851">
        <v>8.0100000000000005E-2</v>
      </c>
      <c r="L505" s="849">
        <v>16</v>
      </c>
    </row>
    <row r="506" spans="1:12">
      <c r="A506" s="847">
        <v>43320</v>
      </c>
      <c r="B506" s="848" t="s">
        <v>2138</v>
      </c>
      <c r="C506" s="849">
        <v>28</v>
      </c>
      <c r="D506" s="847">
        <v>43348</v>
      </c>
      <c r="E506" s="850">
        <v>300</v>
      </c>
      <c r="F506" s="850">
        <v>704.69780000000003</v>
      </c>
      <c r="G506" s="850">
        <v>300</v>
      </c>
      <c r="H506" s="850">
        <v>0</v>
      </c>
      <c r="I506" s="851">
        <v>8.0100000000000005E-2</v>
      </c>
      <c r="J506" s="851">
        <v>8.0100000000000005E-2</v>
      </c>
      <c r="K506" s="851">
        <v>8.0100000000000005E-2</v>
      </c>
      <c r="L506" s="849">
        <v>15</v>
      </c>
    </row>
    <row r="507" spans="1:12">
      <c r="A507" s="847">
        <v>43327</v>
      </c>
      <c r="B507" s="848" t="s">
        <v>2139</v>
      </c>
      <c r="C507" s="849">
        <v>28</v>
      </c>
      <c r="D507" s="847">
        <v>43355</v>
      </c>
      <c r="E507" s="850">
        <v>300</v>
      </c>
      <c r="F507" s="850">
        <v>383.62299999999999</v>
      </c>
      <c r="G507" s="850">
        <v>300</v>
      </c>
      <c r="H507" s="850">
        <v>0</v>
      </c>
      <c r="I507" s="851">
        <v>8.0100000000000005E-2</v>
      </c>
      <c r="J507" s="851">
        <v>8.9899999999999994E-2</v>
      </c>
      <c r="K507" s="851">
        <v>8.3699999999999997E-2</v>
      </c>
      <c r="L507" s="849">
        <v>12</v>
      </c>
    </row>
    <row r="508" spans="1:12">
      <c r="A508" s="847">
        <v>43336</v>
      </c>
      <c r="B508" s="848" t="s">
        <v>2140</v>
      </c>
      <c r="C508" s="849">
        <v>26</v>
      </c>
      <c r="D508" s="847">
        <v>43362</v>
      </c>
      <c r="E508" s="850">
        <v>250</v>
      </c>
      <c r="F508" s="850">
        <v>368.11590000000001</v>
      </c>
      <c r="G508" s="850">
        <v>250</v>
      </c>
      <c r="H508" s="850">
        <v>0</v>
      </c>
      <c r="I508" s="851">
        <v>8.0100000000000005E-2</v>
      </c>
      <c r="J508" s="851">
        <v>8.0100000000000005E-2</v>
      </c>
      <c r="K508" s="851">
        <v>8.0100000000000005E-2</v>
      </c>
      <c r="L508" s="849">
        <v>11</v>
      </c>
    </row>
    <row r="509" spans="1:12">
      <c r="A509" s="847">
        <v>43341</v>
      </c>
      <c r="B509" s="848" t="s">
        <v>2141</v>
      </c>
      <c r="C509" s="849">
        <v>28</v>
      </c>
      <c r="D509" s="847">
        <v>43369</v>
      </c>
      <c r="E509" s="850">
        <v>200</v>
      </c>
      <c r="F509" s="850">
        <v>347.4606</v>
      </c>
      <c r="G509" s="850">
        <v>200</v>
      </c>
      <c r="H509" s="850">
        <v>0</v>
      </c>
      <c r="I509" s="851">
        <v>8.0100000000000005E-2</v>
      </c>
      <c r="J509" s="851">
        <v>8.0100000000000005E-2</v>
      </c>
      <c r="K509" s="851">
        <v>8.0100000000000005E-2</v>
      </c>
      <c r="L509" s="849">
        <v>9</v>
      </c>
    </row>
    <row r="510" spans="1:12">
      <c r="A510" s="847">
        <v>43348</v>
      </c>
      <c r="B510" s="848" t="s">
        <v>2145</v>
      </c>
      <c r="C510" s="849">
        <v>28</v>
      </c>
      <c r="D510" s="847">
        <v>43376</v>
      </c>
      <c r="E510" s="850">
        <v>300</v>
      </c>
      <c r="F510" s="850">
        <v>463.61219999999997</v>
      </c>
      <c r="G510" s="850">
        <v>300</v>
      </c>
      <c r="H510" s="850">
        <v>0</v>
      </c>
      <c r="I510" s="851">
        <v>8.0100000000000005E-2</v>
      </c>
      <c r="J510" s="851">
        <v>8.0100000000000005E-2</v>
      </c>
      <c r="K510" s="851">
        <v>8.0100000000000005E-2</v>
      </c>
      <c r="L510" s="849">
        <v>13</v>
      </c>
    </row>
    <row r="511" spans="1:12">
      <c r="A511" s="847">
        <v>43355</v>
      </c>
      <c r="B511" s="848" t="s">
        <v>2146</v>
      </c>
      <c r="C511" s="849">
        <v>28</v>
      </c>
      <c r="D511" s="847">
        <v>43383</v>
      </c>
      <c r="E511" s="850">
        <v>300</v>
      </c>
      <c r="F511" s="850">
        <v>512.6816</v>
      </c>
      <c r="G511" s="850">
        <v>300</v>
      </c>
      <c r="H511" s="850">
        <v>0</v>
      </c>
      <c r="I511" s="851">
        <v>8.0100000000000005E-2</v>
      </c>
      <c r="J511" s="851">
        <v>8.0100000000000005E-2</v>
      </c>
      <c r="K511" s="851">
        <v>8.0100000000000005E-2</v>
      </c>
      <c r="L511" s="849">
        <v>14</v>
      </c>
    </row>
    <row r="512" spans="1:12">
      <c r="A512" s="847">
        <v>43362</v>
      </c>
      <c r="B512" s="848" t="s">
        <v>2147</v>
      </c>
      <c r="C512" s="849">
        <v>28</v>
      </c>
      <c r="D512" s="847">
        <v>43390</v>
      </c>
      <c r="E512" s="850">
        <v>250</v>
      </c>
      <c r="F512" s="850">
        <v>426.14569999999998</v>
      </c>
      <c r="G512" s="850">
        <v>250</v>
      </c>
      <c r="H512" s="850">
        <v>0</v>
      </c>
      <c r="I512" s="851">
        <v>8.0100000000000005E-2</v>
      </c>
      <c r="J512" s="851">
        <v>8.0100000000000005E-2</v>
      </c>
      <c r="K512" s="851">
        <v>8.0100000000000005E-2</v>
      </c>
      <c r="L512" s="849">
        <v>15</v>
      </c>
    </row>
    <row r="513" spans="1:12">
      <c r="A513" s="847">
        <v>43369</v>
      </c>
      <c r="B513" s="848" t="s">
        <v>2684</v>
      </c>
      <c r="C513" s="849">
        <v>28</v>
      </c>
      <c r="D513" s="847">
        <v>43397</v>
      </c>
      <c r="E513" s="850">
        <v>200</v>
      </c>
      <c r="F513" s="850">
        <v>504.98360000000002</v>
      </c>
      <c r="G513" s="850">
        <v>200</v>
      </c>
      <c r="H513" s="850">
        <v>0</v>
      </c>
      <c r="I513" s="851">
        <v>8.0100000000000005E-2</v>
      </c>
      <c r="J513" s="851">
        <v>8.0100000000000005E-2</v>
      </c>
      <c r="K513" s="851">
        <v>8.0100000000000005E-2</v>
      </c>
      <c r="L513" s="849">
        <v>13</v>
      </c>
    </row>
    <row r="514" spans="1:12">
      <c r="A514" s="847">
        <v>43376</v>
      </c>
      <c r="B514" s="848" t="s">
        <v>2151</v>
      </c>
      <c r="C514" s="849">
        <v>28</v>
      </c>
      <c r="D514" s="847">
        <v>43404</v>
      </c>
      <c r="E514" s="850">
        <v>300</v>
      </c>
      <c r="F514" s="850">
        <v>984.60289999999998</v>
      </c>
      <c r="G514" s="850">
        <v>300</v>
      </c>
      <c r="H514" s="850">
        <v>0</v>
      </c>
      <c r="I514" s="851">
        <v>8.0100000000000005E-2</v>
      </c>
      <c r="J514" s="851">
        <v>8.0100000000000005E-2</v>
      </c>
      <c r="K514" s="851">
        <v>8.0100000000000005E-2</v>
      </c>
      <c r="L514" s="849">
        <v>17</v>
      </c>
    </row>
    <row r="515" spans="1:12">
      <c r="A515" s="847">
        <v>43383</v>
      </c>
      <c r="B515" s="848" t="s">
        <v>2152</v>
      </c>
      <c r="C515" s="849">
        <v>28</v>
      </c>
      <c r="D515" s="847">
        <v>43411</v>
      </c>
      <c r="E515" s="850">
        <v>300</v>
      </c>
      <c r="F515" s="850">
        <v>996.65009999999995</v>
      </c>
      <c r="G515" s="850">
        <v>300</v>
      </c>
      <c r="H515" s="850">
        <v>0</v>
      </c>
      <c r="I515" s="851">
        <v>8.0100000000000005E-2</v>
      </c>
      <c r="J515" s="851">
        <v>8.0100000000000005E-2</v>
      </c>
      <c r="K515" s="851">
        <v>8.0100000000000005E-2</v>
      </c>
      <c r="L515" s="849">
        <v>15</v>
      </c>
    </row>
    <row r="516" spans="1:12">
      <c r="A516" s="847">
        <v>43390</v>
      </c>
      <c r="B516" s="848" t="s">
        <v>2153</v>
      </c>
      <c r="C516" s="849">
        <v>28</v>
      </c>
      <c r="D516" s="847">
        <v>43418</v>
      </c>
      <c r="E516" s="850">
        <v>250</v>
      </c>
      <c r="F516" s="850">
        <v>845.47730000000001</v>
      </c>
      <c r="G516" s="850">
        <v>250</v>
      </c>
      <c r="H516" s="850">
        <v>0</v>
      </c>
      <c r="I516" s="851">
        <v>8.0100000000000005E-2</v>
      </c>
      <c r="J516" s="851">
        <v>8.0100000000000005E-2</v>
      </c>
      <c r="K516" s="851">
        <v>8.0100000000000005E-2</v>
      </c>
      <c r="L516" s="849">
        <v>15</v>
      </c>
    </row>
    <row r="517" spans="1:12">
      <c r="A517" s="847">
        <v>43397</v>
      </c>
      <c r="B517" s="848" t="s">
        <v>2154</v>
      </c>
      <c r="C517" s="849">
        <v>28</v>
      </c>
      <c r="D517" s="847">
        <v>43425</v>
      </c>
      <c r="E517" s="850">
        <v>200</v>
      </c>
      <c r="F517" s="850">
        <v>758.32370000000003</v>
      </c>
      <c r="G517" s="850">
        <v>200</v>
      </c>
      <c r="H517" s="850">
        <v>0</v>
      </c>
      <c r="I517" s="851">
        <v>8.0100000000000005E-2</v>
      </c>
      <c r="J517" s="851">
        <v>8.0100000000000005E-2</v>
      </c>
      <c r="K517" s="851">
        <v>8.0100000000000005E-2</v>
      </c>
      <c r="L517" s="849">
        <v>15</v>
      </c>
    </row>
    <row r="518" spans="1:12">
      <c r="A518" s="847">
        <v>43404</v>
      </c>
      <c r="B518" s="848" t="s">
        <v>2155</v>
      </c>
      <c r="C518" s="849">
        <v>28</v>
      </c>
      <c r="D518" s="847">
        <v>43432</v>
      </c>
      <c r="E518" s="850">
        <v>400</v>
      </c>
      <c r="F518" s="850">
        <v>1123.0248999999999</v>
      </c>
      <c r="G518" s="850">
        <v>300</v>
      </c>
      <c r="H518" s="850">
        <v>0</v>
      </c>
      <c r="I518" s="851">
        <v>7.7600000000000002E-2</v>
      </c>
      <c r="J518" s="851">
        <v>7.7600000000000002E-2</v>
      </c>
      <c r="K518" s="851">
        <v>7.7600000000000002E-2</v>
      </c>
      <c r="L518" s="849">
        <v>16</v>
      </c>
    </row>
    <row r="519" spans="1:12">
      <c r="A519" s="847">
        <v>43411</v>
      </c>
      <c r="B519" s="848" t="s">
        <v>2159</v>
      </c>
      <c r="C519" s="849">
        <v>28</v>
      </c>
      <c r="D519" s="847">
        <v>43439</v>
      </c>
      <c r="E519" s="850">
        <v>300</v>
      </c>
      <c r="F519" s="850">
        <v>1214.7958000000001</v>
      </c>
      <c r="G519" s="850">
        <v>300</v>
      </c>
      <c r="H519" s="850">
        <v>0</v>
      </c>
      <c r="I519" s="851">
        <v>7.7600000000000002E-2</v>
      </c>
      <c r="J519" s="851">
        <v>7.7600000000000002E-2</v>
      </c>
      <c r="K519" s="851">
        <v>7.7600000000000002E-2</v>
      </c>
      <c r="L519" s="849">
        <v>16</v>
      </c>
    </row>
    <row r="520" spans="1:12">
      <c r="A520" s="847">
        <v>43418</v>
      </c>
      <c r="B520" s="848" t="s">
        <v>2160</v>
      </c>
      <c r="C520" s="849">
        <v>28</v>
      </c>
      <c r="D520" s="847">
        <v>43446</v>
      </c>
      <c r="E520" s="850">
        <v>250</v>
      </c>
      <c r="F520" s="850">
        <v>858.99400000000003</v>
      </c>
      <c r="G520" s="850">
        <v>250</v>
      </c>
      <c r="H520" s="850">
        <v>0</v>
      </c>
      <c r="I520" s="851">
        <v>7.7600000000000002E-2</v>
      </c>
      <c r="J520" s="851">
        <v>7.7600000000000002E-2</v>
      </c>
      <c r="K520" s="851">
        <v>7.7600000000000002E-2</v>
      </c>
      <c r="L520" s="849">
        <v>15</v>
      </c>
    </row>
    <row r="521" spans="1:12">
      <c r="A521" s="847">
        <v>43425</v>
      </c>
      <c r="B521" s="848" t="s">
        <v>2161</v>
      </c>
      <c r="C521" s="849">
        <v>28</v>
      </c>
      <c r="D521" s="847">
        <v>43453</v>
      </c>
      <c r="E521" s="850">
        <v>200</v>
      </c>
      <c r="F521" s="850">
        <v>834.36540000000002</v>
      </c>
      <c r="G521" s="850">
        <v>200</v>
      </c>
      <c r="H521" s="850">
        <v>0</v>
      </c>
      <c r="I521" s="851">
        <v>7.7600000000000002E-2</v>
      </c>
      <c r="J521" s="851">
        <v>7.7600000000000002E-2</v>
      </c>
      <c r="K521" s="851">
        <v>7.7600000000000002E-2</v>
      </c>
      <c r="L521" s="849">
        <v>16</v>
      </c>
    </row>
    <row r="522" spans="1:12">
      <c r="A522" s="847">
        <v>43432</v>
      </c>
      <c r="B522" s="848" t="s">
        <v>2162</v>
      </c>
      <c r="C522" s="849">
        <v>28</v>
      </c>
      <c r="D522" s="847">
        <v>43460</v>
      </c>
      <c r="E522" s="850">
        <v>400</v>
      </c>
      <c r="F522" s="850">
        <v>787.63459999999998</v>
      </c>
      <c r="G522" s="850">
        <v>300</v>
      </c>
      <c r="H522" s="850">
        <v>0</v>
      </c>
      <c r="I522" s="851">
        <v>7.7600000000000002E-2</v>
      </c>
      <c r="J522" s="851">
        <v>7.7600000000000002E-2</v>
      </c>
      <c r="K522" s="851">
        <v>7.7600000000000002E-2</v>
      </c>
      <c r="L522" s="849">
        <v>14</v>
      </c>
    </row>
    <row r="523" spans="1:12">
      <c r="A523" s="847">
        <v>43439</v>
      </c>
      <c r="B523" s="848" t="s">
        <v>2167</v>
      </c>
      <c r="C523" s="849">
        <v>28</v>
      </c>
      <c r="D523" s="847">
        <v>43467</v>
      </c>
      <c r="E523" s="850">
        <v>300</v>
      </c>
      <c r="F523" s="850">
        <v>747.30349999999999</v>
      </c>
      <c r="G523" s="850">
        <v>300</v>
      </c>
      <c r="H523" s="850">
        <v>0</v>
      </c>
      <c r="I523" s="851">
        <v>7.7600000000000002E-2</v>
      </c>
      <c r="J523" s="851">
        <v>7.7600000000000002E-2</v>
      </c>
      <c r="K523" s="851">
        <v>7.7600000000000002E-2</v>
      </c>
      <c r="L523" s="849">
        <v>13</v>
      </c>
    </row>
    <row r="524" spans="1:12">
      <c r="A524" s="847">
        <v>43446</v>
      </c>
      <c r="B524" s="848" t="s">
        <v>2168</v>
      </c>
      <c r="C524" s="849">
        <v>28</v>
      </c>
      <c r="D524" s="847">
        <v>43474</v>
      </c>
      <c r="E524" s="850">
        <v>250</v>
      </c>
      <c r="F524" s="850">
        <v>499.29910000000001</v>
      </c>
      <c r="G524" s="850">
        <v>250</v>
      </c>
      <c r="H524" s="850">
        <v>0</v>
      </c>
      <c r="I524" s="851">
        <v>7.7600000000000002E-2</v>
      </c>
      <c r="J524" s="851">
        <v>7.7600000000000002E-2</v>
      </c>
      <c r="K524" s="851">
        <v>7.7600000000000002E-2</v>
      </c>
      <c r="L524" s="849">
        <v>12</v>
      </c>
    </row>
    <row r="525" spans="1:12">
      <c r="A525" s="847">
        <v>43453</v>
      </c>
      <c r="B525" s="848" t="s">
        <v>2169</v>
      </c>
      <c r="C525" s="849">
        <v>28</v>
      </c>
      <c r="D525" s="847">
        <v>43481</v>
      </c>
      <c r="E525" s="850">
        <v>200</v>
      </c>
      <c r="F525" s="850">
        <v>158.2679</v>
      </c>
      <c r="G525" s="850">
        <v>158.2679</v>
      </c>
      <c r="H525" s="850">
        <v>0</v>
      </c>
      <c r="I525" s="851">
        <v>7.7600000000000002E-2</v>
      </c>
      <c r="J525" s="851">
        <v>7.7600000000000002E-2</v>
      </c>
      <c r="K525" s="851">
        <v>8.7415000000000007E-2</v>
      </c>
      <c r="L525" s="849">
        <v>8</v>
      </c>
    </row>
    <row r="526" spans="1:12">
      <c r="A526" s="847">
        <v>43460</v>
      </c>
      <c r="B526" s="848" t="s">
        <v>2170</v>
      </c>
      <c r="C526" s="849">
        <v>28</v>
      </c>
      <c r="D526" s="847">
        <v>43488</v>
      </c>
      <c r="E526" s="850">
        <v>400</v>
      </c>
      <c r="F526" s="850">
        <v>498.94409999999999</v>
      </c>
      <c r="G526" s="850">
        <v>300</v>
      </c>
      <c r="H526" s="850">
        <v>0</v>
      </c>
      <c r="I526" s="851">
        <v>7.7600000000000002E-2</v>
      </c>
      <c r="J526" s="851">
        <v>9.4E-2</v>
      </c>
      <c r="K526" s="851">
        <v>9.3359999999999999E-2</v>
      </c>
      <c r="L526" s="849">
        <v>12</v>
      </c>
    </row>
    <row r="527" spans="1:12">
      <c r="A527" s="1083">
        <v>2019</v>
      </c>
      <c r="B527" s="848"/>
      <c r="C527" s="849"/>
      <c r="D527" s="847"/>
      <c r="E527" s="850"/>
      <c r="F527" s="850"/>
      <c r="G527" s="850"/>
      <c r="H527" s="850"/>
      <c r="I527" s="851"/>
      <c r="J527" s="851"/>
      <c r="K527" s="851"/>
      <c r="L527" s="849"/>
    </row>
    <row r="528" spans="1:12">
      <c r="A528" s="847">
        <v>43468</v>
      </c>
      <c r="B528" s="848" t="s">
        <v>2174</v>
      </c>
      <c r="C528" s="849">
        <v>27</v>
      </c>
      <c r="D528" s="847">
        <v>43495</v>
      </c>
      <c r="E528" s="850">
        <v>300</v>
      </c>
      <c r="F528" s="850">
        <v>475.8646</v>
      </c>
      <c r="G528" s="850">
        <v>300</v>
      </c>
      <c r="H528" s="850">
        <v>0</v>
      </c>
      <c r="I528" s="851">
        <v>7.7600000000000002E-2</v>
      </c>
      <c r="J528" s="851">
        <v>9.7000000000000003E-2</v>
      </c>
      <c r="K528" s="851">
        <v>8.6900000000000005E-2</v>
      </c>
      <c r="L528" s="849">
        <v>10</v>
      </c>
    </row>
    <row r="529" spans="1:12">
      <c r="A529" s="847">
        <v>43474</v>
      </c>
      <c r="B529" s="848" t="s">
        <v>2175</v>
      </c>
      <c r="C529" s="849">
        <v>28</v>
      </c>
      <c r="D529" s="847">
        <v>43502</v>
      </c>
      <c r="E529" s="850">
        <v>250</v>
      </c>
      <c r="F529" s="850">
        <v>534.04639999999995</v>
      </c>
      <c r="G529" s="850">
        <v>250</v>
      </c>
      <c r="H529" s="850">
        <v>0</v>
      </c>
      <c r="I529" s="851">
        <v>7.7600000000000002E-2</v>
      </c>
      <c r="J529" s="851">
        <v>7.7600000000000002E-2</v>
      </c>
      <c r="K529" s="851">
        <v>7.7600000000000002E-2</v>
      </c>
      <c r="L529" s="849">
        <v>13</v>
      </c>
    </row>
    <row r="530" spans="1:12">
      <c r="A530" s="847">
        <v>43481</v>
      </c>
      <c r="B530" s="848" t="s">
        <v>2176</v>
      </c>
      <c r="C530" s="849">
        <v>28</v>
      </c>
      <c r="D530" s="847">
        <v>43509</v>
      </c>
      <c r="E530" s="850">
        <v>200</v>
      </c>
      <c r="F530" s="850">
        <v>483.61399999999998</v>
      </c>
      <c r="G530" s="850">
        <v>200</v>
      </c>
      <c r="H530" s="850">
        <v>0</v>
      </c>
      <c r="I530" s="851">
        <v>7.7600000000000002E-2</v>
      </c>
      <c r="J530" s="851">
        <v>7.7600000000000002E-2</v>
      </c>
      <c r="K530" s="851">
        <v>7.7600000000000002E-2</v>
      </c>
      <c r="L530" s="849">
        <v>12</v>
      </c>
    </row>
    <row r="531" spans="1:12">
      <c r="A531" s="847">
        <v>43488</v>
      </c>
      <c r="B531" s="848" t="s">
        <v>2177</v>
      </c>
      <c r="C531" s="849">
        <v>28</v>
      </c>
      <c r="D531" s="847">
        <v>43516</v>
      </c>
      <c r="E531" s="850">
        <v>400</v>
      </c>
      <c r="F531" s="850">
        <v>618.12310000000002</v>
      </c>
      <c r="G531" s="850">
        <v>300</v>
      </c>
      <c r="H531" s="850">
        <v>0</v>
      </c>
      <c r="I531" s="851">
        <v>7.7600000000000002E-2</v>
      </c>
      <c r="J531" s="851">
        <v>7.7600000000000002E-2</v>
      </c>
      <c r="K531" s="851">
        <v>7.7600000000000002E-2</v>
      </c>
      <c r="L531" s="849">
        <v>15</v>
      </c>
    </row>
    <row r="532" spans="1:12">
      <c r="A532" s="847">
        <v>43495</v>
      </c>
      <c r="B532" s="848" t="s">
        <v>2178</v>
      </c>
      <c r="C532" s="849">
        <v>28</v>
      </c>
      <c r="D532" s="847">
        <v>43523</v>
      </c>
      <c r="E532" s="850">
        <v>300</v>
      </c>
      <c r="F532" s="850">
        <v>660.08050000000003</v>
      </c>
      <c r="G532" s="850">
        <v>300</v>
      </c>
      <c r="H532" s="850">
        <v>0</v>
      </c>
      <c r="I532" s="851">
        <v>7.7600000000000002E-2</v>
      </c>
      <c r="J532" s="851">
        <v>7.7600000000000002E-2</v>
      </c>
      <c r="K532" s="851">
        <v>7.7600000000000002E-2</v>
      </c>
      <c r="L532" s="849">
        <v>14</v>
      </c>
    </row>
    <row r="533" spans="1:12">
      <c r="A533" s="847">
        <v>43502</v>
      </c>
      <c r="B533" s="848" t="s">
        <v>2186</v>
      </c>
      <c r="C533" s="849">
        <v>28</v>
      </c>
      <c r="D533" s="847">
        <v>43530</v>
      </c>
      <c r="E533" s="850">
        <v>250</v>
      </c>
      <c r="F533" s="850">
        <v>576.86149999999998</v>
      </c>
      <c r="G533" s="850">
        <v>250</v>
      </c>
      <c r="H533" s="850">
        <v>0</v>
      </c>
      <c r="I533" s="851">
        <v>7.2599999999999998E-2</v>
      </c>
      <c r="J533" s="851">
        <v>7.2599999999999998E-2</v>
      </c>
      <c r="K533" s="851">
        <v>7.2599999999999998E-2</v>
      </c>
      <c r="L533" s="849">
        <v>12</v>
      </c>
    </row>
    <row r="534" spans="1:12">
      <c r="A534" s="847">
        <v>43509</v>
      </c>
      <c r="B534" s="848" t="s">
        <v>2187</v>
      </c>
      <c r="C534" s="849">
        <v>28</v>
      </c>
      <c r="D534" s="847">
        <v>43537</v>
      </c>
      <c r="E534" s="850">
        <v>200</v>
      </c>
      <c r="F534" s="850">
        <v>515.57169999999996</v>
      </c>
      <c r="G534" s="850">
        <v>200</v>
      </c>
      <c r="H534" s="850">
        <v>0</v>
      </c>
      <c r="I534" s="851">
        <v>7.2599999999999998E-2</v>
      </c>
      <c r="J534" s="851">
        <v>7.2599999999999998E-2</v>
      </c>
      <c r="K534" s="851">
        <v>7.2599999999999998E-2</v>
      </c>
      <c r="L534" s="849">
        <v>13</v>
      </c>
    </row>
    <row r="535" spans="1:12">
      <c r="A535" s="847">
        <v>43516</v>
      </c>
      <c r="B535" s="848" t="s">
        <v>2188</v>
      </c>
      <c r="C535" s="849">
        <v>27</v>
      </c>
      <c r="D535" s="847">
        <v>43543</v>
      </c>
      <c r="E535" s="850">
        <v>400</v>
      </c>
      <c r="F535" s="850">
        <v>757.3075</v>
      </c>
      <c r="G535" s="850">
        <v>300</v>
      </c>
      <c r="H535" s="850">
        <v>0</v>
      </c>
      <c r="I535" s="851">
        <v>7.2599999999999998E-2</v>
      </c>
      <c r="J535" s="851">
        <v>7.2599999999999998E-2</v>
      </c>
      <c r="K535" s="851">
        <v>7.2599999999999998E-2</v>
      </c>
      <c r="L535" s="849">
        <v>15</v>
      </c>
    </row>
    <row r="536" spans="1:12">
      <c r="A536" s="847">
        <v>43523</v>
      </c>
      <c r="B536" s="848" t="s">
        <v>2189</v>
      </c>
      <c r="C536" s="849">
        <v>28</v>
      </c>
      <c r="D536" s="847">
        <v>43551</v>
      </c>
      <c r="E536" s="850">
        <v>300</v>
      </c>
      <c r="F536" s="850">
        <v>853.51009999999997</v>
      </c>
      <c r="G536" s="850">
        <v>300</v>
      </c>
      <c r="H536" s="850">
        <v>0</v>
      </c>
      <c r="I536" s="851">
        <v>7.2599999999999998E-2</v>
      </c>
      <c r="J536" s="851">
        <v>7.2599999999999998E-2</v>
      </c>
      <c r="K536" s="851">
        <v>7.2599999999999998E-2</v>
      </c>
      <c r="L536" s="849">
        <v>14</v>
      </c>
    </row>
    <row r="537" spans="1:12">
      <c r="A537" s="847">
        <v>43530</v>
      </c>
      <c r="B537" s="848" t="s">
        <v>2194</v>
      </c>
      <c r="C537" s="849">
        <v>28</v>
      </c>
      <c r="D537" s="847">
        <v>43558</v>
      </c>
      <c r="E537" s="850">
        <v>250</v>
      </c>
      <c r="F537" s="850">
        <v>673.95299999999997</v>
      </c>
      <c r="G537" s="850">
        <v>250</v>
      </c>
      <c r="H537" s="850">
        <v>0</v>
      </c>
      <c r="I537" s="851">
        <v>7.2599999999999998E-2</v>
      </c>
      <c r="J537" s="851">
        <v>7.2599999999999998E-2</v>
      </c>
      <c r="K537" s="851">
        <v>7.2599999999999998E-2</v>
      </c>
      <c r="L537" s="849">
        <v>13</v>
      </c>
    </row>
    <row r="538" spans="1:12">
      <c r="A538" s="847">
        <v>43537</v>
      </c>
      <c r="B538" s="848" t="s">
        <v>2195</v>
      </c>
      <c r="C538" s="849">
        <v>28</v>
      </c>
      <c r="D538" s="847">
        <v>43565</v>
      </c>
      <c r="E538" s="850">
        <v>200</v>
      </c>
      <c r="F538" s="850">
        <v>340.63780000000003</v>
      </c>
      <c r="G538" s="850">
        <v>200</v>
      </c>
      <c r="H538" s="850">
        <v>0</v>
      </c>
      <c r="I538" s="851">
        <v>7.2599999999999998E-2</v>
      </c>
      <c r="J538" s="851">
        <v>7.2599999999999998E-2</v>
      </c>
      <c r="K538" s="851">
        <v>7.2599999999999998E-2</v>
      </c>
      <c r="L538" s="849">
        <v>12</v>
      </c>
    </row>
    <row r="539" spans="1:12">
      <c r="A539" s="847">
        <v>43543</v>
      </c>
      <c r="B539" s="848" t="s">
        <v>2196</v>
      </c>
      <c r="C539" s="849">
        <v>29</v>
      </c>
      <c r="D539" s="847">
        <v>43572</v>
      </c>
      <c r="E539" s="850">
        <v>400</v>
      </c>
      <c r="F539" s="850">
        <v>233.32900000000001</v>
      </c>
      <c r="G539" s="850">
        <v>233.32900000000001</v>
      </c>
      <c r="H539" s="850">
        <v>0</v>
      </c>
      <c r="I539" s="851">
        <v>7.0099999999999996E-2</v>
      </c>
      <c r="J539" s="851">
        <v>8.9899999999999994E-2</v>
      </c>
      <c r="K539" s="851">
        <v>8.7400000000000005E-2</v>
      </c>
      <c r="L539" s="849">
        <v>12</v>
      </c>
    </row>
    <row r="540" spans="1:12">
      <c r="A540" s="847">
        <v>43551</v>
      </c>
      <c r="B540" s="848" t="s">
        <v>2197</v>
      </c>
      <c r="C540" s="849">
        <v>28</v>
      </c>
      <c r="D540" s="847">
        <v>43579</v>
      </c>
      <c r="E540" s="850">
        <v>300</v>
      </c>
      <c r="F540" s="850">
        <v>359.43599999999998</v>
      </c>
      <c r="G540" s="850">
        <v>300</v>
      </c>
      <c r="H540" s="850">
        <v>0</v>
      </c>
      <c r="I540" s="851">
        <v>7.0099999999999996E-2</v>
      </c>
      <c r="J540" s="851">
        <v>8.9800000000000005E-2</v>
      </c>
      <c r="K540" s="851">
        <v>8.7800000000000003E-2</v>
      </c>
      <c r="L540" s="849">
        <v>10</v>
      </c>
    </row>
    <row r="541" spans="1:12">
      <c r="A541" s="847">
        <v>43558</v>
      </c>
      <c r="B541" s="848" t="s">
        <v>2201</v>
      </c>
      <c r="C541" s="849">
        <v>28</v>
      </c>
      <c r="D541" s="847">
        <v>43586</v>
      </c>
      <c r="E541" s="850">
        <v>250</v>
      </c>
      <c r="F541" s="850">
        <v>371.30720000000002</v>
      </c>
      <c r="G541" s="850">
        <v>250</v>
      </c>
      <c r="H541" s="850">
        <v>-28.062799999999999</v>
      </c>
      <c r="I541" s="851">
        <v>7.0099999999999996E-2</v>
      </c>
      <c r="J541" s="851">
        <v>7.0099999999999996E-2</v>
      </c>
      <c r="K541" s="851">
        <v>7.0099999999999996E-2</v>
      </c>
      <c r="L541" s="849">
        <v>10</v>
      </c>
    </row>
    <row r="542" spans="1:12">
      <c r="A542" s="847">
        <v>43565</v>
      </c>
      <c r="B542" s="848" t="s">
        <v>2202</v>
      </c>
      <c r="C542" s="849">
        <v>28</v>
      </c>
      <c r="D542" s="847">
        <v>43593</v>
      </c>
      <c r="E542" s="850">
        <v>200</v>
      </c>
      <c r="F542" s="850">
        <v>167.27760000000001</v>
      </c>
      <c r="G542" s="850">
        <v>167.27760000000001</v>
      </c>
      <c r="H542" s="850">
        <v>0</v>
      </c>
      <c r="I542" s="851">
        <v>7.0099999999999996E-2</v>
      </c>
      <c r="J542" s="851">
        <v>8.9899999999999994E-2</v>
      </c>
      <c r="K542" s="851">
        <v>7.9500000000000001E-2</v>
      </c>
      <c r="L542" s="849">
        <v>10</v>
      </c>
    </row>
    <row r="543" spans="1:12">
      <c r="A543" s="847">
        <v>43572</v>
      </c>
      <c r="B543" s="848" t="s">
        <v>2203</v>
      </c>
      <c r="C543" s="849">
        <v>28</v>
      </c>
      <c r="D543" s="847">
        <v>43600</v>
      </c>
      <c r="E543" s="850">
        <v>400</v>
      </c>
      <c r="F543" s="850">
        <v>199.5264</v>
      </c>
      <c r="G543" s="850">
        <v>199.5264</v>
      </c>
      <c r="H543" s="850">
        <v>0</v>
      </c>
      <c r="I543" s="851">
        <v>7.0099999999999996E-2</v>
      </c>
      <c r="J543" s="851">
        <v>8.9899999999999994E-2</v>
      </c>
      <c r="K543" s="851">
        <v>8.7999999999999995E-2</v>
      </c>
      <c r="L543" s="849">
        <v>11</v>
      </c>
    </row>
    <row r="544" spans="1:12">
      <c r="A544" s="847">
        <v>43579</v>
      </c>
      <c r="B544" s="848" t="s">
        <v>2204</v>
      </c>
      <c r="C544" s="849">
        <v>28</v>
      </c>
      <c r="D544" s="847">
        <v>43607</v>
      </c>
      <c r="E544" s="850">
        <v>300</v>
      </c>
      <c r="F544" s="850">
        <v>285.62459999999999</v>
      </c>
      <c r="G544" s="850">
        <v>285.62459999999999</v>
      </c>
      <c r="H544" s="850">
        <v>0</v>
      </c>
      <c r="I544" s="851">
        <v>8.2500000000000004E-2</v>
      </c>
      <c r="J544" s="851">
        <v>8.9899999999999994E-2</v>
      </c>
      <c r="K544" s="851">
        <v>8.9099999999999999E-2</v>
      </c>
      <c r="L544" s="849">
        <v>12</v>
      </c>
    </row>
    <row r="545" spans="1:12">
      <c r="A545" s="847">
        <v>43586</v>
      </c>
      <c r="B545" s="848" t="s">
        <v>2209</v>
      </c>
      <c r="C545" s="849">
        <v>28</v>
      </c>
      <c r="D545" s="847">
        <v>43614</v>
      </c>
      <c r="E545" s="850">
        <v>200</v>
      </c>
      <c r="F545" s="850">
        <v>525.74710000000005</v>
      </c>
      <c r="G545" s="850">
        <v>200</v>
      </c>
      <c r="H545" s="850">
        <v>0</v>
      </c>
      <c r="I545" s="851">
        <v>6.7599999999999993E-2</v>
      </c>
      <c r="J545" s="851">
        <v>6.7599999999999993E-2</v>
      </c>
      <c r="K545" s="851">
        <v>6.7599999999999993E-2</v>
      </c>
      <c r="L545" s="849">
        <v>12</v>
      </c>
    </row>
    <row r="546" spans="1:12">
      <c r="A546" s="847">
        <v>43593</v>
      </c>
      <c r="B546" s="848" t="s">
        <v>2210</v>
      </c>
      <c r="C546" s="849">
        <v>27</v>
      </c>
      <c r="D546" s="847">
        <v>43620</v>
      </c>
      <c r="E546" s="850">
        <v>200</v>
      </c>
      <c r="F546" s="850">
        <v>552.8845</v>
      </c>
      <c r="G546" s="850">
        <v>200</v>
      </c>
      <c r="H546" s="850">
        <v>0</v>
      </c>
      <c r="I546" s="851">
        <v>6.7599999999999993E-2</v>
      </c>
      <c r="J546" s="851">
        <v>6.7599999999999993E-2</v>
      </c>
      <c r="K546" s="851">
        <v>6.7599999999999993E-2</v>
      </c>
      <c r="L546" s="849">
        <v>14</v>
      </c>
    </row>
    <row r="547" spans="1:12">
      <c r="A547" s="847">
        <v>43600</v>
      </c>
      <c r="B547" s="848" t="s">
        <v>2211</v>
      </c>
      <c r="C547" s="849">
        <v>28</v>
      </c>
      <c r="D547" s="847">
        <v>43628</v>
      </c>
      <c r="E547" s="850">
        <v>200</v>
      </c>
      <c r="F547" s="850">
        <v>720.09839999999997</v>
      </c>
      <c r="G547" s="850">
        <v>200</v>
      </c>
      <c r="H547" s="850">
        <v>0</v>
      </c>
      <c r="I547" s="851">
        <v>6.7599999999999993E-2</v>
      </c>
      <c r="J547" s="851">
        <v>6.7599999999999993E-2</v>
      </c>
      <c r="K547" s="851">
        <v>6.7599999999999993E-2</v>
      </c>
      <c r="L547" s="849">
        <v>15</v>
      </c>
    </row>
    <row r="548" spans="1:12">
      <c r="A548" s="847">
        <v>43607</v>
      </c>
      <c r="B548" s="848" t="s">
        <v>2212</v>
      </c>
      <c r="C548" s="849">
        <v>28</v>
      </c>
      <c r="D548" s="847">
        <v>43635</v>
      </c>
      <c r="E548" s="850">
        <v>200</v>
      </c>
      <c r="F548" s="850">
        <v>785.59249999999997</v>
      </c>
      <c r="G548" s="850">
        <v>200</v>
      </c>
      <c r="H548" s="850">
        <v>0</v>
      </c>
      <c r="I548" s="851">
        <v>6.7599999999999993E-2</v>
      </c>
      <c r="J548" s="851">
        <v>6.7599999999999993E-2</v>
      </c>
      <c r="K548" s="851">
        <v>6.7599999999999993E-2</v>
      </c>
      <c r="L548" s="849">
        <v>18</v>
      </c>
    </row>
    <row r="549" spans="1:12">
      <c r="A549" s="847">
        <v>43614</v>
      </c>
      <c r="B549" s="848" t="s">
        <v>2213</v>
      </c>
      <c r="C549" s="849">
        <v>27</v>
      </c>
      <c r="D549" s="847">
        <v>43641</v>
      </c>
      <c r="E549" s="850">
        <v>200</v>
      </c>
      <c r="F549" s="850">
        <v>875.1019</v>
      </c>
      <c r="G549" s="850">
        <v>200</v>
      </c>
      <c r="H549" s="850">
        <v>0</v>
      </c>
      <c r="I549" s="851">
        <v>6.7599999999999993E-2</v>
      </c>
      <c r="J549" s="851">
        <v>6.7599999999999993E-2</v>
      </c>
      <c r="K549" s="851">
        <v>6.7599999999999993E-2</v>
      </c>
      <c r="L549" s="849">
        <v>19</v>
      </c>
    </row>
    <row r="550" spans="1:12">
      <c r="A550" s="847">
        <v>43620</v>
      </c>
      <c r="B550" s="848" t="s">
        <v>2217</v>
      </c>
      <c r="C550" s="849">
        <v>29</v>
      </c>
      <c r="D550" s="847">
        <v>43649</v>
      </c>
      <c r="E550" s="850">
        <v>200</v>
      </c>
      <c r="F550" s="850">
        <v>571.46479999999997</v>
      </c>
      <c r="G550" s="850">
        <v>100</v>
      </c>
      <c r="H550" s="850">
        <v>0</v>
      </c>
      <c r="I550" s="851">
        <v>6.7599999999999993E-2</v>
      </c>
      <c r="J550" s="851">
        <v>6.7599999999999993E-2</v>
      </c>
      <c r="K550" s="851">
        <v>6.7599999999999993E-2</v>
      </c>
      <c r="L550" s="849">
        <v>15</v>
      </c>
    </row>
    <row r="551" spans="1:12">
      <c r="A551" s="847">
        <v>43628</v>
      </c>
      <c r="B551" s="848" t="s">
        <v>2218</v>
      </c>
      <c r="C551" s="849">
        <v>28</v>
      </c>
      <c r="D551" s="847">
        <v>43656</v>
      </c>
      <c r="E551" s="850">
        <v>200</v>
      </c>
      <c r="F551" s="850">
        <v>936.81719999999996</v>
      </c>
      <c r="G551" s="850">
        <v>200</v>
      </c>
      <c r="H551" s="850">
        <v>0</v>
      </c>
      <c r="I551" s="851">
        <v>6.5100000000000005E-2</v>
      </c>
      <c r="J551" s="851">
        <v>6.5100000000000005E-2</v>
      </c>
      <c r="K551" s="851">
        <v>6.5100000000000005E-2</v>
      </c>
      <c r="L551" s="849">
        <v>17</v>
      </c>
    </row>
    <row r="552" spans="1:12">
      <c r="A552" s="847">
        <v>43635</v>
      </c>
      <c r="B552" s="848" t="s">
        <v>2219</v>
      </c>
      <c r="C552" s="849">
        <v>28</v>
      </c>
      <c r="D552" s="847">
        <v>43663</v>
      </c>
      <c r="E552" s="850">
        <v>200</v>
      </c>
      <c r="F552" s="850">
        <v>799.00139999999999</v>
      </c>
      <c r="G552" s="850">
        <v>200</v>
      </c>
      <c r="H552" s="850">
        <v>0</v>
      </c>
      <c r="I552" s="851">
        <v>6.5100000000000005E-2</v>
      </c>
      <c r="J552" s="851">
        <v>6.5100000000000005E-2</v>
      </c>
      <c r="K552" s="851">
        <v>6.5100000000000005E-2</v>
      </c>
      <c r="L552" s="849">
        <v>17</v>
      </c>
    </row>
    <row r="553" spans="1:12">
      <c r="A553" s="847">
        <v>43641</v>
      </c>
      <c r="B553" s="848" t="s">
        <v>2220</v>
      </c>
      <c r="C553" s="849">
        <v>29</v>
      </c>
      <c r="D553" s="847">
        <v>43670</v>
      </c>
      <c r="E553" s="850">
        <v>200</v>
      </c>
      <c r="F553" s="850">
        <v>727.69269999999995</v>
      </c>
      <c r="G553" s="850">
        <v>200</v>
      </c>
      <c r="H553" s="850">
        <v>0</v>
      </c>
      <c r="I553" s="851">
        <v>6.5100000000000005E-2</v>
      </c>
      <c r="J553" s="851">
        <v>6.5100000000000005E-2</v>
      </c>
      <c r="K553" s="851">
        <v>6.5100000000000005E-2</v>
      </c>
      <c r="L553" s="849">
        <v>16</v>
      </c>
    </row>
    <row r="554" spans="1:12">
      <c r="A554" s="847">
        <v>43649</v>
      </c>
      <c r="B554" s="848" t="s">
        <v>2225</v>
      </c>
      <c r="C554" s="849">
        <v>28</v>
      </c>
      <c r="D554" s="847">
        <v>43677</v>
      </c>
      <c r="E554" s="850">
        <v>100</v>
      </c>
      <c r="F554" s="850">
        <v>629.43439999999998</v>
      </c>
      <c r="G554" s="850">
        <v>100</v>
      </c>
      <c r="H554" s="850">
        <v>0</v>
      </c>
      <c r="I554" s="851">
        <v>6.5100000000000005E-2</v>
      </c>
      <c r="J554" s="851">
        <v>6.5100000000000005E-2</v>
      </c>
      <c r="K554" s="851">
        <v>6.5100000000000005E-2</v>
      </c>
      <c r="L554" s="849">
        <v>17</v>
      </c>
    </row>
    <row r="555" spans="1:12">
      <c r="A555" s="847">
        <v>43656</v>
      </c>
      <c r="B555" s="848" t="s">
        <v>2226</v>
      </c>
      <c r="C555" s="849">
        <v>28</v>
      </c>
      <c r="D555" s="847">
        <v>43684</v>
      </c>
      <c r="E555" s="850">
        <v>200</v>
      </c>
      <c r="F555" s="850">
        <v>939.91139999999996</v>
      </c>
      <c r="G555" s="850">
        <v>200</v>
      </c>
      <c r="H555" s="850">
        <v>0</v>
      </c>
      <c r="I555" s="851">
        <v>6.5100000000000005E-2</v>
      </c>
      <c r="J555" s="851">
        <v>6.5100000000000005E-2</v>
      </c>
      <c r="K555" s="851">
        <v>6.5100000000000005E-2</v>
      </c>
      <c r="L555" s="849">
        <v>16</v>
      </c>
    </row>
    <row r="556" spans="1:12">
      <c r="A556" s="847">
        <v>43663</v>
      </c>
      <c r="B556" s="848" t="s">
        <v>2227</v>
      </c>
      <c r="C556" s="849">
        <v>28</v>
      </c>
      <c r="D556" s="847">
        <v>43691</v>
      </c>
      <c r="E556" s="850">
        <v>200</v>
      </c>
      <c r="F556" s="850">
        <v>975.16899999999998</v>
      </c>
      <c r="G556" s="850">
        <v>200</v>
      </c>
      <c r="H556" s="850">
        <v>0</v>
      </c>
      <c r="I556" s="851">
        <v>6.5100000000000005E-2</v>
      </c>
      <c r="J556" s="851">
        <v>6.5100000000000005E-2</v>
      </c>
      <c r="K556" s="851">
        <v>6.5100000000000005E-2</v>
      </c>
      <c r="L556" s="849">
        <v>20</v>
      </c>
    </row>
    <row r="557" spans="1:12">
      <c r="A557" s="847">
        <v>43670</v>
      </c>
      <c r="B557" s="848" t="s">
        <v>2228</v>
      </c>
      <c r="C557" s="849">
        <v>28</v>
      </c>
      <c r="D557" s="847">
        <v>43698</v>
      </c>
      <c r="E557" s="850">
        <v>200</v>
      </c>
      <c r="F557" s="850">
        <v>729.7944</v>
      </c>
      <c r="G557" s="850">
        <v>200</v>
      </c>
      <c r="H557" s="850">
        <v>0</v>
      </c>
      <c r="I557" s="851">
        <v>6.5100000000000005E-2</v>
      </c>
      <c r="J557" s="851">
        <v>6.5100000000000005E-2</v>
      </c>
      <c r="K557" s="851">
        <v>6.5100000000000005E-2</v>
      </c>
      <c r="L557" s="849">
        <v>17</v>
      </c>
    </row>
    <row r="558" spans="1:12">
      <c r="A558" s="847">
        <v>43677</v>
      </c>
      <c r="B558" s="848" t="s">
        <v>2229</v>
      </c>
      <c r="C558" s="849">
        <v>28</v>
      </c>
      <c r="D558" s="847">
        <v>43705</v>
      </c>
      <c r="E558" s="850">
        <v>100</v>
      </c>
      <c r="F558" s="850">
        <v>652.99199999999996</v>
      </c>
      <c r="G558" s="850">
        <v>100</v>
      </c>
      <c r="H558" s="850">
        <v>0</v>
      </c>
      <c r="I558" s="851">
        <v>6.2600000000000003E-2</v>
      </c>
      <c r="J558" s="851">
        <v>6.2600000000000003E-2</v>
      </c>
      <c r="K558" s="851">
        <v>6.2600000000000003E-2</v>
      </c>
      <c r="L558" s="849">
        <v>16</v>
      </c>
    </row>
    <row r="559" spans="1:12">
      <c r="A559" s="847">
        <v>43684</v>
      </c>
      <c r="B559" s="848" t="s">
        <v>2233</v>
      </c>
      <c r="C559" s="849">
        <v>28</v>
      </c>
      <c r="D559" s="847">
        <v>43712</v>
      </c>
      <c r="E559" s="850">
        <v>200</v>
      </c>
      <c r="F559" s="850">
        <v>656.72450000000003</v>
      </c>
      <c r="G559" s="850">
        <v>200</v>
      </c>
      <c r="H559" s="850">
        <v>0</v>
      </c>
      <c r="I559" s="851">
        <v>6.2600000000000003E-2</v>
      </c>
      <c r="J559" s="851">
        <v>6.2600000000000003E-2</v>
      </c>
      <c r="K559" s="851">
        <v>6.2600000000000003E-2</v>
      </c>
      <c r="L559" s="849">
        <v>14</v>
      </c>
    </row>
    <row r="560" spans="1:12">
      <c r="A560" s="847">
        <v>43691</v>
      </c>
      <c r="B560" s="848" t="s">
        <v>2234</v>
      </c>
      <c r="C560" s="849">
        <v>28</v>
      </c>
      <c r="D560" s="847">
        <v>43719</v>
      </c>
      <c r="E560" s="850">
        <v>200</v>
      </c>
      <c r="F560" s="850">
        <v>585.66920000000005</v>
      </c>
      <c r="G560" s="850">
        <v>200</v>
      </c>
      <c r="H560" s="850">
        <v>0</v>
      </c>
      <c r="I560" s="851">
        <v>6.2600000000000003E-2</v>
      </c>
      <c r="J560" s="851">
        <v>6.2600000000000003E-2</v>
      </c>
      <c r="K560" s="851">
        <v>6.2600000000000003E-2</v>
      </c>
      <c r="L560" s="849">
        <v>14</v>
      </c>
    </row>
    <row r="561" spans="1:12">
      <c r="A561" s="847">
        <v>43698</v>
      </c>
      <c r="B561" s="848" t="s">
        <v>2235</v>
      </c>
      <c r="C561" s="849">
        <v>28</v>
      </c>
      <c r="D561" s="847">
        <v>43726</v>
      </c>
      <c r="E561" s="850">
        <v>200</v>
      </c>
      <c r="F561" s="850">
        <v>617.58889999999997</v>
      </c>
      <c r="G561" s="850">
        <v>200</v>
      </c>
      <c r="H561" s="850">
        <v>0</v>
      </c>
      <c r="I561" s="851">
        <v>6.2600000000000003E-2</v>
      </c>
      <c r="J561" s="851">
        <v>6.2600000000000003E-2</v>
      </c>
      <c r="K561" s="851">
        <v>6.2600000000000003E-2</v>
      </c>
      <c r="L561" s="849">
        <v>16</v>
      </c>
    </row>
    <row r="562" spans="1:12">
      <c r="A562" s="847">
        <v>43705</v>
      </c>
      <c r="B562" s="848" t="s">
        <v>2236</v>
      </c>
      <c r="C562" s="849">
        <v>28</v>
      </c>
      <c r="D562" s="847">
        <v>43733</v>
      </c>
      <c r="E562" s="850">
        <v>100</v>
      </c>
      <c r="F562" s="850">
        <v>595.09360000000004</v>
      </c>
      <c r="G562" s="850">
        <v>100</v>
      </c>
      <c r="H562" s="850">
        <v>0</v>
      </c>
      <c r="I562" s="851">
        <v>6.2600000000000003E-2</v>
      </c>
      <c r="J562" s="851">
        <v>6.2600000000000003E-2</v>
      </c>
      <c r="K562" s="851">
        <v>6.2600000000000003E-2</v>
      </c>
      <c r="L562" s="849">
        <v>17</v>
      </c>
    </row>
    <row r="563" spans="1:12">
      <c r="A563" s="847">
        <v>43712</v>
      </c>
      <c r="B563" s="848" t="s">
        <v>2241</v>
      </c>
      <c r="C563" s="849">
        <v>28</v>
      </c>
      <c r="D563" s="847">
        <v>43740</v>
      </c>
      <c r="E563" s="850">
        <v>200</v>
      </c>
      <c r="F563" s="850">
        <v>595.60919999999999</v>
      </c>
      <c r="G563" s="850">
        <v>200</v>
      </c>
      <c r="H563" s="850">
        <v>0</v>
      </c>
      <c r="I563" s="851">
        <v>6.2600000000000003E-2</v>
      </c>
      <c r="J563" s="851">
        <v>6.2600000000000003E-2</v>
      </c>
      <c r="K563" s="851">
        <v>6.2600000000000003E-2</v>
      </c>
      <c r="L563" s="849">
        <v>16</v>
      </c>
    </row>
    <row r="564" spans="1:12">
      <c r="A564" s="847">
        <v>43719</v>
      </c>
      <c r="B564" s="848" t="s">
        <v>2242</v>
      </c>
      <c r="C564" s="849">
        <v>28</v>
      </c>
      <c r="D564" s="847">
        <v>43747</v>
      </c>
      <c r="E564" s="850">
        <v>200</v>
      </c>
      <c r="F564" s="850">
        <v>710.03660000000002</v>
      </c>
      <c r="G564" s="850">
        <v>200</v>
      </c>
      <c r="H564" s="850">
        <v>0</v>
      </c>
      <c r="I564" s="851">
        <v>6.2600000000000003E-2</v>
      </c>
      <c r="J564" s="851">
        <v>6.2600000000000003E-2</v>
      </c>
      <c r="K564" s="851">
        <v>6.2600000000000003E-2</v>
      </c>
      <c r="L564" s="849">
        <v>16</v>
      </c>
    </row>
    <row r="565" spans="1:12">
      <c r="A565" s="847">
        <v>43726</v>
      </c>
      <c r="B565" s="848" t="s">
        <v>2243</v>
      </c>
      <c r="C565" s="849">
        <v>28</v>
      </c>
      <c r="D565" s="847">
        <v>43755</v>
      </c>
      <c r="E565" s="850">
        <v>200</v>
      </c>
      <c r="F565" s="850">
        <v>676.77589999999998</v>
      </c>
      <c r="G565" s="850">
        <v>170</v>
      </c>
      <c r="H565" s="850">
        <v>0</v>
      </c>
      <c r="I565" s="851">
        <v>6.2600000000000003E-2</v>
      </c>
      <c r="J565" s="851">
        <v>6.2600000000000003E-2</v>
      </c>
      <c r="K565" s="851">
        <v>6.2600000000000003E-2</v>
      </c>
      <c r="L565" s="849">
        <v>16</v>
      </c>
    </row>
    <row r="566" spans="1:12">
      <c r="A566" s="847">
        <v>43728</v>
      </c>
      <c r="B566" s="848" t="s">
        <v>2244</v>
      </c>
      <c r="C566" s="849">
        <v>84</v>
      </c>
      <c r="D566" s="847">
        <v>43815</v>
      </c>
      <c r="E566" s="850">
        <v>30</v>
      </c>
      <c r="F566" s="850">
        <v>147.59219999999999</v>
      </c>
      <c r="G566" s="850">
        <v>30</v>
      </c>
      <c r="H566" s="850">
        <v>0</v>
      </c>
      <c r="I566" s="851">
        <v>0.06</v>
      </c>
      <c r="J566" s="851">
        <v>6.0400000000000002E-2</v>
      </c>
      <c r="K566" s="851">
        <v>6.0299999999999999E-2</v>
      </c>
      <c r="L566" s="849">
        <v>10</v>
      </c>
    </row>
    <row r="567" spans="1:12">
      <c r="A567" s="847">
        <v>43733</v>
      </c>
      <c r="B567" s="848" t="s">
        <v>2245</v>
      </c>
      <c r="C567" s="849">
        <v>28</v>
      </c>
      <c r="D567" s="847">
        <v>43762</v>
      </c>
      <c r="E567" s="850">
        <v>100</v>
      </c>
      <c r="F567" s="850">
        <v>521.02120000000002</v>
      </c>
      <c r="G567" s="850">
        <v>100</v>
      </c>
      <c r="H567" s="850">
        <v>0</v>
      </c>
      <c r="I567" s="851">
        <v>6.2600000000000003E-2</v>
      </c>
      <c r="J567" s="851">
        <v>6.2600000000000003E-2</v>
      </c>
      <c r="K567" s="851">
        <v>6.2600000000000003E-2</v>
      </c>
      <c r="L567" s="849">
        <v>16</v>
      </c>
    </row>
    <row r="568" spans="1:12">
      <c r="A568" s="847">
        <v>43740</v>
      </c>
      <c r="B568" s="848" t="s">
        <v>2246</v>
      </c>
      <c r="C568" s="849">
        <v>28</v>
      </c>
      <c r="D568" s="847">
        <v>43769</v>
      </c>
      <c r="E568" s="850">
        <v>170</v>
      </c>
      <c r="F568" s="850">
        <v>515.09320000000002</v>
      </c>
      <c r="G568" s="850">
        <v>170</v>
      </c>
      <c r="H568" s="850">
        <v>0</v>
      </c>
      <c r="I568" s="851">
        <v>6.2600000000000003E-2</v>
      </c>
      <c r="J568" s="851">
        <v>6.2600000000000003E-2</v>
      </c>
      <c r="K568" s="851">
        <v>6.2600000000000003E-2</v>
      </c>
      <c r="L568" s="849">
        <v>15</v>
      </c>
    </row>
    <row r="569" spans="1:12">
      <c r="A569" s="847">
        <v>43742</v>
      </c>
      <c r="B569" s="848" t="s">
        <v>2247</v>
      </c>
      <c r="C569" s="849">
        <v>168</v>
      </c>
      <c r="D569" s="847">
        <v>43913</v>
      </c>
      <c r="E569" s="850">
        <v>30</v>
      </c>
      <c r="F569" s="850">
        <v>117.325</v>
      </c>
      <c r="G569" s="850">
        <v>30</v>
      </c>
      <c r="H569" s="850">
        <v>0</v>
      </c>
      <c r="I569" s="851">
        <v>5.8000000000000003E-2</v>
      </c>
      <c r="J569" s="851">
        <v>6.1400000000000003E-2</v>
      </c>
      <c r="K569" s="851">
        <v>6.0600000000000001E-2</v>
      </c>
      <c r="L569" s="849">
        <v>9</v>
      </c>
    </row>
    <row r="570" spans="1:12">
      <c r="A570" s="847">
        <v>43747</v>
      </c>
      <c r="B570" s="848" t="s">
        <v>2248</v>
      </c>
      <c r="C570" s="849">
        <v>28</v>
      </c>
      <c r="D570" s="847">
        <v>43776</v>
      </c>
      <c r="E570" s="850">
        <v>170</v>
      </c>
      <c r="F570" s="850">
        <v>647.71220000000005</v>
      </c>
      <c r="G570" s="850">
        <v>170</v>
      </c>
      <c r="H570" s="850">
        <v>0</v>
      </c>
      <c r="I570" s="851">
        <v>6.2600000000000003E-2</v>
      </c>
      <c r="J570" s="851">
        <v>6.2600000000000003E-2</v>
      </c>
      <c r="K570" s="851">
        <v>6.2600000000000003E-2</v>
      </c>
      <c r="L570" s="849">
        <v>14</v>
      </c>
    </row>
    <row r="571" spans="1:12">
      <c r="A571" s="847">
        <v>43749</v>
      </c>
      <c r="B571" s="848" t="s">
        <v>2249</v>
      </c>
      <c r="C571" s="849">
        <v>252</v>
      </c>
      <c r="D571" s="847">
        <v>44004</v>
      </c>
      <c r="E571" s="850">
        <v>30</v>
      </c>
      <c r="F571" s="850">
        <v>116.8794</v>
      </c>
      <c r="G571" s="850">
        <v>30</v>
      </c>
      <c r="H571" s="850">
        <v>0</v>
      </c>
      <c r="I571" s="851">
        <v>0.06</v>
      </c>
      <c r="J571" s="851">
        <v>6.1499999999999999E-2</v>
      </c>
      <c r="K571" s="851">
        <v>6.1400000000000003E-2</v>
      </c>
      <c r="L571" s="849">
        <v>7</v>
      </c>
    </row>
    <row r="572" spans="1:12">
      <c r="A572" s="847">
        <v>43754</v>
      </c>
      <c r="B572" s="848" t="s">
        <v>2250</v>
      </c>
      <c r="C572" s="849">
        <v>28</v>
      </c>
      <c r="D572" s="847">
        <v>43783</v>
      </c>
      <c r="E572" s="850">
        <v>170</v>
      </c>
      <c r="F572" s="850">
        <v>547.24869999999999</v>
      </c>
      <c r="G572" s="850">
        <v>170</v>
      </c>
      <c r="H572" s="850">
        <v>0</v>
      </c>
      <c r="I572" s="851">
        <v>6.2600000000000003E-2</v>
      </c>
      <c r="J572" s="851">
        <v>6.2600000000000003E-2</v>
      </c>
      <c r="K572" s="851">
        <v>6.2600000000000003E-2</v>
      </c>
      <c r="L572" s="849">
        <v>14</v>
      </c>
    </row>
    <row r="573" spans="1:12">
      <c r="A573" s="847">
        <v>43761</v>
      </c>
      <c r="B573" s="848" t="s">
        <v>2251</v>
      </c>
      <c r="C573" s="849">
        <v>28</v>
      </c>
      <c r="D573" s="847">
        <v>43790</v>
      </c>
      <c r="E573" s="850">
        <v>100</v>
      </c>
      <c r="F573" s="850">
        <v>470.81040000000002</v>
      </c>
      <c r="G573" s="850">
        <v>100</v>
      </c>
      <c r="H573" s="850">
        <v>0</v>
      </c>
      <c r="I573" s="851">
        <v>6.2600000000000003E-2</v>
      </c>
      <c r="J573" s="851">
        <v>6.2600000000000003E-2</v>
      </c>
      <c r="K573" s="851">
        <v>6.2600000000000003E-2</v>
      </c>
      <c r="L573" s="849">
        <v>13</v>
      </c>
    </row>
    <row r="574" spans="1:12">
      <c r="A574" s="847">
        <v>43768</v>
      </c>
      <c r="B574" s="848" t="s">
        <v>2252</v>
      </c>
      <c r="C574" s="849">
        <v>28</v>
      </c>
      <c r="D574" s="847">
        <v>43797</v>
      </c>
      <c r="E574" s="850">
        <v>170</v>
      </c>
      <c r="F574" s="850">
        <v>665.99120000000005</v>
      </c>
      <c r="G574" s="850">
        <v>170</v>
      </c>
      <c r="H574" s="850">
        <v>0</v>
      </c>
      <c r="I574" s="851">
        <v>6.0100000000000001E-2</v>
      </c>
      <c r="J574" s="851">
        <v>6.0100000000000001E-2</v>
      </c>
      <c r="K574" s="851">
        <v>6.0100000000000001E-2</v>
      </c>
      <c r="L574" s="849">
        <v>14</v>
      </c>
    </row>
    <row r="575" spans="1:12">
      <c r="A575" s="847">
        <v>43775</v>
      </c>
      <c r="B575" s="848" t="s">
        <v>2254</v>
      </c>
      <c r="C575" s="849">
        <v>28</v>
      </c>
      <c r="D575" s="847">
        <v>43804</v>
      </c>
      <c r="E575" s="850">
        <v>170</v>
      </c>
      <c r="F575" s="850">
        <v>664.08630000000005</v>
      </c>
      <c r="G575" s="850">
        <v>170</v>
      </c>
      <c r="H575" s="850">
        <v>0</v>
      </c>
      <c r="I575" s="851">
        <v>6.0100000000000001E-2</v>
      </c>
      <c r="J575" s="851">
        <v>6.0100000000000001E-2</v>
      </c>
      <c r="K575" s="851">
        <v>6.0100000000000001E-2</v>
      </c>
      <c r="L575" s="849">
        <v>14</v>
      </c>
    </row>
    <row r="576" spans="1:12">
      <c r="A576" s="847">
        <v>43782</v>
      </c>
      <c r="B576" s="848" t="s">
        <v>2255</v>
      </c>
      <c r="C576" s="849">
        <v>28</v>
      </c>
      <c r="D576" s="847">
        <v>43811</v>
      </c>
      <c r="E576" s="850">
        <v>170</v>
      </c>
      <c r="F576" s="850">
        <v>773.34690000000001</v>
      </c>
      <c r="G576" s="850">
        <v>170</v>
      </c>
      <c r="H576" s="850">
        <v>0</v>
      </c>
      <c r="I576" s="851">
        <v>6.0100000000000001E-2</v>
      </c>
      <c r="J576" s="851">
        <v>6.0100000000000001E-2</v>
      </c>
      <c r="K576" s="851">
        <v>6.0100000000000001E-2</v>
      </c>
      <c r="L576" s="849">
        <v>14</v>
      </c>
    </row>
    <row r="577" spans="1:12">
      <c r="A577" s="847">
        <v>43789</v>
      </c>
      <c r="B577" s="848" t="s">
        <v>2256</v>
      </c>
      <c r="C577" s="849">
        <v>28</v>
      </c>
      <c r="D577" s="847">
        <v>43818</v>
      </c>
      <c r="E577" s="850">
        <v>100</v>
      </c>
      <c r="F577" s="850">
        <v>661.61</v>
      </c>
      <c r="G577" s="850">
        <v>100</v>
      </c>
      <c r="H577" s="850">
        <v>0</v>
      </c>
      <c r="I577" s="851">
        <v>6.0100000000000001E-2</v>
      </c>
      <c r="J577" s="851">
        <v>6.0100000000000001E-2</v>
      </c>
      <c r="K577" s="851">
        <v>6.0100000000000001E-2</v>
      </c>
      <c r="L577" s="849">
        <v>15</v>
      </c>
    </row>
    <row r="578" spans="1:12">
      <c r="A578" s="847">
        <v>43796</v>
      </c>
      <c r="B578" s="848" t="s">
        <v>2257</v>
      </c>
      <c r="C578" s="849">
        <v>28</v>
      </c>
      <c r="D578" s="847">
        <v>43825</v>
      </c>
      <c r="E578" s="850">
        <v>170</v>
      </c>
      <c r="F578" s="850">
        <v>858.91160000000002</v>
      </c>
      <c r="G578" s="850">
        <v>170</v>
      </c>
      <c r="H578" s="850">
        <v>0</v>
      </c>
      <c r="I578" s="851">
        <v>6.0100000000000001E-2</v>
      </c>
      <c r="J578" s="851">
        <v>6.0100000000000001E-2</v>
      </c>
      <c r="K578" s="851">
        <v>6.0100000000000001E-2</v>
      </c>
      <c r="L578" s="849">
        <v>15</v>
      </c>
    </row>
    <row r="579" spans="1:12" s="549" customFormat="1">
      <c r="A579" s="847">
        <v>43803</v>
      </c>
      <c r="B579" s="848" t="s">
        <v>2391</v>
      </c>
      <c r="C579" s="849">
        <v>29</v>
      </c>
      <c r="D579" s="847">
        <v>43833</v>
      </c>
      <c r="E579" s="850">
        <v>170</v>
      </c>
      <c r="F579" s="850">
        <v>879.09469999999999</v>
      </c>
      <c r="G579" s="850">
        <v>170</v>
      </c>
      <c r="H579" s="850">
        <v>0</v>
      </c>
      <c r="I579" s="851">
        <v>6.0100000000000001E-2</v>
      </c>
      <c r="J579" s="851">
        <v>6.0100000000000001E-2</v>
      </c>
      <c r="K579" s="851">
        <v>6.0100000000000001E-2</v>
      </c>
      <c r="L579" s="849">
        <v>16</v>
      </c>
    </row>
    <row r="580" spans="1:12">
      <c r="A580" s="847">
        <v>43810</v>
      </c>
      <c r="B580" s="848" t="s">
        <v>2392</v>
      </c>
      <c r="C580" s="849">
        <v>28</v>
      </c>
      <c r="D580" s="847">
        <v>43839</v>
      </c>
      <c r="E580" s="850">
        <v>170</v>
      </c>
      <c r="F580" s="850">
        <v>991.84730000000002</v>
      </c>
      <c r="G580" s="850">
        <v>170</v>
      </c>
      <c r="H580" s="850">
        <v>0</v>
      </c>
      <c r="I580" s="851">
        <v>6.0100000000000001E-2</v>
      </c>
      <c r="J580" s="851">
        <v>6.0100000000000001E-2</v>
      </c>
      <c r="K580" s="851">
        <v>6.0100000000000001E-2</v>
      </c>
      <c r="L580" s="849">
        <v>17</v>
      </c>
    </row>
    <row r="581" spans="1:12" s="549" customFormat="1">
      <c r="A581" s="847">
        <v>43812</v>
      </c>
      <c r="B581" s="848" t="s">
        <v>2393</v>
      </c>
      <c r="C581" s="849">
        <v>84</v>
      </c>
      <c r="D581" s="847">
        <v>43899</v>
      </c>
      <c r="E581" s="850">
        <v>50</v>
      </c>
      <c r="F581" s="850">
        <v>162.3313</v>
      </c>
      <c r="G581" s="850">
        <v>30</v>
      </c>
      <c r="H581" s="850">
        <v>0</v>
      </c>
      <c r="I581" s="851">
        <v>5.5E-2</v>
      </c>
      <c r="J581" s="851">
        <v>5.5E-2</v>
      </c>
      <c r="K581" s="851">
        <v>5.5E-2</v>
      </c>
      <c r="L581" s="849">
        <v>12</v>
      </c>
    </row>
    <row r="582" spans="1:12">
      <c r="A582" s="847">
        <v>43817</v>
      </c>
      <c r="B582" s="848" t="s">
        <v>2394</v>
      </c>
      <c r="C582" s="849">
        <v>28</v>
      </c>
      <c r="D582" s="847">
        <v>43846</v>
      </c>
      <c r="E582" s="850">
        <v>100</v>
      </c>
      <c r="F582" s="850">
        <v>779.08900000000006</v>
      </c>
      <c r="G582" s="850">
        <v>100</v>
      </c>
      <c r="H582" s="850">
        <v>0</v>
      </c>
      <c r="I582" s="851">
        <v>5.7599999999999998E-2</v>
      </c>
      <c r="J582" s="851">
        <v>5.7599999999999998E-2</v>
      </c>
      <c r="K582" s="851">
        <v>5.7599999999999998E-2</v>
      </c>
      <c r="L582" s="849">
        <v>15</v>
      </c>
    </row>
    <row r="583" spans="1:12" s="548" customFormat="1">
      <c r="A583" s="847">
        <v>43824</v>
      </c>
      <c r="B583" s="848" t="s">
        <v>2395</v>
      </c>
      <c r="C583" s="849">
        <v>28</v>
      </c>
      <c r="D583" s="847">
        <v>43853</v>
      </c>
      <c r="E583" s="850">
        <v>170</v>
      </c>
      <c r="F583" s="850">
        <v>940.89739999999995</v>
      </c>
      <c r="G583" s="850">
        <v>170</v>
      </c>
      <c r="H583" s="850">
        <v>0</v>
      </c>
      <c r="I583" s="851">
        <v>5.7599999999999998E-2</v>
      </c>
      <c r="J583" s="851">
        <v>5.7599999999999998E-2</v>
      </c>
      <c r="K583" s="851">
        <v>5.7599999999999998E-2</v>
      </c>
      <c r="L583" s="849">
        <v>13</v>
      </c>
    </row>
    <row r="584" spans="1:12" s="548" customFormat="1">
      <c r="A584" s="1083">
        <v>2020</v>
      </c>
      <c r="B584" s="848"/>
      <c r="C584" s="849"/>
      <c r="D584" s="847"/>
      <c r="E584" s="850"/>
      <c r="F584" s="850"/>
      <c r="G584" s="850"/>
      <c r="H584" s="850"/>
      <c r="I584" s="851"/>
      <c r="J584" s="851"/>
      <c r="K584" s="851"/>
      <c r="L584" s="849"/>
    </row>
    <row r="585" spans="1:12" s="549" customFormat="1">
      <c r="A585" s="847">
        <v>43840</v>
      </c>
      <c r="B585" s="848" t="s">
        <v>2408</v>
      </c>
      <c r="C585" s="849">
        <v>84</v>
      </c>
      <c r="D585" s="847">
        <v>43927</v>
      </c>
      <c r="E585" s="850">
        <v>50</v>
      </c>
      <c r="F585" s="850">
        <v>371.39929999999998</v>
      </c>
      <c r="G585" s="850">
        <v>50</v>
      </c>
      <c r="H585" s="850">
        <v>0</v>
      </c>
      <c r="I585" s="851">
        <v>4.7500000000000001E-2</v>
      </c>
      <c r="J585" s="851">
        <v>0.05</v>
      </c>
      <c r="K585" s="851">
        <v>4.9299999999999997E-2</v>
      </c>
      <c r="L585" s="849">
        <v>16</v>
      </c>
    </row>
    <row r="586" spans="1:12" s="548" customFormat="1">
      <c r="A586" s="847">
        <v>43847</v>
      </c>
      <c r="B586" s="848" t="s">
        <v>2409</v>
      </c>
      <c r="C586" s="849">
        <v>168</v>
      </c>
      <c r="D586" s="847">
        <v>44018</v>
      </c>
      <c r="E586" s="850">
        <v>50</v>
      </c>
      <c r="F586" s="850">
        <v>269.2527</v>
      </c>
      <c r="G586" s="850">
        <v>50</v>
      </c>
      <c r="H586" s="850">
        <v>0</v>
      </c>
      <c r="I586" s="851">
        <v>4.48E-2</v>
      </c>
      <c r="J586" s="851">
        <v>4.4999999999999998E-2</v>
      </c>
      <c r="K586" s="851">
        <v>4.48E-2</v>
      </c>
      <c r="L586" s="849">
        <v>15</v>
      </c>
    </row>
    <row r="587" spans="1:12">
      <c r="A587" s="847">
        <v>43854</v>
      </c>
      <c r="B587" s="848" t="s">
        <v>2410</v>
      </c>
      <c r="C587" s="849">
        <v>252</v>
      </c>
      <c r="D587" s="847">
        <v>44109</v>
      </c>
      <c r="E587" s="850">
        <v>30</v>
      </c>
      <c r="F587" s="850">
        <v>151.86660000000001</v>
      </c>
      <c r="G587" s="850">
        <v>30</v>
      </c>
      <c r="H587" s="850">
        <v>0</v>
      </c>
      <c r="I587" s="851">
        <v>4.1000000000000002E-2</v>
      </c>
      <c r="J587" s="851">
        <v>4.1000000000000002E-2</v>
      </c>
      <c r="K587" s="851">
        <v>4.1000000000000002E-2</v>
      </c>
      <c r="L587" s="849">
        <v>15</v>
      </c>
    </row>
    <row r="588" spans="1:12" s="548" customFormat="1">
      <c r="A588" s="847">
        <v>43868</v>
      </c>
      <c r="B588" s="848" t="s">
        <v>2683</v>
      </c>
      <c r="C588" s="849">
        <v>84</v>
      </c>
      <c r="D588" s="847">
        <v>43955</v>
      </c>
      <c r="E588" s="850">
        <v>50</v>
      </c>
      <c r="F588" s="850">
        <v>265.37180000000001</v>
      </c>
      <c r="G588" s="850">
        <v>50</v>
      </c>
      <c r="H588" s="850">
        <v>-6.6306000000000003</v>
      </c>
      <c r="I588" s="851">
        <v>3.6900000000000002E-2</v>
      </c>
      <c r="J588" s="851">
        <v>3.6999999999999998E-2</v>
      </c>
      <c r="K588" s="851">
        <v>3.6900000000000002E-2</v>
      </c>
      <c r="L588" s="849">
        <v>15</v>
      </c>
    </row>
    <row r="589" spans="1:12">
      <c r="A589" s="847">
        <v>43875</v>
      </c>
      <c r="B589" s="848" t="s">
        <v>2682</v>
      </c>
      <c r="C589" s="849">
        <v>168</v>
      </c>
      <c r="D589" s="847">
        <v>44046</v>
      </c>
      <c r="E589" s="850">
        <v>50</v>
      </c>
      <c r="F589" s="850">
        <v>193.89320000000001</v>
      </c>
      <c r="G589" s="850">
        <v>50</v>
      </c>
      <c r="H589" s="850">
        <v>-1.0177</v>
      </c>
      <c r="I589" s="851">
        <v>3.5000000000000003E-2</v>
      </c>
      <c r="J589" s="851">
        <v>3.7999999999999999E-2</v>
      </c>
      <c r="K589" s="851">
        <v>3.7900000000000003E-2</v>
      </c>
      <c r="L589" s="849">
        <v>12</v>
      </c>
    </row>
    <row r="590" spans="1:12" s="548" customFormat="1">
      <c r="A590" s="847">
        <v>43882</v>
      </c>
      <c r="B590" s="848" t="s">
        <v>2681</v>
      </c>
      <c r="C590" s="849">
        <v>252</v>
      </c>
      <c r="D590" s="847">
        <v>44137</v>
      </c>
      <c r="E590" s="850">
        <v>30</v>
      </c>
      <c r="F590" s="850">
        <v>101.6311</v>
      </c>
      <c r="G590" s="850">
        <v>30</v>
      </c>
      <c r="H590" s="850">
        <v>-1.0270999999999999</v>
      </c>
      <c r="I590" s="851">
        <v>3.6999999999999998E-2</v>
      </c>
      <c r="J590" s="851">
        <v>3.8899999999999997E-2</v>
      </c>
      <c r="K590" s="851">
        <v>3.85E-2</v>
      </c>
      <c r="L590" s="849">
        <v>8</v>
      </c>
    </row>
    <row r="591" spans="1:12">
      <c r="A591" s="847">
        <v>43896</v>
      </c>
      <c r="B591" s="848" t="s">
        <v>2438</v>
      </c>
      <c r="C591" s="849">
        <v>84</v>
      </c>
      <c r="D591" s="847">
        <v>43983</v>
      </c>
      <c r="E591" s="850">
        <v>50</v>
      </c>
      <c r="F591" s="850">
        <v>217.51920000000001</v>
      </c>
      <c r="G591" s="850">
        <v>50</v>
      </c>
      <c r="H591" s="850">
        <v>-9.0625</v>
      </c>
      <c r="I591" s="851">
        <v>2.9100000000000001E-2</v>
      </c>
      <c r="J591" s="851">
        <v>3.5400000000000001E-2</v>
      </c>
      <c r="K591" s="851">
        <v>3.4299999999999997E-2</v>
      </c>
      <c r="L591" s="849">
        <v>11</v>
      </c>
    </row>
    <row r="592" spans="1:12">
      <c r="A592" s="847">
        <v>43922</v>
      </c>
      <c r="B592" s="848" t="s">
        <v>2446</v>
      </c>
      <c r="C592" s="849">
        <v>28</v>
      </c>
      <c r="D592" s="847">
        <v>43950</v>
      </c>
      <c r="E592" s="850">
        <v>200</v>
      </c>
      <c r="F592" s="850">
        <v>37.701500000000003</v>
      </c>
      <c r="G592" s="850">
        <v>37.701500000000003</v>
      </c>
      <c r="H592" s="850">
        <v>0</v>
      </c>
      <c r="I592" s="851">
        <v>6.7599999999999993E-2</v>
      </c>
      <c r="J592" s="851">
        <v>7.22E-2</v>
      </c>
      <c r="K592" s="851">
        <v>6.9099999999999995E-2</v>
      </c>
      <c r="L592" s="849">
        <v>3</v>
      </c>
    </row>
    <row r="593" spans="1:12">
      <c r="A593" s="847">
        <v>43929</v>
      </c>
      <c r="B593" s="848" t="s">
        <v>2447</v>
      </c>
      <c r="C593" s="849">
        <v>28</v>
      </c>
      <c r="D593" s="847">
        <v>43957</v>
      </c>
      <c r="E593" s="850">
        <v>100</v>
      </c>
      <c r="F593" s="850">
        <v>104.5647</v>
      </c>
      <c r="G593" s="850">
        <v>100</v>
      </c>
      <c r="H593" s="850">
        <v>0</v>
      </c>
      <c r="I593" s="851">
        <v>6.7599999999999993E-2</v>
      </c>
      <c r="J593" s="851">
        <v>7.2400000000000006E-2</v>
      </c>
      <c r="K593" s="851">
        <v>6.9699999999999998E-2</v>
      </c>
      <c r="L593" s="849">
        <v>5</v>
      </c>
    </row>
    <row r="594" spans="1:12">
      <c r="A594" s="847">
        <v>43936</v>
      </c>
      <c r="B594" s="848" t="s">
        <v>2448</v>
      </c>
      <c r="C594" s="849">
        <v>28</v>
      </c>
      <c r="D594" s="847">
        <v>43964</v>
      </c>
      <c r="E594" s="850">
        <v>200</v>
      </c>
      <c r="F594" s="850">
        <v>253.87129999999999</v>
      </c>
      <c r="G594" s="850">
        <v>200</v>
      </c>
      <c r="H594" s="850">
        <v>0</v>
      </c>
      <c r="I594" s="851">
        <v>6.7599999999999993E-2</v>
      </c>
      <c r="J594" s="851">
        <v>6.9800000000000001E-2</v>
      </c>
      <c r="K594" s="851">
        <v>6.9500000000000006E-2</v>
      </c>
      <c r="L594" s="849">
        <v>8</v>
      </c>
    </row>
    <row r="595" spans="1:12">
      <c r="A595" s="847">
        <v>43943</v>
      </c>
      <c r="B595" s="848" t="s">
        <v>2449</v>
      </c>
      <c r="C595" s="849">
        <v>28</v>
      </c>
      <c r="D595" s="847">
        <v>43971</v>
      </c>
      <c r="E595" s="850">
        <v>200</v>
      </c>
      <c r="F595" s="850">
        <v>308.02629999999999</v>
      </c>
      <c r="G595" s="850">
        <v>200</v>
      </c>
      <c r="H595" s="850">
        <v>0</v>
      </c>
      <c r="I595" s="851">
        <v>6.7599999999999993E-2</v>
      </c>
      <c r="J595" s="851">
        <v>6.7599999999999993E-2</v>
      </c>
      <c r="K595" s="851">
        <v>6.7599999999999993E-2</v>
      </c>
      <c r="L595" s="849">
        <v>10</v>
      </c>
    </row>
    <row r="596" spans="1:12">
      <c r="A596" s="847">
        <v>43950</v>
      </c>
      <c r="B596" s="848" t="s">
        <v>2450</v>
      </c>
      <c r="C596" s="849">
        <v>28</v>
      </c>
      <c r="D596" s="847">
        <v>43978</v>
      </c>
      <c r="E596" s="850">
        <v>200</v>
      </c>
      <c r="F596" s="850">
        <v>333.09539999999998</v>
      </c>
      <c r="G596" s="850">
        <v>100</v>
      </c>
      <c r="H596" s="850">
        <v>0</v>
      </c>
      <c r="I596" s="851">
        <v>6.7599999999999993E-2</v>
      </c>
      <c r="J596" s="851">
        <v>6.7599999999999993E-2</v>
      </c>
      <c r="K596" s="851">
        <v>6.7599999999999993E-2</v>
      </c>
      <c r="L596" s="849">
        <v>11</v>
      </c>
    </row>
    <row r="597" spans="1:12">
      <c r="A597" s="847">
        <v>43957</v>
      </c>
      <c r="B597" s="848" t="s">
        <v>2458</v>
      </c>
      <c r="C597" s="849">
        <v>28</v>
      </c>
      <c r="D597" s="847">
        <v>43985</v>
      </c>
      <c r="E597" s="850">
        <v>150</v>
      </c>
      <c r="F597" s="850">
        <v>224.55719999999999</v>
      </c>
      <c r="G597" s="850">
        <v>150</v>
      </c>
      <c r="H597" s="850">
        <v>0</v>
      </c>
      <c r="I597" s="851">
        <v>6.7599999999999993E-2</v>
      </c>
      <c r="J597" s="851">
        <v>6.7599999999999993E-2</v>
      </c>
      <c r="K597" s="851">
        <v>6.7599999999999993E-2</v>
      </c>
      <c r="L597" s="849">
        <v>7</v>
      </c>
    </row>
    <row r="598" spans="1:12">
      <c r="A598" s="847">
        <v>43964</v>
      </c>
      <c r="B598" s="848" t="s">
        <v>2459</v>
      </c>
      <c r="C598" s="849">
        <v>28</v>
      </c>
      <c r="D598" s="847">
        <v>43992</v>
      </c>
      <c r="E598" s="850">
        <v>200</v>
      </c>
      <c r="F598" s="850">
        <v>136.53059999999999</v>
      </c>
      <c r="G598" s="850">
        <v>136.53059999999999</v>
      </c>
      <c r="H598" s="850">
        <v>0</v>
      </c>
      <c r="I598" s="851">
        <v>6.7599999999999993E-2</v>
      </c>
      <c r="J598" s="851">
        <v>7.0000000000000007E-2</v>
      </c>
      <c r="K598" s="851">
        <v>6.9199999999999998E-2</v>
      </c>
      <c r="L598" s="849">
        <v>4</v>
      </c>
    </row>
    <row r="599" spans="1:12">
      <c r="A599" s="847">
        <v>43971</v>
      </c>
      <c r="B599" s="848" t="s">
        <v>2460</v>
      </c>
      <c r="C599" s="849">
        <v>28</v>
      </c>
      <c r="D599" s="847">
        <v>43999</v>
      </c>
      <c r="E599" s="850">
        <v>200</v>
      </c>
      <c r="F599" s="850">
        <v>337.66469999999998</v>
      </c>
      <c r="G599" s="850">
        <v>200</v>
      </c>
      <c r="H599" s="850">
        <v>0</v>
      </c>
      <c r="I599" s="851">
        <v>6.7599999999999993E-2</v>
      </c>
      <c r="J599" s="851">
        <v>6.7599999999999993E-2</v>
      </c>
      <c r="K599" s="851">
        <v>6.7599999999999993E-2</v>
      </c>
      <c r="L599" s="849">
        <v>10</v>
      </c>
    </row>
    <row r="600" spans="1:12">
      <c r="A600" s="847">
        <v>43985</v>
      </c>
      <c r="B600" s="848" t="s">
        <v>2464</v>
      </c>
      <c r="C600" s="849">
        <v>28</v>
      </c>
      <c r="D600" s="847">
        <v>44013</v>
      </c>
      <c r="E600" s="850">
        <v>250</v>
      </c>
      <c r="F600" s="850">
        <v>539.31880000000001</v>
      </c>
      <c r="G600" s="850">
        <v>250</v>
      </c>
      <c r="H600" s="850">
        <v>0</v>
      </c>
      <c r="I600" s="851">
        <v>6.7599999999999993E-2</v>
      </c>
      <c r="J600" s="851">
        <v>6.7599999999999993E-2</v>
      </c>
      <c r="K600" s="851">
        <v>6.7599999999999993E-2</v>
      </c>
      <c r="L600" s="849">
        <v>12</v>
      </c>
    </row>
    <row r="601" spans="1:12">
      <c r="A601" s="847">
        <v>43992</v>
      </c>
      <c r="B601" s="848" t="s">
        <v>2465</v>
      </c>
      <c r="C601" s="849">
        <v>28</v>
      </c>
      <c r="D601" s="847">
        <v>44020</v>
      </c>
      <c r="E601" s="850">
        <v>100</v>
      </c>
      <c r="F601" s="850">
        <v>98.266199999999998</v>
      </c>
      <c r="G601" s="850">
        <v>98.266199999999998</v>
      </c>
      <c r="H601" s="850">
        <v>0</v>
      </c>
      <c r="I601" s="851">
        <v>6.7599999999999993E-2</v>
      </c>
      <c r="J601" s="851">
        <v>6.7599999999999993E-2</v>
      </c>
      <c r="K601" s="851">
        <v>6.7599999999999993E-2</v>
      </c>
      <c r="L601" s="849">
        <v>8</v>
      </c>
    </row>
    <row r="602" spans="1:12">
      <c r="A602" s="847">
        <v>43999</v>
      </c>
      <c r="B602" s="848" t="s">
        <v>2466</v>
      </c>
      <c r="C602" s="849">
        <v>28</v>
      </c>
      <c r="D602" s="847">
        <v>44027</v>
      </c>
      <c r="E602" s="850">
        <v>200</v>
      </c>
      <c r="F602" s="850">
        <v>408.54129999999998</v>
      </c>
      <c r="G602" s="850">
        <v>200</v>
      </c>
      <c r="H602" s="850">
        <v>0</v>
      </c>
      <c r="I602" s="851">
        <v>6.7599999999999993E-2</v>
      </c>
      <c r="J602" s="851">
        <v>6.7599999999999993E-2</v>
      </c>
      <c r="K602" s="851">
        <v>6.7599999999999993E-2</v>
      </c>
      <c r="L602" s="849">
        <v>12</v>
      </c>
    </row>
    <row r="603" spans="1:12">
      <c r="A603" s="847">
        <v>44006</v>
      </c>
      <c r="B603" s="848" t="s">
        <v>2467</v>
      </c>
      <c r="C603" s="849">
        <v>28</v>
      </c>
      <c r="D603" s="847">
        <v>44034</v>
      </c>
      <c r="E603" s="850">
        <v>100</v>
      </c>
      <c r="F603" s="850">
        <v>314.21390000000002</v>
      </c>
      <c r="G603" s="850">
        <v>100</v>
      </c>
      <c r="H603" s="850">
        <v>0</v>
      </c>
      <c r="I603" s="851">
        <v>6.5100000000000005E-2</v>
      </c>
      <c r="J603" s="851">
        <v>6.5100000000000005E-2</v>
      </c>
      <c r="K603" s="851">
        <v>6.5100000000000005E-2</v>
      </c>
      <c r="L603" s="849">
        <v>12</v>
      </c>
    </row>
    <row r="604" spans="1:12">
      <c r="A604" s="847">
        <v>44013</v>
      </c>
      <c r="B604" s="848" t="s">
        <v>2472</v>
      </c>
      <c r="C604" s="849">
        <v>28</v>
      </c>
      <c r="D604" s="847">
        <v>44041</v>
      </c>
      <c r="E604" s="850">
        <v>200</v>
      </c>
      <c r="F604" s="850">
        <v>525.94150000000002</v>
      </c>
      <c r="G604" s="850">
        <v>200</v>
      </c>
      <c r="H604" s="850">
        <v>0</v>
      </c>
      <c r="I604" s="851">
        <v>6.5100000000000005E-2</v>
      </c>
      <c r="J604" s="851">
        <v>6.5100000000000005E-2</v>
      </c>
      <c r="K604" s="851">
        <v>6.5100000000000005E-2</v>
      </c>
      <c r="L604" s="849">
        <v>11</v>
      </c>
    </row>
    <row r="605" spans="1:12">
      <c r="A605" s="847">
        <v>44020</v>
      </c>
      <c r="B605" s="848" t="s">
        <v>2473</v>
      </c>
      <c r="C605" s="849">
        <v>28</v>
      </c>
      <c r="D605" s="847">
        <v>44048</v>
      </c>
      <c r="E605" s="850">
        <v>100</v>
      </c>
      <c r="F605" s="850">
        <v>435.98399999999998</v>
      </c>
      <c r="G605" s="850">
        <v>100</v>
      </c>
      <c r="H605" s="850">
        <v>0</v>
      </c>
      <c r="I605" s="851">
        <v>6.5100000000000005E-2</v>
      </c>
      <c r="J605" s="851">
        <v>6.5100000000000005E-2</v>
      </c>
      <c r="K605" s="851">
        <v>6.5100000000000005E-2</v>
      </c>
      <c r="L605" s="849">
        <v>15</v>
      </c>
    </row>
    <row r="606" spans="1:12">
      <c r="A606" s="847">
        <v>44027</v>
      </c>
      <c r="B606" s="848" t="s">
        <v>2474</v>
      </c>
      <c r="C606" s="849">
        <v>28</v>
      </c>
      <c r="D606" s="847">
        <v>44055</v>
      </c>
      <c r="E606" s="850">
        <v>200</v>
      </c>
      <c r="F606" s="850">
        <v>554.49069999999995</v>
      </c>
      <c r="G606" s="850">
        <v>200</v>
      </c>
      <c r="H606" s="850">
        <v>0</v>
      </c>
      <c r="I606" s="851">
        <v>6.5100000000000005E-2</v>
      </c>
      <c r="J606" s="851">
        <v>6.5100000000000005E-2</v>
      </c>
      <c r="K606" s="851">
        <v>6.5100000000000005E-2</v>
      </c>
      <c r="L606" s="849">
        <v>11</v>
      </c>
    </row>
    <row r="607" spans="1:12">
      <c r="A607" s="847">
        <v>44034</v>
      </c>
      <c r="B607" s="848" t="s">
        <v>2475</v>
      </c>
      <c r="C607" s="849">
        <v>28</v>
      </c>
      <c r="D607" s="847">
        <v>44062</v>
      </c>
      <c r="E607" s="850">
        <v>100</v>
      </c>
      <c r="F607" s="850">
        <v>407.75229999999999</v>
      </c>
      <c r="G607" s="850">
        <v>100</v>
      </c>
      <c r="H607" s="850">
        <v>0</v>
      </c>
      <c r="I607" s="851">
        <v>6.5100000000000005E-2</v>
      </c>
      <c r="J607" s="851">
        <v>6.5100000000000005E-2</v>
      </c>
      <c r="K607" s="851">
        <v>6.5100000000000005E-2</v>
      </c>
      <c r="L607" s="849">
        <v>15</v>
      </c>
    </row>
    <row r="608" spans="1:12">
      <c r="A608" s="847">
        <v>44041</v>
      </c>
      <c r="B608" s="848" t="s">
        <v>2476</v>
      </c>
      <c r="C608" s="849">
        <v>28</v>
      </c>
      <c r="D608" s="847">
        <v>44069</v>
      </c>
      <c r="E608" s="850">
        <v>200</v>
      </c>
      <c r="F608" s="850">
        <v>623.6454</v>
      </c>
      <c r="G608" s="850">
        <v>200</v>
      </c>
      <c r="H608" s="850">
        <v>0</v>
      </c>
      <c r="I608" s="851">
        <v>6.5100000000000005E-2</v>
      </c>
      <c r="J608" s="851">
        <v>6.5100000000000005E-2</v>
      </c>
      <c r="K608" s="851">
        <v>6.5100000000000005E-2</v>
      </c>
      <c r="L608" s="849">
        <v>14</v>
      </c>
    </row>
    <row r="609" spans="1:12">
      <c r="A609" s="847">
        <v>44048</v>
      </c>
      <c r="B609" s="848" t="s">
        <v>2491</v>
      </c>
      <c r="C609" s="849">
        <v>28</v>
      </c>
      <c r="D609" s="847">
        <v>44076</v>
      </c>
      <c r="E609" s="850">
        <v>150</v>
      </c>
      <c r="F609" s="850">
        <v>556.17259999999999</v>
      </c>
      <c r="G609" s="850">
        <v>150</v>
      </c>
      <c r="H609" s="850">
        <v>0</v>
      </c>
      <c r="I609" s="851">
        <v>6.2600000000000003E-2</v>
      </c>
      <c r="J609" s="851">
        <v>6.2600000000000003E-2</v>
      </c>
      <c r="K609" s="851">
        <v>6.2600000000000003E-2</v>
      </c>
      <c r="L609" s="849">
        <v>15</v>
      </c>
    </row>
    <row r="610" spans="1:12">
      <c r="A610" s="847">
        <v>44055</v>
      </c>
      <c r="B610" s="848" t="s">
        <v>2492</v>
      </c>
      <c r="C610" s="849">
        <v>28</v>
      </c>
      <c r="D610" s="847">
        <v>44083</v>
      </c>
      <c r="E610" s="850">
        <v>200</v>
      </c>
      <c r="F610" s="850">
        <v>629.35329999999999</v>
      </c>
      <c r="G610" s="850">
        <v>200</v>
      </c>
      <c r="H610" s="850">
        <v>0</v>
      </c>
      <c r="I610" s="851">
        <v>6.2600000000000003E-2</v>
      </c>
      <c r="J610" s="851">
        <v>6.2600000000000003E-2</v>
      </c>
      <c r="K610" s="851">
        <v>6.2600000000000003E-2</v>
      </c>
      <c r="L610" s="849">
        <v>14</v>
      </c>
    </row>
    <row r="611" spans="1:12">
      <c r="A611" s="847">
        <v>44062</v>
      </c>
      <c r="B611" s="848" t="s">
        <v>2493</v>
      </c>
      <c r="C611" s="849">
        <v>28</v>
      </c>
      <c r="D611" s="847">
        <v>44090</v>
      </c>
      <c r="E611" s="850">
        <v>100</v>
      </c>
      <c r="F611" s="850">
        <v>468.09730000000002</v>
      </c>
      <c r="G611" s="850">
        <v>100</v>
      </c>
      <c r="H611" s="850">
        <v>0</v>
      </c>
      <c r="I611" s="851">
        <v>6.2600000000000003E-2</v>
      </c>
      <c r="J611" s="851">
        <v>6.2600000000000003E-2</v>
      </c>
      <c r="K611" s="851">
        <v>6.2600000000000003E-2</v>
      </c>
      <c r="L611" s="849">
        <v>14</v>
      </c>
    </row>
    <row r="612" spans="1:12">
      <c r="A612" s="847">
        <v>44069</v>
      </c>
      <c r="B612" s="848" t="s">
        <v>2494</v>
      </c>
      <c r="C612" s="849">
        <v>28</v>
      </c>
      <c r="D612" s="847">
        <v>44097</v>
      </c>
      <c r="E612" s="850">
        <v>200</v>
      </c>
      <c r="F612" s="850">
        <v>693.35670000000005</v>
      </c>
      <c r="G612" s="850">
        <v>200</v>
      </c>
      <c r="H612" s="850">
        <v>0</v>
      </c>
      <c r="I612" s="851">
        <v>6.2600000000000003E-2</v>
      </c>
      <c r="J612" s="851">
        <v>6.2600000000000003E-2</v>
      </c>
      <c r="K612" s="851">
        <v>6.2600000000000003E-2</v>
      </c>
      <c r="L612" s="849">
        <v>14</v>
      </c>
    </row>
    <row r="613" spans="1:12">
      <c r="A613" s="847">
        <v>44076</v>
      </c>
      <c r="B613" s="848" t="s">
        <v>2541</v>
      </c>
      <c r="C613" s="849">
        <v>28</v>
      </c>
      <c r="D613" s="847">
        <v>44104</v>
      </c>
      <c r="E613" s="850">
        <v>150</v>
      </c>
      <c r="F613" s="850">
        <v>590.35720000000003</v>
      </c>
      <c r="G613" s="850">
        <v>150</v>
      </c>
      <c r="H613" s="850">
        <v>0</v>
      </c>
      <c r="I613" s="851">
        <v>6.2600000000000003E-2</v>
      </c>
      <c r="J613" s="851">
        <v>6.2600000000000003E-2</v>
      </c>
      <c r="K613" s="851">
        <v>6.2600000000000003E-2</v>
      </c>
      <c r="L613" s="849">
        <v>15</v>
      </c>
    </row>
    <row r="614" spans="1:12">
      <c r="A614" s="847">
        <v>44083</v>
      </c>
      <c r="B614" s="848" t="s">
        <v>2542</v>
      </c>
      <c r="C614" s="849">
        <v>28</v>
      </c>
      <c r="D614" s="847">
        <v>44111</v>
      </c>
      <c r="E614" s="850">
        <v>200</v>
      </c>
      <c r="F614" s="850">
        <v>806.90599999999995</v>
      </c>
      <c r="G614" s="850">
        <v>200</v>
      </c>
      <c r="H614" s="850">
        <v>0</v>
      </c>
      <c r="I614" s="851">
        <v>6.2600000000000003E-2</v>
      </c>
      <c r="J614" s="851">
        <v>6.2600000000000003E-2</v>
      </c>
      <c r="K614" s="851">
        <v>6.2600000000000003E-2</v>
      </c>
      <c r="L614" s="849">
        <v>15</v>
      </c>
    </row>
    <row r="615" spans="1:12">
      <c r="A615" s="847">
        <v>44090</v>
      </c>
      <c r="B615" s="848" t="s">
        <v>2543</v>
      </c>
      <c r="C615" s="849">
        <v>28</v>
      </c>
      <c r="D615" s="847">
        <v>44118</v>
      </c>
      <c r="E615" s="850">
        <v>100</v>
      </c>
      <c r="F615" s="850">
        <v>643.61530000000005</v>
      </c>
      <c r="G615" s="850">
        <v>100</v>
      </c>
      <c r="H615" s="850">
        <v>0</v>
      </c>
      <c r="I615" s="851">
        <v>6.2600000000000003E-2</v>
      </c>
      <c r="J615" s="851">
        <v>6.2600000000000003E-2</v>
      </c>
      <c r="K615" s="851">
        <v>6.2600000000000003E-2</v>
      </c>
      <c r="L615" s="849">
        <v>18</v>
      </c>
    </row>
    <row r="616" spans="1:12">
      <c r="A616" s="847">
        <v>44097</v>
      </c>
      <c r="B616" s="848" t="s">
        <v>2544</v>
      </c>
      <c r="C616" s="849">
        <v>28</v>
      </c>
      <c r="D616" s="847">
        <v>44125</v>
      </c>
      <c r="E616" s="850">
        <v>200</v>
      </c>
      <c r="F616" s="850">
        <v>947.58100000000002</v>
      </c>
      <c r="G616" s="850">
        <v>200</v>
      </c>
      <c r="H616" s="850">
        <v>0</v>
      </c>
      <c r="I616" s="851">
        <v>6.0100000000000001E-2</v>
      </c>
      <c r="J616" s="851">
        <v>6.0100000000000001E-2</v>
      </c>
      <c r="K616" s="851">
        <v>6.0100000000000001E-2</v>
      </c>
      <c r="L616" s="849">
        <v>15</v>
      </c>
    </row>
    <row r="617" spans="1:12">
      <c r="A617" s="847">
        <v>44104</v>
      </c>
      <c r="B617" s="848" t="s">
        <v>2545</v>
      </c>
      <c r="C617" s="849">
        <v>28</v>
      </c>
      <c r="D617" s="847">
        <v>44132</v>
      </c>
      <c r="E617" s="850">
        <v>150</v>
      </c>
      <c r="F617" s="850">
        <v>693.92550000000006</v>
      </c>
      <c r="G617" s="850">
        <v>150</v>
      </c>
      <c r="H617" s="850">
        <v>0</v>
      </c>
      <c r="I617" s="851">
        <v>6.0100000000000001E-2</v>
      </c>
      <c r="J617" s="851">
        <v>6.0100000000000001E-2</v>
      </c>
      <c r="K617" s="851">
        <v>6.0100000000000001E-2</v>
      </c>
      <c r="L617" s="849">
        <v>14</v>
      </c>
    </row>
    <row r="618" spans="1:12">
      <c r="A618" s="847">
        <v>44111</v>
      </c>
      <c r="B618" s="848" t="s">
        <v>2551</v>
      </c>
      <c r="C618" s="849">
        <v>28</v>
      </c>
      <c r="D618" s="847">
        <v>44111</v>
      </c>
      <c r="E618" s="850">
        <v>250</v>
      </c>
      <c r="F618" s="850">
        <v>725.88810000000001</v>
      </c>
      <c r="G618" s="850">
        <v>200</v>
      </c>
      <c r="H618" s="850">
        <v>0</v>
      </c>
      <c r="I618" s="851">
        <v>6.0100000000000001E-2</v>
      </c>
      <c r="J618" s="851">
        <v>6.0100000000000001E-2</v>
      </c>
      <c r="K618" s="851">
        <v>6.0100000000000001E-2</v>
      </c>
      <c r="L618" s="849">
        <v>14</v>
      </c>
    </row>
    <row r="619" spans="1:12">
      <c r="A619" s="847">
        <v>44118</v>
      </c>
      <c r="B619" s="848" t="s">
        <v>2552</v>
      </c>
      <c r="C619" s="849">
        <v>28</v>
      </c>
      <c r="D619" s="847">
        <v>44118</v>
      </c>
      <c r="E619" s="850">
        <v>100</v>
      </c>
      <c r="F619" s="850">
        <v>582.49390000000005</v>
      </c>
      <c r="G619" s="850">
        <v>100</v>
      </c>
      <c r="H619" s="850">
        <v>0</v>
      </c>
      <c r="I619" s="851">
        <v>6.0100000000000001E-2</v>
      </c>
      <c r="J619" s="851">
        <v>6.0100000000000001E-2</v>
      </c>
      <c r="K619" s="851">
        <v>6.0100000000000001E-2</v>
      </c>
      <c r="L619" s="849">
        <v>16</v>
      </c>
    </row>
    <row r="620" spans="1:12">
      <c r="A620" s="847">
        <v>44125</v>
      </c>
      <c r="B620" s="848" t="s">
        <v>2553</v>
      </c>
      <c r="C620" s="849">
        <v>28</v>
      </c>
      <c r="D620" s="847">
        <v>44125</v>
      </c>
      <c r="E620" s="850">
        <v>200</v>
      </c>
      <c r="F620" s="850">
        <v>898.54859999999996</v>
      </c>
      <c r="G620" s="850">
        <v>200</v>
      </c>
      <c r="H620" s="850">
        <v>0</v>
      </c>
      <c r="I620" s="851">
        <v>6.0100000000000001E-2</v>
      </c>
      <c r="J620" s="851">
        <v>6.0100000000000001E-2</v>
      </c>
      <c r="K620" s="851">
        <v>6.0100000000000001E-2</v>
      </c>
      <c r="L620" s="849">
        <v>16</v>
      </c>
    </row>
    <row r="621" spans="1:12">
      <c r="A621" s="847">
        <v>44132</v>
      </c>
      <c r="B621" s="848" t="s">
        <v>2554</v>
      </c>
      <c r="C621" s="849">
        <v>28</v>
      </c>
      <c r="D621" s="847">
        <v>44132</v>
      </c>
      <c r="E621" s="850">
        <v>150</v>
      </c>
      <c r="F621" s="850">
        <v>740.21569999999997</v>
      </c>
      <c r="G621" s="850">
        <v>150</v>
      </c>
      <c r="H621" s="850">
        <v>0</v>
      </c>
      <c r="I621" s="851">
        <v>6.0100000000000001E-2</v>
      </c>
      <c r="J621" s="851">
        <v>6.0100000000000001E-2</v>
      </c>
      <c r="K621" s="851">
        <v>6.0100000000000001E-2</v>
      </c>
      <c r="L621" s="849">
        <v>13</v>
      </c>
    </row>
    <row r="622" spans="1:12">
      <c r="A622" s="847">
        <v>44139</v>
      </c>
      <c r="B622" s="848" t="s">
        <v>2556</v>
      </c>
      <c r="C622" s="849">
        <v>28</v>
      </c>
      <c r="D622" s="847">
        <v>44167</v>
      </c>
      <c r="E622" s="850">
        <v>200</v>
      </c>
      <c r="F622" s="850">
        <v>877.27869999999996</v>
      </c>
      <c r="G622" s="850">
        <v>200</v>
      </c>
      <c r="H622" s="850">
        <v>0</v>
      </c>
      <c r="I622" s="851">
        <v>6.0100000000000001E-2</v>
      </c>
      <c r="J622" s="851">
        <v>6.0100000000000001E-2</v>
      </c>
      <c r="K622" s="851">
        <v>6.0100000000000001E-2</v>
      </c>
      <c r="L622" s="849">
        <v>14</v>
      </c>
    </row>
    <row r="623" spans="1:12">
      <c r="A623" s="847">
        <v>44146</v>
      </c>
      <c r="B623" s="848" t="s">
        <v>2557</v>
      </c>
      <c r="C623" s="849">
        <v>28</v>
      </c>
      <c r="D623" s="847">
        <v>44174</v>
      </c>
      <c r="E623" s="850">
        <v>100</v>
      </c>
      <c r="F623" s="850">
        <v>462.07459999999998</v>
      </c>
      <c r="G623" s="850">
        <v>100</v>
      </c>
      <c r="H623" s="850">
        <v>0</v>
      </c>
      <c r="I623" s="851">
        <v>6.0100000000000001E-2</v>
      </c>
      <c r="J623" s="851">
        <v>6.0100000000000001E-2</v>
      </c>
      <c r="K623" s="851">
        <v>6.0100000000000001E-2</v>
      </c>
      <c r="L623" s="849">
        <v>13</v>
      </c>
    </row>
    <row r="624" spans="1:12">
      <c r="A624" s="847">
        <v>44153</v>
      </c>
      <c r="B624" s="848" t="s">
        <v>2558</v>
      </c>
      <c r="C624" s="849">
        <v>28</v>
      </c>
      <c r="D624" s="847">
        <v>44181</v>
      </c>
      <c r="E624" s="850">
        <v>200</v>
      </c>
      <c r="F624" s="850">
        <v>693.95519999999999</v>
      </c>
      <c r="G624" s="850">
        <v>200</v>
      </c>
      <c r="H624" s="850">
        <v>0</v>
      </c>
      <c r="I624" s="851">
        <v>6.0100000000000001E-2</v>
      </c>
      <c r="J624" s="851">
        <v>6.0100000000000001E-2</v>
      </c>
      <c r="K624" s="851">
        <v>6.0100000000000001E-2</v>
      </c>
      <c r="L624" s="849">
        <v>14</v>
      </c>
    </row>
    <row r="625" spans="1:12">
      <c r="A625" s="847">
        <v>44160</v>
      </c>
      <c r="B625" s="848" t="s">
        <v>2559</v>
      </c>
      <c r="C625" s="849">
        <v>28</v>
      </c>
      <c r="D625" s="847">
        <v>44188</v>
      </c>
      <c r="E625" s="850">
        <v>150</v>
      </c>
      <c r="F625" s="850">
        <v>805.29200000000003</v>
      </c>
      <c r="G625" s="850">
        <v>150</v>
      </c>
      <c r="H625" s="850">
        <v>0</v>
      </c>
      <c r="I625" s="851">
        <v>6.0100000000000001E-2</v>
      </c>
      <c r="J625" s="851">
        <v>6.0100000000000001E-2</v>
      </c>
      <c r="K625" s="851">
        <v>6.0100000000000001E-2</v>
      </c>
      <c r="L625" s="849">
        <v>14</v>
      </c>
    </row>
    <row r="626" spans="1:12">
      <c r="A626" s="847">
        <v>44167</v>
      </c>
      <c r="B626" s="848" t="s">
        <v>2578</v>
      </c>
      <c r="C626" s="849">
        <v>28</v>
      </c>
      <c r="D626" s="847">
        <v>44195</v>
      </c>
      <c r="E626" s="850">
        <v>200</v>
      </c>
      <c r="F626" s="850">
        <v>728.73919999999998</v>
      </c>
      <c r="G626" s="850">
        <v>200</v>
      </c>
      <c r="H626" s="850">
        <v>0</v>
      </c>
      <c r="I626" s="851">
        <v>6.0100000000000001E-2</v>
      </c>
      <c r="J626" s="851">
        <v>6.0100000000000001E-2</v>
      </c>
      <c r="K626" s="851">
        <v>6.0100000000000001E-2</v>
      </c>
      <c r="L626" s="849">
        <v>17</v>
      </c>
    </row>
    <row r="627" spans="1:12">
      <c r="A627" s="847">
        <v>44174</v>
      </c>
      <c r="B627" s="848" t="s">
        <v>2579</v>
      </c>
      <c r="C627" s="849">
        <v>28</v>
      </c>
      <c r="D627" s="847">
        <v>44202</v>
      </c>
      <c r="E627" s="850">
        <v>100</v>
      </c>
      <c r="F627" s="850">
        <v>438.7799</v>
      </c>
      <c r="G627" s="850">
        <v>100</v>
      </c>
      <c r="H627" s="850">
        <v>0</v>
      </c>
      <c r="I627" s="851">
        <v>6.0100000000000001E-2</v>
      </c>
      <c r="J627" s="851">
        <v>6.0100000000000001E-2</v>
      </c>
      <c r="K627" s="851">
        <v>6.0100000000000001E-2</v>
      </c>
      <c r="L627" s="849">
        <v>10</v>
      </c>
    </row>
    <row r="628" spans="1:12">
      <c r="A628" s="847">
        <v>44181</v>
      </c>
      <c r="B628" s="848" t="s">
        <v>2580</v>
      </c>
      <c r="C628" s="849">
        <v>28</v>
      </c>
      <c r="D628" s="847">
        <v>44209</v>
      </c>
      <c r="E628" s="850">
        <v>200</v>
      </c>
      <c r="F628" s="850">
        <v>895.50750000000005</v>
      </c>
      <c r="G628" s="850">
        <v>200</v>
      </c>
      <c r="H628" s="850">
        <v>0</v>
      </c>
      <c r="I628" s="851">
        <v>6.0100000000000001E-2</v>
      </c>
      <c r="J628" s="851">
        <v>6.0100000000000001E-2</v>
      </c>
      <c r="K628" s="851">
        <v>6.0100000000000001E-2</v>
      </c>
      <c r="L628" s="849">
        <v>15</v>
      </c>
    </row>
    <row r="629" spans="1:12">
      <c r="A629" s="847">
        <v>44188</v>
      </c>
      <c r="B629" s="848" t="s">
        <v>2581</v>
      </c>
      <c r="C629" s="849">
        <v>28</v>
      </c>
      <c r="D629" s="847">
        <v>44216</v>
      </c>
      <c r="E629" s="850">
        <v>150</v>
      </c>
      <c r="F629" s="850">
        <v>841.46510000000001</v>
      </c>
      <c r="G629" s="850">
        <v>150</v>
      </c>
      <c r="H629" s="850">
        <v>0</v>
      </c>
      <c r="I629" s="851">
        <v>5.7599999999999998E-2</v>
      </c>
      <c r="J629" s="851">
        <v>5.7599999999999998E-2</v>
      </c>
      <c r="K629" s="851">
        <v>5.7599999999999998E-2</v>
      </c>
      <c r="L629" s="849">
        <v>16</v>
      </c>
    </row>
    <row r="630" spans="1:12">
      <c r="A630" s="847">
        <v>44195</v>
      </c>
      <c r="B630" s="848" t="s">
        <v>2582</v>
      </c>
      <c r="C630" s="849">
        <v>28</v>
      </c>
      <c r="D630" s="847">
        <v>44223</v>
      </c>
      <c r="E630" s="850">
        <v>200</v>
      </c>
      <c r="F630" s="850">
        <v>847.33600000000001</v>
      </c>
      <c r="G630" s="850">
        <v>150</v>
      </c>
      <c r="H630" s="850">
        <v>0</v>
      </c>
      <c r="I630" s="851">
        <v>5.7599999999999998E-2</v>
      </c>
      <c r="J630" s="851">
        <v>5.7599999999999998E-2</v>
      </c>
      <c r="K630" s="851">
        <v>5.7599999999999998E-2</v>
      </c>
      <c r="L630" s="849">
        <v>16</v>
      </c>
    </row>
    <row r="631" spans="1:12">
      <c r="A631" s="1083">
        <v>2021</v>
      </c>
      <c r="B631" s="848"/>
      <c r="C631" s="849"/>
      <c r="D631" s="847"/>
      <c r="E631" s="850"/>
      <c r="F631" s="850"/>
      <c r="G631" s="850"/>
      <c r="H631" s="850"/>
      <c r="I631" s="851"/>
      <c r="J631" s="851"/>
      <c r="K631" s="851"/>
      <c r="L631" s="849"/>
    </row>
    <row r="632" spans="1:12">
      <c r="A632" s="847">
        <v>44202</v>
      </c>
      <c r="B632" s="848" t="s">
        <v>2584</v>
      </c>
      <c r="C632" s="849">
        <v>28</v>
      </c>
      <c r="D632" s="847">
        <v>44230</v>
      </c>
      <c r="E632" s="850">
        <v>250</v>
      </c>
      <c r="F632" s="850">
        <v>1000.3454</v>
      </c>
      <c r="G632" s="850">
        <v>250</v>
      </c>
      <c r="H632" s="850">
        <v>0</v>
      </c>
      <c r="I632" s="851">
        <v>5.7599999999999998E-2</v>
      </c>
      <c r="J632" s="851">
        <v>5.7599999999999998E-2</v>
      </c>
      <c r="K632" s="851">
        <v>5.7599999999999998E-2</v>
      </c>
      <c r="L632" s="849">
        <v>16</v>
      </c>
    </row>
    <row r="633" spans="1:12">
      <c r="A633" s="847">
        <v>44204</v>
      </c>
      <c r="B633" s="848" t="s">
        <v>2585</v>
      </c>
      <c r="C633" s="849">
        <v>84</v>
      </c>
      <c r="D633" s="847">
        <v>44288</v>
      </c>
      <c r="E633" s="850">
        <v>150</v>
      </c>
      <c r="F633" s="850">
        <v>442.50869999999998</v>
      </c>
      <c r="G633" s="850">
        <v>150</v>
      </c>
      <c r="H633" s="850">
        <v>0</v>
      </c>
      <c r="I633" s="851">
        <v>4.9000000000000002E-2</v>
      </c>
      <c r="J633" s="851">
        <v>0.06</v>
      </c>
      <c r="K633" s="851">
        <v>5.6800000000000003E-2</v>
      </c>
      <c r="L633" s="849">
        <v>13</v>
      </c>
    </row>
    <row r="634" spans="1:12">
      <c r="A634" s="847">
        <v>44211</v>
      </c>
      <c r="B634" s="848" t="s">
        <v>2586</v>
      </c>
      <c r="C634" s="849">
        <v>168</v>
      </c>
      <c r="D634" s="847">
        <v>44379</v>
      </c>
      <c r="E634" s="850">
        <v>120</v>
      </c>
      <c r="F634" s="850">
        <v>293.08080000000001</v>
      </c>
      <c r="G634" s="850">
        <v>120</v>
      </c>
      <c r="H634" s="850">
        <v>0</v>
      </c>
      <c r="I634" s="851">
        <v>5.74E-2</v>
      </c>
      <c r="J634" s="851">
        <v>5.7500000000000002E-2</v>
      </c>
      <c r="K634" s="851">
        <v>5.7500000000000002E-2</v>
      </c>
      <c r="L634" s="849">
        <v>10</v>
      </c>
    </row>
    <row r="635" spans="1:12">
      <c r="A635" s="847">
        <v>44217</v>
      </c>
      <c r="B635" s="848" t="s">
        <v>2587</v>
      </c>
      <c r="C635" s="849">
        <v>28</v>
      </c>
      <c r="D635" s="847">
        <v>44244</v>
      </c>
      <c r="E635" s="850">
        <v>200</v>
      </c>
      <c r="F635" s="850">
        <v>864.18939999999998</v>
      </c>
      <c r="G635" s="850">
        <v>200</v>
      </c>
      <c r="H635" s="850">
        <v>0</v>
      </c>
      <c r="I635" s="851">
        <v>5.7599999999999998E-2</v>
      </c>
      <c r="J635" s="851">
        <v>5.7599999999999998E-2</v>
      </c>
      <c r="K635" s="851">
        <v>5.7599999999999998E-2</v>
      </c>
      <c r="L635" s="849">
        <v>17</v>
      </c>
    </row>
    <row r="636" spans="1:12">
      <c r="A636" s="847">
        <v>44218</v>
      </c>
      <c r="B636" s="848" t="s">
        <v>2588</v>
      </c>
      <c r="C636" s="849">
        <v>252</v>
      </c>
      <c r="D636" s="847">
        <v>44470</v>
      </c>
      <c r="E636" s="850">
        <v>100</v>
      </c>
      <c r="F636" s="850">
        <v>222.11670000000001</v>
      </c>
      <c r="G636" s="850">
        <v>100</v>
      </c>
      <c r="H636" s="850">
        <v>0</v>
      </c>
      <c r="I636" s="851">
        <v>5.7500000000000002E-2</v>
      </c>
      <c r="J636" s="851">
        <v>6.2399999999999997E-2</v>
      </c>
      <c r="K636" s="851">
        <v>6.2100000000000002E-2</v>
      </c>
      <c r="L636" s="849">
        <v>7</v>
      </c>
    </row>
    <row r="637" spans="1:12">
      <c r="A637" s="847">
        <v>44223</v>
      </c>
      <c r="B637" s="848" t="s">
        <v>2589</v>
      </c>
      <c r="C637" s="849">
        <v>28</v>
      </c>
      <c r="D637" s="847">
        <v>44251</v>
      </c>
      <c r="E637" s="850">
        <v>200</v>
      </c>
      <c r="F637" s="850">
        <v>760.46770000000004</v>
      </c>
      <c r="G637" s="850">
        <v>200</v>
      </c>
      <c r="H637" s="850">
        <v>0</v>
      </c>
      <c r="I637" s="851">
        <v>5.7599999999999998E-2</v>
      </c>
      <c r="J637" s="851">
        <v>5.7599999999999998E-2</v>
      </c>
      <c r="K637" s="851">
        <v>5.7599999999999998E-2</v>
      </c>
      <c r="L637" s="849">
        <v>16</v>
      </c>
    </row>
    <row r="638" spans="1:12">
      <c r="A638" s="847">
        <v>44230</v>
      </c>
      <c r="B638" s="848" t="s">
        <v>2598</v>
      </c>
      <c r="C638" s="849">
        <v>28</v>
      </c>
      <c r="D638" s="847">
        <v>44258</v>
      </c>
      <c r="E638" s="850">
        <v>150</v>
      </c>
      <c r="F638" s="850">
        <v>573.31010000000003</v>
      </c>
      <c r="G638" s="850">
        <v>150</v>
      </c>
      <c r="H638" s="850">
        <v>0</v>
      </c>
      <c r="I638" s="851">
        <v>5.7599999999999998E-2</v>
      </c>
      <c r="J638" s="851">
        <v>5.7599999999999998E-2</v>
      </c>
      <c r="K638" s="851">
        <v>5.7599999999999998E-2</v>
      </c>
      <c r="L638" s="849">
        <v>14</v>
      </c>
    </row>
    <row r="639" spans="1:12">
      <c r="A639" s="847">
        <v>44237</v>
      </c>
      <c r="B639" s="848" t="s">
        <v>2599</v>
      </c>
      <c r="C639" s="849">
        <v>28</v>
      </c>
      <c r="D639" s="847">
        <v>44265</v>
      </c>
      <c r="E639" s="850">
        <v>100</v>
      </c>
      <c r="F639" s="850">
        <v>371.10320000000002</v>
      </c>
      <c r="G639" s="850">
        <v>100</v>
      </c>
      <c r="H639" s="850">
        <v>0</v>
      </c>
      <c r="I639" s="851">
        <v>5.7599999999999998E-2</v>
      </c>
      <c r="J639" s="851">
        <v>5.7599999999999998E-2</v>
      </c>
      <c r="K639" s="851">
        <v>5.7599999999999998E-2</v>
      </c>
      <c r="L639" s="849">
        <v>13</v>
      </c>
    </row>
    <row r="640" spans="1:12">
      <c r="A640" s="847">
        <v>44244</v>
      </c>
      <c r="B640" s="848" t="s">
        <v>2600</v>
      </c>
      <c r="C640" s="849">
        <v>28</v>
      </c>
      <c r="D640" s="847">
        <v>44272</v>
      </c>
      <c r="E640" s="850">
        <v>200</v>
      </c>
      <c r="F640" s="850">
        <v>597.19470000000001</v>
      </c>
      <c r="G640" s="850">
        <v>200</v>
      </c>
      <c r="H640" s="850">
        <v>0</v>
      </c>
      <c r="I640" s="851">
        <v>5.7599999999999998E-2</v>
      </c>
      <c r="J640" s="851">
        <v>5.7599999999999998E-2</v>
      </c>
      <c r="K640" s="851">
        <v>5.7599999999999998E-2</v>
      </c>
      <c r="L640" s="849">
        <v>11</v>
      </c>
    </row>
    <row r="641" spans="1:12">
      <c r="A641" s="847">
        <v>44251</v>
      </c>
      <c r="B641" s="848" t="s">
        <v>2601</v>
      </c>
      <c r="C641" s="849">
        <v>28</v>
      </c>
      <c r="D641" s="847">
        <v>44279</v>
      </c>
      <c r="E641" s="850">
        <v>200</v>
      </c>
      <c r="F641" s="850">
        <v>642.31910000000005</v>
      </c>
      <c r="G641" s="850">
        <v>200</v>
      </c>
      <c r="H641" s="850">
        <v>0</v>
      </c>
      <c r="I641" s="851">
        <v>5.7599999999999998E-2</v>
      </c>
      <c r="J641" s="851">
        <v>5.7599999999999998E-2</v>
      </c>
      <c r="K641" s="851">
        <v>5.7599999999999998E-2</v>
      </c>
      <c r="L641" s="849">
        <v>14</v>
      </c>
    </row>
    <row r="642" spans="1:12">
      <c r="A642" s="847">
        <v>44258</v>
      </c>
      <c r="B642" s="848" t="s">
        <v>2607</v>
      </c>
      <c r="C642" s="849">
        <v>28</v>
      </c>
      <c r="D642" s="847">
        <v>44286</v>
      </c>
      <c r="E642" s="850">
        <v>150</v>
      </c>
      <c r="F642" s="850">
        <v>572.28800000000001</v>
      </c>
      <c r="G642" s="850">
        <v>150</v>
      </c>
      <c r="H642" s="850">
        <v>0</v>
      </c>
      <c r="I642" s="851">
        <v>5.7599999999999998E-2</v>
      </c>
      <c r="J642" s="851">
        <v>5.7599999999999998E-2</v>
      </c>
      <c r="K642" s="851">
        <v>5.7599999999999998E-2</v>
      </c>
      <c r="L642" s="849">
        <v>14</v>
      </c>
    </row>
    <row r="643" spans="1:12">
      <c r="A643" s="847">
        <v>44265</v>
      </c>
      <c r="B643" s="848" t="s">
        <v>2608</v>
      </c>
      <c r="C643" s="849">
        <v>28</v>
      </c>
      <c r="D643" s="847">
        <v>44293</v>
      </c>
      <c r="E643" s="850">
        <v>150</v>
      </c>
      <c r="F643" s="850">
        <v>501.697</v>
      </c>
      <c r="G643" s="850">
        <v>100</v>
      </c>
      <c r="H643" s="850">
        <v>0</v>
      </c>
      <c r="I643" s="851">
        <v>5.7599999999999998E-2</v>
      </c>
      <c r="J643" s="851">
        <v>5.7599999999999998E-2</v>
      </c>
      <c r="K643" s="851">
        <v>5.7599999999999998E-2</v>
      </c>
      <c r="L643" s="849">
        <v>13</v>
      </c>
    </row>
    <row r="644" spans="1:12">
      <c r="A644" s="847">
        <v>44272</v>
      </c>
      <c r="B644" s="848" t="s">
        <v>2609</v>
      </c>
      <c r="C644" s="849">
        <v>28</v>
      </c>
      <c r="D644" s="847">
        <v>44300</v>
      </c>
      <c r="E644" s="850">
        <v>200</v>
      </c>
      <c r="F644" s="850">
        <v>801.89469999999994</v>
      </c>
      <c r="G644" s="850">
        <v>200</v>
      </c>
      <c r="H644" s="850">
        <v>0</v>
      </c>
      <c r="I644" s="851">
        <v>5.7599999999999998E-2</v>
      </c>
      <c r="J644" s="851">
        <v>5.7599999999999998E-2</v>
      </c>
      <c r="K644" s="851">
        <v>5.7599999999999998E-2</v>
      </c>
      <c r="L644" s="849">
        <v>13</v>
      </c>
    </row>
    <row r="645" spans="1:12">
      <c r="A645" s="847">
        <v>44286</v>
      </c>
      <c r="B645" s="848" t="s">
        <v>2610</v>
      </c>
      <c r="C645" s="849">
        <v>28</v>
      </c>
      <c r="D645" s="847">
        <v>44314</v>
      </c>
      <c r="E645" s="850">
        <v>150</v>
      </c>
      <c r="F645" s="850">
        <v>860.72400000000005</v>
      </c>
      <c r="G645" s="850">
        <v>150</v>
      </c>
      <c r="H645" s="850">
        <v>0</v>
      </c>
      <c r="I645" s="851">
        <v>5.7599999999999998E-2</v>
      </c>
      <c r="J645" s="851">
        <v>5.7599999999999998E-2</v>
      </c>
      <c r="K645" s="851">
        <v>5.7599999999999998E-2</v>
      </c>
      <c r="L645" s="849">
        <v>16</v>
      </c>
    </row>
    <row r="646" spans="1:12">
      <c r="A646" s="847">
        <v>44293</v>
      </c>
      <c r="B646" s="848" t="s">
        <v>2616</v>
      </c>
      <c r="C646" s="849">
        <v>28</v>
      </c>
      <c r="D646" s="847">
        <v>44321</v>
      </c>
      <c r="E646" s="850">
        <v>100</v>
      </c>
      <c r="F646" s="850">
        <v>1000.4962</v>
      </c>
      <c r="G646" s="850">
        <v>100</v>
      </c>
      <c r="H646" s="850">
        <v>0</v>
      </c>
      <c r="I646" s="851">
        <v>5.7599999999999998E-2</v>
      </c>
      <c r="J646" s="851">
        <v>5.7599999999999998E-2</v>
      </c>
      <c r="K646" s="851">
        <v>5.7599999999999998E-2</v>
      </c>
      <c r="L646" s="849">
        <v>19</v>
      </c>
    </row>
    <row r="647" spans="1:12">
      <c r="A647" s="847">
        <v>44300</v>
      </c>
      <c r="B647" s="848" t="s">
        <v>2617</v>
      </c>
      <c r="C647" s="849">
        <v>28</v>
      </c>
      <c r="D647" s="847">
        <v>44328</v>
      </c>
      <c r="E647" s="850">
        <v>100</v>
      </c>
      <c r="F647" s="850">
        <v>842.42719999999997</v>
      </c>
      <c r="G647" s="850">
        <v>100</v>
      </c>
      <c r="H647" s="850">
        <v>0</v>
      </c>
      <c r="I647" s="851">
        <v>5.7599999999999998E-2</v>
      </c>
      <c r="J647" s="851">
        <v>5.7599999999999998E-2</v>
      </c>
      <c r="K647" s="851">
        <v>5.7599999999999998E-2</v>
      </c>
      <c r="L647" s="849">
        <v>17</v>
      </c>
    </row>
    <row r="648" spans="1:12">
      <c r="A648" s="847">
        <v>44307</v>
      </c>
      <c r="B648" s="848" t="s">
        <v>2618</v>
      </c>
      <c r="C648" s="849">
        <v>28</v>
      </c>
      <c r="D648" s="847">
        <v>44335</v>
      </c>
      <c r="E648" s="850">
        <v>100</v>
      </c>
      <c r="F648" s="850">
        <v>859.13070000000005</v>
      </c>
      <c r="G648" s="850">
        <v>100</v>
      </c>
      <c r="H648" s="850">
        <v>0</v>
      </c>
      <c r="I648" s="851">
        <v>5.7599999999999998E-2</v>
      </c>
      <c r="J648" s="851">
        <v>5.7599999999999998E-2</v>
      </c>
      <c r="K648" s="851">
        <v>5.7599999999999998E-2</v>
      </c>
      <c r="L648" s="849">
        <v>18</v>
      </c>
    </row>
    <row r="649" spans="1:12">
      <c r="A649" s="847">
        <v>44314</v>
      </c>
      <c r="B649" s="848" t="s">
        <v>2619</v>
      </c>
      <c r="C649" s="849">
        <v>28</v>
      </c>
      <c r="D649" s="847">
        <v>44342</v>
      </c>
      <c r="E649" s="850">
        <v>150</v>
      </c>
      <c r="F649" s="850">
        <v>915.27850000000001</v>
      </c>
      <c r="G649" s="850">
        <v>150</v>
      </c>
      <c r="H649" s="850">
        <v>0</v>
      </c>
      <c r="I649" s="851">
        <v>5.7599999999999998E-2</v>
      </c>
      <c r="J649" s="851">
        <v>5.7599999999999998E-2</v>
      </c>
      <c r="K649" s="851">
        <v>5.7599999999999998E-2</v>
      </c>
      <c r="L649" s="849">
        <v>19</v>
      </c>
    </row>
    <row r="650" spans="1:12">
      <c r="A650" s="847">
        <v>44321</v>
      </c>
      <c r="B650" s="848" t="s">
        <v>2627</v>
      </c>
      <c r="C650" s="849">
        <v>28</v>
      </c>
      <c r="D650" s="847">
        <v>44349</v>
      </c>
      <c r="E650" s="850">
        <v>100</v>
      </c>
      <c r="F650" s="850">
        <v>632.81920000000002</v>
      </c>
      <c r="G650" s="850">
        <v>100</v>
      </c>
      <c r="H650" s="850">
        <v>0</v>
      </c>
      <c r="I650" s="851">
        <v>5.7599999999999998E-2</v>
      </c>
      <c r="J650" s="851">
        <v>5.7599999999999998E-2</v>
      </c>
      <c r="K650" s="851">
        <v>5.7599999999999998E-2</v>
      </c>
      <c r="L650" s="849">
        <v>19</v>
      </c>
    </row>
    <row r="651" spans="1:12">
      <c r="A651" s="847">
        <v>44335</v>
      </c>
      <c r="B651" s="848" t="s">
        <v>2628</v>
      </c>
      <c r="C651" s="849">
        <v>28</v>
      </c>
      <c r="D651" s="847">
        <v>44363</v>
      </c>
      <c r="E651" s="850">
        <v>100</v>
      </c>
      <c r="F651" s="850">
        <v>738.75670000000002</v>
      </c>
      <c r="G651" s="850">
        <v>100</v>
      </c>
      <c r="H651" s="850">
        <v>0</v>
      </c>
      <c r="I651" s="851">
        <v>5.7599999999999998E-2</v>
      </c>
      <c r="J651" s="851">
        <v>5.7599999999999998E-2</v>
      </c>
      <c r="K651" s="851">
        <v>5.7599999999999998E-2</v>
      </c>
      <c r="L651" s="849">
        <v>18</v>
      </c>
    </row>
    <row r="652" spans="1:12">
      <c r="A652" s="847">
        <v>44342</v>
      </c>
      <c r="B652" s="848" t="s">
        <v>2629</v>
      </c>
      <c r="C652" s="849">
        <v>28</v>
      </c>
      <c r="D652" s="847">
        <v>44370</v>
      </c>
      <c r="E652" s="850">
        <v>100</v>
      </c>
      <c r="F652" s="850">
        <v>782.72220000000004</v>
      </c>
      <c r="G652" s="850">
        <v>100</v>
      </c>
      <c r="H652" s="850">
        <v>0</v>
      </c>
      <c r="I652" s="851">
        <v>5.7599999999999998E-2</v>
      </c>
      <c r="J652" s="851">
        <v>5.7599999999999998E-2</v>
      </c>
      <c r="K652" s="851">
        <v>5.7599999999999998E-2</v>
      </c>
      <c r="L652" s="849">
        <v>18</v>
      </c>
    </row>
    <row r="653" spans="1:12">
      <c r="A653" s="847">
        <v>44349</v>
      </c>
      <c r="B653" s="848" t="s">
        <v>2638</v>
      </c>
      <c r="C653" s="849">
        <v>28</v>
      </c>
      <c r="D653" s="847">
        <v>44377</v>
      </c>
      <c r="E653" s="850">
        <v>100</v>
      </c>
      <c r="F653" s="850">
        <v>776.37699999999995</v>
      </c>
      <c r="G653" s="850">
        <v>100</v>
      </c>
      <c r="H653" s="850">
        <v>0</v>
      </c>
      <c r="I653" s="851">
        <v>5.7599999999999998E-2</v>
      </c>
      <c r="J653" s="851">
        <v>5.7599999999999998E-2</v>
      </c>
      <c r="K653" s="851">
        <v>5.7599999999999998E-2</v>
      </c>
      <c r="L653" s="849">
        <v>17</v>
      </c>
    </row>
    <row r="654" spans="1:12">
      <c r="A654" s="847">
        <v>44363</v>
      </c>
      <c r="B654" s="848" t="s">
        <v>2639</v>
      </c>
      <c r="C654" s="849">
        <v>28</v>
      </c>
      <c r="D654" s="847">
        <v>44391</v>
      </c>
      <c r="E654" s="850">
        <v>100</v>
      </c>
      <c r="F654" s="850">
        <v>812.37139999999999</v>
      </c>
      <c r="G654" s="850">
        <v>100</v>
      </c>
      <c r="H654" s="850">
        <v>0</v>
      </c>
      <c r="I654" s="851">
        <v>5.7599999999999998E-2</v>
      </c>
      <c r="J654" s="851">
        <v>5.7599999999999998E-2</v>
      </c>
      <c r="K654" s="851">
        <v>5.7599999999999998E-2</v>
      </c>
      <c r="L654" s="849">
        <v>19</v>
      </c>
    </row>
    <row r="655" spans="1:12">
      <c r="A655" s="847">
        <v>44370</v>
      </c>
      <c r="B655" s="848" t="s">
        <v>2640</v>
      </c>
      <c r="C655" s="849">
        <v>28</v>
      </c>
      <c r="D655" s="847">
        <v>44398</v>
      </c>
      <c r="E655" s="850">
        <v>100</v>
      </c>
      <c r="F655" s="850">
        <v>868.29589999999996</v>
      </c>
      <c r="G655" s="850">
        <v>100</v>
      </c>
      <c r="H655" s="850">
        <v>0</v>
      </c>
      <c r="I655" s="851">
        <v>5.7599999999999998E-2</v>
      </c>
      <c r="J655" s="851">
        <v>5.7599999999999998E-2</v>
      </c>
      <c r="K655" s="851">
        <v>5.7599999999999998E-2</v>
      </c>
      <c r="L655" s="849">
        <v>19</v>
      </c>
    </row>
    <row r="656" spans="1:12">
      <c r="A656" s="847">
        <v>44377</v>
      </c>
      <c r="B656" s="848" t="s">
        <v>2641</v>
      </c>
      <c r="C656" s="849">
        <v>28</v>
      </c>
      <c r="D656" s="847">
        <v>44405</v>
      </c>
      <c r="E656" s="850">
        <v>100</v>
      </c>
      <c r="F656" s="850">
        <v>830.46119999999996</v>
      </c>
      <c r="G656" s="850">
        <v>100</v>
      </c>
      <c r="H656" s="850">
        <v>0</v>
      </c>
      <c r="I656" s="851">
        <v>5.7599999999999998E-2</v>
      </c>
      <c r="J656" s="851">
        <v>5.7599999999999998E-2</v>
      </c>
      <c r="K656" s="851">
        <v>5.7599999999999998E-2</v>
      </c>
      <c r="L656" s="849">
        <v>19</v>
      </c>
    </row>
    <row r="657" spans="1:12">
      <c r="A657" s="847">
        <v>44391</v>
      </c>
      <c r="B657" s="848" t="s">
        <v>2646</v>
      </c>
      <c r="C657" s="849">
        <v>28</v>
      </c>
      <c r="D657" s="847">
        <v>44419</v>
      </c>
      <c r="E657" s="850">
        <v>100</v>
      </c>
      <c r="F657" s="850">
        <v>805.73559999999998</v>
      </c>
      <c r="G657" s="850">
        <v>100</v>
      </c>
      <c r="H657" s="850">
        <v>0</v>
      </c>
      <c r="I657" s="851">
        <v>5.7599999999999998E-2</v>
      </c>
      <c r="J657" s="851">
        <v>5.7599999999999998E-2</v>
      </c>
      <c r="K657" s="851">
        <v>5.7599999999999998E-2</v>
      </c>
      <c r="L657" s="849">
        <v>17</v>
      </c>
    </row>
    <row r="658" spans="1:12">
      <c r="A658" s="847">
        <v>44405</v>
      </c>
      <c r="B658" s="848" t="s">
        <v>2647</v>
      </c>
      <c r="C658" s="849">
        <v>28</v>
      </c>
      <c r="D658" s="847">
        <v>44433</v>
      </c>
      <c r="E658" s="850">
        <v>100</v>
      </c>
      <c r="F658" s="850">
        <v>954.41859999999997</v>
      </c>
      <c r="G658" s="850">
        <v>100</v>
      </c>
      <c r="H658" s="850">
        <v>0</v>
      </c>
      <c r="I658" s="851">
        <v>5.7599999999999998E-2</v>
      </c>
      <c r="J658" s="851">
        <v>5.7599999999999998E-2</v>
      </c>
      <c r="K658" s="851">
        <v>5.7599999999999998E-2</v>
      </c>
      <c r="L658" s="849">
        <v>20</v>
      </c>
    </row>
    <row r="659" spans="1:12">
      <c r="A659" s="847">
        <v>44419</v>
      </c>
      <c r="B659" s="848" t="s">
        <v>2648</v>
      </c>
      <c r="C659" s="849">
        <v>28</v>
      </c>
      <c r="D659" s="847">
        <v>44447</v>
      </c>
      <c r="E659" s="850">
        <v>100</v>
      </c>
      <c r="F659" s="850">
        <v>1013.4641</v>
      </c>
      <c r="G659" s="850">
        <v>100</v>
      </c>
      <c r="H659" s="850">
        <v>0</v>
      </c>
      <c r="I659" s="851">
        <v>5.7599999999999998E-2</v>
      </c>
      <c r="J659" s="851">
        <v>5.7599999999999998E-2</v>
      </c>
      <c r="K659" s="851">
        <v>5.7599999999999998E-2</v>
      </c>
      <c r="L659" s="849">
        <v>19</v>
      </c>
    </row>
    <row r="660" spans="1:12">
      <c r="A660" s="847">
        <v>44433</v>
      </c>
      <c r="B660" s="848" t="s">
        <v>2649</v>
      </c>
      <c r="C660" s="849">
        <v>28</v>
      </c>
      <c r="D660" s="847">
        <v>44461</v>
      </c>
      <c r="E660" s="850">
        <v>100</v>
      </c>
      <c r="F660" s="850">
        <v>1066.8135</v>
      </c>
      <c r="G660" s="850">
        <v>100</v>
      </c>
      <c r="H660" s="850">
        <v>0</v>
      </c>
      <c r="I660" s="851">
        <v>5.7599999999999998E-2</v>
      </c>
      <c r="J660" s="851">
        <v>5.7599999999999998E-2</v>
      </c>
      <c r="K660" s="851">
        <v>5.7599999999999998E-2</v>
      </c>
      <c r="L660" s="849">
        <v>20</v>
      </c>
    </row>
    <row r="661" spans="1:12">
      <c r="A661" s="847">
        <v>44447</v>
      </c>
      <c r="B661" s="848" t="s">
        <v>2680</v>
      </c>
      <c r="C661" s="849">
        <v>28</v>
      </c>
      <c r="D661" s="847">
        <v>44475</v>
      </c>
      <c r="E661" s="850">
        <v>100</v>
      </c>
      <c r="F661" s="850">
        <v>1120.4809</v>
      </c>
      <c r="G661" s="850">
        <v>100</v>
      </c>
      <c r="H661" s="850">
        <v>0</v>
      </c>
      <c r="I661" s="851">
        <v>5.7599999999999998E-2</v>
      </c>
      <c r="J661" s="851">
        <v>5.7599999999999998E-2</v>
      </c>
      <c r="K661" s="851">
        <v>5.7599999999999998E-2</v>
      </c>
      <c r="L661" s="849">
        <v>21</v>
      </c>
    </row>
    <row r="662" spans="1:12">
      <c r="A662" s="847">
        <v>44461</v>
      </c>
      <c r="B662" s="848" t="s">
        <v>2679</v>
      </c>
      <c r="C662" s="849">
        <v>28</v>
      </c>
      <c r="D662" s="847">
        <v>44489</v>
      </c>
      <c r="E662" s="850">
        <v>100</v>
      </c>
      <c r="F662" s="850">
        <v>1178.633</v>
      </c>
      <c r="G662" s="850">
        <v>100</v>
      </c>
      <c r="H662" s="850">
        <v>0</v>
      </c>
      <c r="I662" s="851">
        <v>6.0100000000000001E-2</v>
      </c>
      <c r="J662" s="851">
        <v>6.0100000000000001E-2</v>
      </c>
      <c r="K662" s="851">
        <v>6.0100000000000001E-2</v>
      </c>
      <c r="L662" s="849">
        <v>22</v>
      </c>
    </row>
    <row r="663" spans="1:12">
      <c r="A663" s="847">
        <v>44475</v>
      </c>
      <c r="B663" s="848" t="s">
        <v>2731</v>
      </c>
      <c r="C663" s="849">
        <v>28</v>
      </c>
      <c r="D663" s="847">
        <v>44503</v>
      </c>
      <c r="E663" s="850">
        <v>100</v>
      </c>
      <c r="F663" s="850">
        <v>1129.2218</v>
      </c>
      <c r="G663" s="850">
        <v>100</v>
      </c>
      <c r="H663" s="850">
        <v>0</v>
      </c>
      <c r="I663" s="851">
        <v>6.0100000000000001E-2</v>
      </c>
      <c r="J663" s="851">
        <v>6.0100000000000001E-2</v>
      </c>
      <c r="K663" s="851">
        <v>6.0100000000000001E-2</v>
      </c>
      <c r="L663" s="849">
        <v>19</v>
      </c>
    </row>
    <row r="664" spans="1:12">
      <c r="A664" s="847">
        <v>44489</v>
      </c>
      <c r="B664" s="848" t="s">
        <v>2732</v>
      </c>
      <c r="C664" s="849">
        <v>28</v>
      </c>
      <c r="D664" s="847">
        <v>44517</v>
      </c>
      <c r="E664" s="850">
        <v>100</v>
      </c>
      <c r="F664" s="850">
        <v>1136.8507</v>
      </c>
      <c r="G664" s="850">
        <v>100</v>
      </c>
      <c r="H664" s="850">
        <v>0</v>
      </c>
      <c r="I664" s="851">
        <v>6.0100000000000001E-2</v>
      </c>
      <c r="J664" s="851">
        <v>6.0100000000000001E-2</v>
      </c>
      <c r="K664" s="851">
        <v>6.0100000000000001E-2</v>
      </c>
      <c r="L664" s="849">
        <v>20</v>
      </c>
    </row>
    <row r="665" spans="1:12">
      <c r="A665" s="847">
        <v>44503</v>
      </c>
      <c r="B665" s="848" t="s">
        <v>2868</v>
      </c>
      <c r="C665" s="849">
        <v>28</v>
      </c>
      <c r="D665" s="847">
        <v>44531</v>
      </c>
      <c r="E665" s="850">
        <v>100</v>
      </c>
      <c r="F665" s="850">
        <v>1067.5462</v>
      </c>
      <c r="G665" s="850">
        <v>100</v>
      </c>
      <c r="H665" s="850">
        <v>0</v>
      </c>
      <c r="I665" s="851">
        <v>6.0100000000000001E-2</v>
      </c>
      <c r="J665" s="851">
        <v>6.0100000000000001E-2</v>
      </c>
      <c r="K665" s="851">
        <v>6.0100000000000001E-2</v>
      </c>
      <c r="L665" s="849">
        <v>20</v>
      </c>
    </row>
    <row r="666" spans="1:12">
      <c r="A666" s="847">
        <v>44517</v>
      </c>
      <c r="B666" s="848" t="s">
        <v>2869</v>
      </c>
      <c r="C666" s="849">
        <v>28</v>
      </c>
      <c r="D666" s="847">
        <v>44545</v>
      </c>
      <c r="E666" s="850">
        <v>100</v>
      </c>
      <c r="F666" s="850">
        <v>1126.5908999999999</v>
      </c>
      <c r="G666" s="850">
        <v>100</v>
      </c>
      <c r="H666" s="850">
        <v>0</v>
      </c>
      <c r="I666" s="851">
        <v>6.0100000000000001E-2</v>
      </c>
      <c r="J666" s="851">
        <v>6.0100000000000001E-2</v>
      </c>
      <c r="K666" s="851">
        <v>6.0100000000000001E-2</v>
      </c>
      <c r="L666" s="849">
        <v>19</v>
      </c>
    </row>
    <row r="667" spans="1:12">
      <c r="A667" s="847">
        <v>44531</v>
      </c>
      <c r="B667" s="848" t="s">
        <v>2879</v>
      </c>
      <c r="C667" s="849">
        <v>28</v>
      </c>
      <c r="D667" s="847">
        <v>44559</v>
      </c>
      <c r="E667" s="850">
        <v>100</v>
      </c>
      <c r="F667" s="850">
        <v>1037.4885999999999</v>
      </c>
      <c r="G667" s="850">
        <v>100</v>
      </c>
      <c r="H667" s="850">
        <v>0</v>
      </c>
      <c r="I667" s="851">
        <v>6.0100000000000001E-2</v>
      </c>
      <c r="J667" s="851">
        <v>6.0100000000000001E-2</v>
      </c>
      <c r="K667" s="851">
        <v>6.0100000000000001E-2</v>
      </c>
      <c r="L667" s="849">
        <v>19</v>
      </c>
    </row>
    <row r="668" spans="1:12">
      <c r="A668" s="847">
        <v>44545</v>
      </c>
      <c r="B668" s="848" t="s">
        <v>2880</v>
      </c>
      <c r="C668" s="849">
        <v>28</v>
      </c>
      <c r="D668" s="847">
        <v>44573</v>
      </c>
      <c r="E668" s="850">
        <v>100</v>
      </c>
      <c r="F668" s="850">
        <v>1058.0833</v>
      </c>
      <c r="G668" s="850">
        <v>100</v>
      </c>
      <c r="H668" s="850">
        <v>0</v>
      </c>
      <c r="I668" s="851">
        <v>6.0100000000000001E-2</v>
      </c>
      <c r="J668" s="851">
        <v>6.0100000000000001E-2</v>
      </c>
      <c r="K668" s="851">
        <v>6.0100000000000001E-2</v>
      </c>
      <c r="L668" s="849">
        <v>19</v>
      </c>
    </row>
    <row r="669" spans="1:12">
      <c r="A669" s="847">
        <v>44559</v>
      </c>
      <c r="B669" s="848" t="s">
        <v>2881</v>
      </c>
      <c r="C669" s="849">
        <v>28</v>
      </c>
      <c r="D669" s="847">
        <v>44587</v>
      </c>
      <c r="E669" s="850">
        <v>100</v>
      </c>
      <c r="F669" s="850">
        <v>1153.3874000000001</v>
      </c>
      <c r="G669" s="850">
        <v>100</v>
      </c>
      <c r="H669" s="850">
        <v>0</v>
      </c>
      <c r="I669" s="851">
        <v>6.0100000000000001E-2</v>
      </c>
      <c r="J669" s="851">
        <v>6.0100000000000001E-2</v>
      </c>
      <c r="K669" s="851">
        <v>6.0100000000000001E-2</v>
      </c>
      <c r="L669" s="849">
        <v>19</v>
      </c>
    </row>
    <row r="670" spans="1:12">
      <c r="A670" s="1083">
        <v>2022</v>
      </c>
      <c r="B670" s="848"/>
      <c r="C670" s="849"/>
      <c r="D670" s="847"/>
      <c r="E670" s="850"/>
      <c r="F670" s="850"/>
      <c r="G670" s="850"/>
      <c r="H670" s="850"/>
      <c r="I670" s="851"/>
      <c r="J670" s="851"/>
      <c r="K670" s="851"/>
      <c r="L670" s="849"/>
    </row>
    <row r="671" spans="1:12">
      <c r="A671" s="847">
        <v>44573</v>
      </c>
      <c r="B671" s="848" t="s">
        <v>2893</v>
      </c>
      <c r="C671" s="849">
        <v>28</v>
      </c>
      <c r="D671" s="847">
        <v>44601</v>
      </c>
      <c r="E671" s="850">
        <v>100</v>
      </c>
      <c r="F671" s="850">
        <v>1072.6333999999999</v>
      </c>
      <c r="G671" s="850">
        <v>100</v>
      </c>
      <c r="H671" s="850">
        <v>0</v>
      </c>
      <c r="I671" s="851">
        <v>6.0100000000000001E-2</v>
      </c>
      <c r="J671" s="851">
        <v>6.0100000000000001E-2</v>
      </c>
      <c r="K671" s="851">
        <v>6.0100000000000001E-2</v>
      </c>
      <c r="L671" s="849">
        <v>20</v>
      </c>
    </row>
    <row r="672" spans="1:12">
      <c r="A672" s="847">
        <v>44587</v>
      </c>
      <c r="B672" s="848" t="s">
        <v>2894</v>
      </c>
      <c r="C672" s="849">
        <v>28</v>
      </c>
      <c r="D672" s="847">
        <v>44615</v>
      </c>
      <c r="E672" s="850">
        <v>250</v>
      </c>
      <c r="F672" s="850">
        <v>1730.5652</v>
      </c>
      <c r="G672" s="850">
        <v>300</v>
      </c>
      <c r="H672" s="850">
        <v>0</v>
      </c>
      <c r="I672" s="851">
        <v>6.0100000000000001E-2</v>
      </c>
      <c r="J672" s="851">
        <v>6.0100000000000001E-2</v>
      </c>
      <c r="K672" s="851">
        <v>6.0100000000000001E-2</v>
      </c>
      <c r="L672" s="849">
        <v>18</v>
      </c>
    </row>
    <row r="673" spans="1:12">
      <c r="A673" s="847">
        <v>44589</v>
      </c>
      <c r="B673" s="848" t="s">
        <v>2895</v>
      </c>
      <c r="C673" s="849">
        <v>84</v>
      </c>
      <c r="D673" s="847">
        <v>44673</v>
      </c>
      <c r="E673" s="850">
        <v>30</v>
      </c>
      <c r="F673" s="850">
        <v>279.7638</v>
      </c>
      <c r="G673" s="850">
        <v>30</v>
      </c>
      <c r="H673" s="850">
        <v>0</v>
      </c>
      <c r="I673" s="851">
        <v>3.4000000000000002E-2</v>
      </c>
      <c r="J673" s="851">
        <v>3.4000000000000002E-2</v>
      </c>
      <c r="K673" s="851">
        <v>3.4000000000000002E-2</v>
      </c>
      <c r="L673" s="849">
        <v>17</v>
      </c>
    </row>
    <row r="674" spans="1:12">
      <c r="A674" s="847">
        <v>44594</v>
      </c>
      <c r="B674" s="848" t="s">
        <v>2899</v>
      </c>
      <c r="C674" s="849">
        <v>28</v>
      </c>
      <c r="D674" s="847">
        <v>44622</v>
      </c>
      <c r="E674" s="850">
        <v>250</v>
      </c>
      <c r="F674" s="850">
        <v>1483.0735999999999</v>
      </c>
      <c r="G674" s="850">
        <v>240</v>
      </c>
      <c r="H674" s="850">
        <v>0</v>
      </c>
      <c r="I674" s="851">
        <v>6.0100000000000001E-2</v>
      </c>
      <c r="J674" s="851">
        <v>6.0100000000000001E-2</v>
      </c>
      <c r="K674" s="851">
        <v>6.0100000000000001E-2</v>
      </c>
      <c r="L674" s="849">
        <v>19</v>
      </c>
    </row>
    <row r="675" spans="1:12">
      <c r="A675" s="847">
        <v>44596</v>
      </c>
      <c r="B675" s="848" t="s">
        <v>2900</v>
      </c>
      <c r="C675" s="849">
        <v>168</v>
      </c>
      <c r="D675" s="847">
        <v>44764</v>
      </c>
      <c r="E675" s="850">
        <v>50</v>
      </c>
      <c r="F675" s="850">
        <v>156.29640000000001</v>
      </c>
      <c r="G675" s="850">
        <v>30</v>
      </c>
      <c r="H675" s="850">
        <v>0</v>
      </c>
      <c r="I675" s="851">
        <v>3.9899999999999998E-2</v>
      </c>
      <c r="J675" s="851">
        <v>0.04</v>
      </c>
      <c r="K675" s="851">
        <v>0.04</v>
      </c>
      <c r="L675" s="849">
        <v>9</v>
      </c>
    </row>
    <row r="676" spans="1:12">
      <c r="A676" s="847">
        <v>44601</v>
      </c>
      <c r="B676" s="848" t="s">
        <v>2901</v>
      </c>
      <c r="C676" s="849">
        <v>28</v>
      </c>
      <c r="D676" s="847">
        <v>44629</v>
      </c>
      <c r="E676" s="850">
        <v>150</v>
      </c>
      <c r="F676" s="850">
        <v>1060.6493</v>
      </c>
      <c r="G676" s="850">
        <v>100</v>
      </c>
      <c r="H676" s="850">
        <v>0</v>
      </c>
      <c r="I676" s="851">
        <v>6.0100000000000001E-2</v>
      </c>
      <c r="J676" s="851">
        <v>6.0100000000000001E-2</v>
      </c>
      <c r="K676" s="851">
        <v>6.0100000000000001E-2</v>
      </c>
      <c r="L676" s="849">
        <v>18</v>
      </c>
    </row>
    <row r="677" spans="1:12">
      <c r="A677" s="847">
        <v>44608</v>
      </c>
      <c r="B677" s="848" t="s">
        <v>2902</v>
      </c>
      <c r="C677" s="849">
        <v>28</v>
      </c>
      <c r="D677" s="847">
        <v>44636</v>
      </c>
      <c r="E677" s="850">
        <v>150</v>
      </c>
      <c r="F677" s="850">
        <v>1243.289</v>
      </c>
      <c r="G677" s="850">
        <v>150</v>
      </c>
      <c r="H677" s="850">
        <v>0</v>
      </c>
      <c r="I677" s="851">
        <v>6.0100000000000001E-2</v>
      </c>
      <c r="J677" s="851">
        <v>6.0100000000000001E-2</v>
      </c>
      <c r="K677" s="851">
        <v>6.0100000000000001E-2</v>
      </c>
      <c r="L677" s="849">
        <v>17</v>
      </c>
    </row>
    <row r="678" spans="1:12">
      <c r="A678" s="847">
        <v>44615</v>
      </c>
      <c r="B678" s="848" t="s">
        <v>2903</v>
      </c>
      <c r="C678" s="849">
        <v>28</v>
      </c>
      <c r="D678" s="847">
        <v>44643</v>
      </c>
      <c r="E678" s="850">
        <v>300</v>
      </c>
      <c r="F678" s="850">
        <v>1934.6605</v>
      </c>
      <c r="G678" s="850">
        <v>300</v>
      </c>
      <c r="H678" s="850">
        <v>0</v>
      </c>
      <c r="I678" s="851">
        <v>6.0100000000000001E-2</v>
      </c>
      <c r="J678" s="851">
        <v>6.0100000000000001E-2</v>
      </c>
      <c r="K678" s="851">
        <v>6.0100000000000001E-2</v>
      </c>
      <c r="L678" s="849">
        <v>20</v>
      </c>
    </row>
    <row r="679" spans="1:12">
      <c r="A679" s="847">
        <v>44622</v>
      </c>
      <c r="B679" s="848" t="s">
        <v>2913</v>
      </c>
      <c r="C679" s="849">
        <v>28</v>
      </c>
      <c r="D679" s="847">
        <v>44650</v>
      </c>
      <c r="E679" s="850">
        <v>240</v>
      </c>
      <c r="F679" s="850">
        <v>1728.6329000000001</v>
      </c>
      <c r="G679" s="850">
        <v>240</v>
      </c>
      <c r="H679" s="850">
        <v>0</v>
      </c>
      <c r="I679" s="851">
        <v>6.0100000000000001E-2</v>
      </c>
      <c r="J679" s="851">
        <v>6.0100000000000001E-2</v>
      </c>
      <c r="K679" s="851">
        <v>6.0100000000000001E-2</v>
      </c>
      <c r="L679" s="849">
        <v>19</v>
      </c>
    </row>
    <row r="680" spans="1:12">
      <c r="A680" s="847">
        <v>44629</v>
      </c>
      <c r="B680" s="848" t="s">
        <v>2914</v>
      </c>
      <c r="C680" s="849">
        <v>28</v>
      </c>
      <c r="D680" s="847">
        <v>44657</v>
      </c>
      <c r="E680" s="850">
        <v>100</v>
      </c>
      <c r="F680" s="850">
        <v>967.80449999999996</v>
      </c>
      <c r="G680" s="850">
        <v>100</v>
      </c>
      <c r="H680" s="850">
        <v>0</v>
      </c>
      <c r="I680" s="851">
        <v>6.0100000000000001E-2</v>
      </c>
      <c r="J680" s="851">
        <v>6.0100000000000001E-2</v>
      </c>
      <c r="K680" s="851">
        <v>6.0100000000000001E-2</v>
      </c>
      <c r="L680" s="849">
        <v>19</v>
      </c>
    </row>
    <row r="681" spans="1:12">
      <c r="A681" s="847">
        <v>44636</v>
      </c>
      <c r="B681" s="848" t="s">
        <v>2915</v>
      </c>
      <c r="C681" s="849">
        <v>28</v>
      </c>
      <c r="D681" s="847">
        <v>44664</v>
      </c>
      <c r="E681" s="850">
        <v>150</v>
      </c>
      <c r="F681" s="850">
        <v>1015.0217</v>
      </c>
      <c r="G681" s="850">
        <v>150</v>
      </c>
      <c r="H681" s="850">
        <v>0</v>
      </c>
      <c r="I681" s="851">
        <v>6.0100000000000001E-2</v>
      </c>
      <c r="J681" s="851">
        <v>6.0100000000000001E-2</v>
      </c>
      <c r="K681" s="851">
        <v>6.0100000000000001E-2</v>
      </c>
      <c r="L681" s="849">
        <v>16</v>
      </c>
    </row>
    <row r="682" spans="1:12">
      <c r="A682" s="847">
        <v>44648</v>
      </c>
      <c r="B682" s="848" t="s">
        <v>2916</v>
      </c>
      <c r="C682" s="849">
        <v>23</v>
      </c>
      <c r="D682" s="847">
        <v>44671</v>
      </c>
      <c r="E682" s="850">
        <v>300</v>
      </c>
      <c r="F682" s="850">
        <v>1617.7414000000001</v>
      </c>
      <c r="G682" s="850">
        <v>300</v>
      </c>
      <c r="H682" s="850">
        <v>0</v>
      </c>
      <c r="I682" s="851">
        <v>6.2600000000000003E-2</v>
      </c>
      <c r="J682" s="851">
        <v>6.2600000000000003E-2</v>
      </c>
      <c r="K682" s="851">
        <v>6.2600000000000003E-2</v>
      </c>
      <c r="L682" s="849">
        <v>17</v>
      </c>
    </row>
    <row r="683" spans="1:12">
      <c r="A683" s="847">
        <v>44650</v>
      </c>
      <c r="B683" s="848" t="s">
        <v>2917</v>
      </c>
      <c r="C683" s="849">
        <v>28</v>
      </c>
      <c r="D683" s="847">
        <v>44678</v>
      </c>
      <c r="E683" s="850">
        <v>200</v>
      </c>
      <c r="F683" s="850">
        <v>1404.4349999999999</v>
      </c>
      <c r="G683" s="850">
        <v>200</v>
      </c>
      <c r="H683" s="850">
        <v>0</v>
      </c>
      <c r="I683" s="851">
        <v>6.2600000000000003E-2</v>
      </c>
      <c r="J683" s="851">
        <v>6.2600000000000003E-2</v>
      </c>
      <c r="K683" s="851">
        <v>6.2600000000000003E-2</v>
      </c>
      <c r="L683" s="849">
        <v>17</v>
      </c>
    </row>
    <row r="684" spans="1:12">
      <c r="A684" s="847">
        <v>44652</v>
      </c>
      <c r="B684" s="848" t="s">
        <v>2919</v>
      </c>
      <c r="C684" s="849">
        <v>84</v>
      </c>
      <c r="D684" s="847">
        <v>44736</v>
      </c>
      <c r="E684" s="850">
        <v>50</v>
      </c>
      <c r="F684" s="850">
        <v>125.4376</v>
      </c>
      <c r="G684" s="850">
        <v>30</v>
      </c>
      <c r="H684" s="850">
        <v>0</v>
      </c>
      <c r="I684" s="851">
        <v>3.3000000000000002E-2</v>
      </c>
      <c r="J684" s="851">
        <v>3.3000000000000002E-2</v>
      </c>
      <c r="K684" s="851">
        <v>3.3000000000000002E-2</v>
      </c>
      <c r="L684" s="849">
        <v>8</v>
      </c>
    </row>
    <row r="685" spans="1:12">
      <c r="A685" s="847">
        <v>44655</v>
      </c>
      <c r="B685" s="848" t="s">
        <v>2920</v>
      </c>
      <c r="C685" s="849">
        <v>84</v>
      </c>
      <c r="D685" s="847">
        <v>44739</v>
      </c>
      <c r="E685" s="850">
        <v>30</v>
      </c>
      <c r="F685" s="850">
        <v>80.214299999999994</v>
      </c>
      <c r="G685" s="850">
        <v>30</v>
      </c>
      <c r="H685" s="850">
        <v>0</v>
      </c>
      <c r="I685" s="851">
        <v>3.27E-2</v>
      </c>
      <c r="J685" s="851">
        <v>3.27E-2</v>
      </c>
      <c r="K685" s="851">
        <v>3.27E-2</v>
      </c>
      <c r="L685" s="849">
        <v>4</v>
      </c>
    </row>
    <row r="686" spans="1:12">
      <c r="A686" s="847">
        <v>44657</v>
      </c>
      <c r="B686" s="848" t="s">
        <v>2921</v>
      </c>
      <c r="C686" s="849">
        <v>168</v>
      </c>
      <c r="D686" s="847">
        <v>44825</v>
      </c>
      <c r="E686" s="850">
        <v>30</v>
      </c>
      <c r="F686" s="850">
        <v>197.54390000000001</v>
      </c>
      <c r="G686" s="850">
        <v>30</v>
      </c>
      <c r="H686" s="850">
        <v>0</v>
      </c>
      <c r="I686" s="851">
        <v>3.7999999999999999E-2</v>
      </c>
      <c r="J686" s="851">
        <v>3.85E-2</v>
      </c>
      <c r="K686" s="851">
        <v>3.8399999999999997E-2</v>
      </c>
      <c r="L686" s="849">
        <v>11</v>
      </c>
    </row>
    <row r="687" spans="1:12" s="1089" customFormat="1">
      <c r="A687" s="847">
        <v>44659</v>
      </c>
      <c r="B687" s="848" t="s">
        <v>2922</v>
      </c>
      <c r="C687" s="849">
        <v>252</v>
      </c>
      <c r="D687" s="847">
        <v>44911</v>
      </c>
      <c r="E687" s="850">
        <v>30</v>
      </c>
      <c r="F687" s="850">
        <v>154.96440000000001</v>
      </c>
      <c r="G687" s="850">
        <v>30</v>
      </c>
      <c r="H687" s="850">
        <v>0</v>
      </c>
      <c r="I687" s="851">
        <v>3.7999999999999999E-2</v>
      </c>
      <c r="J687" s="851">
        <v>3.7999999999999999E-2</v>
      </c>
      <c r="K687" s="851">
        <v>3.7999999999999999E-2</v>
      </c>
      <c r="L687" s="849">
        <v>8</v>
      </c>
    </row>
    <row r="688" spans="1:12" s="1089" customFormat="1">
      <c r="A688" s="847">
        <v>44662</v>
      </c>
      <c r="B688" s="848" t="s">
        <v>2923</v>
      </c>
      <c r="C688" s="849">
        <v>84</v>
      </c>
      <c r="D688" s="847">
        <v>44746</v>
      </c>
      <c r="E688" s="850">
        <v>30</v>
      </c>
      <c r="F688" s="850">
        <v>117.1713</v>
      </c>
      <c r="G688" s="850">
        <v>30</v>
      </c>
      <c r="H688" s="850">
        <v>0</v>
      </c>
      <c r="I688" s="851">
        <v>3.15E-2</v>
      </c>
      <c r="J688" s="851">
        <v>3.15E-2</v>
      </c>
      <c r="K688" s="851">
        <v>3.15E-2</v>
      </c>
      <c r="L688" s="849">
        <v>6</v>
      </c>
    </row>
    <row r="689" spans="1:25" s="1089" customFormat="1">
      <c r="A689" s="847">
        <v>44664</v>
      </c>
      <c r="B689" s="848" t="s">
        <v>2924</v>
      </c>
      <c r="C689" s="849">
        <v>168</v>
      </c>
      <c r="D689" s="847">
        <v>44832</v>
      </c>
      <c r="E689" s="850">
        <v>30</v>
      </c>
      <c r="F689" s="850">
        <v>189.41419999999999</v>
      </c>
      <c r="G689" s="850">
        <v>30</v>
      </c>
      <c r="H689" s="850">
        <v>0</v>
      </c>
      <c r="I689" s="851">
        <v>3.4500000000000003E-2</v>
      </c>
      <c r="J689" s="851">
        <v>3.49E-2</v>
      </c>
      <c r="K689" s="851">
        <v>3.49E-2</v>
      </c>
      <c r="L689" s="849">
        <v>11</v>
      </c>
    </row>
    <row r="690" spans="1:25" s="1089" customFormat="1">
      <c r="A690" s="847">
        <v>44666</v>
      </c>
      <c r="B690" s="848" t="s">
        <v>2925</v>
      </c>
      <c r="C690" s="849">
        <v>252</v>
      </c>
      <c r="D690" s="847">
        <v>44918</v>
      </c>
      <c r="E690" s="850">
        <v>30</v>
      </c>
      <c r="F690" s="850">
        <v>177.66890000000001</v>
      </c>
      <c r="G690" s="850">
        <v>30</v>
      </c>
      <c r="H690" s="850">
        <v>0</v>
      </c>
      <c r="I690" s="851">
        <v>3.2000000000000001E-2</v>
      </c>
      <c r="J690" s="851">
        <v>3.2500000000000001E-2</v>
      </c>
      <c r="K690" s="851">
        <v>3.2199999999999999E-2</v>
      </c>
      <c r="L690" s="849">
        <v>8</v>
      </c>
    </row>
    <row r="691" spans="1:25" s="1089" customFormat="1">
      <c r="A691" s="847">
        <v>44669</v>
      </c>
      <c r="B691" s="848" t="s">
        <v>2926</v>
      </c>
      <c r="C691" s="849">
        <v>84</v>
      </c>
      <c r="D691" s="847">
        <v>44753</v>
      </c>
      <c r="E691" s="850">
        <v>30</v>
      </c>
      <c r="F691" s="850">
        <v>165.68119999999999</v>
      </c>
      <c r="G691" s="850">
        <v>30</v>
      </c>
      <c r="H691" s="850">
        <v>0</v>
      </c>
      <c r="I691" s="851">
        <v>2.9499999999999998E-2</v>
      </c>
      <c r="J691" s="851">
        <v>0.03</v>
      </c>
      <c r="K691" s="851">
        <v>2.98E-2</v>
      </c>
      <c r="L691" s="849">
        <v>9</v>
      </c>
    </row>
    <row r="692" spans="1:25" s="1089" customFormat="1">
      <c r="A692" s="847">
        <v>44671</v>
      </c>
      <c r="B692" s="848" t="s">
        <v>2927</v>
      </c>
      <c r="C692" s="849">
        <v>28</v>
      </c>
      <c r="D692" s="847">
        <v>44699</v>
      </c>
      <c r="E692" s="850">
        <v>250</v>
      </c>
      <c r="F692" s="850">
        <v>1667.6235999999999</v>
      </c>
      <c r="G692" s="850">
        <v>250</v>
      </c>
      <c r="H692" s="850">
        <v>0</v>
      </c>
      <c r="I692" s="851">
        <v>6.2600000000000003E-2</v>
      </c>
      <c r="J692" s="851">
        <v>6.2600000000000003E-2</v>
      </c>
      <c r="K692" s="851">
        <v>6.2600000000000003E-2</v>
      </c>
      <c r="L692" s="849">
        <v>20</v>
      </c>
    </row>
    <row r="693" spans="1:25" s="1089" customFormat="1">
      <c r="A693" s="847">
        <v>44673</v>
      </c>
      <c r="B693" s="848" t="s">
        <v>2928</v>
      </c>
      <c r="C693" s="849">
        <v>252</v>
      </c>
      <c r="D693" s="847">
        <v>44925</v>
      </c>
      <c r="E693" s="850">
        <v>30</v>
      </c>
      <c r="F693" s="850">
        <v>106.30200000000001</v>
      </c>
      <c r="G693" s="850">
        <v>30</v>
      </c>
      <c r="H693" s="850">
        <v>0</v>
      </c>
      <c r="I693" s="851">
        <v>0.03</v>
      </c>
      <c r="J693" s="851">
        <v>0.03</v>
      </c>
      <c r="K693" s="851">
        <v>0.03</v>
      </c>
      <c r="L693" s="849">
        <v>6</v>
      </c>
    </row>
    <row r="694" spans="1:25" s="1089" customFormat="1">
      <c r="A694" s="847">
        <v>44676</v>
      </c>
      <c r="B694" s="848" t="s">
        <v>2929</v>
      </c>
      <c r="C694" s="849">
        <v>84</v>
      </c>
      <c r="D694" s="847">
        <v>44760</v>
      </c>
      <c r="E694" s="850">
        <v>30</v>
      </c>
      <c r="F694" s="850">
        <v>123.8061</v>
      </c>
      <c r="G694" s="850">
        <v>30</v>
      </c>
      <c r="H694" s="850">
        <v>0</v>
      </c>
      <c r="I694" s="851">
        <v>2.9499999999999998E-2</v>
      </c>
      <c r="J694" s="851">
        <v>2.9499999999999998E-2</v>
      </c>
      <c r="K694" s="851">
        <v>2.9499999999999998E-2</v>
      </c>
      <c r="L694" s="849">
        <v>7</v>
      </c>
    </row>
    <row r="695" spans="1:25" s="1089" customFormat="1">
      <c r="A695" s="847">
        <v>44678</v>
      </c>
      <c r="B695" s="848" t="s">
        <v>2930</v>
      </c>
      <c r="C695" s="849">
        <v>28</v>
      </c>
      <c r="D695" s="847">
        <v>44706</v>
      </c>
      <c r="E695" s="850">
        <v>100</v>
      </c>
      <c r="F695" s="850">
        <v>999.71199999999999</v>
      </c>
      <c r="G695" s="850">
        <v>100</v>
      </c>
      <c r="H695" s="850">
        <v>0</v>
      </c>
      <c r="I695" s="851">
        <v>6.2600000000000003E-2</v>
      </c>
      <c r="J695" s="851">
        <v>6.2600000000000003E-2</v>
      </c>
      <c r="K695" s="851">
        <v>6.2600000000000003E-2</v>
      </c>
      <c r="L695" s="849">
        <v>19</v>
      </c>
      <c r="M695" s="1090"/>
      <c r="N695" s="1090"/>
      <c r="O695" s="1090"/>
      <c r="P695" s="1090"/>
      <c r="Q695" s="1090"/>
      <c r="R695" s="1090"/>
      <c r="S695" s="1090"/>
      <c r="T695" s="1090"/>
      <c r="U695" s="1090"/>
      <c r="V695" s="1090"/>
      <c r="W695" s="1090"/>
      <c r="X695" s="1090"/>
      <c r="Y695" s="1090"/>
    </row>
    <row r="696" spans="1:25" s="1089" customFormat="1">
      <c r="A696" s="847">
        <v>44680</v>
      </c>
      <c r="B696" s="848" t="s">
        <v>2931</v>
      </c>
      <c r="C696" s="849">
        <v>168</v>
      </c>
      <c r="D696" s="847">
        <v>44848</v>
      </c>
      <c r="E696" s="850">
        <v>30</v>
      </c>
      <c r="F696" s="850">
        <v>150.54849999999999</v>
      </c>
      <c r="G696" s="850">
        <v>30</v>
      </c>
      <c r="H696" s="850">
        <v>0</v>
      </c>
      <c r="I696" s="851">
        <v>2.98E-2</v>
      </c>
      <c r="J696" s="851">
        <v>2.98E-2</v>
      </c>
      <c r="K696" s="851">
        <v>2.98E-2</v>
      </c>
      <c r="L696" s="849">
        <v>7</v>
      </c>
      <c r="M696" s="1090"/>
      <c r="N696" s="1090"/>
      <c r="O696" s="1090"/>
      <c r="P696" s="1090"/>
      <c r="Q696" s="1090"/>
      <c r="R696" s="1090"/>
      <c r="S696" s="1090"/>
      <c r="T696" s="1090"/>
      <c r="U696" s="1090"/>
      <c r="V696" s="1090"/>
      <c r="W696" s="1090"/>
      <c r="X696" s="1090"/>
      <c r="Y696" s="1090"/>
    </row>
    <row r="697" spans="1:25">
      <c r="A697" s="847">
        <v>44685</v>
      </c>
      <c r="B697" s="848" t="s">
        <v>2932</v>
      </c>
      <c r="C697" s="849">
        <v>252</v>
      </c>
      <c r="D697" s="847">
        <v>44937</v>
      </c>
      <c r="E697" s="850">
        <v>30</v>
      </c>
      <c r="F697" s="850">
        <v>124.98399999999999</v>
      </c>
      <c r="G697" s="850">
        <v>30</v>
      </c>
      <c r="H697" s="850">
        <v>0</v>
      </c>
      <c r="I697" s="851">
        <v>2.9399999999999999E-2</v>
      </c>
      <c r="J697" s="851">
        <v>0.03</v>
      </c>
      <c r="K697" s="851">
        <v>2.98E-2</v>
      </c>
      <c r="L697" s="849">
        <v>9</v>
      </c>
      <c r="M697" s="1090"/>
      <c r="N697" s="1090"/>
      <c r="O697" s="1090"/>
      <c r="P697" s="1090"/>
      <c r="Q697" s="1090"/>
      <c r="R697" s="1090"/>
      <c r="S697" s="1090"/>
      <c r="T697" s="1090"/>
      <c r="U697" s="1090"/>
      <c r="V697" s="1090"/>
      <c r="W697" s="1090"/>
      <c r="X697" s="1090"/>
      <c r="Y697" s="1090"/>
    </row>
    <row r="698" spans="1:25">
      <c r="A698" s="847">
        <v>44687</v>
      </c>
      <c r="B698" s="848" t="s">
        <v>2933</v>
      </c>
      <c r="C698" s="849">
        <v>168</v>
      </c>
      <c r="D698" s="847">
        <v>44855</v>
      </c>
      <c r="E698" s="850">
        <v>30</v>
      </c>
      <c r="F698" s="850">
        <v>85.515600000000006</v>
      </c>
      <c r="G698" s="850">
        <v>30</v>
      </c>
      <c r="H698" s="850">
        <v>0</v>
      </c>
      <c r="I698" s="851">
        <v>2.9499999999999998E-2</v>
      </c>
      <c r="J698" s="851">
        <v>2.9499999999999998E-2</v>
      </c>
      <c r="K698" s="851">
        <v>2.9499999999999998E-2</v>
      </c>
      <c r="L698" s="849">
        <v>6</v>
      </c>
      <c r="M698" s="1090"/>
      <c r="N698" s="1090"/>
      <c r="O698" s="1090"/>
      <c r="P698" s="1090"/>
      <c r="Q698" s="1090"/>
      <c r="R698" s="1090"/>
      <c r="S698" s="1090"/>
      <c r="T698" s="1090"/>
      <c r="U698" s="1090"/>
      <c r="V698" s="1090"/>
      <c r="W698" s="1090"/>
      <c r="X698" s="1090"/>
      <c r="Y698" s="1090"/>
    </row>
    <row r="699" spans="1:25">
      <c r="A699" s="847">
        <v>44692</v>
      </c>
      <c r="B699" s="848" t="s">
        <v>2934</v>
      </c>
      <c r="C699" s="849">
        <v>168</v>
      </c>
      <c r="D699" s="847">
        <v>44860</v>
      </c>
      <c r="E699" s="850">
        <v>30</v>
      </c>
      <c r="F699" s="850">
        <v>114.5397</v>
      </c>
      <c r="G699" s="850">
        <v>30</v>
      </c>
      <c r="H699" s="850">
        <v>0</v>
      </c>
      <c r="I699" s="851">
        <v>2.9000000000000001E-2</v>
      </c>
      <c r="J699" s="851">
        <v>2.9000000000000001E-2</v>
      </c>
      <c r="K699" s="851">
        <v>2.9000000000000001E-2</v>
      </c>
      <c r="L699" s="849">
        <v>6</v>
      </c>
      <c r="M699" s="1090"/>
      <c r="N699" s="1090"/>
      <c r="O699" s="1090"/>
      <c r="P699" s="1090"/>
      <c r="Q699" s="1090"/>
      <c r="R699" s="1090"/>
      <c r="S699" s="1090"/>
      <c r="T699" s="1090"/>
      <c r="U699" s="1090"/>
      <c r="V699" s="1090"/>
      <c r="W699" s="1090"/>
      <c r="X699" s="1090"/>
      <c r="Y699" s="1090"/>
    </row>
    <row r="700" spans="1:25">
      <c r="A700" s="847">
        <v>44694</v>
      </c>
      <c r="B700" s="848" t="s">
        <v>2935</v>
      </c>
      <c r="C700" s="849">
        <v>252</v>
      </c>
      <c r="D700" s="847">
        <v>44946</v>
      </c>
      <c r="E700" s="850">
        <v>30</v>
      </c>
      <c r="F700" s="850">
        <v>84.726200000000006</v>
      </c>
      <c r="G700" s="850">
        <v>30</v>
      </c>
      <c r="H700" s="850">
        <v>0</v>
      </c>
      <c r="I700" s="851">
        <v>2.9000000000000001E-2</v>
      </c>
      <c r="J700" s="851">
        <v>2.9399999999999999E-2</v>
      </c>
      <c r="K700" s="851">
        <v>2.9399999999999999E-2</v>
      </c>
      <c r="L700" s="849">
        <v>9</v>
      </c>
      <c r="M700" s="1090"/>
      <c r="N700" s="1090"/>
      <c r="O700" s="1090"/>
      <c r="P700" s="1090"/>
      <c r="Q700" s="1090"/>
      <c r="R700" s="1090"/>
      <c r="S700" s="1090"/>
      <c r="T700" s="1090"/>
      <c r="U700" s="1090"/>
      <c r="V700" s="1090"/>
      <c r="W700" s="1090"/>
      <c r="X700" s="1090"/>
      <c r="Y700" s="1090"/>
    </row>
    <row r="701" spans="1:25" s="1090" customFormat="1">
      <c r="A701" s="847">
        <v>44697</v>
      </c>
      <c r="B701" s="848" t="s">
        <v>2936</v>
      </c>
      <c r="C701" s="849">
        <v>84</v>
      </c>
      <c r="D701" s="847">
        <v>44781</v>
      </c>
      <c r="E701" s="850">
        <v>30</v>
      </c>
      <c r="F701" s="850">
        <v>112.6061</v>
      </c>
      <c r="G701" s="850">
        <v>30</v>
      </c>
      <c r="H701" s="850">
        <v>0</v>
      </c>
      <c r="I701" s="851">
        <v>2.8500000000000001E-2</v>
      </c>
      <c r="J701" s="851">
        <v>2.8500000000000001E-2</v>
      </c>
      <c r="K701" s="851">
        <v>2.8500000000000001E-2</v>
      </c>
      <c r="L701" s="849">
        <v>3</v>
      </c>
    </row>
    <row r="702" spans="1:25" s="1090" customFormat="1">
      <c r="A702" s="847">
        <v>44699</v>
      </c>
      <c r="B702" s="848" t="s">
        <v>2937</v>
      </c>
      <c r="C702" s="849">
        <v>28</v>
      </c>
      <c r="D702" s="847">
        <v>44727</v>
      </c>
      <c r="E702" s="850">
        <v>150</v>
      </c>
      <c r="F702" s="850">
        <v>1364.3885</v>
      </c>
      <c r="G702" s="850">
        <v>150</v>
      </c>
      <c r="H702" s="850">
        <v>0</v>
      </c>
      <c r="I702" s="851">
        <v>6.2600000000000003E-2</v>
      </c>
      <c r="J702" s="851">
        <v>6.2600000000000003E-2</v>
      </c>
      <c r="K702" s="851">
        <v>6.2600000000000003E-2</v>
      </c>
      <c r="L702" s="849">
        <v>1</v>
      </c>
    </row>
    <row r="703" spans="1:25" s="1090" customFormat="1">
      <c r="A703" s="847">
        <v>44701</v>
      </c>
      <c r="B703" s="848" t="s">
        <v>2938</v>
      </c>
      <c r="C703" s="849">
        <v>252</v>
      </c>
      <c r="D703" s="847">
        <v>44953</v>
      </c>
      <c r="E703" s="850">
        <v>30</v>
      </c>
      <c r="F703" s="850">
        <v>87.762200000000007</v>
      </c>
      <c r="G703" s="850">
        <v>30</v>
      </c>
      <c r="H703" s="850">
        <v>0</v>
      </c>
      <c r="I703" s="851">
        <v>2.9000000000000001E-2</v>
      </c>
      <c r="J703" s="851">
        <v>2.9000000000000001E-2</v>
      </c>
      <c r="K703" s="851">
        <v>2.9000000000000001E-2</v>
      </c>
      <c r="L703" s="849">
        <v>9</v>
      </c>
    </row>
    <row r="704" spans="1:25" s="1090" customFormat="1">
      <c r="A704" s="847">
        <v>44704</v>
      </c>
      <c r="B704" s="848" t="s">
        <v>2939</v>
      </c>
      <c r="C704" s="849">
        <v>84</v>
      </c>
      <c r="D704" s="847">
        <v>44788</v>
      </c>
      <c r="E704" s="850">
        <v>30</v>
      </c>
      <c r="F704" s="850">
        <v>121.7445</v>
      </c>
      <c r="G704" s="850">
        <v>30</v>
      </c>
      <c r="H704" s="850">
        <v>0</v>
      </c>
      <c r="I704" s="851">
        <v>2.8199999999999999E-2</v>
      </c>
      <c r="J704" s="851">
        <v>2.9499999999999998E-2</v>
      </c>
      <c r="K704" s="851">
        <v>2.92E-2</v>
      </c>
      <c r="L704" s="849">
        <v>3</v>
      </c>
    </row>
    <row r="705" spans="1:12" s="1090" customFormat="1">
      <c r="A705" s="847">
        <v>44706</v>
      </c>
      <c r="B705" s="848" t="s">
        <v>2940</v>
      </c>
      <c r="C705" s="849">
        <v>168</v>
      </c>
      <c r="D705" s="847">
        <v>44874</v>
      </c>
      <c r="E705" s="850">
        <v>30</v>
      </c>
      <c r="F705" s="850">
        <v>89.530299999999997</v>
      </c>
      <c r="G705" s="850">
        <v>30</v>
      </c>
      <c r="H705" s="850">
        <v>0</v>
      </c>
      <c r="I705" s="851">
        <v>2.9000000000000001E-2</v>
      </c>
      <c r="J705" s="851">
        <v>2.9899999999999999E-2</v>
      </c>
      <c r="K705" s="851">
        <v>2.98E-2</v>
      </c>
      <c r="L705" s="849">
        <v>6</v>
      </c>
    </row>
    <row r="706" spans="1:12" s="1090" customFormat="1">
      <c r="A706" s="847">
        <v>44708</v>
      </c>
      <c r="B706" s="848" t="s">
        <v>2941</v>
      </c>
      <c r="C706" s="849">
        <v>252</v>
      </c>
      <c r="D706" s="847">
        <v>44960</v>
      </c>
      <c r="E706" s="850">
        <v>30</v>
      </c>
      <c r="F706" s="850">
        <v>89.7577</v>
      </c>
      <c r="G706" s="850">
        <v>30</v>
      </c>
      <c r="H706" s="850">
        <v>0</v>
      </c>
      <c r="I706" s="851">
        <v>2.9899999999999999E-2</v>
      </c>
      <c r="J706" s="851">
        <v>3.0499999999999999E-2</v>
      </c>
      <c r="K706" s="851">
        <v>3.0300000000000001E-2</v>
      </c>
      <c r="L706" s="849">
        <v>9</v>
      </c>
    </row>
    <row r="707" spans="1:12" s="1090" customFormat="1">
      <c r="A707" s="847">
        <v>44713</v>
      </c>
      <c r="B707" s="848" t="s">
        <v>2945</v>
      </c>
      <c r="C707" s="849">
        <v>168</v>
      </c>
      <c r="D707" s="847">
        <v>44881</v>
      </c>
      <c r="E707" s="850">
        <v>30</v>
      </c>
      <c r="F707" s="850">
        <v>75.878100000000003</v>
      </c>
      <c r="G707" s="850">
        <v>30</v>
      </c>
      <c r="H707" s="850">
        <v>0</v>
      </c>
      <c r="I707" s="851">
        <v>0.03</v>
      </c>
      <c r="J707" s="851">
        <v>0.03</v>
      </c>
      <c r="K707" s="851">
        <v>0.03</v>
      </c>
      <c r="L707" s="849">
        <v>6</v>
      </c>
    </row>
    <row r="708" spans="1:12" s="1090" customFormat="1">
      <c r="A708" s="847">
        <v>44715</v>
      </c>
      <c r="B708" s="848" t="s">
        <v>2946</v>
      </c>
      <c r="C708" s="849">
        <v>252</v>
      </c>
      <c r="D708" s="847">
        <v>44967</v>
      </c>
      <c r="E708" s="850">
        <v>30</v>
      </c>
      <c r="F708" s="850">
        <v>81.626499999999993</v>
      </c>
      <c r="G708" s="850">
        <v>30</v>
      </c>
      <c r="H708" s="850">
        <v>0</v>
      </c>
      <c r="I708" s="851">
        <v>0.03</v>
      </c>
      <c r="J708" s="851">
        <v>3.1899999999999998E-2</v>
      </c>
      <c r="K708" s="851">
        <v>3.1699999999999999E-2</v>
      </c>
      <c r="L708" s="849">
        <v>4</v>
      </c>
    </row>
    <row r="709" spans="1:12" s="1090" customFormat="1">
      <c r="A709" s="847">
        <v>44718</v>
      </c>
      <c r="B709" s="848" t="s">
        <v>2947</v>
      </c>
      <c r="C709" s="849">
        <v>168</v>
      </c>
      <c r="D709" s="847">
        <v>44886</v>
      </c>
      <c r="E709" s="850">
        <v>30</v>
      </c>
      <c r="F709" s="850">
        <v>79.354500000000002</v>
      </c>
      <c r="G709" s="850">
        <v>30</v>
      </c>
      <c r="H709" s="850">
        <v>0</v>
      </c>
      <c r="I709" s="851">
        <v>3.1E-2</v>
      </c>
      <c r="J709" s="851">
        <v>3.4000000000000002E-2</v>
      </c>
      <c r="K709" s="851">
        <v>3.39E-2</v>
      </c>
      <c r="L709" s="849">
        <v>4</v>
      </c>
    </row>
    <row r="710" spans="1:12" s="1090" customFormat="1">
      <c r="A710" s="847">
        <v>44720</v>
      </c>
      <c r="B710" s="848" t="s">
        <v>2948</v>
      </c>
      <c r="C710" s="849">
        <v>252</v>
      </c>
      <c r="D710" s="847">
        <v>44972</v>
      </c>
      <c r="E710" s="850">
        <v>30</v>
      </c>
      <c r="F710" s="850">
        <v>86.967500000000001</v>
      </c>
      <c r="G710" s="850">
        <v>30</v>
      </c>
      <c r="H710" s="850">
        <v>0</v>
      </c>
      <c r="I710" s="851">
        <v>3.4000000000000002E-2</v>
      </c>
      <c r="J710" s="851">
        <v>3.5999999999999997E-2</v>
      </c>
      <c r="K710" s="851">
        <v>3.5700000000000003E-2</v>
      </c>
      <c r="L710" s="849">
        <v>6</v>
      </c>
    </row>
    <row r="711" spans="1:12" s="1090" customFormat="1">
      <c r="A711" s="847">
        <v>44722</v>
      </c>
      <c r="B711" s="848" t="s">
        <v>2949</v>
      </c>
      <c r="C711" s="849">
        <v>252</v>
      </c>
      <c r="D711" s="847">
        <v>44974</v>
      </c>
      <c r="E711" s="850">
        <v>30</v>
      </c>
      <c r="F711" s="850">
        <v>116.8228</v>
      </c>
      <c r="G711" s="850">
        <v>30</v>
      </c>
      <c r="H711" s="850">
        <v>0</v>
      </c>
      <c r="I711" s="851">
        <v>3.6999999999999998E-2</v>
      </c>
      <c r="J711" s="851">
        <v>3.7999999999999999E-2</v>
      </c>
      <c r="K711" s="851">
        <v>3.78E-2</v>
      </c>
      <c r="L711" s="849">
        <v>7</v>
      </c>
    </row>
    <row r="712" spans="1:12" s="1090" customFormat="1">
      <c r="A712" s="847">
        <v>44725</v>
      </c>
      <c r="B712" s="848" t="s">
        <v>2950</v>
      </c>
      <c r="C712" s="849">
        <v>168</v>
      </c>
      <c r="D712" s="847">
        <v>44893</v>
      </c>
      <c r="E712" s="850">
        <v>30</v>
      </c>
      <c r="F712" s="850">
        <v>89.581699999999998</v>
      </c>
      <c r="G712" s="850">
        <v>30</v>
      </c>
      <c r="H712" s="850">
        <v>0</v>
      </c>
      <c r="I712" s="851">
        <v>3.5000000000000003E-2</v>
      </c>
      <c r="J712" s="851">
        <v>3.5000000000000003E-2</v>
      </c>
      <c r="K712" s="851">
        <v>3.5000000000000003E-2</v>
      </c>
      <c r="L712" s="849">
        <v>7</v>
      </c>
    </row>
    <row r="713" spans="1:12" s="1090" customFormat="1">
      <c r="A713" s="847">
        <v>44713</v>
      </c>
      <c r="B713" s="848" t="s">
        <v>2945</v>
      </c>
      <c r="C713" s="849">
        <v>168</v>
      </c>
      <c r="D713" s="847">
        <v>44881</v>
      </c>
      <c r="E713" s="850">
        <v>30</v>
      </c>
      <c r="F713" s="850">
        <v>75.878100000000003</v>
      </c>
      <c r="G713" s="850">
        <v>30</v>
      </c>
      <c r="H713" s="850">
        <v>0</v>
      </c>
      <c r="I713" s="851">
        <v>0.03</v>
      </c>
      <c r="J713" s="851">
        <v>0.03</v>
      </c>
      <c r="K713" s="851">
        <v>0.03</v>
      </c>
      <c r="L713" s="849">
        <v>6</v>
      </c>
    </row>
    <row r="714" spans="1:12" s="1090" customFormat="1">
      <c r="A714" s="847">
        <v>44715</v>
      </c>
      <c r="B714" s="848" t="s">
        <v>2946</v>
      </c>
      <c r="C714" s="849">
        <v>252</v>
      </c>
      <c r="D714" s="847">
        <v>44967</v>
      </c>
      <c r="E714" s="850">
        <v>30</v>
      </c>
      <c r="F714" s="850">
        <v>81.626499999999993</v>
      </c>
      <c r="G714" s="850">
        <v>30</v>
      </c>
      <c r="H714" s="850">
        <v>0</v>
      </c>
      <c r="I714" s="851">
        <v>0.03</v>
      </c>
      <c r="J714" s="851">
        <v>3.1899999999999998E-2</v>
      </c>
      <c r="K714" s="851">
        <v>3.1699999999999999E-2</v>
      </c>
      <c r="L714" s="849">
        <v>4</v>
      </c>
    </row>
    <row r="715" spans="1:12" s="1090" customFormat="1">
      <c r="A715" s="847">
        <v>44718</v>
      </c>
      <c r="B715" s="848" t="s">
        <v>2947</v>
      </c>
      <c r="C715" s="849">
        <v>168</v>
      </c>
      <c r="D715" s="847">
        <v>44886</v>
      </c>
      <c r="E715" s="850">
        <v>30</v>
      </c>
      <c r="F715" s="850">
        <v>79.354500000000002</v>
      </c>
      <c r="G715" s="850">
        <v>30</v>
      </c>
      <c r="H715" s="850">
        <v>0</v>
      </c>
      <c r="I715" s="851">
        <v>3.1E-2</v>
      </c>
      <c r="J715" s="851">
        <v>3.4000000000000002E-2</v>
      </c>
      <c r="K715" s="851">
        <v>3.39E-2</v>
      </c>
      <c r="L715" s="849">
        <v>4</v>
      </c>
    </row>
    <row r="716" spans="1:12" s="1090" customFormat="1">
      <c r="A716" s="847">
        <v>44720</v>
      </c>
      <c r="B716" s="848" t="s">
        <v>2948</v>
      </c>
      <c r="C716" s="849">
        <v>252</v>
      </c>
      <c r="D716" s="847">
        <v>44972</v>
      </c>
      <c r="E716" s="850">
        <v>30</v>
      </c>
      <c r="F716" s="850">
        <v>86.967500000000001</v>
      </c>
      <c r="G716" s="850">
        <v>30</v>
      </c>
      <c r="H716" s="850">
        <v>0</v>
      </c>
      <c r="I716" s="851">
        <v>3.4000000000000002E-2</v>
      </c>
      <c r="J716" s="851">
        <v>3.5999999999999997E-2</v>
      </c>
      <c r="K716" s="851">
        <v>3.5700000000000003E-2</v>
      </c>
      <c r="L716" s="849">
        <v>6</v>
      </c>
    </row>
    <row r="717" spans="1:12" s="1090" customFormat="1">
      <c r="A717" s="847">
        <v>44722</v>
      </c>
      <c r="B717" s="848" t="s">
        <v>2949</v>
      </c>
      <c r="C717" s="849">
        <v>252</v>
      </c>
      <c r="D717" s="847">
        <v>44974</v>
      </c>
      <c r="E717" s="850">
        <v>30</v>
      </c>
      <c r="F717" s="850">
        <v>116.8228</v>
      </c>
      <c r="G717" s="850">
        <v>30</v>
      </c>
      <c r="H717" s="850">
        <v>0</v>
      </c>
      <c r="I717" s="851">
        <v>3.6999999999999998E-2</v>
      </c>
      <c r="J717" s="851">
        <v>3.7999999999999999E-2</v>
      </c>
      <c r="K717" s="851">
        <v>3.78E-2</v>
      </c>
      <c r="L717" s="849">
        <v>7</v>
      </c>
    </row>
    <row r="718" spans="1:12" s="1090" customFormat="1">
      <c r="A718" s="847">
        <v>44725</v>
      </c>
      <c r="B718" s="848" t="s">
        <v>2950</v>
      </c>
      <c r="C718" s="849">
        <v>168</v>
      </c>
      <c r="D718" s="847">
        <v>44893</v>
      </c>
      <c r="E718" s="850">
        <v>30</v>
      </c>
      <c r="F718" s="850">
        <v>89.581699999999998</v>
      </c>
      <c r="G718" s="850">
        <v>30</v>
      </c>
      <c r="H718" s="850">
        <v>0</v>
      </c>
      <c r="I718" s="851">
        <v>3.5000000000000003E-2</v>
      </c>
      <c r="J718" s="851">
        <v>3.5000000000000003E-2</v>
      </c>
      <c r="K718" s="851">
        <v>3.5000000000000003E-2</v>
      </c>
      <c r="L718" s="849">
        <v>7</v>
      </c>
    </row>
    <row r="719" spans="1:12" s="1090" customFormat="1">
      <c r="A719" s="847">
        <v>44839</v>
      </c>
      <c r="B719" s="848" t="s">
        <v>3455</v>
      </c>
      <c r="C719" s="849">
        <v>28</v>
      </c>
      <c r="D719" s="847">
        <v>44867</v>
      </c>
      <c r="E719" s="850">
        <v>30</v>
      </c>
      <c r="F719" s="850">
        <v>72.1434</v>
      </c>
      <c r="G719" s="850">
        <v>30</v>
      </c>
      <c r="H719" s="850">
        <v>0</v>
      </c>
      <c r="I719" s="851">
        <v>2.9700000000000001E-2</v>
      </c>
      <c r="J719" s="851">
        <v>0.04</v>
      </c>
      <c r="K719" s="851">
        <v>3.4799999999999998E-2</v>
      </c>
      <c r="L719" s="849">
        <v>14</v>
      </c>
    </row>
    <row r="720" spans="1:12" s="1090" customFormat="1">
      <c r="A720" s="847">
        <v>44839</v>
      </c>
      <c r="B720" s="848" t="s">
        <v>3456</v>
      </c>
      <c r="C720" s="849">
        <v>84</v>
      </c>
      <c r="D720" s="847">
        <v>44923</v>
      </c>
      <c r="E720" s="850">
        <v>30</v>
      </c>
      <c r="F720" s="850">
        <v>42.291499999999999</v>
      </c>
      <c r="G720" s="850">
        <v>30</v>
      </c>
      <c r="H720" s="850">
        <v>0</v>
      </c>
      <c r="I720" s="851">
        <v>3.2500000000000001E-2</v>
      </c>
      <c r="J720" s="851">
        <v>4.4499999999999998E-2</v>
      </c>
      <c r="K720" s="851">
        <v>4.1300000000000003E-2</v>
      </c>
      <c r="L720" s="849">
        <v>7</v>
      </c>
    </row>
    <row r="721" spans="1:12" s="1090" customFormat="1">
      <c r="A721" s="847">
        <v>44840</v>
      </c>
      <c r="B721" s="848" t="s">
        <v>3457</v>
      </c>
      <c r="C721" s="849">
        <v>168</v>
      </c>
      <c r="D721" s="847">
        <v>45008</v>
      </c>
      <c r="E721" s="850">
        <v>30</v>
      </c>
      <c r="F721" s="850">
        <v>52.304900000000004</v>
      </c>
      <c r="G721" s="850">
        <v>30</v>
      </c>
      <c r="H721" s="850">
        <v>0</v>
      </c>
      <c r="I721" s="851">
        <v>4.5999999999999999E-2</v>
      </c>
      <c r="J721" s="851">
        <v>4.9200000000000001E-2</v>
      </c>
      <c r="K721" s="851">
        <v>4.8099999999999997E-2</v>
      </c>
      <c r="L721" s="849">
        <v>12</v>
      </c>
    </row>
    <row r="722" spans="1:12" s="1090" customFormat="1">
      <c r="A722" s="847">
        <v>44840</v>
      </c>
      <c r="B722" s="848" t="s">
        <v>3458</v>
      </c>
      <c r="C722" s="849">
        <v>252</v>
      </c>
      <c r="D722" s="847">
        <v>45092</v>
      </c>
      <c r="E722" s="850">
        <v>30</v>
      </c>
      <c r="F722" s="850">
        <v>50.221800000000002</v>
      </c>
      <c r="G722" s="850">
        <v>30</v>
      </c>
      <c r="H722" s="850">
        <v>0</v>
      </c>
      <c r="I722" s="851">
        <v>4.7E-2</v>
      </c>
      <c r="J722" s="851">
        <v>5.2999999999999999E-2</v>
      </c>
      <c r="K722" s="851">
        <v>5.1999999999999998E-2</v>
      </c>
      <c r="L722" s="849">
        <v>11</v>
      </c>
    </row>
    <row r="723" spans="1:12" s="1090" customFormat="1">
      <c r="A723" s="847">
        <v>44846</v>
      </c>
      <c r="B723" s="848" t="s">
        <v>3459</v>
      </c>
      <c r="C723" s="849">
        <v>28</v>
      </c>
      <c r="D723" s="847">
        <v>44874</v>
      </c>
      <c r="E723" s="850">
        <v>30</v>
      </c>
      <c r="F723" s="850">
        <v>53.516599999999997</v>
      </c>
      <c r="G723" s="850">
        <v>30</v>
      </c>
      <c r="H723" s="850">
        <v>0</v>
      </c>
      <c r="I723" s="851">
        <v>3.3000000000000002E-2</v>
      </c>
      <c r="J723" s="851">
        <v>0.04</v>
      </c>
      <c r="K723" s="851">
        <v>3.78E-2</v>
      </c>
      <c r="L723" s="849">
        <v>10</v>
      </c>
    </row>
    <row r="724" spans="1:12" s="1090" customFormat="1">
      <c r="A724" s="847">
        <v>44846</v>
      </c>
      <c r="B724" s="848" t="s">
        <v>3460</v>
      </c>
      <c r="C724" s="849">
        <v>84</v>
      </c>
      <c r="D724" s="847">
        <v>44930</v>
      </c>
      <c r="E724" s="850">
        <v>30</v>
      </c>
      <c r="F724" s="850">
        <v>60.1616</v>
      </c>
      <c r="G724" s="850">
        <v>30</v>
      </c>
      <c r="H724" s="850">
        <v>0</v>
      </c>
      <c r="I724" s="851">
        <v>0.04</v>
      </c>
      <c r="J724" s="851">
        <v>4.3999999999999997E-2</v>
      </c>
      <c r="K724" s="851">
        <v>4.3099999999999999E-2</v>
      </c>
      <c r="L724" s="849">
        <v>11</v>
      </c>
    </row>
    <row r="725" spans="1:12" s="1090" customFormat="1">
      <c r="A725" s="847">
        <v>44847</v>
      </c>
      <c r="B725" s="848" t="s">
        <v>3461</v>
      </c>
      <c r="C725" s="849">
        <v>168</v>
      </c>
      <c r="D725" s="847">
        <v>45015</v>
      </c>
      <c r="E725" s="850">
        <v>30</v>
      </c>
      <c r="F725" s="850">
        <v>59.381900000000002</v>
      </c>
      <c r="G725" s="850">
        <v>30</v>
      </c>
      <c r="H725" s="850">
        <v>0</v>
      </c>
      <c r="I725" s="851">
        <v>0.04</v>
      </c>
      <c r="J725" s="851">
        <v>4.9099999999999998E-2</v>
      </c>
      <c r="K725" s="851">
        <v>4.6699999999999998E-2</v>
      </c>
      <c r="L725" s="849">
        <v>11</v>
      </c>
    </row>
    <row r="726" spans="1:12" s="1090" customFormat="1">
      <c r="A726" s="847">
        <v>44847</v>
      </c>
      <c r="B726" s="848" t="s">
        <v>3462</v>
      </c>
      <c r="C726" s="849">
        <v>252</v>
      </c>
      <c r="D726" s="847">
        <v>45099</v>
      </c>
      <c r="E726" s="850">
        <v>30</v>
      </c>
      <c r="F726" s="850">
        <v>47.948399999999999</v>
      </c>
      <c r="G726" s="850">
        <v>30</v>
      </c>
      <c r="H726" s="850">
        <v>0</v>
      </c>
      <c r="I726" s="851">
        <v>4.2000000000000003E-2</v>
      </c>
      <c r="J726" s="851">
        <v>5.2900000000000003E-2</v>
      </c>
      <c r="K726" s="851">
        <v>5.0200000000000002E-2</v>
      </c>
      <c r="L726" s="849">
        <v>9</v>
      </c>
    </row>
    <row r="727" spans="1:12" s="1090" customFormat="1">
      <c r="A727" s="847">
        <v>44853</v>
      </c>
      <c r="B727" s="848" t="s">
        <v>3463</v>
      </c>
      <c r="C727" s="849">
        <v>28</v>
      </c>
      <c r="D727" s="847">
        <v>44881</v>
      </c>
      <c r="E727" s="850">
        <v>30</v>
      </c>
      <c r="F727" s="850">
        <v>66.016099999999994</v>
      </c>
      <c r="G727" s="850">
        <v>30</v>
      </c>
      <c r="H727" s="850">
        <v>0</v>
      </c>
      <c r="I727" s="851">
        <v>3.5000000000000003E-2</v>
      </c>
      <c r="J727" s="851">
        <v>3.5000000000000003E-2</v>
      </c>
      <c r="K727" s="851">
        <v>3.5000000000000003E-2</v>
      </c>
      <c r="L727" s="849">
        <v>10</v>
      </c>
    </row>
    <row r="728" spans="1:12" s="1090" customFormat="1">
      <c r="A728" s="847">
        <v>44853</v>
      </c>
      <c r="B728" s="848" t="s">
        <v>3464</v>
      </c>
      <c r="C728" s="849">
        <v>84</v>
      </c>
      <c r="D728" s="847">
        <v>44937</v>
      </c>
      <c r="E728" s="850">
        <v>30</v>
      </c>
      <c r="F728" s="850">
        <v>69.653099999999995</v>
      </c>
      <c r="G728" s="850">
        <v>30</v>
      </c>
      <c r="H728" s="850">
        <v>0</v>
      </c>
      <c r="I728" s="851">
        <v>4.1000000000000002E-2</v>
      </c>
      <c r="J728" s="851">
        <v>4.1000000000000002E-2</v>
      </c>
      <c r="K728" s="851">
        <v>4.1000000000000002E-2</v>
      </c>
      <c r="L728" s="849">
        <v>12</v>
      </c>
    </row>
    <row r="729" spans="1:12" s="1090" customFormat="1">
      <c r="A729" s="847">
        <v>44854</v>
      </c>
      <c r="B729" s="848" t="s">
        <v>3465</v>
      </c>
      <c r="C729" s="849">
        <v>168</v>
      </c>
      <c r="D729" s="847">
        <v>45022</v>
      </c>
      <c r="E729" s="850">
        <v>30</v>
      </c>
      <c r="F729" s="850">
        <v>65.529499999999999</v>
      </c>
      <c r="G729" s="850">
        <v>30</v>
      </c>
      <c r="H729" s="850">
        <v>0</v>
      </c>
      <c r="I729" s="851">
        <v>4.1000000000000002E-2</v>
      </c>
      <c r="J729" s="851">
        <v>4.4900000000000002E-2</v>
      </c>
      <c r="K729" s="851">
        <v>4.3900000000000002E-2</v>
      </c>
      <c r="L729" s="849">
        <v>12</v>
      </c>
    </row>
    <row r="730" spans="1:12" s="1090" customFormat="1">
      <c r="A730" s="847">
        <v>44854</v>
      </c>
      <c r="B730" s="848" t="s">
        <v>3466</v>
      </c>
      <c r="C730" s="849">
        <v>252</v>
      </c>
      <c r="D730" s="847">
        <v>45106</v>
      </c>
      <c r="E730" s="850">
        <v>30</v>
      </c>
      <c r="F730" s="850">
        <v>67.272599999999997</v>
      </c>
      <c r="G730" s="850">
        <v>30</v>
      </c>
      <c r="H730" s="850">
        <v>0</v>
      </c>
      <c r="I730" s="851">
        <v>4.2000000000000003E-2</v>
      </c>
      <c r="J730" s="851">
        <v>4.9000000000000002E-2</v>
      </c>
      <c r="K730" s="851">
        <v>4.6899999999999997E-2</v>
      </c>
      <c r="L730" s="849">
        <v>12</v>
      </c>
    </row>
    <row r="731" spans="1:12" s="1090" customFormat="1">
      <c r="A731" s="847">
        <v>44860</v>
      </c>
      <c r="B731" s="848" t="s">
        <v>3467</v>
      </c>
      <c r="C731" s="849">
        <v>28</v>
      </c>
      <c r="D731" s="847">
        <v>44888</v>
      </c>
      <c r="E731" s="850">
        <v>30</v>
      </c>
      <c r="F731" s="850">
        <v>46.026200000000003</v>
      </c>
      <c r="G731" s="850">
        <v>30</v>
      </c>
      <c r="H731" s="850">
        <v>0</v>
      </c>
      <c r="I731" s="851">
        <v>3.1E-2</v>
      </c>
      <c r="J731" s="851">
        <v>3.5000000000000003E-2</v>
      </c>
      <c r="K731" s="851">
        <v>3.39E-2</v>
      </c>
      <c r="L731" s="849">
        <v>8</v>
      </c>
    </row>
    <row r="732" spans="1:12" s="1090" customFormat="1">
      <c r="A732" s="847">
        <v>44860</v>
      </c>
      <c r="B732" s="848" t="s">
        <v>3468</v>
      </c>
      <c r="C732" s="849">
        <v>84</v>
      </c>
      <c r="D732" s="847">
        <v>44944</v>
      </c>
      <c r="E732" s="850">
        <v>30</v>
      </c>
      <c r="F732" s="850">
        <v>60.174599999999998</v>
      </c>
      <c r="G732" s="850">
        <v>30</v>
      </c>
      <c r="H732" s="850">
        <v>0</v>
      </c>
      <c r="I732" s="851">
        <v>0.04</v>
      </c>
      <c r="J732" s="851">
        <v>4.0500000000000001E-2</v>
      </c>
      <c r="K732" s="851">
        <v>4.0099999999999997E-2</v>
      </c>
      <c r="L732" s="849">
        <v>11</v>
      </c>
    </row>
    <row r="733" spans="1:12" s="1090" customFormat="1">
      <c r="A733" s="847">
        <v>44861</v>
      </c>
      <c r="B733" s="848" t="s">
        <v>3469</v>
      </c>
      <c r="C733" s="849">
        <v>168</v>
      </c>
      <c r="D733" s="847">
        <v>45029</v>
      </c>
      <c r="E733" s="850">
        <v>30</v>
      </c>
      <c r="F733" s="850">
        <v>64.841999999999999</v>
      </c>
      <c r="G733" s="850">
        <v>30</v>
      </c>
      <c r="H733" s="850">
        <v>0</v>
      </c>
      <c r="I733" s="851">
        <v>4.2500000000000003E-2</v>
      </c>
      <c r="J733" s="851">
        <v>4.3499999999999997E-2</v>
      </c>
      <c r="K733" s="851">
        <v>4.3200000000000002E-2</v>
      </c>
      <c r="L733" s="849">
        <v>13</v>
      </c>
    </row>
    <row r="734" spans="1:12" s="1090" customFormat="1">
      <c r="A734" s="847">
        <v>44861</v>
      </c>
      <c r="B734" s="848" t="s">
        <v>3470</v>
      </c>
      <c r="C734" s="849">
        <v>252</v>
      </c>
      <c r="D734" s="847">
        <v>45113</v>
      </c>
      <c r="E734" s="850">
        <v>30</v>
      </c>
      <c r="F734" s="850">
        <v>63.841799999999999</v>
      </c>
      <c r="G734" s="850">
        <v>30</v>
      </c>
      <c r="H734" s="850">
        <v>0</v>
      </c>
      <c r="I734" s="851">
        <v>4.58E-2</v>
      </c>
      <c r="J734" s="851">
        <v>4.65E-2</v>
      </c>
      <c r="K734" s="851">
        <v>4.6300000000000001E-2</v>
      </c>
      <c r="L734" s="849">
        <v>13</v>
      </c>
    </row>
    <row r="735" spans="1:12" s="1090" customFormat="1">
      <c r="A735" s="847">
        <v>44867</v>
      </c>
      <c r="B735" s="848" t="s">
        <v>3479</v>
      </c>
      <c r="C735" s="849">
        <v>28</v>
      </c>
      <c r="D735" s="847">
        <v>44895</v>
      </c>
      <c r="E735" s="850">
        <v>30</v>
      </c>
      <c r="F735" s="850">
        <v>41.501600000000003</v>
      </c>
      <c r="G735" s="850">
        <v>30</v>
      </c>
      <c r="H735" s="850">
        <v>0</v>
      </c>
      <c r="I735" s="851">
        <v>3.6999999999999998E-2</v>
      </c>
      <c r="J735" s="851">
        <v>0.04</v>
      </c>
      <c r="K735" s="851">
        <v>3.8540055318366608E-2</v>
      </c>
      <c r="L735" s="849">
        <v>7</v>
      </c>
    </row>
    <row r="736" spans="1:12" s="1090" customFormat="1">
      <c r="A736" s="847">
        <v>44867</v>
      </c>
      <c r="B736" s="848" t="s">
        <v>3480</v>
      </c>
      <c r="C736" s="849">
        <v>84</v>
      </c>
      <c r="D736" s="847">
        <v>44951</v>
      </c>
      <c r="E736" s="850">
        <v>30</v>
      </c>
      <c r="F736" s="850">
        <v>54.505099999999999</v>
      </c>
      <c r="G736" s="850">
        <v>30</v>
      </c>
      <c r="H736" s="850">
        <v>0</v>
      </c>
      <c r="I736" s="851">
        <v>0.04</v>
      </c>
      <c r="J736" s="851">
        <v>4.4999999999999998E-2</v>
      </c>
      <c r="K736" s="851">
        <v>4.3434E-2</v>
      </c>
      <c r="L736" s="849">
        <v>9</v>
      </c>
    </row>
    <row r="737" spans="1:12" s="1090" customFormat="1">
      <c r="A737" s="847">
        <v>44868</v>
      </c>
      <c r="B737" s="848" t="s">
        <v>3481</v>
      </c>
      <c r="C737" s="849">
        <v>168</v>
      </c>
      <c r="D737" s="847">
        <v>45036</v>
      </c>
      <c r="E737" s="850">
        <v>30</v>
      </c>
      <c r="F737" s="850">
        <v>75.257400000000004</v>
      </c>
      <c r="G737" s="850">
        <v>30</v>
      </c>
      <c r="H737" s="850">
        <v>0</v>
      </c>
      <c r="I737" s="851">
        <v>4.58E-2</v>
      </c>
      <c r="J737" s="851">
        <v>4.9500000000000002E-2</v>
      </c>
      <c r="K737" s="851">
        <v>4.7800000000000002E-2</v>
      </c>
      <c r="L737" s="849">
        <v>14</v>
      </c>
    </row>
    <row r="738" spans="1:12" s="1090" customFormat="1">
      <c r="A738" s="847">
        <v>44868</v>
      </c>
      <c r="B738" s="848" t="s">
        <v>3482</v>
      </c>
      <c r="C738" s="849">
        <v>252</v>
      </c>
      <c r="D738" s="847">
        <v>45120</v>
      </c>
      <c r="E738" s="850">
        <v>30</v>
      </c>
      <c r="F738" s="850">
        <v>72.5839</v>
      </c>
      <c r="G738" s="850">
        <v>30</v>
      </c>
      <c r="H738" s="850">
        <v>0</v>
      </c>
      <c r="I738" s="851">
        <v>4.8800000000000003E-2</v>
      </c>
      <c r="J738" s="851">
        <v>5.2499999999999998E-2</v>
      </c>
      <c r="K738" s="851">
        <v>5.11E-2</v>
      </c>
      <c r="L738" s="849">
        <v>14</v>
      </c>
    </row>
    <row r="739" spans="1:12" s="1090" customFormat="1">
      <c r="A739" s="847">
        <v>44875</v>
      </c>
      <c r="B739" s="848" t="s">
        <v>3483</v>
      </c>
      <c r="C739" s="849">
        <v>27</v>
      </c>
      <c r="D739" s="847">
        <v>44902</v>
      </c>
      <c r="E739" s="850">
        <v>30</v>
      </c>
      <c r="F739" s="850">
        <v>71.719099999999997</v>
      </c>
      <c r="G739" s="850">
        <v>30</v>
      </c>
      <c r="H739" s="850">
        <v>0</v>
      </c>
      <c r="I739" s="851">
        <v>3.7699999999999997E-2</v>
      </c>
      <c r="J739" s="851">
        <v>3.7999999999999999E-2</v>
      </c>
      <c r="K739" s="851">
        <v>3.7900000000000003E-2</v>
      </c>
      <c r="L739" s="849">
        <v>14</v>
      </c>
    </row>
    <row r="740" spans="1:12" s="1090" customFormat="1">
      <c r="A740" s="847">
        <v>44875</v>
      </c>
      <c r="B740" s="848" t="s">
        <v>3484</v>
      </c>
      <c r="C740" s="849">
        <v>83</v>
      </c>
      <c r="D740" s="847">
        <v>44958</v>
      </c>
      <c r="E740" s="850">
        <v>30</v>
      </c>
      <c r="F740" s="850">
        <v>66.793099999999995</v>
      </c>
      <c r="G740" s="850">
        <v>30</v>
      </c>
      <c r="H740" s="850">
        <v>0</v>
      </c>
      <c r="I740" s="851">
        <v>4.1500000000000002E-2</v>
      </c>
      <c r="J740" s="851">
        <v>4.2000000000000003E-2</v>
      </c>
      <c r="K740" s="851">
        <v>4.19E-2</v>
      </c>
      <c r="L740" s="849">
        <v>13</v>
      </c>
    </row>
    <row r="741" spans="1:12" s="1090" customFormat="1">
      <c r="A741" s="847">
        <v>44876</v>
      </c>
      <c r="B741" s="848" t="s">
        <v>3485</v>
      </c>
      <c r="C741" s="849">
        <v>167</v>
      </c>
      <c r="D741" s="847">
        <v>45043</v>
      </c>
      <c r="E741" s="850">
        <v>30</v>
      </c>
      <c r="F741" s="850">
        <v>48.932299999999998</v>
      </c>
      <c r="G741" s="850">
        <v>30</v>
      </c>
      <c r="H741" s="850">
        <v>0</v>
      </c>
      <c r="I741" s="851">
        <v>4.3999999999999997E-2</v>
      </c>
      <c r="J741" s="851">
        <v>4.4200000000000003E-2</v>
      </c>
      <c r="K741" s="851">
        <v>4.41E-2</v>
      </c>
      <c r="L741" s="849">
        <v>9</v>
      </c>
    </row>
    <row r="742" spans="1:12" s="1090" customFormat="1">
      <c r="A742" s="847">
        <v>44876</v>
      </c>
      <c r="B742" s="848" t="s">
        <v>3486</v>
      </c>
      <c r="C742" s="849">
        <v>251</v>
      </c>
      <c r="D742" s="847">
        <v>45127</v>
      </c>
      <c r="E742" s="850">
        <v>30</v>
      </c>
      <c r="F742" s="850">
        <v>54.165300000000002</v>
      </c>
      <c r="G742" s="850">
        <v>30</v>
      </c>
      <c r="H742" s="850">
        <v>0</v>
      </c>
      <c r="I742" s="851">
        <v>4.7500000000000001E-2</v>
      </c>
      <c r="J742" s="851">
        <v>4.8000000000000001E-2</v>
      </c>
      <c r="K742" s="851">
        <v>4.7800000000000002E-2</v>
      </c>
      <c r="L742" s="849">
        <v>10</v>
      </c>
    </row>
    <row r="743" spans="1:12" s="1090" customFormat="1">
      <c r="A743" s="847">
        <v>44881</v>
      </c>
      <c r="B743" s="848" t="s">
        <v>3487</v>
      </c>
      <c r="C743" s="849">
        <v>28</v>
      </c>
      <c r="D743" s="847">
        <v>44909</v>
      </c>
      <c r="E743" s="850">
        <v>30</v>
      </c>
      <c r="F743" s="850">
        <v>59.017800000000001</v>
      </c>
      <c r="G743" s="850">
        <v>30</v>
      </c>
      <c r="H743" s="850">
        <v>0</v>
      </c>
      <c r="I743" s="851">
        <v>3.4000000000000002E-2</v>
      </c>
      <c r="J743" s="851">
        <v>3.7999999999999999E-2</v>
      </c>
      <c r="K743" s="851">
        <v>3.5900000000000001E-2</v>
      </c>
      <c r="L743" s="849">
        <v>10</v>
      </c>
    </row>
    <row r="744" spans="1:12" s="1090" customFormat="1">
      <c r="A744" s="847">
        <v>44881</v>
      </c>
      <c r="B744" s="848" t="s">
        <v>3488</v>
      </c>
      <c r="C744" s="849">
        <v>84</v>
      </c>
      <c r="D744" s="847">
        <v>44965</v>
      </c>
      <c r="E744" s="850">
        <v>30</v>
      </c>
      <c r="F744" s="850">
        <v>68.771000000000001</v>
      </c>
      <c r="G744" s="850">
        <v>30</v>
      </c>
      <c r="H744" s="850">
        <v>0</v>
      </c>
      <c r="I744" s="851">
        <v>3.9800000000000002E-2</v>
      </c>
      <c r="J744" s="851">
        <v>4.2000000000000003E-2</v>
      </c>
      <c r="K744" s="851">
        <v>4.0500000000000001E-2</v>
      </c>
      <c r="L744" s="849">
        <v>12</v>
      </c>
    </row>
    <row r="745" spans="1:12" s="1090" customFormat="1">
      <c r="A745" s="847">
        <v>44882</v>
      </c>
      <c r="B745" s="848" t="s">
        <v>3489</v>
      </c>
      <c r="C745" s="849">
        <v>168</v>
      </c>
      <c r="D745" s="847">
        <v>45050</v>
      </c>
      <c r="E745" s="850">
        <v>30</v>
      </c>
      <c r="F745" s="850">
        <v>40.367400000000004</v>
      </c>
      <c r="G745" s="850">
        <v>30</v>
      </c>
      <c r="H745" s="850">
        <v>0</v>
      </c>
      <c r="I745" s="851">
        <v>4.1700000000000001E-2</v>
      </c>
      <c r="J745" s="851">
        <v>4.2500000000000003E-2</v>
      </c>
      <c r="K745" s="851">
        <v>4.2299999999999997E-2</v>
      </c>
      <c r="L745" s="849">
        <v>7</v>
      </c>
    </row>
    <row r="746" spans="1:12" s="1090" customFormat="1">
      <c r="A746" s="847">
        <v>44882</v>
      </c>
      <c r="B746" s="848" t="s">
        <v>3490</v>
      </c>
      <c r="C746" s="849">
        <v>252</v>
      </c>
      <c r="D746" s="847">
        <v>45134</v>
      </c>
      <c r="E746" s="850">
        <v>30</v>
      </c>
      <c r="F746" s="850">
        <v>40.5807</v>
      </c>
      <c r="G746" s="850">
        <v>30</v>
      </c>
      <c r="H746" s="850">
        <v>0</v>
      </c>
      <c r="I746" s="851">
        <v>4.4499999999999998E-2</v>
      </c>
      <c r="J746" s="851">
        <v>4.7500000000000001E-2</v>
      </c>
      <c r="K746" s="851">
        <v>4.6699999999999998E-2</v>
      </c>
      <c r="L746" s="849">
        <v>7</v>
      </c>
    </row>
    <row r="747" spans="1:12" s="1090" customFormat="1">
      <c r="A747" s="847">
        <v>44888</v>
      </c>
      <c r="B747" s="848" t="s">
        <v>3491</v>
      </c>
      <c r="C747" s="849">
        <v>28</v>
      </c>
      <c r="D747" s="847">
        <v>44916</v>
      </c>
      <c r="E747" s="850">
        <v>30</v>
      </c>
      <c r="F747" s="850">
        <v>52.811300000000003</v>
      </c>
      <c r="G747" s="850">
        <v>30</v>
      </c>
      <c r="H747" s="850">
        <v>0</v>
      </c>
      <c r="I747" s="851">
        <v>3.4000000000000002E-2</v>
      </c>
      <c r="J747" s="851">
        <v>3.5000000000000003E-2</v>
      </c>
      <c r="K747" s="851">
        <v>3.4599999999999999E-2</v>
      </c>
      <c r="L747" s="849">
        <v>8</v>
      </c>
    </row>
    <row r="748" spans="1:12" s="1090" customFormat="1">
      <c r="A748" s="847">
        <v>44888</v>
      </c>
      <c r="B748" s="848" t="s">
        <v>3492</v>
      </c>
      <c r="C748" s="849">
        <v>84</v>
      </c>
      <c r="D748" s="847">
        <v>44972</v>
      </c>
      <c r="E748" s="850">
        <v>30</v>
      </c>
      <c r="F748" s="850">
        <v>44.901400000000002</v>
      </c>
      <c r="G748" s="850">
        <v>30</v>
      </c>
      <c r="H748" s="850">
        <v>0</v>
      </c>
      <c r="I748" s="851">
        <v>3.8699999999999998E-2</v>
      </c>
      <c r="J748" s="851">
        <v>4.1000000000000002E-2</v>
      </c>
      <c r="K748" s="851">
        <v>3.9899999999999998E-2</v>
      </c>
      <c r="L748" s="849">
        <v>7</v>
      </c>
    </row>
    <row r="749" spans="1:12" s="1090" customFormat="1">
      <c r="A749" s="847">
        <v>44889</v>
      </c>
      <c r="B749" s="848" t="s">
        <v>3493</v>
      </c>
      <c r="C749" s="849">
        <v>168</v>
      </c>
      <c r="D749" s="847">
        <v>45057</v>
      </c>
      <c r="E749" s="850">
        <v>30</v>
      </c>
      <c r="F749" s="850">
        <v>37.841799999999999</v>
      </c>
      <c r="G749" s="850">
        <v>30</v>
      </c>
      <c r="H749" s="850">
        <v>0</v>
      </c>
      <c r="I749" s="851">
        <v>4.1000000000000002E-2</v>
      </c>
      <c r="J749" s="851">
        <v>4.2000000000000003E-2</v>
      </c>
      <c r="K749" s="851">
        <v>4.1200000000000001E-2</v>
      </c>
      <c r="L749" s="849">
        <v>6</v>
      </c>
    </row>
    <row r="750" spans="1:12" s="1090" customFormat="1">
      <c r="A750" s="847">
        <v>44889</v>
      </c>
      <c r="B750" s="848" t="s">
        <v>3494</v>
      </c>
      <c r="C750" s="849">
        <v>252</v>
      </c>
      <c r="D750" s="847">
        <v>45141</v>
      </c>
      <c r="E750" s="850">
        <v>30</v>
      </c>
      <c r="F750" s="850">
        <v>49.133600000000001</v>
      </c>
      <c r="G750" s="850">
        <v>30</v>
      </c>
      <c r="H750" s="850">
        <v>0</v>
      </c>
      <c r="I750" s="851">
        <v>4.4699999999999997E-2</v>
      </c>
      <c r="J750" s="851">
        <v>4.5999999999999999E-2</v>
      </c>
      <c r="K750" s="851">
        <v>4.5699999999999998E-2</v>
      </c>
      <c r="L750" s="849">
        <v>8</v>
      </c>
    </row>
    <row r="751" spans="1:12" s="1090" customFormat="1">
      <c r="A751" s="847">
        <v>44895</v>
      </c>
      <c r="B751" s="848" t="s">
        <v>3495</v>
      </c>
      <c r="C751" s="849">
        <v>28</v>
      </c>
      <c r="D751" s="847">
        <v>44923</v>
      </c>
      <c r="E751" s="850">
        <v>30</v>
      </c>
      <c r="F751" s="850">
        <v>49.503700000000002</v>
      </c>
      <c r="G751" s="850">
        <v>30</v>
      </c>
      <c r="H751" s="850">
        <v>0</v>
      </c>
      <c r="I751" s="851">
        <v>3.2399999999999998E-2</v>
      </c>
      <c r="J751" s="851">
        <v>3.5000000000000003E-2</v>
      </c>
      <c r="K751" s="851">
        <v>3.4200000000000001E-2</v>
      </c>
      <c r="L751" s="849">
        <v>9</v>
      </c>
    </row>
    <row r="752" spans="1:12" s="1090" customFormat="1">
      <c r="A752" s="847">
        <v>44895</v>
      </c>
      <c r="B752" s="848" t="s">
        <v>3496</v>
      </c>
      <c r="C752" s="849">
        <v>84</v>
      </c>
      <c r="D752" s="847">
        <v>44979</v>
      </c>
      <c r="E752" s="850">
        <v>30</v>
      </c>
      <c r="F752" s="850">
        <v>34.538600000000002</v>
      </c>
      <c r="G752" s="850">
        <v>30</v>
      </c>
      <c r="H752" s="850">
        <v>0</v>
      </c>
      <c r="I752" s="851">
        <v>3.6799999999999999E-2</v>
      </c>
      <c r="J752" s="851">
        <v>0.05</v>
      </c>
      <c r="K752" s="851">
        <v>4.02E-2</v>
      </c>
      <c r="L752" s="849">
        <v>6</v>
      </c>
    </row>
    <row r="753" spans="1:12" s="1090" customFormat="1">
      <c r="A753" s="847">
        <v>44896</v>
      </c>
      <c r="B753" s="848" t="s">
        <v>3542</v>
      </c>
      <c r="C753" s="849">
        <v>168</v>
      </c>
      <c r="D753" s="847">
        <v>45064</v>
      </c>
      <c r="E753" s="850">
        <v>30</v>
      </c>
      <c r="F753" s="850">
        <v>44.740200000000002</v>
      </c>
      <c r="G753" s="850">
        <v>30</v>
      </c>
      <c r="H753" s="850">
        <v>0</v>
      </c>
      <c r="I753" s="851">
        <v>4.4900000000000002E-2</v>
      </c>
      <c r="J753" s="851">
        <v>0.05</v>
      </c>
      <c r="K753" s="851">
        <v>4.8300000000000003E-2</v>
      </c>
      <c r="L753" s="849">
        <v>11</v>
      </c>
    </row>
    <row r="754" spans="1:12" s="1090" customFormat="1">
      <c r="A754" s="847">
        <v>44896</v>
      </c>
      <c r="B754" s="848" t="s">
        <v>3543</v>
      </c>
      <c r="C754" s="849">
        <v>252</v>
      </c>
      <c r="D754" s="847">
        <v>45148</v>
      </c>
      <c r="E754" s="850">
        <v>30</v>
      </c>
      <c r="F754" s="850">
        <v>35.761499999999998</v>
      </c>
      <c r="G754" s="850">
        <v>30</v>
      </c>
      <c r="H754" s="850">
        <v>0</v>
      </c>
      <c r="I754" s="851">
        <v>5.2900000000000003E-2</v>
      </c>
      <c r="J754" s="851">
        <v>0.06</v>
      </c>
      <c r="K754" s="851">
        <v>5.5E-2</v>
      </c>
      <c r="L754" s="849">
        <v>8</v>
      </c>
    </row>
    <row r="755" spans="1:12" s="1090" customFormat="1">
      <c r="A755" s="847">
        <v>44902</v>
      </c>
      <c r="B755" s="848" t="s">
        <v>3544</v>
      </c>
      <c r="C755" s="849">
        <v>28</v>
      </c>
      <c r="D755" s="847">
        <v>44930</v>
      </c>
      <c r="E755" s="850">
        <v>30</v>
      </c>
      <c r="F755" s="850">
        <v>41.514600000000002</v>
      </c>
      <c r="G755" s="850">
        <v>30</v>
      </c>
      <c r="H755" s="850">
        <v>0</v>
      </c>
      <c r="I755" s="851">
        <v>3.3799999999999997E-2</v>
      </c>
      <c r="J755" s="851">
        <v>4.3999999999999997E-2</v>
      </c>
      <c r="K755" s="851">
        <v>3.78E-2</v>
      </c>
      <c r="L755" s="849">
        <v>8</v>
      </c>
    </row>
    <row r="756" spans="1:12" s="1090" customFormat="1">
      <c r="A756" s="847">
        <v>44902</v>
      </c>
      <c r="B756" s="848" t="s">
        <v>3545</v>
      </c>
      <c r="C756" s="849">
        <v>84</v>
      </c>
      <c r="D756" s="847">
        <v>44986</v>
      </c>
      <c r="E756" s="850">
        <v>30</v>
      </c>
      <c r="F756" s="850">
        <v>38.034700000000001</v>
      </c>
      <c r="G756" s="850">
        <v>30</v>
      </c>
      <c r="H756" s="850">
        <v>0</v>
      </c>
      <c r="I756" s="851">
        <v>3.8800000000000001E-2</v>
      </c>
      <c r="J756" s="851">
        <v>4.9000000000000002E-2</v>
      </c>
      <c r="K756" s="851">
        <v>4.5100000000000001E-2</v>
      </c>
      <c r="L756" s="849">
        <v>8</v>
      </c>
    </row>
    <row r="757" spans="1:12" s="1090" customFormat="1">
      <c r="A757" s="847">
        <v>44903</v>
      </c>
      <c r="B757" s="848" t="s">
        <v>3546</v>
      </c>
      <c r="C757" s="849">
        <v>168</v>
      </c>
      <c r="D757" s="847">
        <v>45071</v>
      </c>
      <c r="E757" s="850">
        <v>30</v>
      </c>
      <c r="F757" s="850">
        <v>42.512700000000002</v>
      </c>
      <c r="G757" s="850">
        <v>30</v>
      </c>
      <c r="H757" s="850">
        <v>0</v>
      </c>
      <c r="I757" s="851">
        <v>0.05</v>
      </c>
      <c r="J757" s="851">
        <v>5.5E-2</v>
      </c>
      <c r="K757" s="851">
        <v>5.28E-2</v>
      </c>
      <c r="L757" s="849">
        <v>8</v>
      </c>
    </row>
    <row r="758" spans="1:12" s="1090" customFormat="1">
      <c r="A758" s="847">
        <v>44903</v>
      </c>
      <c r="B758" s="848" t="s">
        <v>3547</v>
      </c>
      <c r="C758" s="849">
        <v>252</v>
      </c>
      <c r="D758" s="847">
        <v>45155</v>
      </c>
      <c r="E758" s="850">
        <v>30</v>
      </c>
      <c r="F758" s="850">
        <v>37.080100000000002</v>
      </c>
      <c r="G758" s="850">
        <v>30</v>
      </c>
      <c r="H758" s="850">
        <v>0</v>
      </c>
      <c r="I758" s="851">
        <v>5.6500000000000002E-2</v>
      </c>
      <c r="J758" s="851">
        <v>0.06</v>
      </c>
      <c r="K758" s="851">
        <v>5.9400000000000001E-2</v>
      </c>
      <c r="L758" s="849">
        <v>8</v>
      </c>
    </row>
    <row r="759" spans="1:12" s="1090" customFormat="1">
      <c r="A759" s="847">
        <v>44909</v>
      </c>
      <c r="B759" s="848" t="s">
        <v>3548</v>
      </c>
      <c r="C759" s="849">
        <v>28</v>
      </c>
      <c r="D759" s="847">
        <v>44937</v>
      </c>
      <c r="E759" s="850">
        <v>30</v>
      </c>
      <c r="F759" s="850">
        <v>40.514000000000003</v>
      </c>
      <c r="G759" s="850">
        <v>30</v>
      </c>
      <c r="H759" s="850">
        <v>0</v>
      </c>
      <c r="I759" s="851">
        <v>3.85E-2</v>
      </c>
      <c r="J759" s="851">
        <v>4.9500000000000002E-2</v>
      </c>
      <c r="K759" s="851">
        <v>4.1200000000000001E-2</v>
      </c>
      <c r="L759" s="849">
        <v>7</v>
      </c>
    </row>
    <row r="760" spans="1:12" s="1090" customFormat="1">
      <c r="A760" s="847">
        <v>44909</v>
      </c>
      <c r="B760" s="848" t="s">
        <v>3549</v>
      </c>
      <c r="C760" s="849">
        <v>84</v>
      </c>
      <c r="D760" s="847">
        <v>44993</v>
      </c>
      <c r="E760" s="850">
        <v>30</v>
      </c>
      <c r="F760" s="850">
        <v>26.021100000000001</v>
      </c>
      <c r="G760" s="850">
        <v>26.021100000000001</v>
      </c>
      <c r="H760" s="850">
        <v>0</v>
      </c>
      <c r="I760" s="851">
        <v>4.5999999999999999E-2</v>
      </c>
      <c r="J760" s="851">
        <v>5.8500000000000003E-2</v>
      </c>
      <c r="K760" s="851">
        <v>5.1799999999999999E-2</v>
      </c>
      <c r="L760" s="849">
        <v>6</v>
      </c>
    </row>
    <row r="761" spans="1:12" s="1090" customFormat="1">
      <c r="A761" s="847">
        <v>44910</v>
      </c>
      <c r="B761" s="848" t="s">
        <v>3550</v>
      </c>
      <c r="C761" s="849">
        <v>168</v>
      </c>
      <c r="D761" s="847">
        <v>45078</v>
      </c>
      <c r="E761" s="850">
        <v>30</v>
      </c>
      <c r="F761" s="850">
        <v>43.1678</v>
      </c>
      <c r="G761" s="850">
        <v>30</v>
      </c>
      <c r="H761" s="850">
        <v>0</v>
      </c>
      <c r="I761" s="851">
        <v>5.5E-2</v>
      </c>
      <c r="J761" s="851">
        <v>6.5500000000000003E-2</v>
      </c>
      <c r="K761" s="851">
        <v>6.1400000000000003E-2</v>
      </c>
      <c r="L761" s="849">
        <v>10</v>
      </c>
    </row>
    <row r="762" spans="1:12" s="1090" customFormat="1">
      <c r="A762" s="847">
        <v>44910</v>
      </c>
      <c r="B762" s="848" t="s">
        <v>3551</v>
      </c>
      <c r="C762" s="849">
        <v>252</v>
      </c>
      <c r="D762" s="847">
        <v>45162</v>
      </c>
      <c r="E762" s="850">
        <v>30</v>
      </c>
      <c r="F762" s="850">
        <v>38.567300000000003</v>
      </c>
      <c r="G762" s="850">
        <v>30</v>
      </c>
      <c r="H762" s="850">
        <v>0</v>
      </c>
      <c r="I762" s="851">
        <v>0.06</v>
      </c>
      <c r="J762" s="851">
        <v>7.3499999999999996E-2</v>
      </c>
      <c r="K762" s="851">
        <v>6.6900000000000001E-2</v>
      </c>
      <c r="L762" s="849">
        <v>9</v>
      </c>
    </row>
    <row r="763" spans="1:12" s="1090" customFormat="1">
      <c r="A763" s="847">
        <v>44916</v>
      </c>
      <c r="B763" s="848" t="s">
        <v>3552</v>
      </c>
      <c r="C763" s="849">
        <v>28</v>
      </c>
      <c r="D763" s="847">
        <v>44944</v>
      </c>
      <c r="E763" s="850">
        <v>30</v>
      </c>
      <c r="F763" s="850">
        <v>27.417000000000002</v>
      </c>
      <c r="G763" s="850">
        <v>27.417000000000002</v>
      </c>
      <c r="H763" s="850">
        <v>0</v>
      </c>
      <c r="I763" s="851">
        <v>5.2499999999999998E-2</v>
      </c>
      <c r="J763" s="851">
        <v>7.4800000000000005E-2</v>
      </c>
      <c r="K763" s="851">
        <v>6.1699999999999998E-2</v>
      </c>
      <c r="L763" s="849">
        <v>8</v>
      </c>
    </row>
    <row r="764" spans="1:12" s="1090" customFormat="1">
      <c r="A764" s="847">
        <v>44916</v>
      </c>
      <c r="B764" s="848" t="s">
        <v>3553</v>
      </c>
      <c r="C764" s="849">
        <v>84</v>
      </c>
      <c r="D764" s="847">
        <v>45000</v>
      </c>
      <c r="E764" s="850">
        <v>30</v>
      </c>
      <c r="F764" s="850">
        <v>25.117599999999999</v>
      </c>
      <c r="G764" s="850">
        <v>25.117599999999999</v>
      </c>
      <c r="H764" s="850">
        <v>0</v>
      </c>
      <c r="I764" s="851">
        <v>3.5499999999999997E-2</v>
      </c>
      <c r="J764" s="851">
        <v>7.5999999999999998E-2</v>
      </c>
      <c r="K764" s="851">
        <v>6.2399999999999997E-2</v>
      </c>
      <c r="L764" s="849">
        <v>5</v>
      </c>
    </row>
    <row r="765" spans="1:12" s="1090" customFormat="1">
      <c r="A765" s="847">
        <v>44917</v>
      </c>
      <c r="B765" s="848" t="s">
        <v>3554</v>
      </c>
      <c r="C765" s="849">
        <v>168</v>
      </c>
      <c r="D765" s="847">
        <v>45085</v>
      </c>
      <c r="E765" s="850">
        <v>30</v>
      </c>
      <c r="F765" s="850">
        <v>39.658999999999999</v>
      </c>
      <c r="G765" s="850">
        <v>30</v>
      </c>
      <c r="H765" s="850">
        <v>0</v>
      </c>
      <c r="I765" s="851">
        <v>7.4999999999999997E-2</v>
      </c>
      <c r="J765" s="851">
        <v>8.5000000000000006E-2</v>
      </c>
      <c r="K765" s="851">
        <v>0.08</v>
      </c>
      <c r="L765" s="849">
        <v>8</v>
      </c>
    </row>
    <row r="766" spans="1:12" s="1090" customFormat="1">
      <c r="A766" s="847">
        <v>44917</v>
      </c>
      <c r="B766" s="848" t="s">
        <v>3555</v>
      </c>
      <c r="C766" s="849">
        <v>252</v>
      </c>
      <c r="D766" s="847">
        <v>45169</v>
      </c>
      <c r="E766" s="850">
        <v>30</v>
      </c>
      <c r="F766" s="850">
        <v>37.261400000000002</v>
      </c>
      <c r="G766" s="850">
        <v>30</v>
      </c>
      <c r="H766" s="850">
        <v>0</v>
      </c>
      <c r="I766" s="851">
        <v>0.08</v>
      </c>
      <c r="J766" s="851">
        <v>0.09</v>
      </c>
      <c r="K766" s="851">
        <v>8.4400000000000003E-2</v>
      </c>
      <c r="L766" s="849">
        <v>7</v>
      </c>
    </row>
    <row r="767" spans="1:12" s="1090" customFormat="1">
      <c r="A767" s="1552">
        <v>2023</v>
      </c>
      <c r="B767" s="1551"/>
      <c r="C767" s="849"/>
      <c r="D767" s="847"/>
      <c r="E767" s="850"/>
      <c r="F767" s="850"/>
      <c r="G767" s="850"/>
      <c r="H767" s="850"/>
      <c r="I767" s="851"/>
      <c r="J767" s="851"/>
      <c r="K767" s="851"/>
      <c r="L767" s="849"/>
    </row>
    <row r="768" spans="1:12" s="1090" customFormat="1">
      <c r="A768" s="847">
        <v>44937</v>
      </c>
      <c r="B768" s="848" t="s">
        <v>3606</v>
      </c>
      <c r="C768" s="849">
        <v>28</v>
      </c>
      <c r="D768" s="847">
        <v>44965</v>
      </c>
      <c r="E768" s="850">
        <v>45</v>
      </c>
      <c r="F768" s="850">
        <v>70.56</v>
      </c>
      <c r="G768" s="850">
        <v>45</v>
      </c>
      <c r="H768" s="850">
        <v>0</v>
      </c>
      <c r="I768" s="851">
        <v>5.5E-2</v>
      </c>
      <c r="J768" s="851">
        <v>6.8000000000000005E-2</v>
      </c>
      <c r="K768" s="851">
        <v>6.3212222222222225E-2</v>
      </c>
      <c r="L768" s="849">
        <v>10</v>
      </c>
    </row>
    <row r="769" spans="1:12" s="1090" customFormat="1">
      <c r="A769" s="847">
        <v>44937</v>
      </c>
      <c r="B769" s="848" t="s">
        <v>3607</v>
      </c>
      <c r="C769" s="849">
        <v>84</v>
      </c>
      <c r="D769" s="847">
        <v>45021</v>
      </c>
      <c r="E769" s="850">
        <v>45</v>
      </c>
      <c r="F769" s="850">
        <v>53.26</v>
      </c>
      <c r="G769" s="850">
        <v>45</v>
      </c>
      <c r="H769" s="850">
        <v>0</v>
      </c>
      <c r="I769" s="851">
        <v>6.0999999999999999E-2</v>
      </c>
      <c r="J769" s="851">
        <v>7.6999999999999999E-2</v>
      </c>
      <c r="K769" s="851">
        <v>7.3828444444444447E-2</v>
      </c>
      <c r="L769" s="849">
        <v>7</v>
      </c>
    </row>
    <row r="770" spans="1:12" s="1090" customFormat="1">
      <c r="A770" s="847">
        <v>44938</v>
      </c>
      <c r="B770" s="848" t="s">
        <v>3608</v>
      </c>
      <c r="C770" s="849">
        <v>168</v>
      </c>
      <c r="D770" s="847">
        <v>45106</v>
      </c>
      <c r="E770" s="850">
        <v>15</v>
      </c>
      <c r="F770" s="850">
        <v>23.19</v>
      </c>
      <c r="G770" s="850">
        <v>15</v>
      </c>
      <c r="H770" s="850">
        <v>0</v>
      </c>
      <c r="I770" s="851">
        <v>7.6499999999999999E-2</v>
      </c>
      <c r="J770" s="851">
        <v>8.4000000000000005E-2</v>
      </c>
      <c r="K770" s="851">
        <v>8.1600000000000006E-2</v>
      </c>
      <c r="L770" s="849">
        <v>13</v>
      </c>
    </row>
    <row r="771" spans="1:12" s="1090" customFormat="1">
      <c r="A771" s="847">
        <v>44938</v>
      </c>
      <c r="B771" s="848" t="s">
        <v>3609</v>
      </c>
      <c r="C771" s="849">
        <v>252</v>
      </c>
      <c r="D771" s="847">
        <v>45190</v>
      </c>
      <c r="E771" s="850">
        <v>15</v>
      </c>
      <c r="F771" s="850">
        <v>19.89</v>
      </c>
      <c r="G771" s="850">
        <v>15</v>
      </c>
      <c r="H771" s="850">
        <v>0</v>
      </c>
      <c r="I771" s="851">
        <v>0.08</v>
      </c>
      <c r="J771" s="851">
        <v>9.1999999999999998E-2</v>
      </c>
      <c r="K771" s="851">
        <v>8.9099999999999999E-2</v>
      </c>
      <c r="L771" s="849">
        <v>12</v>
      </c>
    </row>
    <row r="772" spans="1:12" s="1090" customFormat="1">
      <c r="A772" s="847">
        <v>44944</v>
      </c>
      <c r="B772" s="848" t="s">
        <v>3610</v>
      </c>
      <c r="C772" s="849">
        <v>28</v>
      </c>
      <c r="D772" s="847">
        <v>44972</v>
      </c>
      <c r="E772" s="850">
        <v>45</v>
      </c>
      <c r="F772" s="850">
        <v>54.37</v>
      </c>
      <c r="G772" s="850">
        <v>45</v>
      </c>
      <c r="H772" s="850">
        <v>0</v>
      </c>
      <c r="I772" s="851">
        <v>6.3E-2</v>
      </c>
      <c r="J772" s="851">
        <v>6.9900000000000004E-2</v>
      </c>
      <c r="K772" s="851">
        <v>6.7000000000000004E-2</v>
      </c>
      <c r="L772" s="849">
        <v>10</v>
      </c>
    </row>
    <row r="773" spans="1:12" s="1090" customFormat="1">
      <c r="A773" s="847">
        <v>44944</v>
      </c>
      <c r="B773" s="848" t="s">
        <v>3611</v>
      </c>
      <c r="C773" s="849">
        <v>84</v>
      </c>
      <c r="D773" s="847">
        <v>45028</v>
      </c>
      <c r="E773" s="850">
        <v>45</v>
      </c>
      <c r="F773" s="850">
        <v>59.08</v>
      </c>
      <c r="G773" s="850">
        <v>45</v>
      </c>
      <c r="H773" s="850">
        <v>0</v>
      </c>
      <c r="I773" s="851">
        <v>7.4899999999999994E-2</v>
      </c>
      <c r="J773" s="851">
        <v>7.8899999999999998E-2</v>
      </c>
      <c r="K773" s="851">
        <v>7.6899999999999996E-2</v>
      </c>
      <c r="L773" s="849">
        <v>11</v>
      </c>
    </row>
    <row r="774" spans="1:12" s="1090" customFormat="1">
      <c r="A774" s="847">
        <v>44945</v>
      </c>
      <c r="B774" s="848" t="s">
        <v>3612</v>
      </c>
      <c r="C774" s="849">
        <v>168</v>
      </c>
      <c r="D774" s="847">
        <v>45113</v>
      </c>
      <c r="E774" s="850">
        <v>15</v>
      </c>
      <c r="F774" s="850">
        <v>18</v>
      </c>
      <c r="G774" s="850">
        <v>15</v>
      </c>
      <c r="H774" s="850">
        <v>0</v>
      </c>
      <c r="I774" s="851">
        <v>7.8E-2</v>
      </c>
      <c r="J774" s="851">
        <v>8.4500000000000006E-2</v>
      </c>
      <c r="K774" s="851">
        <v>8.2199999999999995E-2</v>
      </c>
      <c r="L774" s="849">
        <v>6</v>
      </c>
    </row>
    <row r="775" spans="1:12" s="1090" customFormat="1">
      <c r="A775" s="847">
        <v>44945</v>
      </c>
      <c r="B775" s="848" t="s">
        <v>3613</v>
      </c>
      <c r="C775" s="849">
        <v>252</v>
      </c>
      <c r="D775" s="847">
        <v>45197</v>
      </c>
      <c r="E775" s="850">
        <v>15</v>
      </c>
      <c r="F775" s="850">
        <v>20.32</v>
      </c>
      <c r="G775" s="850">
        <v>15</v>
      </c>
      <c r="H775" s="850">
        <v>0</v>
      </c>
      <c r="I775" s="851">
        <v>8.3000000000000004E-2</v>
      </c>
      <c r="J775" s="851">
        <v>9.2499999999999999E-2</v>
      </c>
      <c r="K775" s="851">
        <v>8.9399999999999993E-2</v>
      </c>
      <c r="L775" s="849">
        <v>8</v>
      </c>
    </row>
    <row r="776" spans="1:12" s="1090" customFormat="1">
      <c r="A776" s="847">
        <v>44951</v>
      </c>
      <c r="B776" s="848" t="s">
        <v>3614</v>
      </c>
      <c r="C776" s="849">
        <v>28</v>
      </c>
      <c r="D776" s="847">
        <v>44979</v>
      </c>
      <c r="E776" s="850">
        <v>45</v>
      </c>
      <c r="F776" s="850">
        <v>63.04</v>
      </c>
      <c r="G776" s="850">
        <v>45</v>
      </c>
      <c r="H776" s="850">
        <v>0</v>
      </c>
      <c r="I776" s="851">
        <v>6.3E-2</v>
      </c>
      <c r="J776" s="851">
        <v>6.9800000000000001E-2</v>
      </c>
      <c r="K776" s="851">
        <v>6.7100000000000007E-2</v>
      </c>
      <c r="L776" s="849">
        <v>9</v>
      </c>
    </row>
    <row r="777" spans="1:12" s="1090" customFormat="1">
      <c r="A777" s="847">
        <v>44951</v>
      </c>
      <c r="B777" s="848" t="s">
        <v>3615</v>
      </c>
      <c r="C777" s="849">
        <v>84</v>
      </c>
      <c r="D777" s="847">
        <v>45035</v>
      </c>
      <c r="E777" s="850">
        <v>45</v>
      </c>
      <c r="F777" s="850">
        <v>56.12</v>
      </c>
      <c r="G777" s="850">
        <v>45</v>
      </c>
      <c r="H777" s="850">
        <v>0</v>
      </c>
      <c r="I777" s="851">
        <v>7.7899999999999997E-2</v>
      </c>
      <c r="J777" s="851">
        <v>8.1000000000000003E-2</v>
      </c>
      <c r="K777" s="851">
        <v>7.9500000000000001E-2</v>
      </c>
      <c r="L777" s="849">
        <v>9</v>
      </c>
    </row>
    <row r="778" spans="1:12" s="1090" customFormat="1">
      <c r="A778" s="847">
        <v>44952</v>
      </c>
      <c r="B778" s="848" t="s">
        <v>3616</v>
      </c>
      <c r="C778" s="849">
        <v>168</v>
      </c>
      <c r="D778" s="847">
        <v>45120</v>
      </c>
      <c r="E778" s="850">
        <v>15</v>
      </c>
      <c r="F778" s="850">
        <v>18</v>
      </c>
      <c r="G778" s="850">
        <v>15</v>
      </c>
      <c r="H778" s="850">
        <v>0</v>
      </c>
      <c r="I778" s="851">
        <v>8.3900000000000002E-2</v>
      </c>
      <c r="J778" s="851">
        <v>8.7999999999999995E-2</v>
      </c>
      <c r="K778" s="851">
        <v>8.5699999999999998E-2</v>
      </c>
      <c r="L778" s="849">
        <v>6</v>
      </c>
    </row>
    <row r="779" spans="1:12" s="1090" customFormat="1">
      <c r="A779" s="847">
        <v>44952</v>
      </c>
      <c r="B779" s="848" t="s">
        <v>3617</v>
      </c>
      <c r="C779" s="849">
        <v>252</v>
      </c>
      <c r="D779" s="847">
        <v>45204</v>
      </c>
      <c r="E779" s="850">
        <v>15</v>
      </c>
      <c r="F779" s="850">
        <v>22.06</v>
      </c>
      <c r="G779" s="850">
        <v>15</v>
      </c>
      <c r="H779" s="850">
        <v>0</v>
      </c>
      <c r="I779" s="851">
        <v>9.0499999999999997E-2</v>
      </c>
      <c r="J779" s="851">
        <v>9.5899999999999999E-2</v>
      </c>
      <c r="K779" s="851">
        <v>9.2899999999999996E-2</v>
      </c>
      <c r="L779" s="849">
        <v>8</v>
      </c>
    </row>
    <row r="780" spans="1:12" s="1090" customFormat="1">
      <c r="A780" s="847">
        <v>45035</v>
      </c>
      <c r="B780" s="848" t="s">
        <v>3750</v>
      </c>
      <c r="C780" s="849">
        <v>28</v>
      </c>
      <c r="D780" s="847">
        <v>45063</v>
      </c>
      <c r="E780" s="850">
        <v>30</v>
      </c>
      <c r="F780" s="850">
        <v>34.840615999999997</v>
      </c>
      <c r="G780" s="850">
        <v>30</v>
      </c>
      <c r="H780" s="850">
        <v>0</v>
      </c>
      <c r="I780" s="851">
        <v>3.9899999999999998E-2</v>
      </c>
      <c r="J780" s="851">
        <v>7.0000000000000007E-2</v>
      </c>
      <c r="K780" s="851">
        <v>6.2399999999999997E-2</v>
      </c>
      <c r="L780" s="849">
        <v>14</v>
      </c>
    </row>
    <row r="781" spans="1:12" s="1090" customFormat="1">
      <c r="A781" s="847">
        <v>45035</v>
      </c>
      <c r="B781" s="848" t="s">
        <v>3751</v>
      </c>
      <c r="C781" s="849">
        <v>84</v>
      </c>
      <c r="D781" s="847">
        <v>45119</v>
      </c>
      <c r="E781" s="850">
        <v>30</v>
      </c>
      <c r="F781" s="850">
        <v>35.429493000000001</v>
      </c>
      <c r="G781" s="850">
        <v>30</v>
      </c>
      <c r="H781" s="850">
        <v>0</v>
      </c>
      <c r="I781" s="851">
        <v>4.9399999999999999E-2</v>
      </c>
      <c r="J781" s="851">
        <v>0.08</v>
      </c>
      <c r="K781" s="851">
        <v>6.9000000000000006E-2</v>
      </c>
      <c r="L781" s="849">
        <v>12</v>
      </c>
    </row>
    <row r="782" spans="1:12" s="1090" customFormat="1">
      <c r="A782" s="847">
        <v>45036</v>
      </c>
      <c r="B782" s="848" t="s">
        <v>3752</v>
      </c>
      <c r="C782" s="849">
        <v>168</v>
      </c>
      <c r="D782" s="847">
        <v>45204</v>
      </c>
      <c r="E782" s="850">
        <v>30</v>
      </c>
      <c r="F782" s="850">
        <v>36.808</v>
      </c>
      <c r="G782" s="850">
        <v>30</v>
      </c>
      <c r="H782" s="850">
        <v>0</v>
      </c>
      <c r="I782" s="851">
        <v>6.9900000000000004E-2</v>
      </c>
      <c r="J782" s="851">
        <v>8.3900000000000002E-2</v>
      </c>
      <c r="K782" s="851">
        <v>7.8E-2</v>
      </c>
      <c r="L782" s="849">
        <v>14</v>
      </c>
    </row>
    <row r="783" spans="1:12" s="1090" customFormat="1">
      <c r="A783" s="847">
        <v>45036</v>
      </c>
      <c r="B783" s="848" t="s">
        <v>3753</v>
      </c>
      <c r="C783" s="849">
        <v>252</v>
      </c>
      <c r="D783" s="847">
        <v>45288</v>
      </c>
      <c r="E783" s="850">
        <v>30</v>
      </c>
      <c r="F783" s="850">
        <v>34.21</v>
      </c>
      <c r="G783" s="850">
        <v>30</v>
      </c>
      <c r="H783" s="850">
        <v>0</v>
      </c>
      <c r="I783" s="851">
        <v>7.8E-2</v>
      </c>
      <c r="J783" s="851">
        <v>0.09</v>
      </c>
      <c r="K783" s="851">
        <v>8.4900000000000003E-2</v>
      </c>
      <c r="L783" s="849">
        <v>12</v>
      </c>
    </row>
    <row r="784" spans="1:12" s="1090" customFormat="1">
      <c r="A784" s="847">
        <v>45042</v>
      </c>
      <c r="B784" s="848" t="s">
        <v>3754</v>
      </c>
      <c r="C784" s="849">
        <v>28</v>
      </c>
      <c r="D784" s="847">
        <v>45070</v>
      </c>
      <c r="E784" s="850">
        <v>30</v>
      </c>
      <c r="F784" s="850">
        <v>37.169902</v>
      </c>
      <c r="G784" s="850">
        <v>30</v>
      </c>
      <c r="H784" s="850">
        <v>0</v>
      </c>
      <c r="I784" s="851">
        <v>5.9499999999999997E-2</v>
      </c>
      <c r="J784" s="851">
        <v>7.0000000000000007E-2</v>
      </c>
      <c r="K784" s="851">
        <v>6.6000000000000003E-2</v>
      </c>
      <c r="L784" s="849">
        <v>15</v>
      </c>
    </row>
    <row r="785" spans="1:12" s="1090" customFormat="1">
      <c r="A785" s="847">
        <v>45042</v>
      </c>
      <c r="B785" s="848" t="s">
        <v>3755</v>
      </c>
      <c r="C785" s="849">
        <v>84</v>
      </c>
      <c r="D785" s="847">
        <v>45126</v>
      </c>
      <c r="E785" s="850">
        <v>30</v>
      </c>
      <c r="F785" s="850">
        <v>38.781224999999999</v>
      </c>
      <c r="G785" s="850">
        <v>30</v>
      </c>
      <c r="H785" s="850">
        <v>0</v>
      </c>
      <c r="I785" s="851">
        <v>6.6699999999999995E-2</v>
      </c>
      <c r="J785" s="851">
        <v>7.7600000000000002E-2</v>
      </c>
      <c r="K785" s="851">
        <v>7.2700000000000001E-2</v>
      </c>
      <c r="L785" s="849">
        <v>14</v>
      </c>
    </row>
    <row r="786" spans="1:12" s="1090" customFormat="1">
      <c r="A786" s="847">
        <v>45043</v>
      </c>
      <c r="B786" s="848" t="s">
        <v>3756</v>
      </c>
      <c r="C786" s="849">
        <v>168</v>
      </c>
      <c r="D786" s="847">
        <v>45211</v>
      </c>
      <c r="E786" s="850">
        <v>30</v>
      </c>
      <c r="F786" s="850">
        <v>35.409999999999997</v>
      </c>
      <c r="G786" s="850">
        <v>30</v>
      </c>
      <c r="H786" s="850">
        <v>0</v>
      </c>
      <c r="I786" s="851">
        <v>7.5999999999999998E-2</v>
      </c>
      <c r="J786" s="851">
        <v>8.3699999999999997E-2</v>
      </c>
      <c r="K786" s="851">
        <v>8.0699999999999994E-2</v>
      </c>
      <c r="L786" s="849">
        <v>13</v>
      </c>
    </row>
    <row r="787" spans="1:12" s="1090" customFormat="1">
      <c r="A787" s="847">
        <v>45043</v>
      </c>
      <c r="B787" s="848" t="s">
        <v>3757</v>
      </c>
      <c r="C787" s="849">
        <v>252</v>
      </c>
      <c r="D787" s="847">
        <v>45295</v>
      </c>
      <c r="E787" s="850">
        <v>30</v>
      </c>
      <c r="F787" s="850">
        <v>36.628439</v>
      </c>
      <c r="G787" s="850">
        <v>30</v>
      </c>
      <c r="H787" s="850">
        <v>0</v>
      </c>
      <c r="I787" s="851">
        <v>8.3500000000000005E-2</v>
      </c>
      <c r="J787" s="851">
        <v>8.9800000000000005E-2</v>
      </c>
      <c r="K787" s="851">
        <v>8.77E-2</v>
      </c>
      <c r="L787" s="849">
        <v>14</v>
      </c>
    </row>
    <row r="788" spans="1:12" s="1090" customFormat="1">
      <c r="A788" s="847">
        <v>45049</v>
      </c>
      <c r="B788" s="848" t="s">
        <v>3830</v>
      </c>
      <c r="C788" s="849">
        <v>28</v>
      </c>
      <c r="D788" s="847">
        <v>45077</v>
      </c>
      <c r="E788" s="850">
        <v>30</v>
      </c>
      <c r="F788" s="850">
        <v>40.130000000000003</v>
      </c>
      <c r="G788" s="850">
        <v>30</v>
      </c>
      <c r="H788" s="850">
        <v>0</v>
      </c>
      <c r="I788" s="851">
        <v>6.1899999999999997E-2</v>
      </c>
      <c r="J788" s="851">
        <v>7.3999999999999996E-2</v>
      </c>
      <c r="K788" s="851">
        <v>6.8900000000000003E-2</v>
      </c>
      <c r="L788" s="849">
        <v>15</v>
      </c>
    </row>
    <row r="789" spans="1:12" s="1090" customFormat="1">
      <c r="A789" s="847">
        <v>45049</v>
      </c>
      <c r="B789" s="848" t="s">
        <v>3831</v>
      </c>
      <c r="C789" s="849">
        <v>84</v>
      </c>
      <c r="D789" s="847">
        <v>45133</v>
      </c>
      <c r="E789" s="850">
        <v>30</v>
      </c>
      <c r="F789" s="850">
        <v>41.72</v>
      </c>
      <c r="G789" s="850">
        <v>30</v>
      </c>
      <c r="H789" s="850">
        <v>0</v>
      </c>
      <c r="I789" s="851">
        <v>6.8900000000000003E-2</v>
      </c>
      <c r="J789" s="851">
        <v>7.7499999999999999E-2</v>
      </c>
      <c r="K789" s="851">
        <v>7.5200000000000003E-2</v>
      </c>
      <c r="L789" s="849">
        <v>17</v>
      </c>
    </row>
    <row r="790" spans="1:12" s="1090" customFormat="1">
      <c r="A790" s="847">
        <v>45050</v>
      </c>
      <c r="B790" s="848" t="s">
        <v>3832</v>
      </c>
      <c r="C790" s="849">
        <v>168</v>
      </c>
      <c r="D790" s="847">
        <v>45218</v>
      </c>
      <c r="E790" s="850">
        <v>30</v>
      </c>
      <c r="F790" s="850">
        <v>41.43</v>
      </c>
      <c r="G790" s="850">
        <v>30</v>
      </c>
      <c r="H790" s="850">
        <v>0</v>
      </c>
      <c r="I790" s="851">
        <v>7.7899999999999997E-2</v>
      </c>
      <c r="J790" s="851">
        <v>8.5800000000000001E-2</v>
      </c>
      <c r="K790" s="851">
        <v>8.2600000000000007E-2</v>
      </c>
      <c r="L790" s="849">
        <v>15</v>
      </c>
    </row>
    <row r="791" spans="1:12" s="1090" customFormat="1">
      <c r="A791" s="847">
        <v>45050</v>
      </c>
      <c r="B791" s="848" t="s">
        <v>3833</v>
      </c>
      <c r="C791" s="849">
        <v>252</v>
      </c>
      <c r="D791" s="847">
        <v>45302</v>
      </c>
      <c r="E791" s="850">
        <v>30</v>
      </c>
      <c r="F791" s="850">
        <v>38.049999999999997</v>
      </c>
      <c r="G791" s="850">
        <v>30</v>
      </c>
      <c r="H791" s="850">
        <v>0</v>
      </c>
      <c r="I791" s="851">
        <v>8.4900000000000003E-2</v>
      </c>
      <c r="J791" s="851">
        <v>0.09</v>
      </c>
      <c r="K791" s="851">
        <v>8.8999999999999996E-2</v>
      </c>
      <c r="L791" s="849">
        <v>14</v>
      </c>
    </row>
    <row r="792" spans="1:12" s="1090" customFormat="1">
      <c r="A792" s="847">
        <v>45056</v>
      </c>
      <c r="B792" s="848" t="s">
        <v>3834</v>
      </c>
      <c r="C792" s="849">
        <v>28</v>
      </c>
      <c r="D792" s="847">
        <v>45084</v>
      </c>
      <c r="E792" s="850">
        <v>30</v>
      </c>
      <c r="F792" s="850">
        <v>33.4</v>
      </c>
      <c r="G792" s="850">
        <v>30</v>
      </c>
      <c r="H792" s="850">
        <v>0</v>
      </c>
      <c r="I792" s="851">
        <v>6.8500000000000005E-2</v>
      </c>
      <c r="J792" s="851">
        <v>7.6999999999999999E-2</v>
      </c>
      <c r="K792" s="851">
        <v>7.3800000000000004E-2</v>
      </c>
      <c r="L792" s="849">
        <v>12</v>
      </c>
    </row>
    <row r="793" spans="1:12" s="1090" customFormat="1">
      <c r="A793" s="847">
        <v>45056</v>
      </c>
      <c r="B793" s="848" t="s">
        <v>3835</v>
      </c>
      <c r="C793" s="849">
        <v>84</v>
      </c>
      <c r="D793" s="847">
        <v>45140</v>
      </c>
      <c r="E793" s="850">
        <v>30</v>
      </c>
      <c r="F793" s="850">
        <v>40.53</v>
      </c>
      <c r="G793" s="850">
        <v>30</v>
      </c>
      <c r="H793" s="850">
        <v>0</v>
      </c>
      <c r="I793" s="851">
        <v>7.4899999999999994E-2</v>
      </c>
      <c r="J793" s="851">
        <v>7.9899999999999999E-2</v>
      </c>
      <c r="K793" s="851">
        <v>7.7399999999999997E-2</v>
      </c>
      <c r="L793" s="849">
        <v>15</v>
      </c>
    </row>
    <row r="794" spans="1:12" s="1090" customFormat="1">
      <c r="A794" s="847">
        <v>45057</v>
      </c>
      <c r="B794" s="848" t="s">
        <v>3836</v>
      </c>
      <c r="C794" s="849">
        <v>168</v>
      </c>
      <c r="D794" s="847">
        <v>45225</v>
      </c>
      <c r="E794" s="850">
        <v>30</v>
      </c>
      <c r="F794" s="850">
        <v>38.79</v>
      </c>
      <c r="G794" s="850">
        <v>30</v>
      </c>
      <c r="H794" s="850">
        <v>0</v>
      </c>
      <c r="I794" s="851">
        <v>8.3900000000000002E-2</v>
      </c>
      <c r="J794" s="851">
        <v>8.9599999999999999E-2</v>
      </c>
      <c r="K794" s="851">
        <v>8.6199999999999999E-2</v>
      </c>
      <c r="L794" s="849">
        <v>14</v>
      </c>
    </row>
    <row r="795" spans="1:12" s="1090" customFormat="1">
      <c r="A795" s="847">
        <v>45057</v>
      </c>
      <c r="B795" s="848" t="s">
        <v>3837</v>
      </c>
      <c r="C795" s="849">
        <v>252</v>
      </c>
      <c r="D795" s="847">
        <v>45309</v>
      </c>
      <c r="E795" s="850">
        <v>30</v>
      </c>
      <c r="F795" s="850">
        <v>39.99</v>
      </c>
      <c r="G795" s="850">
        <v>30</v>
      </c>
      <c r="H795" s="850">
        <v>0</v>
      </c>
      <c r="I795" s="851">
        <v>8.7400000000000005E-2</v>
      </c>
      <c r="J795" s="851">
        <v>9.3899999999999997E-2</v>
      </c>
      <c r="K795" s="851">
        <v>9.0499999999999997E-2</v>
      </c>
      <c r="L795" s="849">
        <v>14</v>
      </c>
    </row>
    <row r="796" spans="1:12" s="1090" customFormat="1">
      <c r="A796" s="847">
        <v>45063</v>
      </c>
      <c r="B796" s="848" t="s">
        <v>3838</v>
      </c>
      <c r="C796" s="849">
        <v>28</v>
      </c>
      <c r="D796" s="847">
        <v>45091</v>
      </c>
      <c r="E796" s="850">
        <v>30</v>
      </c>
      <c r="F796" s="850">
        <v>36.54</v>
      </c>
      <c r="G796" s="850">
        <v>30</v>
      </c>
      <c r="H796" s="850">
        <v>0</v>
      </c>
      <c r="I796" s="851">
        <v>7.1999999999999995E-2</v>
      </c>
      <c r="J796" s="851">
        <v>7.8700000000000006E-2</v>
      </c>
      <c r="K796" s="851">
        <v>7.5499999999999998E-2</v>
      </c>
      <c r="L796" s="849">
        <v>15</v>
      </c>
    </row>
    <row r="797" spans="1:12" s="1090" customFormat="1">
      <c r="A797" s="847">
        <v>45063</v>
      </c>
      <c r="B797" s="848" t="s">
        <v>3839</v>
      </c>
      <c r="C797" s="849">
        <v>84</v>
      </c>
      <c r="D797" s="847">
        <v>45147</v>
      </c>
      <c r="E797" s="850">
        <v>30</v>
      </c>
      <c r="F797" s="850">
        <v>39.81</v>
      </c>
      <c r="G797" s="850">
        <v>30</v>
      </c>
      <c r="H797" s="850">
        <v>0</v>
      </c>
      <c r="I797" s="851">
        <v>7.5999999999999998E-2</v>
      </c>
      <c r="J797" s="851">
        <v>8.1699999999999995E-2</v>
      </c>
      <c r="K797" s="851">
        <v>7.8600000000000003E-2</v>
      </c>
      <c r="L797" s="849">
        <v>15</v>
      </c>
    </row>
    <row r="798" spans="1:12" s="1090" customFormat="1">
      <c r="A798" s="847">
        <v>45064</v>
      </c>
      <c r="B798" s="848" t="s">
        <v>3840</v>
      </c>
      <c r="C798" s="849">
        <v>168</v>
      </c>
      <c r="D798" s="847">
        <v>45232</v>
      </c>
      <c r="E798" s="850">
        <v>30</v>
      </c>
      <c r="F798" s="850">
        <v>36.28</v>
      </c>
      <c r="G798" s="850">
        <v>30</v>
      </c>
      <c r="H798" s="850">
        <v>0</v>
      </c>
      <c r="I798" s="851">
        <v>4.4400000000000002E-2</v>
      </c>
      <c r="J798" s="851">
        <v>0.09</v>
      </c>
      <c r="K798" s="851">
        <v>8.43E-2</v>
      </c>
      <c r="L798" s="849">
        <v>13</v>
      </c>
    </row>
    <row r="799" spans="1:12" s="1090" customFormat="1">
      <c r="A799" s="847">
        <v>45064</v>
      </c>
      <c r="B799" s="848" t="s">
        <v>3841</v>
      </c>
      <c r="C799" s="849">
        <v>252</v>
      </c>
      <c r="D799" s="847">
        <v>45316</v>
      </c>
      <c r="E799" s="850">
        <v>30</v>
      </c>
      <c r="F799" s="850">
        <v>40.35</v>
      </c>
      <c r="G799" s="850">
        <v>30</v>
      </c>
      <c r="H799" s="850">
        <v>0</v>
      </c>
      <c r="I799" s="851">
        <v>8.9899999999999994E-2</v>
      </c>
      <c r="J799" s="851">
        <v>9.5000000000000001E-2</v>
      </c>
      <c r="K799" s="851">
        <v>9.3100000000000002E-2</v>
      </c>
      <c r="L799" s="849">
        <v>14</v>
      </c>
    </row>
    <row r="800" spans="1:12" s="1090" customFormat="1">
      <c r="A800" s="847">
        <v>45070</v>
      </c>
      <c r="B800" s="848" t="s">
        <v>3842</v>
      </c>
      <c r="C800" s="849">
        <v>28</v>
      </c>
      <c r="D800" s="847">
        <v>45098</v>
      </c>
      <c r="E800" s="850">
        <v>30</v>
      </c>
      <c r="F800" s="850">
        <v>32.799999999999997</v>
      </c>
      <c r="G800" s="850">
        <v>30</v>
      </c>
      <c r="H800" s="850">
        <v>0</v>
      </c>
      <c r="I800" s="851">
        <v>7.2900000000000006E-2</v>
      </c>
      <c r="J800" s="851">
        <v>7.9899999999999999E-2</v>
      </c>
      <c r="K800" s="851">
        <v>7.7399999999999997E-2</v>
      </c>
      <c r="L800" s="849">
        <v>13</v>
      </c>
    </row>
    <row r="801" spans="1:12" s="1090" customFormat="1">
      <c r="A801" s="847">
        <v>45070</v>
      </c>
      <c r="B801" s="848" t="s">
        <v>3843</v>
      </c>
      <c r="C801" s="849">
        <v>84</v>
      </c>
      <c r="D801" s="847">
        <v>45154</v>
      </c>
      <c r="E801" s="850">
        <v>30</v>
      </c>
      <c r="F801" s="850">
        <v>35.880000000000003</v>
      </c>
      <c r="G801" s="850">
        <v>30</v>
      </c>
      <c r="H801" s="850">
        <v>0</v>
      </c>
      <c r="I801" s="851">
        <v>7.6899999999999996E-2</v>
      </c>
      <c r="J801" s="851">
        <v>8.2799999999999999E-2</v>
      </c>
      <c r="K801" s="851">
        <v>0.08</v>
      </c>
      <c r="L801" s="849">
        <v>14</v>
      </c>
    </row>
    <row r="802" spans="1:12" s="1090" customFormat="1">
      <c r="A802" s="847">
        <v>45071</v>
      </c>
      <c r="B802" s="848" t="s">
        <v>3844</v>
      </c>
      <c r="C802" s="849">
        <v>168</v>
      </c>
      <c r="D802" s="847">
        <v>45239</v>
      </c>
      <c r="E802" s="850">
        <v>30</v>
      </c>
      <c r="F802" s="850">
        <v>29.87</v>
      </c>
      <c r="G802" s="850">
        <v>29.87</v>
      </c>
      <c r="H802" s="850">
        <v>0</v>
      </c>
      <c r="I802" s="851">
        <v>8.3900000000000002E-2</v>
      </c>
      <c r="J802" s="851">
        <v>9.2700000000000005E-2</v>
      </c>
      <c r="K802" s="851">
        <v>8.9099999999999999E-2</v>
      </c>
      <c r="L802" s="849">
        <v>13</v>
      </c>
    </row>
    <row r="803" spans="1:12" s="1090" customFormat="1">
      <c r="A803" s="847">
        <v>45071</v>
      </c>
      <c r="B803" s="848" t="s">
        <v>3845</v>
      </c>
      <c r="C803" s="849">
        <v>252</v>
      </c>
      <c r="D803" s="847">
        <v>45323</v>
      </c>
      <c r="E803" s="850">
        <v>30</v>
      </c>
      <c r="F803" s="850">
        <v>30.01</v>
      </c>
      <c r="G803" s="850">
        <v>30</v>
      </c>
      <c r="H803" s="850">
        <v>0</v>
      </c>
      <c r="I803" s="851">
        <v>9.1899999999999996E-2</v>
      </c>
      <c r="J803" s="851">
        <v>9.7799999999999998E-2</v>
      </c>
      <c r="K803" s="851">
        <v>9.4200000000000006E-2</v>
      </c>
      <c r="L803" s="849">
        <v>11</v>
      </c>
    </row>
    <row r="804" spans="1:12" s="1090" customFormat="1">
      <c r="A804" s="847">
        <v>45077</v>
      </c>
      <c r="B804" s="848" t="s">
        <v>3846</v>
      </c>
      <c r="C804" s="849">
        <v>28</v>
      </c>
      <c r="D804" s="847">
        <v>45105</v>
      </c>
      <c r="E804" s="850">
        <v>30</v>
      </c>
      <c r="F804" s="850">
        <v>32.75</v>
      </c>
      <c r="G804" s="850">
        <v>30</v>
      </c>
      <c r="H804" s="850">
        <v>0</v>
      </c>
      <c r="I804" s="851">
        <v>7.3200000000000001E-2</v>
      </c>
      <c r="J804" s="851">
        <v>0.09</v>
      </c>
      <c r="K804" s="851">
        <v>7.9299999999999995E-2</v>
      </c>
      <c r="L804" s="849">
        <v>13</v>
      </c>
    </row>
    <row r="805" spans="1:12" s="1090" customFormat="1">
      <c r="A805" s="847">
        <v>45077</v>
      </c>
      <c r="B805" s="848" t="s">
        <v>3847</v>
      </c>
      <c r="C805" s="849">
        <v>84</v>
      </c>
      <c r="D805" s="847">
        <v>45161</v>
      </c>
      <c r="E805" s="850">
        <v>30</v>
      </c>
      <c r="F805" s="850">
        <v>36.130000000000003</v>
      </c>
      <c r="G805" s="850">
        <v>30</v>
      </c>
      <c r="H805" s="850">
        <v>0</v>
      </c>
      <c r="I805" s="851">
        <v>7.7799999999999994E-2</v>
      </c>
      <c r="J805" s="851">
        <v>8.5800000000000001E-2</v>
      </c>
      <c r="K805" s="851">
        <v>8.1799999999999998E-2</v>
      </c>
      <c r="L805" s="849">
        <v>15</v>
      </c>
    </row>
    <row r="806" spans="1:12" s="1090" customFormat="1">
      <c r="A806" s="847">
        <v>45078</v>
      </c>
      <c r="B806" s="848" t="s">
        <v>3883</v>
      </c>
      <c r="C806" s="849">
        <v>168</v>
      </c>
      <c r="D806" s="847">
        <v>45246</v>
      </c>
      <c r="E806" s="850">
        <v>30</v>
      </c>
      <c r="F806" s="850">
        <v>33.14</v>
      </c>
      <c r="G806" s="850">
        <v>30</v>
      </c>
      <c r="H806" s="850">
        <v>0</v>
      </c>
      <c r="I806" s="851">
        <v>8.7499999999999994E-2</v>
      </c>
      <c r="J806" s="851">
        <v>9.8799999999999999E-2</v>
      </c>
      <c r="K806" s="851">
        <v>9.3200000000000005E-2</v>
      </c>
      <c r="L806" s="849">
        <v>14</v>
      </c>
    </row>
    <row r="807" spans="1:12" s="1090" customFormat="1">
      <c r="A807" s="847">
        <v>45078</v>
      </c>
      <c r="B807" s="848" t="s">
        <v>3884</v>
      </c>
      <c r="C807" s="849">
        <v>252</v>
      </c>
      <c r="D807" s="847">
        <v>45330</v>
      </c>
      <c r="E807" s="850">
        <v>30</v>
      </c>
      <c r="F807" s="850">
        <v>34.89</v>
      </c>
      <c r="G807" s="850">
        <v>30</v>
      </c>
      <c r="H807" s="850">
        <v>0</v>
      </c>
      <c r="I807" s="851">
        <v>9.2999999999999999E-2</v>
      </c>
      <c r="J807" s="851">
        <v>0.1028</v>
      </c>
      <c r="K807" s="851">
        <v>9.74E-2</v>
      </c>
      <c r="L807" s="849">
        <v>14</v>
      </c>
    </row>
    <row r="808" spans="1:12" s="1090" customFormat="1">
      <c r="A808" s="847">
        <v>45084</v>
      </c>
      <c r="B808" s="848" t="s">
        <v>3885</v>
      </c>
      <c r="C808" s="849">
        <v>28</v>
      </c>
      <c r="D808" s="847">
        <v>45112</v>
      </c>
      <c r="E808" s="850">
        <v>30</v>
      </c>
      <c r="F808" s="850">
        <v>74.67</v>
      </c>
      <c r="G808" s="850">
        <v>30</v>
      </c>
      <c r="H808" s="850">
        <v>0</v>
      </c>
      <c r="I808" s="851">
        <v>6.8000000000000005E-2</v>
      </c>
      <c r="J808" s="851">
        <v>7.6899999999999996E-2</v>
      </c>
      <c r="K808" s="851">
        <v>7.5600000000000001E-2</v>
      </c>
      <c r="L808" s="849">
        <v>12</v>
      </c>
    </row>
    <row r="809" spans="1:12" s="1090" customFormat="1">
      <c r="A809" s="847">
        <v>45084</v>
      </c>
      <c r="B809" s="848" t="s">
        <v>3886</v>
      </c>
      <c r="C809" s="849">
        <v>84</v>
      </c>
      <c r="D809" s="847">
        <v>45168</v>
      </c>
      <c r="E809" s="850">
        <v>30</v>
      </c>
      <c r="F809" s="850">
        <v>77.709999999999994</v>
      </c>
      <c r="G809" s="850">
        <v>30</v>
      </c>
      <c r="H809" s="850">
        <v>0</v>
      </c>
      <c r="I809" s="851">
        <v>7.4999999999999997E-2</v>
      </c>
      <c r="J809" s="851">
        <v>7.9899999999999999E-2</v>
      </c>
      <c r="K809" s="851">
        <v>7.9399999999999998E-2</v>
      </c>
      <c r="L809" s="849">
        <v>12</v>
      </c>
    </row>
    <row r="810" spans="1:12" s="1090" customFormat="1">
      <c r="A810" s="847">
        <v>45085</v>
      </c>
      <c r="B810" s="848" t="s">
        <v>3887</v>
      </c>
      <c r="C810" s="849">
        <v>168</v>
      </c>
      <c r="D810" s="847">
        <v>45253</v>
      </c>
      <c r="E810" s="850">
        <v>30</v>
      </c>
      <c r="F810" s="850">
        <v>82.26</v>
      </c>
      <c r="G810" s="850">
        <v>30</v>
      </c>
      <c r="H810" s="850">
        <v>0</v>
      </c>
      <c r="I810" s="851">
        <v>8.4000000000000005E-2</v>
      </c>
      <c r="J810" s="851">
        <v>8.7900000000000006E-2</v>
      </c>
      <c r="K810" s="851">
        <v>8.7499999999999994E-2</v>
      </c>
      <c r="L810" s="849">
        <v>13</v>
      </c>
    </row>
    <row r="811" spans="1:12" s="1090" customFormat="1">
      <c r="A811" s="847">
        <v>45085</v>
      </c>
      <c r="B811" s="848" t="s">
        <v>3888</v>
      </c>
      <c r="C811" s="849">
        <v>252</v>
      </c>
      <c r="D811" s="847">
        <v>45337</v>
      </c>
      <c r="E811" s="850">
        <v>30</v>
      </c>
      <c r="F811" s="850">
        <v>89.53</v>
      </c>
      <c r="G811" s="850">
        <v>30</v>
      </c>
      <c r="H811" s="850">
        <v>0</v>
      </c>
      <c r="I811" s="851">
        <v>8.8999999999999996E-2</v>
      </c>
      <c r="J811" s="851">
        <v>9.4799999999999995E-2</v>
      </c>
      <c r="K811" s="851">
        <v>9.3899999999999997E-2</v>
      </c>
      <c r="L811" s="849">
        <v>15</v>
      </c>
    </row>
    <row r="812" spans="1:12" s="1090" customFormat="1">
      <c r="A812" s="847">
        <v>45091</v>
      </c>
      <c r="B812" s="848" t="s">
        <v>3889</v>
      </c>
      <c r="C812" s="849">
        <v>28</v>
      </c>
      <c r="D812" s="847">
        <v>45119</v>
      </c>
      <c r="E812" s="850">
        <v>15</v>
      </c>
      <c r="F812" s="850">
        <v>41.85</v>
      </c>
      <c r="G812" s="850">
        <v>15</v>
      </c>
      <c r="H812" s="850">
        <v>0</v>
      </c>
      <c r="I812" s="851">
        <v>6.1499999999999999E-2</v>
      </c>
      <c r="J812" s="851">
        <v>6.1899999999999997E-2</v>
      </c>
      <c r="K812" s="851">
        <v>6.1899999999999997E-2</v>
      </c>
      <c r="L812" s="849">
        <v>7</v>
      </c>
    </row>
    <row r="813" spans="1:12" s="1090" customFormat="1">
      <c r="A813" s="847">
        <v>45091</v>
      </c>
      <c r="B813" s="848" t="s">
        <v>3890</v>
      </c>
      <c r="C813" s="849">
        <v>84</v>
      </c>
      <c r="D813" s="847">
        <v>45175</v>
      </c>
      <c r="E813" s="850">
        <v>30</v>
      </c>
      <c r="F813" s="850">
        <v>74.62</v>
      </c>
      <c r="G813" s="850">
        <v>30</v>
      </c>
      <c r="H813" s="850">
        <v>0</v>
      </c>
      <c r="I813" s="851">
        <v>7.3800000000000004E-2</v>
      </c>
      <c r="J813" s="851">
        <v>7.4899999999999994E-2</v>
      </c>
      <c r="K813" s="851">
        <v>7.4700000000000003E-2</v>
      </c>
      <c r="L813" s="849">
        <v>12</v>
      </c>
    </row>
    <row r="814" spans="1:12" s="1090" customFormat="1">
      <c r="A814" s="847">
        <v>45093</v>
      </c>
      <c r="B814" s="848" t="s">
        <v>3891</v>
      </c>
      <c r="C814" s="849">
        <v>167</v>
      </c>
      <c r="D814" s="847">
        <v>45260</v>
      </c>
      <c r="E814" s="850">
        <v>35</v>
      </c>
      <c r="F814" s="850">
        <v>77.599999999999994</v>
      </c>
      <c r="G814" s="850">
        <v>35</v>
      </c>
      <c r="H814" s="850">
        <v>0</v>
      </c>
      <c r="I814" s="851">
        <v>7.9899999999999999E-2</v>
      </c>
      <c r="J814" s="851">
        <v>8.5999999999999993E-2</v>
      </c>
      <c r="K814" s="851">
        <v>8.4000000000000005E-2</v>
      </c>
      <c r="L814" s="849">
        <v>12</v>
      </c>
    </row>
    <row r="815" spans="1:12" s="1090" customFormat="1">
      <c r="A815" s="847">
        <v>45093</v>
      </c>
      <c r="B815" s="848" t="s">
        <v>3892</v>
      </c>
      <c r="C815" s="849">
        <v>251</v>
      </c>
      <c r="D815" s="847">
        <v>45344</v>
      </c>
      <c r="E815" s="850">
        <v>40</v>
      </c>
      <c r="F815" s="850">
        <v>75.37</v>
      </c>
      <c r="G815" s="850">
        <v>40</v>
      </c>
      <c r="H815" s="850">
        <v>0</v>
      </c>
      <c r="I815" s="851">
        <v>8.4900000000000003E-2</v>
      </c>
      <c r="J815" s="851">
        <v>9.1999999999999998E-2</v>
      </c>
      <c r="K815" s="851">
        <v>9.0200000000000002E-2</v>
      </c>
      <c r="L815" s="849">
        <v>14</v>
      </c>
    </row>
    <row r="816" spans="1:12" s="1090" customFormat="1">
      <c r="A816" s="847">
        <v>45098</v>
      </c>
      <c r="B816" s="848" t="s">
        <v>3893</v>
      </c>
      <c r="C816" s="849">
        <v>28</v>
      </c>
      <c r="D816" s="847">
        <v>45126</v>
      </c>
      <c r="E816" s="850">
        <v>15</v>
      </c>
      <c r="F816" s="850">
        <v>33.43</v>
      </c>
      <c r="G816" s="850">
        <v>15</v>
      </c>
      <c r="H816" s="850">
        <v>0</v>
      </c>
      <c r="I816" s="851">
        <v>5.8900000000000001E-2</v>
      </c>
      <c r="J816" s="851">
        <v>5.8900000000000001E-2</v>
      </c>
      <c r="K816" s="851">
        <v>5.8900000000000001E-2</v>
      </c>
      <c r="L816" s="849">
        <v>7</v>
      </c>
    </row>
    <row r="817" spans="1:12" s="1090" customFormat="1">
      <c r="A817" s="847">
        <v>45098</v>
      </c>
      <c r="B817" s="848" t="s">
        <v>3894</v>
      </c>
      <c r="C817" s="849">
        <v>84</v>
      </c>
      <c r="D817" s="847">
        <v>45182</v>
      </c>
      <c r="E817" s="850">
        <v>30</v>
      </c>
      <c r="F817" s="850">
        <v>66.680000000000007</v>
      </c>
      <c r="G817" s="850">
        <v>30</v>
      </c>
      <c r="H817" s="850">
        <v>0</v>
      </c>
      <c r="I817" s="851">
        <v>7.3400000000000007E-2</v>
      </c>
      <c r="J817" s="851">
        <v>7.3400000000000007E-2</v>
      </c>
      <c r="K817" s="851">
        <v>7.3400000000000007E-2</v>
      </c>
      <c r="L817" s="849">
        <v>6</v>
      </c>
    </row>
    <row r="818" spans="1:12" s="1090" customFormat="1">
      <c r="A818" s="847">
        <v>45099</v>
      </c>
      <c r="B818" s="848" t="s">
        <v>3895</v>
      </c>
      <c r="C818" s="849">
        <v>168</v>
      </c>
      <c r="D818" s="847">
        <v>45267</v>
      </c>
      <c r="E818" s="850">
        <v>35</v>
      </c>
      <c r="F818" s="850">
        <v>81.22</v>
      </c>
      <c r="G818" s="850">
        <v>15</v>
      </c>
      <c r="H818" s="850">
        <v>0</v>
      </c>
      <c r="I818" s="851">
        <v>7.9000000000000001E-2</v>
      </c>
      <c r="J818" s="851">
        <v>8.3699999999999997E-2</v>
      </c>
      <c r="K818" s="851">
        <v>8.3099999999999993E-2</v>
      </c>
      <c r="L818" s="849">
        <v>13</v>
      </c>
    </row>
    <row r="819" spans="1:12" s="1090" customFormat="1">
      <c r="A819" s="847">
        <v>45099</v>
      </c>
      <c r="B819" s="848" t="s">
        <v>3896</v>
      </c>
      <c r="C819" s="849">
        <v>252</v>
      </c>
      <c r="D819" s="847">
        <v>45351</v>
      </c>
      <c r="E819" s="850">
        <v>40</v>
      </c>
      <c r="F819" s="850">
        <v>87.33</v>
      </c>
      <c r="G819" s="850">
        <v>30</v>
      </c>
      <c r="H819" s="850">
        <v>0</v>
      </c>
      <c r="I819" s="851">
        <v>8.3000000000000004E-2</v>
      </c>
      <c r="J819" s="851">
        <v>9.0999999999999998E-2</v>
      </c>
      <c r="K819" s="851">
        <v>8.8499999999999995E-2</v>
      </c>
      <c r="L819" s="849">
        <v>14</v>
      </c>
    </row>
    <row r="820" spans="1:12" s="1090" customFormat="1">
      <c r="A820" s="847">
        <v>45112</v>
      </c>
      <c r="B820" s="848" t="s">
        <v>3919</v>
      </c>
      <c r="C820" s="849">
        <v>28</v>
      </c>
      <c r="D820" s="847">
        <v>45140</v>
      </c>
      <c r="E820" s="850">
        <v>30</v>
      </c>
      <c r="F820" s="850">
        <v>48.08</v>
      </c>
      <c r="G820" s="850">
        <v>30</v>
      </c>
      <c r="H820" s="850">
        <v>0</v>
      </c>
      <c r="I820" s="851">
        <v>5.8700000000000002E-2</v>
      </c>
      <c r="J820" s="851">
        <v>5.8700000000000002E-2</v>
      </c>
      <c r="K820" s="851">
        <v>5.8700000000000002E-2</v>
      </c>
      <c r="L820" s="849">
        <v>6</v>
      </c>
    </row>
    <row r="821" spans="1:12" s="1090" customFormat="1">
      <c r="A821" s="847">
        <v>45113</v>
      </c>
      <c r="B821" s="848" t="s">
        <v>3920</v>
      </c>
      <c r="C821" s="849">
        <v>84</v>
      </c>
      <c r="D821" s="847">
        <v>45197</v>
      </c>
      <c r="E821" s="850">
        <v>40</v>
      </c>
      <c r="F821" s="850">
        <v>56.2</v>
      </c>
      <c r="G821" s="850">
        <v>40</v>
      </c>
      <c r="H821" s="850">
        <v>0</v>
      </c>
      <c r="I821" s="851">
        <v>7.3300000000000004E-2</v>
      </c>
      <c r="J821" s="851">
        <v>7.3300000000000004E-2</v>
      </c>
      <c r="K821" s="851">
        <v>7.3300000000000004E-2</v>
      </c>
      <c r="L821" s="849">
        <v>5</v>
      </c>
    </row>
    <row r="822" spans="1:12" s="1090" customFormat="1">
      <c r="A822" s="847">
        <v>45113</v>
      </c>
      <c r="B822" s="848" t="s">
        <v>3921</v>
      </c>
      <c r="C822" s="849">
        <v>252</v>
      </c>
      <c r="D822" s="847">
        <v>45365</v>
      </c>
      <c r="E822" s="850">
        <v>46.84</v>
      </c>
      <c r="F822" s="850">
        <v>46.84</v>
      </c>
      <c r="G822" s="850">
        <v>46.84</v>
      </c>
      <c r="H822" s="850">
        <v>0</v>
      </c>
      <c r="I822" s="851">
        <v>8.7499999999999994E-2</v>
      </c>
      <c r="J822" s="851">
        <v>9.9900000000000003E-2</v>
      </c>
      <c r="K822" s="851">
        <v>9.1399999999999995E-2</v>
      </c>
      <c r="L822" s="849">
        <v>11</v>
      </c>
    </row>
    <row r="823" spans="1:12" s="1090" customFormat="1">
      <c r="A823" s="847">
        <v>45112</v>
      </c>
      <c r="B823" s="848" t="s">
        <v>3922</v>
      </c>
      <c r="C823" s="849">
        <v>168</v>
      </c>
      <c r="D823" s="847">
        <v>45280</v>
      </c>
      <c r="E823" s="850">
        <v>50</v>
      </c>
      <c r="F823" s="850">
        <v>67.760000000000005</v>
      </c>
      <c r="G823" s="850">
        <v>50</v>
      </c>
      <c r="H823" s="850">
        <v>0</v>
      </c>
      <c r="I823" s="851">
        <v>8.2000000000000003E-2</v>
      </c>
      <c r="J823" s="851">
        <v>8.4900000000000003E-2</v>
      </c>
      <c r="K823" s="851">
        <v>8.3799999999999999E-2</v>
      </c>
      <c r="L823" s="849">
        <v>9</v>
      </c>
    </row>
    <row r="824" spans="1:12" s="1090" customFormat="1">
      <c r="A824" s="847">
        <v>45119</v>
      </c>
      <c r="B824" s="848" t="s">
        <v>3923</v>
      </c>
      <c r="C824" s="849">
        <v>168</v>
      </c>
      <c r="D824" s="847">
        <v>45287</v>
      </c>
      <c r="E824" s="850">
        <v>28.35</v>
      </c>
      <c r="F824" s="850">
        <v>28.35</v>
      </c>
      <c r="G824" s="850">
        <v>28.35</v>
      </c>
      <c r="H824" s="850">
        <v>0</v>
      </c>
      <c r="I824" s="851">
        <v>8.2799999999999999E-2</v>
      </c>
      <c r="J824" s="851">
        <v>0.09</v>
      </c>
      <c r="K824" s="851">
        <v>8.7099999999999997E-2</v>
      </c>
      <c r="L824" s="849">
        <v>8</v>
      </c>
    </row>
    <row r="825" spans="1:12" s="1090" customFormat="1">
      <c r="A825" s="847">
        <v>45120</v>
      </c>
      <c r="B825" s="848" t="s">
        <v>3924</v>
      </c>
      <c r="C825" s="849">
        <v>84</v>
      </c>
      <c r="D825" s="847">
        <v>45204</v>
      </c>
      <c r="E825" s="850">
        <v>40</v>
      </c>
      <c r="F825" s="850">
        <v>54.82</v>
      </c>
      <c r="G825" s="850">
        <v>40</v>
      </c>
      <c r="H825" s="850">
        <v>0</v>
      </c>
      <c r="I825" s="851">
        <v>7.8E-2</v>
      </c>
      <c r="J825" s="851">
        <v>8.6499999999999994E-2</v>
      </c>
      <c r="K825" s="851">
        <v>8.1500000000000003E-2</v>
      </c>
      <c r="L825" s="849">
        <v>7</v>
      </c>
    </row>
    <row r="826" spans="1:12" s="1090" customFormat="1">
      <c r="A826" s="847">
        <v>45120</v>
      </c>
      <c r="B826" s="848" t="s">
        <v>3925</v>
      </c>
      <c r="C826" s="849">
        <v>252</v>
      </c>
      <c r="D826" s="847">
        <v>45372</v>
      </c>
      <c r="E826" s="850">
        <v>48.25</v>
      </c>
      <c r="F826" s="850">
        <v>48.25</v>
      </c>
      <c r="G826" s="850">
        <v>48.25</v>
      </c>
      <c r="H826" s="850">
        <v>0</v>
      </c>
      <c r="I826" s="851">
        <v>0.09</v>
      </c>
      <c r="J826" s="851">
        <v>0.11</v>
      </c>
      <c r="K826" s="851">
        <v>9.9500000000000005E-2</v>
      </c>
      <c r="L826" s="849">
        <v>12</v>
      </c>
    </row>
    <row r="827" spans="1:12" s="1090" customFormat="1">
      <c r="A827" s="847">
        <v>45126</v>
      </c>
      <c r="B827" s="848" t="s">
        <v>3926</v>
      </c>
      <c r="C827" s="849">
        <v>28</v>
      </c>
      <c r="D827" s="847">
        <v>45154</v>
      </c>
      <c r="E827" s="850">
        <v>30</v>
      </c>
      <c r="F827" s="850">
        <v>65.41</v>
      </c>
      <c r="G827" s="850">
        <v>30</v>
      </c>
      <c r="H827" s="850">
        <v>0</v>
      </c>
      <c r="I827" s="851">
        <v>6.4500000000000002E-2</v>
      </c>
      <c r="J827" s="851">
        <v>6.9699999999999998E-2</v>
      </c>
      <c r="K827" s="851">
        <v>6.88E-2</v>
      </c>
      <c r="L827" s="849">
        <v>12</v>
      </c>
    </row>
    <row r="828" spans="1:12" s="1090" customFormat="1">
      <c r="A828" s="847">
        <v>45126</v>
      </c>
      <c r="B828" s="848" t="s">
        <v>3927</v>
      </c>
      <c r="C828" s="849">
        <v>168</v>
      </c>
      <c r="D828" s="847">
        <v>45294</v>
      </c>
      <c r="E828" s="850">
        <v>37.83</v>
      </c>
      <c r="F828" s="850">
        <v>37.83</v>
      </c>
      <c r="G828" s="850">
        <v>37.83</v>
      </c>
      <c r="H828" s="850">
        <v>0</v>
      </c>
      <c r="I828" s="851">
        <v>8.7400000000000005E-2</v>
      </c>
      <c r="J828" s="851">
        <v>9.9900000000000003E-2</v>
      </c>
      <c r="K828" s="851">
        <v>9.1700000000000004E-2</v>
      </c>
      <c r="L828" s="849">
        <v>7</v>
      </c>
    </row>
    <row r="829" spans="1:12" s="1090" customFormat="1">
      <c r="A829" s="847">
        <v>45127</v>
      </c>
      <c r="B829" s="848" t="s">
        <v>3928</v>
      </c>
      <c r="C829" s="849">
        <v>84</v>
      </c>
      <c r="D829" s="847">
        <v>45211</v>
      </c>
      <c r="E829" s="850">
        <v>40</v>
      </c>
      <c r="F829" s="850">
        <v>60.24</v>
      </c>
      <c r="G829" s="850">
        <v>40</v>
      </c>
      <c r="H829" s="850">
        <v>0</v>
      </c>
      <c r="I829" s="851">
        <v>8.4900000000000003E-2</v>
      </c>
      <c r="J829" s="851">
        <v>9.5000000000000001E-2</v>
      </c>
      <c r="K829" s="851">
        <v>8.8800000000000004E-2</v>
      </c>
      <c r="L829" s="849">
        <v>8</v>
      </c>
    </row>
    <row r="830" spans="1:12" s="1090" customFormat="1">
      <c r="A830" s="847">
        <v>45127</v>
      </c>
      <c r="B830" s="848" t="s">
        <v>3929</v>
      </c>
      <c r="C830" s="849">
        <v>252</v>
      </c>
      <c r="D830" s="847">
        <v>45379</v>
      </c>
      <c r="E830" s="850">
        <v>57.21</v>
      </c>
      <c r="F830" s="850">
        <v>57.21</v>
      </c>
      <c r="G830" s="850">
        <v>57.21</v>
      </c>
      <c r="H830" s="850">
        <v>0</v>
      </c>
      <c r="I830" s="851">
        <v>9.2999999999999999E-2</v>
      </c>
      <c r="J830" s="851">
        <v>0.1399</v>
      </c>
      <c r="K830" s="851">
        <v>0.1082</v>
      </c>
      <c r="L830" s="849">
        <v>11</v>
      </c>
    </row>
    <row r="831" spans="1:12" s="1090" customFormat="1">
      <c r="A831" s="847">
        <v>45133</v>
      </c>
      <c r="B831" s="848" t="s">
        <v>3930</v>
      </c>
      <c r="C831" s="849">
        <v>28</v>
      </c>
      <c r="D831" s="847">
        <v>45161</v>
      </c>
      <c r="E831" s="850">
        <v>20</v>
      </c>
      <c r="F831" s="850">
        <v>76.19</v>
      </c>
      <c r="G831" s="850">
        <v>20</v>
      </c>
      <c r="H831" s="850">
        <v>0</v>
      </c>
      <c r="I831" s="851">
        <v>6.93E-2</v>
      </c>
      <c r="J831" s="851">
        <v>6.9500000000000006E-2</v>
      </c>
      <c r="K831" s="851">
        <v>6.9500000000000006E-2</v>
      </c>
      <c r="L831" s="849">
        <v>7</v>
      </c>
    </row>
    <row r="832" spans="1:12" s="1090" customFormat="1">
      <c r="A832" s="847">
        <v>45133</v>
      </c>
      <c r="B832" s="848" t="s">
        <v>3931</v>
      </c>
      <c r="C832" s="849">
        <v>168</v>
      </c>
      <c r="D832" s="847">
        <v>45301</v>
      </c>
      <c r="E832" s="850">
        <v>20</v>
      </c>
      <c r="F832" s="850">
        <v>62.81</v>
      </c>
      <c r="G832" s="850">
        <v>20</v>
      </c>
      <c r="H832" s="850">
        <v>0</v>
      </c>
      <c r="I832" s="851">
        <v>9.1600000000000001E-2</v>
      </c>
      <c r="J832" s="851">
        <v>9.1600000000000001E-2</v>
      </c>
      <c r="K832" s="851">
        <v>9.1600000000000001E-2</v>
      </c>
      <c r="L832" s="849">
        <v>8</v>
      </c>
    </row>
    <row r="833" spans="1:12" s="1090" customFormat="1">
      <c r="A833" s="847">
        <v>45134</v>
      </c>
      <c r="B833" s="848" t="s">
        <v>3932</v>
      </c>
      <c r="C833" s="849">
        <v>84</v>
      </c>
      <c r="D833" s="847">
        <v>45218</v>
      </c>
      <c r="E833" s="850">
        <v>20</v>
      </c>
      <c r="F833" s="850">
        <v>80.81</v>
      </c>
      <c r="G833" s="850">
        <v>20</v>
      </c>
      <c r="H833" s="850">
        <v>0</v>
      </c>
      <c r="I833" s="851">
        <v>8.4500000000000006E-2</v>
      </c>
      <c r="J833" s="851">
        <v>8.7900000000000006E-2</v>
      </c>
      <c r="K833" s="851">
        <v>8.6900000000000005E-2</v>
      </c>
      <c r="L833" s="849">
        <v>8</v>
      </c>
    </row>
    <row r="834" spans="1:12" s="1090" customFormat="1">
      <c r="A834" s="847">
        <v>45134</v>
      </c>
      <c r="B834" s="848" t="s">
        <v>3933</v>
      </c>
      <c r="C834" s="849">
        <v>252</v>
      </c>
      <c r="D834" s="847">
        <v>45386</v>
      </c>
      <c r="E834" s="850">
        <v>20</v>
      </c>
      <c r="F834" s="850">
        <v>88.16</v>
      </c>
      <c r="G834" s="850">
        <v>20</v>
      </c>
      <c r="H834" s="850">
        <v>0</v>
      </c>
      <c r="I834" s="851">
        <v>9.1999999999999998E-2</v>
      </c>
      <c r="J834" s="851">
        <v>9.9900000000000003E-2</v>
      </c>
      <c r="K834" s="851">
        <v>9.8500000000000004E-2</v>
      </c>
      <c r="L834" s="849">
        <v>11</v>
      </c>
    </row>
    <row r="835" spans="1:12" s="1090" customFormat="1">
      <c r="A835" s="847">
        <v>45140</v>
      </c>
      <c r="B835" s="848" t="s">
        <v>3950</v>
      </c>
      <c r="C835" s="849">
        <v>28</v>
      </c>
      <c r="D835" s="847">
        <v>45168</v>
      </c>
      <c r="E835" s="850">
        <v>20</v>
      </c>
      <c r="F835" s="850">
        <v>81.7</v>
      </c>
      <c r="G835" s="850">
        <v>20</v>
      </c>
      <c r="H835" s="850">
        <v>0</v>
      </c>
      <c r="I835" s="851">
        <v>6.6900000000000001E-2</v>
      </c>
      <c r="J835" s="851">
        <v>6.7799999999999999E-2</v>
      </c>
      <c r="K835" s="851">
        <v>6.7699999999999996E-2</v>
      </c>
      <c r="L835" s="849">
        <v>4</v>
      </c>
    </row>
    <row r="836" spans="1:12" s="1090" customFormat="1">
      <c r="A836" s="847">
        <v>45140</v>
      </c>
      <c r="B836" s="848" t="s">
        <v>3951</v>
      </c>
      <c r="C836" s="849">
        <v>168</v>
      </c>
      <c r="D836" s="847">
        <v>45308</v>
      </c>
      <c r="E836" s="850">
        <v>20</v>
      </c>
      <c r="F836" s="850">
        <v>88.96</v>
      </c>
      <c r="G836" s="850">
        <v>20</v>
      </c>
      <c r="H836" s="850">
        <v>0</v>
      </c>
      <c r="I836" s="851">
        <v>8.5000000000000006E-2</v>
      </c>
      <c r="J836" s="851">
        <v>8.9800000000000005E-2</v>
      </c>
      <c r="K836" s="851">
        <v>8.8599999999999998E-2</v>
      </c>
      <c r="L836" s="849">
        <v>3</v>
      </c>
    </row>
    <row r="837" spans="1:12" s="1090" customFormat="1">
      <c r="A837" s="847">
        <v>45141</v>
      </c>
      <c r="B837" s="848" t="s">
        <v>3952</v>
      </c>
      <c r="C837" s="849">
        <v>84</v>
      </c>
      <c r="D837" s="847">
        <v>45225</v>
      </c>
      <c r="E837" s="850">
        <v>20</v>
      </c>
      <c r="F837" s="850">
        <v>87.99</v>
      </c>
      <c r="G837" s="850">
        <v>20</v>
      </c>
      <c r="H837" s="850">
        <v>0</v>
      </c>
      <c r="I837" s="851">
        <v>7.9000000000000001E-2</v>
      </c>
      <c r="J837" s="851">
        <v>7.9299999999999995E-2</v>
      </c>
      <c r="K837" s="851">
        <v>7.9200000000000007E-2</v>
      </c>
      <c r="L837" s="849">
        <v>3</v>
      </c>
    </row>
    <row r="838" spans="1:12" s="1090" customFormat="1">
      <c r="A838" s="847">
        <v>45141</v>
      </c>
      <c r="B838" s="848" t="s">
        <v>3953</v>
      </c>
      <c r="C838" s="849">
        <v>252</v>
      </c>
      <c r="D838" s="847">
        <v>45393</v>
      </c>
      <c r="E838" s="850">
        <v>20</v>
      </c>
      <c r="F838" s="850">
        <v>84</v>
      </c>
      <c r="G838" s="850">
        <v>20</v>
      </c>
      <c r="H838" s="850">
        <v>0</v>
      </c>
      <c r="I838" s="851">
        <v>8.9800000000000005E-2</v>
      </c>
      <c r="J838" s="851">
        <v>9.1700000000000004E-2</v>
      </c>
      <c r="K838" s="851">
        <v>9.1300000000000006E-2</v>
      </c>
      <c r="L838" s="849">
        <v>3</v>
      </c>
    </row>
    <row r="839" spans="1:12" s="1090" customFormat="1">
      <c r="A839" s="847">
        <v>45147</v>
      </c>
      <c r="B839" s="848" t="s">
        <v>3954</v>
      </c>
      <c r="C839" s="849">
        <v>168</v>
      </c>
      <c r="D839" s="847">
        <v>45315</v>
      </c>
      <c r="E839" s="850">
        <v>20</v>
      </c>
      <c r="F839" s="850">
        <v>23.73</v>
      </c>
      <c r="G839" s="850">
        <v>20</v>
      </c>
      <c r="H839" s="850">
        <v>0</v>
      </c>
      <c r="I839" s="851">
        <v>8.4900000000000003E-2</v>
      </c>
      <c r="J839" s="851">
        <v>8.7999999999999995E-2</v>
      </c>
      <c r="K839" s="851">
        <v>8.7099999999999997E-2</v>
      </c>
      <c r="L839" s="849">
        <v>6</v>
      </c>
    </row>
    <row r="840" spans="1:12" s="1090" customFormat="1">
      <c r="A840" s="847">
        <v>45148</v>
      </c>
      <c r="B840" s="848" t="s">
        <v>3955</v>
      </c>
      <c r="C840" s="849">
        <v>84</v>
      </c>
      <c r="D840" s="847">
        <v>45232</v>
      </c>
      <c r="E840" s="850">
        <v>20</v>
      </c>
      <c r="F840" s="850">
        <v>27.97</v>
      </c>
      <c r="G840" s="850">
        <v>20</v>
      </c>
      <c r="H840" s="850">
        <v>0</v>
      </c>
      <c r="I840" s="851">
        <v>7.4999999999999997E-2</v>
      </c>
      <c r="J840" s="851">
        <v>7.8799999999999995E-2</v>
      </c>
      <c r="K840" s="851">
        <v>7.7700000000000005E-2</v>
      </c>
      <c r="L840" s="849">
        <v>4</v>
      </c>
    </row>
    <row r="841" spans="1:12" s="1090" customFormat="1">
      <c r="A841" s="847">
        <v>45148</v>
      </c>
      <c r="B841" s="848" t="s">
        <v>3956</v>
      </c>
      <c r="C841" s="849">
        <v>252</v>
      </c>
      <c r="D841" s="847">
        <v>45400</v>
      </c>
      <c r="E841" s="850">
        <v>20</v>
      </c>
      <c r="F841" s="850">
        <v>25.83</v>
      </c>
      <c r="G841" s="850">
        <v>20</v>
      </c>
      <c r="H841" s="850">
        <v>0</v>
      </c>
      <c r="I841" s="851">
        <v>8.9899999999999994E-2</v>
      </c>
      <c r="J841" s="851">
        <v>9.2700000000000005E-2</v>
      </c>
      <c r="K841" s="851">
        <v>9.0800000000000006E-2</v>
      </c>
      <c r="L841" s="849">
        <v>6</v>
      </c>
    </row>
    <row r="842" spans="1:12" s="1090" customFormat="1">
      <c r="A842" s="847">
        <v>45149</v>
      </c>
      <c r="B842" s="848" t="s">
        <v>3957</v>
      </c>
      <c r="C842" s="849">
        <v>7</v>
      </c>
      <c r="D842" s="847">
        <v>45156</v>
      </c>
      <c r="E842" s="850">
        <v>30</v>
      </c>
      <c r="F842" s="850">
        <v>38.03</v>
      </c>
      <c r="G842" s="850">
        <v>30</v>
      </c>
      <c r="H842" s="850">
        <v>0</v>
      </c>
      <c r="I842" s="851">
        <v>7.51E-2</v>
      </c>
      <c r="J842" s="851">
        <v>7.8E-2</v>
      </c>
      <c r="K842" s="851">
        <v>7.6200000000000004E-2</v>
      </c>
      <c r="L842" s="849">
        <v>4</v>
      </c>
    </row>
    <row r="843" spans="1:12" s="1090" customFormat="1">
      <c r="A843" s="847">
        <v>45154</v>
      </c>
      <c r="B843" s="848" t="s">
        <v>3958</v>
      </c>
      <c r="C843" s="849">
        <v>28</v>
      </c>
      <c r="D843" s="847">
        <v>45182</v>
      </c>
      <c r="E843" s="850">
        <v>20</v>
      </c>
      <c r="F843" s="850">
        <v>23.13</v>
      </c>
      <c r="G843" s="850">
        <v>20</v>
      </c>
      <c r="H843" s="850">
        <v>0</v>
      </c>
      <c r="I843" s="851">
        <v>7.4800000000000005E-2</v>
      </c>
      <c r="J843" s="851">
        <v>8.5000000000000006E-2</v>
      </c>
      <c r="K843" s="851">
        <v>8.0600000000000005E-2</v>
      </c>
      <c r="L843" s="849">
        <v>5</v>
      </c>
    </row>
    <row r="844" spans="1:12" s="1090" customFormat="1">
      <c r="A844" s="847">
        <v>45154</v>
      </c>
      <c r="B844" s="848" t="s">
        <v>3959</v>
      </c>
      <c r="C844" s="849">
        <v>168</v>
      </c>
      <c r="D844" s="847">
        <v>45322</v>
      </c>
      <c r="E844" s="850">
        <v>20</v>
      </c>
      <c r="F844" s="850">
        <v>31.53</v>
      </c>
      <c r="G844" s="850">
        <v>20</v>
      </c>
      <c r="H844" s="850">
        <v>0</v>
      </c>
      <c r="I844" s="851">
        <v>8.5500000000000007E-2</v>
      </c>
      <c r="J844" s="851">
        <v>8.7999999999999995E-2</v>
      </c>
      <c r="K844" s="851">
        <v>8.6599999999999996E-2</v>
      </c>
      <c r="L844" s="849">
        <v>6</v>
      </c>
    </row>
    <row r="845" spans="1:12" s="1090" customFormat="1">
      <c r="A845" s="847">
        <v>45155</v>
      </c>
      <c r="B845" s="848" t="s">
        <v>3960</v>
      </c>
      <c r="C845" s="849">
        <v>84</v>
      </c>
      <c r="D845" s="847">
        <v>45239</v>
      </c>
      <c r="E845" s="850">
        <v>20</v>
      </c>
      <c r="F845" s="850">
        <v>21.35</v>
      </c>
      <c r="G845" s="850">
        <v>20</v>
      </c>
      <c r="H845" s="850">
        <v>0</v>
      </c>
      <c r="I845" s="851">
        <v>7.8E-2</v>
      </c>
      <c r="J845" s="851">
        <v>8.7999999999999995E-2</v>
      </c>
      <c r="K845" s="851">
        <v>8.5599999999999996E-2</v>
      </c>
      <c r="L845" s="849">
        <v>7</v>
      </c>
    </row>
    <row r="846" spans="1:12" s="1090" customFormat="1">
      <c r="A846" s="847">
        <v>45155</v>
      </c>
      <c r="B846" s="848" t="s">
        <v>3961</v>
      </c>
      <c r="C846" s="849">
        <v>252</v>
      </c>
      <c r="D846" s="847">
        <v>45407</v>
      </c>
      <c r="E846" s="850">
        <v>20</v>
      </c>
      <c r="F846" s="850">
        <v>25.43</v>
      </c>
      <c r="G846" s="850">
        <v>20</v>
      </c>
      <c r="H846" s="850">
        <v>0</v>
      </c>
      <c r="I846" s="851">
        <v>9.0999999999999998E-2</v>
      </c>
      <c r="J846" s="851">
        <v>9.2999999999999999E-2</v>
      </c>
      <c r="K846" s="851">
        <v>9.2299999999999993E-2</v>
      </c>
      <c r="L846" s="849">
        <v>5</v>
      </c>
    </row>
    <row r="847" spans="1:12" s="1090" customFormat="1">
      <c r="A847" s="847">
        <v>45161</v>
      </c>
      <c r="B847" s="848" t="s">
        <v>3962</v>
      </c>
      <c r="C847" s="849">
        <v>28</v>
      </c>
      <c r="D847" s="847">
        <v>45189</v>
      </c>
      <c r="E847" s="850">
        <v>20</v>
      </c>
      <c r="F847" s="850">
        <v>25.43</v>
      </c>
      <c r="G847" s="850">
        <v>20</v>
      </c>
      <c r="H847" s="850">
        <v>0</v>
      </c>
      <c r="I847" s="851">
        <v>8.2699999999999996E-2</v>
      </c>
      <c r="J847" s="851">
        <v>8.3000000000000004E-2</v>
      </c>
      <c r="K847" s="851">
        <v>8.2900000000000001E-2</v>
      </c>
      <c r="L847" s="849">
        <v>2</v>
      </c>
    </row>
    <row r="848" spans="1:12" s="1090" customFormat="1">
      <c r="A848" s="847">
        <v>45161</v>
      </c>
      <c r="B848" s="848" t="s">
        <v>3963</v>
      </c>
      <c r="C848" s="849">
        <v>168</v>
      </c>
      <c r="D848" s="847">
        <v>45329</v>
      </c>
      <c r="E848" s="850">
        <v>20</v>
      </c>
      <c r="F848" s="850">
        <v>5.5</v>
      </c>
      <c r="G848" s="850">
        <v>20</v>
      </c>
      <c r="H848" s="850">
        <v>0</v>
      </c>
      <c r="I848" s="851">
        <v>8.5500000000000007E-2</v>
      </c>
      <c r="J848" s="851">
        <v>8.6499999999999994E-2</v>
      </c>
      <c r="K848" s="851">
        <v>8.5900000000000004E-2</v>
      </c>
      <c r="L848" s="849">
        <v>4</v>
      </c>
    </row>
    <row r="849" spans="1:12" s="1090" customFormat="1">
      <c r="A849" s="847">
        <v>45162</v>
      </c>
      <c r="B849" s="848" t="s">
        <v>3964</v>
      </c>
      <c r="C849" s="849">
        <v>84</v>
      </c>
      <c r="D849" s="847">
        <v>45246</v>
      </c>
      <c r="E849" s="850">
        <v>20</v>
      </c>
      <c r="F849" s="850">
        <v>24.45</v>
      </c>
      <c r="G849" s="850">
        <v>20</v>
      </c>
      <c r="H849" s="850">
        <v>0</v>
      </c>
      <c r="I849" s="851">
        <v>8.4699999999999998E-2</v>
      </c>
      <c r="J849" s="851">
        <v>8.5000000000000006E-2</v>
      </c>
      <c r="K849" s="851">
        <v>8.48E-2</v>
      </c>
      <c r="L849" s="849">
        <v>4</v>
      </c>
    </row>
    <row r="850" spans="1:12" s="1090" customFormat="1">
      <c r="A850" s="847">
        <v>45162</v>
      </c>
      <c r="B850" s="848" t="s">
        <v>3965</v>
      </c>
      <c r="C850" s="849">
        <v>252</v>
      </c>
      <c r="D850" s="847">
        <v>45414</v>
      </c>
      <c r="E850" s="850">
        <v>20</v>
      </c>
      <c r="F850" s="850">
        <v>37.229999999999997</v>
      </c>
      <c r="G850" s="850">
        <v>20</v>
      </c>
      <c r="H850" s="850">
        <v>0</v>
      </c>
      <c r="I850" s="851">
        <v>9.1499999999999998E-2</v>
      </c>
      <c r="J850" s="851">
        <v>9.1999999999999998E-2</v>
      </c>
      <c r="K850" s="851">
        <v>9.1800000000000007E-2</v>
      </c>
      <c r="L850" s="849">
        <v>5</v>
      </c>
    </row>
    <row r="851" spans="1:12" s="1090" customFormat="1">
      <c r="A851" s="847">
        <v>45168</v>
      </c>
      <c r="B851" s="848" t="s">
        <v>3966</v>
      </c>
      <c r="C851" s="849">
        <v>28</v>
      </c>
      <c r="D851" s="847">
        <v>45196</v>
      </c>
      <c r="E851" s="850">
        <v>20</v>
      </c>
      <c r="F851" s="850">
        <v>27.67</v>
      </c>
      <c r="G851" s="850">
        <v>20</v>
      </c>
      <c r="H851" s="850">
        <v>0</v>
      </c>
      <c r="I851" s="851">
        <v>8.1000000000000003E-2</v>
      </c>
      <c r="J851" s="851">
        <v>8.2900000000000001E-2</v>
      </c>
      <c r="K851" s="851">
        <v>8.2000000000000003E-2</v>
      </c>
      <c r="L851" s="849">
        <v>4</v>
      </c>
    </row>
    <row r="852" spans="1:12" s="1090" customFormat="1">
      <c r="A852" s="847">
        <v>45168</v>
      </c>
      <c r="B852" s="848" t="s">
        <v>3967</v>
      </c>
      <c r="C852" s="849">
        <v>168</v>
      </c>
      <c r="D852" s="847">
        <v>45336</v>
      </c>
      <c r="E852" s="850">
        <v>20</v>
      </c>
      <c r="F852" s="850">
        <v>38.44</v>
      </c>
      <c r="G852" s="850">
        <v>20</v>
      </c>
      <c r="H852" s="850">
        <v>0</v>
      </c>
      <c r="I852" s="851">
        <v>8.3000000000000004E-2</v>
      </c>
      <c r="J852" s="851">
        <v>8.5199999999999998E-2</v>
      </c>
      <c r="K852" s="851">
        <v>8.4599999999999995E-2</v>
      </c>
      <c r="L852" s="849">
        <v>3</v>
      </c>
    </row>
    <row r="853" spans="1:12" s="1090" customFormat="1">
      <c r="A853" s="847">
        <v>45169</v>
      </c>
      <c r="B853" s="848" t="s">
        <v>3968</v>
      </c>
      <c r="C853" s="849">
        <v>84</v>
      </c>
      <c r="D853" s="847">
        <v>45253</v>
      </c>
      <c r="E853" s="850">
        <v>20</v>
      </c>
      <c r="F853" s="850">
        <v>50.05</v>
      </c>
      <c r="G853" s="850">
        <v>20</v>
      </c>
      <c r="H853" s="850">
        <v>0</v>
      </c>
      <c r="I853" s="851">
        <v>0.08</v>
      </c>
      <c r="J853" s="851">
        <v>0.08</v>
      </c>
      <c r="K853" s="851">
        <v>0.08</v>
      </c>
      <c r="L853" s="849">
        <v>1</v>
      </c>
    </row>
    <row r="854" spans="1:12" s="1090" customFormat="1">
      <c r="A854" s="847">
        <v>45169</v>
      </c>
      <c r="B854" s="848" t="s">
        <v>3969</v>
      </c>
      <c r="C854" s="849">
        <v>252</v>
      </c>
      <c r="D854" s="847">
        <v>45421</v>
      </c>
      <c r="E854" s="850">
        <v>20</v>
      </c>
      <c r="F854" s="850">
        <v>54.31</v>
      </c>
      <c r="G854" s="850">
        <v>20</v>
      </c>
      <c r="H854" s="850">
        <v>0</v>
      </c>
      <c r="I854" s="851">
        <v>0.09</v>
      </c>
      <c r="J854" s="851">
        <v>0.09</v>
      </c>
      <c r="K854" s="851">
        <v>0.09</v>
      </c>
      <c r="L854" s="849">
        <v>2</v>
      </c>
    </row>
    <row r="855" spans="1:12" s="1090" customFormat="1">
      <c r="A855" s="847">
        <v>45170</v>
      </c>
      <c r="B855" s="848" t="s">
        <v>3983</v>
      </c>
      <c r="C855" s="849">
        <v>7</v>
      </c>
      <c r="D855" s="847">
        <v>45177</v>
      </c>
      <c r="E855" s="850">
        <v>30</v>
      </c>
      <c r="F855" s="850">
        <v>12.5</v>
      </c>
      <c r="G855" s="850">
        <v>12.5</v>
      </c>
      <c r="H855" s="850">
        <v>0</v>
      </c>
      <c r="I855" s="851">
        <v>7.9000000000000001E-2</v>
      </c>
      <c r="J855" s="851">
        <v>8.5000000000000006E-2</v>
      </c>
      <c r="K855" s="851">
        <v>8.2100000000000006E-2</v>
      </c>
      <c r="L855" s="849">
        <v>5</v>
      </c>
    </row>
    <row r="856" spans="1:12" s="1090" customFormat="1">
      <c r="A856" s="847">
        <v>45175</v>
      </c>
      <c r="B856" s="848" t="s">
        <v>3984</v>
      </c>
      <c r="C856" s="849">
        <v>28</v>
      </c>
      <c r="D856" s="847">
        <v>45203</v>
      </c>
      <c r="E856" s="850">
        <v>20</v>
      </c>
      <c r="F856" s="850">
        <v>17.07</v>
      </c>
      <c r="G856" s="850">
        <v>17.07</v>
      </c>
      <c r="H856" s="850">
        <v>0</v>
      </c>
      <c r="I856" s="851">
        <v>0.08</v>
      </c>
      <c r="J856" s="851">
        <v>8.5000000000000006E-2</v>
      </c>
      <c r="K856" s="851">
        <v>8.1600000000000006E-2</v>
      </c>
      <c r="L856" s="849">
        <v>5</v>
      </c>
    </row>
    <row r="857" spans="1:12" s="1090" customFormat="1">
      <c r="A857" s="847">
        <v>45175</v>
      </c>
      <c r="B857" s="848" t="s">
        <v>3985</v>
      </c>
      <c r="C857" s="849">
        <v>168</v>
      </c>
      <c r="D857" s="847">
        <v>45343</v>
      </c>
      <c r="E857" s="850">
        <v>20</v>
      </c>
      <c r="F857" s="850">
        <v>31.15</v>
      </c>
      <c r="G857" s="850">
        <v>20</v>
      </c>
      <c r="H857" s="850">
        <v>0</v>
      </c>
      <c r="I857" s="851">
        <v>8.2500000000000004E-2</v>
      </c>
      <c r="J857" s="851">
        <v>8.3000000000000004E-2</v>
      </c>
      <c r="K857" s="851">
        <v>8.2900000000000001E-2</v>
      </c>
      <c r="L857" s="849">
        <v>4</v>
      </c>
    </row>
    <row r="858" spans="1:12" s="1090" customFormat="1">
      <c r="A858" s="847">
        <v>45176</v>
      </c>
      <c r="B858" s="848" t="s">
        <v>3986</v>
      </c>
      <c r="C858" s="849">
        <v>84</v>
      </c>
      <c r="D858" s="847">
        <v>45260</v>
      </c>
      <c r="E858" s="850">
        <v>20</v>
      </c>
      <c r="F858" s="850">
        <v>21.36</v>
      </c>
      <c r="G858" s="850">
        <v>20</v>
      </c>
      <c r="H858" s="850">
        <v>0</v>
      </c>
      <c r="I858" s="851">
        <v>7.9500000000000001E-2</v>
      </c>
      <c r="J858" s="851">
        <v>8.3699999999999997E-2</v>
      </c>
      <c r="K858" s="851">
        <v>8.2400000000000001E-2</v>
      </c>
      <c r="L858" s="849">
        <v>6</v>
      </c>
    </row>
    <row r="859" spans="1:12" s="1090" customFormat="1">
      <c r="A859" s="847">
        <v>45176</v>
      </c>
      <c r="B859" s="848" t="s">
        <v>3987</v>
      </c>
      <c r="C859" s="849">
        <v>252</v>
      </c>
      <c r="D859" s="847">
        <v>45428</v>
      </c>
      <c r="E859" s="850">
        <v>20</v>
      </c>
      <c r="F859" s="850">
        <v>39.270000000000003</v>
      </c>
      <c r="G859" s="850">
        <v>20</v>
      </c>
      <c r="H859" s="850">
        <v>0</v>
      </c>
      <c r="I859" s="851">
        <v>8.7900000000000006E-2</v>
      </c>
      <c r="J859" s="851">
        <v>8.8999999999999996E-2</v>
      </c>
      <c r="K859" s="851">
        <v>8.8599999999999998E-2</v>
      </c>
      <c r="L859" s="849">
        <v>4</v>
      </c>
    </row>
    <row r="860" spans="1:12" s="1090" customFormat="1">
      <c r="A860" s="847">
        <v>45177</v>
      </c>
      <c r="B860" s="848" t="s">
        <v>3988</v>
      </c>
      <c r="C860" s="849">
        <v>7</v>
      </c>
      <c r="D860" s="847">
        <v>45184</v>
      </c>
      <c r="E860" s="850">
        <v>20</v>
      </c>
      <c r="F860" s="850">
        <v>20.11</v>
      </c>
      <c r="G860" s="850">
        <v>20</v>
      </c>
      <c r="H860" s="850">
        <v>0</v>
      </c>
      <c r="I860" s="851">
        <v>0.08</v>
      </c>
      <c r="J860" s="851">
        <v>8.7999999999999995E-2</v>
      </c>
      <c r="K860" s="851">
        <v>8.3299999999999999E-2</v>
      </c>
      <c r="L860" s="849">
        <v>5</v>
      </c>
    </row>
    <row r="861" spans="1:12" s="1090" customFormat="1">
      <c r="A861" s="847">
        <v>45182</v>
      </c>
      <c r="B861" s="848" t="s">
        <v>3989</v>
      </c>
      <c r="C861" s="849">
        <v>28</v>
      </c>
      <c r="D861" s="847">
        <v>45210</v>
      </c>
      <c r="E861" s="850">
        <v>20</v>
      </c>
      <c r="F861" s="850">
        <v>38.29</v>
      </c>
      <c r="G861" s="850">
        <v>20</v>
      </c>
      <c r="H861" s="850">
        <v>0</v>
      </c>
      <c r="I861" s="851">
        <v>8.0299999999999996E-2</v>
      </c>
      <c r="J861" s="851">
        <v>8.0299999999999996E-2</v>
      </c>
      <c r="K861" s="851">
        <v>8.0299999999999996E-2</v>
      </c>
      <c r="L861" s="849">
        <v>1</v>
      </c>
    </row>
    <row r="862" spans="1:12" s="1090" customFormat="1">
      <c r="A862" s="847">
        <v>45182</v>
      </c>
      <c r="B862" s="848" t="s">
        <v>3990</v>
      </c>
      <c r="C862" s="849">
        <v>168</v>
      </c>
      <c r="D862" s="847">
        <v>45350</v>
      </c>
      <c r="E862" s="850">
        <v>20</v>
      </c>
      <c r="F862" s="850">
        <v>74.25</v>
      </c>
      <c r="G862" s="850">
        <v>20</v>
      </c>
      <c r="H862" s="850">
        <v>0</v>
      </c>
      <c r="I862" s="851">
        <v>8.1699999999999995E-2</v>
      </c>
      <c r="J862" s="851">
        <v>8.2000000000000003E-2</v>
      </c>
      <c r="K862" s="851">
        <v>8.2000000000000003E-2</v>
      </c>
      <c r="L862" s="849">
        <v>3</v>
      </c>
    </row>
    <row r="863" spans="1:12" s="1090" customFormat="1">
      <c r="A863" s="847">
        <v>45183</v>
      </c>
      <c r="B863" s="848" t="s">
        <v>3991</v>
      </c>
      <c r="C863" s="849">
        <v>84</v>
      </c>
      <c r="D863" s="847">
        <v>45267</v>
      </c>
      <c r="E863" s="850">
        <v>20</v>
      </c>
      <c r="F863" s="850">
        <v>30.77</v>
      </c>
      <c r="G863" s="850">
        <v>20</v>
      </c>
      <c r="H863" s="850">
        <v>0</v>
      </c>
      <c r="I863" s="851">
        <v>8.2000000000000003E-2</v>
      </c>
      <c r="J863" s="851">
        <v>8.2100000000000006E-2</v>
      </c>
      <c r="K863" s="851">
        <v>8.2100000000000006E-2</v>
      </c>
      <c r="L863" s="849">
        <v>2</v>
      </c>
    </row>
    <row r="864" spans="1:12" s="1090" customFormat="1">
      <c r="A864" s="847">
        <v>45183</v>
      </c>
      <c r="B864" s="848" t="s">
        <v>3992</v>
      </c>
      <c r="C864" s="849">
        <v>252</v>
      </c>
      <c r="D864" s="847">
        <v>45435</v>
      </c>
      <c r="E864" s="850">
        <v>20</v>
      </c>
      <c r="F864" s="850">
        <v>57.24</v>
      </c>
      <c r="G864" s="850">
        <v>20</v>
      </c>
      <c r="H864" s="850">
        <v>0</v>
      </c>
      <c r="I864" s="851">
        <v>8.5599999999999996E-2</v>
      </c>
      <c r="J864" s="851">
        <v>8.6499999999999994E-2</v>
      </c>
      <c r="K864" s="851">
        <v>8.5699999999999998E-2</v>
      </c>
      <c r="L864" s="849">
        <v>3</v>
      </c>
    </row>
    <row r="865" spans="1:12" s="1090" customFormat="1">
      <c r="A865" s="847">
        <v>45189</v>
      </c>
      <c r="B865" s="848" t="s">
        <v>3993</v>
      </c>
      <c r="C865" s="849">
        <v>168</v>
      </c>
      <c r="D865" s="847">
        <v>45357</v>
      </c>
      <c r="E865" s="850">
        <v>20</v>
      </c>
      <c r="F865" s="850">
        <v>56.16</v>
      </c>
      <c r="G865" s="850">
        <v>20</v>
      </c>
      <c r="H865" s="850">
        <v>0</v>
      </c>
      <c r="I865" s="851">
        <v>8.0500000000000002E-2</v>
      </c>
      <c r="J865" s="851">
        <v>8.0500000000000002E-2</v>
      </c>
      <c r="K865" s="851">
        <v>8.0500000000000002E-2</v>
      </c>
      <c r="L865" s="849">
        <v>2</v>
      </c>
    </row>
    <row r="866" spans="1:12" s="1090" customFormat="1">
      <c r="A866" s="847">
        <v>45190</v>
      </c>
      <c r="B866" s="848" t="s">
        <v>3994</v>
      </c>
      <c r="C866" s="849">
        <v>252</v>
      </c>
      <c r="D866" s="847">
        <v>45442</v>
      </c>
      <c r="E866" s="850">
        <v>20</v>
      </c>
      <c r="F866" s="850">
        <v>59.06</v>
      </c>
      <c r="G866" s="850">
        <v>20</v>
      </c>
      <c r="H866" s="850">
        <v>0</v>
      </c>
      <c r="I866" s="851">
        <v>8.4500000000000006E-2</v>
      </c>
      <c r="J866" s="851">
        <v>8.4900000000000003E-2</v>
      </c>
      <c r="K866" s="851">
        <v>8.4900000000000003E-2</v>
      </c>
      <c r="L866" s="849">
        <v>4</v>
      </c>
    </row>
    <row r="867" spans="1:12" s="1090" customFormat="1">
      <c r="A867" s="847">
        <v>45196</v>
      </c>
      <c r="B867" s="848" t="s">
        <v>3995</v>
      </c>
      <c r="C867" s="849">
        <v>168</v>
      </c>
      <c r="D867" s="847">
        <v>45364</v>
      </c>
      <c r="E867" s="850">
        <v>20</v>
      </c>
      <c r="F867" s="850">
        <v>43.06</v>
      </c>
      <c r="G867" s="850">
        <v>20</v>
      </c>
      <c r="H867" s="850">
        <v>0</v>
      </c>
      <c r="I867" s="851">
        <v>8.0500000000000002E-2</v>
      </c>
      <c r="J867" s="851">
        <v>8.0500000000000002E-2</v>
      </c>
      <c r="K867" s="851">
        <v>8.0500000000000002E-2</v>
      </c>
      <c r="L867" s="849">
        <v>2</v>
      </c>
    </row>
    <row r="868" spans="1:12" s="1090" customFormat="1">
      <c r="A868" s="847">
        <v>45197</v>
      </c>
      <c r="B868" s="848" t="s">
        <v>3996</v>
      </c>
      <c r="C868" s="849">
        <v>84</v>
      </c>
      <c r="D868" s="847">
        <v>45281</v>
      </c>
      <c r="E868" s="850">
        <v>20</v>
      </c>
      <c r="F868" s="850">
        <v>32.51</v>
      </c>
      <c r="G868" s="850">
        <v>20</v>
      </c>
      <c r="H868" s="850">
        <v>0</v>
      </c>
      <c r="I868" s="851">
        <v>8.1000000000000003E-2</v>
      </c>
      <c r="J868" s="851">
        <v>8.1500000000000003E-2</v>
      </c>
      <c r="K868" s="851">
        <v>8.1299999999999997E-2</v>
      </c>
      <c r="L868" s="849">
        <v>2</v>
      </c>
    </row>
    <row r="869" spans="1:12" s="1090" customFormat="1">
      <c r="A869" s="847">
        <v>45197</v>
      </c>
      <c r="B869" s="848" t="s">
        <v>3997</v>
      </c>
      <c r="C869" s="849">
        <v>252</v>
      </c>
      <c r="D869" s="847">
        <v>45449</v>
      </c>
      <c r="E869" s="850">
        <v>20</v>
      </c>
      <c r="F869" s="850">
        <v>43.06</v>
      </c>
      <c r="G869" s="850">
        <v>20</v>
      </c>
      <c r="H869" s="850">
        <v>0</v>
      </c>
      <c r="I869" s="851">
        <v>8.3900000000000002E-2</v>
      </c>
      <c r="J869" s="851">
        <v>8.48E-2</v>
      </c>
      <c r="K869" s="851">
        <v>8.4599999999999995E-2</v>
      </c>
      <c r="L869" s="849">
        <v>6</v>
      </c>
    </row>
    <row r="870" spans="1:12" s="1090" customFormat="1">
      <c r="A870" s="847">
        <v>45203</v>
      </c>
      <c r="B870" s="848" t="s">
        <v>4006</v>
      </c>
      <c r="C870" s="849">
        <v>168</v>
      </c>
      <c r="D870" s="847">
        <v>45371</v>
      </c>
      <c r="E870" s="850">
        <v>20</v>
      </c>
      <c r="F870" s="850">
        <v>55.13</v>
      </c>
      <c r="G870" s="850">
        <v>20</v>
      </c>
      <c r="H870" s="850">
        <v>0</v>
      </c>
      <c r="I870" s="851">
        <v>0.08</v>
      </c>
      <c r="J870" s="851">
        <v>8.1900000000000001E-2</v>
      </c>
      <c r="K870" s="851">
        <v>8.1600000000000006E-2</v>
      </c>
      <c r="L870" s="849">
        <v>5</v>
      </c>
    </row>
    <row r="871" spans="1:12" s="1090" customFormat="1">
      <c r="A871" s="847">
        <v>45204</v>
      </c>
      <c r="B871" s="848" t="s">
        <v>4007</v>
      </c>
      <c r="C871" s="849">
        <v>84</v>
      </c>
      <c r="D871" s="847">
        <v>45288</v>
      </c>
      <c r="E871" s="850">
        <v>20</v>
      </c>
      <c r="F871" s="850">
        <v>33.590000000000003</v>
      </c>
      <c r="G871" s="850">
        <v>20</v>
      </c>
      <c r="H871" s="850">
        <v>0</v>
      </c>
      <c r="I871" s="851">
        <v>8.1000000000000003E-2</v>
      </c>
      <c r="J871" s="851">
        <v>8.1299999999999997E-2</v>
      </c>
      <c r="K871" s="851">
        <v>8.1100000000000005E-2</v>
      </c>
      <c r="L871" s="849">
        <v>3</v>
      </c>
    </row>
    <row r="872" spans="1:12" s="1090" customFormat="1">
      <c r="A872" s="847">
        <v>45204</v>
      </c>
      <c r="B872" s="848" t="s">
        <v>4008</v>
      </c>
      <c r="C872" s="849">
        <v>252</v>
      </c>
      <c r="D872" s="847">
        <v>45456</v>
      </c>
      <c r="E872" s="850">
        <v>20</v>
      </c>
      <c r="F872" s="850">
        <v>43.16</v>
      </c>
      <c r="G872" s="850">
        <v>20</v>
      </c>
      <c r="H872" s="850">
        <v>0</v>
      </c>
      <c r="I872" s="851">
        <v>8.3500000000000005E-2</v>
      </c>
      <c r="J872" s="851">
        <v>8.3799999999999999E-2</v>
      </c>
      <c r="K872" s="851">
        <v>8.3599999999999994E-2</v>
      </c>
      <c r="L872" s="849">
        <v>2</v>
      </c>
    </row>
    <row r="873" spans="1:12" s="1090" customFormat="1">
      <c r="A873" s="847">
        <v>45210</v>
      </c>
      <c r="B873" s="848" t="s">
        <v>4009</v>
      </c>
      <c r="C873" s="849">
        <v>168</v>
      </c>
      <c r="D873" s="847">
        <v>45378</v>
      </c>
      <c r="E873" s="850">
        <v>20</v>
      </c>
      <c r="F873" s="850">
        <v>55.47</v>
      </c>
      <c r="G873" s="850">
        <v>20</v>
      </c>
      <c r="H873" s="850">
        <v>0</v>
      </c>
      <c r="I873" s="851">
        <v>8.0500000000000002E-2</v>
      </c>
      <c r="J873" s="851">
        <v>8.2000000000000003E-2</v>
      </c>
      <c r="K873" s="851">
        <v>8.1699999999999995E-2</v>
      </c>
      <c r="L873" s="849">
        <v>4</v>
      </c>
    </row>
    <row r="874" spans="1:12" s="1090" customFormat="1">
      <c r="A874" s="847">
        <v>45211</v>
      </c>
      <c r="B874" s="848" t="s">
        <v>4010</v>
      </c>
      <c r="C874" s="849">
        <v>84</v>
      </c>
      <c r="D874" s="847">
        <v>45295</v>
      </c>
      <c r="E874" s="850">
        <v>20</v>
      </c>
      <c r="F874" s="850">
        <v>25.03</v>
      </c>
      <c r="G874" s="850">
        <v>20</v>
      </c>
      <c r="H874" s="850">
        <v>0</v>
      </c>
      <c r="I874" s="851">
        <v>8.1000000000000003E-2</v>
      </c>
      <c r="J874" s="851">
        <v>8.1900000000000001E-2</v>
      </c>
      <c r="K874" s="851">
        <v>8.1699999999999995E-2</v>
      </c>
      <c r="L874" s="849">
        <v>4</v>
      </c>
    </row>
    <row r="875" spans="1:12" s="1090" customFormat="1">
      <c r="A875" s="847">
        <v>45211</v>
      </c>
      <c r="B875" s="848" t="s">
        <v>4011</v>
      </c>
      <c r="C875" s="849">
        <v>252</v>
      </c>
      <c r="D875" s="847">
        <v>45463</v>
      </c>
      <c r="E875" s="850">
        <v>20</v>
      </c>
      <c r="F875" s="850">
        <v>55.47</v>
      </c>
      <c r="G875" s="850">
        <v>20</v>
      </c>
      <c r="H875" s="850">
        <v>0</v>
      </c>
      <c r="I875" s="851">
        <v>8.3000000000000004E-2</v>
      </c>
      <c r="J875" s="851">
        <v>8.3500000000000005E-2</v>
      </c>
      <c r="K875" s="851">
        <v>8.3400000000000002E-2</v>
      </c>
      <c r="L875" s="849">
        <v>6</v>
      </c>
    </row>
    <row r="876" spans="1:12" s="1090" customFormat="1">
      <c r="A876" s="847">
        <v>45218</v>
      </c>
      <c r="B876" s="848" t="s">
        <v>4012</v>
      </c>
      <c r="C876" s="849">
        <v>84</v>
      </c>
      <c r="D876" s="847">
        <v>45302</v>
      </c>
      <c r="E876" s="850">
        <v>20</v>
      </c>
      <c r="F876" s="850">
        <v>42.39</v>
      </c>
      <c r="G876" s="850">
        <v>20</v>
      </c>
      <c r="H876" s="850">
        <v>0</v>
      </c>
      <c r="I876" s="851">
        <v>8.1500000000000003E-2</v>
      </c>
      <c r="J876" s="851">
        <v>8.1500000000000003E-2</v>
      </c>
      <c r="K876" s="851">
        <v>8.1500000000000003E-2</v>
      </c>
      <c r="L876" s="849">
        <v>3</v>
      </c>
    </row>
    <row r="877" spans="1:12" s="1090" customFormat="1">
      <c r="A877" s="847">
        <v>45218</v>
      </c>
      <c r="B877" s="848" t="s">
        <v>4013</v>
      </c>
      <c r="C877" s="849">
        <v>252</v>
      </c>
      <c r="D877" s="847">
        <v>45470</v>
      </c>
      <c r="E877" s="850">
        <v>20</v>
      </c>
      <c r="F877" s="850">
        <v>36.61</v>
      </c>
      <c r="G877" s="850">
        <v>20</v>
      </c>
      <c r="H877" s="850">
        <v>0</v>
      </c>
      <c r="I877" s="851">
        <v>8.2799999999999999E-2</v>
      </c>
      <c r="J877" s="851">
        <v>8.2799999999999999E-2</v>
      </c>
      <c r="K877" s="851">
        <v>8.2799999999999999E-2</v>
      </c>
      <c r="L877" s="849">
        <v>1</v>
      </c>
    </row>
    <row r="878" spans="1:12" s="1090" customFormat="1">
      <c r="A878" s="847">
        <v>45224</v>
      </c>
      <c r="B878" s="848" t="s">
        <v>4014</v>
      </c>
      <c r="C878" s="849">
        <v>168</v>
      </c>
      <c r="D878" s="847">
        <v>45392</v>
      </c>
      <c r="E878" s="850">
        <v>20</v>
      </c>
      <c r="F878" s="850">
        <v>33.19</v>
      </c>
      <c r="G878" s="850">
        <v>20</v>
      </c>
      <c r="H878" s="850">
        <v>0</v>
      </c>
      <c r="I878" s="851">
        <v>8.0500000000000002E-2</v>
      </c>
      <c r="J878" s="851">
        <v>8.1500000000000003E-2</v>
      </c>
      <c r="K878" s="851">
        <v>8.09E-2</v>
      </c>
      <c r="L878" s="849">
        <v>4</v>
      </c>
    </row>
    <row r="879" spans="1:12" s="1090" customFormat="1">
      <c r="A879" s="847">
        <v>45225</v>
      </c>
      <c r="B879" s="848" t="s">
        <v>4015</v>
      </c>
      <c r="C879" s="849">
        <v>252</v>
      </c>
      <c r="D879" s="847">
        <v>45477</v>
      </c>
      <c r="E879" s="850">
        <v>20</v>
      </c>
      <c r="F879" s="850">
        <v>41.21</v>
      </c>
      <c r="G879" s="850">
        <v>20</v>
      </c>
      <c r="H879" s="850">
        <v>0</v>
      </c>
      <c r="I879" s="851">
        <v>8.1900000000000001E-2</v>
      </c>
      <c r="J879" s="851">
        <v>8.2299999999999998E-2</v>
      </c>
      <c r="K879" s="851">
        <v>8.2100000000000006E-2</v>
      </c>
      <c r="L879" s="849">
        <v>4</v>
      </c>
    </row>
    <row r="880" spans="1:12" s="1090" customFormat="1">
      <c r="A880" s="847">
        <v>45232</v>
      </c>
      <c r="B880" s="848" t="s">
        <v>4026</v>
      </c>
      <c r="C880" s="849">
        <v>252</v>
      </c>
      <c r="D880" s="847">
        <v>45484</v>
      </c>
      <c r="E880" s="850">
        <v>20</v>
      </c>
      <c r="F880" s="850">
        <v>32.71</v>
      </c>
      <c r="G880" s="850">
        <v>20</v>
      </c>
      <c r="H880" s="850">
        <v>0</v>
      </c>
      <c r="I880" s="851">
        <v>7.8E-2</v>
      </c>
      <c r="J880" s="851">
        <v>8.1000000000000003E-2</v>
      </c>
      <c r="K880" s="851">
        <v>8.0199999999999994E-2</v>
      </c>
      <c r="L880" s="849">
        <v>6</v>
      </c>
    </row>
    <row r="881" spans="1:12" s="1090" customFormat="1">
      <c r="A881" s="847">
        <v>45245</v>
      </c>
      <c r="B881" s="848" t="s">
        <v>4027</v>
      </c>
      <c r="C881" s="849">
        <v>168</v>
      </c>
      <c r="D881" s="847">
        <v>45413</v>
      </c>
      <c r="E881" s="850">
        <v>20</v>
      </c>
      <c r="F881" s="850">
        <v>50.36</v>
      </c>
      <c r="G881" s="850">
        <v>20</v>
      </c>
      <c r="H881" s="850">
        <v>0</v>
      </c>
      <c r="I881" s="851">
        <v>7.6799999999999993E-2</v>
      </c>
      <c r="J881" s="851">
        <v>7.6799999999999993E-2</v>
      </c>
      <c r="K881" s="851">
        <v>7.6799999999999993E-2</v>
      </c>
      <c r="L881" s="849">
        <v>5</v>
      </c>
    </row>
    <row r="882" spans="1:12" s="1090" customFormat="1">
      <c r="A882" s="847">
        <v>45246</v>
      </c>
      <c r="B882" s="848" t="s">
        <v>4028</v>
      </c>
      <c r="C882" s="849">
        <v>252</v>
      </c>
      <c r="D882" s="847">
        <v>45498</v>
      </c>
      <c r="E882" s="850">
        <v>20</v>
      </c>
      <c r="F882" s="850">
        <v>57.27</v>
      </c>
      <c r="G882" s="850">
        <v>20</v>
      </c>
      <c r="H882" s="850">
        <v>0</v>
      </c>
      <c r="I882" s="851">
        <v>7.7499999999999999E-2</v>
      </c>
      <c r="J882" s="851">
        <v>7.85E-2</v>
      </c>
      <c r="K882" s="851">
        <v>7.8399999999999997E-2</v>
      </c>
      <c r="L882" s="849">
        <v>7</v>
      </c>
    </row>
    <row r="883" spans="1:12" s="1090" customFormat="1">
      <c r="A883" s="847">
        <v>45252</v>
      </c>
      <c r="B883" s="848" t="s">
        <v>4029</v>
      </c>
      <c r="C883" s="849">
        <v>168</v>
      </c>
      <c r="D883" s="847">
        <v>45420</v>
      </c>
      <c r="E883" s="850">
        <v>20</v>
      </c>
      <c r="F883" s="850">
        <v>28.44</v>
      </c>
      <c r="G883" s="850">
        <v>20</v>
      </c>
      <c r="H883" s="850">
        <v>0</v>
      </c>
      <c r="I883" s="851">
        <v>7.5999999999999998E-2</v>
      </c>
      <c r="J883" s="851">
        <v>7.6999999999999999E-2</v>
      </c>
      <c r="K883" s="851">
        <v>7.6700000000000004E-2</v>
      </c>
      <c r="L883" s="849">
        <v>7</v>
      </c>
    </row>
    <row r="884" spans="1:12" s="1090" customFormat="1">
      <c r="A884" s="847">
        <v>45253</v>
      </c>
      <c r="B884" s="848" t="s">
        <v>4030</v>
      </c>
      <c r="C884" s="849">
        <v>252</v>
      </c>
      <c r="D884" s="847">
        <v>45505</v>
      </c>
      <c r="E884" s="850">
        <v>20</v>
      </c>
      <c r="F884" s="850">
        <v>33.07</v>
      </c>
      <c r="G884" s="850">
        <v>20</v>
      </c>
      <c r="H884" s="850">
        <v>0</v>
      </c>
      <c r="I884" s="851">
        <v>7.8E-2</v>
      </c>
      <c r="J884" s="851">
        <v>7.8399999999999997E-2</v>
      </c>
      <c r="K884" s="851">
        <v>7.8200000000000006E-2</v>
      </c>
      <c r="L884" s="849">
        <v>8</v>
      </c>
    </row>
    <row r="885" spans="1:12" s="1090" customFormat="1">
      <c r="A885" s="847">
        <v>45259</v>
      </c>
      <c r="B885" s="848" t="s">
        <v>4031</v>
      </c>
      <c r="C885" s="849">
        <v>28</v>
      </c>
      <c r="D885" s="847">
        <v>45287</v>
      </c>
      <c r="E885" s="850">
        <v>20</v>
      </c>
      <c r="F885" s="850">
        <v>38.090000000000003</v>
      </c>
      <c r="G885" s="850">
        <v>20</v>
      </c>
      <c r="H885" s="850">
        <v>0</v>
      </c>
      <c r="I885" s="851">
        <v>7.3999999999999996E-2</v>
      </c>
      <c r="J885" s="851">
        <v>7.9799999999999996E-2</v>
      </c>
      <c r="K885" s="851">
        <v>7.8600000000000003E-2</v>
      </c>
      <c r="L885" s="849">
        <v>6</v>
      </c>
    </row>
    <row r="886" spans="1:12" s="1090" customFormat="1">
      <c r="A886" s="847">
        <v>45266</v>
      </c>
      <c r="B886" s="848" t="s">
        <v>4077</v>
      </c>
      <c r="C886" s="849">
        <v>168</v>
      </c>
      <c r="D886" s="847">
        <v>45434</v>
      </c>
      <c r="E886" s="850">
        <v>20</v>
      </c>
      <c r="F886" s="850">
        <v>28.45</v>
      </c>
      <c r="G886" s="850">
        <v>20</v>
      </c>
      <c r="H886" s="850">
        <v>0</v>
      </c>
      <c r="I886" s="851">
        <v>7.5999999999999998E-2</v>
      </c>
      <c r="J886" s="851">
        <v>7.8E-2</v>
      </c>
      <c r="K886" s="851">
        <v>7.7200000000000005E-2</v>
      </c>
      <c r="L886" s="849">
        <v>7</v>
      </c>
    </row>
    <row r="887" spans="1:12" s="1090" customFormat="1">
      <c r="A887" s="847">
        <v>45267</v>
      </c>
      <c r="B887" s="848" t="s">
        <v>4078</v>
      </c>
      <c r="C887" s="849">
        <v>252</v>
      </c>
      <c r="D887" s="847">
        <v>45519</v>
      </c>
      <c r="E887" s="850">
        <v>20</v>
      </c>
      <c r="F887" s="850">
        <v>23.49</v>
      </c>
      <c r="G887" s="850">
        <v>20</v>
      </c>
      <c r="H887" s="850">
        <v>0</v>
      </c>
      <c r="I887" s="851">
        <v>7.5999999999999998E-2</v>
      </c>
      <c r="J887" s="851">
        <v>7.9000000000000001E-2</v>
      </c>
      <c r="K887" s="851">
        <v>7.8200000000000006E-2</v>
      </c>
      <c r="L887" s="849">
        <v>7</v>
      </c>
    </row>
    <row r="888" spans="1:12" s="1090" customFormat="1">
      <c r="A888" s="847">
        <v>45273</v>
      </c>
      <c r="B888" s="848" t="s">
        <v>4079</v>
      </c>
      <c r="C888" s="849">
        <v>28</v>
      </c>
      <c r="D888" s="847">
        <v>45301</v>
      </c>
      <c r="E888" s="850">
        <v>20</v>
      </c>
      <c r="F888" s="850">
        <v>41.6</v>
      </c>
      <c r="G888" s="850">
        <v>20</v>
      </c>
      <c r="H888" s="850">
        <v>0</v>
      </c>
      <c r="I888" s="851">
        <v>7.0000000000000007E-2</v>
      </c>
      <c r="J888" s="851">
        <v>7.85E-2</v>
      </c>
      <c r="K888" s="851">
        <v>7.7600000000000002E-2</v>
      </c>
      <c r="L888" s="849">
        <v>6</v>
      </c>
    </row>
    <row r="889" spans="1:12" s="1090" customFormat="1">
      <c r="A889" s="847">
        <v>45274</v>
      </c>
      <c r="B889" s="848" t="s">
        <v>4080</v>
      </c>
      <c r="C889" s="849">
        <v>84</v>
      </c>
      <c r="D889" s="847">
        <v>45358</v>
      </c>
      <c r="E889" s="850">
        <v>20</v>
      </c>
      <c r="F889" s="850">
        <v>36.770000000000003</v>
      </c>
      <c r="G889" s="850">
        <v>20</v>
      </c>
      <c r="H889" s="850">
        <v>0</v>
      </c>
      <c r="I889" s="851">
        <v>7.4999999999999997E-2</v>
      </c>
      <c r="J889" s="851">
        <v>0.08</v>
      </c>
      <c r="K889" s="851">
        <v>7.8700000000000006E-2</v>
      </c>
      <c r="L889" s="849">
        <v>6</v>
      </c>
    </row>
    <row r="890" spans="1:12" s="1090" customFormat="1">
      <c r="A890" s="847">
        <v>45280</v>
      </c>
      <c r="B890" s="848" t="s">
        <v>4081</v>
      </c>
      <c r="C890" s="849">
        <v>168</v>
      </c>
      <c r="D890" s="847">
        <v>45448</v>
      </c>
      <c r="E890" s="850">
        <v>20</v>
      </c>
      <c r="F890" s="850">
        <v>37.619999999999997</v>
      </c>
      <c r="G890" s="850">
        <v>20</v>
      </c>
      <c r="H890" s="850">
        <v>0</v>
      </c>
      <c r="I890" s="851">
        <v>7.0000000000000007E-2</v>
      </c>
      <c r="J890" s="851">
        <v>7.6499999999999999E-2</v>
      </c>
      <c r="K890" s="851">
        <v>7.5399999999999995E-2</v>
      </c>
      <c r="L890" s="849">
        <v>8</v>
      </c>
    </row>
    <row r="891" spans="1:12" s="1090" customFormat="1">
      <c r="A891" s="847">
        <v>45281</v>
      </c>
      <c r="B891" s="848" t="s">
        <v>4082</v>
      </c>
      <c r="C891" s="849">
        <v>252</v>
      </c>
      <c r="D891" s="847">
        <v>45533</v>
      </c>
      <c r="E891" s="850">
        <v>20</v>
      </c>
      <c r="F891" s="850">
        <v>37.67</v>
      </c>
      <c r="G891" s="850">
        <v>20</v>
      </c>
      <c r="H891" s="850">
        <v>0</v>
      </c>
      <c r="I891" s="851">
        <v>7.4999999999999997E-2</v>
      </c>
      <c r="J891" s="851">
        <v>7.4999999999999997E-2</v>
      </c>
      <c r="K891" s="851">
        <v>7.4999999999999997E-2</v>
      </c>
      <c r="L891" s="849">
        <v>7</v>
      </c>
    </row>
    <row r="892" spans="1:12" s="1090" customFormat="1">
      <c r="A892" s="847">
        <v>45287</v>
      </c>
      <c r="B892" s="848" t="s">
        <v>4083</v>
      </c>
      <c r="C892" s="849">
        <v>28</v>
      </c>
      <c r="D892" s="847">
        <v>45315</v>
      </c>
      <c r="E892" s="850">
        <v>20</v>
      </c>
      <c r="F892" s="850">
        <v>55.16</v>
      </c>
      <c r="G892" s="850">
        <v>20</v>
      </c>
      <c r="H892" s="850">
        <v>0</v>
      </c>
      <c r="I892" s="851">
        <v>7.0999999999999994E-2</v>
      </c>
      <c r="J892" s="851">
        <v>7.1099999999999997E-2</v>
      </c>
      <c r="K892" s="851">
        <v>7.1099999999999997E-2</v>
      </c>
      <c r="L892" s="849">
        <v>6</v>
      </c>
    </row>
    <row r="893" spans="1:12" s="1090" customFormat="1">
      <c r="A893" s="847">
        <v>45288</v>
      </c>
      <c r="B893" s="848" t="s">
        <v>4084</v>
      </c>
      <c r="C893" s="849">
        <v>84</v>
      </c>
      <c r="D893" s="847">
        <v>45372</v>
      </c>
      <c r="E893" s="850">
        <v>20</v>
      </c>
      <c r="F893" s="850">
        <v>43.27</v>
      </c>
      <c r="G893" s="850">
        <v>20</v>
      </c>
      <c r="H893" s="850">
        <v>0</v>
      </c>
      <c r="I893" s="851">
        <v>7.0000000000000007E-2</v>
      </c>
      <c r="J893" s="851">
        <v>7.3899999999999993E-2</v>
      </c>
      <c r="K893" s="851">
        <v>7.2300000000000003E-2</v>
      </c>
      <c r="L893" s="849">
        <v>6</v>
      </c>
    </row>
    <row r="894" spans="1:12" s="1090" customFormat="1">
      <c r="A894" s="2095">
        <v>2024</v>
      </c>
      <c r="B894" s="848"/>
      <c r="C894" s="849"/>
      <c r="D894" s="847"/>
      <c r="E894" s="850"/>
      <c r="F894" s="850"/>
      <c r="G894" s="850"/>
      <c r="H894" s="850"/>
      <c r="I894" s="851"/>
      <c r="J894" s="851"/>
      <c r="K894" s="851"/>
      <c r="L894" s="849"/>
    </row>
    <row r="895" spans="1:12" s="1090" customFormat="1">
      <c r="A895" s="847">
        <v>45301</v>
      </c>
      <c r="B895" s="848" t="s">
        <v>4087</v>
      </c>
      <c r="C895" s="849">
        <v>28</v>
      </c>
      <c r="D895" s="847">
        <v>45329</v>
      </c>
      <c r="E895" s="850">
        <v>20</v>
      </c>
      <c r="F895" s="850">
        <v>69</v>
      </c>
      <c r="G895" s="850">
        <v>20</v>
      </c>
      <c r="H895" s="850">
        <v>0</v>
      </c>
      <c r="I895" s="851">
        <v>6.9000000000000006E-2</v>
      </c>
      <c r="J895" s="851">
        <v>6.9699999999999998E-2</v>
      </c>
      <c r="K895" s="851">
        <v>6.9400000000000003E-2</v>
      </c>
      <c r="L895" s="849">
        <v>8</v>
      </c>
    </row>
    <row r="896" spans="1:12" s="1090" customFormat="1">
      <c r="A896" s="847">
        <v>45302</v>
      </c>
      <c r="B896" s="848" t="s">
        <v>4088</v>
      </c>
      <c r="C896" s="849">
        <v>84</v>
      </c>
      <c r="D896" s="847">
        <v>45386</v>
      </c>
      <c r="E896" s="850">
        <v>20</v>
      </c>
      <c r="F896" s="850">
        <v>47.2</v>
      </c>
      <c r="G896" s="850">
        <v>20</v>
      </c>
      <c r="H896" s="850">
        <v>0</v>
      </c>
      <c r="I896" s="851">
        <v>6.9500000000000006E-2</v>
      </c>
      <c r="J896" s="851">
        <v>7.0000000000000007E-2</v>
      </c>
      <c r="K896" s="851">
        <v>6.9699999999999998E-2</v>
      </c>
      <c r="L896" s="849">
        <v>6</v>
      </c>
    </row>
    <row r="897" spans="1:25" s="1090" customFormat="1">
      <c r="A897" s="847">
        <v>45308</v>
      </c>
      <c r="B897" s="848" t="s">
        <v>4089</v>
      </c>
      <c r="C897" s="849">
        <v>168</v>
      </c>
      <c r="D897" s="847">
        <v>45476</v>
      </c>
      <c r="E897" s="850">
        <v>20</v>
      </c>
      <c r="F897" s="850">
        <v>70.2</v>
      </c>
      <c r="G897" s="850">
        <v>20</v>
      </c>
      <c r="H897" s="850">
        <v>0</v>
      </c>
      <c r="I897" s="851">
        <v>6.9500000000000006E-2</v>
      </c>
      <c r="J897" s="851">
        <v>7.1900000000000006E-2</v>
      </c>
      <c r="K897" s="851">
        <v>7.1099999999999997E-2</v>
      </c>
      <c r="L897" s="849">
        <v>10</v>
      </c>
    </row>
    <row r="898" spans="1:25" s="1090" customFormat="1">
      <c r="A898" s="847">
        <v>45309</v>
      </c>
      <c r="B898" s="848" t="s">
        <v>4090</v>
      </c>
      <c r="C898" s="849">
        <v>252</v>
      </c>
      <c r="D898" s="847">
        <v>45561</v>
      </c>
      <c r="E898" s="850">
        <v>20</v>
      </c>
      <c r="F898" s="850">
        <v>88.7</v>
      </c>
      <c r="G898" s="850">
        <v>20</v>
      </c>
      <c r="H898" s="850">
        <v>0</v>
      </c>
      <c r="I898" s="851">
        <v>7.0699999999999999E-2</v>
      </c>
      <c r="J898" s="851">
        <v>7.1300000000000002E-2</v>
      </c>
      <c r="K898" s="851">
        <v>7.0800000000000002E-2</v>
      </c>
      <c r="L898" s="849">
        <v>9</v>
      </c>
    </row>
    <row r="899" spans="1:25" s="1090" customFormat="1">
      <c r="A899" s="847">
        <v>45315</v>
      </c>
      <c r="B899" s="848" t="s">
        <v>4091</v>
      </c>
      <c r="C899" s="849">
        <v>28</v>
      </c>
      <c r="D899" s="847">
        <v>45343</v>
      </c>
      <c r="E899" s="850">
        <v>20</v>
      </c>
      <c r="F899" s="850">
        <v>45.5</v>
      </c>
      <c r="G899" s="850">
        <v>20</v>
      </c>
      <c r="H899" s="850">
        <v>0</v>
      </c>
      <c r="I899" s="851">
        <v>6.8000000000000005E-2</v>
      </c>
      <c r="J899" s="851">
        <v>6.8000000000000005E-2</v>
      </c>
      <c r="K899" s="851">
        <v>6.8000000000000005E-2</v>
      </c>
      <c r="L899" s="849">
        <v>8</v>
      </c>
    </row>
    <row r="900" spans="1:25" s="1090" customFormat="1">
      <c r="A900" s="847">
        <v>45316</v>
      </c>
      <c r="B900" s="848" t="s">
        <v>4092</v>
      </c>
      <c r="C900" s="849">
        <v>84</v>
      </c>
      <c r="D900" s="847">
        <v>45400</v>
      </c>
      <c r="E900" s="850">
        <v>20</v>
      </c>
      <c r="F900" s="850">
        <v>83.4</v>
      </c>
      <c r="G900" s="850">
        <v>20</v>
      </c>
      <c r="H900" s="850">
        <v>0</v>
      </c>
      <c r="I900" s="851">
        <v>6.7799999999999999E-2</v>
      </c>
      <c r="J900" s="851">
        <v>6.8000000000000005E-2</v>
      </c>
      <c r="K900" s="851">
        <v>6.8000000000000005E-2</v>
      </c>
      <c r="L900" s="849">
        <v>10</v>
      </c>
    </row>
    <row r="901" spans="1:25" s="1090" customFormat="1">
      <c r="A901" s="847">
        <v>45322</v>
      </c>
      <c r="B901" s="848" t="s">
        <v>4093</v>
      </c>
      <c r="C901" s="849">
        <v>28</v>
      </c>
      <c r="D901" s="847">
        <v>45350</v>
      </c>
      <c r="E901" s="850">
        <v>30</v>
      </c>
      <c r="F901" s="850">
        <v>40.5</v>
      </c>
      <c r="G901" s="850">
        <v>30</v>
      </c>
      <c r="H901" s="850">
        <v>0</v>
      </c>
      <c r="I901" s="851">
        <v>6.6000000000000003E-2</v>
      </c>
      <c r="J901" s="851">
        <v>6.6000000000000003E-2</v>
      </c>
      <c r="K901" s="851">
        <v>6.6000000000000003E-2</v>
      </c>
      <c r="L901" s="849">
        <v>6</v>
      </c>
    </row>
    <row r="902" spans="1:25" s="1090" customFormat="1">
      <c r="A902" s="847">
        <v>45322</v>
      </c>
      <c r="B902" s="848" t="s">
        <v>4094</v>
      </c>
      <c r="C902" s="849">
        <v>168</v>
      </c>
      <c r="D902" s="847">
        <v>45490</v>
      </c>
      <c r="E902" s="850">
        <v>30</v>
      </c>
      <c r="F902" s="850">
        <v>70.400000000000006</v>
      </c>
      <c r="G902" s="850">
        <v>30</v>
      </c>
      <c r="H902" s="850">
        <v>0</v>
      </c>
      <c r="I902" s="851">
        <v>6.7000000000000004E-2</v>
      </c>
      <c r="J902" s="851">
        <v>6.7900000000000002E-2</v>
      </c>
      <c r="K902" s="851">
        <v>6.7100000000000007E-2</v>
      </c>
      <c r="L902" s="849">
        <v>9</v>
      </c>
    </row>
    <row r="903" spans="1:25" s="1090" customFormat="1">
      <c r="A903" s="847">
        <v>45323</v>
      </c>
      <c r="B903" s="848" t="s">
        <v>4105</v>
      </c>
      <c r="C903" s="849">
        <v>84</v>
      </c>
      <c r="D903" s="847">
        <v>45407</v>
      </c>
      <c r="E903" s="850">
        <v>30</v>
      </c>
      <c r="F903" s="850">
        <v>44</v>
      </c>
      <c r="G903" s="850">
        <v>30</v>
      </c>
      <c r="H903" s="850">
        <v>0</v>
      </c>
      <c r="I903" s="851">
        <v>6.6000000000000003E-2</v>
      </c>
      <c r="J903" s="851">
        <v>6.7000000000000004E-2</v>
      </c>
      <c r="K903" s="851">
        <v>6.6500000000000004E-2</v>
      </c>
      <c r="L903" s="849">
        <v>5</v>
      </c>
    </row>
    <row r="904" spans="1:25" s="1090" customFormat="1">
      <c r="A904" s="847">
        <v>45323</v>
      </c>
      <c r="B904" s="848" t="s">
        <v>4106</v>
      </c>
      <c r="C904" s="849">
        <v>252</v>
      </c>
      <c r="D904" s="847">
        <v>45575</v>
      </c>
      <c r="E904" s="850">
        <v>30</v>
      </c>
      <c r="F904" s="850">
        <v>71.900000000000006</v>
      </c>
      <c r="G904" s="850">
        <v>30</v>
      </c>
      <c r="H904" s="850">
        <v>0</v>
      </c>
      <c r="I904" s="851">
        <v>6.7000000000000004E-2</v>
      </c>
      <c r="J904" s="851">
        <v>6.7799999999999999E-2</v>
      </c>
      <c r="K904" s="851">
        <v>6.7199999999999996E-2</v>
      </c>
      <c r="L904" s="849">
        <v>8</v>
      </c>
    </row>
    <row r="905" spans="1:25" s="1090" customFormat="1">
      <c r="A905" s="847">
        <v>45330</v>
      </c>
      <c r="B905" s="848" t="s">
        <v>4107</v>
      </c>
      <c r="C905" s="849">
        <v>28</v>
      </c>
      <c r="D905" s="847">
        <v>45358</v>
      </c>
      <c r="E905" s="850">
        <v>30</v>
      </c>
      <c r="F905" s="850">
        <v>34</v>
      </c>
      <c r="G905" s="850">
        <v>30</v>
      </c>
      <c r="H905" s="850">
        <v>0</v>
      </c>
      <c r="I905" s="851">
        <v>6.25E-2</v>
      </c>
      <c r="J905" s="851">
        <v>6.4000000000000001E-2</v>
      </c>
      <c r="K905" s="851">
        <v>6.3899999999999998E-2</v>
      </c>
      <c r="L905" s="849">
        <v>5</v>
      </c>
    </row>
    <row r="906" spans="1:25" s="1090" customFormat="1">
      <c r="A906" s="847">
        <v>45330</v>
      </c>
      <c r="B906" s="848" t="s">
        <v>4108</v>
      </c>
      <c r="C906" s="849">
        <v>168</v>
      </c>
      <c r="D906" s="847">
        <v>45498</v>
      </c>
      <c r="E906" s="850">
        <v>30</v>
      </c>
      <c r="F906" s="850">
        <v>35.799999999999997</v>
      </c>
      <c r="G906" s="850">
        <v>30</v>
      </c>
      <c r="H906" s="850">
        <v>0</v>
      </c>
      <c r="I906" s="851">
        <v>6.6000000000000003E-2</v>
      </c>
      <c r="J906" s="851">
        <v>6.7000000000000004E-2</v>
      </c>
      <c r="K906" s="851">
        <v>6.6199999999999995E-2</v>
      </c>
      <c r="L906" s="849">
        <v>7</v>
      </c>
    </row>
    <row r="907" spans="1:25" s="1090" customFormat="1">
      <c r="A907" s="847">
        <v>45330</v>
      </c>
      <c r="B907" s="848" t="s">
        <v>4109</v>
      </c>
      <c r="C907" s="849">
        <v>252</v>
      </c>
      <c r="D907" s="847">
        <v>45582</v>
      </c>
      <c r="E907" s="850">
        <v>30</v>
      </c>
      <c r="F907" s="850">
        <v>37.299999999999997</v>
      </c>
      <c r="G907" s="850">
        <v>30</v>
      </c>
      <c r="H907" s="850">
        <v>0</v>
      </c>
      <c r="I907" s="851">
        <v>6.6500000000000004E-2</v>
      </c>
      <c r="J907" s="851">
        <v>6.7000000000000004E-2</v>
      </c>
      <c r="K907" s="851">
        <v>6.6600000000000006E-2</v>
      </c>
      <c r="L907" s="849">
        <v>8</v>
      </c>
    </row>
    <row r="908" spans="1:25" s="1090" customFormat="1">
      <c r="A908" s="847">
        <v>45336</v>
      </c>
      <c r="B908" s="848" t="s">
        <v>4110</v>
      </c>
      <c r="C908" s="849">
        <v>168</v>
      </c>
      <c r="D908" s="847">
        <v>45504</v>
      </c>
      <c r="E908" s="850">
        <v>30</v>
      </c>
      <c r="F908" s="850">
        <v>32.700000000000003</v>
      </c>
      <c r="G908" s="850">
        <v>30</v>
      </c>
      <c r="H908" s="850">
        <v>0</v>
      </c>
      <c r="I908" s="851">
        <v>6.6500000000000004E-2</v>
      </c>
      <c r="J908" s="851">
        <v>6.83E-2</v>
      </c>
      <c r="K908" s="851">
        <v>6.7100000000000007E-2</v>
      </c>
      <c r="L908" s="849">
        <v>6</v>
      </c>
    </row>
    <row r="909" spans="1:25" s="1090" customFormat="1">
      <c r="A909" s="847">
        <v>45337</v>
      </c>
      <c r="B909" s="848" t="s">
        <v>4111</v>
      </c>
      <c r="C909" s="849">
        <v>84</v>
      </c>
      <c r="D909" s="847">
        <v>45421</v>
      </c>
      <c r="E909" s="850">
        <v>30</v>
      </c>
      <c r="F909" s="850">
        <v>29.9</v>
      </c>
      <c r="G909" s="850">
        <v>29.9</v>
      </c>
      <c r="H909" s="850">
        <v>0</v>
      </c>
      <c r="I909" s="851">
        <v>6.2E-2</v>
      </c>
      <c r="J909" s="851">
        <v>6.7799999999999999E-2</v>
      </c>
      <c r="K909" s="851">
        <v>6.6400000000000001E-2</v>
      </c>
      <c r="L909" s="849">
        <v>5</v>
      </c>
    </row>
    <row r="910" spans="1:25" s="1090" customFormat="1">
      <c r="A910" s="847">
        <v>45337</v>
      </c>
      <c r="B910" s="848" t="s">
        <v>4112</v>
      </c>
      <c r="C910" s="849">
        <v>252</v>
      </c>
      <c r="D910" s="847">
        <v>45589</v>
      </c>
      <c r="E910" s="850">
        <v>30</v>
      </c>
      <c r="F910" s="850">
        <v>41</v>
      </c>
      <c r="G910" s="850">
        <v>30</v>
      </c>
      <c r="H910" s="850">
        <v>0</v>
      </c>
      <c r="I910" s="851">
        <v>6.3E-2</v>
      </c>
      <c r="J910" s="851">
        <v>6.7000000000000004E-2</v>
      </c>
      <c r="K910" s="851">
        <v>6.6600000000000006E-2</v>
      </c>
      <c r="L910" s="849">
        <v>7</v>
      </c>
    </row>
    <row r="911" spans="1:25" s="1090" customFormat="1">
      <c r="A911" s="847">
        <v>45343</v>
      </c>
      <c r="B911" s="848" t="s">
        <v>4113</v>
      </c>
      <c r="C911" s="849">
        <v>168</v>
      </c>
      <c r="D911" s="847">
        <v>45511</v>
      </c>
      <c r="E911" s="850">
        <v>30</v>
      </c>
      <c r="F911" s="850">
        <v>42.7</v>
      </c>
      <c r="G911" s="850">
        <v>30</v>
      </c>
      <c r="H911" s="850">
        <v>0</v>
      </c>
      <c r="I911" s="851">
        <v>6.7000000000000004E-2</v>
      </c>
      <c r="J911" s="851">
        <v>6.7900000000000002E-2</v>
      </c>
      <c r="K911" s="851">
        <v>6.7699999999999996E-2</v>
      </c>
      <c r="L911" s="849">
        <v>8</v>
      </c>
    </row>
    <row r="912" spans="1:25">
      <c r="A912" s="847">
        <v>45344</v>
      </c>
      <c r="B912" s="848" t="s">
        <v>4114</v>
      </c>
      <c r="C912" s="849">
        <v>84</v>
      </c>
      <c r="D912" s="847">
        <v>45428</v>
      </c>
      <c r="E912" s="850">
        <v>30</v>
      </c>
      <c r="F912" s="850">
        <v>31.8</v>
      </c>
      <c r="G912" s="850">
        <v>30</v>
      </c>
      <c r="H912" s="850">
        <v>0</v>
      </c>
      <c r="I912" s="851">
        <v>6.7400000000000002E-2</v>
      </c>
      <c r="J912" s="851">
        <v>6.8000000000000005E-2</v>
      </c>
      <c r="K912" s="851">
        <v>6.7500000000000004E-2</v>
      </c>
      <c r="L912" s="849">
        <v>5</v>
      </c>
      <c r="M912" s="1090"/>
      <c r="N912" s="1090"/>
      <c r="O912" s="1090"/>
      <c r="P912" s="1090"/>
      <c r="Q912" s="1090"/>
      <c r="R912" s="1090"/>
      <c r="S912" s="1090"/>
      <c r="T912" s="1090"/>
      <c r="U912" s="1090"/>
      <c r="V912" s="1090"/>
      <c r="W912" s="1090"/>
      <c r="X912" s="1090"/>
      <c r="Y912" s="1090"/>
    </row>
    <row r="913" spans="1:25">
      <c r="A913" s="847">
        <v>45344</v>
      </c>
      <c r="B913" s="848" t="s">
        <v>4115</v>
      </c>
      <c r="C913" s="849">
        <v>252</v>
      </c>
      <c r="D913" s="847">
        <v>45596</v>
      </c>
      <c r="E913" s="850">
        <v>30</v>
      </c>
      <c r="F913" s="850">
        <v>45.5</v>
      </c>
      <c r="G913" s="850">
        <v>30</v>
      </c>
      <c r="H913" s="850">
        <v>0</v>
      </c>
      <c r="I913" s="851">
        <v>6.7000000000000004E-2</v>
      </c>
      <c r="J913" s="851">
        <v>6.8000000000000005E-2</v>
      </c>
      <c r="K913" s="851">
        <v>6.8000000000000005E-2</v>
      </c>
      <c r="L913" s="849">
        <v>8</v>
      </c>
      <c r="M913" s="1090"/>
      <c r="N913" s="1090"/>
      <c r="O913" s="1090"/>
      <c r="P913" s="1090"/>
      <c r="Q913" s="1090"/>
      <c r="R913" s="1090"/>
      <c r="S913" s="1090"/>
      <c r="T913" s="1090"/>
      <c r="U913" s="1090"/>
      <c r="V913" s="1090"/>
      <c r="W913" s="1090"/>
      <c r="X913" s="1090"/>
      <c r="Y913" s="1090"/>
    </row>
    <row r="914" spans="1:25">
      <c r="A914" s="847">
        <v>45350</v>
      </c>
      <c r="B914" s="848" t="s">
        <v>4116</v>
      </c>
      <c r="C914" s="849">
        <v>168</v>
      </c>
      <c r="D914" s="847">
        <v>45518</v>
      </c>
      <c r="E914" s="850">
        <v>30</v>
      </c>
      <c r="F914" s="850">
        <v>36.299999999999997</v>
      </c>
      <c r="G914" s="850">
        <v>30</v>
      </c>
      <c r="H914" s="850">
        <v>0</v>
      </c>
      <c r="I914" s="851">
        <v>6.7699999999999996E-2</v>
      </c>
      <c r="J914" s="851">
        <v>6.8000000000000005E-2</v>
      </c>
      <c r="K914" s="851">
        <v>6.7900000000000002E-2</v>
      </c>
      <c r="L914" s="849">
        <v>5</v>
      </c>
      <c r="M914" s="1090"/>
      <c r="N914" s="1090"/>
      <c r="O914" s="1090"/>
      <c r="P914" s="1090"/>
      <c r="Q914" s="1090"/>
      <c r="R914" s="1090"/>
      <c r="S914" s="1090"/>
      <c r="T914" s="1090"/>
      <c r="U914" s="1090"/>
      <c r="V914" s="1090"/>
      <c r="W914" s="1090"/>
      <c r="X914" s="1090"/>
      <c r="Y914" s="1090"/>
    </row>
    <row r="915" spans="1:25" s="902" customFormat="1" ht="24.75" customHeight="1">
      <c r="A915" s="2580" t="s">
        <v>2775</v>
      </c>
      <c r="B915" s="2580"/>
      <c r="C915" s="2580"/>
      <c r="D915" s="2580"/>
      <c r="E915" s="2580"/>
      <c r="F915" s="2580"/>
      <c r="G915" s="2580"/>
      <c r="H915" s="2580"/>
      <c r="I915" s="2580"/>
      <c r="J915" s="2580"/>
      <c r="K915" s="2580"/>
      <c r="L915" s="2580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15:L915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6"/>
  <sheetViews>
    <sheetView showGridLines="0" view="pageBreakPreview" zoomScale="115" zoomScaleSheetLayoutView="115" workbookViewId="0">
      <pane ySplit="60" topLeftCell="A259" activePane="bottomLeft" state="frozen"/>
      <selection activeCell="G291" sqref="G291"/>
      <selection pane="bottomLeft" activeCell="K286" sqref="K286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74"/>
    </row>
    <row r="2" spans="1:82" s="144" customFormat="1" ht="19.5" customHeight="1">
      <c r="A2" s="2603" t="s">
        <v>2781</v>
      </c>
      <c r="B2" s="2603"/>
      <c r="C2" s="2603"/>
      <c r="D2" s="2603"/>
      <c r="E2" s="2603"/>
      <c r="F2" s="2603"/>
      <c r="G2" s="2603"/>
      <c r="H2" s="2603"/>
      <c r="I2" s="2603"/>
    </row>
    <row r="3" spans="1:82" s="144" customFormat="1" ht="22.5" customHeight="1">
      <c r="A3" s="2280" t="s">
        <v>2782</v>
      </c>
      <c r="B3" s="2280"/>
      <c r="C3" s="2280"/>
      <c r="D3" s="2280"/>
      <c r="E3" s="2280"/>
      <c r="F3" s="2280"/>
      <c r="G3" s="2280"/>
      <c r="H3" s="2280"/>
      <c r="I3" s="2280"/>
    </row>
    <row r="4" spans="1:82" s="144" customFormat="1" ht="12" customHeight="1">
      <c r="A4" s="629"/>
      <c r="B4" s="629"/>
      <c r="C4" s="629"/>
      <c r="D4" s="629"/>
      <c r="E4" s="629"/>
      <c r="F4" s="629"/>
      <c r="G4" s="629"/>
      <c r="H4" s="629"/>
      <c r="I4" s="629"/>
    </row>
    <row r="5" spans="1:82" s="144" customFormat="1" ht="12" customHeight="1">
      <c r="A5" s="597"/>
      <c r="B5" s="597"/>
      <c r="C5" s="597"/>
      <c r="D5" s="597"/>
      <c r="E5" s="597"/>
      <c r="F5" s="597"/>
      <c r="G5" s="597"/>
      <c r="H5" s="597"/>
      <c r="I5" s="597"/>
    </row>
    <row r="6" spans="1:82" ht="16.5" customHeight="1">
      <c r="A6" s="2251" t="s">
        <v>182</v>
      </c>
      <c r="B6" s="2249" t="s">
        <v>2841</v>
      </c>
      <c r="C6" s="2604"/>
      <c r="D6" s="2250"/>
      <c r="E6" s="2249" t="s">
        <v>2840</v>
      </c>
      <c r="F6" s="2604"/>
      <c r="G6" s="2250"/>
      <c r="H6" s="2249" t="s">
        <v>2843</v>
      </c>
      <c r="I6" s="2250"/>
    </row>
    <row r="7" spans="1:82" ht="15" customHeight="1">
      <c r="A7" s="2252"/>
      <c r="B7" s="647" t="s">
        <v>155</v>
      </c>
      <c r="C7" s="647" t="s">
        <v>2444</v>
      </c>
      <c r="D7" s="685" t="s">
        <v>988</v>
      </c>
      <c r="E7" s="647" t="s">
        <v>155</v>
      </c>
      <c r="F7" s="647" t="s">
        <v>2444</v>
      </c>
      <c r="G7" s="647" t="s">
        <v>988</v>
      </c>
      <c r="H7" s="647" t="s">
        <v>2444</v>
      </c>
      <c r="I7" s="647" t="s">
        <v>988</v>
      </c>
      <c r="CC7" s="99" t="s">
        <v>2089</v>
      </c>
      <c r="CD7" s="351" t="s">
        <v>2090</v>
      </c>
    </row>
    <row r="8" spans="1:82" ht="16.5" customHeight="1">
      <c r="A8" s="2283" t="s">
        <v>304</v>
      </c>
      <c r="B8" s="2283" t="s">
        <v>2842</v>
      </c>
      <c r="C8" s="2283"/>
      <c r="D8" s="2283"/>
      <c r="E8" s="2283" t="s">
        <v>401</v>
      </c>
      <c r="F8" s="2283"/>
      <c r="G8" s="2283"/>
      <c r="H8" s="2283" t="s">
        <v>2844</v>
      </c>
      <c r="I8" s="2283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283"/>
      <c r="B9" s="648" t="s">
        <v>105</v>
      </c>
      <c r="C9" s="1082" t="s">
        <v>2445</v>
      </c>
      <c r="D9" s="686" t="s">
        <v>989</v>
      </c>
      <c r="E9" s="648" t="s">
        <v>105</v>
      </c>
      <c r="F9" s="648" t="s">
        <v>2445</v>
      </c>
      <c r="G9" s="648" t="s">
        <v>989</v>
      </c>
      <c r="H9" s="648" t="s">
        <v>2445</v>
      </c>
      <c r="I9" s="648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53">
        <f t="shared" si="3"/>
        <v>40.141455723173962</v>
      </c>
      <c r="F61" s="853">
        <f t="shared" si="3"/>
        <v>60.7</v>
      </c>
      <c r="G61" s="853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53">
        <v>83.052093892459723</v>
      </c>
      <c r="F62" s="853">
        <v>188.4</v>
      </c>
      <c r="G62" s="853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53">
        <v>93.874010389094764</v>
      </c>
      <c r="F63" s="853">
        <v>173.9</v>
      </c>
      <c r="G63" s="853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53">
        <v>87.23383595935799</v>
      </c>
      <c r="F64" s="853">
        <v>162.69999999999999</v>
      </c>
      <c r="G64" s="853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53">
        <v>92.424129844482849</v>
      </c>
      <c r="F65" s="853">
        <v>152.9</v>
      </c>
      <c r="G65" s="853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53">
        <v>118.87799127478027</v>
      </c>
      <c r="F66" s="853">
        <v>167.4</v>
      </c>
      <c r="G66" s="853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53">
        <v>87.582410215482838</v>
      </c>
      <c r="F67" s="853">
        <v>125</v>
      </c>
      <c r="G67" s="853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53">
        <v>78.781053784985289</v>
      </c>
      <c r="F68" s="853">
        <v>105.19</v>
      </c>
      <c r="G68" s="853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53">
        <v>118.3252688172043</v>
      </c>
      <c r="F69" s="853">
        <v>134</v>
      </c>
      <c r="G69" s="853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53">
        <v>86.635887213452094</v>
      </c>
      <c r="F70" s="853">
        <v>112</v>
      </c>
      <c r="G70" s="853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53">
        <v>72.301580208535711</v>
      </c>
      <c r="F71" s="853">
        <v>100.7</v>
      </c>
      <c r="G71" s="853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53">
        <v>55.838909720219206</v>
      </c>
      <c r="F72" s="853">
        <v>80.5</v>
      </c>
      <c r="G72" s="853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53">
        <v>40.141455723173962</v>
      </c>
      <c r="F73" s="853">
        <v>60.7</v>
      </c>
      <c r="G73" s="853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53">
        <f t="shared" si="4"/>
        <v>202</v>
      </c>
      <c r="F74" s="853">
        <f>+F86</f>
        <v>212</v>
      </c>
      <c r="G74" s="853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53">
        <v>34.904583594053804</v>
      </c>
      <c r="F75" s="853">
        <v>50.1</v>
      </c>
      <c r="G75" s="853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53">
        <v>70.823635814234592</v>
      </c>
      <c r="F76" s="853">
        <v>84.15</v>
      </c>
      <c r="G76" s="853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53">
        <v>87.23001406752411</v>
      </c>
      <c r="F77" s="853">
        <v>95.8</v>
      </c>
      <c r="G77" s="853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53">
        <v>101.56982861021551</v>
      </c>
      <c r="F78" s="853">
        <v>112</v>
      </c>
      <c r="G78" s="853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53">
        <v>126.88007153806848</v>
      </c>
      <c r="F79" s="853">
        <v>139.9</v>
      </c>
      <c r="G79" s="853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53">
        <v>140.35573306024921</v>
      </c>
      <c r="F80" s="853">
        <v>153.36000000000001</v>
      </c>
      <c r="G80" s="854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53">
        <v>183.65439066899</v>
      </c>
      <c r="F81" s="853">
        <v>201.9</v>
      </c>
      <c r="G81" s="853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53">
        <v>141</v>
      </c>
      <c r="F82" s="853">
        <v>153.9</v>
      </c>
      <c r="G82" s="853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53">
        <v>163</v>
      </c>
      <c r="F83" s="853">
        <v>178</v>
      </c>
      <c r="G83" s="853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53">
        <v>79.792289719626169</v>
      </c>
      <c r="F84" s="853">
        <v>82.2</v>
      </c>
      <c r="G84" s="853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53">
        <v>200.9</v>
      </c>
      <c r="F85" s="853">
        <v>211</v>
      </c>
      <c r="G85" s="853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53">
        <v>202</v>
      </c>
      <c r="F86" s="853">
        <v>212</v>
      </c>
      <c r="G86" s="853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53">
        <v>433.6</v>
      </c>
      <c r="F87" s="853">
        <v>495.9</v>
      </c>
      <c r="G87" s="853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53">
        <v>210.5</v>
      </c>
      <c r="F88" s="853">
        <v>228.8</v>
      </c>
      <c r="G88" s="853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53">
        <v>244.31068986554362</v>
      </c>
      <c r="F89" s="853">
        <v>273.60000000000002</v>
      </c>
      <c r="G89" s="853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53">
        <v>324</v>
      </c>
      <c r="F90" s="853">
        <v>361.5</v>
      </c>
      <c r="G90" s="853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53">
        <v>502.47120822622105</v>
      </c>
      <c r="F91" s="853">
        <v>555.29999999999995</v>
      </c>
      <c r="G91" s="853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53">
        <v>645.87693989071033</v>
      </c>
      <c r="F92" s="853">
        <v>719.3</v>
      </c>
      <c r="G92" s="853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53">
        <v>608.40367261280164</v>
      </c>
      <c r="F93" s="853">
        <v>701.9</v>
      </c>
      <c r="G93" s="853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53">
        <v>679.37912844036691</v>
      </c>
      <c r="F94" s="853">
        <v>728</v>
      </c>
      <c r="G94" s="853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53">
        <v>536.75965467815001</v>
      </c>
      <c r="F95" s="853">
        <v>597</v>
      </c>
      <c r="G95" s="853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53">
        <v>472.27776017382638</v>
      </c>
      <c r="F96" s="853">
        <v>528</v>
      </c>
      <c r="G96" s="853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53">
        <v>541.4</v>
      </c>
      <c r="F97" s="853">
        <v>581.5</v>
      </c>
      <c r="G97" s="853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53">
        <v>461</v>
      </c>
      <c r="F98" s="853">
        <v>510</v>
      </c>
      <c r="G98" s="853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53">
        <v>433.6</v>
      </c>
      <c r="F99" s="853">
        <v>495.9</v>
      </c>
      <c r="G99" s="853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53">
        <v>487.86322249862133</v>
      </c>
      <c r="F100" s="853">
        <v>759.02259369043225</v>
      </c>
      <c r="G100" s="853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53">
        <v>461</v>
      </c>
      <c r="F101" s="853">
        <v>573</v>
      </c>
      <c r="G101" s="853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53">
        <v>356.3</v>
      </c>
      <c r="F102" s="853">
        <v>514</v>
      </c>
      <c r="G102" s="853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53">
        <v>396.24090619017238</v>
      </c>
      <c r="F103" s="853">
        <v>603.5</v>
      </c>
      <c r="G103" s="853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53">
        <v>414</v>
      </c>
      <c r="F104" s="853">
        <v>592</v>
      </c>
      <c r="G104" s="853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53">
        <v>390.23790669789537</v>
      </c>
      <c r="F105" s="853">
        <v>643.20000000000005</v>
      </c>
      <c r="G105" s="853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53">
        <v>459.25192899899656</v>
      </c>
      <c r="F106" s="853">
        <v>612</v>
      </c>
      <c r="G106" s="853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53">
        <v>593.4</v>
      </c>
      <c r="F107" s="853">
        <v>650.59444012038057</v>
      </c>
      <c r="G107" s="853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53">
        <f t="shared" ref="E108:E113" si="5">(G108*D108+F108*C108)/(C108+D108)</f>
        <v>575.97818666504349</v>
      </c>
      <c r="F108" s="853">
        <v>719.12138305826716</v>
      </c>
      <c r="G108" s="853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53">
        <f t="shared" si="5"/>
        <v>644.54937720592727</v>
      </c>
      <c r="F109" s="853">
        <v>722.74094012155206</v>
      </c>
      <c r="G109" s="853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53">
        <f t="shared" si="5"/>
        <v>591.34290770678047</v>
      </c>
      <c r="F110" s="853">
        <v>727.70225129376411</v>
      </c>
      <c r="G110" s="853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53">
        <f t="shared" si="5"/>
        <v>608.69188519878401</v>
      </c>
      <c r="F111" s="853">
        <v>730.14906933668317</v>
      </c>
      <c r="G111" s="853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53">
        <f t="shared" si="5"/>
        <v>487.86322249862133</v>
      </c>
      <c r="F112" s="853">
        <v>759.02259369043225</v>
      </c>
      <c r="G112" s="853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53">
        <f t="shared" si="5"/>
        <v>464.84398426582675</v>
      </c>
      <c r="F113" s="853">
        <v>729.94991718167512</v>
      </c>
      <c r="G113" s="853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55">
        <f t="shared" ref="E114:E119" si="8">(G114*D114+F114*C114)/(C114+D114)</f>
        <v>429.8863272276825</v>
      </c>
      <c r="F114" s="855">
        <v>755.92950152005574</v>
      </c>
      <c r="G114" s="8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55">
        <f t="shared" si="8"/>
        <v>404.40791697401494</v>
      </c>
      <c r="F115" s="855">
        <v>800.37333037820542</v>
      </c>
      <c r="G115" s="8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55">
        <f t="shared" si="8"/>
        <v>400.95049911128575</v>
      </c>
      <c r="F116" s="855">
        <v>799.01029540633647</v>
      </c>
      <c r="G116" s="8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55">
        <f t="shared" si="8"/>
        <v>399.040111921397</v>
      </c>
      <c r="F117" s="855">
        <v>807</v>
      </c>
      <c r="G117" s="8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55">
        <f t="shared" si="8"/>
        <v>387.00192049828354</v>
      </c>
      <c r="F118" s="855">
        <v>829.09221963307493</v>
      </c>
      <c r="G118" s="8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55">
        <f t="shared" si="8"/>
        <v>449.91933652975712</v>
      </c>
      <c r="F119" s="855">
        <v>828.91653711335903</v>
      </c>
      <c r="G119" s="8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55">
        <f t="shared" ref="E120:E126" si="12">(G120*D120+F120*C120)/(C120+D120)</f>
        <v>643.10850126834157</v>
      </c>
      <c r="F120" s="855">
        <v>719.33589162409714</v>
      </c>
      <c r="G120" s="8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55">
        <f t="shared" si="12"/>
        <v>631.40663894142062</v>
      </c>
      <c r="F121" s="855">
        <v>705.87555425357641</v>
      </c>
      <c r="G121" s="8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55">
        <f t="shared" si="12"/>
        <v>666.87435097387811</v>
      </c>
      <c r="F122" s="855">
        <v>712.34606867440243</v>
      </c>
      <c r="G122" s="8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55">
        <f t="shared" si="12"/>
        <v>564.0269200152062</v>
      </c>
      <c r="F123" s="855">
        <v>717.76316318414467</v>
      </c>
      <c r="G123" s="8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55">
        <f t="shared" si="12"/>
        <v>403.88811813750362</v>
      </c>
      <c r="F124" s="855">
        <v>730.08439873457667</v>
      </c>
      <c r="G124" s="8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55">
        <f t="shared" si="12"/>
        <v>464.84398426582675</v>
      </c>
      <c r="F125" s="855">
        <v>729.94991718167512</v>
      </c>
      <c r="G125" s="8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53">
        <f t="shared" si="12"/>
        <v>659.0160461647796</v>
      </c>
      <c r="F126" s="853">
        <v>738.81536902303333</v>
      </c>
      <c r="G126" s="853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55">
        <f t="shared" ref="E127:E132" si="16">(G127*D127+F127*C127)/(C127+D127)</f>
        <v>488.23297043497854</v>
      </c>
      <c r="F127" s="855">
        <v>729.81543562877357</v>
      </c>
      <c r="G127" s="8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55">
        <f t="shared" si="16"/>
        <v>526.81907350097913</v>
      </c>
      <c r="F128" s="855">
        <v>729.69396841970126</v>
      </c>
      <c r="G128" s="8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55">
        <f t="shared" si="16"/>
        <v>599.18623526765361</v>
      </c>
      <c r="F129" s="855">
        <v>729.55948686679972</v>
      </c>
      <c r="G129" s="8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55">
        <f t="shared" si="16"/>
        <v>510.23932204105967</v>
      </c>
      <c r="F130" s="855">
        <v>659.65200634131008</v>
      </c>
      <c r="G130" s="8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55">
        <f t="shared" si="16"/>
        <v>600.66963116993213</v>
      </c>
      <c r="F131" s="855">
        <v>657.36817428512904</v>
      </c>
      <c r="G131" s="8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55">
        <f t="shared" si="16"/>
        <v>643.97489320133889</v>
      </c>
      <c r="F132" s="855">
        <v>690.6702364847265</v>
      </c>
      <c r="G132" s="8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55">
        <f t="shared" ref="E133:E138" si="20">(G133*D133+F133*C133)/(C133+D133)</f>
        <v>642.27266902106419</v>
      </c>
      <c r="F133" s="855">
        <v>689.5576728098514</v>
      </c>
      <c r="G133" s="8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55">
        <f t="shared" si="20"/>
        <v>624.00645669238691</v>
      </c>
      <c r="F134" s="855">
        <v>686.10600612569112</v>
      </c>
      <c r="G134" s="855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55">
        <f t="shared" si="20"/>
        <v>541.56185775192773</v>
      </c>
      <c r="F135" s="855">
        <v>703.35887286023501</v>
      </c>
      <c r="G135" s="855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55">
        <f t="shared" si="20"/>
        <v>554.44363040463475</v>
      </c>
      <c r="F136" s="855">
        <v>699.23955223113683</v>
      </c>
      <c r="G136" s="855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55">
        <f t="shared" si="20"/>
        <v>488.15663379488853</v>
      </c>
      <c r="F137" s="855">
        <v>701.72453980123123</v>
      </c>
      <c r="G137" s="8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55">
        <f t="shared" si="20"/>
        <v>659.0160461647796</v>
      </c>
      <c r="F138" s="855">
        <v>738.81536902303333</v>
      </c>
      <c r="G138" s="8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53">
        <f>(G139*D139+F139*C139)/(C139+D139)</f>
        <v>644.25489167277988</v>
      </c>
      <c r="F139" s="853">
        <v>728.27247655053236</v>
      </c>
      <c r="G139" s="853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55">
        <f t="shared" ref="E140:E146" si="22">(G140*D140+F140*C140)/(C140+D140)</f>
        <v>471.30172764563412</v>
      </c>
      <c r="F140" s="855">
        <v>738.81536902303333</v>
      </c>
      <c r="G140" s="8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55">
        <f t="shared" si="22"/>
        <v>469.72519589948558</v>
      </c>
      <c r="F141" s="855">
        <v>738.81536902303333</v>
      </c>
      <c r="G141" s="8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55">
        <f t="shared" si="22"/>
        <v>475.31173229795246</v>
      </c>
      <c r="F142" s="855">
        <v>738.81536902303333</v>
      </c>
      <c r="G142" s="8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55">
        <f t="shared" si="22"/>
        <v>412.26513499277246</v>
      </c>
      <c r="F143" s="855">
        <v>713.21264303795101</v>
      </c>
      <c r="G143" s="8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55">
        <f t="shared" si="22"/>
        <v>495.71156189681852</v>
      </c>
      <c r="F144" s="855">
        <v>713.21264303795101</v>
      </c>
      <c r="G144" s="8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55">
        <f t="shared" si="22"/>
        <v>684.28637858775176</v>
      </c>
      <c r="F145" s="855">
        <v>718.9</v>
      </c>
      <c r="G145" s="8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55">
        <f t="shared" si="22"/>
        <v>722.14333779937874</v>
      </c>
      <c r="F146" s="855">
        <v>722.14333779937874</v>
      </c>
      <c r="G146" s="855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55">
        <v>694</v>
      </c>
      <c r="F147" s="855">
        <v>724.26268963128268</v>
      </c>
      <c r="G147" s="8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55">
        <v>670.52307359252507</v>
      </c>
      <c r="F148" s="855">
        <v>721.61962969843785</v>
      </c>
      <c r="G148" s="8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55">
        <f>(G149*D149+F149*C149)/(C149+D149)</f>
        <v>688.9405171377656</v>
      </c>
      <c r="F149" s="855">
        <v>721.61962969843785</v>
      </c>
      <c r="G149" s="8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55">
        <f>(G150*D150+F150*C150)/(C150+D150)</f>
        <v>631.87428898476708</v>
      </c>
      <c r="F150" s="855">
        <v>725.9</v>
      </c>
      <c r="G150" s="8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55">
        <f>(G151*D151+F151*C151)/(C151+D151)</f>
        <v>644.25489167277988</v>
      </c>
      <c r="F151" s="855">
        <v>728.27247655053236</v>
      </c>
      <c r="G151" s="8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7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56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56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56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56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56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56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56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56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56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56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56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56">
        <v>0</v>
      </c>
      <c r="H164" s="3">
        <v>100</v>
      </c>
      <c r="I164" s="3">
        <v>0</v>
      </c>
    </row>
    <row r="165" spans="1:9" ht="13.8">
      <c r="A165" s="284" t="s">
        <v>1879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56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56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56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56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56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56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56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56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56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56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1942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2058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2078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2171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2407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2583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8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8">
        <f>D240/B240*100</f>
        <v>7.3873783095639505</v>
      </c>
    </row>
    <row r="241" spans="1:9" ht="13.8">
      <c r="A241" s="284" t="s">
        <v>28</v>
      </c>
      <c r="B241" s="1078">
        <f>SUM(C241:D241)</f>
        <v>2703.2404000000001</v>
      </c>
      <c r="C241" s="1078">
        <v>2503.2404000000001</v>
      </c>
      <c r="D241" s="1078">
        <v>200</v>
      </c>
      <c r="E241" s="1078">
        <f t="shared" ref="E241:E255" si="28">(G241*D241+F241*C241)/(C241+D241)</f>
        <v>818.73962407895817</v>
      </c>
      <c r="F241" s="1078">
        <v>883.51483496792889</v>
      </c>
      <c r="G241" s="1078">
        <v>8</v>
      </c>
      <c r="H241" s="1078">
        <f>C241/B241*100</f>
        <v>92.601471922363984</v>
      </c>
      <c r="I241" s="858">
        <f>D241/B241*100</f>
        <v>7.3985280776360103</v>
      </c>
    </row>
    <row r="242" spans="1:9" ht="13.8">
      <c r="A242" s="284" t="s">
        <v>29</v>
      </c>
      <c r="B242" s="1078">
        <f>SUM(C242:D242)</f>
        <v>2700.192</v>
      </c>
      <c r="C242" s="1078">
        <v>2500.192</v>
      </c>
      <c r="D242" s="1078">
        <v>200</v>
      </c>
      <c r="E242" s="1078">
        <f t="shared" si="28"/>
        <v>840.42767576245421</v>
      </c>
      <c r="F242" s="1078">
        <v>906.69680035468173</v>
      </c>
      <c r="G242" s="1078">
        <v>12</v>
      </c>
      <c r="H242" s="1078">
        <f>C242/B242*100</f>
        <v>92.59311930410874</v>
      </c>
      <c r="I242" s="1078">
        <f>D242/B242*100</f>
        <v>7.406880695891255</v>
      </c>
    </row>
    <row r="243" spans="1:9" ht="13.8">
      <c r="A243" s="284" t="s">
        <v>2892</v>
      </c>
      <c r="B243" s="1076">
        <v>5500.0535</v>
      </c>
      <c r="C243" s="1076">
        <v>4161.4934999999996</v>
      </c>
      <c r="D243" s="1076">
        <v>1338.56</v>
      </c>
      <c r="E243" s="1076">
        <v>679.78167229750068</v>
      </c>
      <c r="F243" s="1076">
        <v>857.44500776255734</v>
      </c>
      <c r="G243" s="1076">
        <v>127.43824673110672</v>
      </c>
      <c r="H243" s="1076">
        <v>75.662782189300515</v>
      </c>
      <c r="I243" s="1076">
        <v>24.337217810699478</v>
      </c>
    </row>
    <row r="244" spans="1:9" ht="13.8">
      <c r="A244" s="284" t="s">
        <v>18</v>
      </c>
      <c r="B244" s="1078">
        <v>2993.6428000000001</v>
      </c>
      <c r="C244" s="1078">
        <v>2563.6428000000001</v>
      </c>
      <c r="D244" s="1078">
        <v>430</v>
      </c>
      <c r="E244" s="1078">
        <f t="shared" si="28"/>
        <v>801.82025991750857</v>
      </c>
      <c r="F244" s="1078">
        <v>932.31765673290295</v>
      </c>
      <c r="G244" s="1078">
        <v>23.8</v>
      </c>
      <c r="H244" s="1078">
        <v>85.636228878074562</v>
      </c>
      <c r="I244" s="1078">
        <v>14.363771121925433</v>
      </c>
    </row>
    <row r="245" spans="1:9" ht="13.8">
      <c r="A245" s="284" t="s">
        <v>19</v>
      </c>
      <c r="B245" s="1078">
        <f>SUM(C245:D245)</f>
        <v>3489.7928000000002</v>
      </c>
      <c r="C245" s="1078">
        <v>2639.7928000000002</v>
      </c>
      <c r="D245" s="1078">
        <v>850</v>
      </c>
      <c r="E245" s="1078">
        <f t="shared" si="28"/>
        <v>728.92999660556643</v>
      </c>
      <c r="F245" s="1078">
        <v>955.59191382677079</v>
      </c>
      <c r="G245" s="1078">
        <v>25</v>
      </c>
      <c r="H245" s="1078">
        <f>C245/B245*100</f>
        <v>75.643253089409782</v>
      </c>
      <c r="I245" s="1078">
        <f>D245/B245*100</f>
        <v>24.356746910590221</v>
      </c>
    </row>
    <row r="246" spans="1:9" ht="13.8">
      <c r="A246" s="284" t="s">
        <v>20</v>
      </c>
      <c r="B246" s="1078">
        <v>3462.7835</v>
      </c>
      <c r="C246" s="1078">
        <v>2652.7835</v>
      </c>
      <c r="D246" s="1078">
        <v>810</v>
      </c>
      <c r="E246" s="1078">
        <f t="shared" si="28"/>
        <v>747.24870270886834</v>
      </c>
      <c r="F246" s="1078">
        <v>969.73404657284493</v>
      </c>
      <c r="G246" s="1078">
        <v>18.600000000000001</v>
      </c>
      <c r="H246" s="1078">
        <v>76.608413433874802</v>
      </c>
      <c r="I246" s="1078">
        <v>23.391586566125198</v>
      </c>
    </row>
    <row r="247" spans="1:9" ht="13.8">
      <c r="A247" s="284" t="s">
        <v>21</v>
      </c>
      <c r="B247" s="1078">
        <v>3370.4</v>
      </c>
      <c r="C247" s="1078">
        <v>2660.4</v>
      </c>
      <c r="D247" s="1078">
        <v>710</v>
      </c>
      <c r="E247" s="1078">
        <v>794.05868049181242</v>
      </c>
      <c r="F247" s="1078">
        <v>985.54300557199008</v>
      </c>
      <c r="G247" s="1078">
        <v>76.558823529411768</v>
      </c>
      <c r="H247" s="1078">
        <v>78.934251127462616</v>
      </c>
      <c r="I247" s="1078">
        <v>21.065748872537384</v>
      </c>
    </row>
    <row r="248" spans="1:9" ht="13.8">
      <c r="A248" s="284" t="s">
        <v>22</v>
      </c>
      <c r="B248" s="1078">
        <v>3462.8674999999998</v>
      </c>
      <c r="C248" s="1078">
        <v>2682.8674999999998</v>
      </c>
      <c r="D248" s="1078">
        <v>780</v>
      </c>
      <c r="E248" s="1078">
        <v>800.73766171750128</v>
      </c>
      <c r="F248" s="1078">
        <v>999.87627702250381</v>
      </c>
      <c r="G248" s="1078">
        <v>115.78571428571429</v>
      </c>
      <c r="H248" s="1078">
        <v>77.475314894375842</v>
      </c>
      <c r="I248" s="1078">
        <v>22.524685105624169</v>
      </c>
    </row>
    <row r="249" spans="1:9" ht="13.8">
      <c r="A249" s="284" t="s">
        <v>23</v>
      </c>
      <c r="B249" s="1078">
        <v>3539.7121999999999</v>
      </c>
      <c r="C249" s="1078">
        <v>2789.7121999999999</v>
      </c>
      <c r="D249" s="1078">
        <v>750</v>
      </c>
      <c r="E249" s="1078">
        <v>838.02174910868405</v>
      </c>
      <c r="F249" s="1078">
        <v>1013.0904575695472</v>
      </c>
      <c r="G249" s="1078">
        <v>186.83333333333334</v>
      </c>
      <c r="H249" s="1078">
        <v>78.811836736331273</v>
      </c>
      <c r="I249" s="1078">
        <v>21.188163263668724</v>
      </c>
    </row>
    <row r="250" spans="1:9" ht="13.8">
      <c r="A250" s="284" t="s">
        <v>24</v>
      </c>
      <c r="B250" s="1078">
        <v>3447.1550000000002</v>
      </c>
      <c r="C250" s="1078">
        <v>2817.1550000000002</v>
      </c>
      <c r="D250" s="1078">
        <v>630</v>
      </c>
      <c r="E250" s="1078">
        <v>836.86175998182671</v>
      </c>
      <c r="F250" s="1078">
        <v>1024.0090446674585</v>
      </c>
      <c r="G250" s="1078" t="s">
        <v>93</v>
      </c>
      <c r="H250" s="1078">
        <v>81.724059405509763</v>
      </c>
      <c r="I250" s="1078">
        <v>18.27594059449024</v>
      </c>
    </row>
    <row r="251" spans="1:9" ht="13.8">
      <c r="A251" s="284" t="s">
        <v>25</v>
      </c>
      <c r="B251" s="1078">
        <v>3455.5306</v>
      </c>
      <c r="C251" s="1078">
        <v>2885.5306</v>
      </c>
      <c r="D251" s="1078">
        <v>570</v>
      </c>
      <c r="E251" s="1078">
        <v>858.77958009217389</v>
      </c>
      <c r="F251" s="1078">
        <v>1028.4206023196073</v>
      </c>
      <c r="G251" s="1078" t="s">
        <v>93</v>
      </c>
      <c r="H251" s="1078">
        <v>83.50470402432552</v>
      </c>
      <c r="I251" s="1078">
        <v>16.495295975674473</v>
      </c>
    </row>
    <row r="252" spans="1:9" ht="13.8">
      <c r="A252" s="284" t="s">
        <v>26</v>
      </c>
      <c r="B252" s="1078">
        <v>3440.5306</v>
      </c>
      <c r="C252" s="1078">
        <v>2930.5306</v>
      </c>
      <c r="D252" s="1078">
        <v>510</v>
      </c>
      <c r="E252" s="1078">
        <v>883.07465377455662</v>
      </c>
      <c r="F252" s="1078">
        <v>1036.7560633544545</v>
      </c>
      <c r="G252" s="1078" t="s">
        <v>93</v>
      </c>
      <c r="H252" s="1078">
        <v>85.176705011721154</v>
      </c>
      <c r="I252" s="1078">
        <v>14.823294988278843</v>
      </c>
    </row>
    <row r="253" spans="1:9" ht="13.8">
      <c r="A253" s="284" t="s">
        <v>27</v>
      </c>
      <c r="B253" s="1078">
        <v>3894.9515000000001</v>
      </c>
      <c r="C253" s="1078">
        <v>2994.9515000000001</v>
      </c>
      <c r="D253" s="1078">
        <v>900</v>
      </c>
      <c r="E253" s="1078">
        <v>826.66769045054036</v>
      </c>
      <c r="F253" s="1078">
        <v>1039.6263715528842</v>
      </c>
      <c r="G253" s="1078">
        <v>118</v>
      </c>
      <c r="H253" s="1078">
        <v>76.893165421957121</v>
      </c>
      <c r="I253" s="1078">
        <v>23.106834578042886</v>
      </c>
    </row>
    <row r="254" spans="1:9" ht="13.8">
      <c r="A254" s="284" t="s">
        <v>28</v>
      </c>
      <c r="B254" s="1078">
        <v>4286.4935000000005</v>
      </c>
      <c r="C254" s="1078">
        <v>3116.4935</v>
      </c>
      <c r="D254" s="1078">
        <v>1170</v>
      </c>
      <c r="E254" s="1078">
        <v>763.09725668029625</v>
      </c>
      <c r="F254" s="1078">
        <v>1008.5345695821031</v>
      </c>
      <c r="G254" s="1078">
        <v>109.33333333333333</v>
      </c>
      <c r="H254" s="1078">
        <v>72.704962692699752</v>
      </c>
      <c r="I254" s="1078">
        <v>27.295037307300241</v>
      </c>
    </row>
    <row r="255" spans="1:9" ht="13.8">
      <c r="A255" s="284" t="s">
        <v>29</v>
      </c>
      <c r="B255" s="1078">
        <v>5500.0535</v>
      </c>
      <c r="C255" s="1078">
        <v>4161.4934999999996</v>
      </c>
      <c r="D255" s="1078">
        <v>1338.56</v>
      </c>
      <c r="E255" s="1078">
        <f t="shared" si="28"/>
        <v>679.78167229750068</v>
      </c>
      <c r="F255" s="1078">
        <v>857.44500776255734</v>
      </c>
      <c r="G255" s="1078">
        <v>127.43824673110672</v>
      </c>
      <c r="H255" s="1078">
        <v>75.662782189300515</v>
      </c>
      <c r="I255" s="1078">
        <v>24.337217810699478</v>
      </c>
    </row>
    <row r="256" spans="1:9" ht="13.8">
      <c r="A256" s="284" t="s">
        <v>3605</v>
      </c>
      <c r="B256" s="1076">
        <v>7697.5300999999999</v>
      </c>
      <c r="C256" s="1076">
        <v>6377.4000999999998</v>
      </c>
      <c r="D256" s="1076">
        <v>1320.13</v>
      </c>
      <c r="E256" s="1076">
        <v>728.84709822844866</v>
      </c>
      <c r="F256" s="1076">
        <v>855.0862297178345</v>
      </c>
      <c r="G256" s="1076">
        <v>119</v>
      </c>
      <c r="H256" s="1076">
        <v>82.849953389594404</v>
      </c>
      <c r="I256" s="1076">
        <v>17.150046610405592</v>
      </c>
    </row>
    <row r="257" spans="1:9" ht="13.8">
      <c r="A257" s="284" t="s">
        <v>18</v>
      </c>
      <c r="B257" s="1078">
        <f>SUM(C257:D257)</f>
        <v>5587.6322</v>
      </c>
      <c r="C257" s="1078">
        <v>4186.4934999999996</v>
      </c>
      <c r="D257" s="1078">
        <v>1401.1387</v>
      </c>
      <c r="E257" s="1078">
        <v>663.89840606220605</v>
      </c>
      <c r="F257" s="1078">
        <v>853.54316934114661</v>
      </c>
      <c r="G257" s="1078">
        <v>81.75</v>
      </c>
      <c r="H257" s="1078">
        <f>C257/B257*100</f>
        <v>74.924285460306422</v>
      </c>
      <c r="I257" s="1078">
        <f>D257/B257*100</f>
        <v>25.075714539693571</v>
      </c>
    </row>
    <row r="258" spans="1:9" ht="13.8">
      <c r="A258" s="284" t="s">
        <v>19</v>
      </c>
      <c r="B258" s="1078">
        <f t="shared" ref="B258:B271" si="29">SUM(C258:D258)</f>
        <v>5327.1836999999996</v>
      </c>
      <c r="C258" s="1078">
        <v>4301.0450000000001</v>
      </c>
      <c r="D258" s="1078">
        <v>1026.1386999999997</v>
      </c>
      <c r="E258" s="1078">
        <v>688.95311412009869</v>
      </c>
      <c r="F258" s="1078">
        <v>853.32280866738881</v>
      </c>
      <c r="G258" s="1078" t="s">
        <v>93</v>
      </c>
      <c r="H258" s="1078">
        <f t="shared" ref="H258:H259" si="30">C258/B258*100</f>
        <v>80.737688846735296</v>
      </c>
      <c r="I258" s="1078">
        <f t="shared" ref="I258:I259" si="31">D258/B258*100</f>
        <v>19.262311153264715</v>
      </c>
    </row>
    <row r="259" spans="1:9" ht="13.8">
      <c r="A259" s="284" t="s">
        <v>20</v>
      </c>
      <c r="B259" s="1078">
        <f t="shared" si="29"/>
        <v>5227.0450000000001</v>
      </c>
      <c r="C259" s="1078">
        <v>4342.0450000000001</v>
      </c>
      <c r="D259" s="1078">
        <v>884.99999999999977</v>
      </c>
      <c r="E259" s="1078">
        <v>706.90515904387951</v>
      </c>
      <c r="F259" s="1078">
        <v>850.98728296333059</v>
      </c>
      <c r="G259" s="1078" t="s">
        <v>93</v>
      </c>
      <c r="H259" s="1078">
        <f t="shared" si="30"/>
        <v>83.068827607185327</v>
      </c>
      <c r="I259" s="1078">
        <f t="shared" si="31"/>
        <v>16.931172392814673</v>
      </c>
    </row>
    <row r="260" spans="1:9" ht="13.8">
      <c r="A260" s="284" t="s">
        <v>21</v>
      </c>
      <c r="B260" s="1078">
        <v>5382.0450000000001</v>
      </c>
      <c r="C260" s="1078">
        <v>4512.0450000000001</v>
      </c>
      <c r="D260" s="1078">
        <v>870</v>
      </c>
      <c r="E260" s="1078">
        <f t="shared" ref="E260:E271" si="32">(G260*D260+F260*C260)/(C260+D260)</f>
        <v>729.03470525866078</v>
      </c>
      <c r="F260" s="1078">
        <v>845.31018424325316</v>
      </c>
      <c r="G260" s="1078">
        <v>126</v>
      </c>
      <c r="H260" s="1078">
        <f>C260/B260*100</f>
        <v>83.835140731822193</v>
      </c>
      <c r="I260" s="1078">
        <f>D260/B260*100</f>
        <v>16.164859268177803</v>
      </c>
    </row>
    <row r="261" spans="1:9" ht="13.8">
      <c r="A261" s="284" t="s">
        <v>22</v>
      </c>
      <c r="B261" s="1078">
        <v>5784.6779999999999</v>
      </c>
      <c r="C261" s="1078">
        <v>4584.808</v>
      </c>
      <c r="D261" s="1078">
        <v>1199.8699999999999</v>
      </c>
      <c r="E261" s="1078">
        <v>695.88691128529535</v>
      </c>
      <c r="F261" s="1078">
        <v>849.4</v>
      </c>
      <c r="G261" s="1078">
        <v>109.3</v>
      </c>
      <c r="H261" s="1078">
        <f>C261/B261*100</f>
        <v>79.257791012740896</v>
      </c>
      <c r="I261" s="1078">
        <f>D261/B261*100</f>
        <v>20.742208987259101</v>
      </c>
    </row>
    <row r="262" spans="1:9" ht="13.8">
      <c r="A262" s="284" t="s">
        <v>23</v>
      </c>
      <c r="B262" s="1078">
        <f t="shared" ref="B262" si="33">SUM(C262:D262)</f>
        <v>6129.6779999999999</v>
      </c>
      <c r="C262" s="1078">
        <v>4794.808</v>
      </c>
      <c r="D262" s="1078">
        <v>1334.87</v>
      </c>
      <c r="E262" s="1078">
        <f t="shared" ref="E262" si="34">(G262*D262+F262*C262)/(C262+D262)</f>
        <v>694.19420987236015</v>
      </c>
      <c r="F262" s="1078">
        <v>849.31654948060248</v>
      </c>
      <c r="G262" s="1078">
        <v>137</v>
      </c>
      <c r="H262" s="1078">
        <f>C262/B262*100</f>
        <v>78.222836501362707</v>
      </c>
      <c r="I262" s="1078">
        <f>D262/B262*100</f>
        <v>21.777163498637282</v>
      </c>
    </row>
    <row r="263" spans="1:9" ht="13.8">
      <c r="A263" s="284" t="s">
        <v>24</v>
      </c>
      <c r="B263" s="1078">
        <v>6560.6579999999994</v>
      </c>
      <c r="C263" s="1078">
        <v>4997.308</v>
      </c>
      <c r="D263" s="1078">
        <v>1563.35</v>
      </c>
      <c r="E263" s="1078">
        <v>679.20835870216877</v>
      </c>
      <c r="F263" s="1078">
        <v>849.26134302930575</v>
      </c>
      <c r="G263" s="1078">
        <v>135.62749772933697</v>
      </c>
      <c r="H263" s="1078">
        <v>76.170835303410129</v>
      </c>
      <c r="I263" s="1078">
        <v>23.829164696589885</v>
      </c>
    </row>
    <row r="264" spans="1:9" ht="13.8">
      <c r="A264" s="284" t="s">
        <v>25</v>
      </c>
      <c r="B264" s="1078">
        <v>6979.1898999999994</v>
      </c>
      <c r="C264" s="1078">
        <v>5435.8398999999999</v>
      </c>
      <c r="D264" s="1078">
        <v>1543.35</v>
      </c>
      <c r="E264" s="1078">
        <v>681.38651673859817</v>
      </c>
      <c r="F264" s="1078">
        <v>842.37568427545159</v>
      </c>
      <c r="G264" s="1078">
        <v>114.36585365853658</v>
      </c>
      <c r="H264" s="1078">
        <v>77.886401973386626</v>
      </c>
      <c r="I264" s="1078">
        <v>22.113598026613378</v>
      </c>
    </row>
    <row r="265" spans="1:9" ht="13.8">
      <c r="A265" s="284" t="s">
        <v>26</v>
      </c>
      <c r="B265" s="1078">
        <v>7528.7598999999991</v>
      </c>
      <c r="C265" s="1078">
        <v>5918.3398999999999</v>
      </c>
      <c r="D265" s="1078">
        <v>1610.4199999999996</v>
      </c>
      <c r="E265" s="1078">
        <v>671.14966420861469</v>
      </c>
      <c r="F265" s="1078">
        <v>822.98204495334789</v>
      </c>
      <c r="G265" s="1078">
        <v>113.16129032258064</v>
      </c>
      <c r="H265" s="1078">
        <v>78.609757498044274</v>
      </c>
      <c r="I265" s="1078">
        <v>21.390242501955729</v>
      </c>
    </row>
    <row r="266" spans="1:9" ht="13.8">
      <c r="A266" s="284" t="s">
        <v>27</v>
      </c>
      <c r="B266" s="1733">
        <v>7331.6898999999994</v>
      </c>
      <c r="C266" s="1733">
        <v>5813.3398999999999</v>
      </c>
      <c r="D266" s="1733">
        <v>1518.35</v>
      </c>
      <c r="E266" s="1733">
        <v>667.88410689390923</v>
      </c>
      <c r="F266" s="1733">
        <v>800.74413692627786</v>
      </c>
      <c r="G266" s="1733">
        <v>159.19999999999999</v>
      </c>
      <c r="H266" s="1733">
        <v>79.290586198960767</v>
      </c>
      <c r="I266" s="1733">
        <v>20.70941380103924</v>
      </c>
    </row>
    <row r="267" spans="1:9" ht="13.8">
      <c r="A267" s="284" t="s">
        <v>28</v>
      </c>
      <c r="B267" s="1733">
        <v>7332.5069000000003</v>
      </c>
      <c r="C267" s="1733">
        <v>5949.0268999999998</v>
      </c>
      <c r="D267" s="1733">
        <v>1383.48</v>
      </c>
      <c r="E267" s="1733">
        <v>722.33782077366448</v>
      </c>
      <c r="F267" s="1733">
        <v>849.74061807551391</v>
      </c>
      <c r="G267" s="1733">
        <v>174.5</v>
      </c>
      <c r="H267" s="1733">
        <v>81.132237325272754</v>
      </c>
      <c r="I267" s="1733">
        <v>18.867762674727249</v>
      </c>
    </row>
    <row r="268" spans="1:9" ht="13.8">
      <c r="A268" s="284" t="s">
        <v>29</v>
      </c>
      <c r="B268" s="1733">
        <v>7697.5300999999999</v>
      </c>
      <c r="C268" s="1733">
        <v>6377.4000999999998</v>
      </c>
      <c r="D268" s="1733">
        <v>1320.13</v>
      </c>
      <c r="E268" s="1733">
        <v>728.84709822844866</v>
      </c>
      <c r="F268" s="1733">
        <v>855.0862297178345</v>
      </c>
      <c r="G268" s="1733">
        <v>119</v>
      </c>
      <c r="H268" s="1733">
        <v>82.849953389594404</v>
      </c>
      <c r="I268" s="1733">
        <v>17.150046610405592</v>
      </c>
    </row>
    <row r="269" spans="1:9" ht="13.8">
      <c r="A269" s="284" t="s">
        <v>4086</v>
      </c>
      <c r="B269" s="1733"/>
      <c r="C269" s="1733"/>
      <c r="D269" s="1733"/>
      <c r="E269" s="1733"/>
      <c r="F269" s="1733"/>
      <c r="G269" s="1733"/>
      <c r="H269" s="1733"/>
      <c r="I269" s="1733"/>
    </row>
    <row r="270" spans="1:9" ht="13.8">
      <c r="A270" s="284" t="s">
        <v>18</v>
      </c>
      <c r="B270" s="1733">
        <f t="shared" ref="B270" si="35">SUM(C270:D270)</f>
        <v>7646.7326000000003</v>
      </c>
      <c r="C270" s="1733">
        <v>6464.4326000000001</v>
      </c>
      <c r="D270" s="1733">
        <v>1182.3</v>
      </c>
      <c r="E270" s="1733">
        <f t="shared" ref="E270" si="36">(G270*D270+F270*C270)/(C270+D270)</f>
        <v>744.33944986759025</v>
      </c>
      <c r="F270" s="1733">
        <v>863.05850005076002</v>
      </c>
      <c r="G270" s="1733">
        <v>95.222222222222229</v>
      </c>
      <c r="H270" s="1733">
        <f>C270/B270*100</f>
        <v>84.538494258318906</v>
      </c>
      <c r="I270" s="1733">
        <f>D270/B270*100</f>
        <v>15.461505741681092</v>
      </c>
    </row>
    <row r="271" spans="1:9" ht="13.8">
      <c r="A271" s="859" t="s">
        <v>19</v>
      </c>
      <c r="B271" s="1078">
        <f t="shared" si="29"/>
        <v>7865.98</v>
      </c>
      <c r="C271" s="860">
        <v>6643.78</v>
      </c>
      <c r="D271" s="860">
        <v>1222.1999999999998</v>
      </c>
      <c r="E271" s="3">
        <f t="shared" si="32"/>
        <v>750.74973423627648</v>
      </c>
      <c r="F271" s="860">
        <v>861.64385100793766</v>
      </c>
      <c r="G271" s="860">
        <v>147.93831619894416</v>
      </c>
      <c r="H271" s="3">
        <f>C271/B271*100</f>
        <v>84.462203056707494</v>
      </c>
      <c r="I271" s="858">
        <f>D271/B271*100</f>
        <v>15.537796943292506</v>
      </c>
    </row>
    <row r="272" spans="1:9" s="578" customFormat="1" ht="27.75" customHeight="1">
      <c r="A272" s="2600" t="s">
        <v>2772</v>
      </c>
      <c r="B272" s="2601"/>
      <c r="C272" s="2601"/>
      <c r="D272" s="2601"/>
      <c r="E272" s="2601"/>
      <c r="F272" s="2601"/>
      <c r="G272" s="2601"/>
      <c r="H272" s="2601"/>
      <c r="I272" s="2602"/>
    </row>
    <row r="274" spans="4:9">
      <c r="D274" s="170" t="s">
        <v>115</v>
      </c>
    </row>
    <row r="276" spans="4:9" ht="13.8">
      <c r="I276" s="166"/>
    </row>
  </sheetData>
  <mergeCells count="11">
    <mergeCell ref="A2:I2"/>
    <mergeCell ref="A3:I3"/>
    <mergeCell ref="E6:G6"/>
    <mergeCell ref="B6:D6"/>
    <mergeCell ref="H6:I6"/>
    <mergeCell ref="A6:A7"/>
    <mergeCell ref="A272:I272"/>
    <mergeCell ref="A8:A9"/>
    <mergeCell ref="B8:D8"/>
    <mergeCell ref="E8:G8"/>
    <mergeCell ref="H8:I8"/>
  </mergeCells>
  <pageMargins left="0.17" right="0.17" top="0.53" bottom="0.23" header="0.17" footer="0.17"/>
  <pageSetup scale="24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2"/>
  <sheetViews>
    <sheetView showGridLines="0" view="pageBreakPreview" zoomScaleNormal="100" zoomScaleSheetLayoutView="100" workbookViewId="0">
      <pane ySplit="19" topLeftCell="A269" activePane="bottomLeft" state="frozen"/>
      <selection activeCell="G291" sqref="G291"/>
      <selection pane="bottomLeft" activeCell="L297" sqref="L297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4" customFormat="1" ht="30" customHeight="1">
      <c r="A2" s="2605" t="s">
        <v>990</v>
      </c>
      <c r="B2" s="2605"/>
      <c r="C2" s="2605"/>
      <c r="D2" s="2605"/>
      <c r="E2" s="2605"/>
      <c r="F2" s="2605"/>
      <c r="G2" s="2605"/>
      <c r="H2" s="2605"/>
      <c r="I2" s="2605"/>
      <c r="J2" s="2605"/>
      <c r="K2" s="2605"/>
      <c r="L2" s="2605"/>
      <c r="M2" s="2605"/>
      <c r="N2" s="146"/>
      <c r="O2" s="146"/>
    </row>
    <row r="3" spans="1:82" s="395" customFormat="1" ht="30" customHeight="1">
      <c r="A3" s="2606" t="s">
        <v>2783</v>
      </c>
      <c r="B3" s="2606"/>
      <c r="C3" s="2606"/>
      <c r="D3" s="2606"/>
      <c r="E3" s="2606"/>
      <c r="F3" s="2606"/>
      <c r="G3" s="2606"/>
      <c r="H3" s="2606"/>
      <c r="I3" s="2606"/>
      <c r="J3" s="2606"/>
      <c r="K3" s="2606"/>
      <c r="L3" s="2606"/>
      <c r="M3" s="2606"/>
      <c r="N3" s="59"/>
      <c r="O3" s="59"/>
    </row>
    <row r="4" spans="1:82" s="395" customFormat="1" ht="13.5" customHeigh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59"/>
      <c r="O4" s="59"/>
    </row>
    <row r="5" spans="1:82" s="395" customFormat="1" ht="13.5" customHeight="1">
      <c r="A5" s="598"/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"/>
      <c r="O5" s="59"/>
    </row>
    <row r="6" spans="1:82" s="171" customFormat="1" ht="30" customHeight="1">
      <c r="A6" s="2607" t="s">
        <v>182</v>
      </c>
      <c r="B6" s="687" t="s">
        <v>1254</v>
      </c>
      <c r="C6" s="689" t="s">
        <v>243</v>
      </c>
      <c r="D6" s="688" t="s">
        <v>249</v>
      </c>
      <c r="E6" s="689" t="s">
        <v>269</v>
      </c>
      <c r="F6" s="687" t="s">
        <v>1254</v>
      </c>
      <c r="G6" s="689" t="s">
        <v>243</v>
      </c>
      <c r="H6" s="688" t="s">
        <v>249</v>
      </c>
      <c r="I6" s="689" t="s">
        <v>269</v>
      </c>
      <c r="J6" s="687" t="s">
        <v>1254</v>
      </c>
      <c r="K6" s="689" t="s">
        <v>243</v>
      </c>
      <c r="L6" s="688" t="s">
        <v>249</v>
      </c>
      <c r="M6" s="689" t="s">
        <v>269</v>
      </c>
    </row>
    <row r="7" spans="1:82" s="171" customFormat="1" ht="21" customHeight="1">
      <c r="A7" s="2607"/>
      <c r="B7" s="2607" t="s">
        <v>994</v>
      </c>
      <c r="C7" s="2607"/>
      <c r="D7" s="2607"/>
      <c r="E7" s="2607"/>
      <c r="F7" s="2607" t="s">
        <v>995</v>
      </c>
      <c r="G7" s="2607"/>
      <c r="H7" s="2607"/>
      <c r="I7" s="2607"/>
      <c r="J7" s="2607" t="s">
        <v>996</v>
      </c>
      <c r="K7" s="2607"/>
      <c r="L7" s="2607"/>
      <c r="M7" s="2607"/>
      <c r="CC7" s="99" t="s">
        <v>2089</v>
      </c>
      <c r="CD7" s="351" t="s">
        <v>2090</v>
      </c>
    </row>
    <row r="8" spans="1:82" ht="27.6" customHeight="1">
      <c r="A8" s="2611" t="s">
        <v>304</v>
      </c>
      <c r="B8" s="690" t="s">
        <v>991</v>
      </c>
      <c r="C8" s="692" t="s">
        <v>993</v>
      </c>
      <c r="D8" s="691" t="s">
        <v>992</v>
      </c>
      <c r="E8" s="692" t="s">
        <v>2664</v>
      </c>
      <c r="F8" s="690" t="s">
        <v>991</v>
      </c>
      <c r="G8" s="692" t="s">
        <v>993</v>
      </c>
      <c r="H8" s="691" t="s">
        <v>992</v>
      </c>
      <c r="I8" s="692" t="s">
        <v>2664</v>
      </c>
      <c r="J8" s="690" t="s">
        <v>991</v>
      </c>
      <c r="K8" s="692" t="s">
        <v>993</v>
      </c>
      <c r="L8" s="691" t="s">
        <v>992</v>
      </c>
      <c r="M8" s="692" t="s">
        <v>2664</v>
      </c>
      <c r="N8" s="172"/>
      <c r="O8" s="172"/>
      <c r="BY8" s="81">
        <f>BY10+BY22+BY32+BY40</f>
        <v>0</v>
      </c>
      <c r="CC8" s="81">
        <f>CC10+CC22+CC32+CC40</f>
        <v>622</v>
      </c>
      <c r="CD8" s="352">
        <f>BY8+BZ8+CA8+CC8</f>
        <v>622</v>
      </c>
    </row>
    <row r="9" spans="1:82" ht="21" customHeight="1">
      <c r="A9" s="2612"/>
      <c r="B9" s="2613" t="s">
        <v>997</v>
      </c>
      <c r="C9" s="2614"/>
      <c r="D9" s="2614"/>
      <c r="E9" s="2615"/>
      <c r="F9" s="2613" t="s">
        <v>998</v>
      </c>
      <c r="G9" s="2614"/>
      <c r="H9" s="2614"/>
      <c r="I9" s="2615"/>
      <c r="J9" s="2613" t="s">
        <v>999</v>
      </c>
      <c r="K9" s="2614"/>
      <c r="L9" s="2614"/>
      <c r="M9" s="2615"/>
      <c r="N9" s="172"/>
      <c r="O9" s="172"/>
      <c r="CD9" s="35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2">
        <f t="shared" si="0"/>
        <v>-367</v>
      </c>
    </row>
    <row r="20" spans="1:82" s="121" customFormat="1">
      <c r="A20" s="74">
        <v>2005</v>
      </c>
      <c r="B20" s="861">
        <v>945168.9</v>
      </c>
      <c r="C20" s="862">
        <v>10991.4</v>
      </c>
      <c r="D20" s="862">
        <v>511.5</v>
      </c>
      <c r="E20" s="862">
        <v>123013.1</v>
      </c>
      <c r="F20" s="862">
        <v>1363845</v>
      </c>
      <c r="G20" s="862">
        <v>86946.8</v>
      </c>
      <c r="H20" s="862">
        <v>1086.4000000000001</v>
      </c>
      <c r="I20" s="862">
        <v>133123.79999999999</v>
      </c>
      <c r="J20" s="862">
        <v>0.94689999999999996</v>
      </c>
      <c r="K20" s="863">
        <v>1.1835</v>
      </c>
      <c r="L20" s="863">
        <v>1.7343999999999999</v>
      </c>
      <c r="M20" s="863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61">
        <v>65243.5</v>
      </c>
      <c r="C21" s="862">
        <v>1073.5</v>
      </c>
      <c r="D21" s="862">
        <v>99.4</v>
      </c>
      <c r="E21" s="862">
        <v>10655.7</v>
      </c>
      <c r="F21" s="862">
        <v>81170.899999999994</v>
      </c>
      <c r="G21" s="862">
        <v>6637.6</v>
      </c>
      <c r="H21" s="862">
        <v>122.4</v>
      </c>
      <c r="I21" s="862">
        <v>12362</v>
      </c>
      <c r="J21" s="862">
        <v>0.98198200000000002</v>
      </c>
      <c r="K21" s="863">
        <v>1.300764</v>
      </c>
      <c r="L21" s="863">
        <v>1.8438540000000001</v>
      </c>
      <c r="M21" s="863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61">
        <v>62929.3</v>
      </c>
      <c r="C22" s="862">
        <v>790.6</v>
      </c>
      <c r="D22" s="862">
        <v>33.6</v>
      </c>
      <c r="E22" s="862">
        <v>9767.7999999999993</v>
      </c>
      <c r="F22" s="862">
        <v>91276.1</v>
      </c>
      <c r="G22" s="862">
        <v>4084.9</v>
      </c>
      <c r="H22" s="862">
        <v>43</v>
      </c>
      <c r="I22" s="862">
        <v>11891</v>
      </c>
      <c r="J22" s="862">
        <v>0.98125799999999996</v>
      </c>
      <c r="K22" s="863">
        <v>1.274912</v>
      </c>
      <c r="L22" s="863">
        <v>1.8333840000000001</v>
      </c>
      <c r="M22" s="863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61">
        <v>78218.899999999994</v>
      </c>
      <c r="C23" s="862">
        <v>898.6</v>
      </c>
      <c r="D23" s="862">
        <v>55.4</v>
      </c>
      <c r="E23" s="862">
        <v>11385.4</v>
      </c>
      <c r="F23" s="862">
        <v>112266.6</v>
      </c>
      <c r="G23" s="862">
        <v>7220.6</v>
      </c>
      <c r="H23" s="862">
        <v>52.7</v>
      </c>
      <c r="I23" s="862">
        <v>12052.2</v>
      </c>
      <c r="J23" s="862">
        <v>0.97741800000000001</v>
      </c>
      <c r="K23" s="863">
        <v>1.2812620000000001</v>
      </c>
      <c r="L23" s="863">
        <v>1.8467099999999999</v>
      </c>
      <c r="M23" s="863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61">
        <v>86914.9</v>
      </c>
      <c r="C24" s="862">
        <v>1069</v>
      </c>
      <c r="D24" s="862">
        <v>43.2</v>
      </c>
      <c r="E24" s="862">
        <v>9900.6</v>
      </c>
      <c r="F24" s="862">
        <v>90769.8</v>
      </c>
      <c r="G24" s="862">
        <v>9622</v>
      </c>
      <c r="H24" s="862">
        <v>50.8</v>
      </c>
      <c r="I24" s="862">
        <v>10957.2</v>
      </c>
      <c r="J24" s="862">
        <v>0.96686200000000011</v>
      </c>
      <c r="K24" s="863">
        <v>1.2555620000000001</v>
      </c>
      <c r="L24" s="863">
        <v>1.8246819999999999</v>
      </c>
      <c r="M24" s="863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61">
        <v>81552.2</v>
      </c>
      <c r="C25" s="862">
        <v>1972.4</v>
      </c>
      <c r="D25" s="862">
        <v>26.7</v>
      </c>
      <c r="E25" s="862">
        <v>15387.2</v>
      </c>
      <c r="F25" s="862">
        <v>99121.1</v>
      </c>
      <c r="G25" s="862">
        <v>7897.7</v>
      </c>
      <c r="H25" s="862">
        <v>64</v>
      </c>
      <c r="I25" s="862">
        <v>18224.2</v>
      </c>
      <c r="J25" s="862">
        <v>0.95774599999999988</v>
      </c>
      <c r="K25" s="863">
        <v>1.226864</v>
      </c>
      <c r="L25" s="863">
        <v>1.800584</v>
      </c>
      <c r="M25" s="863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61">
        <v>83202.100000000006</v>
      </c>
      <c r="C26" s="862">
        <v>707.5</v>
      </c>
      <c r="D26" s="862">
        <v>16.600000000000001</v>
      </c>
      <c r="E26" s="862">
        <v>11221</v>
      </c>
      <c r="F26" s="862">
        <v>99832.2</v>
      </c>
      <c r="G26" s="862">
        <v>2072.3000000000002</v>
      </c>
      <c r="H26" s="862">
        <v>50.8</v>
      </c>
      <c r="I26" s="862">
        <v>15110.7</v>
      </c>
      <c r="J26" s="862">
        <v>0.94742199999999999</v>
      </c>
      <c r="K26" s="863">
        <v>1.15526</v>
      </c>
      <c r="L26" s="863">
        <v>1.8207439999999999</v>
      </c>
      <c r="M26" s="863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61">
        <v>85813</v>
      </c>
      <c r="C27" s="862">
        <v>675.8</v>
      </c>
      <c r="D27" s="862">
        <v>30</v>
      </c>
      <c r="E27" s="862">
        <v>10451</v>
      </c>
      <c r="F27" s="862">
        <v>100099.6</v>
      </c>
      <c r="G27" s="862">
        <v>3576.5</v>
      </c>
      <c r="H27" s="862">
        <v>101.9</v>
      </c>
      <c r="I27" s="862">
        <v>10955.4</v>
      </c>
      <c r="J27" s="862">
        <v>0.94170200000000004</v>
      </c>
      <c r="K27" s="863">
        <v>1.1333500000000001</v>
      </c>
      <c r="L27" s="863">
        <v>1.6512279999999999</v>
      </c>
      <c r="M27" s="863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61">
        <v>114705.7</v>
      </c>
      <c r="C28" s="862">
        <v>824.6</v>
      </c>
      <c r="D28" s="862">
        <v>34.299999999999997</v>
      </c>
      <c r="E28" s="862">
        <v>12022.7</v>
      </c>
      <c r="F28" s="862">
        <v>111673.3</v>
      </c>
      <c r="G28" s="862">
        <v>6329.6</v>
      </c>
      <c r="H28" s="862">
        <v>75.5</v>
      </c>
      <c r="I28" s="862">
        <v>12705.3</v>
      </c>
      <c r="J28" s="862">
        <v>0.932334</v>
      </c>
      <c r="K28" s="863">
        <v>1.1466180000000001</v>
      </c>
      <c r="L28" s="863">
        <v>1.668066</v>
      </c>
      <c r="M28" s="863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61">
        <v>96408.8</v>
      </c>
      <c r="C29" s="862">
        <v>935.1</v>
      </c>
      <c r="D29" s="862">
        <v>41.4</v>
      </c>
      <c r="E29" s="862">
        <v>11576.1</v>
      </c>
      <c r="F29" s="862">
        <v>96899</v>
      </c>
      <c r="G29" s="862">
        <v>10227.6</v>
      </c>
      <c r="H29" s="862">
        <v>140.19999999999999</v>
      </c>
      <c r="I29" s="862">
        <v>10946.4</v>
      </c>
      <c r="J29" s="862">
        <v>0.91676200000000008</v>
      </c>
      <c r="K29" s="863">
        <v>1.1343700000000001</v>
      </c>
      <c r="L29" s="863">
        <v>1.6809939999999999</v>
      </c>
      <c r="M29" s="863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61">
        <v>64481.7</v>
      </c>
      <c r="C30" s="862">
        <v>437.6</v>
      </c>
      <c r="D30" s="862">
        <v>52.7</v>
      </c>
      <c r="E30" s="862">
        <v>8422.4</v>
      </c>
      <c r="F30" s="862">
        <v>141455.20000000001</v>
      </c>
      <c r="G30" s="862">
        <v>11182.8</v>
      </c>
      <c r="H30" s="862">
        <v>132.4</v>
      </c>
      <c r="I30" s="862">
        <v>6265</v>
      </c>
      <c r="J30" s="862">
        <v>0.91771200000000008</v>
      </c>
      <c r="K30" s="863">
        <v>1.110832</v>
      </c>
      <c r="L30" s="863">
        <v>1.6287339999999999</v>
      </c>
      <c r="M30" s="863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61">
        <v>65710.8</v>
      </c>
      <c r="C31" s="862">
        <v>497.2</v>
      </c>
      <c r="D31" s="862">
        <v>8.6999999999999993</v>
      </c>
      <c r="E31" s="862">
        <v>5739.3</v>
      </c>
      <c r="F31" s="862">
        <v>152310.79999999999</v>
      </c>
      <c r="G31" s="862">
        <v>10438</v>
      </c>
      <c r="H31" s="862">
        <v>155.69999999999999</v>
      </c>
      <c r="I31" s="862">
        <v>4702.6000000000004</v>
      </c>
      <c r="J31" s="862">
        <v>0.92074599999999995</v>
      </c>
      <c r="K31" s="863">
        <v>1.08806</v>
      </c>
      <c r="L31" s="863">
        <v>1.611578</v>
      </c>
      <c r="M31" s="863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61">
        <v>59988</v>
      </c>
      <c r="C32" s="862">
        <v>1109.5</v>
      </c>
      <c r="D32" s="862">
        <v>69.5</v>
      </c>
      <c r="E32" s="862">
        <v>6483.9</v>
      </c>
      <c r="F32" s="862">
        <v>186970.4</v>
      </c>
      <c r="G32" s="862">
        <v>7657.2</v>
      </c>
      <c r="H32" s="862">
        <v>97</v>
      </c>
      <c r="I32" s="862">
        <v>6951.8</v>
      </c>
      <c r="J32" s="862">
        <v>0.92060599999999992</v>
      </c>
      <c r="K32" s="863">
        <v>1.0939099999999999</v>
      </c>
      <c r="L32" s="863">
        <v>1.6019079999999999</v>
      </c>
      <c r="M32" s="863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61">
        <f t="shared" ref="B33:I33" si="1">B34+B35+B36+B37+B38+B39+B40+B41+B42+B43+B44+B45</f>
        <v>979089.6</v>
      </c>
      <c r="C33" s="862">
        <f t="shared" ref="C33:D33" si="2">C34+C35+C36+C37+C38+C39+C40+C41+C42+C43+C44+C45</f>
        <v>7733.3499999999995</v>
      </c>
      <c r="D33" s="862">
        <f t="shared" si="2"/>
        <v>514.95000000000005</v>
      </c>
      <c r="E33" s="862">
        <f t="shared" si="1"/>
        <v>75393.61</v>
      </c>
      <c r="F33" s="862">
        <f t="shared" si="1"/>
        <v>1734462.63</v>
      </c>
      <c r="G33" s="862">
        <f t="shared" ref="G33" si="3">G34+G35+G36+G37+G38+G39+G40+G41+G42+G43+G44+G45</f>
        <v>179299.1</v>
      </c>
      <c r="H33" s="862">
        <f t="shared" si="1"/>
        <v>1288.1499999999999</v>
      </c>
      <c r="I33" s="862">
        <f t="shared" si="1"/>
        <v>61279.960000000006</v>
      </c>
      <c r="J33" s="862">
        <v>0.89029999999999998</v>
      </c>
      <c r="K33" s="863">
        <v>1.1318999999999999</v>
      </c>
      <c r="L33" s="863">
        <v>1.6573</v>
      </c>
      <c r="M33" s="863">
        <v>3.27E-2</v>
      </c>
      <c r="N33" s="177"/>
      <c r="O33" s="171"/>
      <c r="CD33" s="235"/>
    </row>
    <row r="34" spans="1:82" s="121" customFormat="1" hidden="1">
      <c r="A34" s="75" t="s">
        <v>18</v>
      </c>
      <c r="B34" s="861">
        <v>42151.26</v>
      </c>
      <c r="C34" s="862">
        <v>503</v>
      </c>
      <c r="D34" s="862">
        <v>49</v>
      </c>
      <c r="E34" s="862">
        <v>1508</v>
      </c>
      <c r="F34" s="862">
        <v>78155.600000000006</v>
      </c>
      <c r="G34" s="862">
        <v>5526.3</v>
      </c>
      <c r="H34" s="862">
        <v>77.400000000000006</v>
      </c>
      <c r="I34" s="862">
        <v>1220.0999999999999</v>
      </c>
      <c r="J34" s="862">
        <v>0.92079999999999995</v>
      </c>
      <c r="K34" s="863">
        <v>1.1183000000000001</v>
      </c>
      <c r="L34" s="863">
        <v>1.6284000000000001</v>
      </c>
      <c r="M34" s="863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61">
        <v>49697.89</v>
      </c>
      <c r="C35" s="862">
        <v>351</v>
      </c>
      <c r="D35" s="862">
        <v>32</v>
      </c>
      <c r="E35" s="862">
        <v>3605</v>
      </c>
      <c r="F35" s="862">
        <v>93053.82</v>
      </c>
      <c r="G35" s="862">
        <v>7415.4</v>
      </c>
      <c r="H35" s="862">
        <v>87.5</v>
      </c>
      <c r="I35" s="862">
        <v>2266.9</v>
      </c>
      <c r="J35" s="862">
        <v>0.91579999999999995</v>
      </c>
      <c r="K35" s="863">
        <v>1.1414</v>
      </c>
      <c r="L35" s="863">
        <v>1.6126</v>
      </c>
      <c r="M35" s="863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61">
        <v>52694</v>
      </c>
      <c r="C36" s="862">
        <v>1054.2</v>
      </c>
      <c r="D36" s="862">
        <v>44.97</v>
      </c>
      <c r="E36" s="862">
        <v>2687.24</v>
      </c>
      <c r="F36" s="862">
        <v>98165.6</v>
      </c>
      <c r="G36" s="862">
        <v>9158.1</v>
      </c>
      <c r="H36" s="862">
        <v>91</v>
      </c>
      <c r="I36" s="862">
        <v>3338.3</v>
      </c>
      <c r="J36" s="862">
        <v>0.91279999999999994</v>
      </c>
      <c r="K36" s="863">
        <v>1.0982000000000001</v>
      </c>
      <c r="L36" s="863">
        <v>1.5946</v>
      </c>
      <c r="M36" s="863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61">
        <v>52933.8</v>
      </c>
      <c r="C37" s="862">
        <v>632.5</v>
      </c>
      <c r="D37" s="862">
        <v>58.5</v>
      </c>
      <c r="E37" s="862">
        <v>2586.6</v>
      </c>
      <c r="F37" s="862">
        <v>102975.4</v>
      </c>
      <c r="G37" s="862">
        <v>8835.7000000000007</v>
      </c>
      <c r="H37" s="862">
        <v>87.1</v>
      </c>
      <c r="I37" s="862">
        <v>7029.2</v>
      </c>
      <c r="J37" s="862">
        <v>0.90790000000000004</v>
      </c>
      <c r="K37" s="863">
        <v>1.1145</v>
      </c>
      <c r="L37" s="863">
        <v>1.6751</v>
      </c>
      <c r="M37" s="863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61">
        <v>94700.3</v>
      </c>
      <c r="C38" s="862">
        <v>660.7</v>
      </c>
      <c r="D38" s="862">
        <v>69.2</v>
      </c>
      <c r="E38" s="862">
        <v>3850.9</v>
      </c>
      <c r="F38" s="862">
        <v>131233.20000000001</v>
      </c>
      <c r="G38" s="862">
        <v>11574.9</v>
      </c>
      <c r="H38" s="862">
        <v>73.099999999999994</v>
      </c>
      <c r="I38" s="862">
        <v>7205.9</v>
      </c>
      <c r="J38" s="862">
        <v>0.90310000000000001</v>
      </c>
      <c r="K38" s="863">
        <v>1.157</v>
      </c>
      <c r="L38" s="863">
        <v>1.6882999999999999</v>
      </c>
      <c r="M38" s="863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61">
        <v>106381.5</v>
      </c>
      <c r="C39" s="862">
        <v>664.2</v>
      </c>
      <c r="D39" s="862">
        <v>14.3</v>
      </c>
      <c r="E39" s="862">
        <v>5879.5</v>
      </c>
      <c r="F39" s="862">
        <v>121214.2</v>
      </c>
      <c r="G39" s="862">
        <v>11452.9</v>
      </c>
      <c r="H39" s="862">
        <v>130.4</v>
      </c>
      <c r="I39" s="862">
        <v>7633.3</v>
      </c>
      <c r="J39" s="862">
        <v>0.89839999999999998</v>
      </c>
      <c r="K39" s="863">
        <v>1.1404000000000001</v>
      </c>
      <c r="L39" s="863">
        <v>1.6628000000000001</v>
      </c>
      <c r="M39" s="863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61">
        <v>95690.6</v>
      </c>
      <c r="C40" s="862">
        <v>604.20000000000005</v>
      </c>
      <c r="D40" s="862">
        <v>41.4</v>
      </c>
      <c r="E40" s="862">
        <v>5940.5</v>
      </c>
      <c r="F40" s="862">
        <v>121957.7</v>
      </c>
      <c r="G40" s="862">
        <v>15048.9</v>
      </c>
      <c r="H40" s="862">
        <v>192.4</v>
      </c>
      <c r="I40" s="862">
        <v>2914.3</v>
      </c>
      <c r="J40" s="862">
        <v>0.8931</v>
      </c>
      <c r="K40" s="863">
        <v>1.1337999999999999</v>
      </c>
      <c r="L40" s="863">
        <v>1.6546000000000001</v>
      </c>
      <c r="M40" s="863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61">
        <v>128861.4</v>
      </c>
      <c r="C41" s="862">
        <v>1083.3</v>
      </c>
      <c r="D41" s="862">
        <v>46.8</v>
      </c>
      <c r="E41" s="862">
        <v>7053.6</v>
      </c>
      <c r="F41" s="862">
        <v>130842.5</v>
      </c>
      <c r="G41" s="862">
        <v>22042.5</v>
      </c>
      <c r="H41" s="862">
        <v>102</v>
      </c>
      <c r="I41" s="862">
        <v>3248.9</v>
      </c>
      <c r="J41" s="862">
        <v>0.88700000000000001</v>
      </c>
      <c r="K41" s="863">
        <v>1.1383000000000001</v>
      </c>
      <c r="L41" s="863">
        <v>1.6859</v>
      </c>
      <c r="M41" s="863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61">
        <v>83737.3</v>
      </c>
      <c r="C42" s="862">
        <v>332.56</v>
      </c>
      <c r="D42" s="862">
        <v>16.09</v>
      </c>
      <c r="E42" s="862">
        <v>4475.6000000000004</v>
      </c>
      <c r="F42" s="862">
        <v>132443.9</v>
      </c>
      <c r="G42" s="862">
        <v>18483.400000000001</v>
      </c>
      <c r="H42" s="862">
        <v>149.9</v>
      </c>
      <c r="I42" s="862">
        <v>5998.12</v>
      </c>
      <c r="J42" s="862">
        <v>0.87970000000000004</v>
      </c>
      <c r="K42" s="863">
        <v>1.1228</v>
      </c>
      <c r="L42" s="863">
        <v>1.6702999999999999</v>
      </c>
      <c r="M42" s="863">
        <v>3.27E-2</v>
      </c>
      <c r="N42" s="171"/>
      <c r="O42" s="171"/>
      <c r="CD42" s="235"/>
    </row>
    <row r="43" spans="1:82" s="121" customFormat="1" hidden="1">
      <c r="A43" s="75" t="s">
        <v>27</v>
      </c>
      <c r="B43" s="861">
        <v>94240.69</v>
      </c>
      <c r="C43" s="862">
        <v>755.13</v>
      </c>
      <c r="D43" s="862">
        <v>20.73</v>
      </c>
      <c r="E43" s="862">
        <v>12917.33</v>
      </c>
      <c r="F43" s="862">
        <v>189673.07</v>
      </c>
      <c r="G43" s="862">
        <v>21117.22</v>
      </c>
      <c r="H43" s="862">
        <v>94.56</v>
      </c>
      <c r="I43" s="862">
        <v>3141.65</v>
      </c>
      <c r="J43" s="862">
        <v>0.87529999999999997</v>
      </c>
      <c r="K43" s="863">
        <v>1.1079000000000001</v>
      </c>
      <c r="L43" s="863">
        <v>1.6473</v>
      </c>
      <c r="M43" s="863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61">
        <v>82183.66</v>
      </c>
      <c r="C44" s="862">
        <v>536.66</v>
      </c>
      <c r="D44" s="862">
        <v>44</v>
      </c>
      <c r="E44" s="862">
        <v>11474.44</v>
      </c>
      <c r="F44" s="862">
        <v>231805.64</v>
      </c>
      <c r="G44" s="862">
        <v>22853.68</v>
      </c>
      <c r="H44" s="862">
        <v>78.489999999999995</v>
      </c>
      <c r="I44" s="862">
        <v>8887.52</v>
      </c>
      <c r="J44" s="862">
        <v>0.87470000000000003</v>
      </c>
      <c r="K44" s="863">
        <v>1.1291</v>
      </c>
      <c r="L44" s="863">
        <v>1.6727000000000001</v>
      </c>
      <c r="M44" s="863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61">
        <v>95817.2</v>
      </c>
      <c r="C45" s="862">
        <v>555.9</v>
      </c>
      <c r="D45" s="862">
        <v>77.959999999999994</v>
      </c>
      <c r="E45" s="862">
        <v>13414.9</v>
      </c>
      <c r="F45" s="862">
        <v>302942</v>
      </c>
      <c r="G45" s="862">
        <v>25790.1</v>
      </c>
      <c r="H45" s="862">
        <v>124.3</v>
      </c>
      <c r="I45" s="862">
        <v>8395.77</v>
      </c>
      <c r="J45" s="862">
        <v>0.87419999999999998</v>
      </c>
      <c r="K45" s="863">
        <v>1.1577999999999999</v>
      </c>
      <c r="L45" s="863">
        <v>1.718</v>
      </c>
      <c r="M45" s="863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61">
        <f t="shared" ref="B46:I46" si="4">B47+B48+B49+B50+B51+B52+B53+B54+B55+B56+B57+B58</f>
        <v>1335173.3459999999</v>
      </c>
      <c r="C46" s="862">
        <f t="shared" ref="C46:D46" si="5">C47+C48+C49+C50+C51+C52+C53+C54+C55+C56+C57+C58</f>
        <v>15033.433000000001</v>
      </c>
      <c r="D46" s="862">
        <f t="shared" si="5"/>
        <v>633.07999999999993</v>
      </c>
      <c r="E46" s="862">
        <f t="shared" si="4"/>
        <v>300246.12099999998</v>
      </c>
      <c r="F46" s="862">
        <f t="shared" si="4"/>
        <v>3177929.7379999999</v>
      </c>
      <c r="G46" s="862">
        <f t="shared" ref="G46" si="6">G47+G48+G49+G50+G51+G52+G53+G54+G55+G56+G57+G58</f>
        <v>532869.77500000002</v>
      </c>
      <c r="H46" s="862">
        <f t="shared" si="4"/>
        <v>4543.0119999999997</v>
      </c>
      <c r="I46" s="862">
        <f t="shared" si="4"/>
        <v>530307.03700000001</v>
      </c>
      <c r="J46" s="862">
        <v>0.85960000000000003</v>
      </c>
      <c r="K46" s="863">
        <v>1.1934</v>
      </c>
      <c r="L46" s="863">
        <v>1.7339</v>
      </c>
      <c r="M46" s="863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61">
        <v>77372.59</v>
      </c>
      <c r="C47" s="862">
        <v>679.83</v>
      </c>
      <c r="D47" s="862">
        <v>54.49</v>
      </c>
      <c r="E47" s="862">
        <v>13251.69</v>
      </c>
      <c r="F47" s="862">
        <v>181932.94</v>
      </c>
      <c r="G47" s="862">
        <v>20365.47</v>
      </c>
      <c r="H47" s="862">
        <v>214.9</v>
      </c>
      <c r="I47" s="862">
        <v>7935.94</v>
      </c>
      <c r="J47" s="862">
        <v>0.87339999999999995</v>
      </c>
      <c r="K47" s="863">
        <v>1.1334</v>
      </c>
      <c r="L47" s="863">
        <v>1.7034</v>
      </c>
      <c r="M47" s="863">
        <v>3.27E-2</v>
      </c>
      <c r="N47" s="171"/>
      <c r="O47" s="171"/>
      <c r="CD47" s="235"/>
    </row>
    <row r="48" spans="1:82" s="121" customFormat="1" hidden="1">
      <c r="A48" s="75" t="s">
        <v>19</v>
      </c>
      <c r="B48" s="861">
        <v>71851.8</v>
      </c>
      <c r="C48" s="862">
        <v>1559.9</v>
      </c>
      <c r="D48" s="862">
        <v>60.8</v>
      </c>
      <c r="E48" s="862">
        <v>6318</v>
      </c>
      <c r="F48" s="862">
        <v>178883.6</v>
      </c>
      <c r="G48" s="862">
        <v>17613.7</v>
      </c>
      <c r="H48" s="862">
        <v>122.8</v>
      </c>
      <c r="I48" s="862">
        <v>12808.6</v>
      </c>
      <c r="J48" s="862">
        <v>0.87129999999999996</v>
      </c>
      <c r="K48" s="863">
        <v>1.1409</v>
      </c>
      <c r="L48" s="863">
        <v>1.7097</v>
      </c>
      <c r="M48" s="863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61">
        <v>75118.86</v>
      </c>
      <c r="C49" s="862">
        <v>559.1</v>
      </c>
      <c r="D49" s="862">
        <v>36.409999999999997</v>
      </c>
      <c r="E49" s="862">
        <v>6767.65</v>
      </c>
      <c r="F49" s="862">
        <v>227288.62</v>
      </c>
      <c r="G49" s="862">
        <v>16340.15</v>
      </c>
      <c r="H49" s="862">
        <v>171.87</v>
      </c>
      <c r="I49" s="862">
        <v>12029.95</v>
      </c>
      <c r="J49" s="862">
        <v>0.87009999999999998</v>
      </c>
      <c r="K49" s="863">
        <v>1.1507000000000001</v>
      </c>
      <c r="L49" s="863">
        <v>1.6937</v>
      </c>
      <c r="M49" s="863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61">
        <v>91846.9</v>
      </c>
      <c r="C50" s="862">
        <v>1815.8</v>
      </c>
      <c r="D50" s="862">
        <v>19.8</v>
      </c>
      <c r="E50" s="862">
        <v>12104.2</v>
      </c>
      <c r="F50" s="862">
        <v>263995.06</v>
      </c>
      <c r="G50" s="862">
        <v>21237.47</v>
      </c>
      <c r="H50" s="862">
        <v>138.80000000000001</v>
      </c>
      <c r="I50" s="862">
        <v>15253.83</v>
      </c>
      <c r="J50" s="862">
        <v>0.86809999999999998</v>
      </c>
      <c r="K50" s="863">
        <v>1.1718999999999999</v>
      </c>
      <c r="L50" s="863">
        <v>1.7315</v>
      </c>
      <c r="M50" s="863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61">
        <v>98452.51</v>
      </c>
      <c r="C51" s="862">
        <v>1277.79</v>
      </c>
      <c r="D51" s="862">
        <v>25.4</v>
      </c>
      <c r="E51" s="862">
        <v>17673.876</v>
      </c>
      <c r="F51" s="862">
        <v>281881.21899999998</v>
      </c>
      <c r="G51" s="862">
        <v>26418.045999999998</v>
      </c>
      <c r="H51" s="862">
        <v>406.91699999999997</v>
      </c>
      <c r="I51" s="862">
        <v>9520.7080000000005</v>
      </c>
      <c r="J51" s="862">
        <v>0.86450000000000005</v>
      </c>
      <c r="K51" s="863">
        <v>1.17</v>
      </c>
      <c r="L51" s="863">
        <v>1.7206999999999999</v>
      </c>
      <c r="M51" s="863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61">
        <v>127627.9</v>
      </c>
      <c r="C52" s="862">
        <v>1110</v>
      </c>
      <c r="D52" s="862">
        <v>43.4</v>
      </c>
      <c r="E52" s="862">
        <v>18737.099999999999</v>
      </c>
      <c r="F52" s="862">
        <v>206862.9</v>
      </c>
      <c r="G52" s="862">
        <v>35092.6</v>
      </c>
      <c r="H52" s="862">
        <v>311.10000000000002</v>
      </c>
      <c r="I52" s="862">
        <v>9353.6</v>
      </c>
      <c r="J52" s="862">
        <v>0.85699999999999998</v>
      </c>
      <c r="K52" s="863">
        <v>1.1551</v>
      </c>
      <c r="L52" s="863">
        <v>1.7124999999999999</v>
      </c>
      <c r="M52" s="863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61">
        <v>109580.3</v>
      </c>
      <c r="C53" s="862">
        <v>910.6</v>
      </c>
      <c r="D53" s="862">
        <v>82.6</v>
      </c>
      <c r="E53" s="862">
        <v>31846.9</v>
      </c>
      <c r="F53" s="862">
        <v>282529.59999999998</v>
      </c>
      <c r="G53" s="862">
        <v>37230.6</v>
      </c>
      <c r="H53" s="862">
        <v>410.9</v>
      </c>
      <c r="I53" s="862">
        <v>11092.5</v>
      </c>
      <c r="J53" s="862">
        <v>0.85629999999999995</v>
      </c>
      <c r="K53" s="863">
        <v>1.1773</v>
      </c>
      <c r="L53" s="863">
        <v>1.7503</v>
      </c>
      <c r="M53" s="863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61">
        <v>102668.5</v>
      </c>
      <c r="C54" s="862">
        <v>1071.9000000000001</v>
      </c>
      <c r="D54" s="862">
        <v>57.9</v>
      </c>
      <c r="E54" s="862">
        <v>34269.89</v>
      </c>
      <c r="F54" s="862">
        <v>299930.15999999997</v>
      </c>
      <c r="G54" s="862">
        <v>43635.9</v>
      </c>
      <c r="H54" s="862">
        <v>562.70000000000005</v>
      </c>
      <c r="I54" s="862">
        <v>14435.509</v>
      </c>
      <c r="J54" s="862">
        <v>0.85489999999999999</v>
      </c>
      <c r="K54" s="863">
        <v>1.1678999999999999</v>
      </c>
      <c r="L54" s="863">
        <v>1.7255</v>
      </c>
      <c r="M54" s="863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61">
        <v>118285.336</v>
      </c>
      <c r="C55" s="862">
        <v>1246.356</v>
      </c>
      <c r="D55" s="862">
        <v>45.61</v>
      </c>
      <c r="E55" s="862">
        <v>27820.027999999998</v>
      </c>
      <c r="F55" s="862">
        <v>335207.16899999999</v>
      </c>
      <c r="G55" s="862">
        <v>36559.56</v>
      </c>
      <c r="H55" s="862">
        <v>345.99900000000002</v>
      </c>
      <c r="I55" s="862">
        <v>64452.542000000001</v>
      </c>
      <c r="J55" s="862">
        <v>0.85370000000000001</v>
      </c>
      <c r="K55" s="863">
        <v>1.1869000000000001</v>
      </c>
      <c r="L55" s="863">
        <v>1.7292000000000001</v>
      </c>
      <c r="M55" s="863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61">
        <v>136492.89000000001</v>
      </c>
      <c r="C56" s="862">
        <v>1105.057</v>
      </c>
      <c r="D56" s="862">
        <v>25.07</v>
      </c>
      <c r="E56" s="862">
        <v>31914.560000000001</v>
      </c>
      <c r="F56" s="862">
        <v>336551.54</v>
      </c>
      <c r="G56" s="862">
        <v>73544.379000000001</v>
      </c>
      <c r="H56" s="862">
        <v>206.86600000000001</v>
      </c>
      <c r="I56" s="862">
        <v>211431.878</v>
      </c>
      <c r="J56" s="862">
        <v>0.85189999999999999</v>
      </c>
      <c r="K56" s="863">
        <v>1.2121999999999999</v>
      </c>
      <c r="L56" s="863">
        <v>1.7501</v>
      </c>
      <c r="M56" s="863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61">
        <v>179172.38</v>
      </c>
      <c r="C57" s="862">
        <v>1668.2</v>
      </c>
      <c r="D57" s="862">
        <v>70.37</v>
      </c>
      <c r="E57" s="862">
        <v>44709.726999999999</v>
      </c>
      <c r="F57" s="862">
        <v>218720.93</v>
      </c>
      <c r="G57" s="862">
        <v>115915.76</v>
      </c>
      <c r="H57" s="862">
        <v>769.25</v>
      </c>
      <c r="I57" s="862">
        <v>86719.02</v>
      </c>
      <c r="J57" s="862">
        <v>0.84919999999999995</v>
      </c>
      <c r="K57" s="863">
        <v>1.2452000000000001</v>
      </c>
      <c r="L57" s="863">
        <v>1.7693000000000001</v>
      </c>
      <c r="M57" s="863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61">
        <v>146703.38</v>
      </c>
      <c r="C58" s="862">
        <v>2028.9</v>
      </c>
      <c r="D58" s="862">
        <v>111.23</v>
      </c>
      <c r="E58" s="862">
        <v>54832.5</v>
      </c>
      <c r="F58" s="862">
        <v>364146</v>
      </c>
      <c r="G58" s="862">
        <v>88916.14</v>
      </c>
      <c r="H58" s="862">
        <v>880.91</v>
      </c>
      <c r="I58" s="862">
        <v>75272.960000000006</v>
      </c>
      <c r="J58" s="862">
        <v>0.8226</v>
      </c>
      <c r="K58" s="863">
        <v>1.2267999999999999</v>
      </c>
      <c r="L58" s="863">
        <v>1.5295000000000001</v>
      </c>
      <c r="M58" s="863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61">
        <f>SUM(B60:B80)</f>
        <v>1455170.83</v>
      </c>
      <c r="C59" s="862">
        <f t="shared" ref="C59:D59" si="7">C60+C61+C62+C63+C64+C65+C66+C67+C68+C69+C70+C71+C72+C73+C74+C75+C76+C77+C78+C79+C80</f>
        <v>58940.614000000001</v>
      </c>
      <c r="D59" s="862">
        <f t="shared" si="7"/>
        <v>883.79099999999994</v>
      </c>
      <c r="E59" s="862">
        <f t="shared" ref="E59:I59" si="8">E60+E61+E62+E63+E64+E65+E66+E67+E68+E69+E70+E71+E72+E73+E74+E75+E76+E77+E78+E79+E80</f>
        <v>1141209.3570000001</v>
      </c>
      <c r="F59" s="862">
        <f t="shared" si="8"/>
        <v>4967710.6739999996</v>
      </c>
      <c r="G59" s="862">
        <f t="shared" ref="G59" si="9">G60+G61+G62+G63+G64+G65+G66+G67+G68+G69+G70+G71+G72+G73+G74+G75+G76+G77+G78+G79+G80</f>
        <v>767561.88100000005</v>
      </c>
      <c r="H59" s="862">
        <f t="shared" si="8"/>
        <v>8674.0249999999996</v>
      </c>
      <c r="I59" s="862">
        <f t="shared" si="8"/>
        <v>146587.22</v>
      </c>
      <c r="J59" s="862">
        <v>0.82069999999999999</v>
      </c>
      <c r="K59" s="863">
        <v>1.2130000000000001</v>
      </c>
      <c r="L59" s="863">
        <v>1.4906999999999999</v>
      </c>
      <c r="M59" s="863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61" t="s">
        <v>27</v>
      </c>
      <c r="B78" s="862">
        <v>129474.78</v>
      </c>
      <c r="C78" s="862">
        <v>5582.66</v>
      </c>
      <c r="D78" s="862">
        <v>123.569</v>
      </c>
      <c r="E78" s="862">
        <v>158265.28</v>
      </c>
      <c r="F78" s="862">
        <v>651990.73</v>
      </c>
      <c r="G78" s="862">
        <v>71236.463000000003</v>
      </c>
      <c r="H78" s="862">
        <v>1009.753</v>
      </c>
      <c r="I78" s="862">
        <v>22000.208999999999</v>
      </c>
      <c r="J78" s="863">
        <v>0.81169999999999998</v>
      </c>
      <c r="K78" s="863">
        <v>1.0841000000000001</v>
      </c>
      <c r="L78" s="863">
        <v>1.3745000000000001</v>
      </c>
      <c r="M78" s="863">
        <v>3.0200000000000001E-2</v>
      </c>
      <c r="N78" s="178"/>
      <c r="O78" s="178"/>
      <c r="P78" s="178"/>
    </row>
    <row r="79" spans="1:16" s="121" customFormat="1" ht="12.75" hidden="1" customHeight="1">
      <c r="A79" s="861" t="s">
        <v>28</v>
      </c>
      <c r="B79" s="862">
        <v>99693.4</v>
      </c>
      <c r="C79" s="862">
        <v>3182.951</v>
      </c>
      <c r="D79" s="862">
        <v>72.599999999999994</v>
      </c>
      <c r="E79" s="862">
        <v>59215.444000000003</v>
      </c>
      <c r="F79" s="862">
        <v>507441.36700000003</v>
      </c>
      <c r="G79" s="862">
        <v>38072.523000000001</v>
      </c>
      <c r="H79" s="862">
        <v>1098.2180000000001</v>
      </c>
      <c r="I79" s="862">
        <v>12393.928</v>
      </c>
      <c r="J79" s="863">
        <v>0.8105</v>
      </c>
      <c r="K79" s="863">
        <v>1.0286</v>
      </c>
      <c r="L79" s="863">
        <v>1.258</v>
      </c>
      <c r="M79" s="863">
        <v>2.9100000000000001E-2</v>
      </c>
      <c r="N79" s="178"/>
      <c r="O79" s="178"/>
      <c r="P79" s="178"/>
    </row>
    <row r="80" spans="1:16" s="121" customFormat="1" ht="12.75" hidden="1" customHeight="1">
      <c r="A80" s="861" t="s">
        <v>29</v>
      </c>
      <c r="B80" s="862">
        <v>94179.8</v>
      </c>
      <c r="C80" s="862">
        <v>3980.3</v>
      </c>
      <c r="D80" s="862">
        <v>76.8</v>
      </c>
      <c r="E80" s="862">
        <v>61995.3</v>
      </c>
      <c r="F80" s="862">
        <v>676003.57</v>
      </c>
      <c r="G80" s="862">
        <v>89472.7</v>
      </c>
      <c r="H80" s="862">
        <v>1089.17</v>
      </c>
      <c r="I80" s="862">
        <v>7066.92</v>
      </c>
      <c r="J80" s="863">
        <v>0.80679999999999996</v>
      </c>
      <c r="K80" s="863">
        <v>1.1040000000000001</v>
      </c>
      <c r="L80" s="863">
        <v>1.2115</v>
      </c>
      <c r="M80" s="863">
        <v>2.8000000000000001E-2</v>
      </c>
      <c r="N80" s="178"/>
      <c r="O80" s="178"/>
      <c r="P80" s="178"/>
    </row>
    <row r="81" spans="1:16" s="121" customFormat="1" ht="12.75" customHeight="1">
      <c r="A81" s="861" t="s">
        <v>43</v>
      </c>
      <c r="B81" s="862">
        <f t="shared" ref="B81:I81" si="10">B82+B83+B84+B85+B86+B87+B88+B89+B90+B91+B92+B93</f>
        <v>1418760.0009999999</v>
      </c>
      <c r="C81" s="862">
        <f t="shared" ref="C81:D81" si="11">C82+C83+C84+C85+C86+C87+C88+C89+C90+C91+C92+C93</f>
        <v>63662.319000000003</v>
      </c>
      <c r="D81" s="862">
        <f t="shared" si="11"/>
        <v>1584.3679999999999</v>
      </c>
      <c r="E81" s="862">
        <f t="shared" si="10"/>
        <v>1078013.5</v>
      </c>
      <c r="F81" s="862">
        <f t="shared" si="10"/>
        <v>5807164.1509999996</v>
      </c>
      <c r="G81" s="862">
        <f t="shared" ref="G81" si="12">G82+G83+G84+G85+G86+G87+G88+G89+G90+G91+G92+G93</f>
        <v>737470.09399999992</v>
      </c>
      <c r="H81" s="862">
        <f t="shared" si="10"/>
        <v>15185.648999999998</v>
      </c>
      <c r="I81" s="862">
        <f t="shared" si="10"/>
        <v>197965.24299999999</v>
      </c>
      <c r="J81" s="863">
        <v>0.80549999999999999</v>
      </c>
      <c r="K81" s="863">
        <v>1.121</v>
      </c>
      <c r="L81" s="863">
        <v>1.2474000000000001</v>
      </c>
      <c r="M81" s="863">
        <v>2.5700000000000001E-2</v>
      </c>
      <c r="N81" s="178"/>
      <c r="O81" s="178"/>
      <c r="P81" s="178"/>
    </row>
    <row r="82" spans="1:16" ht="12.75" hidden="1" customHeight="1">
      <c r="A82" s="861" t="s">
        <v>18</v>
      </c>
      <c r="B82" s="864">
        <v>127613.2</v>
      </c>
      <c r="C82" s="864">
        <v>6642.7</v>
      </c>
      <c r="D82" s="864">
        <v>311.06</v>
      </c>
      <c r="E82" s="864">
        <v>60494.355000000003</v>
      </c>
      <c r="F82" s="864">
        <v>497242.59600000002</v>
      </c>
      <c r="G82" s="864">
        <v>90252.994000000006</v>
      </c>
      <c r="H82" s="864">
        <v>1862.597</v>
      </c>
      <c r="I82" s="864">
        <v>19994.536</v>
      </c>
      <c r="J82" s="865">
        <v>0.80549999999999999</v>
      </c>
      <c r="K82" s="865">
        <v>1.0593999999999999</v>
      </c>
      <c r="L82" s="865">
        <v>1.1737</v>
      </c>
      <c r="M82" s="865">
        <v>2.5600000000000001E-2</v>
      </c>
      <c r="N82" s="179"/>
      <c r="O82" s="179"/>
      <c r="P82" s="179"/>
    </row>
    <row r="83" spans="1:16" ht="12.75" hidden="1" customHeight="1">
      <c r="A83" s="861" t="s">
        <v>19</v>
      </c>
      <c r="B83" s="864">
        <v>89245.513999999996</v>
      </c>
      <c r="C83" s="864">
        <v>4415.7070000000003</v>
      </c>
      <c r="D83" s="864">
        <v>77.177999999999997</v>
      </c>
      <c r="E83" s="864">
        <v>33870.766000000003</v>
      </c>
      <c r="F83" s="864">
        <v>805322.74800000002</v>
      </c>
      <c r="G83" s="864">
        <v>85507.425000000003</v>
      </c>
      <c r="H83" s="864">
        <v>1439.5609999999999</v>
      </c>
      <c r="I83" s="864">
        <v>12538.040999999999</v>
      </c>
      <c r="J83" s="865">
        <v>0.80910000000000004</v>
      </c>
      <c r="K83" s="865">
        <v>1.0331999999999999</v>
      </c>
      <c r="L83" s="865">
        <v>1.1709000000000001</v>
      </c>
      <c r="M83" s="865">
        <v>2.23E-2</v>
      </c>
      <c r="N83" s="179"/>
      <c r="O83" s="179"/>
      <c r="P83" s="179"/>
    </row>
    <row r="84" spans="1:16" ht="12.75" hidden="1" customHeight="1">
      <c r="A84" s="861" t="s">
        <v>20</v>
      </c>
      <c r="B84" s="864">
        <v>67302.2</v>
      </c>
      <c r="C84" s="864">
        <v>3184.6120000000001</v>
      </c>
      <c r="D84" s="864">
        <v>54.683</v>
      </c>
      <c r="E84" s="864">
        <v>53268.557999999997</v>
      </c>
      <c r="F84" s="864">
        <v>963833.95400000003</v>
      </c>
      <c r="G84" s="864">
        <v>62010.495000000003</v>
      </c>
      <c r="H84" s="864">
        <v>2021.748</v>
      </c>
      <c r="I84" s="864">
        <v>8456.2440000000006</v>
      </c>
      <c r="J84" s="865">
        <v>0.8075</v>
      </c>
      <c r="K84" s="865">
        <v>1.0303</v>
      </c>
      <c r="L84" s="865">
        <v>1.1388</v>
      </c>
      <c r="M84" s="865">
        <v>2.29E-2</v>
      </c>
      <c r="N84" s="179"/>
      <c r="O84" s="179"/>
      <c r="P84" s="179"/>
    </row>
    <row r="85" spans="1:16" hidden="1">
      <c r="A85" s="861" t="s">
        <v>21</v>
      </c>
      <c r="B85" s="864">
        <v>104601.81</v>
      </c>
      <c r="C85" s="864">
        <v>3872.5039999999999</v>
      </c>
      <c r="D85" s="864">
        <v>41.692999999999998</v>
      </c>
      <c r="E85" s="864">
        <v>50387.968000000001</v>
      </c>
      <c r="F85" s="864">
        <v>342633.908</v>
      </c>
      <c r="G85" s="864">
        <v>35341.786999999997</v>
      </c>
      <c r="H85" s="864">
        <v>1447.91</v>
      </c>
      <c r="I85" s="864">
        <v>7598.1729999999998</v>
      </c>
      <c r="J85" s="865">
        <v>0.80449999999999999</v>
      </c>
      <c r="K85" s="865">
        <v>1.0587</v>
      </c>
      <c r="L85" s="865">
        <v>1.1899</v>
      </c>
      <c r="M85" s="865">
        <v>2.3800000000000002E-2</v>
      </c>
      <c r="N85" s="172"/>
      <c r="O85" s="172"/>
    </row>
    <row r="86" spans="1:16" ht="12.75" hidden="1" customHeight="1">
      <c r="A86" s="861" t="s">
        <v>22</v>
      </c>
      <c r="B86" s="864">
        <v>89778.13</v>
      </c>
      <c r="C86" s="864">
        <v>7380.616</v>
      </c>
      <c r="D86" s="864">
        <v>276.33</v>
      </c>
      <c r="E86" s="864">
        <v>66654.218999999997</v>
      </c>
      <c r="F86" s="864">
        <v>351219.16600000003</v>
      </c>
      <c r="G86" s="864">
        <v>16883.54</v>
      </c>
      <c r="H86" s="864">
        <v>818.12699999999995</v>
      </c>
      <c r="I86" s="864">
        <v>18898.669999999998</v>
      </c>
      <c r="J86" s="865">
        <v>0.80459999999999998</v>
      </c>
      <c r="K86" s="865">
        <v>1.0927</v>
      </c>
      <c r="L86" s="865">
        <v>1.2485999999999999</v>
      </c>
      <c r="M86" s="865">
        <v>2.4899999999999999E-2</v>
      </c>
      <c r="N86" s="179"/>
      <c r="O86" s="179"/>
      <c r="P86" s="179"/>
    </row>
    <row r="87" spans="1:16" hidden="1">
      <c r="A87" s="861" t="s">
        <v>23</v>
      </c>
      <c r="B87" s="864">
        <v>125890.3</v>
      </c>
      <c r="C87" s="864">
        <v>4438.5950000000003</v>
      </c>
      <c r="D87" s="864">
        <v>196.3</v>
      </c>
      <c r="E87" s="864">
        <v>95925.4</v>
      </c>
      <c r="F87" s="864">
        <v>347832.87</v>
      </c>
      <c r="G87" s="864">
        <v>26721.576000000001</v>
      </c>
      <c r="H87" s="864">
        <v>805.81700000000001</v>
      </c>
      <c r="I87" s="864">
        <v>12861.246999999999</v>
      </c>
      <c r="J87" s="865">
        <v>0.80459999999999998</v>
      </c>
      <c r="K87" s="865">
        <v>1.1271</v>
      </c>
      <c r="L87" s="865">
        <v>1.32</v>
      </c>
      <c r="M87" s="865">
        <v>2.5700000000000001E-2</v>
      </c>
      <c r="N87" s="172"/>
      <c r="O87" s="172"/>
    </row>
    <row r="88" spans="1:16" hidden="1">
      <c r="A88" s="861" t="s">
        <v>24</v>
      </c>
      <c r="B88" s="864">
        <v>153666.67800000001</v>
      </c>
      <c r="C88" s="864">
        <v>7071.8149999999996</v>
      </c>
      <c r="D88" s="864">
        <v>92.5</v>
      </c>
      <c r="E88" s="864">
        <v>103872.001</v>
      </c>
      <c r="F88" s="864">
        <v>399246.61200000002</v>
      </c>
      <c r="G88" s="864">
        <v>32988.644999999997</v>
      </c>
      <c r="H88" s="864">
        <v>855.3</v>
      </c>
      <c r="I88" s="864">
        <v>27334.931</v>
      </c>
      <c r="J88" s="865">
        <v>0.80459999999999998</v>
      </c>
      <c r="K88" s="865">
        <v>1.1334</v>
      </c>
      <c r="L88" s="865">
        <v>1.3150999999999999</v>
      </c>
      <c r="M88" s="865">
        <v>2.53E-2</v>
      </c>
      <c r="N88" s="172"/>
      <c r="O88" s="172"/>
    </row>
    <row r="89" spans="1:16" ht="11.25" hidden="1" customHeight="1">
      <c r="A89" s="861" t="s">
        <v>25</v>
      </c>
      <c r="B89" s="864">
        <v>129606.1</v>
      </c>
      <c r="C89" s="864">
        <v>9482.2999999999993</v>
      </c>
      <c r="D89" s="864">
        <v>95.4</v>
      </c>
      <c r="E89" s="864">
        <v>124049.18</v>
      </c>
      <c r="F89" s="864">
        <v>400098.04200000002</v>
      </c>
      <c r="G89" s="864">
        <v>61858.14</v>
      </c>
      <c r="H89" s="864">
        <v>904.375</v>
      </c>
      <c r="I89" s="864">
        <v>14389.619000000001</v>
      </c>
      <c r="J89" s="865">
        <v>0.8044</v>
      </c>
      <c r="K89" s="865">
        <v>1.1455</v>
      </c>
      <c r="L89" s="865">
        <v>1.3315999999999999</v>
      </c>
      <c r="M89" s="865">
        <v>2.52E-2</v>
      </c>
      <c r="N89" s="172"/>
      <c r="O89" s="172"/>
    </row>
    <row r="90" spans="1:16" ht="13.5" hidden="1" customHeight="1">
      <c r="A90" s="861" t="s">
        <v>26</v>
      </c>
      <c r="B90" s="864">
        <v>138024.03</v>
      </c>
      <c r="C90" s="864">
        <v>7647.7780000000002</v>
      </c>
      <c r="D90" s="864">
        <v>201.39400000000001</v>
      </c>
      <c r="E90" s="864">
        <v>128940.895</v>
      </c>
      <c r="F90" s="864">
        <v>368227.48499999999</v>
      </c>
      <c r="G90" s="864">
        <v>62951.86</v>
      </c>
      <c r="H90" s="864">
        <v>1629.4259999999999</v>
      </c>
      <c r="I90" s="864">
        <v>25265.383000000002</v>
      </c>
      <c r="J90" s="865">
        <v>0.80430000000000001</v>
      </c>
      <c r="K90" s="865">
        <v>1.1692</v>
      </c>
      <c r="L90" s="865">
        <v>1.3147</v>
      </c>
      <c r="M90" s="865">
        <v>2.5899999999999999E-2</v>
      </c>
      <c r="N90" s="172"/>
      <c r="O90" s="172"/>
    </row>
    <row r="91" spans="1:16" ht="12" hidden="1" customHeight="1">
      <c r="A91" s="861" t="s">
        <v>27</v>
      </c>
      <c r="B91" s="864">
        <v>116729.776</v>
      </c>
      <c r="C91" s="864">
        <v>2985.4369999999999</v>
      </c>
      <c r="D91" s="864">
        <v>127.51</v>
      </c>
      <c r="E91" s="864">
        <v>101737.54300000001</v>
      </c>
      <c r="F91" s="864">
        <v>384185.47499999998</v>
      </c>
      <c r="G91" s="864">
        <v>93434.091</v>
      </c>
      <c r="H91" s="864">
        <v>1195.933</v>
      </c>
      <c r="I91" s="864">
        <v>20610.071</v>
      </c>
      <c r="J91" s="865">
        <v>0.80410000000000004</v>
      </c>
      <c r="K91" s="865">
        <v>1.1897</v>
      </c>
      <c r="L91" s="865">
        <v>1.3037000000000001</v>
      </c>
      <c r="M91" s="865">
        <v>2.7099999999999999E-2</v>
      </c>
      <c r="N91" s="172"/>
      <c r="O91" s="172"/>
    </row>
    <row r="92" spans="1:16" ht="12" hidden="1" customHeight="1">
      <c r="A92" s="861" t="s">
        <v>28</v>
      </c>
      <c r="B92" s="864">
        <v>109206.54</v>
      </c>
      <c r="C92" s="864">
        <v>2056.6030000000001</v>
      </c>
      <c r="D92" s="864">
        <v>45.061999999999998</v>
      </c>
      <c r="E92" s="864">
        <v>116572.2</v>
      </c>
      <c r="F92" s="864">
        <v>405544.68300000002</v>
      </c>
      <c r="G92" s="864">
        <v>54104.040999999997</v>
      </c>
      <c r="H92" s="864">
        <v>658.23</v>
      </c>
      <c r="I92" s="864">
        <v>9988.2579999999998</v>
      </c>
      <c r="J92" s="865">
        <v>0.80389999999999995</v>
      </c>
      <c r="K92" s="865">
        <v>1.1948000000000001</v>
      </c>
      <c r="L92" s="865">
        <v>1.3434999999999999</v>
      </c>
      <c r="M92" s="865">
        <v>2.76E-2</v>
      </c>
      <c r="N92" s="172"/>
      <c r="O92" s="172"/>
    </row>
    <row r="93" spans="1:16" ht="15" hidden="1" customHeight="1">
      <c r="A93" s="861" t="s">
        <v>29</v>
      </c>
      <c r="B93" s="864">
        <v>167095.723</v>
      </c>
      <c r="C93" s="864">
        <v>4483.652</v>
      </c>
      <c r="D93" s="864">
        <v>65.257999999999996</v>
      </c>
      <c r="E93" s="864">
        <v>142240.41500000001</v>
      </c>
      <c r="F93" s="864">
        <v>541776.61199999996</v>
      </c>
      <c r="G93" s="864">
        <v>115415.5</v>
      </c>
      <c r="H93" s="864">
        <v>1546.625</v>
      </c>
      <c r="I93" s="864">
        <v>20030.07</v>
      </c>
      <c r="J93" s="865">
        <v>0.80400000000000005</v>
      </c>
      <c r="K93" s="865">
        <v>1.1736</v>
      </c>
      <c r="L93" s="865">
        <v>1.3087</v>
      </c>
      <c r="M93" s="865">
        <v>2.6599999999999999E-2</v>
      </c>
      <c r="N93" s="172"/>
      <c r="O93" s="172"/>
    </row>
    <row r="94" spans="1:16" s="121" customFormat="1" ht="13.5" customHeight="1">
      <c r="A94" s="861" t="s">
        <v>48</v>
      </c>
      <c r="B94" s="862">
        <f t="shared" ref="B94:I94" si="13">SUM(B95:B106)</f>
        <v>1241631.5319999997</v>
      </c>
      <c r="C94" s="862">
        <f t="shared" ref="C94:D94" si="14">SUM(C95:C106)</f>
        <v>105070.36199999999</v>
      </c>
      <c r="D94" s="862">
        <f t="shared" si="14"/>
        <v>1921.5920000000001</v>
      </c>
      <c r="E94" s="862">
        <f t="shared" si="13"/>
        <v>2109420.1829999997</v>
      </c>
      <c r="F94" s="862">
        <f t="shared" si="13"/>
        <v>5201586.341</v>
      </c>
      <c r="G94" s="862">
        <f t="shared" ref="G94" si="15">SUM(G95:G106)</f>
        <v>1017936.0349999999</v>
      </c>
      <c r="H94" s="862">
        <f t="shared" si="13"/>
        <v>18321.652000000002</v>
      </c>
      <c r="I94" s="862">
        <f t="shared" si="13"/>
        <v>517596.31599999999</v>
      </c>
      <c r="J94" s="863">
        <v>0.8034</v>
      </c>
      <c r="K94" s="863">
        <v>1.0676000000000001</v>
      </c>
      <c r="L94" s="863">
        <v>1.2455000000000001</v>
      </c>
      <c r="M94" s="863">
        <v>2.6200000000000001E-2</v>
      </c>
      <c r="N94" s="171"/>
      <c r="O94" s="171"/>
    </row>
    <row r="95" spans="1:16" ht="12.75" hidden="1" customHeight="1">
      <c r="A95" s="861" t="s">
        <v>18</v>
      </c>
      <c r="B95" s="864">
        <v>77426.370999999999</v>
      </c>
      <c r="C95" s="864">
        <v>3719.2829999999999</v>
      </c>
      <c r="D95" s="864">
        <v>62.127000000000002</v>
      </c>
      <c r="E95" s="864">
        <v>91648.387000000002</v>
      </c>
      <c r="F95" s="864">
        <v>359476.80200000003</v>
      </c>
      <c r="G95" s="864">
        <v>101446.54700000001</v>
      </c>
      <c r="H95" s="864">
        <v>829.33600000000001</v>
      </c>
      <c r="I95" s="864">
        <v>15197.787</v>
      </c>
      <c r="J95" s="865">
        <v>0.80449999999999999</v>
      </c>
      <c r="K95" s="865">
        <v>1.1448</v>
      </c>
      <c r="L95" s="865">
        <v>1.304</v>
      </c>
      <c r="M95" s="865">
        <v>2.6700000000000002E-2</v>
      </c>
      <c r="N95" s="172"/>
      <c r="O95" s="172"/>
    </row>
    <row r="96" spans="1:16" ht="12.75" hidden="1" customHeight="1">
      <c r="A96" s="861" t="s">
        <v>19</v>
      </c>
      <c r="B96" s="864">
        <v>75556.016000000003</v>
      </c>
      <c r="C96" s="864">
        <v>4323.2510000000002</v>
      </c>
      <c r="D96" s="864">
        <v>61.027999999999999</v>
      </c>
      <c r="E96" s="864">
        <v>76400.320000000007</v>
      </c>
      <c r="F96" s="864">
        <v>397641.61499999999</v>
      </c>
      <c r="G96" s="864">
        <v>67210.979000000007</v>
      </c>
      <c r="H96" s="864">
        <v>2011.867</v>
      </c>
      <c r="I96" s="864">
        <v>99625.23</v>
      </c>
      <c r="J96" s="865">
        <v>0.80449999999999999</v>
      </c>
      <c r="K96" s="865">
        <v>1.0973999999999999</v>
      </c>
      <c r="L96" s="865">
        <v>1.2656000000000001</v>
      </c>
      <c r="M96" s="865">
        <v>2.6499999999999999E-2</v>
      </c>
      <c r="N96" s="172"/>
      <c r="O96" s="172"/>
    </row>
    <row r="97" spans="1:15" ht="12.75" hidden="1" customHeight="1">
      <c r="A97" s="861" t="s">
        <v>20</v>
      </c>
      <c r="B97" s="864">
        <v>99003.093999999997</v>
      </c>
      <c r="C97" s="864">
        <v>3604.174</v>
      </c>
      <c r="D97" s="864">
        <v>106.89100000000001</v>
      </c>
      <c r="E97" s="864">
        <v>115358.989</v>
      </c>
      <c r="F97" s="864">
        <v>390132.01500000001</v>
      </c>
      <c r="G97" s="864">
        <v>82315.119000000006</v>
      </c>
      <c r="H97" s="864">
        <v>1727.749</v>
      </c>
      <c r="I97" s="864">
        <v>24437.504000000001</v>
      </c>
      <c r="J97" s="865">
        <v>0.80430000000000001</v>
      </c>
      <c r="K97" s="865">
        <v>1.0931999999999999</v>
      </c>
      <c r="L97" s="865">
        <v>1.216</v>
      </c>
      <c r="M97" s="865">
        <v>2.7099999999999999E-2</v>
      </c>
      <c r="N97" s="172"/>
      <c r="O97" s="172"/>
    </row>
    <row r="98" spans="1:15" ht="12.75" hidden="1" customHeight="1">
      <c r="A98" s="861" t="s">
        <v>21</v>
      </c>
      <c r="B98" s="864">
        <v>91281.262000000002</v>
      </c>
      <c r="C98" s="864">
        <v>4569.3379999999997</v>
      </c>
      <c r="D98" s="864">
        <v>90.417000000000002</v>
      </c>
      <c r="E98" s="864">
        <v>124566.735</v>
      </c>
      <c r="F98" s="864">
        <v>426253.25</v>
      </c>
      <c r="G98" s="864">
        <v>93613.751000000004</v>
      </c>
      <c r="H98" s="864">
        <v>1569.9770000000001</v>
      </c>
      <c r="I98" s="864">
        <v>182130.79699999999</v>
      </c>
      <c r="J98" s="865">
        <v>0.8044</v>
      </c>
      <c r="K98" s="865">
        <v>1.0790999999999999</v>
      </c>
      <c r="L98" s="865">
        <v>1.2343999999999999</v>
      </c>
      <c r="M98" s="865">
        <v>2.75E-2</v>
      </c>
      <c r="N98" s="179"/>
      <c r="O98" s="179"/>
    </row>
    <row r="99" spans="1:15" ht="12.75" hidden="1" customHeight="1">
      <c r="A99" s="861" t="s">
        <v>22</v>
      </c>
      <c r="B99" s="864">
        <v>88176.316000000006</v>
      </c>
      <c r="C99" s="864">
        <v>13312.352000000001</v>
      </c>
      <c r="D99" s="864">
        <v>257.06599999999997</v>
      </c>
      <c r="E99" s="864">
        <v>146380.83300000001</v>
      </c>
      <c r="F99" s="864">
        <v>434590.25</v>
      </c>
      <c r="G99" s="864">
        <v>69953.478000000003</v>
      </c>
      <c r="H99" s="864">
        <v>1410.204</v>
      </c>
      <c r="I99" s="864">
        <v>15094.53</v>
      </c>
      <c r="J99" s="865">
        <v>0.8044</v>
      </c>
      <c r="K99" s="865">
        <v>1.0117</v>
      </c>
      <c r="L99" s="865">
        <v>1.1760999999999999</v>
      </c>
      <c r="M99" s="865">
        <v>2.6200000000000001E-2</v>
      </c>
      <c r="N99" s="172"/>
      <c r="O99" s="172"/>
    </row>
    <row r="100" spans="1:15" hidden="1">
      <c r="A100" s="861" t="s">
        <v>23</v>
      </c>
      <c r="B100" s="864">
        <v>144593.58499999999</v>
      </c>
      <c r="C100" s="864">
        <v>10995.01</v>
      </c>
      <c r="D100" s="864">
        <v>267.90800000000002</v>
      </c>
      <c r="E100" s="864">
        <v>161146.663</v>
      </c>
      <c r="F100" s="864">
        <v>406866.23700000002</v>
      </c>
      <c r="G100" s="866">
        <v>62255.271999999997</v>
      </c>
      <c r="H100" s="864">
        <v>926.11699999999996</v>
      </c>
      <c r="I100" s="866">
        <v>23772.27</v>
      </c>
      <c r="J100" s="867">
        <v>0.80430000000000001</v>
      </c>
      <c r="K100" s="867">
        <v>0.98209999999999997</v>
      </c>
      <c r="L100" s="867">
        <v>1.1907000000000001</v>
      </c>
      <c r="M100" s="867">
        <v>2.5600000000000001E-2</v>
      </c>
    </row>
    <row r="101" spans="1:15" ht="12.75" hidden="1" customHeight="1">
      <c r="A101" s="861" t="s">
        <v>24</v>
      </c>
      <c r="B101" s="864">
        <v>115104.59</v>
      </c>
      <c r="C101" s="864">
        <v>8155.8890000000001</v>
      </c>
      <c r="D101" s="864">
        <v>160.465</v>
      </c>
      <c r="E101" s="864">
        <v>180300.98800000001</v>
      </c>
      <c r="F101" s="864">
        <v>435664.891</v>
      </c>
      <c r="G101" s="864">
        <v>74029.982000000004</v>
      </c>
      <c r="H101" s="864">
        <v>1295.519</v>
      </c>
      <c r="I101" s="864">
        <v>27969.449000000001</v>
      </c>
      <c r="J101" s="865">
        <v>0.80420000000000003</v>
      </c>
      <c r="K101" s="865">
        <v>1.0230999999999999</v>
      </c>
      <c r="L101" s="865">
        <v>1.2334000000000001</v>
      </c>
      <c r="M101" s="865">
        <v>2.5999999999999999E-2</v>
      </c>
    </row>
    <row r="102" spans="1:15" ht="12.75" hidden="1" customHeight="1">
      <c r="A102" s="861" t="s">
        <v>25</v>
      </c>
      <c r="B102" s="864">
        <v>98571.346999999994</v>
      </c>
      <c r="C102" s="864">
        <v>6999.2839999999997</v>
      </c>
      <c r="D102" s="864">
        <v>117.05200000000001</v>
      </c>
      <c r="E102" s="864">
        <v>187933.35200000001</v>
      </c>
      <c r="F102" s="864">
        <v>366248.24300000002</v>
      </c>
      <c r="G102" s="864">
        <v>84301.71</v>
      </c>
      <c r="H102" s="864">
        <v>3114.7</v>
      </c>
      <c r="I102" s="864">
        <v>22731.232</v>
      </c>
      <c r="J102" s="865">
        <v>0.80420000000000003</v>
      </c>
      <c r="K102" s="865">
        <v>1.0369999999999999</v>
      </c>
      <c r="L102" s="865">
        <v>1.2616000000000001</v>
      </c>
      <c r="M102" s="865">
        <v>2.6200000000000001E-2</v>
      </c>
      <c r="N102" s="172"/>
    </row>
    <row r="103" spans="1:15" hidden="1">
      <c r="A103" s="861" t="s">
        <v>26</v>
      </c>
      <c r="B103" s="864">
        <v>107756.766</v>
      </c>
      <c r="C103" s="864">
        <v>6877.8389999999999</v>
      </c>
      <c r="D103" s="864">
        <v>123.053</v>
      </c>
      <c r="E103" s="864">
        <v>241194.72399999999</v>
      </c>
      <c r="F103" s="864">
        <v>423028.20500000002</v>
      </c>
      <c r="G103" s="864">
        <v>72178.25</v>
      </c>
      <c r="H103" s="864">
        <v>1763.8420000000001</v>
      </c>
      <c r="I103" s="864">
        <v>30545.037</v>
      </c>
      <c r="J103" s="865">
        <v>0.80400000000000005</v>
      </c>
      <c r="K103" s="865">
        <v>1.0452999999999999</v>
      </c>
      <c r="L103" s="865">
        <v>1.2569999999999999</v>
      </c>
      <c r="M103" s="865">
        <v>2.58E-2</v>
      </c>
    </row>
    <row r="104" spans="1:15" ht="12.75" hidden="1" customHeight="1">
      <c r="A104" s="861" t="s">
        <v>27</v>
      </c>
      <c r="B104" s="864">
        <v>99728.346999999994</v>
      </c>
      <c r="C104" s="864">
        <v>13908.259</v>
      </c>
      <c r="D104" s="864">
        <v>151.364</v>
      </c>
      <c r="E104" s="864">
        <v>224867.20000000001</v>
      </c>
      <c r="F104" s="864">
        <v>453385.39399999997</v>
      </c>
      <c r="G104" s="864">
        <v>102043.88800000001</v>
      </c>
      <c r="H104" s="864">
        <v>1240.463</v>
      </c>
      <c r="I104" s="864">
        <v>19539.486000000001</v>
      </c>
      <c r="J104" s="865">
        <v>0.80259999999999998</v>
      </c>
      <c r="K104" s="865">
        <v>1.1100000000000001</v>
      </c>
      <c r="L104" s="865">
        <v>1.2803</v>
      </c>
      <c r="M104" s="865">
        <v>2.6100000000000002E-2</v>
      </c>
    </row>
    <row r="105" spans="1:15" hidden="1">
      <c r="A105" s="861" t="s">
        <v>28</v>
      </c>
      <c r="B105" s="864">
        <v>119419.003</v>
      </c>
      <c r="C105" s="864">
        <v>14378.62</v>
      </c>
      <c r="D105" s="864">
        <v>222.76400000000001</v>
      </c>
      <c r="E105" s="864">
        <v>257273.60500000001</v>
      </c>
      <c r="F105" s="864">
        <v>475721.62400000001</v>
      </c>
      <c r="G105" s="864">
        <v>82694.2</v>
      </c>
      <c r="H105" s="864">
        <v>1156.7180000000001</v>
      </c>
      <c r="I105" s="864">
        <v>32290.899000000001</v>
      </c>
      <c r="J105" s="865">
        <v>0.80110000000000003</v>
      </c>
      <c r="K105" s="865">
        <v>1.0908</v>
      </c>
      <c r="L105" s="865">
        <v>1.2818000000000001</v>
      </c>
      <c r="M105" s="865">
        <v>2.5499999999999998E-2</v>
      </c>
    </row>
    <row r="106" spans="1:15" ht="12.75" hidden="1" customHeight="1">
      <c r="A106" s="861" t="s">
        <v>29</v>
      </c>
      <c r="B106" s="864">
        <v>125014.83500000001</v>
      </c>
      <c r="C106" s="864">
        <v>14227.063</v>
      </c>
      <c r="D106" s="864">
        <v>301.45699999999999</v>
      </c>
      <c r="E106" s="864">
        <v>302348.38699999999</v>
      </c>
      <c r="F106" s="864">
        <v>632577.81499999994</v>
      </c>
      <c r="G106" s="864">
        <v>125892.859</v>
      </c>
      <c r="H106" s="864">
        <v>1275.1600000000001</v>
      </c>
      <c r="I106" s="864">
        <v>24262.095000000001</v>
      </c>
      <c r="J106" s="865">
        <v>0.8</v>
      </c>
      <c r="K106" s="865">
        <v>1.0559000000000001</v>
      </c>
      <c r="L106" s="865">
        <v>1.2490000000000001</v>
      </c>
      <c r="M106" s="865">
        <v>2.5700000000000001E-2</v>
      </c>
    </row>
    <row r="107" spans="1:15" s="121" customFormat="1" ht="12.75" customHeight="1">
      <c r="A107" s="861" t="s">
        <v>1045</v>
      </c>
      <c r="B107" s="862">
        <v>1945544.7090000003</v>
      </c>
      <c r="C107" s="862">
        <v>238170.62299999996</v>
      </c>
      <c r="D107" s="862">
        <v>2787.7400000000002</v>
      </c>
      <c r="E107" s="862">
        <v>5184421.6159999995</v>
      </c>
      <c r="F107" s="862">
        <v>6441962.9060000004</v>
      </c>
      <c r="G107" s="862">
        <v>1361852.9269999999</v>
      </c>
      <c r="H107" s="862">
        <v>23984.766999999996</v>
      </c>
      <c r="I107" s="862">
        <v>392508.76299999998</v>
      </c>
      <c r="J107" s="863">
        <v>0.78990000000000005</v>
      </c>
      <c r="K107" s="863">
        <v>1.0938000000000001</v>
      </c>
      <c r="L107" s="863">
        <v>1.2679</v>
      </c>
      <c r="M107" s="863">
        <v>2.6800000000000001E-2</v>
      </c>
    </row>
    <row r="108" spans="1:15" hidden="1">
      <c r="A108" s="861" t="s">
        <v>18</v>
      </c>
      <c r="B108" s="864">
        <v>102105.66899999999</v>
      </c>
      <c r="C108" s="864">
        <v>14213.53</v>
      </c>
      <c r="D108" s="864">
        <v>89.983999999999995</v>
      </c>
      <c r="E108" s="864">
        <v>241208.18</v>
      </c>
      <c r="F108" s="864">
        <v>419804.50400000002</v>
      </c>
      <c r="G108" s="864">
        <v>74566.534</v>
      </c>
      <c r="H108" s="864">
        <v>1386.6679999999999</v>
      </c>
      <c r="I108" s="864">
        <v>17052.978999999999</v>
      </c>
      <c r="J108" s="865">
        <v>0.79859999999999998</v>
      </c>
      <c r="K108" s="865">
        <v>1.0570999999999999</v>
      </c>
      <c r="L108" s="865">
        <v>1.2639</v>
      </c>
      <c r="M108" s="865">
        <v>2.6100000000000002E-2</v>
      </c>
    </row>
    <row r="109" spans="1:15" ht="12.75" hidden="1" customHeight="1">
      <c r="A109" s="861" t="s">
        <v>19</v>
      </c>
      <c r="B109" s="864">
        <v>104361.966</v>
      </c>
      <c r="C109" s="864">
        <v>13739.593999999999</v>
      </c>
      <c r="D109" s="864">
        <v>141.119</v>
      </c>
      <c r="E109" s="864">
        <v>173760.56299999999</v>
      </c>
      <c r="F109" s="864">
        <v>457206.04</v>
      </c>
      <c r="G109" s="864">
        <v>64136.527999999998</v>
      </c>
      <c r="H109" s="864">
        <v>1539.3610000000001</v>
      </c>
      <c r="I109" s="864">
        <v>29913.798999999999</v>
      </c>
      <c r="J109" s="865">
        <v>0.79630000000000001</v>
      </c>
      <c r="K109" s="865">
        <v>1.0857000000000001</v>
      </c>
      <c r="L109" s="865">
        <v>1.2896000000000001</v>
      </c>
      <c r="M109" s="865">
        <v>2.6800000000000001E-2</v>
      </c>
    </row>
    <row r="110" spans="1:15" ht="12.75" hidden="1" customHeight="1">
      <c r="A110" s="861" t="s">
        <v>20</v>
      </c>
      <c r="B110" s="864">
        <v>119967.808</v>
      </c>
      <c r="C110" s="864">
        <v>10416.371999999999</v>
      </c>
      <c r="D110" s="864">
        <v>290.12799999999999</v>
      </c>
      <c r="E110" s="864">
        <v>229525.18900000001</v>
      </c>
      <c r="F110" s="864">
        <v>526040.696</v>
      </c>
      <c r="G110" s="868">
        <v>75044.502999999997</v>
      </c>
      <c r="H110" s="864">
        <v>1615.5609999999999</v>
      </c>
      <c r="I110" s="868">
        <v>25673.571</v>
      </c>
      <c r="J110" s="869">
        <v>0.79769999999999996</v>
      </c>
      <c r="K110" s="869">
        <v>1.1073</v>
      </c>
      <c r="L110" s="869">
        <v>1.2908999999999999</v>
      </c>
      <c r="M110" s="869">
        <v>2.76E-2</v>
      </c>
    </row>
    <row r="111" spans="1:15" ht="12.75" hidden="1" customHeight="1">
      <c r="A111" s="861" t="s">
        <v>21</v>
      </c>
      <c r="B111" s="864">
        <v>120598.04</v>
      </c>
      <c r="C111" s="864">
        <v>17601.834999999999</v>
      </c>
      <c r="D111" s="864">
        <v>360.85199999999998</v>
      </c>
      <c r="E111" s="864">
        <v>316054.02600000001</v>
      </c>
      <c r="F111" s="864">
        <v>425727.57500000001</v>
      </c>
      <c r="G111" s="864">
        <v>103693.11</v>
      </c>
      <c r="H111" s="864">
        <v>934.75300000000004</v>
      </c>
      <c r="I111" s="864">
        <v>30545.616000000002</v>
      </c>
      <c r="J111" s="865">
        <v>0.79279999999999995</v>
      </c>
      <c r="K111" s="865">
        <v>1.1408</v>
      </c>
      <c r="L111" s="865">
        <v>1.2996000000000001</v>
      </c>
      <c r="M111" s="865">
        <v>2.8000000000000001E-2</v>
      </c>
    </row>
    <row r="112" spans="1:15" ht="12.75" hidden="1" customHeight="1">
      <c r="A112" s="861" t="s">
        <v>22</v>
      </c>
      <c r="B112" s="864">
        <v>155228.37100000001</v>
      </c>
      <c r="C112" s="864">
        <v>18775.87</v>
      </c>
      <c r="D112" s="864">
        <v>159.87200000000001</v>
      </c>
      <c r="E112" s="864">
        <v>314987.408</v>
      </c>
      <c r="F112" s="864">
        <v>441117.43599999999</v>
      </c>
      <c r="G112" s="864">
        <v>99765.827000000005</v>
      </c>
      <c r="H112" s="864">
        <v>1067.088</v>
      </c>
      <c r="I112" s="864">
        <v>27836.190999999999</v>
      </c>
      <c r="J112" s="865">
        <v>0.79120000000000001</v>
      </c>
      <c r="K112" s="865">
        <v>1.1369</v>
      </c>
      <c r="L112" s="865">
        <v>1.2979000000000001</v>
      </c>
      <c r="M112" s="865">
        <v>2.8000000000000001E-2</v>
      </c>
    </row>
    <row r="113" spans="1:13" ht="12.75" hidden="1" customHeight="1">
      <c r="A113" s="861" t="s">
        <v>23</v>
      </c>
      <c r="B113" s="864">
        <v>174809.37400000001</v>
      </c>
      <c r="C113" s="864">
        <v>18366.603999999999</v>
      </c>
      <c r="D113" s="864">
        <v>104.58799999999999</v>
      </c>
      <c r="E113" s="864">
        <v>453633.92</v>
      </c>
      <c r="F113" s="864">
        <v>321162.185</v>
      </c>
      <c r="G113" s="864">
        <v>101415.985</v>
      </c>
      <c r="H113" s="864">
        <v>2120.5650000000001</v>
      </c>
      <c r="I113" s="864">
        <v>24714.348999999998</v>
      </c>
      <c r="J113" s="865">
        <v>0.78820000000000001</v>
      </c>
      <c r="K113" s="865">
        <v>1.1318999999999999</v>
      </c>
      <c r="L113" s="865">
        <v>1.2943</v>
      </c>
      <c r="M113" s="865">
        <v>2.7799999999999998E-2</v>
      </c>
    </row>
    <row r="114" spans="1:13" ht="12.75" hidden="1" customHeight="1">
      <c r="A114" s="861" t="s">
        <v>24</v>
      </c>
      <c r="B114" s="864">
        <v>176602.405</v>
      </c>
      <c r="C114" s="864">
        <v>24064.444</v>
      </c>
      <c r="D114" s="864">
        <v>110.44199999999999</v>
      </c>
      <c r="E114" s="864">
        <v>522556.935</v>
      </c>
      <c r="F114" s="864">
        <v>432046.348</v>
      </c>
      <c r="G114" s="864">
        <v>140954.94</v>
      </c>
      <c r="H114" s="864">
        <v>2754.6529999999998</v>
      </c>
      <c r="I114" s="864">
        <v>39824.404000000002</v>
      </c>
      <c r="J114" s="865">
        <v>0.78710000000000002</v>
      </c>
      <c r="K114" s="865">
        <v>1.1227</v>
      </c>
      <c r="L114" s="865">
        <v>1.278</v>
      </c>
      <c r="M114" s="865">
        <v>2.7900000000000001E-2</v>
      </c>
    </row>
    <row r="115" spans="1:13" ht="12.75" hidden="1" customHeight="1">
      <c r="A115" s="861" t="s">
        <v>25</v>
      </c>
      <c r="B115" s="864">
        <v>186949.98199999999</v>
      </c>
      <c r="C115" s="864">
        <v>23056.333999999999</v>
      </c>
      <c r="D115" s="864">
        <v>295.16399999999999</v>
      </c>
      <c r="E115" s="864">
        <v>556885.94299999997</v>
      </c>
      <c r="F115" s="864">
        <v>484931.98300000001</v>
      </c>
      <c r="G115" s="864">
        <v>96046.164000000004</v>
      </c>
      <c r="H115" s="864">
        <v>1775.5050000000001</v>
      </c>
      <c r="I115" s="864">
        <v>45618.358999999997</v>
      </c>
      <c r="J115" s="865">
        <v>0.78669999999999995</v>
      </c>
      <c r="K115" s="865">
        <v>1.1237999999999999</v>
      </c>
      <c r="L115" s="865">
        <v>1.2939000000000001</v>
      </c>
      <c r="M115" s="865">
        <v>2.7099999999999999E-2</v>
      </c>
    </row>
    <row r="116" spans="1:13" ht="12.75" hidden="1" customHeight="1">
      <c r="A116" s="861" t="s">
        <v>26</v>
      </c>
      <c r="B116" s="864">
        <v>211066.53599999999</v>
      </c>
      <c r="C116" s="864">
        <v>15479.164000000001</v>
      </c>
      <c r="D116" s="864">
        <v>427.95299999999997</v>
      </c>
      <c r="E116" s="864">
        <v>703701.245</v>
      </c>
      <c r="F116" s="864">
        <v>624028.995</v>
      </c>
      <c r="G116" s="864">
        <v>167597.087</v>
      </c>
      <c r="H116" s="864">
        <v>3195.2939999999999</v>
      </c>
      <c r="I116" s="864">
        <v>33920.669000000002</v>
      </c>
      <c r="J116" s="865">
        <v>0.78690000000000004</v>
      </c>
      <c r="K116" s="865">
        <v>1.0815999999999999</v>
      </c>
      <c r="L116" s="865">
        <v>1.2537</v>
      </c>
      <c r="M116" s="865">
        <v>2.5399999999999999E-2</v>
      </c>
    </row>
    <row r="117" spans="1:13" ht="12.75" hidden="1" customHeight="1">
      <c r="A117" s="861" t="s">
        <v>27</v>
      </c>
      <c r="B117" s="864">
        <v>179368.802</v>
      </c>
      <c r="C117" s="864">
        <v>22496.028999999999</v>
      </c>
      <c r="D117" s="864">
        <v>142.84700000000001</v>
      </c>
      <c r="E117" s="864">
        <v>636698.73699999996</v>
      </c>
      <c r="F117" s="864">
        <v>723172.57900000003</v>
      </c>
      <c r="G117" s="864">
        <v>149176.42600000001</v>
      </c>
      <c r="H117" s="864">
        <v>2664.7060000000001</v>
      </c>
      <c r="I117" s="864">
        <v>54416.038</v>
      </c>
      <c r="J117" s="865">
        <v>0.78720000000000001</v>
      </c>
      <c r="K117" s="865">
        <v>1.0786</v>
      </c>
      <c r="L117" s="865">
        <v>1.2399</v>
      </c>
      <c r="M117" s="865">
        <v>2.81E-2</v>
      </c>
    </row>
    <row r="118" spans="1:13" ht="12.75" hidden="1" customHeight="1">
      <c r="A118" s="861" t="s">
        <v>28</v>
      </c>
      <c r="B118" s="864">
        <v>142439.95000000001</v>
      </c>
      <c r="C118" s="864">
        <v>18304.253000000001</v>
      </c>
      <c r="D118" s="864">
        <v>241.34399999999999</v>
      </c>
      <c r="E118" s="864">
        <v>482529.54</v>
      </c>
      <c r="F118" s="864">
        <v>702252.83600000001</v>
      </c>
      <c r="G118" s="864">
        <v>125263.439</v>
      </c>
      <c r="H118" s="864">
        <v>2083.5030000000002</v>
      </c>
      <c r="I118" s="864">
        <v>29960.663</v>
      </c>
      <c r="J118" s="865">
        <v>0.78720000000000001</v>
      </c>
      <c r="K118" s="865">
        <v>1.0649</v>
      </c>
      <c r="L118" s="865">
        <v>1.2497</v>
      </c>
      <c r="M118" s="865">
        <v>2.5100000000000001E-2</v>
      </c>
    </row>
    <row r="119" spans="1:13" ht="12.75" hidden="1" customHeight="1">
      <c r="A119" s="861" t="s">
        <v>29</v>
      </c>
      <c r="B119" s="864">
        <v>272045.80599999998</v>
      </c>
      <c r="C119" s="864">
        <v>41656.593999999997</v>
      </c>
      <c r="D119" s="864">
        <v>423.447</v>
      </c>
      <c r="E119" s="864">
        <v>552879.93000000005</v>
      </c>
      <c r="F119" s="864">
        <v>884471.72900000005</v>
      </c>
      <c r="G119" s="864">
        <v>164192.38399999999</v>
      </c>
      <c r="H119" s="864">
        <v>2847.11</v>
      </c>
      <c r="I119" s="864">
        <v>33032.125</v>
      </c>
      <c r="J119" s="865">
        <v>0.78690000000000004</v>
      </c>
      <c r="K119" s="865">
        <v>1.0357000000000001</v>
      </c>
      <c r="L119" s="865">
        <v>1.2305999999999999</v>
      </c>
      <c r="M119" s="865">
        <v>2.47E-2</v>
      </c>
    </row>
    <row r="120" spans="1:13" s="121" customFormat="1" ht="12.75" customHeight="1">
      <c r="A120" s="861" t="s">
        <v>1327</v>
      </c>
      <c r="B120" s="862">
        <v>2596120.3679999998</v>
      </c>
      <c r="C120" s="862">
        <v>406868.22400000005</v>
      </c>
      <c r="D120" s="862">
        <v>3475.4500000000003</v>
      </c>
      <c r="E120" s="862">
        <v>9467063.0490000024</v>
      </c>
      <c r="F120" s="862">
        <v>9169283.307</v>
      </c>
      <c r="G120" s="862">
        <v>2433322.5110000004</v>
      </c>
      <c r="H120" s="862">
        <v>27890.050000000003</v>
      </c>
      <c r="I120" s="862">
        <v>444433.15500000003</v>
      </c>
      <c r="J120" s="863">
        <v>0.78600000000000003</v>
      </c>
      <c r="K120" s="863">
        <v>1.01</v>
      </c>
      <c r="L120" s="863">
        <v>1.2448999999999999</v>
      </c>
      <c r="M120" s="863">
        <v>2.4899999999999999E-2</v>
      </c>
    </row>
    <row r="121" spans="1:13" ht="13.5" hidden="1" customHeight="1">
      <c r="A121" s="861" t="s">
        <v>18</v>
      </c>
      <c r="B121" s="864">
        <v>188875.149</v>
      </c>
      <c r="C121" s="864">
        <v>9932.3989999999994</v>
      </c>
      <c r="D121" s="864">
        <v>120.51</v>
      </c>
      <c r="E121" s="864">
        <v>454940.08899999998</v>
      </c>
      <c r="F121" s="864">
        <v>697651.94799999997</v>
      </c>
      <c r="G121" s="864">
        <v>120687.685</v>
      </c>
      <c r="H121" s="864">
        <v>2445.569</v>
      </c>
      <c r="I121" s="864">
        <v>57771.040999999997</v>
      </c>
      <c r="J121" s="865">
        <v>0.78649999999999998</v>
      </c>
      <c r="K121" s="865">
        <v>1.0145999999999999</v>
      </c>
      <c r="L121" s="865">
        <v>1.2249000000000001</v>
      </c>
      <c r="M121" s="865">
        <v>2.4799999999999999E-2</v>
      </c>
    </row>
    <row r="122" spans="1:13" ht="13.5" hidden="1" customHeight="1">
      <c r="A122" s="861" t="s">
        <v>19</v>
      </c>
      <c r="B122" s="864">
        <v>150125.43799999999</v>
      </c>
      <c r="C122" s="864">
        <v>9469.9060000000009</v>
      </c>
      <c r="D122" s="864">
        <v>99.608999999999995</v>
      </c>
      <c r="E122" s="864">
        <v>366928.54700000002</v>
      </c>
      <c r="F122" s="864">
        <v>585760.84499999997</v>
      </c>
      <c r="G122" s="864">
        <v>98782.164000000004</v>
      </c>
      <c r="H122" s="864">
        <v>1635.848</v>
      </c>
      <c r="I122" s="864">
        <v>27187.47</v>
      </c>
      <c r="J122" s="865">
        <v>0.78639999999999999</v>
      </c>
      <c r="K122" s="865">
        <v>1.0370999999999999</v>
      </c>
      <c r="L122" s="865">
        <v>1.2503</v>
      </c>
      <c r="M122" s="865">
        <v>2.6100000000000002E-2</v>
      </c>
    </row>
    <row r="123" spans="1:13" ht="13.5" hidden="1" customHeight="1">
      <c r="A123" s="861" t="s">
        <v>20</v>
      </c>
      <c r="B123" s="864">
        <v>171240.826</v>
      </c>
      <c r="C123" s="864">
        <v>18623.062999999998</v>
      </c>
      <c r="D123" s="864">
        <v>218.58500000000001</v>
      </c>
      <c r="E123" s="864">
        <v>596729.56599999999</v>
      </c>
      <c r="F123" s="864">
        <v>648097.14399999997</v>
      </c>
      <c r="G123" s="864">
        <v>126926.586</v>
      </c>
      <c r="H123" s="864">
        <v>1389.0429999999999</v>
      </c>
      <c r="I123" s="864">
        <v>22559.976999999999</v>
      </c>
      <c r="J123" s="865">
        <v>0.78649999999999998</v>
      </c>
      <c r="K123" s="865">
        <v>1.0388999999999999</v>
      </c>
      <c r="L123" s="865">
        <v>1.2507999999999999</v>
      </c>
      <c r="M123" s="865">
        <v>2.6499999999999999E-2</v>
      </c>
    </row>
    <row r="124" spans="1:13" ht="13.5" hidden="1" customHeight="1">
      <c r="A124" s="861" t="s">
        <v>21</v>
      </c>
      <c r="B124" s="864">
        <v>275401.56699999998</v>
      </c>
      <c r="C124" s="864">
        <v>10931.317999999999</v>
      </c>
      <c r="D124" s="864">
        <v>445.12599999999998</v>
      </c>
      <c r="E124" s="864">
        <v>631144.38199999998</v>
      </c>
      <c r="F124" s="864">
        <v>812713.15300000005</v>
      </c>
      <c r="G124" s="864">
        <v>210462.747</v>
      </c>
      <c r="H124" s="864">
        <v>1242.808</v>
      </c>
      <c r="I124" s="864">
        <v>25089.445</v>
      </c>
      <c r="J124" s="865">
        <v>0.7863</v>
      </c>
      <c r="K124" s="865">
        <v>1.0370999999999999</v>
      </c>
      <c r="L124" s="865">
        <v>1.2675000000000001</v>
      </c>
      <c r="M124" s="865">
        <v>2.64E-2</v>
      </c>
    </row>
    <row r="125" spans="1:13" ht="13.5" hidden="1" customHeight="1">
      <c r="A125" s="861" t="s">
        <v>22</v>
      </c>
      <c r="B125" s="864">
        <v>347696.91800000001</v>
      </c>
      <c r="C125" s="864">
        <v>18204.582999999999</v>
      </c>
      <c r="D125" s="864">
        <v>168.67099999999999</v>
      </c>
      <c r="E125" s="864">
        <v>675118.56099999999</v>
      </c>
      <c r="F125" s="864">
        <v>842957.81900000002</v>
      </c>
      <c r="G125" s="864">
        <v>169382.215</v>
      </c>
      <c r="H125" s="864">
        <v>1968.91</v>
      </c>
      <c r="I125" s="864">
        <v>30323.19</v>
      </c>
      <c r="J125" s="865">
        <v>0.78620000000000001</v>
      </c>
      <c r="K125" s="865">
        <v>1.0034000000000001</v>
      </c>
      <c r="L125" s="865">
        <v>1.2581</v>
      </c>
      <c r="M125" s="865">
        <v>2.52E-2</v>
      </c>
    </row>
    <row r="126" spans="1:13" ht="13.5" hidden="1" customHeight="1">
      <c r="A126" s="861" t="s">
        <v>23</v>
      </c>
      <c r="B126" s="864">
        <v>309461.5</v>
      </c>
      <c r="C126" s="864">
        <v>12291.9</v>
      </c>
      <c r="D126" s="864">
        <v>140</v>
      </c>
      <c r="E126" s="864">
        <v>964333.73</v>
      </c>
      <c r="F126" s="864">
        <v>765656.4</v>
      </c>
      <c r="G126" s="864">
        <v>170412.7</v>
      </c>
      <c r="H126" s="864">
        <v>2265.1999999999998</v>
      </c>
      <c r="I126" s="864">
        <v>40203.339999999997</v>
      </c>
      <c r="J126" s="865">
        <v>0.78610000000000002</v>
      </c>
      <c r="K126" s="865">
        <v>0.98570000000000002</v>
      </c>
      <c r="L126" s="865">
        <v>1.2287999999999999</v>
      </c>
      <c r="M126" s="865">
        <v>2.3599999999999999E-2</v>
      </c>
    </row>
    <row r="127" spans="1:13" ht="13.5" hidden="1" customHeight="1">
      <c r="A127" s="861" t="s">
        <v>24</v>
      </c>
      <c r="B127" s="864">
        <v>153447.61300000001</v>
      </c>
      <c r="C127" s="864">
        <v>8108.7889999999998</v>
      </c>
      <c r="D127" s="864">
        <v>220.642</v>
      </c>
      <c r="E127" s="864">
        <v>944177.29700000002</v>
      </c>
      <c r="F127" s="864">
        <v>760358.10699999996</v>
      </c>
      <c r="G127" s="864">
        <v>169015.84299999999</v>
      </c>
      <c r="H127" s="864">
        <v>2835.3389999999999</v>
      </c>
      <c r="I127" s="864">
        <v>34301.241000000002</v>
      </c>
      <c r="J127" s="865">
        <v>0.78610000000000002</v>
      </c>
      <c r="K127" s="865">
        <v>0.97040000000000004</v>
      </c>
      <c r="L127" s="865">
        <v>1.2254</v>
      </c>
      <c r="M127" s="865">
        <v>2.3900000000000001E-2</v>
      </c>
    </row>
    <row r="128" spans="1:13" ht="13.5" hidden="1" customHeight="1">
      <c r="A128" s="861" t="s">
        <v>25</v>
      </c>
      <c r="B128" s="864">
        <v>215959.745</v>
      </c>
      <c r="C128" s="864">
        <v>8848.2860000000001</v>
      </c>
      <c r="D128" s="864">
        <v>203.512</v>
      </c>
      <c r="E128" s="864">
        <v>1018703.581</v>
      </c>
      <c r="F128" s="864">
        <v>818420.39099999995</v>
      </c>
      <c r="G128" s="864">
        <v>145540.77600000001</v>
      </c>
      <c r="H128" s="864">
        <v>2690.2040000000002</v>
      </c>
      <c r="I128" s="864">
        <v>40730.294999999998</v>
      </c>
      <c r="J128" s="865">
        <v>0.78590000000000004</v>
      </c>
      <c r="K128" s="865">
        <v>0.97470000000000001</v>
      </c>
      <c r="L128" s="865">
        <v>1.2331000000000001</v>
      </c>
      <c r="M128" s="865">
        <v>2.4400000000000002E-2</v>
      </c>
    </row>
    <row r="129" spans="1:13" ht="13.5" hidden="1" customHeight="1">
      <c r="A129" s="861" t="s">
        <v>26</v>
      </c>
      <c r="B129" s="864">
        <v>221369.36799999999</v>
      </c>
      <c r="C129" s="864">
        <v>154569.48800000001</v>
      </c>
      <c r="D129" s="864">
        <v>193.57300000000001</v>
      </c>
      <c r="E129" s="864">
        <v>928460.745</v>
      </c>
      <c r="F129" s="864">
        <v>726864.353</v>
      </c>
      <c r="G129" s="864">
        <v>380900.91100000002</v>
      </c>
      <c r="H129" s="864">
        <v>3056.4119999999998</v>
      </c>
      <c r="I129" s="864">
        <v>25320.044999999998</v>
      </c>
      <c r="J129" s="865">
        <v>0.78569999999999995</v>
      </c>
      <c r="K129" s="865">
        <v>1.016</v>
      </c>
      <c r="L129" s="865">
        <v>1.2601</v>
      </c>
      <c r="M129" s="865">
        <v>2.47E-2</v>
      </c>
    </row>
    <row r="130" spans="1:13" ht="13.5" hidden="1" customHeight="1">
      <c r="A130" s="861" t="s">
        <v>27</v>
      </c>
      <c r="B130" s="864">
        <v>185606.728</v>
      </c>
      <c r="C130" s="864">
        <v>8159.9579999999996</v>
      </c>
      <c r="D130" s="864">
        <v>280.18799999999999</v>
      </c>
      <c r="E130" s="864">
        <v>968597.87199999997</v>
      </c>
      <c r="F130" s="864">
        <v>835113.58299999998</v>
      </c>
      <c r="G130" s="864">
        <v>245161.00399999999</v>
      </c>
      <c r="H130" s="864">
        <v>2984.3649999999998</v>
      </c>
      <c r="I130" s="864">
        <v>35844.612999999998</v>
      </c>
      <c r="J130" s="865">
        <v>0.7853</v>
      </c>
      <c r="K130" s="865">
        <v>1.0183</v>
      </c>
      <c r="L130" s="865">
        <v>1.2565999999999999</v>
      </c>
      <c r="M130" s="865">
        <v>2.5000000000000001E-2</v>
      </c>
    </row>
    <row r="131" spans="1:13" ht="13.5" hidden="1" customHeight="1">
      <c r="A131" s="861" t="s">
        <v>28</v>
      </c>
      <c r="B131" s="864">
        <v>193798.889</v>
      </c>
      <c r="C131" s="864">
        <v>13056.227999999999</v>
      </c>
      <c r="D131" s="864">
        <v>703.80799999999999</v>
      </c>
      <c r="E131" s="864">
        <v>966367.25600000005</v>
      </c>
      <c r="F131" s="864">
        <v>827654.54299999995</v>
      </c>
      <c r="G131" s="864">
        <v>261540.43900000001</v>
      </c>
      <c r="H131" s="864">
        <v>2338.9760000000001</v>
      </c>
      <c r="I131" s="864">
        <v>47542.836000000003</v>
      </c>
      <c r="J131" s="865">
        <v>0.78510000000000002</v>
      </c>
      <c r="K131" s="865">
        <v>1.0068999999999999</v>
      </c>
      <c r="L131" s="865">
        <v>1.2482</v>
      </c>
      <c r="M131" s="865">
        <v>2.4799999999999999E-2</v>
      </c>
    </row>
    <row r="132" spans="1:13" ht="13.5" hidden="1" customHeight="1">
      <c r="A132" s="861" t="s">
        <v>29</v>
      </c>
      <c r="B132" s="864">
        <v>183136.62700000001</v>
      </c>
      <c r="C132" s="864">
        <v>134672.30600000001</v>
      </c>
      <c r="D132" s="864">
        <v>681.226</v>
      </c>
      <c r="E132" s="864">
        <v>951561.42299999995</v>
      </c>
      <c r="F132" s="864">
        <v>848035.02099999995</v>
      </c>
      <c r="G132" s="864">
        <v>334509.44099999999</v>
      </c>
      <c r="H132" s="864">
        <v>3037.3760000000002</v>
      </c>
      <c r="I132" s="864">
        <v>57559.661999999997</v>
      </c>
      <c r="J132" s="865">
        <v>0.78490000000000004</v>
      </c>
      <c r="K132" s="865">
        <v>1.0322</v>
      </c>
      <c r="L132" s="865">
        <v>1.2635000000000001</v>
      </c>
      <c r="M132" s="865">
        <v>2.53E-2</v>
      </c>
    </row>
    <row r="133" spans="1:13" s="121" customFormat="1" ht="12.75" customHeight="1">
      <c r="A133" s="861" t="s">
        <v>1449</v>
      </c>
      <c r="B133" s="862">
        <v>3006761.0300000003</v>
      </c>
      <c r="C133" s="862">
        <v>507209.4800000001</v>
      </c>
      <c r="D133" s="862">
        <v>8380.06</v>
      </c>
      <c r="E133" s="862">
        <v>16275711.970000001</v>
      </c>
      <c r="F133" s="862">
        <v>9308270.8499999996</v>
      </c>
      <c r="G133" s="862">
        <v>2757325.97</v>
      </c>
      <c r="H133" s="862">
        <v>70686.720000000001</v>
      </c>
      <c r="I133" s="862">
        <v>997427.58000000007</v>
      </c>
      <c r="J133" s="863">
        <v>0.78449999999999998</v>
      </c>
      <c r="K133" s="863">
        <v>1.0417000000000001</v>
      </c>
      <c r="L133" s="863">
        <v>1.2395</v>
      </c>
      <c r="M133" s="863">
        <v>2.4299999999999999E-2</v>
      </c>
    </row>
    <row r="134" spans="1:13" ht="13.5" hidden="1" customHeight="1">
      <c r="A134" s="861" t="s">
        <v>18</v>
      </c>
      <c r="B134" s="864">
        <v>154059.85999999999</v>
      </c>
      <c r="C134" s="864">
        <v>50317.46</v>
      </c>
      <c r="D134" s="864">
        <v>116.96</v>
      </c>
      <c r="E134" s="864">
        <v>670159.82999999996</v>
      </c>
      <c r="F134" s="864">
        <v>780573.94</v>
      </c>
      <c r="G134" s="864">
        <v>208689.61</v>
      </c>
      <c r="H134" s="864">
        <v>2666.06</v>
      </c>
      <c r="I134" s="864">
        <v>48787.77</v>
      </c>
      <c r="J134" s="865">
        <v>0.7853</v>
      </c>
      <c r="K134" s="865">
        <v>1.0484</v>
      </c>
      <c r="L134" s="865">
        <v>1.2562</v>
      </c>
      <c r="M134" s="865">
        <v>2.5600000000000001E-2</v>
      </c>
    </row>
    <row r="135" spans="1:13" hidden="1">
      <c r="A135" s="861" t="s">
        <v>19</v>
      </c>
      <c r="B135" s="864">
        <v>231813.22</v>
      </c>
      <c r="C135" s="864">
        <v>85883.87</v>
      </c>
      <c r="D135" s="864">
        <v>777.13</v>
      </c>
      <c r="E135" s="864">
        <v>688716.98</v>
      </c>
      <c r="F135" s="864">
        <v>809729.15</v>
      </c>
      <c r="G135" s="864">
        <v>384772.63</v>
      </c>
      <c r="H135" s="864">
        <v>4970.5200000000004</v>
      </c>
      <c r="I135" s="864">
        <v>80156.350000000006</v>
      </c>
      <c r="J135" s="865">
        <v>0.7843</v>
      </c>
      <c r="K135" s="865">
        <v>1.0506</v>
      </c>
      <c r="L135" s="865">
        <v>1.2136</v>
      </c>
      <c r="M135" s="865">
        <v>2.58E-2</v>
      </c>
    </row>
    <row r="136" spans="1:13" hidden="1">
      <c r="A136" s="861" t="s">
        <v>20</v>
      </c>
      <c r="B136" s="864">
        <v>182265.58</v>
      </c>
      <c r="C136" s="864">
        <v>42705.31</v>
      </c>
      <c r="D136" s="864">
        <v>1311.51</v>
      </c>
      <c r="E136" s="864">
        <v>895901.88</v>
      </c>
      <c r="F136" s="864">
        <v>809962.51</v>
      </c>
      <c r="G136" s="864">
        <v>252156.08</v>
      </c>
      <c r="H136" s="864">
        <v>5300.11</v>
      </c>
      <c r="I136" s="864">
        <v>165650.03</v>
      </c>
      <c r="J136" s="865">
        <v>0.78480000000000005</v>
      </c>
      <c r="K136" s="865">
        <v>1.0179</v>
      </c>
      <c r="L136" s="865">
        <v>1.1823999999999999</v>
      </c>
      <c r="M136" s="865">
        <v>2.53E-2</v>
      </c>
    </row>
    <row r="137" spans="1:13" hidden="1">
      <c r="A137" s="861" t="s">
        <v>21</v>
      </c>
      <c r="B137" s="864">
        <v>239389.6</v>
      </c>
      <c r="C137" s="864">
        <v>84467.73</v>
      </c>
      <c r="D137" s="864">
        <v>538.35</v>
      </c>
      <c r="E137" s="864">
        <v>1482153.12</v>
      </c>
      <c r="F137" s="864">
        <v>832420.01</v>
      </c>
      <c r="G137" s="864">
        <v>308468.34999999998</v>
      </c>
      <c r="H137" s="864">
        <v>3038.75</v>
      </c>
      <c r="I137" s="864">
        <v>71897.929999999993</v>
      </c>
      <c r="J137" s="865">
        <v>0.78510000000000002</v>
      </c>
      <c r="K137" s="865">
        <v>1.0235000000000001</v>
      </c>
      <c r="L137" s="865">
        <v>1.2038</v>
      </c>
      <c r="M137" s="865">
        <v>2.4799999999999999E-2</v>
      </c>
    </row>
    <row r="138" spans="1:13" hidden="1">
      <c r="A138" s="861" t="s">
        <v>22</v>
      </c>
      <c r="B138" s="864">
        <v>280436.71000000002</v>
      </c>
      <c r="C138" s="864">
        <v>25867.69</v>
      </c>
      <c r="D138" s="864">
        <v>554.34</v>
      </c>
      <c r="E138" s="864">
        <v>1738237.02</v>
      </c>
      <c r="F138" s="864">
        <v>707833.4</v>
      </c>
      <c r="G138" s="864">
        <v>271679.32</v>
      </c>
      <c r="H138" s="864">
        <v>5859.07</v>
      </c>
      <c r="I138" s="864">
        <v>254480.7</v>
      </c>
      <c r="J138" s="865">
        <v>0.78480000000000005</v>
      </c>
      <c r="K138" s="865">
        <v>1.0206999999999999</v>
      </c>
      <c r="L138" s="865">
        <v>1.1963999999999999</v>
      </c>
      <c r="M138" s="865">
        <v>2.47E-2</v>
      </c>
    </row>
    <row r="139" spans="1:13" hidden="1">
      <c r="A139" s="861" t="s">
        <v>23</v>
      </c>
      <c r="B139" s="864">
        <v>274763.13</v>
      </c>
      <c r="C139" s="864">
        <v>31459.09</v>
      </c>
      <c r="D139" s="864">
        <v>234.66</v>
      </c>
      <c r="E139" s="864">
        <v>1318882.5900000001</v>
      </c>
      <c r="F139" s="864">
        <v>664847.42000000004</v>
      </c>
      <c r="G139" s="864">
        <v>215997.43</v>
      </c>
      <c r="H139" s="864">
        <v>2498.35</v>
      </c>
      <c r="I139" s="864">
        <v>75280.899999999994</v>
      </c>
      <c r="J139" s="865">
        <v>0.78459999999999996</v>
      </c>
      <c r="K139" s="865">
        <v>1.0331999999999999</v>
      </c>
      <c r="L139" s="865">
        <v>1.2198</v>
      </c>
      <c r="M139" s="865">
        <v>2.41E-2</v>
      </c>
    </row>
    <row r="140" spans="1:13" hidden="1">
      <c r="A140" s="861" t="s">
        <v>24</v>
      </c>
      <c r="B140" s="864">
        <v>307940.46000000002</v>
      </c>
      <c r="C140" s="864">
        <v>14197.76</v>
      </c>
      <c r="D140" s="864">
        <v>290.92</v>
      </c>
      <c r="E140" s="864">
        <v>1659447.44</v>
      </c>
      <c r="F140" s="864">
        <v>722440.95</v>
      </c>
      <c r="G140" s="864">
        <v>194114.24</v>
      </c>
      <c r="H140" s="864">
        <v>4759.78</v>
      </c>
      <c r="I140" s="864">
        <v>53548.25</v>
      </c>
      <c r="J140" s="865">
        <v>0.78439999999999999</v>
      </c>
      <c r="K140" s="865">
        <v>1.0228999999999999</v>
      </c>
      <c r="L140" s="865">
        <v>1.1914</v>
      </c>
      <c r="M140" s="865">
        <v>2.3699999999999999E-2</v>
      </c>
    </row>
    <row r="141" spans="1:13" hidden="1">
      <c r="A141" s="861" t="s">
        <v>25</v>
      </c>
      <c r="B141" s="864">
        <v>231930.12</v>
      </c>
      <c r="C141" s="864">
        <v>28374.77</v>
      </c>
      <c r="D141" s="864">
        <v>364.82</v>
      </c>
      <c r="E141" s="864">
        <v>1705776</v>
      </c>
      <c r="F141" s="864">
        <v>738474.28</v>
      </c>
      <c r="G141" s="864">
        <v>154019.01999999999</v>
      </c>
      <c r="H141" s="864">
        <v>3177.66</v>
      </c>
      <c r="I141" s="864">
        <v>47348.68</v>
      </c>
      <c r="J141" s="865">
        <v>0.78449999999999998</v>
      </c>
      <c r="K141" s="865">
        <v>1.0444</v>
      </c>
      <c r="L141" s="865">
        <v>1.2173</v>
      </c>
      <c r="M141" s="865">
        <v>2.3800000000000002E-2</v>
      </c>
    </row>
    <row r="142" spans="1:13" hidden="1">
      <c r="A142" s="861" t="s">
        <v>26</v>
      </c>
      <c r="B142" s="864">
        <v>300054.19</v>
      </c>
      <c r="C142" s="864">
        <v>43270.58</v>
      </c>
      <c r="D142" s="864">
        <v>1121.47</v>
      </c>
      <c r="E142" s="864">
        <v>1568429.41</v>
      </c>
      <c r="F142" s="864">
        <v>736958.85</v>
      </c>
      <c r="G142" s="864">
        <v>151850.48000000001</v>
      </c>
      <c r="H142" s="864">
        <v>12433.51</v>
      </c>
      <c r="I142" s="864">
        <v>41021.01</v>
      </c>
      <c r="J142" s="865">
        <v>0.78439999999999999</v>
      </c>
      <c r="K142" s="865">
        <v>1.0449999999999999</v>
      </c>
      <c r="L142" s="865">
        <v>1.2565999999999999</v>
      </c>
      <c r="M142" s="865">
        <v>2.3800000000000002E-2</v>
      </c>
    </row>
    <row r="143" spans="1:13" hidden="1">
      <c r="A143" s="861" t="s">
        <v>27</v>
      </c>
      <c r="B143" s="864">
        <v>311021.7</v>
      </c>
      <c r="C143" s="864">
        <v>43101</v>
      </c>
      <c r="D143" s="864">
        <v>1455.65</v>
      </c>
      <c r="E143" s="864">
        <v>1604443.32</v>
      </c>
      <c r="F143" s="864">
        <v>756961.68</v>
      </c>
      <c r="G143" s="864">
        <v>223094.35</v>
      </c>
      <c r="H143" s="864">
        <v>2662.54</v>
      </c>
      <c r="I143" s="864">
        <v>56115.87</v>
      </c>
      <c r="J143" s="865">
        <v>0.7843</v>
      </c>
      <c r="K143" s="865">
        <v>1.0714999999999999</v>
      </c>
      <c r="L143" s="865">
        <v>1.2698</v>
      </c>
      <c r="M143" s="865">
        <v>2.4199999999999999E-2</v>
      </c>
    </row>
    <row r="144" spans="1:13" hidden="1">
      <c r="A144" s="861" t="s">
        <v>28</v>
      </c>
      <c r="B144" s="864">
        <v>258648.4</v>
      </c>
      <c r="C144" s="864">
        <v>28139.33</v>
      </c>
      <c r="D144" s="864">
        <v>733.24</v>
      </c>
      <c r="E144" s="864">
        <v>1362613.73</v>
      </c>
      <c r="F144" s="864">
        <v>852981.15</v>
      </c>
      <c r="G144" s="864">
        <v>185231.35</v>
      </c>
      <c r="H144" s="864">
        <v>8241.26</v>
      </c>
      <c r="I144" s="864">
        <v>48834.03</v>
      </c>
      <c r="J144" s="865">
        <v>0.78410000000000002</v>
      </c>
      <c r="K144" s="865">
        <v>1.0579000000000001</v>
      </c>
      <c r="L144" s="865">
        <v>1.2584</v>
      </c>
      <c r="M144" s="865">
        <v>2.3900000000000001E-2</v>
      </c>
    </row>
    <row r="145" spans="1:14" hidden="1">
      <c r="A145" s="861" t="s">
        <v>29</v>
      </c>
      <c r="B145" s="864">
        <v>234438.06</v>
      </c>
      <c r="C145" s="864">
        <v>29424.89</v>
      </c>
      <c r="D145" s="864">
        <v>881.01</v>
      </c>
      <c r="E145" s="864">
        <v>1580950.65</v>
      </c>
      <c r="F145" s="864">
        <v>895087.51</v>
      </c>
      <c r="G145" s="864">
        <v>207253.11</v>
      </c>
      <c r="H145" s="864">
        <v>15079.11</v>
      </c>
      <c r="I145" s="864">
        <v>54306.06</v>
      </c>
      <c r="J145" s="865">
        <v>0.78420000000000001</v>
      </c>
      <c r="K145" s="865">
        <v>1.0751999999999999</v>
      </c>
      <c r="L145" s="865">
        <v>1.2853000000000001</v>
      </c>
      <c r="M145" s="865">
        <v>2.3699999999999999E-2</v>
      </c>
    </row>
    <row r="146" spans="1:14" s="121" customFormat="1" ht="12.75" customHeight="1">
      <c r="A146" s="861" t="s">
        <v>1660</v>
      </c>
      <c r="B146" s="862">
        <f>B147+B148+B149+B150+B151+B152+B153+B154+B155+B156+B157+B158</f>
        <v>3376358.2600000002</v>
      </c>
      <c r="C146" s="862">
        <f t="shared" ref="C146:D146" si="16">C147+C148+C149+C150+C151+C152+C153+C154+C155+C156+C157+C158</f>
        <v>361737.64000000007</v>
      </c>
      <c r="D146" s="862">
        <f t="shared" si="16"/>
        <v>9672.8399999999983</v>
      </c>
      <c r="E146" s="862">
        <f t="shared" ref="E146:I146" si="17">E147+E148+E149+E150+E151+E152+E153+E154+E155+E156+E157+E158</f>
        <v>12514466.42</v>
      </c>
      <c r="F146" s="862">
        <f t="shared" si="17"/>
        <v>9373100.2999999989</v>
      </c>
      <c r="G146" s="862">
        <f t="shared" ref="G146" si="18">G147+G148+G149+G150+G151+G152+G153+G154+G155+G156+G157+G158</f>
        <v>2087446.9899999998</v>
      </c>
      <c r="H146" s="862">
        <f t="shared" si="17"/>
        <v>73825.34</v>
      </c>
      <c r="I146" s="862">
        <f t="shared" si="17"/>
        <v>2407109.2599999998</v>
      </c>
      <c r="J146" s="863">
        <v>0.78459999999999996</v>
      </c>
      <c r="K146" s="863">
        <v>1.0442</v>
      </c>
      <c r="L146" s="863">
        <v>1.2977000000000001</v>
      </c>
      <c r="M146" s="863">
        <v>2.0500000000000001E-2</v>
      </c>
      <c r="N146" s="235"/>
    </row>
    <row r="147" spans="1:14">
      <c r="A147" s="861" t="s">
        <v>18</v>
      </c>
      <c r="B147" s="864">
        <v>211269.85</v>
      </c>
      <c r="C147" s="864">
        <v>19945.919999999998</v>
      </c>
      <c r="D147" s="864">
        <v>929.24</v>
      </c>
      <c r="E147" s="864">
        <v>903530.66</v>
      </c>
      <c r="F147" s="864">
        <v>694903.44</v>
      </c>
      <c r="G147" s="864">
        <v>175069.2</v>
      </c>
      <c r="H147" s="864">
        <v>3929.49</v>
      </c>
      <c r="I147" s="864">
        <v>134699.26999999999</v>
      </c>
      <c r="J147" s="865">
        <v>0.78459999999999996</v>
      </c>
      <c r="K147" s="865">
        <v>1.071</v>
      </c>
      <c r="L147" s="865">
        <v>1.2969999999999999</v>
      </c>
      <c r="M147" s="865">
        <v>2.3E-2</v>
      </c>
    </row>
    <row r="148" spans="1:14">
      <c r="A148" s="861" t="s">
        <v>19</v>
      </c>
      <c r="B148" s="864">
        <v>242814.39</v>
      </c>
      <c r="C148" s="864">
        <v>24107.41</v>
      </c>
      <c r="D148" s="864">
        <v>1687.23</v>
      </c>
      <c r="E148" s="864">
        <v>592426.06000000006</v>
      </c>
      <c r="F148" s="864">
        <v>828668.29</v>
      </c>
      <c r="G148" s="864">
        <v>132657.16</v>
      </c>
      <c r="H148" s="864">
        <v>3731.77</v>
      </c>
      <c r="I148" s="864">
        <v>64984.3</v>
      </c>
      <c r="J148" s="865">
        <v>0.78439999999999999</v>
      </c>
      <c r="K148" s="865">
        <v>1.0699000000000001</v>
      </c>
      <c r="L148" s="865">
        <v>1.3039000000000001</v>
      </c>
      <c r="M148" s="865">
        <v>2.1899999999999999E-2</v>
      </c>
    </row>
    <row r="149" spans="1:14">
      <c r="A149" s="861" t="s">
        <v>20</v>
      </c>
      <c r="B149" s="864">
        <v>200943.3</v>
      </c>
      <c r="C149" s="864">
        <v>23069.97</v>
      </c>
      <c r="D149" s="864">
        <v>169.95</v>
      </c>
      <c r="E149" s="864">
        <v>820299.59</v>
      </c>
      <c r="F149" s="864">
        <v>874946.3</v>
      </c>
      <c r="G149" s="864">
        <v>115327.9</v>
      </c>
      <c r="H149" s="864">
        <v>5369.67</v>
      </c>
      <c r="I149" s="864">
        <v>146753.07</v>
      </c>
      <c r="J149" s="865">
        <v>0.78449999999999998</v>
      </c>
      <c r="K149" s="865">
        <v>1.0845</v>
      </c>
      <c r="L149" s="865">
        <v>1.3108</v>
      </c>
      <c r="M149" s="865">
        <v>2.12E-2</v>
      </c>
    </row>
    <row r="150" spans="1:14">
      <c r="A150" s="861" t="s">
        <v>21</v>
      </c>
      <c r="B150" s="864">
        <v>282769.48</v>
      </c>
      <c r="C150" s="864">
        <v>58518.15</v>
      </c>
      <c r="D150" s="864">
        <v>1290.19</v>
      </c>
      <c r="E150" s="864">
        <v>853574.35</v>
      </c>
      <c r="F150" s="864">
        <v>844768.22</v>
      </c>
      <c r="G150" s="864">
        <v>170769.2</v>
      </c>
      <c r="H150" s="864">
        <v>8809.7800000000007</v>
      </c>
      <c r="I150" s="864">
        <v>129102.13</v>
      </c>
      <c r="J150" s="865">
        <v>0.78439999999999999</v>
      </c>
      <c r="K150" s="865">
        <v>1.0857000000000001</v>
      </c>
      <c r="L150" s="865">
        <v>1.3124</v>
      </c>
      <c r="M150" s="865">
        <v>2.1600000000000001E-2</v>
      </c>
    </row>
    <row r="151" spans="1:14">
      <c r="A151" s="861" t="s">
        <v>22</v>
      </c>
      <c r="B151" s="864">
        <v>295198.11</v>
      </c>
      <c r="C151" s="864">
        <v>34442.17</v>
      </c>
      <c r="D151" s="864">
        <v>1575.59</v>
      </c>
      <c r="E151" s="864">
        <v>904788.05</v>
      </c>
      <c r="F151" s="864">
        <v>652863.82999999996</v>
      </c>
      <c r="G151" s="864">
        <v>233731.79</v>
      </c>
      <c r="H151" s="864">
        <v>5092.78</v>
      </c>
      <c r="I151" s="864">
        <v>276887.02</v>
      </c>
      <c r="J151" s="865">
        <v>0.78420000000000001</v>
      </c>
      <c r="K151" s="865">
        <v>1.0793999999999999</v>
      </c>
      <c r="L151" s="865">
        <v>1.3221000000000001</v>
      </c>
      <c r="M151" s="865">
        <v>2.2200000000000001E-2</v>
      </c>
    </row>
    <row r="152" spans="1:14">
      <c r="A152" s="861" t="s">
        <v>23</v>
      </c>
      <c r="B152" s="864">
        <v>355788.1</v>
      </c>
      <c r="C152" s="864">
        <v>35676.54</v>
      </c>
      <c r="D152" s="864">
        <v>303.67</v>
      </c>
      <c r="E152" s="864">
        <v>1092296.56</v>
      </c>
      <c r="F152" s="864">
        <v>671158.76</v>
      </c>
      <c r="G152" s="864">
        <v>229945.75</v>
      </c>
      <c r="H152" s="864">
        <v>3586.9</v>
      </c>
      <c r="I152" s="864">
        <v>101562.7</v>
      </c>
      <c r="J152" s="865">
        <v>0.78410000000000002</v>
      </c>
      <c r="K152" s="865">
        <v>1.0682</v>
      </c>
      <c r="L152" s="865">
        <v>1.3286</v>
      </c>
      <c r="M152" s="865">
        <v>2.2499999999999999E-2</v>
      </c>
    </row>
    <row r="153" spans="1:14" s="121" customFormat="1" ht="15" customHeight="1">
      <c r="A153" s="861" t="s">
        <v>24</v>
      </c>
      <c r="B153" s="864">
        <v>285872.68</v>
      </c>
      <c r="C153" s="864">
        <v>19260.349999999999</v>
      </c>
      <c r="D153" s="864">
        <v>387.23</v>
      </c>
      <c r="E153" s="864">
        <v>1219600.3700000001</v>
      </c>
      <c r="F153" s="864">
        <v>729744.75</v>
      </c>
      <c r="G153" s="864">
        <v>170153.26</v>
      </c>
      <c r="H153" s="864">
        <v>5333.09</v>
      </c>
      <c r="I153" s="864">
        <v>110470.53</v>
      </c>
      <c r="J153" s="865">
        <v>0.78449999999999998</v>
      </c>
      <c r="K153" s="865">
        <v>1.0651999999999999</v>
      </c>
      <c r="L153" s="865">
        <v>1.3425</v>
      </c>
      <c r="M153" s="865">
        <v>2.24E-2</v>
      </c>
    </row>
    <row r="154" spans="1:14" s="121" customFormat="1" ht="15" customHeight="1">
      <c r="A154" s="861" t="s">
        <v>25</v>
      </c>
      <c r="B154" s="864">
        <v>262614.34000000003</v>
      </c>
      <c r="C154" s="864">
        <v>20769.34</v>
      </c>
      <c r="D154" s="864">
        <v>2477.1999999999998</v>
      </c>
      <c r="E154" s="864">
        <v>1518451.95</v>
      </c>
      <c r="F154" s="864">
        <v>737597.1</v>
      </c>
      <c r="G154" s="864">
        <v>121061.51</v>
      </c>
      <c r="H154" s="864">
        <v>15064.31</v>
      </c>
      <c r="I154" s="864">
        <v>115832.9</v>
      </c>
      <c r="J154" s="865">
        <v>0.78449999999999998</v>
      </c>
      <c r="K154" s="865">
        <v>1.0451999999999999</v>
      </c>
      <c r="L154" s="865">
        <v>1.3110999999999999</v>
      </c>
      <c r="M154" s="865">
        <v>2.1499999999999998E-2</v>
      </c>
    </row>
    <row r="155" spans="1:14" s="121" customFormat="1" ht="15" customHeight="1">
      <c r="A155" s="861" t="s">
        <v>26</v>
      </c>
      <c r="B155" s="864">
        <v>317678.12</v>
      </c>
      <c r="C155" s="864">
        <v>30754.3</v>
      </c>
      <c r="D155" s="864">
        <v>258.08</v>
      </c>
      <c r="E155" s="864">
        <v>1806774.46</v>
      </c>
      <c r="F155" s="864">
        <v>702360.44</v>
      </c>
      <c r="G155" s="864">
        <v>214490.86</v>
      </c>
      <c r="H155" s="864">
        <v>5810.51</v>
      </c>
      <c r="I155" s="864">
        <v>535625.46</v>
      </c>
      <c r="J155" s="865">
        <v>0.78449999999999998</v>
      </c>
      <c r="K155" s="865">
        <v>1.0154000000000001</v>
      </c>
      <c r="L155" s="865">
        <v>1.2846</v>
      </c>
      <c r="M155" s="865">
        <v>2.0400000000000001E-2</v>
      </c>
    </row>
    <row r="156" spans="1:14" s="121" customFormat="1" ht="15" customHeight="1">
      <c r="A156" s="861" t="s">
        <v>27</v>
      </c>
      <c r="B156" s="864">
        <v>330219.7</v>
      </c>
      <c r="C156" s="864">
        <v>27154.28</v>
      </c>
      <c r="D156" s="864">
        <v>192.96</v>
      </c>
      <c r="E156" s="864">
        <v>1338000.78</v>
      </c>
      <c r="F156" s="864">
        <v>679066.17</v>
      </c>
      <c r="G156" s="864">
        <v>189949.86</v>
      </c>
      <c r="H156" s="864">
        <v>5085.4399999999996</v>
      </c>
      <c r="I156" s="864">
        <v>131986.04</v>
      </c>
      <c r="J156" s="865">
        <v>0.78439999999999999</v>
      </c>
      <c r="K156" s="865">
        <v>1.0008999999999999</v>
      </c>
      <c r="L156" s="865">
        <v>1.2632000000000001</v>
      </c>
      <c r="M156" s="865">
        <v>1.9E-2</v>
      </c>
    </row>
    <row r="157" spans="1:14" s="121" customFormat="1" ht="15" customHeight="1">
      <c r="A157" s="861" t="s">
        <v>28</v>
      </c>
      <c r="B157" s="864">
        <v>277790</v>
      </c>
      <c r="C157" s="864">
        <v>28843.26</v>
      </c>
      <c r="D157" s="864">
        <v>198.38</v>
      </c>
      <c r="E157" s="864">
        <v>751670.01</v>
      </c>
      <c r="F157" s="864">
        <v>565625.14</v>
      </c>
      <c r="G157" s="864">
        <v>127310.08</v>
      </c>
      <c r="H157" s="864">
        <v>5097.21</v>
      </c>
      <c r="I157" s="864">
        <v>219976.84</v>
      </c>
      <c r="J157" s="865">
        <v>0.78439999999999999</v>
      </c>
      <c r="K157" s="865">
        <v>0.98109999999999997</v>
      </c>
      <c r="L157" s="865">
        <v>1.242</v>
      </c>
      <c r="M157" s="865">
        <v>1.6799999999999999E-2</v>
      </c>
    </row>
    <row r="158" spans="1:14" s="121" customFormat="1" ht="15" customHeight="1">
      <c r="A158" s="861" t="s">
        <v>29</v>
      </c>
      <c r="B158" s="864">
        <v>313400.19</v>
      </c>
      <c r="C158" s="864">
        <v>39195.949999999997</v>
      </c>
      <c r="D158" s="864">
        <v>203.12</v>
      </c>
      <c r="E158" s="864">
        <v>713053.58</v>
      </c>
      <c r="F158" s="864">
        <v>1391397.86</v>
      </c>
      <c r="G158" s="864">
        <v>206980.42</v>
      </c>
      <c r="H158" s="864">
        <v>6914.39</v>
      </c>
      <c r="I158" s="864">
        <v>439229</v>
      </c>
      <c r="J158" s="865">
        <v>0.78580000000000005</v>
      </c>
      <c r="K158" s="865">
        <v>0.97119999999999995</v>
      </c>
      <c r="L158" s="865">
        <v>1.2314000000000001</v>
      </c>
      <c r="M158" s="865">
        <v>1.38E-2</v>
      </c>
    </row>
    <row r="159" spans="1:14" s="121" customFormat="1" ht="15" customHeight="1">
      <c r="A159" s="861" t="s">
        <v>1855</v>
      </c>
      <c r="B159" s="288">
        <v>3478205.91</v>
      </c>
      <c r="C159" s="1076">
        <v>245264.35000000003</v>
      </c>
      <c r="D159" s="1076">
        <v>3890.2099999999996</v>
      </c>
      <c r="E159" s="288">
        <v>9551580.1900000013</v>
      </c>
      <c r="F159" s="288">
        <v>12317396.410000002</v>
      </c>
      <c r="G159" s="1076">
        <v>1074476.9400000002</v>
      </c>
      <c r="H159" s="288">
        <v>64102.560000000005</v>
      </c>
      <c r="I159" s="288">
        <v>2385745.84</v>
      </c>
      <c r="J159" s="870">
        <v>1.0047999999999999</v>
      </c>
      <c r="K159" s="1077">
        <v>1.1132</v>
      </c>
      <c r="L159" s="870">
        <v>1.5544</v>
      </c>
      <c r="M159" s="870">
        <v>1.72E-2</v>
      </c>
    </row>
    <row r="160" spans="1:14" s="121" customFormat="1" ht="15" customHeight="1">
      <c r="A160" s="861" t="s">
        <v>18</v>
      </c>
      <c r="B160" s="864">
        <v>199954.33</v>
      </c>
      <c r="C160" s="864">
        <v>35731.629999999997</v>
      </c>
      <c r="D160" s="864">
        <v>160.76</v>
      </c>
      <c r="E160" s="864">
        <v>518655.68</v>
      </c>
      <c r="F160" s="864">
        <v>1118655.3700000001</v>
      </c>
      <c r="G160" s="864">
        <v>131417.79</v>
      </c>
      <c r="H160" s="864">
        <v>6398.99</v>
      </c>
      <c r="I160" s="864">
        <v>264105.65000000002</v>
      </c>
      <c r="J160" s="865">
        <v>0.78610000000000002</v>
      </c>
      <c r="K160" s="865">
        <v>0.92869999999999997</v>
      </c>
      <c r="L160" s="865">
        <v>1.2009000000000001</v>
      </c>
      <c r="M160" s="865">
        <v>1.2E-2</v>
      </c>
    </row>
    <row r="161" spans="1:13" s="121" customFormat="1" ht="15" customHeight="1">
      <c r="A161" s="861" t="s">
        <v>19</v>
      </c>
      <c r="B161" s="864">
        <v>384827.58</v>
      </c>
      <c r="C161" s="864">
        <v>42739.51</v>
      </c>
      <c r="D161" s="864">
        <v>444.62</v>
      </c>
      <c r="E161" s="864">
        <v>484710.79</v>
      </c>
      <c r="F161" s="864">
        <v>2885466.98</v>
      </c>
      <c r="G161" s="864">
        <v>147049.85</v>
      </c>
      <c r="H161" s="864">
        <v>7139.79</v>
      </c>
      <c r="I161" s="864">
        <v>287760.15000000002</v>
      </c>
      <c r="J161" s="865">
        <v>0.82609999999999995</v>
      </c>
      <c r="K161" s="865">
        <v>0.96179999999999999</v>
      </c>
      <c r="L161" s="865">
        <v>1.2569999999999999</v>
      </c>
      <c r="M161" s="865">
        <v>1.3299999999999999E-2</v>
      </c>
    </row>
    <row r="162" spans="1:13" s="121" customFormat="1" ht="15" customHeight="1">
      <c r="A162" s="861" t="s">
        <v>20</v>
      </c>
      <c r="B162" s="864">
        <v>153504.01</v>
      </c>
      <c r="C162" s="864">
        <v>32461.69</v>
      </c>
      <c r="D162" s="864">
        <v>217.48</v>
      </c>
      <c r="E162" s="864">
        <v>549774.85</v>
      </c>
      <c r="F162" s="864">
        <v>1066513.45</v>
      </c>
      <c r="G162" s="864">
        <v>76582.05</v>
      </c>
      <c r="H162" s="864">
        <v>4900.08</v>
      </c>
      <c r="I162" s="864">
        <v>136035.41</v>
      </c>
      <c r="J162" s="865">
        <v>1.0512999999999999</v>
      </c>
      <c r="K162" s="865">
        <v>1.1468</v>
      </c>
      <c r="L162" s="865">
        <v>1.5841000000000001</v>
      </c>
      <c r="M162" s="865">
        <v>1.72E-2</v>
      </c>
    </row>
    <row r="163" spans="1:13" s="121" customFormat="1" ht="15" customHeight="1">
      <c r="A163" s="861" t="s">
        <v>21</v>
      </c>
      <c r="B163" s="864">
        <v>265232.14</v>
      </c>
      <c r="C163" s="864">
        <v>17106.810000000001</v>
      </c>
      <c r="D163" s="864">
        <v>131.61000000000001</v>
      </c>
      <c r="E163" s="864">
        <v>927288.01</v>
      </c>
      <c r="F163" s="864">
        <v>1407963.1</v>
      </c>
      <c r="G163" s="864">
        <v>75671.44</v>
      </c>
      <c r="H163" s="864">
        <v>4959.6400000000003</v>
      </c>
      <c r="I163" s="864">
        <v>318736.92</v>
      </c>
      <c r="J163" s="865">
        <v>1.0568</v>
      </c>
      <c r="K163" s="865">
        <v>1.1335999999999999</v>
      </c>
      <c r="L163" s="865">
        <v>1.5707</v>
      </c>
      <c r="M163" s="865">
        <v>1.9800000000000002E-2</v>
      </c>
    </row>
    <row r="164" spans="1:13" s="121" customFormat="1" ht="15" customHeight="1">
      <c r="A164" s="861" t="s">
        <v>22</v>
      </c>
      <c r="B164" s="864">
        <v>366336.03</v>
      </c>
      <c r="C164" s="864">
        <v>13471.18</v>
      </c>
      <c r="D164" s="864">
        <v>1365.67</v>
      </c>
      <c r="E164" s="864">
        <v>938184.87</v>
      </c>
      <c r="F164" s="864">
        <v>450048.8</v>
      </c>
      <c r="G164" s="864">
        <v>69540.460000000006</v>
      </c>
      <c r="H164" s="864">
        <v>4435.75</v>
      </c>
      <c r="I164" s="864">
        <v>248201</v>
      </c>
      <c r="J164" s="865">
        <v>1.0349999999999999</v>
      </c>
      <c r="K164" s="865">
        <v>1.1545000000000001</v>
      </c>
      <c r="L164" s="865">
        <v>1.6313</v>
      </c>
      <c r="M164" s="865">
        <v>2.0500000000000001E-2</v>
      </c>
    </row>
    <row r="165" spans="1:13" s="121" customFormat="1" ht="15" customHeight="1">
      <c r="A165" s="861" t="s">
        <v>23</v>
      </c>
      <c r="B165" s="864">
        <v>364407.38</v>
      </c>
      <c r="C165" s="864">
        <v>10488.9</v>
      </c>
      <c r="D165" s="864">
        <v>265.06</v>
      </c>
      <c r="E165" s="864">
        <v>1003256.04</v>
      </c>
      <c r="F165" s="864">
        <v>511258.36</v>
      </c>
      <c r="G165" s="864">
        <v>87733.22</v>
      </c>
      <c r="H165" s="864">
        <v>5889.57</v>
      </c>
      <c r="I165" s="864">
        <v>89636.37</v>
      </c>
      <c r="J165" s="865">
        <v>1.0499000000000001</v>
      </c>
      <c r="K165" s="865">
        <v>1.1761999999999999</v>
      </c>
      <c r="L165" s="865">
        <v>1.6365000000000001</v>
      </c>
      <c r="M165" s="865">
        <v>1.9E-2</v>
      </c>
    </row>
    <row r="166" spans="1:13" s="121" customFormat="1" ht="15" customHeight="1">
      <c r="A166" s="861" t="s">
        <v>24</v>
      </c>
      <c r="B166" s="864">
        <v>353442.14</v>
      </c>
      <c r="C166" s="864">
        <v>20053.95</v>
      </c>
      <c r="D166" s="864">
        <v>192.45</v>
      </c>
      <c r="E166" s="864">
        <v>1079796.99</v>
      </c>
      <c r="F166" s="864">
        <v>519284.09</v>
      </c>
      <c r="G166" s="864">
        <v>105822.65</v>
      </c>
      <c r="H166" s="864">
        <v>4918.54</v>
      </c>
      <c r="I166" s="864">
        <v>207991.69</v>
      </c>
      <c r="J166" s="865">
        <v>1.0504</v>
      </c>
      <c r="K166" s="865">
        <v>1.1599999999999999</v>
      </c>
      <c r="L166" s="865">
        <v>1.6351</v>
      </c>
      <c r="M166" s="865">
        <v>1.8100000000000002E-2</v>
      </c>
    </row>
    <row r="167" spans="1:13" s="121" customFormat="1" ht="15" customHeight="1">
      <c r="A167" s="861" t="s">
        <v>25</v>
      </c>
      <c r="B167" s="864">
        <v>345113.51</v>
      </c>
      <c r="C167" s="864">
        <v>16243.92</v>
      </c>
      <c r="D167" s="864">
        <v>254.1</v>
      </c>
      <c r="E167" s="864">
        <v>789063.2</v>
      </c>
      <c r="F167" s="864">
        <v>1305175.98</v>
      </c>
      <c r="G167" s="864">
        <v>68505.39</v>
      </c>
      <c r="H167" s="864">
        <v>5315.79</v>
      </c>
      <c r="I167" s="864">
        <v>254664.85</v>
      </c>
      <c r="J167" s="865">
        <v>1.0516000000000001</v>
      </c>
      <c r="K167" s="865">
        <v>1.1783999999999999</v>
      </c>
      <c r="L167" s="865">
        <v>1.6394</v>
      </c>
      <c r="M167" s="865">
        <v>1.5800000000000002E-2</v>
      </c>
    </row>
    <row r="168" spans="1:13" s="121" customFormat="1" ht="15" customHeight="1">
      <c r="A168" s="861" t="s">
        <v>26</v>
      </c>
      <c r="B168" s="864">
        <v>352776.18</v>
      </c>
      <c r="C168" s="864">
        <v>9927.7199999999993</v>
      </c>
      <c r="D168" s="864">
        <v>291.2</v>
      </c>
      <c r="E168" s="864">
        <v>817574.91</v>
      </c>
      <c r="F168" s="864">
        <v>446300.65</v>
      </c>
      <c r="G168" s="864">
        <v>80557.320000000007</v>
      </c>
      <c r="H168" s="864">
        <v>6564.69</v>
      </c>
      <c r="I168" s="864">
        <v>130144.65</v>
      </c>
      <c r="J168" s="865">
        <v>1.0502</v>
      </c>
      <c r="K168" s="865">
        <v>1.1808000000000001</v>
      </c>
      <c r="L168" s="865">
        <v>1.6144000000000001</v>
      </c>
      <c r="M168" s="865">
        <v>1.55E-2</v>
      </c>
    </row>
    <row r="169" spans="1:13" s="121" customFormat="1" ht="15" customHeight="1">
      <c r="A169" s="861" t="s">
        <v>27</v>
      </c>
      <c r="B169" s="864">
        <v>290761.42</v>
      </c>
      <c r="C169" s="864">
        <v>12392.94</v>
      </c>
      <c r="D169" s="864">
        <v>220.21</v>
      </c>
      <c r="E169" s="864">
        <v>822327.91</v>
      </c>
      <c r="F169" s="864">
        <v>618756.9</v>
      </c>
      <c r="G169" s="864">
        <v>78410.42</v>
      </c>
      <c r="H169" s="864">
        <v>5722.29</v>
      </c>
      <c r="I169" s="864">
        <v>87422</v>
      </c>
      <c r="J169" s="865">
        <v>1.0503</v>
      </c>
      <c r="K169" s="865">
        <v>1.1747000000000001</v>
      </c>
      <c r="L169" s="865">
        <v>1.6083000000000001</v>
      </c>
      <c r="M169" s="865">
        <v>1.6400000000000001E-2</v>
      </c>
    </row>
    <row r="170" spans="1:13" s="121" customFormat="1" ht="15" customHeight="1">
      <c r="A170" s="861" t="s">
        <v>28</v>
      </c>
      <c r="B170" s="864">
        <v>207650.38</v>
      </c>
      <c r="C170" s="864">
        <v>23906.19</v>
      </c>
      <c r="D170" s="864">
        <v>94.18</v>
      </c>
      <c r="E170" s="864">
        <v>697977.47</v>
      </c>
      <c r="F170" s="864">
        <v>585534.18000000005</v>
      </c>
      <c r="G170" s="864">
        <v>89661.18</v>
      </c>
      <c r="H170" s="864">
        <v>3906.57</v>
      </c>
      <c r="I170" s="864">
        <v>170192.49</v>
      </c>
      <c r="J170" s="865">
        <v>1.0524</v>
      </c>
      <c r="K170" s="865">
        <v>1.1456999999999999</v>
      </c>
      <c r="L170" s="865">
        <v>1.6032999999999999</v>
      </c>
      <c r="M170" s="865">
        <v>1.6E-2</v>
      </c>
    </row>
    <row r="171" spans="1:13" s="121" customFormat="1" ht="15" customHeight="1">
      <c r="A171" s="861" t="s">
        <v>29</v>
      </c>
      <c r="B171" s="864">
        <v>194200.81</v>
      </c>
      <c r="C171" s="864">
        <v>10739.91</v>
      </c>
      <c r="D171" s="864">
        <v>252.87</v>
      </c>
      <c r="E171" s="864">
        <v>922969.47</v>
      </c>
      <c r="F171" s="864">
        <v>1402438.55</v>
      </c>
      <c r="G171" s="864">
        <v>63525.17</v>
      </c>
      <c r="H171" s="864">
        <v>3950.86</v>
      </c>
      <c r="I171" s="864">
        <v>190854.66</v>
      </c>
      <c r="J171" s="865">
        <v>1.2753000000000001</v>
      </c>
      <c r="K171" s="865">
        <v>1.3508</v>
      </c>
      <c r="L171" s="865">
        <v>1.9288000000000001</v>
      </c>
      <c r="M171" s="865">
        <v>1.8200000000000001E-2</v>
      </c>
    </row>
    <row r="172" spans="1:13" s="121" customFormat="1" ht="15" customHeight="1">
      <c r="A172" s="861" t="s">
        <v>1879</v>
      </c>
      <c r="B172" s="288">
        <v>2559517.0099999998</v>
      </c>
      <c r="C172" s="1076">
        <v>292381.03000000003</v>
      </c>
      <c r="D172" s="1076">
        <v>6785.0400000000009</v>
      </c>
      <c r="E172" s="288">
        <v>11379905.82</v>
      </c>
      <c r="F172" s="288">
        <v>3004956.6600000006</v>
      </c>
      <c r="G172" s="1076">
        <v>559028.56000000006</v>
      </c>
      <c r="H172" s="288">
        <v>41226.520000000004</v>
      </c>
      <c r="I172" s="288">
        <v>2214718.56</v>
      </c>
      <c r="J172" s="870">
        <v>1.6026</v>
      </c>
      <c r="K172" s="1077">
        <v>1.7775000000000001</v>
      </c>
      <c r="L172" s="870">
        <v>2.1777000000000002</v>
      </c>
      <c r="M172" s="870">
        <v>2.4E-2</v>
      </c>
    </row>
    <row r="173" spans="1:13" s="121" customFormat="1" ht="15" customHeight="1">
      <c r="A173" s="861" t="s">
        <v>18</v>
      </c>
      <c r="B173" s="864">
        <v>219527.13</v>
      </c>
      <c r="C173" s="864">
        <v>7470.78</v>
      </c>
      <c r="D173" s="864">
        <v>258.26</v>
      </c>
      <c r="E173" s="864">
        <v>578885.69999999995</v>
      </c>
      <c r="F173" s="864">
        <v>392967.63</v>
      </c>
      <c r="G173" s="864">
        <v>27828.07</v>
      </c>
      <c r="H173" s="864">
        <v>2868.06</v>
      </c>
      <c r="I173" s="864">
        <v>185829.25</v>
      </c>
      <c r="J173" s="865">
        <v>1.6221000000000001</v>
      </c>
      <c r="K173" s="865">
        <v>1.7528999999999999</v>
      </c>
      <c r="L173" s="865">
        <v>2.3119000000000001</v>
      </c>
      <c r="M173" s="865">
        <v>2.0299999999999999E-2</v>
      </c>
    </row>
    <row r="174" spans="1:13" s="121" customFormat="1" ht="15" customHeight="1">
      <c r="A174" s="861" t="s">
        <v>19</v>
      </c>
      <c r="B174" s="864">
        <v>468677.07</v>
      </c>
      <c r="C174" s="864">
        <v>45031.199999999997</v>
      </c>
      <c r="D174" s="864">
        <v>394.68</v>
      </c>
      <c r="E174" s="864">
        <v>732419.68</v>
      </c>
      <c r="F174" s="864">
        <v>327786.18</v>
      </c>
      <c r="G174" s="864">
        <v>71435.86</v>
      </c>
      <c r="H174" s="864">
        <v>4623.28</v>
      </c>
      <c r="I174" s="864">
        <v>171342.29</v>
      </c>
      <c r="J174" s="865">
        <v>1.5892999999999999</v>
      </c>
      <c r="K174" s="865">
        <v>1.7465999999999999</v>
      </c>
      <c r="L174" s="865">
        <v>2.2241</v>
      </c>
      <c r="M174" s="865">
        <v>2.01E-2</v>
      </c>
    </row>
    <row r="175" spans="1:13" s="121" customFormat="1" ht="15" customHeight="1">
      <c r="A175" s="861" t="s">
        <v>20</v>
      </c>
      <c r="B175" s="864">
        <v>241444.7</v>
      </c>
      <c r="C175" s="864">
        <v>36490.339999999997</v>
      </c>
      <c r="D175" s="864">
        <v>425.88</v>
      </c>
      <c r="E175" s="864">
        <v>797804.01</v>
      </c>
      <c r="F175" s="864">
        <v>288050.82</v>
      </c>
      <c r="G175" s="864">
        <v>58881.32</v>
      </c>
      <c r="H175" s="864">
        <v>2800.43</v>
      </c>
      <c r="I175" s="864">
        <v>157156.60999999999</v>
      </c>
      <c r="J175" s="865">
        <v>1.6080000000000001</v>
      </c>
      <c r="K175" s="865">
        <v>1.7967</v>
      </c>
      <c r="L175" s="865">
        <v>2.2854999999999999</v>
      </c>
      <c r="M175" s="865">
        <v>2.24E-2</v>
      </c>
    </row>
    <row r="176" spans="1:13" s="121" customFormat="1" ht="15" customHeight="1">
      <c r="A176" s="861" t="s">
        <v>21</v>
      </c>
      <c r="B176" s="864">
        <v>272352.03999999998</v>
      </c>
      <c r="C176" s="864">
        <v>28791.49</v>
      </c>
      <c r="D176" s="864">
        <v>626.85</v>
      </c>
      <c r="E176" s="864">
        <v>853017.92</v>
      </c>
      <c r="F176" s="864">
        <v>190905.23</v>
      </c>
      <c r="G176" s="864">
        <v>33374.629999999997</v>
      </c>
      <c r="H176" s="864">
        <v>2177.9699999999998</v>
      </c>
      <c r="I176" s="864">
        <v>201900.16</v>
      </c>
      <c r="J176" s="865">
        <v>1.5134000000000001</v>
      </c>
      <c r="K176" s="865">
        <v>1.7307999999999999</v>
      </c>
      <c r="L176" s="865">
        <v>2.1812</v>
      </c>
      <c r="M176" s="865">
        <v>2.23E-2</v>
      </c>
    </row>
    <row r="177" spans="1:13" s="121" customFormat="1" ht="15" customHeight="1">
      <c r="A177" s="861" t="s">
        <v>22</v>
      </c>
      <c r="B177" s="864">
        <v>212994.01</v>
      </c>
      <c r="C177" s="864">
        <v>23323.62</v>
      </c>
      <c r="D177" s="864">
        <v>862.47</v>
      </c>
      <c r="E177" s="864">
        <v>942201.32</v>
      </c>
      <c r="F177" s="864">
        <v>177554.04</v>
      </c>
      <c r="G177" s="864">
        <v>30424.89</v>
      </c>
      <c r="H177" s="864">
        <v>1489.76</v>
      </c>
      <c r="I177" s="864">
        <v>143621.79999999999</v>
      </c>
      <c r="J177" s="865">
        <v>1.4974000000000001</v>
      </c>
      <c r="K177" s="865">
        <v>1.6957</v>
      </c>
      <c r="L177" s="865">
        <v>2.1913999999999998</v>
      </c>
      <c r="M177" s="865">
        <v>2.24E-2</v>
      </c>
    </row>
    <row r="178" spans="1:13" s="121" customFormat="1" ht="15" customHeight="1">
      <c r="A178" s="861" t="s">
        <v>23</v>
      </c>
      <c r="B178" s="864">
        <v>206207.87</v>
      </c>
      <c r="C178" s="864">
        <v>40437.129999999997</v>
      </c>
      <c r="D178" s="864">
        <v>352.78</v>
      </c>
      <c r="E178" s="864">
        <v>1196976.06</v>
      </c>
      <c r="F178" s="864">
        <v>321915.83</v>
      </c>
      <c r="G178" s="864">
        <v>59158.49</v>
      </c>
      <c r="H178" s="864">
        <v>3097.25</v>
      </c>
      <c r="I178" s="864">
        <v>240188.65</v>
      </c>
      <c r="J178" s="865">
        <v>1.5258</v>
      </c>
      <c r="K178" s="865">
        <v>1.7154</v>
      </c>
      <c r="L178" s="865">
        <v>2.1762999999999999</v>
      </c>
      <c r="M178" s="865">
        <v>2.3E-2</v>
      </c>
    </row>
    <row r="179" spans="1:13" s="121" customFormat="1" ht="15" customHeight="1">
      <c r="A179" s="861" t="s">
        <v>24</v>
      </c>
      <c r="B179" s="864">
        <v>178822.51</v>
      </c>
      <c r="C179" s="864">
        <v>28288.71</v>
      </c>
      <c r="D179" s="864">
        <v>213.34</v>
      </c>
      <c r="E179" s="864">
        <v>1148281.8799999999</v>
      </c>
      <c r="F179" s="864">
        <v>276607.78999999998</v>
      </c>
      <c r="G179" s="864">
        <v>60647.62</v>
      </c>
      <c r="H179" s="864">
        <v>2616.1</v>
      </c>
      <c r="I179" s="864">
        <v>160320.82999999999</v>
      </c>
      <c r="J179" s="865">
        <v>1.5769</v>
      </c>
      <c r="K179" s="865">
        <v>1.7390000000000001</v>
      </c>
      <c r="L179" s="865">
        <v>2.0790000000000002</v>
      </c>
      <c r="M179" s="865">
        <v>2.41E-2</v>
      </c>
    </row>
    <row r="180" spans="1:13" s="121" customFormat="1" ht="15" customHeight="1">
      <c r="A180" s="861" t="s">
        <v>25</v>
      </c>
      <c r="B180" s="864">
        <v>203868.69</v>
      </c>
      <c r="C180" s="864">
        <v>21755.48</v>
      </c>
      <c r="D180" s="864">
        <v>772.08</v>
      </c>
      <c r="E180" s="864">
        <v>1216270.8999999999</v>
      </c>
      <c r="F180" s="864">
        <v>243437.46</v>
      </c>
      <c r="G180" s="864">
        <v>47714.51</v>
      </c>
      <c r="H180" s="864">
        <v>5332.08</v>
      </c>
      <c r="I180" s="864">
        <v>201372.54</v>
      </c>
      <c r="J180" s="865">
        <v>1.6476999999999999</v>
      </c>
      <c r="K180" s="865">
        <v>1.8533999999999999</v>
      </c>
      <c r="L180" s="865">
        <v>2.1703000000000001</v>
      </c>
      <c r="M180" s="865">
        <v>2.4799999999999999E-2</v>
      </c>
    </row>
    <row r="181" spans="1:13" s="121" customFormat="1" ht="15" customHeight="1">
      <c r="A181" s="861" t="s">
        <v>26</v>
      </c>
      <c r="B181" s="864">
        <v>156993.18</v>
      </c>
      <c r="C181" s="864">
        <v>23076.97</v>
      </c>
      <c r="D181" s="864">
        <v>670.28</v>
      </c>
      <c r="E181" s="864">
        <v>1076646.57</v>
      </c>
      <c r="F181" s="864">
        <v>222661.08</v>
      </c>
      <c r="G181" s="864">
        <v>58342.06</v>
      </c>
      <c r="H181" s="864">
        <v>4346.79</v>
      </c>
      <c r="I181" s="864">
        <v>172974.99</v>
      </c>
      <c r="J181" s="865">
        <v>1.6503000000000001</v>
      </c>
      <c r="K181" s="865">
        <v>1.8472999999999999</v>
      </c>
      <c r="L181" s="865">
        <v>2.1867999999999999</v>
      </c>
      <c r="M181" s="865">
        <v>2.53E-2</v>
      </c>
    </row>
    <row r="182" spans="1:13" s="121" customFormat="1" ht="15" customHeight="1">
      <c r="A182" s="861" t="s">
        <v>27</v>
      </c>
      <c r="B182" s="864">
        <v>159267.79999999999</v>
      </c>
      <c r="C182" s="864">
        <v>8609.32</v>
      </c>
      <c r="D182" s="864">
        <v>635.05999999999995</v>
      </c>
      <c r="E182" s="864">
        <v>1045584.38</v>
      </c>
      <c r="F182" s="864">
        <v>253808.06</v>
      </c>
      <c r="G182" s="864">
        <v>47863.7</v>
      </c>
      <c r="H182" s="864">
        <v>4141.08</v>
      </c>
      <c r="I182" s="864">
        <v>196448.75</v>
      </c>
      <c r="J182" s="865">
        <v>1.6214999999999999</v>
      </c>
      <c r="K182" s="865">
        <v>1.7805</v>
      </c>
      <c r="L182" s="865">
        <v>2.0066000000000002</v>
      </c>
      <c r="M182" s="865">
        <v>2.5499999999999998E-2</v>
      </c>
    </row>
    <row r="183" spans="1:13" s="121" customFormat="1" ht="15" customHeight="1">
      <c r="A183" s="861" t="s">
        <v>28</v>
      </c>
      <c r="B183" s="864">
        <v>122071.79</v>
      </c>
      <c r="C183" s="864">
        <v>16734.46</v>
      </c>
      <c r="D183" s="864">
        <v>257.95999999999998</v>
      </c>
      <c r="E183" s="864">
        <v>938029.74</v>
      </c>
      <c r="F183" s="864">
        <v>171613.88</v>
      </c>
      <c r="G183" s="864">
        <v>41857</v>
      </c>
      <c r="H183" s="864">
        <v>5531.38</v>
      </c>
      <c r="I183" s="864">
        <v>169692.04</v>
      </c>
      <c r="J183" s="865">
        <v>1.726</v>
      </c>
      <c r="K183" s="865">
        <v>1.8607</v>
      </c>
      <c r="L183" s="865">
        <v>2.1572</v>
      </c>
      <c r="M183" s="865">
        <v>2.6499999999999999E-2</v>
      </c>
    </row>
    <row r="184" spans="1:13" s="121" customFormat="1" ht="15" customHeight="1">
      <c r="A184" s="861" t="s">
        <v>29</v>
      </c>
      <c r="B184" s="864">
        <v>117290.22</v>
      </c>
      <c r="C184" s="864">
        <v>12371.53</v>
      </c>
      <c r="D184" s="864">
        <v>1315.4</v>
      </c>
      <c r="E184" s="864">
        <v>853787.66</v>
      </c>
      <c r="F184" s="864">
        <v>137648.66</v>
      </c>
      <c r="G184" s="864">
        <v>21500.41</v>
      </c>
      <c r="H184" s="864">
        <v>2202.34</v>
      </c>
      <c r="I184" s="864">
        <v>213870.65</v>
      </c>
      <c r="J184" s="865">
        <v>1.7904</v>
      </c>
      <c r="K184" s="865">
        <v>1.883</v>
      </c>
      <c r="L184" s="865">
        <v>2.2275</v>
      </c>
      <c r="M184" s="865">
        <v>2.87E-2</v>
      </c>
    </row>
    <row r="185" spans="1:13" s="121" customFormat="1" ht="15" customHeight="1">
      <c r="A185" s="861" t="s">
        <v>1942</v>
      </c>
      <c r="B185" s="288">
        <v>1733190.68</v>
      </c>
      <c r="C185" s="1076">
        <v>204188.99000000002</v>
      </c>
      <c r="D185" s="1076">
        <v>7789.9</v>
      </c>
      <c r="E185" s="288">
        <v>14023485.4</v>
      </c>
      <c r="F185" s="288">
        <v>1759735.06</v>
      </c>
      <c r="G185" s="1076">
        <v>526781.87</v>
      </c>
      <c r="H185" s="288">
        <v>32701.649999999998</v>
      </c>
      <c r="I185" s="288">
        <v>2941783.31</v>
      </c>
      <c r="J185" s="870">
        <v>1.7144999999999999</v>
      </c>
      <c r="K185" s="1077">
        <v>1.9672000000000001</v>
      </c>
      <c r="L185" s="870">
        <v>2.2366999999999999</v>
      </c>
      <c r="M185" s="870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78">
        <v>5985</v>
      </c>
      <c r="D186" s="1078">
        <v>340.41</v>
      </c>
      <c r="E186" s="3">
        <v>798648.36</v>
      </c>
      <c r="F186" s="3">
        <v>130355.55</v>
      </c>
      <c r="G186" s="1078">
        <v>14733.11</v>
      </c>
      <c r="H186" s="3">
        <v>1928.85</v>
      </c>
      <c r="I186" s="3">
        <v>142974.44</v>
      </c>
      <c r="J186" s="871">
        <v>1.8628</v>
      </c>
      <c r="K186" s="1079">
        <v>1.9897</v>
      </c>
      <c r="L186" s="871">
        <v>2.2841999999999998</v>
      </c>
      <c r="M186" s="871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78">
        <v>11696.06</v>
      </c>
      <c r="D187" s="1078">
        <v>313.26</v>
      </c>
      <c r="E187" s="3">
        <v>812766.91</v>
      </c>
      <c r="F187" s="3">
        <v>125003.98</v>
      </c>
      <c r="G187" s="1078">
        <v>18125.25</v>
      </c>
      <c r="H187" s="3">
        <v>1617.45</v>
      </c>
      <c r="I187" s="3">
        <v>187281.7</v>
      </c>
      <c r="J187" s="871">
        <v>1.7967</v>
      </c>
      <c r="K187" s="1079">
        <v>1.92</v>
      </c>
      <c r="L187" s="871">
        <v>2.2425000000000002</v>
      </c>
      <c r="M187" s="871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78">
        <v>16214.76</v>
      </c>
      <c r="D188" s="1078">
        <v>610.32000000000005</v>
      </c>
      <c r="E188" s="3">
        <v>958407.44</v>
      </c>
      <c r="F188" s="3">
        <v>109682.87</v>
      </c>
      <c r="G188" s="1078">
        <v>19762.59</v>
      </c>
      <c r="H188" s="3">
        <v>1541.05</v>
      </c>
      <c r="I188" s="3">
        <v>146529.17000000001</v>
      </c>
      <c r="J188" s="871">
        <v>1.7313000000000001</v>
      </c>
      <c r="K188" s="1079">
        <v>1.8564000000000001</v>
      </c>
      <c r="L188" s="871">
        <v>2.1448</v>
      </c>
      <c r="M188" s="871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78">
        <v>23856.05</v>
      </c>
      <c r="D189" s="1078">
        <v>768.21</v>
      </c>
      <c r="E189" s="3">
        <v>949362.15</v>
      </c>
      <c r="F189" s="3">
        <v>65670.81</v>
      </c>
      <c r="G189" s="1078">
        <v>18510.39</v>
      </c>
      <c r="H189" s="3">
        <v>1842.79</v>
      </c>
      <c r="I189" s="3">
        <v>153252.25</v>
      </c>
      <c r="J189" s="871">
        <v>1.6843999999999999</v>
      </c>
      <c r="K189" s="1079">
        <v>1.8208</v>
      </c>
      <c r="L189" s="871">
        <v>2.1533000000000002</v>
      </c>
      <c r="M189" s="871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78">
        <v>24470.89</v>
      </c>
      <c r="D190" s="1078">
        <v>574.91</v>
      </c>
      <c r="E190" s="3">
        <v>1216578.8700000001</v>
      </c>
      <c r="F190" s="3">
        <v>96469.41</v>
      </c>
      <c r="G190" s="1078">
        <v>35033.120000000003</v>
      </c>
      <c r="H190" s="3">
        <v>1837.69</v>
      </c>
      <c r="I190" s="3">
        <v>222628.4</v>
      </c>
      <c r="J190" s="871">
        <v>1.6911</v>
      </c>
      <c r="K190" s="1079">
        <v>1.8807</v>
      </c>
      <c r="L190" s="871">
        <v>2.1985999999999999</v>
      </c>
      <c r="M190" s="871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78">
        <v>12156.14</v>
      </c>
      <c r="D191" s="1078">
        <v>544.13</v>
      </c>
      <c r="E191" s="3">
        <v>1296177.24</v>
      </c>
      <c r="F191" s="3">
        <v>94486.79</v>
      </c>
      <c r="G191" s="1078">
        <v>20418.05</v>
      </c>
      <c r="H191" s="3">
        <v>1582.24</v>
      </c>
      <c r="I191" s="3">
        <v>241799.37</v>
      </c>
      <c r="J191" s="871">
        <v>1.6924999999999999</v>
      </c>
      <c r="K191" s="1079">
        <v>1.9021999999999999</v>
      </c>
      <c r="L191" s="871">
        <v>2.1812</v>
      </c>
      <c r="M191" s="871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78">
        <v>20548.03</v>
      </c>
      <c r="D192" s="1078">
        <v>593.85</v>
      </c>
      <c r="E192" s="3">
        <v>1449789.84</v>
      </c>
      <c r="F192" s="3">
        <v>143030.79999999999</v>
      </c>
      <c r="G192" s="1078">
        <v>32051.58</v>
      </c>
      <c r="H192" s="3">
        <v>1743.31</v>
      </c>
      <c r="I192" s="3">
        <v>271438.15000000002</v>
      </c>
      <c r="J192" s="871">
        <v>1.6961999999999999</v>
      </c>
      <c r="K192" s="1079">
        <v>1.9568000000000001</v>
      </c>
      <c r="L192" s="871">
        <v>2.2155999999999998</v>
      </c>
      <c r="M192" s="871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78">
        <v>16163.04</v>
      </c>
      <c r="D193" s="1078">
        <v>682.37</v>
      </c>
      <c r="E193" s="3">
        <v>1538892.56</v>
      </c>
      <c r="F193" s="3">
        <v>137491.47</v>
      </c>
      <c r="G193" s="1078">
        <v>60947.93</v>
      </c>
      <c r="H193" s="3">
        <v>3615.68</v>
      </c>
      <c r="I193" s="3">
        <v>302818.53999999998</v>
      </c>
      <c r="J193" s="871">
        <v>1.6966000000000001</v>
      </c>
      <c r="K193" s="1079">
        <v>2.0064000000000002</v>
      </c>
      <c r="L193" s="871">
        <v>2.2166000000000001</v>
      </c>
      <c r="M193" s="871">
        <v>2.81E-2</v>
      </c>
    </row>
    <row r="194" spans="1:13" s="121" customFormat="1" ht="15" customHeight="1">
      <c r="A194" s="33" t="s">
        <v>26</v>
      </c>
      <c r="B194" s="3">
        <v>164254.47</v>
      </c>
      <c r="C194" s="1078">
        <v>20587.87</v>
      </c>
      <c r="D194" s="1078">
        <v>594.13</v>
      </c>
      <c r="E194" s="3">
        <v>1310970.77</v>
      </c>
      <c r="F194" s="3">
        <v>171422.22</v>
      </c>
      <c r="G194" s="1078">
        <v>48431.96</v>
      </c>
      <c r="H194" s="3">
        <v>3777.28</v>
      </c>
      <c r="I194" s="3">
        <v>272346.37</v>
      </c>
      <c r="J194" s="871">
        <v>1.6967000000000001</v>
      </c>
      <c r="K194" s="1079">
        <v>2.0259</v>
      </c>
      <c r="L194" s="871">
        <v>2.2751000000000001</v>
      </c>
      <c r="M194" s="871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78">
        <v>22282.76</v>
      </c>
      <c r="D195" s="1078">
        <v>818.83</v>
      </c>
      <c r="E195" s="3">
        <v>1330458.68</v>
      </c>
      <c r="F195" s="3">
        <v>202513.87</v>
      </c>
      <c r="G195" s="1078">
        <v>96796.37</v>
      </c>
      <c r="H195" s="3">
        <v>3671.19</v>
      </c>
      <c r="I195" s="3">
        <v>298248.17</v>
      </c>
      <c r="J195" s="871">
        <v>1.6994</v>
      </c>
      <c r="K195" s="1079">
        <v>2.0024000000000002</v>
      </c>
      <c r="L195" s="871">
        <v>2.2534000000000001</v>
      </c>
      <c r="M195" s="871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78">
        <v>15297.29</v>
      </c>
      <c r="D196" s="1078">
        <v>1133.6600000000001</v>
      </c>
      <c r="E196" s="3">
        <v>1159648.08</v>
      </c>
      <c r="F196" s="3">
        <v>172735.33</v>
      </c>
      <c r="G196" s="1078">
        <v>80931.009999999995</v>
      </c>
      <c r="H196" s="3">
        <v>1755.25</v>
      </c>
      <c r="I196" s="3">
        <v>372702.11</v>
      </c>
      <c r="J196" s="871">
        <v>1.6983999999999999</v>
      </c>
      <c r="K196" s="1079">
        <v>1.9981</v>
      </c>
      <c r="L196" s="871">
        <v>2.2532000000000001</v>
      </c>
      <c r="M196" s="871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78">
        <v>14931.1</v>
      </c>
      <c r="D197" s="1078">
        <v>815.82</v>
      </c>
      <c r="E197" s="3">
        <v>1201784.5</v>
      </c>
      <c r="F197" s="3">
        <v>310871.96000000002</v>
      </c>
      <c r="G197" s="1078">
        <v>81040.509999999995</v>
      </c>
      <c r="H197" s="3">
        <v>7788.87</v>
      </c>
      <c r="I197" s="3">
        <v>329764.64</v>
      </c>
      <c r="J197" s="871">
        <v>1.6998</v>
      </c>
      <c r="K197" s="1079">
        <v>2.0162</v>
      </c>
      <c r="L197" s="871">
        <v>2.2776999999999998</v>
      </c>
      <c r="M197" s="871">
        <v>2.86E-2</v>
      </c>
    </row>
    <row r="198" spans="1:13" s="121" customFormat="1" ht="15" customHeight="1">
      <c r="A198" s="33" t="s">
        <v>2078</v>
      </c>
      <c r="B198" s="288">
        <v>2037197.1199999999</v>
      </c>
      <c r="C198" s="1076">
        <v>302501.38</v>
      </c>
      <c r="D198" s="1076">
        <v>9536.760000000002</v>
      </c>
      <c r="E198" s="288">
        <v>16291552.940000001</v>
      </c>
      <c r="F198" s="288">
        <v>3406108.65</v>
      </c>
      <c r="G198" s="1076">
        <v>661712.14</v>
      </c>
      <c r="H198" s="288">
        <v>51206.71</v>
      </c>
      <c r="I198" s="288">
        <v>3575379.6100000003</v>
      </c>
      <c r="J198" s="870">
        <v>1.6999</v>
      </c>
      <c r="K198" s="1077">
        <v>2.0004</v>
      </c>
      <c r="L198" s="870">
        <v>2.2749999999999999</v>
      </c>
      <c r="M198" s="870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78">
        <v>12100.32</v>
      </c>
      <c r="D199" s="1078">
        <v>1221.78</v>
      </c>
      <c r="E199" s="3">
        <v>1098682.3400000001</v>
      </c>
      <c r="F199" s="3">
        <v>162487.28</v>
      </c>
      <c r="G199" s="1078">
        <v>45609.38</v>
      </c>
      <c r="H199" s="3">
        <v>3532.87</v>
      </c>
      <c r="I199" s="3">
        <v>289266.25</v>
      </c>
      <c r="J199" s="871">
        <v>1.6992</v>
      </c>
      <c r="K199" s="1079">
        <v>2.0701999999999998</v>
      </c>
      <c r="L199" s="871">
        <v>2.3412000000000002</v>
      </c>
      <c r="M199" s="871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78">
        <v>9055.61</v>
      </c>
      <c r="D200" s="1078">
        <v>1089.18</v>
      </c>
      <c r="E200" s="3">
        <v>976085.65</v>
      </c>
      <c r="F200" s="3">
        <v>151155.29</v>
      </c>
      <c r="G200" s="1078">
        <v>53160.66</v>
      </c>
      <c r="H200" s="3">
        <v>1743.77</v>
      </c>
      <c r="I200" s="3">
        <v>254511.3</v>
      </c>
      <c r="J200" s="871">
        <v>1.698</v>
      </c>
      <c r="K200" s="1079">
        <v>2.0994000000000002</v>
      </c>
      <c r="L200" s="871">
        <v>2.3795000000000002</v>
      </c>
      <c r="M200" s="871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78">
        <v>21939.17</v>
      </c>
      <c r="D201" s="1078">
        <v>595.36</v>
      </c>
      <c r="E201" s="3">
        <v>1198349.4099999999</v>
      </c>
      <c r="F201" s="3">
        <v>204205.7</v>
      </c>
      <c r="G201" s="1078">
        <v>48249.98</v>
      </c>
      <c r="H201" s="3">
        <v>2613.2800000000002</v>
      </c>
      <c r="I201" s="3">
        <v>247568.32</v>
      </c>
      <c r="J201" s="871">
        <v>1.6980999999999999</v>
      </c>
      <c r="K201" s="1079">
        <v>2.0973000000000002</v>
      </c>
      <c r="L201" s="871">
        <v>2.3742999999999999</v>
      </c>
      <c r="M201" s="871">
        <v>2.93E-2</v>
      </c>
    </row>
    <row r="202" spans="1:13" s="121" customFormat="1" ht="15" customHeight="1">
      <c r="A202" s="33" t="s">
        <v>21</v>
      </c>
      <c r="B202" s="3">
        <v>133927.66</v>
      </c>
      <c r="C202" s="1078">
        <v>19997.78</v>
      </c>
      <c r="D202" s="1078">
        <v>1253.55</v>
      </c>
      <c r="E202" s="3">
        <v>1132335.8500000001</v>
      </c>
      <c r="F202" s="3">
        <v>545659.4</v>
      </c>
      <c r="G202" s="1078">
        <v>62967.16</v>
      </c>
      <c r="H202" s="3">
        <v>2512.7199999999998</v>
      </c>
      <c r="I202" s="3">
        <v>341940.35</v>
      </c>
      <c r="J202" s="871">
        <v>1.7015</v>
      </c>
      <c r="K202" s="1079">
        <v>2.0924</v>
      </c>
      <c r="L202" s="871">
        <v>2.4</v>
      </c>
      <c r="M202" s="871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78">
        <v>22053.75</v>
      </c>
      <c r="D203" s="1078">
        <v>764.29</v>
      </c>
      <c r="E203" s="3">
        <v>1375849.55</v>
      </c>
      <c r="F203" s="3">
        <v>187494.72</v>
      </c>
      <c r="G203" s="1078">
        <v>67460.59</v>
      </c>
      <c r="H203" s="3">
        <v>8808.51</v>
      </c>
      <c r="I203" s="3">
        <v>306396.61</v>
      </c>
      <c r="J203" s="871">
        <v>1.6993</v>
      </c>
      <c r="K203" s="1079">
        <v>2.0179</v>
      </c>
      <c r="L203" s="871">
        <v>2.2850000000000001</v>
      </c>
      <c r="M203" s="871">
        <v>2.69E-2</v>
      </c>
    </row>
    <row r="204" spans="1:13" s="121" customFormat="1" ht="15" customHeight="1">
      <c r="A204" s="33" t="s">
        <v>23</v>
      </c>
      <c r="B204" s="3">
        <v>148522.57</v>
      </c>
      <c r="C204" s="1078">
        <v>30190.31</v>
      </c>
      <c r="D204" s="1078">
        <v>676.62</v>
      </c>
      <c r="E204" s="3">
        <v>1504810.33</v>
      </c>
      <c r="F204" s="3">
        <v>167596.51999999999</v>
      </c>
      <c r="G204" s="1078">
        <v>47547.61</v>
      </c>
      <c r="H204" s="3">
        <v>11095.53</v>
      </c>
      <c r="I204" s="3">
        <v>292937.33</v>
      </c>
      <c r="J204" s="871">
        <v>1.6984999999999999</v>
      </c>
      <c r="K204" s="1079">
        <v>1.9883999999999999</v>
      </c>
      <c r="L204" s="871">
        <v>2.2772999999999999</v>
      </c>
      <c r="M204" s="871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78">
        <v>21361.439999999999</v>
      </c>
      <c r="D205" s="1078">
        <v>835.85</v>
      </c>
      <c r="E205" s="3">
        <v>1786008.18</v>
      </c>
      <c r="F205" s="3">
        <v>189306.63</v>
      </c>
      <c r="G205" s="1078">
        <v>47152.61</v>
      </c>
      <c r="H205" s="3">
        <v>5419.93</v>
      </c>
      <c r="I205" s="3">
        <v>326867.93</v>
      </c>
      <c r="J205" s="871">
        <v>1.6983999999999999</v>
      </c>
      <c r="K205" s="1079">
        <v>1.9858</v>
      </c>
      <c r="L205" s="871">
        <v>2.2503000000000002</v>
      </c>
      <c r="M205" s="871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78">
        <v>28945.43</v>
      </c>
      <c r="D206" s="1078">
        <v>790.56</v>
      </c>
      <c r="E206" s="3">
        <v>1628741.04</v>
      </c>
      <c r="F206" s="3">
        <v>542748.68999999994</v>
      </c>
      <c r="G206" s="1078">
        <v>67401.259999999995</v>
      </c>
      <c r="H206" s="3">
        <v>3763.59</v>
      </c>
      <c r="I206" s="3">
        <v>358701.88</v>
      </c>
      <c r="J206" s="871">
        <v>1.7010000000000001</v>
      </c>
      <c r="K206" s="1079">
        <v>1.9632000000000001</v>
      </c>
      <c r="L206" s="871">
        <v>2.1976</v>
      </c>
      <c r="M206" s="871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78">
        <v>14973.34</v>
      </c>
      <c r="D207" s="1078">
        <v>558.79999999999995</v>
      </c>
      <c r="E207" s="3">
        <v>1292759.26</v>
      </c>
      <c r="F207" s="3">
        <v>237262.07</v>
      </c>
      <c r="G207" s="1078">
        <v>39015.050000000003</v>
      </c>
      <c r="H207" s="3">
        <v>3361.19</v>
      </c>
      <c r="I207" s="3">
        <v>276697.44</v>
      </c>
      <c r="J207" s="871">
        <v>1.7002999999999999</v>
      </c>
      <c r="K207" s="1079">
        <v>1.9815</v>
      </c>
      <c r="L207" s="871">
        <v>2.2269999999999999</v>
      </c>
      <c r="M207" s="871">
        <v>2.47E-2</v>
      </c>
    </row>
    <row r="208" spans="1:13" s="121" customFormat="1" ht="15" customHeight="1">
      <c r="A208" s="33" t="s">
        <v>27</v>
      </c>
      <c r="B208" s="3">
        <v>176984.63</v>
      </c>
      <c r="C208" s="1078">
        <v>16423.3</v>
      </c>
      <c r="D208" s="1078">
        <v>606.91</v>
      </c>
      <c r="E208" s="3">
        <v>1541629.5</v>
      </c>
      <c r="F208" s="3">
        <v>217610.09</v>
      </c>
      <c r="G208" s="1078">
        <v>76658.63</v>
      </c>
      <c r="H208" s="3">
        <v>3014.29</v>
      </c>
      <c r="I208" s="3">
        <v>279952.24</v>
      </c>
      <c r="J208" s="871">
        <v>1.7000999999999999</v>
      </c>
      <c r="K208" s="1079">
        <v>1.9555</v>
      </c>
      <c r="L208" s="871">
        <v>2.2210000000000001</v>
      </c>
      <c r="M208" s="871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78">
        <v>15685.47</v>
      </c>
      <c r="D209" s="1078">
        <v>593.69000000000005</v>
      </c>
      <c r="E209" s="3">
        <v>1434311.31</v>
      </c>
      <c r="F209" s="3">
        <v>216363.66</v>
      </c>
      <c r="G209" s="1078">
        <v>70005.66</v>
      </c>
      <c r="H209" s="3">
        <v>1896.6</v>
      </c>
      <c r="I209" s="3">
        <v>282196.53999999998</v>
      </c>
      <c r="J209" s="871">
        <v>1.7</v>
      </c>
      <c r="K209" s="1079">
        <v>1.9312</v>
      </c>
      <c r="L209" s="871">
        <v>2.2002000000000002</v>
      </c>
      <c r="M209" s="871">
        <v>2.52E-2</v>
      </c>
    </row>
    <row r="210" spans="1:17" s="121" customFormat="1" ht="15" customHeight="1">
      <c r="A210" s="33" t="s">
        <v>29</v>
      </c>
      <c r="B210" s="3">
        <v>173328.45</v>
      </c>
      <c r="C210" s="1078">
        <v>89775.46</v>
      </c>
      <c r="D210" s="1078">
        <v>550.16999999999996</v>
      </c>
      <c r="E210" s="3">
        <v>1321990.52</v>
      </c>
      <c r="F210" s="3">
        <v>584218.6</v>
      </c>
      <c r="G210" s="1078">
        <v>36483.550000000003</v>
      </c>
      <c r="H210" s="3">
        <v>3444.43</v>
      </c>
      <c r="I210" s="3">
        <v>318343.42</v>
      </c>
      <c r="J210" s="871">
        <v>1.7012</v>
      </c>
      <c r="K210" s="1079">
        <v>1.9248000000000001</v>
      </c>
      <c r="L210" s="871">
        <v>2.1631999999999998</v>
      </c>
      <c r="M210" s="871">
        <v>2.4899999999999999E-2</v>
      </c>
    </row>
    <row r="211" spans="1:17" s="121" customFormat="1" ht="15" customHeight="1">
      <c r="A211" s="33" t="s">
        <v>2171</v>
      </c>
      <c r="B211" s="288">
        <v>1828960.4804770001</v>
      </c>
      <c r="C211" s="1076">
        <v>217814.84504000001</v>
      </c>
      <c r="D211" s="1076">
        <v>10095.49706</v>
      </c>
      <c r="E211" s="288">
        <v>15021377.109969998</v>
      </c>
      <c r="F211" s="288">
        <v>2680553.323593</v>
      </c>
      <c r="G211" s="1076">
        <v>578721.41978000011</v>
      </c>
      <c r="H211" s="288">
        <v>30265.910189999999</v>
      </c>
      <c r="I211" s="288">
        <v>3663539.2229619999</v>
      </c>
      <c r="J211" s="870">
        <v>1.7</v>
      </c>
      <c r="K211" s="1077">
        <v>1.9004000000000001</v>
      </c>
      <c r="L211" s="870">
        <v>2.1688999999999998</v>
      </c>
      <c r="M211" s="870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78">
        <v>29674.720000000001</v>
      </c>
      <c r="D212" s="1078">
        <v>719.04</v>
      </c>
      <c r="E212" s="3">
        <v>1253181.31</v>
      </c>
      <c r="F212" s="3">
        <v>299627.44</v>
      </c>
      <c r="G212" s="1078">
        <v>59407.77</v>
      </c>
      <c r="H212" s="3">
        <v>2098.61</v>
      </c>
      <c r="I212" s="3">
        <v>252096.33</v>
      </c>
      <c r="J212" s="871">
        <v>1.7008000000000001</v>
      </c>
      <c r="K212" s="1079">
        <v>1.9401999999999999</v>
      </c>
      <c r="L212" s="871">
        <v>2.1959</v>
      </c>
      <c r="M212" s="871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78">
        <v>14180.08</v>
      </c>
      <c r="D213" s="1078">
        <v>855.9</v>
      </c>
      <c r="E213" s="3">
        <v>978256.06</v>
      </c>
      <c r="F213" s="3">
        <v>170810.26</v>
      </c>
      <c r="G213" s="1078">
        <v>53225.52</v>
      </c>
      <c r="H213" s="3">
        <v>1502.91</v>
      </c>
      <c r="I213" s="3">
        <v>267426.05</v>
      </c>
      <c r="J213" s="871">
        <v>1.6997</v>
      </c>
      <c r="K213" s="1079">
        <v>1.9303999999999999</v>
      </c>
      <c r="L213" s="871">
        <v>2.2223000000000002</v>
      </c>
      <c r="M213" s="871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78">
        <v>8583.4699999999993</v>
      </c>
      <c r="D214" s="1078">
        <v>706.6</v>
      </c>
      <c r="E214" s="3">
        <v>1053355.1499999999</v>
      </c>
      <c r="F214" s="3">
        <v>137994.79</v>
      </c>
      <c r="G214" s="1078">
        <v>45580.77</v>
      </c>
      <c r="H214" s="3">
        <v>1391.54</v>
      </c>
      <c r="I214" s="3">
        <v>235847</v>
      </c>
      <c r="J214" s="871">
        <v>1.6990000000000001</v>
      </c>
      <c r="K214" s="1079">
        <v>1.9195</v>
      </c>
      <c r="L214" s="871">
        <v>2.2496</v>
      </c>
      <c r="M214" s="871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78">
        <v>15770.41</v>
      </c>
      <c r="D215" s="1078">
        <v>591.64</v>
      </c>
      <c r="E215" s="3">
        <v>1243431.07</v>
      </c>
      <c r="F215" s="3">
        <v>164159.31</v>
      </c>
      <c r="G215" s="1078">
        <v>55456.17</v>
      </c>
      <c r="H215" s="3">
        <v>1950.85</v>
      </c>
      <c r="I215" s="3">
        <v>302853.06</v>
      </c>
      <c r="J215" s="871">
        <v>1.6991000000000001</v>
      </c>
      <c r="K215" s="1079">
        <v>1.9087000000000001</v>
      </c>
      <c r="L215" s="871">
        <v>2.2185000000000001</v>
      </c>
      <c r="M215" s="871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78">
        <v>24247.919999999998</v>
      </c>
      <c r="D216" s="1078">
        <v>660.48</v>
      </c>
      <c r="E216" s="3">
        <v>1348330.39</v>
      </c>
      <c r="F216" s="3">
        <v>173384.03</v>
      </c>
      <c r="G216" s="1078">
        <v>56702.51</v>
      </c>
      <c r="H216" s="3">
        <v>2440.86</v>
      </c>
      <c r="I216" s="3">
        <v>298320.86</v>
      </c>
      <c r="J216" s="871">
        <v>1.6996</v>
      </c>
      <c r="K216" s="1079">
        <v>1.8996</v>
      </c>
      <c r="L216" s="871">
        <v>2.1897000000000002</v>
      </c>
      <c r="M216" s="871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78">
        <v>17042.233990000001</v>
      </c>
      <c r="D217" s="1078">
        <v>419.98964999999998</v>
      </c>
      <c r="E217" s="3">
        <v>1366787.6459900001</v>
      </c>
      <c r="F217" s="3">
        <v>179432.99728000001</v>
      </c>
      <c r="G217" s="1078">
        <v>28292.613860000001</v>
      </c>
      <c r="H217" s="3">
        <v>2114.1963500000002</v>
      </c>
      <c r="I217" s="3">
        <v>250478.33849200001</v>
      </c>
      <c r="J217" s="871">
        <v>1.69914393814586</v>
      </c>
      <c r="K217" s="1079">
        <v>1.9147219396094799</v>
      </c>
      <c r="L217" s="871">
        <v>2.1663093210845599</v>
      </c>
      <c r="M217" s="871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78">
        <v>13732.61</v>
      </c>
      <c r="D218" s="1078">
        <v>886.98</v>
      </c>
      <c r="E218" s="3">
        <v>1595208.94</v>
      </c>
      <c r="F218" s="3">
        <v>238970.48</v>
      </c>
      <c r="G218" s="1078">
        <v>50172.72</v>
      </c>
      <c r="H218" s="3">
        <v>2907.9</v>
      </c>
      <c r="I218" s="3">
        <v>343017.39</v>
      </c>
      <c r="J218" s="871">
        <v>1.6996</v>
      </c>
      <c r="K218" s="1079">
        <v>1.9052</v>
      </c>
      <c r="L218" s="871">
        <v>2.1328</v>
      </c>
      <c r="M218" s="871">
        <v>2.6499999999999999E-2</v>
      </c>
    </row>
    <row r="219" spans="1:17" s="121" customFormat="1" ht="15" customHeight="1">
      <c r="A219" s="861" t="s">
        <v>25</v>
      </c>
      <c r="B219" s="3">
        <v>141382.65</v>
      </c>
      <c r="C219" s="1078">
        <v>12413.47</v>
      </c>
      <c r="D219" s="1078">
        <v>887.27</v>
      </c>
      <c r="E219" s="3">
        <v>1354019</v>
      </c>
      <c r="F219" s="3">
        <v>226497.79</v>
      </c>
      <c r="G219" s="1078">
        <v>40066.78</v>
      </c>
      <c r="H219" s="3">
        <v>3599.73</v>
      </c>
      <c r="I219" s="3">
        <v>396096.25</v>
      </c>
      <c r="J219" s="871">
        <v>1.7</v>
      </c>
      <c r="K219" s="1079">
        <v>1.8851</v>
      </c>
      <c r="L219" s="871">
        <v>2.0779000000000001</v>
      </c>
      <c r="M219" s="871">
        <v>2.5499999999999998E-2</v>
      </c>
    </row>
    <row r="220" spans="1:17" s="121" customFormat="1" ht="15" customHeight="1">
      <c r="A220" s="861" t="s">
        <v>26</v>
      </c>
      <c r="B220" s="3">
        <v>135983.56</v>
      </c>
      <c r="C220" s="1078">
        <v>16589.509999999998</v>
      </c>
      <c r="D220" s="1078">
        <v>981.03</v>
      </c>
      <c r="E220" s="3">
        <v>1276902.01</v>
      </c>
      <c r="F220" s="3">
        <v>247068.7</v>
      </c>
      <c r="G220" s="1078">
        <v>39163.83</v>
      </c>
      <c r="H220" s="3">
        <v>4028.82</v>
      </c>
      <c r="I220" s="3">
        <v>320206.2</v>
      </c>
      <c r="J220" s="871">
        <v>1.7003999999999999</v>
      </c>
      <c r="K220" s="1079">
        <v>1.8651</v>
      </c>
      <c r="L220" s="871">
        <v>2.1082999999999998</v>
      </c>
      <c r="M220" s="871">
        <v>2.58E-2</v>
      </c>
    </row>
    <row r="221" spans="1:17" s="121" customFormat="1" ht="15" customHeight="1">
      <c r="A221" s="861" t="s">
        <v>27</v>
      </c>
      <c r="B221" s="3">
        <v>150120.32000000001</v>
      </c>
      <c r="C221" s="1078">
        <v>23984.101050000001</v>
      </c>
      <c r="D221" s="1078">
        <v>1055.2574099999999</v>
      </c>
      <c r="E221" s="3">
        <v>1287556.93398</v>
      </c>
      <c r="F221" s="3">
        <v>252325.93631300001</v>
      </c>
      <c r="G221" s="1078">
        <v>58955.785920000002</v>
      </c>
      <c r="H221" s="3">
        <v>2492.0838399999998</v>
      </c>
      <c r="I221" s="3">
        <v>332290.18446999998</v>
      </c>
      <c r="J221" s="871">
        <v>1.7004547484122501</v>
      </c>
      <c r="K221" s="1079">
        <v>1.8681562358683701</v>
      </c>
      <c r="L221" s="871">
        <v>2.1486281325494101</v>
      </c>
      <c r="M221" s="871">
        <v>2.6083952729924999E-2</v>
      </c>
    </row>
    <row r="222" spans="1:17" s="121" customFormat="1" ht="15" customHeight="1">
      <c r="A222" s="861" t="s">
        <v>28</v>
      </c>
      <c r="B222" s="3">
        <v>128239.08</v>
      </c>
      <c r="C222" s="1078">
        <v>24934.48</v>
      </c>
      <c r="D222" s="1078">
        <v>795.47</v>
      </c>
      <c r="E222" s="3">
        <v>1104245.4099999999</v>
      </c>
      <c r="F222" s="3">
        <v>237888.59</v>
      </c>
      <c r="G222" s="1078">
        <v>43671.69</v>
      </c>
      <c r="H222" s="3">
        <v>1775.39</v>
      </c>
      <c r="I222" s="3">
        <v>312350.67</v>
      </c>
      <c r="J222" s="871">
        <v>1.7005999999999999</v>
      </c>
      <c r="K222" s="1079">
        <v>1.8749</v>
      </c>
      <c r="L222" s="871">
        <v>2.1951999999999998</v>
      </c>
      <c r="M222" s="871">
        <v>2.63E-2</v>
      </c>
    </row>
    <row r="223" spans="1:17" s="121" customFormat="1" ht="15" customHeight="1">
      <c r="A223" s="861" t="s">
        <v>29</v>
      </c>
      <c r="B223" s="3">
        <v>169892.94</v>
      </c>
      <c r="C223" s="1078">
        <v>16661.84</v>
      </c>
      <c r="D223" s="1078">
        <v>1535.84</v>
      </c>
      <c r="E223" s="3">
        <v>1160103.19</v>
      </c>
      <c r="F223" s="3">
        <v>352393</v>
      </c>
      <c r="G223" s="1078">
        <v>48025.26</v>
      </c>
      <c r="H223" s="3">
        <v>3963.02</v>
      </c>
      <c r="I223" s="3">
        <v>352556.89</v>
      </c>
      <c r="J223" s="871">
        <v>1.7009000000000001</v>
      </c>
      <c r="K223" s="1079">
        <v>1.887</v>
      </c>
      <c r="L223" s="871">
        <v>2.2229000000000001</v>
      </c>
      <c r="M223" s="871">
        <v>2.6700000000000002E-2</v>
      </c>
    </row>
    <row r="224" spans="1:17" s="121" customFormat="1" ht="15" customHeight="1">
      <c r="A224" s="861" t="s">
        <v>2407</v>
      </c>
      <c r="B224" s="288">
        <v>1139348.2049699996</v>
      </c>
      <c r="C224" s="1076">
        <v>76886.735909999989</v>
      </c>
      <c r="D224" s="1076">
        <v>10786.069230000001</v>
      </c>
      <c r="E224" s="288">
        <v>14034223.376790002</v>
      </c>
      <c r="F224" s="288">
        <v>3374083.5499700001</v>
      </c>
      <c r="G224" s="1076">
        <v>234422.74963999999</v>
      </c>
      <c r="H224" s="288">
        <v>19037.578869999998</v>
      </c>
      <c r="I224" s="288">
        <v>2675165.6641500001</v>
      </c>
      <c r="J224" s="870">
        <v>1.70127280633745</v>
      </c>
      <c r="K224" s="1077">
        <v>1.9406890299955299</v>
      </c>
      <c r="L224" s="870">
        <v>2.1996674197356101</v>
      </c>
      <c r="M224" s="870">
        <v>2.35124039440513E-2</v>
      </c>
      <c r="N224" s="484"/>
      <c r="O224" s="484"/>
      <c r="P224" s="484"/>
      <c r="Q224" s="484"/>
    </row>
    <row r="225" spans="1:15" s="121" customFormat="1" ht="15" customHeight="1">
      <c r="A225" s="861" t="s">
        <v>18</v>
      </c>
      <c r="B225" s="3">
        <v>129177.8</v>
      </c>
      <c r="C225" s="1078">
        <v>11673.33</v>
      </c>
      <c r="D225" s="1078">
        <v>2579.29</v>
      </c>
      <c r="E225" s="3">
        <v>1335231.01</v>
      </c>
      <c r="F225" s="3">
        <v>220195.56</v>
      </c>
      <c r="G225" s="1078">
        <v>30801.74</v>
      </c>
      <c r="H225" s="3">
        <v>3611.22</v>
      </c>
      <c r="I225" s="3">
        <v>326309.58</v>
      </c>
      <c r="J225" s="871">
        <v>1.7004999999999999</v>
      </c>
      <c r="K225" s="1079">
        <v>1.8842000000000001</v>
      </c>
      <c r="L225" s="871">
        <v>2.2168999999999999</v>
      </c>
      <c r="M225" s="871">
        <v>2.7099999999999999E-2</v>
      </c>
    </row>
    <row r="226" spans="1:15" s="121" customFormat="1" ht="15" customHeight="1">
      <c r="A226" s="861" t="s">
        <v>19</v>
      </c>
      <c r="B226" s="3">
        <v>127873.7</v>
      </c>
      <c r="C226" s="1078">
        <v>10275.43</v>
      </c>
      <c r="D226" s="1078">
        <v>2906.6</v>
      </c>
      <c r="E226" s="3">
        <v>1143897.71</v>
      </c>
      <c r="F226" s="3">
        <v>263471.68</v>
      </c>
      <c r="G226" s="1078">
        <v>42940.639999999999</v>
      </c>
      <c r="H226" s="3">
        <v>4692.2299999999996</v>
      </c>
      <c r="I226" s="3">
        <v>378284.27</v>
      </c>
      <c r="J226" s="871">
        <v>1.7007000000000001</v>
      </c>
      <c r="K226" s="1079">
        <v>1.8519000000000001</v>
      </c>
      <c r="L226" s="871">
        <v>2.2050999999999998</v>
      </c>
      <c r="M226" s="871">
        <v>2.63E-2</v>
      </c>
    </row>
    <row r="227" spans="1:15" s="121" customFormat="1" ht="15" customHeight="1">
      <c r="A227" s="861" t="s">
        <v>20</v>
      </c>
      <c r="B227" s="3">
        <v>86101.55</v>
      </c>
      <c r="C227" s="1078">
        <v>7556.77</v>
      </c>
      <c r="D227" s="1078">
        <v>1267.6600000000001</v>
      </c>
      <c r="E227" s="3">
        <v>953358.86</v>
      </c>
      <c r="F227" s="3">
        <v>1163372.99</v>
      </c>
      <c r="G227" s="1078">
        <v>19766.89</v>
      </c>
      <c r="H227" s="3">
        <v>3242.84</v>
      </c>
      <c r="I227" s="3">
        <v>430584.58</v>
      </c>
      <c r="J227" s="871">
        <v>1.702</v>
      </c>
      <c r="K227" s="1079">
        <v>1.9077999999999999</v>
      </c>
      <c r="L227" s="871">
        <v>2.1509999999999998</v>
      </c>
      <c r="M227" s="871">
        <v>2.3199999999999998E-2</v>
      </c>
    </row>
    <row r="228" spans="1:15" s="121" customFormat="1" ht="15" customHeight="1">
      <c r="A228" s="861" t="s">
        <v>21</v>
      </c>
      <c r="B228" s="3">
        <v>41973.75</v>
      </c>
      <c r="C228" s="1078">
        <v>3993.54</v>
      </c>
      <c r="D228" s="1078">
        <v>156.29</v>
      </c>
      <c r="E228" s="3">
        <v>545192</v>
      </c>
      <c r="F228" s="3">
        <v>304070.59000000003</v>
      </c>
      <c r="G228" s="1078">
        <v>5250.26</v>
      </c>
      <c r="H228" s="3">
        <v>674.85</v>
      </c>
      <c r="I228" s="3">
        <v>169439.44</v>
      </c>
      <c r="J228" s="871">
        <v>1.7019</v>
      </c>
      <c r="K228" s="1079">
        <v>1.8504</v>
      </c>
      <c r="L228" s="871">
        <v>2.1248999999999998</v>
      </c>
      <c r="M228" s="871">
        <v>2.24E-2</v>
      </c>
    </row>
    <row r="229" spans="1:15" s="121" customFormat="1" ht="15" customHeight="1">
      <c r="A229" s="861" t="s">
        <v>22</v>
      </c>
      <c r="B229" s="3">
        <v>71194.2</v>
      </c>
      <c r="C229" s="1078">
        <v>4732.96</v>
      </c>
      <c r="D229" s="1078">
        <v>189.26</v>
      </c>
      <c r="E229" s="3">
        <v>874265.88</v>
      </c>
      <c r="F229" s="3">
        <v>227815.41</v>
      </c>
      <c r="G229" s="1078">
        <v>16002.63</v>
      </c>
      <c r="H229" s="3">
        <v>540.11</v>
      </c>
      <c r="I229" s="3">
        <v>167926.13</v>
      </c>
      <c r="J229" s="871">
        <v>1.7014</v>
      </c>
      <c r="K229" s="1079">
        <v>1.8619000000000001</v>
      </c>
      <c r="L229" s="871">
        <v>2.1025999999999998</v>
      </c>
      <c r="M229" s="871">
        <v>2.3E-2</v>
      </c>
    </row>
    <row r="230" spans="1:15" s="121" customFormat="1" ht="15" customHeight="1">
      <c r="A230" s="861" t="s">
        <v>23</v>
      </c>
      <c r="B230" s="3">
        <v>103487.93</v>
      </c>
      <c r="C230" s="1078">
        <v>6425.45</v>
      </c>
      <c r="D230" s="1078">
        <v>359.96</v>
      </c>
      <c r="E230" s="3">
        <v>1347580.82</v>
      </c>
      <c r="F230" s="3">
        <v>144686.88</v>
      </c>
      <c r="G230" s="1078">
        <v>14051.01</v>
      </c>
      <c r="H230" s="3">
        <v>521.04999999999995</v>
      </c>
      <c r="I230" s="3">
        <v>168672.46</v>
      </c>
      <c r="J230" s="871">
        <v>1.7007000000000001</v>
      </c>
      <c r="K230" s="1079">
        <v>1.9225000000000001</v>
      </c>
      <c r="L230" s="871">
        <v>2.1309999999999998</v>
      </c>
      <c r="M230" s="871">
        <v>2.4199999999999999E-2</v>
      </c>
    </row>
    <row r="231" spans="1:15" s="121" customFormat="1" ht="15" customHeight="1">
      <c r="A231" s="861" t="s">
        <v>24</v>
      </c>
      <c r="B231" s="3">
        <v>95934.71</v>
      </c>
      <c r="C231" s="1078">
        <v>4874.34</v>
      </c>
      <c r="D231" s="1078">
        <v>397.44</v>
      </c>
      <c r="E231" s="3">
        <v>1360945.32</v>
      </c>
      <c r="F231" s="3">
        <v>149677.46</v>
      </c>
      <c r="G231" s="1078">
        <v>20996.16</v>
      </c>
      <c r="H231" s="3">
        <v>889.8</v>
      </c>
      <c r="I231" s="3">
        <v>170105.36</v>
      </c>
      <c r="J231" s="871">
        <v>1.7008000000000001</v>
      </c>
      <c r="K231" s="1079">
        <v>1.9711000000000001</v>
      </c>
      <c r="L231" s="871">
        <v>2.1596000000000002</v>
      </c>
      <c r="M231" s="871">
        <v>2.35E-2</v>
      </c>
    </row>
    <row r="232" spans="1:15" s="121" customFormat="1" ht="15" customHeight="1">
      <c r="A232" s="861" t="s">
        <v>25</v>
      </c>
      <c r="B232" s="3">
        <v>91321.804940000002</v>
      </c>
      <c r="C232" s="1078">
        <v>6080.9369999999999</v>
      </c>
      <c r="D232" s="1078">
        <v>1411.0861299999999</v>
      </c>
      <c r="E232" s="3">
        <v>1259726.9445400001</v>
      </c>
      <c r="F232" s="3">
        <v>151834.47021999999</v>
      </c>
      <c r="G232" s="1078">
        <v>10569.656499999999</v>
      </c>
      <c r="H232" s="3">
        <v>1187.7083</v>
      </c>
      <c r="I232" s="3">
        <v>190683.82297000001</v>
      </c>
      <c r="J232" s="871">
        <v>1.7009596729938501</v>
      </c>
      <c r="K232" s="1079">
        <v>2.0151601531455299</v>
      </c>
      <c r="L232" s="871">
        <v>2.2399348930434599</v>
      </c>
      <c r="M232" s="871">
        <v>2.2792466209623E-2</v>
      </c>
    </row>
    <row r="233" spans="1:15" s="121" customFormat="1" ht="15" customHeight="1">
      <c r="A233" s="861" t="s">
        <v>26</v>
      </c>
      <c r="B233" s="3">
        <v>118460.06071999999</v>
      </c>
      <c r="C233" s="1078">
        <v>4950.3394099999996</v>
      </c>
      <c r="D233" s="1078">
        <v>380.99586000000102</v>
      </c>
      <c r="E233" s="3">
        <v>1334354.3741299999</v>
      </c>
      <c r="F233" s="3">
        <v>170637.43161999999</v>
      </c>
      <c r="G233" s="1078">
        <v>27461.13651</v>
      </c>
      <c r="H233" s="3">
        <v>1311.46108</v>
      </c>
      <c r="I233" s="3">
        <v>190143.28438</v>
      </c>
      <c r="J233" s="871">
        <v>1.7007467077412599</v>
      </c>
      <c r="K233" s="1079">
        <v>2.0262512814904898</v>
      </c>
      <c r="L233" s="871">
        <v>2.2184442689058899</v>
      </c>
      <c r="M233" s="871">
        <v>2.2212882609727501E-2</v>
      </c>
    </row>
    <row r="234" spans="1:15" s="121" customFormat="1" ht="15" customHeight="1">
      <c r="A234" s="861">
        <v>10</v>
      </c>
      <c r="B234" s="3">
        <v>85358.221879999895</v>
      </c>
      <c r="C234" s="1078">
        <v>4405.9574400000001</v>
      </c>
      <c r="D234" s="1078">
        <v>394.78100999999998</v>
      </c>
      <c r="E234" s="3">
        <v>1251718.2069300001</v>
      </c>
      <c r="F234" s="3">
        <v>199928.80455</v>
      </c>
      <c r="G234" s="1078">
        <v>15453.68547</v>
      </c>
      <c r="H234" s="3">
        <v>948.12987999999996</v>
      </c>
      <c r="I234" s="3">
        <v>162924.0814</v>
      </c>
      <c r="J234" s="871">
        <v>1.7011971586435699</v>
      </c>
      <c r="K234" s="1079">
        <v>2.0121586894857701</v>
      </c>
      <c r="L234" s="871">
        <v>2.2154206564711099</v>
      </c>
      <c r="M234" s="871">
        <v>2.1659466473280199E-2</v>
      </c>
      <c r="O234" s="507"/>
    </row>
    <row r="235" spans="1:15" s="121" customFormat="1" ht="15" customHeight="1">
      <c r="A235" s="861">
        <v>11</v>
      </c>
      <c r="B235" s="3">
        <v>90890.522409999903</v>
      </c>
      <c r="C235" s="1078">
        <v>5121.3349900000003</v>
      </c>
      <c r="D235" s="1078">
        <v>299.57458000000003</v>
      </c>
      <c r="E235" s="3">
        <v>1257233.53095</v>
      </c>
      <c r="F235" s="3">
        <v>139180.67468</v>
      </c>
      <c r="G235" s="1078">
        <v>15679.763430000001</v>
      </c>
      <c r="H235" s="3">
        <v>701.14634000000001</v>
      </c>
      <c r="I235" s="3">
        <v>150818.10268000001</v>
      </c>
      <c r="J235" s="871">
        <v>1.70086774119414</v>
      </c>
      <c r="K235" s="1079">
        <v>2.0185519590410199</v>
      </c>
      <c r="L235" s="871">
        <v>2.2548534779097098</v>
      </c>
      <c r="M235" s="871">
        <v>2.1809931004134399E-2</v>
      </c>
    </row>
    <row r="236" spans="1:15" s="121" customFormat="1" ht="15" customHeight="1">
      <c r="A236" s="861" t="s">
        <v>29</v>
      </c>
      <c r="B236" s="3">
        <v>97573.955020000096</v>
      </c>
      <c r="C236" s="1078">
        <v>6796.3470699999998</v>
      </c>
      <c r="D236" s="1078">
        <v>443.13164999999998</v>
      </c>
      <c r="E236" s="3">
        <v>1370718.7202399999</v>
      </c>
      <c r="F236" s="3">
        <v>239211.59890000001</v>
      </c>
      <c r="G236" s="1078">
        <v>15449.177729999999</v>
      </c>
      <c r="H236" s="3">
        <v>717.03327000000002</v>
      </c>
      <c r="I236" s="3">
        <v>169274.55272000001</v>
      </c>
      <c r="J236" s="871">
        <v>1.70114060086293</v>
      </c>
      <c r="K236" s="1079">
        <v>2.07665091398415</v>
      </c>
      <c r="L236" s="871">
        <v>2.28917834094915</v>
      </c>
      <c r="M236" s="871">
        <v>2.2629359433129301E-2</v>
      </c>
    </row>
    <row r="237" spans="1:15" s="508" customFormat="1" ht="15" customHeight="1">
      <c r="A237" s="33">
        <v>2021</v>
      </c>
      <c r="B237" s="288">
        <v>1353122.6939949999</v>
      </c>
      <c r="C237" s="1076">
        <v>68723.30432999997</v>
      </c>
      <c r="D237" s="1076">
        <v>7064.6906999999992</v>
      </c>
      <c r="E237" s="288">
        <v>17728430.71342</v>
      </c>
      <c r="F237" s="288">
        <v>2095909.0901850001</v>
      </c>
      <c r="G237" s="1076">
        <v>176417.93155000001</v>
      </c>
      <c r="H237" s="288">
        <v>10534.389369999999</v>
      </c>
      <c r="I237" s="288">
        <v>2244494.2087519998</v>
      </c>
      <c r="J237" s="870">
        <v>1.6998789203820801</v>
      </c>
      <c r="K237" s="1077">
        <v>2.0172060047374898</v>
      </c>
      <c r="L237" s="870">
        <v>2.3345170676293798</v>
      </c>
      <c r="M237" s="870">
        <v>2.2781804962029702E-2</v>
      </c>
    </row>
    <row r="238" spans="1:15" s="121" customFormat="1" ht="15" customHeight="1">
      <c r="A238" s="861" t="s">
        <v>18</v>
      </c>
      <c r="B238" s="3">
        <v>67729.017049999995</v>
      </c>
      <c r="C238" s="1078">
        <v>3962.5109699999998</v>
      </c>
      <c r="D238" s="1078">
        <v>302.34048999999999</v>
      </c>
      <c r="E238" s="3">
        <v>1008943.29963</v>
      </c>
      <c r="F238" s="3">
        <v>325402.07</v>
      </c>
      <c r="G238" s="1078">
        <v>10554.11938</v>
      </c>
      <c r="H238" s="3">
        <v>668.99947999999995</v>
      </c>
      <c r="I238" s="3">
        <v>139390.29785999999</v>
      </c>
      <c r="J238" s="871">
        <v>1.7015515922023201</v>
      </c>
      <c r="K238" s="1079">
        <v>2.07675894562218</v>
      </c>
      <c r="L238" s="871">
        <v>2.3302072623769399</v>
      </c>
      <c r="M238" s="871">
        <v>2.25168693848724E-2</v>
      </c>
    </row>
    <row r="239" spans="1:15" s="121" customFormat="1" ht="15" customHeight="1">
      <c r="A239" s="861" t="s">
        <v>19</v>
      </c>
      <c r="B239" s="3">
        <v>142398.47443</v>
      </c>
      <c r="C239" s="1078">
        <v>4953.9741899999999</v>
      </c>
      <c r="D239" s="1078">
        <v>341.63711999999998</v>
      </c>
      <c r="E239" s="3">
        <v>1074123.13377</v>
      </c>
      <c r="F239" s="3">
        <v>167397.70026000001</v>
      </c>
      <c r="G239" s="1078">
        <v>16124.94174</v>
      </c>
      <c r="H239" s="3">
        <v>683.98611000000005</v>
      </c>
      <c r="I239" s="3">
        <v>163330.4804</v>
      </c>
      <c r="J239" s="871">
        <v>1.7005499733452201</v>
      </c>
      <c r="K239" s="1079">
        <v>2.0721963456861698</v>
      </c>
      <c r="L239" s="871">
        <v>2.3611649871737002</v>
      </c>
      <c r="M239" s="871">
        <v>2.2534712288879499E-2</v>
      </c>
    </row>
    <row r="240" spans="1:15" s="121" customFormat="1" ht="15" customHeight="1">
      <c r="A240" s="861" t="s">
        <v>20</v>
      </c>
      <c r="B240" s="3">
        <v>120584.33186999999</v>
      </c>
      <c r="C240" s="1078">
        <v>4981.7416799999901</v>
      </c>
      <c r="D240" s="1078">
        <v>792.71668999999895</v>
      </c>
      <c r="E240" s="3">
        <v>1234576.9984500001</v>
      </c>
      <c r="F240" s="3">
        <v>133451.87679000001</v>
      </c>
      <c r="G240" s="1078">
        <v>11226.961310000001</v>
      </c>
      <c r="H240" s="3">
        <v>545.61159999999995</v>
      </c>
      <c r="I240" s="3">
        <v>182529.32957</v>
      </c>
      <c r="J240" s="871">
        <v>1.7005982680607901</v>
      </c>
      <c r="K240" s="1079">
        <v>2.0328994257456601</v>
      </c>
      <c r="L240" s="871">
        <v>2.3595357803599901</v>
      </c>
      <c r="M240" s="871">
        <v>2.2599999999999999E-2</v>
      </c>
    </row>
    <row r="241" spans="1:13" s="121" customFormat="1" ht="15" customHeight="1">
      <c r="A241" s="861" t="s">
        <v>21</v>
      </c>
      <c r="B241" s="3">
        <v>130628.26105</v>
      </c>
      <c r="C241" s="1078">
        <v>5667.4075899999998</v>
      </c>
      <c r="D241" s="1078">
        <v>543.68498</v>
      </c>
      <c r="E241" s="3">
        <v>1264842.3358</v>
      </c>
      <c r="F241" s="3">
        <v>129963.82618</v>
      </c>
      <c r="G241" s="1078">
        <v>18577.615590000001</v>
      </c>
      <c r="H241" s="3">
        <v>777.03611999999998</v>
      </c>
      <c r="I241" s="3">
        <v>187533.87695000001</v>
      </c>
      <c r="J241" s="871">
        <v>1.7001506529248001</v>
      </c>
      <c r="K241" s="1079">
        <v>2.03890281178065</v>
      </c>
      <c r="L241" s="871">
        <v>2.3586997673006098</v>
      </c>
      <c r="M241" s="871">
        <v>2.2046631410570099E-2</v>
      </c>
    </row>
    <row r="242" spans="1:13" s="121" customFormat="1" ht="15" customHeight="1">
      <c r="A242" s="861" t="s">
        <v>22</v>
      </c>
      <c r="B242" s="3">
        <v>99009.420870000002</v>
      </c>
      <c r="C242" s="1078">
        <v>5828.3640999999998</v>
      </c>
      <c r="D242" s="1078">
        <v>343.02161000000001</v>
      </c>
      <c r="E242" s="3">
        <v>1365262.41928</v>
      </c>
      <c r="F242" s="3">
        <v>80063.657070000103</v>
      </c>
      <c r="G242" s="1078">
        <v>7447.8089200000004</v>
      </c>
      <c r="H242" s="3">
        <v>492.90359000000001</v>
      </c>
      <c r="I242" s="3">
        <v>145804.62443</v>
      </c>
      <c r="J242" s="871">
        <v>1.6987438809212301</v>
      </c>
      <c r="K242" s="1079">
        <v>2.06216494221322</v>
      </c>
      <c r="L242" s="871">
        <v>2.3888681795667801</v>
      </c>
      <c r="M242" s="871">
        <v>2.2669888875182301E-2</v>
      </c>
    </row>
    <row r="243" spans="1:13" s="121" customFormat="1" ht="15" customHeight="1">
      <c r="A243" s="861" t="s">
        <v>23</v>
      </c>
      <c r="B243" s="3">
        <v>128456.81660999999</v>
      </c>
      <c r="C243" s="1078">
        <v>6224.9764599999999</v>
      </c>
      <c r="D243" s="1078">
        <v>504.78735999999998</v>
      </c>
      <c r="E243" s="3">
        <v>1671321.07895</v>
      </c>
      <c r="F243" s="3">
        <v>76731.979974999995</v>
      </c>
      <c r="G243" s="1078">
        <v>18642.350729999998</v>
      </c>
      <c r="H243" s="3">
        <v>640.92808000000002</v>
      </c>
      <c r="I243" s="3">
        <v>170743.14816000001</v>
      </c>
      <c r="J243" s="871">
        <v>1.6977147905575301</v>
      </c>
      <c r="K243" s="1079">
        <v>2.0584825298948801</v>
      </c>
      <c r="L243" s="871">
        <v>2.3881673090676001</v>
      </c>
      <c r="M243" s="871">
        <v>2.3046396678137598E-2</v>
      </c>
    </row>
    <row r="244" spans="1:13" s="121" customFormat="1" ht="15" customHeight="1">
      <c r="A244" s="861" t="s">
        <v>24</v>
      </c>
      <c r="B244" s="3">
        <v>119105.17561000001</v>
      </c>
      <c r="C244" s="1078">
        <v>6219.4241499999998</v>
      </c>
      <c r="D244" s="1078">
        <v>548.88593000000003</v>
      </c>
      <c r="E244" s="3">
        <v>1751527.3602799999</v>
      </c>
      <c r="F244" s="3">
        <v>94189.031239999997</v>
      </c>
      <c r="G244" s="1078">
        <v>17442.229240000001</v>
      </c>
      <c r="H244" s="3">
        <v>878.55136000000005</v>
      </c>
      <c r="I244" s="3">
        <v>182588.02163999999</v>
      </c>
      <c r="J244" s="871">
        <v>1.69740943825329</v>
      </c>
      <c r="K244" s="1079">
        <v>2.0176691678589398</v>
      </c>
      <c r="L244" s="871">
        <v>2.3503277469695401</v>
      </c>
      <c r="M244" s="871">
        <v>2.26298352942567E-2</v>
      </c>
    </row>
    <row r="245" spans="1:13" s="121" customFormat="1" ht="15" customHeight="1">
      <c r="A245" s="861" t="s">
        <v>25</v>
      </c>
      <c r="B245" s="3">
        <v>124014.81999</v>
      </c>
      <c r="C245" s="1078">
        <v>7392.7703299999903</v>
      </c>
      <c r="D245" s="1078">
        <v>792.72496000000001</v>
      </c>
      <c r="E245" s="3">
        <v>1810859.44619</v>
      </c>
      <c r="F245" s="3">
        <v>95337.597274999905</v>
      </c>
      <c r="G245" s="1078">
        <v>16897.801589999999</v>
      </c>
      <c r="H245" s="3">
        <v>1095.69084</v>
      </c>
      <c r="I245" s="3">
        <v>202109.438012</v>
      </c>
      <c r="J245" s="871">
        <v>1.69763117378291</v>
      </c>
      <c r="K245" s="1079">
        <v>2.0117672904672399</v>
      </c>
      <c r="L245" s="871">
        <v>2.3442796461070698</v>
      </c>
      <c r="M245" s="871">
        <v>2.2736026562882702E-2</v>
      </c>
    </row>
    <row r="246" spans="1:13" s="121" customFormat="1" ht="15" customHeight="1">
      <c r="A246" s="861" t="s">
        <v>26</v>
      </c>
      <c r="B246" s="3">
        <v>120596.05506</v>
      </c>
      <c r="C246" s="1078">
        <v>6788.9341700000004</v>
      </c>
      <c r="D246" s="1078">
        <v>665.55245000000002</v>
      </c>
      <c r="E246" s="3">
        <v>1842645.3886200001</v>
      </c>
      <c r="F246" s="3">
        <v>95398.858565000002</v>
      </c>
      <c r="G246" s="1078">
        <v>12099.25347</v>
      </c>
      <c r="H246" s="3">
        <v>1702.20946</v>
      </c>
      <c r="I246" s="3">
        <v>222636.88178</v>
      </c>
      <c r="J246" s="871">
        <v>1.6977464394589199</v>
      </c>
      <c r="K246" s="1079">
        <v>2.0087012202564098</v>
      </c>
      <c r="L246" s="871">
        <v>2.3452832903583598</v>
      </c>
      <c r="M246" s="871">
        <v>2.2986620556220302E-2</v>
      </c>
    </row>
    <row r="247" spans="1:13" s="121" customFormat="1" ht="15" customHeight="1">
      <c r="A247" s="861" t="s">
        <v>27</v>
      </c>
      <c r="B247" s="3">
        <v>100211.977925</v>
      </c>
      <c r="C247" s="1078">
        <v>5369.59105</v>
      </c>
      <c r="D247" s="1078">
        <v>732.63178000000005</v>
      </c>
      <c r="E247" s="3">
        <v>1740455.36259</v>
      </c>
      <c r="F247" s="3">
        <v>159261.63738</v>
      </c>
      <c r="G247" s="1078">
        <v>16386.29492</v>
      </c>
      <c r="H247" s="3">
        <v>952.33226000000002</v>
      </c>
      <c r="I247" s="3">
        <v>204872.45767</v>
      </c>
      <c r="J247" s="871">
        <v>1.69906832113912</v>
      </c>
      <c r="K247" s="1079">
        <v>1.98095284915046</v>
      </c>
      <c r="L247" s="871">
        <v>2.3205355018348</v>
      </c>
      <c r="M247" s="871">
        <v>2.3469729099764702E-2</v>
      </c>
    </row>
    <row r="248" spans="1:13" s="121" customFormat="1" ht="15" customHeight="1">
      <c r="A248" s="861" t="s">
        <v>28</v>
      </c>
      <c r="B248" s="3">
        <v>96302.142829999997</v>
      </c>
      <c r="C248" s="1078">
        <v>5009.7479000000003</v>
      </c>
      <c r="D248" s="1078">
        <v>969.44595000000004</v>
      </c>
      <c r="E248" s="3">
        <v>1484149.9929800001</v>
      </c>
      <c r="F248" s="3">
        <v>316819.46917</v>
      </c>
      <c r="G248" s="1078">
        <v>14297.829890000001</v>
      </c>
      <c r="H248" s="3">
        <v>1111.2802099999999</v>
      </c>
      <c r="I248" s="3">
        <v>211532.69815000001</v>
      </c>
      <c r="J248" s="871">
        <v>1.7010016732536799</v>
      </c>
      <c r="K248" s="1079">
        <v>1.9469072292099801</v>
      </c>
      <c r="L248" s="871">
        <v>2.2740438163040202</v>
      </c>
      <c r="M248" s="871">
        <v>2.30369196506525E-2</v>
      </c>
    </row>
    <row r="249" spans="1:13" s="121" customFormat="1" ht="15" customHeight="1">
      <c r="A249" s="861" t="s">
        <v>29</v>
      </c>
      <c r="B249" s="3">
        <v>104086.2007</v>
      </c>
      <c r="C249" s="1078">
        <v>6323.8617399999903</v>
      </c>
      <c r="D249" s="1078">
        <v>527.26138000000003</v>
      </c>
      <c r="E249" s="3">
        <v>1479723.8968799999</v>
      </c>
      <c r="F249" s="3">
        <v>421891.38627999998</v>
      </c>
      <c r="G249" s="1078">
        <v>16720.724770000001</v>
      </c>
      <c r="H249" s="3">
        <v>984.86026000000004</v>
      </c>
      <c r="I249" s="3">
        <v>231422.95413</v>
      </c>
      <c r="J249" s="871">
        <v>1.7013146566986601</v>
      </c>
      <c r="K249" s="1079">
        <v>1.93043660035829</v>
      </c>
      <c r="L249" s="871">
        <v>2.26006712638674</v>
      </c>
      <c r="M249" s="871">
        <v>2.2691987383099299E-2</v>
      </c>
    </row>
    <row r="250" spans="1:13" s="121" customFormat="1" ht="15" customHeight="1">
      <c r="A250" s="861" t="s">
        <v>2892</v>
      </c>
      <c r="B250" s="1428">
        <f t="shared" ref="B250:I250" si="19">SUM(B251:B262)</f>
        <v>2039781.2306270003</v>
      </c>
      <c r="C250" s="1428">
        <f t="shared" si="19"/>
        <v>106464.40857999999</v>
      </c>
      <c r="D250" s="1428">
        <f t="shared" si="19"/>
        <v>27197.063939999996</v>
      </c>
      <c r="E250" s="1428">
        <f t="shared" si="19"/>
        <v>19625687.260160003</v>
      </c>
      <c r="F250" s="1428">
        <f t="shared" si="19"/>
        <v>2357481.0512707322</v>
      </c>
      <c r="G250" s="1428">
        <f t="shared" si="19"/>
        <v>209755.82923533241</v>
      </c>
      <c r="H250" s="1428">
        <f t="shared" si="19"/>
        <v>21922.647159999997</v>
      </c>
      <c r="I250" s="1428">
        <f t="shared" si="19"/>
        <v>2160071.7349300003</v>
      </c>
      <c r="J250" s="1077">
        <v>1.6992927928927299</v>
      </c>
      <c r="K250" s="1077">
        <v>1.7799052970734901</v>
      </c>
      <c r="L250" s="1077">
        <v>2.1397872759107899</v>
      </c>
      <c r="M250" s="1077">
        <v>2.5667444638245902E-2</v>
      </c>
    </row>
    <row r="251" spans="1:13" s="121" customFormat="1" ht="15" customHeight="1">
      <c r="A251" s="861" t="s">
        <v>18</v>
      </c>
      <c r="B251" s="1078">
        <v>79767.976580000002</v>
      </c>
      <c r="C251" s="1078">
        <v>6711.8629199999996</v>
      </c>
      <c r="D251" s="1078">
        <v>494.68227000000002</v>
      </c>
      <c r="E251" s="1078">
        <v>1036887.5374199999</v>
      </c>
      <c r="F251" s="1078">
        <v>367495.68203000003</v>
      </c>
      <c r="G251" s="1078">
        <v>11570.17002</v>
      </c>
      <c r="H251" s="1078">
        <v>957.08267999999998</v>
      </c>
      <c r="I251" s="1078">
        <v>197539.07641000001</v>
      </c>
      <c r="J251" s="1079">
        <v>1.70143628841539</v>
      </c>
      <c r="K251" s="1079">
        <v>1.92626419566527</v>
      </c>
      <c r="L251" s="1079">
        <v>2.3091156259951</v>
      </c>
      <c r="M251" s="1079">
        <v>2.1827692376326001E-2</v>
      </c>
    </row>
    <row r="252" spans="1:13" s="121" customFormat="1" ht="15" customHeight="1">
      <c r="A252" s="861" t="s">
        <v>19</v>
      </c>
      <c r="B252" s="1078">
        <v>111278.07506</v>
      </c>
      <c r="C252" s="1078">
        <v>5319.8158400000002</v>
      </c>
      <c r="D252" s="1078">
        <v>10765.518539999999</v>
      </c>
      <c r="E252" s="1078">
        <v>875655.74954999995</v>
      </c>
      <c r="F252" s="1078">
        <v>165936.02158999999</v>
      </c>
      <c r="G252" s="1078">
        <v>9030.3417499999996</v>
      </c>
      <c r="H252" s="1078">
        <v>1153.8331900000001</v>
      </c>
      <c r="I252" s="1078">
        <v>220288.46427999999</v>
      </c>
      <c r="J252" s="1079">
        <v>1.7002977686696401</v>
      </c>
      <c r="K252" s="1079">
        <v>1.93090351547345</v>
      </c>
      <c r="L252" s="1079">
        <v>2.2742784701214598</v>
      </c>
      <c r="M252" s="1079">
        <v>2.14307583731531E-2</v>
      </c>
    </row>
    <row r="253" spans="1:13" s="121" customFormat="1" ht="15" customHeight="1">
      <c r="A253" s="861" t="s">
        <v>20</v>
      </c>
      <c r="B253" s="1078">
        <v>100495.87489000001</v>
      </c>
      <c r="C253" s="1078">
        <v>5895.8181299999997</v>
      </c>
      <c r="D253" s="1078">
        <v>9512.8963299999996</v>
      </c>
      <c r="E253" s="1078">
        <v>222799.02682</v>
      </c>
      <c r="F253" s="1078">
        <v>259620.68756270001</v>
      </c>
      <c r="G253" s="1078">
        <v>13326.25065</v>
      </c>
      <c r="H253" s="1078">
        <v>1137.9955600000001</v>
      </c>
      <c r="I253" s="1078">
        <v>250100.17415000001</v>
      </c>
      <c r="J253" s="1079">
        <v>1.7007579943326001</v>
      </c>
      <c r="K253" s="1079">
        <v>1.8814847125554801</v>
      </c>
      <c r="L253" s="1079">
        <v>2.2176287543941999</v>
      </c>
      <c r="M253" s="1079">
        <v>1.6140436628659501E-2</v>
      </c>
    </row>
    <row r="254" spans="1:13" s="121" customFormat="1" ht="15" customHeight="1">
      <c r="A254" s="861" t="s">
        <v>21</v>
      </c>
      <c r="B254" s="1078">
        <v>167801.65492999999</v>
      </c>
      <c r="C254" s="1078">
        <v>6412.6617399999996</v>
      </c>
      <c r="D254" s="1078">
        <v>665.85440000000006</v>
      </c>
      <c r="E254" s="1078">
        <v>1309399.76856</v>
      </c>
      <c r="F254" s="1078">
        <v>164158.22644</v>
      </c>
      <c r="G254" s="1078">
        <v>16466.357739999999</v>
      </c>
      <c r="H254" s="1078">
        <v>1702.01586</v>
      </c>
      <c r="I254" s="1078">
        <v>158990.39824000001</v>
      </c>
      <c r="J254" s="1079">
        <v>1.6999159299765201</v>
      </c>
      <c r="K254" s="1079">
        <v>1.84406617635547</v>
      </c>
      <c r="L254" s="1079">
        <v>2.2051003163082901</v>
      </c>
      <c r="M254" s="1079">
        <v>2.05821631135258E-2</v>
      </c>
    </row>
    <row r="255" spans="1:13" s="121" customFormat="1" ht="15" customHeight="1">
      <c r="A255" s="861" t="s">
        <v>22</v>
      </c>
      <c r="B255" s="1078">
        <v>241616.31179000001</v>
      </c>
      <c r="C255" s="1078">
        <v>7284.7448700000004</v>
      </c>
      <c r="D255" s="1078">
        <v>568.92831999999999</v>
      </c>
      <c r="E255" s="1078">
        <v>2055594.32088</v>
      </c>
      <c r="F255" s="1078">
        <v>172997.50782999999</v>
      </c>
      <c r="G255" s="1078">
        <v>18774.294860000002</v>
      </c>
      <c r="H255" s="1078">
        <v>2080.9482499999999</v>
      </c>
      <c r="I255" s="1078">
        <v>137257.35441</v>
      </c>
      <c r="J255" s="1079">
        <v>1.6991233851999401</v>
      </c>
      <c r="K255" s="1079">
        <v>1.80330734093359</v>
      </c>
      <c r="L255" s="1079">
        <v>2.1176997624715801</v>
      </c>
      <c r="M255" s="1079">
        <v>2.4795055638869599E-2</v>
      </c>
    </row>
    <row r="256" spans="1:13" s="121" customFormat="1" ht="15" customHeight="1">
      <c r="A256" s="861" t="s">
        <v>23</v>
      </c>
      <c r="B256" s="1078">
        <v>249565.66114000001</v>
      </c>
      <c r="C256" s="1078">
        <v>8773.3104399999993</v>
      </c>
      <c r="D256" s="1078">
        <v>566.03688999999997</v>
      </c>
      <c r="E256" s="1078">
        <v>2900083.6452299999</v>
      </c>
      <c r="F256" s="1078">
        <v>177216.71184999999</v>
      </c>
      <c r="G256" s="1078">
        <v>18393.169529999999</v>
      </c>
      <c r="H256" s="1078">
        <v>1352.0593200000001</v>
      </c>
      <c r="I256" s="1078">
        <v>142821.48081000001</v>
      </c>
      <c r="J256" s="1079">
        <v>1.6982536868626701</v>
      </c>
      <c r="K256" s="1079">
        <v>1.8019559638129301</v>
      </c>
      <c r="L256" s="1079">
        <v>2.1007773448621698</v>
      </c>
      <c r="M256" s="1079">
        <v>2.7940687443653599E-2</v>
      </c>
    </row>
    <row r="257" spans="1:13" s="121" customFormat="1" ht="15" customHeight="1">
      <c r="A257" s="861" t="s">
        <v>24</v>
      </c>
      <c r="B257" s="1078">
        <v>175299.18594699999</v>
      </c>
      <c r="C257" s="1078">
        <v>7885.0856800000001</v>
      </c>
      <c r="D257" s="1078">
        <v>803.44087999999897</v>
      </c>
      <c r="E257" s="1078">
        <v>2183258.5451199999</v>
      </c>
      <c r="F257" s="1078">
        <v>166591.94654</v>
      </c>
      <c r="G257" s="1078">
        <v>32256.900539999999</v>
      </c>
      <c r="H257" s="1078">
        <v>1785.40995</v>
      </c>
      <c r="I257" s="1078">
        <v>145181.40654</v>
      </c>
      <c r="J257" s="1079">
        <v>1.6982066025712299</v>
      </c>
      <c r="K257" s="1079">
        <v>1.74182332600136</v>
      </c>
      <c r="L257" s="1079">
        <v>2.0456249335640599</v>
      </c>
      <c r="M257" s="1079">
        <v>2.7402098568085301E-2</v>
      </c>
    </row>
    <row r="258" spans="1:13" s="121" customFormat="1" ht="15" customHeight="1">
      <c r="A258" s="861" t="s">
        <v>25</v>
      </c>
      <c r="B258" s="1078">
        <v>203301.01108</v>
      </c>
      <c r="C258" s="1078">
        <v>8336.1966499999999</v>
      </c>
      <c r="D258" s="1078">
        <v>914.40819999999997</v>
      </c>
      <c r="E258" s="1078">
        <v>1909202.4330899999</v>
      </c>
      <c r="F258" s="1078">
        <v>141468.67830999999</v>
      </c>
      <c r="G258" s="1078">
        <v>26862.269850000001</v>
      </c>
      <c r="H258" s="1078">
        <v>2648.6566800000001</v>
      </c>
      <c r="I258" s="1078">
        <v>189040.40215000001</v>
      </c>
      <c r="J258" s="1079">
        <v>1.6983790681267901</v>
      </c>
      <c r="K258" s="1079">
        <v>1.73139012734149</v>
      </c>
      <c r="L258" s="1079">
        <v>2.0461697368715899</v>
      </c>
      <c r="M258" s="1079">
        <v>2.6838746936962001E-2</v>
      </c>
    </row>
    <row r="259" spans="1:13" s="121" customFormat="1" ht="15" customHeight="1">
      <c r="A259" s="861" t="s">
        <v>26</v>
      </c>
      <c r="B259" s="1078">
        <v>248028.82936</v>
      </c>
      <c r="C259" s="1078">
        <v>9157.9624399999993</v>
      </c>
      <c r="D259" s="1078">
        <v>920.11158</v>
      </c>
      <c r="E259" s="1078">
        <v>1942601.3314400001</v>
      </c>
      <c r="F259" s="1078">
        <v>199169.22588000001</v>
      </c>
      <c r="G259" s="1078">
        <v>20200.271990000001</v>
      </c>
      <c r="H259" s="1078">
        <v>3676.9202700000001</v>
      </c>
      <c r="I259" s="1078">
        <v>201790.70877</v>
      </c>
      <c r="J259" s="1079">
        <v>1.69849474149774</v>
      </c>
      <c r="K259" s="1079">
        <v>1.6901593376160999</v>
      </c>
      <c r="L259" s="1079">
        <v>1.9239996996683799</v>
      </c>
      <c r="M259" s="1079">
        <v>2.7758013428584999E-2</v>
      </c>
    </row>
    <row r="260" spans="1:13" s="121" customFormat="1" ht="15" customHeight="1">
      <c r="A260" s="861" t="s">
        <v>27</v>
      </c>
      <c r="B260" s="1078">
        <v>182267.96075</v>
      </c>
      <c r="C260" s="1078">
        <v>10582.75561</v>
      </c>
      <c r="D260" s="1078">
        <v>752.75405999999998</v>
      </c>
      <c r="E260" s="1078">
        <v>1602442.7235099999</v>
      </c>
      <c r="F260" s="1078">
        <v>183453.20077803201</v>
      </c>
      <c r="G260" s="1078">
        <v>14461.764965332401</v>
      </c>
      <c r="H260" s="1078">
        <v>2895.39732</v>
      </c>
      <c r="I260" s="1078">
        <v>188157.59538000001</v>
      </c>
      <c r="J260" s="1079">
        <v>1.69814262753553</v>
      </c>
      <c r="K260" s="1079">
        <v>1.67548894692279</v>
      </c>
      <c r="L260" s="1079">
        <v>1.9283321810620699</v>
      </c>
      <c r="M260" s="1079">
        <v>2.69988472960296E-2</v>
      </c>
    </row>
    <row r="261" spans="1:13" s="121" customFormat="1" ht="15" customHeight="1">
      <c r="A261" s="861" t="s">
        <v>28</v>
      </c>
      <c r="B261" s="1078">
        <v>140776.17980000001</v>
      </c>
      <c r="C261" s="1078">
        <v>21696.383450000001</v>
      </c>
      <c r="D261" s="1078">
        <v>583.24298999999996</v>
      </c>
      <c r="E261" s="1078">
        <v>1852265.83189</v>
      </c>
      <c r="F261" s="1078">
        <v>151506.30786</v>
      </c>
      <c r="G261" s="1078">
        <v>12799.82804</v>
      </c>
      <c r="H261" s="1078">
        <v>1247.4179200000001</v>
      </c>
      <c r="I261" s="1078">
        <v>146155.12409</v>
      </c>
      <c r="J261" s="1079">
        <v>1.6989519619592699</v>
      </c>
      <c r="K261" s="1079">
        <v>1.7345190127084</v>
      </c>
      <c r="L261" s="1079">
        <v>2.0126074786313102</v>
      </c>
      <c r="M261" s="1079">
        <v>2.7353532404339499E-2</v>
      </c>
    </row>
    <row r="262" spans="1:13" s="121" customFormat="1" ht="15" customHeight="1">
      <c r="A262" s="861" t="s">
        <v>29</v>
      </c>
      <c r="B262" s="1078">
        <v>139582.50930000001</v>
      </c>
      <c r="C262" s="1078">
        <v>8407.8108100000009</v>
      </c>
      <c r="D262" s="1078">
        <v>649.18948</v>
      </c>
      <c r="E262" s="1078">
        <v>1735496.34665</v>
      </c>
      <c r="F262" s="1078">
        <v>207866.85459999999</v>
      </c>
      <c r="G262" s="1078">
        <v>15614.2093</v>
      </c>
      <c r="H262" s="1078">
        <v>1284.9101599999999</v>
      </c>
      <c r="I262" s="1078">
        <v>182749.5497</v>
      </c>
      <c r="J262" s="1079">
        <v>1.6995961659257599</v>
      </c>
      <c r="K262" s="1079">
        <v>1.80404464933445</v>
      </c>
      <c r="L262" s="1079">
        <v>2.0748012027539602</v>
      </c>
      <c r="M262" s="1079">
        <v>2.5468344587454301E-2</v>
      </c>
    </row>
    <row r="263" spans="1:13" s="121" customFormat="1" ht="15" customHeight="1">
      <c r="A263" s="861" t="s">
        <v>3605</v>
      </c>
      <c r="B263" s="1076">
        <f>SUM(B264:B275)</f>
        <v>1637434.3672999998</v>
      </c>
      <c r="C263" s="1076">
        <f t="shared" ref="C263:I263" si="20">SUM(C264:C275)</f>
        <v>126784.60733</v>
      </c>
      <c r="D263" s="1076">
        <f t="shared" si="20"/>
        <v>8667.5953200000004</v>
      </c>
      <c r="E263" s="1076">
        <f t="shared" si="20"/>
        <v>14962342.02153</v>
      </c>
      <c r="F263" s="1076">
        <f t="shared" si="20"/>
        <v>1518750.6129699999</v>
      </c>
      <c r="G263" s="1076">
        <f t="shared" si="20"/>
        <v>206027.59574999998</v>
      </c>
      <c r="H263" s="1076">
        <f t="shared" si="20"/>
        <v>26918.349770000001</v>
      </c>
      <c r="I263" s="1076">
        <f t="shared" si="20"/>
        <v>2460839.1592899999</v>
      </c>
      <c r="J263" s="1735">
        <v>1.69861674804172</v>
      </c>
      <c r="K263" s="1735">
        <v>1.8413758709992001</v>
      </c>
      <c r="L263" s="1735">
        <v>2.1153457747362299</v>
      </c>
      <c r="M263" s="1735">
        <v>1.9698912917667899E-2</v>
      </c>
    </row>
    <row r="264" spans="1:13" s="121" customFormat="1" ht="15" customHeight="1">
      <c r="A264" s="33" t="s">
        <v>18</v>
      </c>
      <c r="B264" s="1078">
        <v>139841.64524000001</v>
      </c>
      <c r="C264" s="1078">
        <v>7501.4387999999999</v>
      </c>
      <c r="D264" s="1078">
        <v>910.99112000000002</v>
      </c>
      <c r="E264" s="1078">
        <v>1312285.9455500001</v>
      </c>
      <c r="F264" s="1078">
        <v>152334.44063999999</v>
      </c>
      <c r="G264" s="1078">
        <v>32063.23475</v>
      </c>
      <c r="H264" s="1078">
        <v>1266.40517</v>
      </c>
      <c r="I264" s="1078">
        <v>136862.55519000001</v>
      </c>
      <c r="J264" s="1079">
        <v>1.69966344472764</v>
      </c>
      <c r="K264" s="1079">
        <v>1.8422982013614</v>
      </c>
      <c r="L264" s="1079">
        <v>2.0875373515273101</v>
      </c>
      <c r="M264" s="1079">
        <v>2.4022366685210999E-2</v>
      </c>
    </row>
    <row r="265" spans="1:13" s="121" customFormat="1" ht="15" customHeight="1">
      <c r="A265" s="33" t="s">
        <v>19</v>
      </c>
      <c r="B265" s="1078">
        <v>112214.77334</v>
      </c>
      <c r="C265" s="1078">
        <v>9299.7583400000003</v>
      </c>
      <c r="D265" s="1078">
        <v>750.12090999999998</v>
      </c>
      <c r="E265" s="1078">
        <v>1113488.7002099999</v>
      </c>
      <c r="F265" s="1078">
        <v>139332.46526</v>
      </c>
      <c r="G265" s="1078">
        <v>17278.95217</v>
      </c>
      <c r="H265" s="1078">
        <v>1179.98404</v>
      </c>
      <c r="I265" s="1078">
        <v>208449.88411000001</v>
      </c>
      <c r="J265" s="1079">
        <v>1.6995061208659801</v>
      </c>
      <c r="K265" s="1079">
        <v>1.82848060813775</v>
      </c>
      <c r="L265" s="1079">
        <v>2.06293869954377</v>
      </c>
      <c r="M265" s="1079">
        <v>2.2933101066742401E-2</v>
      </c>
    </row>
    <row r="266" spans="1:13" s="121" customFormat="1" ht="15" customHeight="1">
      <c r="A266" s="33" t="s">
        <v>20</v>
      </c>
      <c r="B266" s="1078">
        <v>115902.63029</v>
      </c>
      <c r="C266" s="1078">
        <v>7823.3827199999996</v>
      </c>
      <c r="D266" s="1078">
        <v>700.12442999999996</v>
      </c>
      <c r="E266" s="1078">
        <v>1067064.432</v>
      </c>
      <c r="F266" s="1078">
        <v>148116.2812</v>
      </c>
      <c r="G266" s="1078">
        <v>14546.67367</v>
      </c>
      <c r="H266" s="1078">
        <v>6569.2936799999998</v>
      </c>
      <c r="I266" s="1078">
        <v>172903.23293999999</v>
      </c>
      <c r="J266" s="1079">
        <v>1.6995701136830501</v>
      </c>
      <c r="K266" s="1079">
        <v>1.82282429060761</v>
      </c>
      <c r="L266" s="1079">
        <v>2.0713412688353401</v>
      </c>
      <c r="M266" s="1079">
        <v>2.1959064517627198E-2</v>
      </c>
    </row>
    <row r="267" spans="1:13" s="121" customFormat="1" ht="15" customHeight="1">
      <c r="A267" s="33" t="s">
        <v>21</v>
      </c>
      <c r="B267" s="1078">
        <v>114574.84828000001</v>
      </c>
      <c r="C267" s="1078">
        <v>8739.27556</v>
      </c>
      <c r="D267" s="1078">
        <v>716.62121999999999</v>
      </c>
      <c r="E267" s="1078">
        <v>980137.99415000004</v>
      </c>
      <c r="F267" s="1078">
        <v>116139.75559</v>
      </c>
      <c r="G267" s="1078">
        <v>12104.85405</v>
      </c>
      <c r="H267" s="1078">
        <v>966.05413999999996</v>
      </c>
      <c r="I267" s="1078">
        <v>204550.98180000001</v>
      </c>
      <c r="J267" s="1079">
        <v>1.6991805172638199</v>
      </c>
      <c r="K267" s="1079">
        <v>1.8644886762967099</v>
      </c>
      <c r="L267" s="1079">
        <v>2.1210678894299599</v>
      </c>
      <c r="M267" s="1079">
        <v>2.06830784672252E-2</v>
      </c>
    </row>
    <row r="268" spans="1:13" s="121" customFormat="1" ht="15" customHeight="1">
      <c r="A268" s="33" t="s">
        <v>22</v>
      </c>
      <c r="B268" s="1078">
        <v>156381.78260999999</v>
      </c>
      <c r="C268" s="1078">
        <v>8590.0970199999992</v>
      </c>
      <c r="D268" s="1078">
        <v>661.85456999999997</v>
      </c>
      <c r="E268" s="1078">
        <v>1207400.4267599999</v>
      </c>
      <c r="F268" s="1078">
        <v>105240.98538</v>
      </c>
      <c r="G268" s="1078">
        <v>16130.43029</v>
      </c>
      <c r="H268" s="1078">
        <v>969.28949</v>
      </c>
      <c r="I268" s="1078">
        <v>193056.15934000001</v>
      </c>
      <c r="J268" s="1079">
        <v>1.69800310599011</v>
      </c>
      <c r="K268" s="1079">
        <v>1.85223387522008</v>
      </c>
      <c r="L268" s="1079">
        <v>2.1291539283483001</v>
      </c>
      <c r="M268" s="1079">
        <v>2.1071389359892601E-2</v>
      </c>
    </row>
    <row r="269" spans="1:13" s="121" customFormat="1" ht="15" customHeight="1">
      <c r="A269" s="33" t="s">
        <v>23</v>
      </c>
      <c r="B269" s="1078">
        <v>158475.96583999999</v>
      </c>
      <c r="C269" s="1078">
        <v>10410.826520000001</v>
      </c>
      <c r="D269" s="1078">
        <v>570.98334999999997</v>
      </c>
      <c r="E269" s="1078">
        <v>1130898.0063799999</v>
      </c>
      <c r="F269" s="1078">
        <v>88440.463300000003</v>
      </c>
      <c r="G269" s="1078">
        <v>13775.38733</v>
      </c>
      <c r="H269" s="1078">
        <v>1215.3527899999999</v>
      </c>
      <c r="I269" s="1078">
        <v>170428.39911</v>
      </c>
      <c r="J269" s="1079">
        <v>1.6974402653765199</v>
      </c>
      <c r="K269" s="1079">
        <v>1.8438419039154801</v>
      </c>
      <c r="L269" s="1079">
        <v>2.1590881362322998</v>
      </c>
      <c r="M269" s="1079">
        <v>2.0077323254355298E-2</v>
      </c>
    </row>
    <row r="270" spans="1:13" s="121" customFormat="1" ht="15" customHeight="1">
      <c r="A270" s="33" t="s">
        <v>24</v>
      </c>
      <c r="B270" s="1078">
        <v>157416.54053999999</v>
      </c>
      <c r="C270" s="1078">
        <v>13084.686369999999</v>
      </c>
      <c r="D270" s="1078">
        <v>682.69253000000003</v>
      </c>
      <c r="E270" s="1078">
        <v>1081844.39748</v>
      </c>
      <c r="F270" s="1078">
        <v>122714.04261999999</v>
      </c>
      <c r="G270" s="1078">
        <v>20411.492880000002</v>
      </c>
      <c r="H270" s="1078">
        <v>2856.4580599999999</v>
      </c>
      <c r="I270" s="1078">
        <v>212491.38097999999</v>
      </c>
      <c r="J270" s="1079">
        <v>1.6979346523580601</v>
      </c>
      <c r="K270" s="1079">
        <v>1.8803797239942499</v>
      </c>
      <c r="L270" s="1079">
        <v>2.19424375764723</v>
      </c>
      <c r="M270" s="1079">
        <v>1.8354504480094E-2</v>
      </c>
    </row>
    <row r="271" spans="1:13" s="121" customFormat="1" ht="15" customHeight="1">
      <c r="A271" s="33" t="s">
        <v>25</v>
      </c>
      <c r="B271" s="1078">
        <v>139547.00390000001</v>
      </c>
      <c r="C271" s="1078">
        <v>11037.727650000001</v>
      </c>
      <c r="D271" s="1078">
        <v>929.9443</v>
      </c>
      <c r="E271" s="1078">
        <v>1279708.79416</v>
      </c>
      <c r="F271" s="1078">
        <v>114282.77791999999</v>
      </c>
      <c r="G271" s="1078">
        <v>19908.614519999999</v>
      </c>
      <c r="H271" s="1078">
        <v>1811.1410000000001</v>
      </c>
      <c r="I271" s="1078">
        <v>248313.28890000001</v>
      </c>
      <c r="J271" s="1079">
        <v>1.69817359377278</v>
      </c>
      <c r="K271" s="1079">
        <v>1.8559047522535701</v>
      </c>
      <c r="L271" s="1079">
        <v>2.1646931832063001</v>
      </c>
      <c r="M271" s="1079">
        <v>1.7533707504290001E-2</v>
      </c>
    </row>
    <row r="272" spans="1:13" s="121" customFormat="1" ht="15" customHeight="1">
      <c r="A272" s="33" t="s">
        <v>26</v>
      </c>
      <c r="B272" s="1078">
        <v>132946.52601</v>
      </c>
      <c r="C272" s="1078">
        <v>10699.72386</v>
      </c>
      <c r="D272" s="1078">
        <v>624.16979000000003</v>
      </c>
      <c r="E272" s="1078">
        <v>1495608.6382800001</v>
      </c>
      <c r="F272" s="1078">
        <v>116412.44319999999</v>
      </c>
      <c r="G272" s="1078">
        <v>18801.446019999999</v>
      </c>
      <c r="H272" s="1078">
        <v>3118.2843899999998</v>
      </c>
      <c r="I272" s="1078">
        <v>243122.33071000001</v>
      </c>
      <c r="J272" s="1079">
        <v>1.69819106114547</v>
      </c>
      <c r="K272" s="1079">
        <v>1.8180954391767701</v>
      </c>
      <c r="L272" s="1079">
        <v>2.1199124463044199</v>
      </c>
      <c r="M272" s="1079">
        <v>1.7348317781128501E-2</v>
      </c>
    </row>
    <row r="273" spans="1:13" s="121" customFormat="1" ht="15" customHeight="1">
      <c r="A273" s="33" t="s">
        <v>27</v>
      </c>
      <c r="B273" s="1733">
        <v>137520.95334000001</v>
      </c>
      <c r="C273" s="1733">
        <v>12507.41519</v>
      </c>
      <c r="D273" s="1733">
        <v>628.23625000000004</v>
      </c>
      <c r="E273" s="1733">
        <v>1250007.48303</v>
      </c>
      <c r="F273" s="1733">
        <v>113840.82193999999</v>
      </c>
      <c r="G273" s="1733">
        <v>16477.154139999999</v>
      </c>
      <c r="H273" s="1733">
        <v>2439.6967399999999</v>
      </c>
      <c r="I273" s="1733">
        <v>254226.06456999999</v>
      </c>
      <c r="J273" s="1734">
        <v>1.69828261157641</v>
      </c>
      <c r="K273" s="1734">
        <v>1.79504155185369</v>
      </c>
      <c r="L273" s="1734">
        <v>2.0732388692928998</v>
      </c>
      <c r="M273" s="1734">
        <v>1.72513724693471E-2</v>
      </c>
    </row>
    <row r="274" spans="1:13" s="121" customFormat="1" ht="15" customHeight="1">
      <c r="A274" s="33" t="s">
        <v>28</v>
      </c>
      <c r="B274" s="1733">
        <v>130436.40629</v>
      </c>
      <c r="C274" s="1733">
        <v>14519.354149999999</v>
      </c>
      <c r="D274" s="1733">
        <v>692.66254000000004</v>
      </c>
      <c r="E274" s="1733">
        <v>1496225.7261600001</v>
      </c>
      <c r="F274" s="1733">
        <v>120341.09527000001</v>
      </c>
      <c r="G274" s="1733">
        <v>10504.45285</v>
      </c>
      <c r="H274" s="1733">
        <v>2912.7094400000001</v>
      </c>
      <c r="I274" s="1733">
        <v>194268.82646000001</v>
      </c>
      <c r="J274" s="1734">
        <v>1.6981932181691499</v>
      </c>
      <c r="K274" s="1734">
        <v>1.83404411192825</v>
      </c>
      <c r="L274" s="1734">
        <v>2.1051086909725698</v>
      </c>
      <c r="M274" s="1734">
        <v>1.85542281140628E-2</v>
      </c>
    </row>
    <row r="275" spans="1:13" s="121" customFormat="1" ht="15" customHeight="1">
      <c r="A275" s="33" t="s">
        <v>29</v>
      </c>
      <c r="B275" s="1733">
        <v>142175.29162</v>
      </c>
      <c r="C275" s="1733">
        <v>12570.92115</v>
      </c>
      <c r="D275" s="1733">
        <v>799.19430999999997</v>
      </c>
      <c r="E275" s="1733">
        <v>1547671.47737</v>
      </c>
      <c r="F275" s="1733">
        <v>181555.04065000001</v>
      </c>
      <c r="G275" s="1733">
        <v>14024.90308</v>
      </c>
      <c r="H275" s="1733">
        <v>1613.68083</v>
      </c>
      <c r="I275" s="1733">
        <v>222166.05518</v>
      </c>
      <c r="J275" s="1734">
        <v>1.69904806881532</v>
      </c>
      <c r="K275" s="1734">
        <v>1.85523424057612</v>
      </c>
      <c r="L275" s="1734">
        <v>2.15919386047179</v>
      </c>
      <c r="M275" s="1734">
        <v>1.8472081324412699E-2</v>
      </c>
    </row>
    <row r="276" spans="1:13" s="121" customFormat="1" ht="15" customHeight="1">
      <c r="A276" s="33" t="s">
        <v>4086</v>
      </c>
      <c r="B276" s="1076">
        <f>SUM(B277:B288)</f>
        <v>244955.66209</v>
      </c>
      <c r="C276" s="1076">
        <f t="shared" ref="C276:I276" si="21">SUM(C277:C288)</f>
        <v>16194.45937</v>
      </c>
      <c r="D276" s="1076">
        <f t="shared" si="21"/>
        <v>1075.78909</v>
      </c>
      <c r="E276" s="1076">
        <f t="shared" si="21"/>
        <v>2275890.5575600001</v>
      </c>
      <c r="F276" s="1076">
        <f t="shared" si="21"/>
        <v>711085.11100999999</v>
      </c>
      <c r="G276" s="1076">
        <f t="shared" si="21"/>
        <v>31278.616839999999</v>
      </c>
      <c r="H276" s="1076">
        <f t="shared" si="21"/>
        <v>3144.7028600000003</v>
      </c>
      <c r="I276" s="1076">
        <f t="shared" si="21"/>
        <v>375373.08357999998</v>
      </c>
      <c r="J276" s="1735">
        <v>1.7004296811225901</v>
      </c>
      <c r="K276" s="1735">
        <v>1.8466056739293799</v>
      </c>
      <c r="L276" s="1735">
        <v>2.1698039492095198</v>
      </c>
      <c r="M276" s="1735">
        <v>1.8613157923964702E-2</v>
      </c>
    </row>
    <row r="277" spans="1:13" s="121" customFormat="1" ht="15" customHeight="1">
      <c r="A277" s="33" t="s">
        <v>18</v>
      </c>
      <c r="B277" s="1733">
        <v>119468.72044</v>
      </c>
      <c r="C277" s="1733">
        <v>8736.1418900000008</v>
      </c>
      <c r="D277" s="1733">
        <v>615.79881999999998</v>
      </c>
      <c r="E277" s="1733">
        <v>1342333.8208900001</v>
      </c>
      <c r="F277" s="1733">
        <v>211501.58937999999</v>
      </c>
      <c r="G277" s="1733">
        <v>11163.804319999999</v>
      </c>
      <c r="H277" s="1733">
        <v>1619.41848</v>
      </c>
      <c r="I277" s="1733">
        <v>171931.70298999999</v>
      </c>
      <c r="J277" s="1734">
        <v>1.6995962046001001</v>
      </c>
      <c r="K277" s="1734">
        <v>1.85214597497246</v>
      </c>
      <c r="L277" s="1734">
        <v>2.1735849314426798</v>
      </c>
      <c r="M277" s="1734">
        <v>1.8814416630577702E-2</v>
      </c>
    </row>
    <row r="278" spans="1:13" s="121" customFormat="1" ht="15" customHeight="1">
      <c r="A278" s="1554" t="s">
        <v>19</v>
      </c>
      <c r="B278" s="1733">
        <v>125486.94164999999</v>
      </c>
      <c r="C278" s="1733">
        <v>7458.3174799999997</v>
      </c>
      <c r="D278" s="1733">
        <v>459.99027000000001</v>
      </c>
      <c r="E278" s="1733">
        <v>933556.73667000001</v>
      </c>
      <c r="F278" s="1733">
        <v>499583.52162999997</v>
      </c>
      <c r="G278" s="1733">
        <v>20114.812519999999</v>
      </c>
      <c r="H278" s="1733">
        <v>1525.2843800000001</v>
      </c>
      <c r="I278" s="1733">
        <v>203441.38058999999</v>
      </c>
      <c r="J278" s="1734">
        <v>1.7008710009402399</v>
      </c>
      <c r="K278" s="1734">
        <v>1.8426071546192999</v>
      </c>
      <c r="L278" s="1734">
        <v>2.1655469478427101</v>
      </c>
      <c r="M278" s="1734">
        <v>1.8345119555053999E-2</v>
      </c>
    </row>
    <row r="279" spans="1:13" s="579" customFormat="1" ht="33.75" customHeight="1">
      <c r="A279" s="2608" t="s">
        <v>2768</v>
      </c>
      <c r="B279" s="2609"/>
      <c r="C279" s="2609"/>
      <c r="D279" s="2609"/>
      <c r="E279" s="2609"/>
      <c r="F279" s="2609"/>
      <c r="G279" s="2609"/>
      <c r="H279" s="2609"/>
      <c r="I279" s="2609"/>
      <c r="J279" s="2609"/>
      <c r="K279" s="2609"/>
      <c r="L279" s="2609"/>
      <c r="M279" s="2610"/>
    </row>
    <row r="280" spans="1:13">
      <c r="B280" s="180"/>
      <c r="C280" s="181"/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</row>
    <row r="281" spans="1:13">
      <c r="B281" s="180"/>
      <c r="C281" s="181"/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</row>
    <row r="282" spans="1:13">
      <c r="A282" s="73"/>
      <c r="B282" s="179"/>
      <c r="C282" s="179"/>
      <c r="D282" s="179"/>
      <c r="E282" s="179"/>
      <c r="F282" s="1095"/>
      <c r="G282" s="179"/>
      <c r="H282" s="179"/>
      <c r="I282" s="172"/>
      <c r="J282" s="172"/>
      <c r="K282" s="172"/>
      <c r="L282" s="172"/>
      <c r="M282" s="172"/>
    </row>
    <row r="283" spans="1:13">
      <c r="A283" s="73"/>
      <c r="B283" s="179"/>
      <c r="C283" s="172"/>
      <c r="D283" s="181"/>
      <c r="E283" s="172"/>
      <c r="F283" s="172"/>
      <c r="G283" s="172"/>
      <c r="H283" s="115"/>
      <c r="I283" s="172"/>
      <c r="J283" s="172"/>
      <c r="K283" s="172"/>
      <c r="L283" s="172"/>
      <c r="M283" s="172"/>
    </row>
    <row r="284" spans="1:13">
      <c r="A284" s="73"/>
      <c r="B284" s="179"/>
      <c r="C284" s="172"/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</row>
    <row r="285" spans="1:13">
      <c r="A285" s="73"/>
      <c r="B285" s="172"/>
      <c r="C285" s="181"/>
      <c r="D285" s="181"/>
      <c r="E285" s="181"/>
      <c r="F285" s="172"/>
      <c r="G285" s="172"/>
      <c r="H285" s="181"/>
      <c r="I285" s="172"/>
      <c r="J285" s="172"/>
      <c r="K285" s="172"/>
      <c r="L285" s="172"/>
      <c r="M285" s="172"/>
    </row>
    <row r="286" spans="1:13">
      <c r="A286" s="72"/>
      <c r="B286" s="172"/>
      <c r="C286" s="181"/>
      <c r="D286" s="181"/>
      <c r="E286" s="181"/>
      <c r="F286" s="172"/>
      <c r="G286" s="172"/>
      <c r="H286" s="181"/>
      <c r="I286" s="172"/>
      <c r="J286" s="172"/>
      <c r="K286" s="172"/>
      <c r="L286" s="172"/>
      <c r="M286" s="172"/>
    </row>
    <row r="287" spans="1:13">
      <c r="A287" s="72"/>
      <c r="B287" s="181"/>
      <c r="C287" s="181"/>
      <c r="D287" s="181"/>
      <c r="E287" s="181"/>
      <c r="F287" s="172"/>
      <c r="G287" s="172"/>
      <c r="H287" s="181"/>
      <c r="I287" s="172"/>
      <c r="J287" s="172"/>
      <c r="K287" s="172"/>
      <c r="L287" s="172"/>
      <c r="M287" s="172"/>
    </row>
    <row r="288" spans="1:13">
      <c r="A288" s="73"/>
      <c r="B288" s="181"/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2"/>
      <c r="B289" s="181"/>
      <c r="C289" s="181"/>
      <c r="D289" s="181"/>
      <c r="E289" s="181"/>
      <c r="F289" s="172"/>
      <c r="G289" s="172"/>
      <c r="H289" s="181"/>
      <c r="I289" s="172"/>
      <c r="J289" s="172"/>
      <c r="K289" s="172"/>
      <c r="L289" s="172"/>
      <c r="M289" s="172"/>
    </row>
    <row r="290" spans="1:13">
      <c r="A290" s="72"/>
      <c r="B290" s="181"/>
      <c r="C290" s="172"/>
      <c r="D290" s="181"/>
      <c r="E290" s="172"/>
      <c r="F290" s="172"/>
      <c r="G290" s="172"/>
      <c r="H290" s="172"/>
      <c r="I290" s="172"/>
      <c r="J290" s="172"/>
      <c r="K290" s="172"/>
      <c r="L290" s="172"/>
      <c r="M290" s="172"/>
    </row>
    <row r="291" spans="1:13">
      <c r="A291" s="73"/>
      <c r="B291" s="181"/>
      <c r="C291" s="172"/>
      <c r="D291" s="172"/>
      <c r="E291" s="172"/>
      <c r="F291" s="172"/>
      <c r="G291" s="172"/>
      <c r="H291" s="181"/>
      <c r="I291" s="172"/>
      <c r="J291" s="172"/>
      <c r="K291" s="172"/>
      <c r="L291" s="172"/>
      <c r="M291" s="172"/>
    </row>
    <row r="292" spans="1:13">
      <c r="A292" s="73"/>
      <c r="B292" s="172" t="s">
        <v>115</v>
      </c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3"/>
      <c r="B293" s="172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3"/>
      <c r="B294" s="181"/>
      <c r="C294" s="179"/>
      <c r="D294" s="179"/>
      <c r="E294" s="179"/>
      <c r="F294" s="179"/>
      <c r="G294" s="179"/>
      <c r="H294" s="179"/>
      <c r="I294" s="172"/>
      <c r="J294" s="172"/>
      <c r="K294" s="172"/>
      <c r="L294" s="172"/>
      <c r="M294" s="172"/>
    </row>
    <row r="295" spans="1:13">
      <c r="A295" s="73"/>
      <c r="B295" s="181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2"/>
      <c r="B296" s="179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2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3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</row>
    <row r="552" spans="1:8">
      <c r="A552" s="72"/>
      <c r="B552" s="172"/>
    </row>
  </sheetData>
  <mergeCells count="11">
    <mergeCell ref="A279:M279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0"/>
  <sheetViews>
    <sheetView showGridLines="0" view="pageBreakPreview" zoomScaleNormal="100" zoomScaleSheetLayoutView="100" workbookViewId="0">
      <pane ySplit="67" topLeftCell="A255" activePane="bottomLeft" state="frozen"/>
      <selection activeCell="G291" sqref="G291"/>
      <selection pane="bottomLeft" activeCell="Q270" sqref="Q270"/>
    </sheetView>
  </sheetViews>
  <sheetFormatPr defaultColWidth="8.88671875" defaultRowHeight="13.2"/>
  <cols>
    <col min="1" max="1" width="7.6640625" style="1768" customWidth="1"/>
    <col min="2" max="2" width="11.33203125" style="1767" customWidth="1"/>
    <col min="3" max="3" width="11.88671875" style="1767" customWidth="1"/>
    <col min="4" max="4" width="11.5546875" style="1767" customWidth="1"/>
    <col min="5" max="5" width="11.33203125" style="1767" customWidth="1"/>
    <col min="6" max="6" width="11.88671875" style="1767" customWidth="1"/>
    <col min="7" max="9" width="11.5546875" style="1767" customWidth="1"/>
    <col min="10" max="10" width="14.33203125" style="1767" customWidth="1"/>
    <col min="11" max="12" width="8.88671875" style="1767"/>
    <col min="13" max="13" width="9.109375" style="1767" bestFit="1" customWidth="1"/>
    <col min="14" max="76" width="8.88671875" style="1767"/>
    <col min="77" max="77" width="0" style="1767" hidden="1" customWidth="1"/>
    <col min="78" max="16384" width="8.88671875" style="1767"/>
  </cols>
  <sheetData>
    <row r="1" spans="1:79" ht="10.5" customHeight="1"/>
    <row r="2" spans="1:79" s="1799" customFormat="1" ht="13.5" customHeight="1">
      <c r="A2" s="2621" t="s">
        <v>3434</v>
      </c>
      <c r="B2" s="2621"/>
      <c r="C2" s="2621"/>
      <c r="D2" s="2621"/>
      <c r="E2" s="2621"/>
      <c r="F2" s="2621"/>
      <c r="G2" s="2621"/>
      <c r="H2" s="2621"/>
      <c r="I2" s="2621"/>
      <c r="J2" s="2621"/>
    </row>
    <row r="3" spans="1:79" ht="22.5" customHeight="1">
      <c r="A3" s="2622" t="s">
        <v>3435</v>
      </c>
      <c r="B3" s="2622"/>
      <c r="C3" s="2622"/>
      <c r="D3" s="2622"/>
      <c r="E3" s="2622"/>
      <c r="F3" s="2622"/>
      <c r="G3" s="2622"/>
      <c r="H3" s="2622"/>
      <c r="I3" s="2622"/>
      <c r="J3" s="2622"/>
    </row>
    <row r="4" spans="1:79" ht="10.5" customHeight="1">
      <c r="A4" s="1679"/>
      <c r="B4" s="1679"/>
      <c r="C4" s="1679"/>
      <c r="D4" s="1679"/>
      <c r="E4" s="1679"/>
      <c r="F4" s="1679"/>
      <c r="G4" s="1679"/>
      <c r="H4" s="1679"/>
      <c r="I4" s="1679"/>
      <c r="J4" s="1679"/>
    </row>
    <row r="5" spans="1:79" ht="10.5" customHeight="1">
      <c r="A5" s="1798"/>
      <c r="B5" s="1798"/>
      <c r="C5" s="1798"/>
      <c r="D5" s="1798"/>
      <c r="E5" s="1798"/>
      <c r="F5" s="1798"/>
      <c r="G5" s="1798"/>
      <c r="H5" s="1798"/>
      <c r="I5" s="1798"/>
      <c r="J5" s="1798"/>
    </row>
    <row r="6" spans="1:79">
      <c r="A6" s="2222" t="s">
        <v>182</v>
      </c>
      <c r="B6" s="2222" t="s">
        <v>2884</v>
      </c>
      <c r="C6" s="2222"/>
      <c r="D6" s="2222"/>
      <c r="E6" s="2222" t="s">
        <v>2885</v>
      </c>
      <c r="F6" s="2222"/>
      <c r="G6" s="2222"/>
      <c r="H6" s="2222" t="s">
        <v>2886</v>
      </c>
      <c r="I6" s="2222"/>
      <c r="J6" s="2222"/>
    </row>
    <row r="7" spans="1:79" ht="11.25" customHeight="1">
      <c r="A7" s="2222"/>
      <c r="B7" s="2222"/>
      <c r="C7" s="2222"/>
      <c r="D7" s="2222"/>
      <c r="E7" s="2222"/>
      <c r="F7" s="2222"/>
      <c r="G7" s="2222"/>
      <c r="H7" s="2222"/>
      <c r="I7" s="2222"/>
      <c r="J7" s="2222"/>
    </row>
    <row r="8" spans="1:79" ht="52.5" customHeight="1">
      <c r="A8" s="2222"/>
      <c r="B8" s="1756" t="s">
        <v>2846</v>
      </c>
      <c r="C8" s="1756" t="s">
        <v>1226</v>
      </c>
      <c r="D8" s="1756" t="s">
        <v>2845</v>
      </c>
      <c r="E8" s="1756" t="s">
        <v>2846</v>
      </c>
      <c r="F8" s="1756" t="s">
        <v>2847</v>
      </c>
      <c r="G8" s="1756" t="s">
        <v>2848</v>
      </c>
      <c r="H8" s="1756" t="s">
        <v>2846</v>
      </c>
      <c r="I8" s="1756" t="s">
        <v>2847</v>
      </c>
      <c r="J8" s="1756" t="s">
        <v>2845</v>
      </c>
      <c r="BZ8" s="1797" t="s">
        <v>2089</v>
      </c>
      <c r="CA8" s="1796" t="s">
        <v>2090</v>
      </c>
    </row>
    <row r="9" spans="1:79">
      <c r="A9" s="2619" t="s">
        <v>304</v>
      </c>
      <c r="B9" s="2619" t="s">
        <v>2887</v>
      </c>
      <c r="C9" s="2619"/>
      <c r="D9" s="2619"/>
      <c r="E9" s="2619" t="s">
        <v>2888</v>
      </c>
      <c r="F9" s="2619"/>
      <c r="G9" s="2619"/>
      <c r="H9" s="2619" t="s">
        <v>2889</v>
      </c>
      <c r="I9" s="2619"/>
      <c r="J9" s="2619"/>
      <c r="BV9" s="1767">
        <f>BV11+BV23+BV33+BV41</f>
        <v>0</v>
      </c>
      <c r="BZ9" s="1767">
        <f>BZ11+BZ23+BZ33+BZ41</f>
        <v>622</v>
      </c>
      <c r="CA9" s="1787">
        <f>BV9+BW9+BX9+BZ9</f>
        <v>622</v>
      </c>
    </row>
    <row r="10" spans="1:79" ht="8.25" customHeight="1">
      <c r="A10" s="2619"/>
      <c r="B10" s="2619"/>
      <c r="C10" s="2619"/>
      <c r="D10" s="2619"/>
      <c r="E10" s="2619"/>
      <c r="F10" s="2619"/>
      <c r="G10" s="2619"/>
      <c r="H10" s="2619"/>
      <c r="I10" s="2619"/>
      <c r="J10" s="2619"/>
      <c r="CA10" s="1787"/>
    </row>
    <row r="11" spans="1:79" ht="57" customHeight="1">
      <c r="A11" s="2619"/>
      <c r="B11" s="1759" t="s">
        <v>1009</v>
      </c>
      <c r="C11" s="1759" t="s">
        <v>1010</v>
      </c>
      <c r="D11" s="1759" t="s">
        <v>1027</v>
      </c>
      <c r="E11" s="1759" t="s">
        <v>1009</v>
      </c>
      <c r="F11" s="1759" t="s">
        <v>1010</v>
      </c>
      <c r="G11" s="1759" t="s">
        <v>1028</v>
      </c>
      <c r="H11" s="1759" t="s">
        <v>1009</v>
      </c>
      <c r="I11" s="1759" t="s">
        <v>1010</v>
      </c>
      <c r="J11" s="1759" t="s">
        <v>1028</v>
      </c>
      <c r="BZ11" s="1767">
        <f>BZ13+BZ18</f>
        <v>1713</v>
      </c>
      <c r="CA11" s="1787">
        <f>BV11+BW11+BX11+BZ11</f>
        <v>1713</v>
      </c>
    </row>
    <row r="12" spans="1:79" hidden="1">
      <c r="A12" s="1795">
        <v>2001</v>
      </c>
      <c r="B12" s="1794">
        <v>341.66199999999998</v>
      </c>
      <c r="C12" s="1793">
        <v>2762.056</v>
      </c>
      <c r="D12" s="1793">
        <f t="shared" ref="D12:D59" si="0">C12/B12</f>
        <v>8.0841767594874465</v>
      </c>
      <c r="E12" s="1792"/>
      <c r="F12" s="1792"/>
      <c r="G12" s="1792"/>
      <c r="H12" s="1792"/>
      <c r="I12" s="1792"/>
      <c r="J12" s="1792"/>
      <c r="CA12" s="1787"/>
    </row>
    <row r="13" spans="1:79" hidden="1">
      <c r="A13" s="1791">
        <v>2002</v>
      </c>
      <c r="B13" s="1790">
        <v>387.5</v>
      </c>
      <c r="C13" s="1789">
        <v>5408.6329999999998</v>
      </c>
      <c r="D13" s="1789">
        <f t="shared" si="0"/>
        <v>13.957762580645161</v>
      </c>
      <c r="E13" s="1790">
        <v>20.158000000000001</v>
      </c>
      <c r="F13" s="1789">
        <v>8.6880000000000006</v>
      </c>
      <c r="G13" s="1789">
        <f t="shared" ref="G13:G44" si="1">F13/E13*1000</f>
        <v>430.99513840658801</v>
      </c>
      <c r="H13" s="1789"/>
      <c r="I13" s="1789"/>
      <c r="J13" s="1789"/>
      <c r="BZ13" s="1767">
        <f>BZ15+BZ16</f>
        <v>4361</v>
      </c>
      <c r="CA13" s="1787">
        <f>BV13+BW13+BX13+BZ13</f>
        <v>4361</v>
      </c>
    </row>
    <row r="14" spans="1:79" hidden="1">
      <c r="A14" s="1791">
        <f>A13+1</f>
        <v>2003</v>
      </c>
      <c r="B14" s="1790">
        <v>368.286</v>
      </c>
      <c r="C14" s="1789">
        <v>7819.88</v>
      </c>
      <c r="D14" s="1789">
        <f t="shared" si="0"/>
        <v>21.233172045638444</v>
      </c>
      <c r="E14" s="1790">
        <v>338.44400000000002</v>
      </c>
      <c r="F14" s="1789">
        <v>278.09500000000003</v>
      </c>
      <c r="G14" s="1789">
        <f t="shared" si="1"/>
        <v>821.68689650281874</v>
      </c>
      <c r="H14" s="1789"/>
      <c r="I14" s="1789"/>
      <c r="J14" s="1789"/>
      <c r="CA14" s="1787"/>
    </row>
    <row r="15" spans="1:79" hidden="1">
      <c r="A15" s="1791">
        <f>A14+1</f>
        <v>2004</v>
      </c>
      <c r="B15" s="1790">
        <v>369.69499999999999</v>
      </c>
      <c r="C15" s="1789">
        <v>10164.429</v>
      </c>
      <c r="D15" s="1789">
        <f t="shared" si="0"/>
        <v>27.494093780007844</v>
      </c>
      <c r="E15" s="1790">
        <v>538.37400000000002</v>
      </c>
      <c r="F15" s="1789">
        <v>679.36800000000005</v>
      </c>
      <c r="G15" s="1789">
        <f t="shared" si="1"/>
        <v>1261.888575599862</v>
      </c>
      <c r="H15" s="1789"/>
      <c r="I15" s="1789"/>
      <c r="J15" s="1789"/>
      <c r="BZ15" s="1767">
        <v>3917</v>
      </c>
      <c r="CA15" s="1787">
        <f>BV15+BW15+BX15+BZ15</f>
        <v>3917</v>
      </c>
    </row>
    <row r="16" spans="1:79" hidden="1">
      <c r="A16" s="1788">
        <v>2005</v>
      </c>
      <c r="B16" s="1785">
        <v>316.06099999999998</v>
      </c>
      <c r="C16" s="1785">
        <v>13484.718000000001</v>
      </c>
      <c r="D16" s="1785">
        <f t="shared" si="0"/>
        <v>42.664922277661596</v>
      </c>
      <c r="E16" s="1785">
        <v>754.49</v>
      </c>
      <c r="F16" s="1785">
        <v>1213.663</v>
      </c>
      <c r="G16" s="1785">
        <f t="shared" si="1"/>
        <v>1608.5872576177285</v>
      </c>
      <c r="H16" s="1785"/>
      <c r="I16" s="1785"/>
      <c r="J16" s="1785"/>
      <c r="BZ16" s="1767">
        <v>444</v>
      </c>
      <c r="CA16" s="1787">
        <f>BV16+BW16+BX16+BZ16</f>
        <v>444</v>
      </c>
    </row>
    <row r="17" spans="1:79" ht="1.5" hidden="1" customHeight="1">
      <c r="A17" s="1786" t="s">
        <v>18</v>
      </c>
      <c r="B17" s="1785">
        <v>21.706</v>
      </c>
      <c r="C17" s="1785">
        <v>806.18799999999999</v>
      </c>
      <c r="D17" s="1785">
        <f t="shared" si="0"/>
        <v>37.141251266930801</v>
      </c>
      <c r="E17" s="1785">
        <v>41.203000000000003</v>
      </c>
      <c r="F17" s="1785">
        <v>64.037999999999997</v>
      </c>
      <c r="G17" s="1785">
        <f t="shared" si="1"/>
        <v>1554.2072179210249</v>
      </c>
      <c r="H17" s="1785"/>
      <c r="I17" s="1785"/>
      <c r="J17" s="1785"/>
      <c r="CA17" s="1787"/>
    </row>
    <row r="18" spans="1:79" hidden="1">
      <c r="A18" s="1786" t="s">
        <v>19</v>
      </c>
      <c r="B18" s="1785">
        <v>23.890999999999998</v>
      </c>
      <c r="C18" s="1785">
        <v>965.53800000000001</v>
      </c>
      <c r="D18" s="1785">
        <f t="shared" si="0"/>
        <v>40.414298271315559</v>
      </c>
      <c r="E18" s="1785">
        <v>47.811999999999998</v>
      </c>
      <c r="F18" s="1785">
        <v>74.843999999999994</v>
      </c>
      <c r="G18" s="1785">
        <f t="shared" si="1"/>
        <v>1565.3810758805321</v>
      </c>
      <c r="H18" s="1785"/>
      <c r="I18" s="1785"/>
      <c r="J18" s="1785"/>
      <c r="BZ18" s="1767">
        <f>BZ20+BZ21</f>
        <v>-2648</v>
      </c>
      <c r="CA18" s="1787">
        <f>BV18+BW18+BX18+BZ18</f>
        <v>-2648</v>
      </c>
    </row>
    <row r="19" spans="1:79" hidden="1">
      <c r="A19" s="1786" t="s">
        <v>20</v>
      </c>
      <c r="B19" s="1785">
        <v>26.603000000000002</v>
      </c>
      <c r="C19" s="1785">
        <v>1211.0550000000001</v>
      </c>
      <c r="D19" s="1785">
        <f t="shared" si="0"/>
        <v>45.523249257602522</v>
      </c>
      <c r="E19" s="1785">
        <v>61.055999999999997</v>
      </c>
      <c r="F19" s="1785">
        <v>94.076999999999998</v>
      </c>
      <c r="G19" s="1785">
        <f t="shared" si="1"/>
        <v>1540.8313679245282</v>
      </c>
      <c r="H19" s="1785"/>
      <c r="I19" s="1785"/>
      <c r="J19" s="1785"/>
      <c r="CA19" s="1787"/>
    </row>
    <row r="20" spans="1:79" hidden="1">
      <c r="A20" s="1786" t="s">
        <v>21</v>
      </c>
      <c r="B20" s="1785">
        <v>25.190999999999999</v>
      </c>
      <c r="C20" s="1785">
        <v>1039.665</v>
      </c>
      <c r="D20" s="1785">
        <f t="shared" si="0"/>
        <v>41.271287364534956</v>
      </c>
      <c r="E20" s="1785">
        <v>59.524999999999999</v>
      </c>
      <c r="F20" s="1785">
        <v>92.593000000000004</v>
      </c>
      <c r="G20" s="1785">
        <f t="shared" si="1"/>
        <v>1555.5312893742125</v>
      </c>
      <c r="H20" s="1785"/>
      <c r="I20" s="1785"/>
      <c r="J20" s="1785"/>
      <c r="BZ20" s="1767">
        <v>-367</v>
      </c>
      <c r="CA20" s="1787">
        <f>BV20+BW20+BX20+BZ20</f>
        <v>-367</v>
      </c>
    </row>
    <row r="21" spans="1:79" hidden="1">
      <c r="A21" s="1786" t="s">
        <v>22</v>
      </c>
      <c r="B21" s="1785">
        <v>25.114999999999998</v>
      </c>
      <c r="C21" s="1785">
        <v>1010.268</v>
      </c>
      <c r="D21" s="1785">
        <f t="shared" si="0"/>
        <v>40.225681863428235</v>
      </c>
      <c r="E21" s="1785">
        <v>64.224999999999994</v>
      </c>
      <c r="F21" s="1785">
        <v>103.105</v>
      </c>
      <c r="G21" s="1785">
        <f t="shared" si="1"/>
        <v>1605.3717399766447</v>
      </c>
      <c r="H21" s="1785"/>
      <c r="I21" s="1785"/>
      <c r="J21" s="1785"/>
      <c r="BZ21" s="1767">
        <v>-2281</v>
      </c>
      <c r="CA21" s="1787">
        <f>BV21+BW21+BX21+BZ21</f>
        <v>-2281</v>
      </c>
    </row>
    <row r="22" spans="1:79" hidden="1">
      <c r="A22" s="1786" t="s">
        <v>23</v>
      </c>
      <c r="B22" s="1785">
        <v>26.45</v>
      </c>
      <c r="C22" s="1785">
        <v>1034.73</v>
      </c>
      <c r="D22" s="1785">
        <f t="shared" si="0"/>
        <v>39.120226843100191</v>
      </c>
      <c r="E22" s="1785">
        <v>64.108999999999995</v>
      </c>
      <c r="F22" s="1785">
        <v>106.193</v>
      </c>
      <c r="G22" s="1785">
        <f t="shared" si="1"/>
        <v>1656.4444929729057</v>
      </c>
      <c r="H22" s="1785"/>
      <c r="I22" s="1785"/>
      <c r="J22" s="1785"/>
      <c r="CA22" s="1787"/>
    </row>
    <row r="23" spans="1:79" hidden="1">
      <c r="A23" s="1786" t="s">
        <v>24</v>
      </c>
      <c r="B23" s="1785">
        <v>26.242999999999999</v>
      </c>
      <c r="C23" s="1785">
        <v>1084.7950000000001</v>
      </c>
      <c r="D23" s="1785">
        <f t="shared" si="0"/>
        <v>41.33654688869413</v>
      </c>
      <c r="E23" s="1785">
        <v>61.966000000000001</v>
      </c>
      <c r="F23" s="1785">
        <v>104.377</v>
      </c>
      <c r="G23" s="1785">
        <f t="shared" si="1"/>
        <v>1684.4237162314816</v>
      </c>
      <c r="H23" s="1785"/>
      <c r="I23" s="1785"/>
      <c r="J23" s="1785"/>
      <c r="BZ23" s="1767">
        <f>BZ25+BZ26</f>
        <v>-797</v>
      </c>
      <c r="CA23" s="1787">
        <f>BV23+BW23+BX23+BZ23</f>
        <v>-797</v>
      </c>
    </row>
    <row r="24" spans="1:79" hidden="1">
      <c r="A24" s="1786" t="s">
        <v>25</v>
      </c>
      <c r="B24" s="1785">
        <v>27.58</v>
      </c>
      <c r="C24" s="1785">
        <v>1079.365</v>
      </c>
      <c r="D24" s="1785">
        <f t="shared" si="0"/>
        <v>39.135786802030459</v>
      </c>
      <c r="E24" s="1785">
        <v>65.072000000000003</v>
      </c>
      <c r="F24" s="1785">
        <v>110.322</v>
      </c>
      <c r="G24" s="1785">
        <f t="shared" si="1"/>
        <v>1695.3835751167935</v>
      </c>
      <c r="H24" s="1785"/>
      <c r="I24" s="1785"/>
      <c r="J24" s="1785"/>
      <c r="CA24" s="1787"/>
    </row>
    <row r="25" spans="1:79" hidden="1">
      <c r="A25" s="1786" t="s">
        <v>26</v>
      </c>
      <c r="B25" s="1785">
        <v>27.497</v>
      </c>
      <c r="C25" s="1785">
        <v>1344.5989999999999</v>
      </c>
      <c r="D25" s="1785">
        <f t="shared" si="0"/>
        <v>48.899843619303923</v>
      </c>
      <c r="E25" s="1785">
        <v>67.997</v>
      </c>
      <c r="F25" s="1785">
        <v>112.30200000000001</v>
      </c>
      <c r="G25" s="1785">
        <f t="shared" si="1"/>
        <v>1651.5728635086843</v>
      </c>
      <c r="H25" s="1785"/>
      <c r="I25" s="1785"/>
      <c r="J25" s="1785"/>
      <c r="BZ25" s="1767">
        <v>-644</v>
      </c>
      <c r="CA25" s="1787">
        <f>BV25+BW25+BX25+BZ25</f>
        <v>-644</v>
      </c>
    </row>
    <row r="26" spans="1:79" hidden="1">
      <c r="A26" s="1786" t="s">
        <v>27</v>
      </c>
      <c r="B26" s="1785">
        <v>26.995999999999999</v>
      </c>
      <c r="C26" s="1785">
        <v>1251.231</v>
      </c>
      <c r="D26" s="1785">
        <f t="shared" si="0"/>
        <v>46.348755371166099</v>
      </c>
      <c r="E26" s="1785">
        <v>67.158000000000001</v>
      </c>
      <c r="F26" s="1785">
        <v>106.295</v>
      </c>
      <c r="G26" s="1785">
        <f t="shared" si="1"/>
        <v>1582.7600583698145</v>
      </c>
      <c r="H26" s="1785"/>
      <c r="I26" s="1785"/>
      <c r="J26" s="1785"/>
      <c r="BZ26" s="1767">
        <v>-153</v>
      </c>
      <c r="CA26" s="1787">
        <f>BV26+BW26+BX26+BZ26</f>
        <v>-153</v>
      </c>
    </row>
    <row r="27" spans="1:79" hidden="1">
      <c r="A27" s="1786" t="s">
        <v>28</v>
      </c>
      <c r="B27" s="1785">
        <v>25.972999999999999</v>
      </c>
      <c r="C27" s="1785">
        <v>1130.0029999999999</v>
      </c>
      <c r="D27" s="1785">
        <f t="shared" si="0"/>
        <v>43.506834019943788</v>
      </c>
      <c r="E27" s="1785">
        <v>67.811000000000007</v>
      </c>
      <c r="F27" s="1785">
        <v>109.121</v>
      </c>
      <c r="G27" s="1785">
        <f t="shared" si="1"/>
        <v>1609.1931987435664</v>
      </c>
      <c r="H27" s="1785"/>
      <c r="I27" s="1785"/>
      <c r="J27" s="1785"/>
      <c r="CA27" s="1787"/>
    </row>
    <row r="28" spans="1:79" hidden="1">
      <c r="A28" s="1786" t="s">
        <v>29</v>
      </c>
      <c r="B28" s="1785">
        <v>32.816000000000003</v>
      </c>
      <c r="C28" s="1785">
        <v>1527.2760000000001</v>
      </c>
      <c r="D28" s="1785">
        <f t="shared" si="0"/>
        <v>46.540589956118964</v>
      </c>
      <c r="E28" s="1785">
        <v>86.555999999999997</v>
      </c>
      <c r="F28" s="1785">
        <v>136.39099999999999</v>
      </c>
      <c r="G28" s="1785">
        <f t="shared" si="1"/>
        <v>1575.7544248810018</v>
      </c>
      <c r="H28" s="1785"/>
      <c r="I28" s="1785"/>
      <c r="J28" s="1785"/>
      <c r="CA28" s="1787"/>
    </row>
    <row r="29" spans="1:79" hidden="1">
      <c r="A29" s="1788">
        <v>2006</v>
      </c>
      <c r="B29" s="1785">
        <v>370</v>
      </c>
      <c r="C29" s="1785">
        <v>23847</v>
      </c>
      <c r="D29" s="1785">
        <f t="shared" si="0"/>
        <v>64.451351351351349</v>
      </c>
      <c r="E29" s="1785">
        <v>842</v>
      </c>
      <c r="F29" s="1785">
        <v>1443</v>
      </c>
      <c r="G29" s="1785">
        <f t="shared" si="1"/>
        <v>1713.7767220902613</v>
      </c>
      <c r="H29" s="1785"/>
      <c r="I29" s="1785"/>
      <c r="J29" s="1785"/>
      <c r="CA29" s="1787"/>
    </row>
    <row r="30" spans="1:79" ht="0.75" hidden="1" customHeight="1">
      <c r="A30" s="1786" t="s">
        <v>18</v>
      </c>
      <c r="B30" s="1785">
        <v>20.87</v>
      </c>
      <c r="C30" s="1785">
        <v>1190.432</v>
      </c>
      <c r="D30" s="1785">
        <f t="shared" si="0"/>
        <v>57.040344992812649</v>
      </c>
      <c r="E30" s="1785">
        <v>41</v>
      </c>
      <c r="F30" s="1785">
        <v>71.622</v>
      </c>
      <c r="G30" s="1785">
        <f t="shared" si="1"/>
        <v>1746.8780487804879</v>
      </c>
      <c r="H30" s="1785"/>
      <c r="I30" s="1785"/>
      <c r="J30" s="1785"/>
      <c r="BZ30" s="1767">
        <v>-31</v>
      </c>
      <c r="CA30" s="1787">
        <f>BV30+BW30+BX30+BZ30</f>
        <v>-31</v>
      </c>
    </row>
    <row r="31" spans="1:79" hidden="1">
      <c r="A31" s="1786" t="s">
        <v>19</v>
      </c>
      <c r="B31" s="1785">
        <v>23.992999999999999</v>
      </c>
      <c r="C31" s="1785">
        <v>1551.856</v>
      </c>
      <c r="D31" s="1785">
        <f t="shared" si="0"/>
        <v>64.679531530029593</v>
      </c>
      <c r="E31" s="1785">
        <v>58.497</v>
      </c>
      <c r="F31" s="1785">
        <v>90.730999999999995</v>
      </c>
      <c r="G31" s="1785">
        <f t="shared" si="1"/>
        <v>1551.0368053062548</v>
      </c>
      <c r="H31" s="1785"/>
      <c r="I31" s="1785"/>
      <c r="J31" s="1785"/>
      <c r="BZ31" s="1767">
        <v>-440</v>
      </c>
      <c r="CA31" s="1787">
        <f>BV31+BW31+BX31+BZ31</f>
        <v>-440</v>
      </c>
    </row>
    <row r="32" spans="1:79" hidden="1">
      <c r="A32" s="1786" t="s">
        <v>20</v>
      </c>
      <c r="B32" s="1785">
        <v>27.138999999999999</v>
      </c>
      <c r="C32" s="1785">
        <v>1468.7719999999999</v>
      </c>
      <c r="D32" s="1785">
        <f t="shared" si="0"/>
        <v>54.120343417222443</v>
      </c>
      <c r="E32" s="1785">
        <v>71.475999999999999</v>
      </c>
      <c r="F32" s="1785">
        <v>115.672</v>
      </c>
      <c r="G32" s="1785">
        <f t="shared" si="1"/>
        <v>1618.3334266047345</v>
      </c>
      <c r="H32" s="1785"/>
      <c r="I32" s="1785"/>
      <c r="J32" s="1785"/>
      <c r="CA32" s="1787"/>
    </row>
    <row r="33" spans="1:79" hidden="1">
      <c r="A33" s="1786" t="s">
        <v>21</v>
      </c>
      <c r="B33" s="1785">
        <v>27.151</v>
      </c>
      <c r="C33" s="1785">
        <v>1558.7650000000001</v>
      </c>
      <c r="D33" s="1785">
        <f t="shared" si="0"/>
        <v>57.410960922249643</v>
      </c>
      <c r="E33" s="1785">
        <v>67.92</v>
      </c>
      <c r="F33" s="1785">
        <v>112.73699999999999</v>
      </c>
      <c r="G33" s="1785">
        <f t="shared" si="1"/>
        <v>1659.8498233215546</v>
      </c>
      <c r="H33" s="1785"/>
      <c r="I33" s="1785"/>
      <c r="J33" s="1785"/>
      <c r="BZ33" s="1767">
        <f>BZ35+BZ36</f>
        <v>-498</v>
      </c>
      <c r="CA33" s="1787">
        <f>BV33+BW33+BX33+BZ33</f>
        <v>-498</v>
      </c>
    </row>
    <row r="34" spans="1:79" hidden="1">
      <c r="A34" s="1786" t="s">
        <v>22</v>
      </c>
      <c r="B34" s="1785">
        <v>31</v>
      </c>
      <c r="C34" s="1785">
        <v>1719</v>
      </c>
      <c r="D34" s="1785">
        <f t="shared" si="0"/>
        <v>55.451612903225808</v>
      </c>
      <c r="E34" s="1785">
        <v>72</v>
      </c>
      <c r="F34" s="1785">
        <v>124</v>
      </c>
      <c r="G34" s="1785">
        <f t="shared" si="1"/>
        <v>1722.2222222222224</v>
      </c>
      <c r="H34" s="1785"/>
      <c r="I34" s="1785"/>
      <c r="J34" s="1785"/>
      <c r="CA34" s="1787"/>
    </row>
    <row r="35" spans="1:79" hidden="1">
      <c r="A35" s="1786" t="s">
        <v>23</v>
      </c>
      <c r="B35" s="1785">
        <v>30</v>
      </c>
      <c r="C35" s="1785">
        <v>2036</v>
      </c>
      <c r="D35" s="1785">
        <f t="shared" si="0"/>
        <v>67.86666666666666</v>
      </c>
      <c r="E35" s="1785">
        <v>73</v>
      </c>
      <c r="F35" s="1785">
        <v>129</v>
      </c>
      <c r="G35" s="1785">
        <f t="shared" si="1"/>
        <v>1767.1232876712329</v>
      </c>
      <c r="H35" s="1785"/>
      <c r="I35" s="1785"/>
      <c r="J35" s="1785"/>
      <c r="BZ35" s="1767">
        <v>-521</v>
      </c>
      <c r="CA35" s="1787">
        <f>BV35+BW35+BX35+BZ35</f>
        <v>-521</v>
      </c>
    </row>
    <row r="36" spans="1:79" hidden="1">
      <c r="A36" s="1786" t="s">
        <v>24</v>
      </c>
      <c r="B36" s="1785">
        <v>32</v>
      </c>
      <c r="C36" s="1785">
        <v>1977</v>
      </c>
      <c r="D36" s="1785">
        <f t="shared" si="0"/>
        <v>61.78125</v>
      </c>
      <c r="E36" s="1785">
        <v>73</v>
      </c>
      <c r="F36" s="1785">
        <v>126</v>
      </c>
      <c r="G36" s="1785">
        <f t="shared" si="1"/>
        <v>1726.027397260274</v>
      </c>
      <c r="H36" s="1785"/>
      <c r="I36" s="1785"/>
      <c r="J36" s="1785"/>
      <c r="BZ36" s="1767">
        <v>23</v>
      </c>
      <c r="CA36" s="1787">
        <f>BV36+BW36+BX36+BZ36</f>
        <v>23</v>
      </c>
    </row>
    <row r="37" spans="1:79" hidden="1">
      <c r="A37" s="1786" t="s">
        <v>25</v>
      </c>
      <c r="B37" s="1785">
        <v>34</v>
      </c>
      <c r="C37" s="1785">
        <v>2518</v>
      </c>
      <c r="D37" s="1785">
        <f t="shared" si="0"/>
        <v>74.058823529411768</v>
      </c>
      <c r="E37" s="1785">
        <v>72</v>
      </c>
      <c r="F37" s="1785">
        <v>129</v>
      </c>
      <c r="G37" s="1785">
        <f t="shared" si="1"/>
        <v>1791.6666666666667</v>
      </c>
      <c r="H37" s="1785"/>
      <c r="I37" s="1785"/>
      <c r="J37" s="1785"/>
      <c r="CA37" s="1787"/>
    </row>
    <row r="38" spans="1:79" hidden="1">
      <c r="A38" s="1786" t="s">
        <v>26</v>
      </c>
      <c r="B38" s="1785">
        <v>32</v>
      </c>
      <c r="C38" s="1785">
        <v>1877</v>
      </c>
      <c r="D38" s="1785">
        <f t="shared" si="0"/>
        <v>58.65625</v>
      </c>
      <c r="E38" s="1785">
        <v>69</v>
      </c>
      <c r="F38" s="1785">
        <v>119</v>
      </c>
      <c r="G38" s="1785">
        <f t="shared" si="1"/>
        <v>1724.6376811594205</v>
      </c>
      <c r="H38" s="1785"/>
      <c r="I38" s="1785"/>
      <c r="J38" s="1785"/>
      <c r="BZ38" s="1767">
        <v>433</v>
      </c>
      <c r="CA38" s="1787">
        <f>BV38+BW38+BX38+BZ38</f>
        <v>433</v>
      </c>
    </row>
    <row r="39" spans="1:79" hidden="1">
      <c r="A39" s="1786" t="s">
        <v>27</v>
      </c>
      <c r="B39" s="1785">
        <v>33</v>
      </c>
      <c r="C39" s="1785">
        <v>1990</v>
      </c>
      <c r="D39" s="1785">
        <f t="shared" si="0"/>
        <v>60.303030303030305</v>
      </c>
      <c r="E39" s="1785">
        <v>71</v>
      </c>
      <c r="F39" s="1785">
        <v>123</v>
      </c>
      <c r="G39" s="1785">
        <f t="shared" si="1"/>
        <v>1732.394366197183</v>
      </c>
      <c r="H39" s="1785"/>
      <c r="I39" s="1785"/>
      <c r="J39" s="1785"/>
      <c r="BZ39" s="1767">
        <v>-931</v>
      </c>
      <c r="CA39" s="1787">
        <f>BV39+BW39+BX39+BZ39</f>
        <v>-931</v>
      </c>
    </row>
    <row r="40" spans="1:79" hidden="1">
      <c r="A40" s="1786" t="s">
        <v>28</v>
      </c>
      <c r="B40" s="1785">
        <v>34</v>
      </c>
      <c r="C40" s="1785">
        <v>2367</v>
      </c>
      <c r="D40" s="1785">
        <f t="shared" si="0"/>
        <v>69.617647058823536</v>
      </c>
      <c r="E40" s="1785">
        <v>75</v>
      </c>
      <c r="F40" s="1785">
        <v>133</v>
      </c>
      <c r="G40" s="1785">
        <f t="shared" si="1"/>
        <v>1773.3333333333335</v>
      </c>
      <c r="H40" s="1785"/>
      <c r="I40" s="1785"/>
      <c r="J40" s="1785"/>
      <c r="CA40" s="1787"/>
    </row>
    <row r="41" spans="1:79" hidden="1">
      <c r="A41" s="1786" t="s">
        <v>29</v>
      </c>
      <c r="B41" s="1785">
        <v>45</v>
      </c>
      <c r="C41" s="1785">
        <v>3593</v>
      </c>
      <c r="D41" s="1785">
        <f t="shared" si="0"/>
        <v>79.844444444444449</v>
      </c>
      <c r="E41" s="1785">
        <v>98</v>
      </c>
      <c r="F41" s="1785">
        <v>169</v>
      </c>
      <c r="G41" s="1785">
        <f t="shared" si="1"/>
        <v>1724.4897959183675</v>
      </c>
      <c r="H41" s="1785"/>
      <c r="I41" s="1785"/>
      <c r="J41" s="1785"/>
      <c r="BZ41" s="1767">
        <v>204</v>
      </c>
      <c r="CA41" s="1787">
        <f>BV41+BW41+BX41+BZ41</f>
        <v>204</v>
      </c>
    </row>
    <row r="42" spans="1:79" hidden="1">
      <c r="A42" s="1786" t="s">
        <v>121</v>
      </c>
      <c r="B42" s="1785">
        <f>SUM(B43:B54)</f>
        <v>433</v>
      </c>
      <c r="C42" s="1785">
        <f>SUM(C43:C54)</f>
        <v>38727</v>
      </c>
      <c r="D42" s="1785">
        <f t="shared" si="0"/>
        <v>89.438799076212476</v>
      </c>
      <c r="E42" s="1785">
        <f>SUM(E43:E54)</f>
        <v>1040</v>
      </c>
      <c r="F42" s="1785">
        <f>SUM(F43:F54)</f>
        <v>2138</v>
      </c>
      <c r="G42" s="1785">
        <f t="shared" si="1"/>
        <v>2055.7692307692305</v>
      </c>
      <c r="H42" s="1785"/>
      <c r="I42" s="1785"/>
      <c r="J42" s="1785"/>
      <c r="BZ42" s="1767">
        <v>200</v>
      </c>
      <c r="CA42" s="1787">
        <f>BV42+BW42+BX42+BZ42</f>
        <v>200</v>
      </c>
    </row>
    <row r="43" spans="1:79" hidden="1">
      <c r="A43" s="1786" t="s">
        <v>18</v>
      </c>
      <c r="B43" s="1785">
        <v>26</v>
      </c>
      <c r="C43" s="1785">
        <v>1938</v>
      </c>
      <c r="D43" s="1785">
        <f t="shared" si="0"/>
        <v>74.538461538461533</v>
      </c>
      <c r="E43" s="1785">
        <v>57</v>
      </c>
      <c r="F43" s="1785">
        <v>97</v>
      </c>
      <c r="G43" s="1785">
        <f t="shared" si="1"/>
        <v>1701.7543859649122</v>
      </c>
      <c r="H43" s="1785"/>
      <c r="I43" s="1785"/>
      <c r="J43" s="1785"/>
      <c r="CA43" s="1787"/>
    </row>
    <row r="44" spans="1:79" hidden="1">
      <c r="A44" s="1786" t="s">
        <v>19</v>
      </c>
      <c r="B44" s="1785">
        <v>30</v>
      </c>
      <c r="C44" s="1785">
        <v>2271</v>
      </c>
      <c r="D44" s="1785">
        <f t="shared" si="0"/>
        <v>75.7</v>
      </c>
      <c r="E44" s="1785">
        <v>72</v>
      </c>
      <c r="F44" s="1785">
        <v>125</v>
      </c>
      <c r="G44" s="1785">
        <f t="shared" si="1"/>
        <v>1736.1111111111111</v>
      </c>
      <c r="H44" s="1785"/>
      <c r="I44" s="1785"/>
      <c r="J44" s="1785"/>
      <c r="BZ44" s="1767">
        <v>295</v>
      </c>
      <c r="CA44" s="1787">
        <f>BV44+BW44+BX44+BZ44</f>
        <v>295</v>
      </c>
    </row>
    <row r="45" spans="1:79" hidden="1">
      <c r="A45" s="1786" t="s">
        <v>20</v>
      </c>
      <c r="B45" s="1785">
        <v>31</v>
      </c>
      <c r="C45" s="1785">
        <v>2306</v>
      </c>
      <c r="D45" s="1785">
        <f t="shared" si="0"/>
        <v>74.387096774193552</v>
      </c>
      <c r="E45" s="1785">
        <v>75</v>
      </c>
      <c r="F45" s="1785">
        <v>141</v>
      </c>
      <c r="G45" s="1785">
        <f t="shared" ref="G45:G76" si="2">F45/E45*1000</f>
        <v>1880</v>
      </c>
      <c r="H45" s="1785"/>
      <c r="I45" s="1785"/>
      <c r="J45" s="1785"/>
      <c r="BZ45" s="1767">
        <v>-95</v>
      </c>
      <c r="CA45" s="1787">
        <f>BV45+BW45+BX45+BZ45</f>
        <v>-95</v>
      </c>
    </row>
    <row r="46" spans="1:79" hidden="1">
      <c r="A46" s="1786" t="s">
        <v>21</v>
      </c>
      <c r="B46" s="1785">
        <v>35</v>
      </c>
      <c r="C46" s="1785">
        <v>2794</v>
      </c>
      <c r="D46" s="1785">
        <f t="shared" si="0"/>
        <v>79.828571428571422</v>
      </c>
      <c r="E46" s="1785">
        <v>87</v>
      </c>
      <c r="F46" s="1785">
        <v>178</v>
      </c>
      <c r="G46" s="1785">
        <f t="shared" si="2"/>
        <v>2045.9770114942528</v>
      </c>
      <c r="H46" s="1785"/>
      <c r="I46" s="1785"/>
      <c r="J46" s="1785"/>
      <c r="CA46" s="1787"/>
    </row>
    <row r="47" spans="1:79" hidden="1">
      <c r="A47" s="1786" t="s">
        <v>22</v>
      </c>
      <c r="B47" s="1785">
        <v>37</v>
      </c>
      <c r="C47" s="1785">
        <v>2931</v>
      </c>
      <c r="D47" s="1785">
        <f t="shared" si="0"/>
        <v>79.21621621621621</v>
      </c>
      <c r="E47" s="1785">
        <v>89</v>
      </c>
      <c r="F47" s="1785">
        <v>192</v>
      </c>
      <c r="G47" s="1785">
        <f t="shared" si="2"/>
        <v>2157.303370786517</v>
      </c>
      <c r="H47" s="1785"/>
      <c r="I47" s="1785"/>
      <c r="J47" s="1785"/>
      <c r="BZ47" s="1767">
        <v>0</v>
      </c>
      <c r="CA47" s="1787">
        <f>BV47+BW47+BX47+BZ47</f>
        <v>0</v>
      </c>
    </row>
    <row r="48" spans="1:79" hidden="1">
      <c r="A48" s="1786" t="s">
        <v>23</v>
      </c>
      <c r="B48" s="1785">
        <v>35</v>
      </c>
      <c r="C48" s="1785">
        <v>2959</v>
      </c>
      <c r="D48" s="1785">
        <f t="shared" si="0"/>
        <v>84.542857142857144</v>
      </c>
      <c r="E48" s="1785">
        <v>85</v>
      </c>
      <c r="F48" s="1785">
        <v>185</v>
      </c>
      <c r="G48" s="1785">
        <f t="shared" si="2"/>
        <v>2176.4705882352941</v>
      </c>
      <c r="H48" s="1785"/>
      <c r="I48" s="1785"/>
      <c r="J48" s="1785"/>
      <c r="CA48" s="1787"/>
    </row>
    <row r="49" spans="1:79" hidden="1">
      <c r="A49" s="1786" t="s">
        <v>24</v>
      </c>
      <c r="B49" s="1785">
        <v>38</v>
      </c>
      <c r="C49" s="1785">
        <v>3817</v>
      </c>
      <c r="D49" s="1785">
        <f t="shared" si="0"/>
        <v>100.44736842105263</v>
      </c>
      <c r="E49" s="1785">
        <v>97</v>
      </c>
      <c r="F49" s="1785">
        <v>211</v>
      </c>
      <c r="G49" s="1785">
        <f t="shared" si="2"/>
        <v>2175.2577319587626</v>
      </c>
      <c r="H49" s="1785"/>
      <c r="I49" s="1785"/>
      <c r="J49" s="1785"/>
      <c r="BZ49" s="1767">
        <f>BZ50-BZ54</f>
        <v>481</v>
      </c>
      <c r="CA49" s="1787">
        <f>BV49+BW49+BX49+BZ49</f>
        <v>481</v>
      </c>
    </row>
    <row r="50" spans="1:79" hidden="1">
      <c r="A50" s="1786" t="s">
        <v>25</v>
      </c>
      <c r="B50" s="1785">
        <v>38</v>
      </c>
      <c r="C50" s="1785">
        <v>3619</v>
      </c>
      <c r="D50" s="1785">
        <f t="shared" si="0"/>
        <v>95.236842105263165</v>
      </c>
      <c r="E50" s="1785">
        <v>88</v>
      </c>
      <c r="F50" s="1785">
        <v>194</v>
      </c>
      <c r="G50" s="1785">
        <f t="shared" si="2"/>
        <v>2204.5454545454545</v>
      </c>
      <c r="H50" s="1785"/>
      <c r="I50" s="1785"/>
      <c r="J50" s="1785"/>
      <c r="BZ50" s="1767">
        <f>BZ52+BZ53</f>
        <v>965</v>
      </c>
      <c r="CA50" s="1787">
        <f>BV50+BW50+BX50+BZ50</f>
        <v>965</v>
      </c>
    </row>
    <row r="51" spans="1:79" hidden="1">
      <c r="A51" s="1786" t="s">
        <v>26</v>
      </c>
      <c r="B51" s="1785">
        <v>35</v>
      </c>
      <c r="C51" s="1785">
        <v>3208</v>
      </c>
      <c r="D51" s="1785">
        <f t="shared" si="0"/>
        <v>91.657142857142858</v>
      </c>
      <c r="E51" s="1785">
        <v>85</v>
      </c>
      <c r="F51" s="1785">
        <v>183</v>
      </c>
      <c r="G51" s="1785">
        <f t="shared" si="2"/>
        <v>2152.9411764705883</v>
      </c>
      <c r="H51" s="1785"/>
      <c r="I51" s="1785"/>
      <c r="J51" s="1785"/>
      <c r="CA51" s="1787"/>
    </row>
    <row r="52" spans="1:79" hidden="1">
      <c r="A52" s="1786" t="s">
        <v>27</v>
      </c>
      <c r="B52" s="1785">
        <v>40</v>
      </c>
      <c r="C52" s="1785">
        <v>3424</v>
      </c>
      <c r="D52" s="1785">
        <f t="shared" si="0"/>
        <v>85.6</v>
      </c>
      <c r="E52" s="1785">
        <v>96</v>
      </c>
      <c r="F52" s="1785">
        <v>189</v>
      </c>
      <c r="G52" s="1785">
        <f t="shared" si="2"/>
        <v>1968.75</v>
      </c>
      <c r="H52" s="1785"/>
      <c r="I52" s="1785"/>
      <c r="J52" s="1785"/>
      <c r="BZ52" s="1767">
        <v>954</v>
      </c>
      <c r="CA52" s="1787">
        <f>BV52+BW52+BX52+BZ52</f>
        <v>954</v>
      </c>
    </row>
    <row r="53" spans="1:79" hidden="1">
      <c r="A53" s="1786" t="s">
        <v>28</v>
      </c>
      <c r="B53" s="1785">
        <v>39</v>
      </c>
      <c r="C53" s="1785">
        <v>3771</v>
      </c>
      <c r="D53" s="1785">
        <f t="shared" si="0"/>
        <v>96.692307692307693</v>
      </c>
      <c r="E53" s="1785">
        <v>94</v>
      </c>
      <c r="F53" s="1785">
        <v>194</v>
      </c>
      <c r="G53" s="1785">
        <f t="shared" si="2"/>
        <v>2063.8297872340427</v>
      </c>
      <c r="H53" s="1785"/>
      <c r="I53" s="1785"/>
      <c r="J53" s="1785"/>
      <c r="BZ53" s="1767">
        <v>11</v>
      </c>
      <c r="CA53" s="1787">
        <f>BV53+BW53+BX53+BZ53</f>
        <v>11</v>
      </c>
    </row>
    <row r="54" spans="1:79" hidden="1">
      <c r="A54" s="1786" t="s">
        <v>29</v>
      </c>
      <c r="B54" s="1785">
        <v>49</v>
      </c>
      <c r="C54" s="1785">
        <v>5689</v>
      </c>
      <c r="D54" s="1785">
        <f t="shared" si="0"/>
        <v>116.10204081632654</v>
      </c>
      <c r="E54" s="1785">
        <v>115</v>
      </c>
      <c r="F54" s="1785">
        <v>249</v>
      </c>
      <c r="G54" s="1785">
        <f t="shared" si="2"/>
        <v>2165.217391304348</v>
      </c>
      <c r="H54" s="1785"/>
      <c r="I54" s="1785"/>
      <c r="J54" s="1785"/>
      <c r="BZ54" s="1767">
        <f>BZ56+BZ57+BZ58+BZ59</f>
        <v>484</v>
      </c>
      <c r="CA54" s="1787">
        <f>BV54+BW54+BX54+BZ54</f>
        <v>484</v>
      </c>
    </row>
    <row r="55" spans="1:79" hidden="1">
      <c r="A55" s="1786" t="s">
        <v>114</v>
      </c>
      <c r="B55" s="1785">
        <v>457</v>
      </c>
      <c r="C55" s="1785">
        <v>71425</v>
      </c>
      <c r="D55" s="1785">
        <f t="shared" si="0"/>
        <v>156.2910284463895</v>
      </c>
      <c r="E55" s="1785">
        <v>1943</v>
      </c>
      <c r="F55" s="1785">
        <v>5364</v>
      </c>
      <c r="G55" s="1785">
        <f t="shared" si="2"/>
        <v>2760.6793618116312</v>
      </c>
      <c r="H55" s="1785"/>
      <c r="I55" s="1785"/>
      <c r="J55" s="1785"/>
      <c r="CA55" s="1787"/>
    </row>
    <row r="56" spans="1:79" hidden="1">
      <c r="A56" s="1786" t="s">
        <v>18</v>
      </c>
      <c r="B56" s="1785">
        <v>26</v>
      </c>
      <c r="C56" s="1785">
        <v>3108</v>
      </c>
      <c r="D56" s="1785">
        <f t="shared" si="0"/>
        <v>119.53846153846153</v>
      </c>
      <c r="E56" s="1785">
        <v>96</v>
      </c>
      <c r="F56" s="1785">
        <v>196</v>
      </c>
      <c r="G56" s="1785">
        <f t="shared" si="2"/>
        <v>2041.6666666666665</v>
      </c>
      <c r="H56" s="1785"/>
      <c r="I56" s="1785"/>
      <c r="J56" s="1785"/>
      <c r="BZ56" s="1767">
        <v>1214</v>
      </c>
      <c r="CA56" s="1787">
        <f t="shared" ref="CA56:CA61" si="3">BV56+BW56+BX56+BZ56</f>
        <v>1214</v>
      </c>
    </row>
    <row r="57" spans="1:79" hidden="1">
      <c r="A57" s="1786" t="s">
        <v>19</v>
      </c>
      <c r="B57" s="1785">
        <v>34</v>
      </c>
      <c r="C57" s="1785">
        <v>3843</v>
      </c>
      <c r="D57" s="1785">
        <f t="shared" si="0"/>
        <v>113.02941176470588</v>
      </c>
      <c r="E57" s="1785">
        <v>132</v>
      </c>
      <c r="F57" s="1785">
        <v>294</v>
      </c>
      <c r="G57" s="1785">
        <f t="shared" si="2"/>
        <v>2227.272727272727</v>
      </c>
      <c r="H57" s="1785"/>
      <c r="I57" s="1785"/>
      <c r="J57" s="1785"/>
      <c r="BZ57" s="1767">
        <v>-745</v>
      </c>
      <c r="CA57" s="1787">
        <f t="shared" si="3"/>
        <v>-745</v>
      </c>
    </row>
    <row r="58" spans="1:79" hidden="1">
      <c r="A58" s="1786" t="s">
        <v>20</v>
      </c>
      <c r="B58" s="1785">
        <v>33</v>
      </c>
      <c r="C58" s="1785">
        <v>4326</v>
      </c>
      <c r="D58" s="1785">
        <f t="shared" si="0"/>
        <v>131.09090909090909</v>
      </c>
      <c r="E58" s="1785">
        <v>128</v>
      </c>
      <c r="F58" s="1785">
        <v>349</v>
      </c>
      <c r="G58" s="1785">
        <f t="shared" si="2"/>
        <v>2726.5625</v>
      </c>
      <c r="H58" s="1785"/>
      <c r="I58" s="1785"/>
      <c r="J58" s="1785"/>
      <c r="BZ58" s="1767">
        <v>0</v>
      </c>
      <c r="CA58" s="1787">
        <f t="shared" si="3"/>
        <v>0</v>
      </c>
    </row>
    <row r="59" spans="1:79" hidden="1">
      <c r="A59" s="1786" t="s">
        <v>21</v>
      </c>
      <c r="B59" s="1785">
        <v>42</v>
      </c>
      <c r="C59" s="1785">
        <v>5748</v>
      </c>
      <c r="D59" s="1785">
        <f t="shared" si="0"/>
        <v>136.85714285714286</v>
      </c>
      <c r="E59" s="1785">
        <v>162</v>
      </c>
      <c r="F59" s="1785">
        <v>450</v>
      </c>
      <c r="G59" s="1785">
        <f t="shared" si="2"/>
        <v>2777.7777777777778</v>
      </c>
      <c r="H59" s="1785"/>
      <c r="I59" s="1785"/>
      <c r="J59" s="1785"/>
      <c r="BZ59" s="1767">
        <v>15</v>
      </c>
      <c r="CA59" s="1787">
        <f t="shared" si="3"/>
        <v>15</v>
      </c>
    </row>
    <row r="60" spans="1:79" hidden="1">
      <c r="A60" s="1786" t="s">
        <v>22</v>
      </c>
      <c r="B60" s="1785">
        <v>39</v>
      </c>
      <c r="C60" s="1785">
        <v>5390</v>
      </c>
      <c r="D60" s="1785">
        <v>138.2051282051282</v>
      </c>
      <c r="E60" s="1785">
        <v>146</v>
      </c>
      <c r="F60" s="1785">
        <v>446</v>
      </c>
      <c r="G60" s="1785">
        <f t="shared" si="2"/>
        <v>3054.7945205479455</v>
      </c>
      <c r="H60" s="1785"/>
      <c r="I60" s="1785"/>
      <c r="J60" s="1785"/>
      <c r="BZ60" s="1767">
        <v>-372</v>
      </c>
      <c r="CA60" s="1787">
        <f t="shared" si="3"/>
        <v>-372</v>
      </c>
    </row>
    <row r="61" spans="1:79" hidden="1">
      <c r="A61" s="1786" t="s">
        <v>23</v>
      </c>
      <c r="B61" s="1785">
        <v>38</v>
      </c>
      <c r="C61" s="1785">
        <v>6268</v>
      </c>
      <c r="D61" s="1785">
        <f t="shared" ref="D61:D81" si="4">C61/B61</f>
        <v>164.94736842105263</v>
      </c>
      <c r="E61" s="1785">
        <v>151</v>
      </c>
      <c r="F61" s="1785">
        <v>483</v>
      </c>
      <c r="G61" s="1785">
        <f t="shared" si="2"/>
        <v>3198.675496688742</v>
      </c>
      <c r="H61" s="1785"/>
      <c r="I61" s="1785"/>
      <c r="J61" s="1785"/>
      <c r="BZ61" s="1767">
        <v>-231</v>
      </c>
      <c r="CA61" s="1787">
        <f t="shared" si="3"/>
        <v>-231</v>
      </c>
    </row>
    <row r="62" spans="1:79" hidden="1">
      <c r="A62" s="1786" t="s">
        <v>24</v>
      </c>
      <c r="B62" s="1785">
        <v>46</v>
      </c>
      <c r="C62" s="1785">
        <v>6698</v>
      </c>
      <c r="D62" s="1785">
        <f t="shared" si="4"/>
        <v>145.60869565217391</v>
      </c>
      <c r="E62" s="1785">
        <v>173</v>
      </c>
      <c r="F62" s="1785">
        <v>533</v>
      </c>
      <c r="G62" s="1785">
        <f t="shared" si="2"/>
        <v>3080.9248554913293</v>
      </c>
      <c r="H62" s="1785"/>
      <c r="I62" s="1785"/>
      <c r="J62" s="1785"/>
      <c r="CA62" s="1787"/>
    </row>
    <row r="63" spans="1:79" hidden="1">
      <c r="A63" s="1786" t="s">
        <v>25</v>
      </c>
      <c r="B63" s="1785">
        <v>37</v>
      </c>
      <c r="C63" s="1785">
        <v>5416</v>
      </c>
      <c r="D63" s="1785">
        <f t="shared" si="4"/>
        <v>146.37837837837839</v>
      </c>
      <c r="E63" s="1785">
        <v>160</v>
      </c>
      <c r="F63" s="1785">
        <v>469</v>
      </c>
      <c r="G63" s="1785">
        <f t="shared" si="2"/>
        <v>2931.25</v>
      </c>
      <c r="H63" s="1785"/>
      <c r="I63" s="1785"/>
      <c r="J63" s="1785"/>
      <c r="BZ63" s="1767">
        <f>BZ9+BZ47-BZ49+BZ60-BZ61</f>
        <v>0</v>
      </c>
      <c r="CA63" s="1787">
        <f>BV63+BW63+BX63+BZ63</f>
        <v>0</v>
      </c>
    </row>
    <row r="64" spans="1:79" hidden="1">
      <c r="A64" s="1786" t="s">
        <v>26</v>
      </c>
      <c r="B64" s="1785">
        <v>39</v>
      </c>
      <c r="C64" s="1785">
        <v>6662</v>
      </c>
      <c r="D64" s="1785">
        <f t="shared" si="4"/>
        <v>170.82051282051282</v>
      </c>
      <c r="E64" s="1785">
        <v>176</v>
      </c>
      <c r="F64" s="1785">
        <v>519</v>
      </c>
      <c r="G64" s="1785">
        <f t="shared" si="2"/>
        <v>2948.863636363636</v>
      </c>
      <c r="H64" s="1785"/>
      <c r="I64" s="1785"/>
      <c r="J64" s="1785"/>
    </row>
    <row r="65" spans="1:10" hidden="1">
      <c r="A65" s="1786" t="s">
        <v>27</v>
      </c>
      <c r="B65" s="1785">
        <v>40</v>
      </c>
      <c r="C65" s="1785">
        <v>6873</v>
      </c>
      <c r="D65" s="1785">
        <f t="shared" si="4"/>
        <v>171.82499999999999</v>
      </c>
      <c r="E65" s="1785">
        <v>178</v>
      </c>
      <c r="F65" s="1785">
        <v>497</v>
      </c>
      <c r="G65" s="1785">
        <f t="shared" si="2"/>
        <v>2792.1348314606739</v>
      </c>
      <c r="H65" s="1785"/>
      <c r="I65" s="1785"/>
      <c r="J65" s="1785"/>
    </row>
    <row r="66" spans="1:10" hidden="1">
      <c r="A66" s="1786" t="s">
        <v>28</v>
      </c>
      <c r="B66" s="1785">
        <v>36</v>
      </c>
      <c r="C66" s="1785">
        <v>6399</v>
      </c>
      <c r="D66" s="1785">
        <f t="shared" si="4"/>
        <v>177.75</v>
      </c>
      <c r="E66" s="1785">
        <v>172</v>
      </c>
      <c r="F66" s="1785">
        <v>436</v>
      </c>
      <c r="G66" s="1785">
        <f t="shared" si="2"/>
        <v>2534.8837209302328</v>
      </c>
      <c r="H66" s="1785"/>
      <c r="I66" s="1785"/>
      <c r="J66" s="1785"/>
    </row>
    <row r="67" spans="1:10" hidden="1">
      <c r="A67" s="1786" t="s">
        <v>29</v>
      </c>
      <c r="B67" s="1785">
        <v>47</v>
      </c>
      <c r="C67" s="1785">
        <v>10694</v>
      </c>
      <c r="D67" s="1785">
        <f t="shared" si="4"/>
        <v>227.53191489361703</v>
      </c>
      <c r="E67" s="1785">
        <v>269</v>
      </c>
      <c r="F67" s="1785">
        <v>692</v>
      </c>
      <c r="G67" s="1785">
        <f t="shared" si="2"/>
        <v>2572.4907063197024</v>
      </c>
      <c r="H67" s="1785"/>
      <c r="I67" s="1785"/>
      <c r="J67" s="1785"/>
    </row>
    <row r="68" spans="1:10">
      <c r="A68" s="1784" t="s">
        <v>43</v>
      </c>
      <c r="B68" s="1783">
        <f>SUM(B69:B80)</f>
        <v>393</v>
      </c>
      <c r="C68" s="1783">
        <f>SUM(C69:C80)</f>
        <v>72856</v>
      </c>
      <c r="D68" s="1783">
        <f t="shared" si="4"/>
        <v>185.38422391857506</v>
      </c>
      <c r="E68" s="1783">
        <f>SUM(E69:E80)</f>
        <v>6302</v>
      </c>
      <c r="F68" s="1783">
        <f>SUM(F69:F80)</f>
        <v>5455</v>
      </c>
      <c r="G68" s="1783">
        <f t="shared" si="2"/>
        <v>865.59822278641695</v>
      </c>
      <c r="H68" s="1783"/>
      <c r="I68" s="1783"/>
      <c r="J68" s="1783"/>
    </row>
    <row r="69" spans="1:10" hidden="1">
      <c r="A69" s="1776" t="s">
        <v>18</v>
      </c>
      <c r="B69" s="1774">
        <v>27</v>
      </c>
      <c r="C69" s="1774">
        <v>5003</v>
      </c>
      <c r="D69" s="1774">
        <f t="shared" si="4"/>
        <v>185.2962962962963</v>
      </c>
      <c r="E69" s="1774">
        <v>232</v>
      </c>
      <c r="F69" s="1774">
        <v>534</v>
      </c>
      <c r="G69" s="1774">
        <f t="shared" si="2"/>
        <v>2301.7241379310349</v>
      </c>
      <c r="H69" s="1774"/>
      <c r="I69" s="1774"/>
      <c r="J69" s="1774"/>
    </row>
    <row r="70" spans="1:10" hidden="1">
      <c r="A70" s="1776" t="s">
        <v>19</v>
      </c>
      <c r="B70" s="1774">
        <v>30</v>
      </c>
      <c r="C70" s="1774">
        <v>6181</v>
      </c>
      <c r="D70" s="1774">
        <f t="shared" si="4"/>
        <v>206.03333333333333</v>
      </c>
      <c r="E70" s="1774">
        <v>368</v>
      </c>
      <c r="F70" s="1774">
        <v>347</v>
      </c>
      <c r="G70" s="1774">
        <f t="shared" si="2"/>
        <v>942.93478260869563</v>
      </c>
      <c r="H70" s="1774"/>
      <c r="I70" s="1774"/>
      <c r="J70" s="1774"/>
    </row>
    <row r="71" spans="1:10" hidden="1">
      <c r="A71" s="1776" t="s">
        <v>20</v>
      </c>
      <c r="B71" s="1774">
        <v>30</v>
      </c>
      <c r="C71" s="1774">
        <v>6986</v>
      </c>
      <c r="D71" s="1774">
        <f t="shared" si="4"/>
        <v>232.86666666666667</v>
      </c>
      <c r="E71" s="1774">
        <v>423</v>
      </c>
      <c r="F71" s="1774">
        <v>386</v>
      </c>
      <c r="G71" s="1774">
        <f t="shared" si="2"/>
        <v>912.52955082742312</v>
      </c>
      <c r="H71" s="1774"/>
      <c r="I71" s="1774"/>
      <c r="J71" s="1774"/>
    </row>
    <row r="72" spans="1:10" hidden="1">
      <c r="A72" s="1776" t="s">
        <v>21</v>
      </c>
      <c r="B72" s="1774">
        <v>36</v>
      </c>
      <c r="C72" s="1774">
        <v>5197</v>
      </c>
      <c r="D72" s="1774">
        <f t="shared" si="4"/>
        <v>144.36111111111111</v>
      </c>
      <c r="E72" s="1774">
        <v>431</v>
      </c>
      <c r="F72" s="1774">
        <v>439</v>
      </c>
      <c r="G72" s="1774">
        <f t="shared" si="2"/>
        <v>1018.5614849187937</v>
      </c>
      <c r="H72" s="1774"/>
      <c r="I72" s="1774"/>
      <c r="J72" s="1774"/>
    </row>
    <row r="73" spans="1:10" hidden="1">
      <c r="A73" s="1776" t="s">
        <v>22</v>
      </c>
      <c r="B73" s="1774">
        <v>33</v>
      </c>
      <c r="C73" s="1774">
        <v>5963</v>
      </c>
      <c r="D73" s="1774">
        <f t="shared" si="4"/>
        <v>180.69696969696969</v>
      </c>
      <c r="E73" s="1774">
        <v>407</v>
      </c>
      <c r="F73" s="1774">
        <v>375</v>
      </c>
      <c r="G73" s="1774">
        <f t="shared" si="2"/>
        <v>921.37592137592139</v>
      </c>
      <c r="H73" s="1774"/>
      <c r="I73" s="1774"/>
      <c r="J73" s="1774"/>
    </row>
    <row r="74" spans="1:10" hidden="1">
      <c r="A74" s="1776" t="s">
        <v>23</v>
      </c>
      <c r="B74" s="1774">
        <v>34</v>
      </c>
      <c r="C74" s="1774">
        <v>5492</v>
      </c>
      <c r="D74" s="1774">
        <f t="shared" si="4"/>
        <v>161.52941176470588</v>
      </c>
      <c r="E74" s="1774">
        <v>475</v>
      </c>
      <c r="F74" s="1774">
        <v>411</v>
      </c>
      <c r="G74" s="1774">
        <f t="shared" si="2"/>
        <v>865.26315789473688</v>
      </c>
      <c r="H74" s="1774"/>
      <c r="I74" s="1774"/>
      <c r="J74" s="1774"/>
    </row>
    <row r="75" spans="1:10" hidden="1">
      <c r="A75" s="1776" t="s">
        <v>24</v>
      </c>
      <c r="B75" s="1774">
        <v>36</v>
      </c>
      <c r="C75" s="1774">
        <v>6084</v>
      </c>
      <c r="D75" s="1774">
        <f t="shared" si="4"/>
        <v>169</v>
      </c>
      <c r="E75" s="1774">
        <v>557</v>
      </c>
      <c r="F75" s="1774">
        <v>466</v>
      </c>
      <c r="G75" s="1774">
        <f t="shared" si="2"/>
        <v>836.62477558348291</v>
      </c>
      <c r="H75" s="1774"/>
      <c r="I75" s="1774"/>
      <c r="J75" s="1774"/>
    </row>
    <row r="76" spans="1:10" hidden="1">
      <c r="A76" s="1776" t="s">
        <v>25</v>
      </c>
      <c r="B76" s="1774">
        <v>31</v>
      </c>
      <c r="C76" s="1774">
        <v>5910</v>
      </c>
      <c r="D76" s="1774">
        <f t="shared" si="4"/>
        <v>190.64516129032259</v>
      </c>
      <c r="E76" s="1774">
        <v>571</v>
      </c>
      <c r="F76" s="1774">
        <v>416</v>
      </c>
      <c r="G76" s="1774">
        <f t="shared" si="2"/>
        <v>728.54640980735553</v>
      </c>
      <c r="H76" s="1774"/>
      <c r="I76" s="1774"/>
      <c r="J76" s="1774"/>
    </row>
    <row r="77" spans="1:10" hidden="1">
      <c r="A77" s="1776" t="s">
        <v>26</v>
      </c>
      <c r="B77" s="1774">
        <v>31</v>
      </c>
      <c r="C77" s="1774">
        <v>4481</v>
      </c>
      <c r="D77" s="1774">
        <f t="shared" si="4"/>
        <v>144.54838709677421</v>
      </c>
      <c r="E77" s="1774">
        <v>579</v>
      </c>
      <c r="F77" s="1774">
        <v>407</v>
      </c>
      <c r="G77" s="1774">
        <f t="shared" ref="G77:G81" si="5">F77/E77*1000</f>
        <v>702.93609671848014</v>
      </c>
      <c r="H77" s="1774"/>
      <c r="I77" s="1774"/>
      <c r="J77" s="1774"/>
    </row>
    <row r="78" spans="1:10" hidden="1">
      <c r="A78" s="1776" t="s">
        <v>27</v>
      </c>
      <c r="B78" s="1774">
        <v>34</v>
      </c>
      <c r="C78" s="1774">
        <v>5762</v>
      </c>
      <c r="D78" s="1774">
        <f t="shared" si="4"/>
        <v>169.47058823529412</v>
      </c>
      <c r="E78" s="1774">
        <v>698</v>
      </c>
      <c r="F78" s="1774">
        <v>521</v>
      </c>
      <c r="G78" s="1774">
        <f t="shared" si="5"/>
        <v>746.41833810888249</v>
      </c>
      <c r="H78" s="1774"/>
      <c r="I78" s="1774"/>
      <c r="J78" s="1774"/>
    </row>
    <row r="79" spans="1:10" hidden="1">
      <c r="A79" s="1776" t="s">
        <v>28</v>
      </c>
      <c r="B79" s="1774">
        <v>31</v>
      </c>
      <c r="C79" s="1774">
        <v>5049</v>
      </c>
      <c r="D79" s="1774">
        <f t="shared" si="4"/>
        <v>162.87096774193549</v>
      </c>
      <c r="E79" s="1774">
        <v>672</v>
      </c>
      <c r="F79" s="1774">
        <v>467</v>
      </c>
      <c r="G79" s="1774">
        <f t="shared" si="5"/>
        <v>694.94047619047615</v>
      </c>
      <c r="H79" s="1774"/>
      <c r="I79" s="1774"/>
      <c r="J79" s="1774"/>
    </row>
    <row r="80" spans="1:10" hidden="1">
      <c r="A80" s="1776" t="s">
        <v>29</v>
      </c>
      <c r="B80" s="1774">
        <v>40</v>
      </c>
      <c r="C80" s="1774">
        <v>10748</v>
      </c>
      <c r="D80" s="1774">
        <f t="shared" si="4"/>
        <v>268.7</v>
      </c>
      <c r="E80" s="1774">
        <v>889</v>
      </c>
      <c r="F80" s="1774">
        <v>686</v>
      </c>
      <c r="G80" s="1774">
        <f t="shared" si="5"/>
        <v>771.65354330708658</v>
      </c>
      <c r="H80" s="1774"/>
      <c r="I80" s="1774"/>
      <c r="J80" s="1774"/>
    </row>
    <row r="81" spans="1:10">
      <c r="A81" s="1776" t="s">
        <v>48</v>
      </c>
      <c r="B81" s="1779">
        <f>SUM(B82:B93)</f>
        <v>362</v>
      </c>
      <c r="C81" s="1779">
        <f>SUM(C82:C93)</f>
        <v>78425</v>
      </c>
      <c r="D81" s="1779">
        <f t="shared" si="4"/>
        <v>216.64364640883977</v>
      </c>
      <c r="E81" s="1779">
        <f>SUM(E82:E93)</f>
        <v>9786</v>
      </c>
      <c r="F81" s="1779">
        <f>SUM(F82:F93)</f>
        <v>6409</v>
      </c>
      <c r="G81" s="1779">
        <f t="shared" si="5"/>
        <v>654.9151849581034</v>
      </c>
      <c r="H81" s="1779"/>
      <c r="I81" s="1779"/>
      <c r="J81" s="1779"/>
    </row>
    <row r="82" spans="1:10" hidden="1">
      <c r="A82" s="1776" t="s">
        <v>1030</v>
      </c>
      <c r="B82" s="1777">
        <v>24</v>
      </c>
      <c r="C82" s="1777">
        <v>4420</v>
      </c>
      <c r="D82" s="1777">
        <v>184.166666666667</v>
      </c>
      <c r="E82" s="1777">
        <v>618</v>
      </c>
      <c r="F82" s="1777">
        <v>379</v>
      </c>
      <c r="G82" s="1777">
        <v>613.26860841423945</v>
      </c>
      <c r="H82" s="1777"/>
      <c r="I82" s="1777"/>
      <c r="J82" s="1777"/>
    </row>
    <row r="83" spans="1:10" hidden="1">
      <c r="A83" s="1776" t="s">
        <v>311</v>
      </c>
      <c r="B83" s="1777">
        <v>28</v>
      </c>
      <c r="C83" s="1777">
        <v>5520</v>
      </c>
      <c r="D83" s="1777">
        <v>197.14285714285714</v>
      </c>
      <c r="E83" s="1777">
        <v>774</v>
      </c>
      <c r="F83" s="1777">
        <v>395</v>
      </c>
      <c r="G83" s="1777">
        <v>510.33591731266148</v>
      </c>
      <c r="H83" s="1777"/>
      <c r="I83" s="1777"/>
      <c r="J83" s="1777"/>
    </row>
    <row r="84" spans="1:10" hidden="1">
      <c r="A84" s="1776" t="s">
        <v>310</v>
      </c>
      <c r="B84" s="1778">
        <v>29</v>
      </c>
      <c r="C84" s="1777">
        <v>6395</v>
      </c>
      <c r="D84" s="1777">
        <v>220.51724137931035</v>
      </c>
      <c r="E84" s="1777">
        <v>886</v>
      </c>
      <c r="F84" s="1777">
        <v>462</v>
      </c>
      <c r="G84" s="1777">
        <v>521.44469525959369</v>
      </c>
      <c r="H84" s="1777"/>
      <c r="I84" s="1777"/>
      <c r="J84" s="1777"/>
    </row>
    <row r="85" spans="1:10" hidden="1">
      <c r="A85" s="1776" t="s">
        <v>1031</v>
      </c>
      <c r="B85" s="1778">
        <v>34</v>
      </c>
      <c r="C85" s="1777">
        <v>6195</v>
      </c>
      <c r="D85" s="1777">
        <v>182.20588235294119</v>
      </c>
      <c r="E85" s="1777">
        <v>889</v>
      </c>
      <c r="F85" s="1777">
        <v>510</v>
      </c>
      <c r="G85" s="1777">
        <v>573.67829021372324</v>
      </c>
      <c r="H85" s="1777"/>
      <c r="I85" s="1777"/>
      <c r="J85" s="1777"/>
    </row>
    <row r="86" spans="1:10" hidden="1">
      <c r="A86" s="1776" t="s">
        <v>309</v>
      </c>
      <c r="B86" s="1778">
        <v>30</v>
      </c>
      <c r="C86" s="1777">
        <v>6686</v>
      </c>
      <c r="D86" s="1777">
        <v>222.86666666666667</v>
      </c>
      <c r="E86" s="1777">
        <v>891</v>
      </c>
      <c r="F86" s="1777">
        <v>505</v>
      </c>
      <c r="G86" s="1777">
        <v>566.77890011223337</v>
      </c>
      <c r="H86" s="1777"/>
      <c r="I86" s="1777"/>
      <c r="J86" s="1777"/>
    </row>
    <row r="87" spans="1:10" hidden="1">
      <c r="A87" s="1776" t="s">
        <v>1032</v>
      </c>
      <c r="B87" s="1778">
        <v>29</v>
      </c>
      <c r="C87" s="1777">
        <v>5889</v>
      </c>
      <c r="D87" s="1777">
        <v>203.06896551724137</v>
      </c>
      <c r="E87" s="1777">
        <v>889</v>
      </c>
      <c r="F87" s="1777">
        <v>527</v>
      </c>
      <c r="G87" s="1777">
        <v>592.80089988751411</v>
      </c>
      <c r="H87" s="1777"/>
      <c r="I87" s="1777"/>
      <c r="J87" s="1777"/>
    </row>
    <row r="88" spans="1:10" hidden="1">
      <c r="A88" s="1776" t="s">
        <v>307</v>
      </c>
      <c r="B88" s="1778">
        <v>33</v>
      </c>
      <c r="C88" s="1777">
        <v>6782</v>
      </c>
      <c r="D88" s="1777">
        <v>205.5151515151515</v>
      </c>
      <c r="E88" s="1777">
        <v>913</v>
      </c>
      <c r="F88" s="1777">
        <v>630</v>
      </c>
      <c r="G88" s="1777">
        <v>690.03285870755747</v>
      </c>
      <c r="H88" s="1777"/>
      <c r="I88" s="1777"/>
      <c r="J88" s="1777"/>
    </row>
    <row r="89" spans="1:10" hidden="1">
      <c r="A89" s="1776" t="s">
        <v>308</v>
      </c>
      <c r="B89" s="1778">
        <v>30</v>
      </c>
      <c r="C89" s="1777">
        <v>6824</v>
      </c>
      <c r="D89" s="1777">
        <v>227.46666666666667</v>
      </c>
      <c r="E89" s="1777">
        <v>701</v>
      </c>
      <c r="F89" s="1777">
        <v>581</v>
      </c>
      <c r="G89" s="1777">
        <v>828.81597717546367</v>
      </c>
      <c r="H89" s="1777"/>
      <c r="I89" s="1777"/>
      <c r="J89" s="1777"/>
    </row>
    <row r="90" spans="1:10" hidden="1">
      <c r="A90" s="1776" t="s">
        <v>306</v>
      </c>
      <c r="B90" s="1778">
        <v>29</v>
      </c>
      <c r="C90" s="1777">
        <v>5971</v>
      </c>
      <c r="D90" s="1777">
        <v>205.89655172413794</v>
      </c>
      <c r="E90" s="1777">
        <v>681</v>
      </c>
      <c r="F90" s="1777">
        <v>562</v>
      </c>
      <c r="G90" s="1777">
        <v>825.25697503671074</v>
      </c>
      <c r="H90" s="1777"/>
      <c r="I90" s="1777"/>
      <c r="J90" s="1777"/>
    </row>
    <row r="91" spans="1:10" hidden="1">
      <c r="A91" s="1776" t="s">
        <v>27</v>
      </c>
      <c r="B91" s="1778">
        <v>29</v>
      </c>
      <c r="C91" s="1777">
        <v>6420</v>
      </c>
      <c r="D91" s="1777">
        <v>221.37931034482759</v>
      </c>
      <c r="E91" s="1777">
        <v>735</v>
      </c>
      <c r="F91" s="1777">
        <v>552</v>
      </c>
      <c r="G91" s="1777">
        <v>751.0204081632653</v>
      </c>
      <c r="H91" s="1777"/>
      <c r="I91" s="1777"/>
      <c r="J91" s="1777"/>
    </row>
    <row r="92" spans="1:10" hidden="1">
      <c r="A92" s="1776" t="s">
        <v>28</v>
      </c>
      <c r="B92" s="1778">
        <v>29</v>
      </c>
      <c r="C92" s="1777">
        <v>6033</v>
      </c>
      <c r="D92" s="1777">
        <v>208.0344827586207</v>
      </c>
      <c r="E92" s="1777">
        <v>820</v>
      </c>
      <c r="F92" s="1777">
        <v>510</v>
      </c>
      <c r="G92" s="1777">
        <v>621.95121951219517</v>
      </c>
      <c r="H92" s="1777"/>
      <c r="I92" s="1777"/>
      <c r="J92" s="1777"/>
    </row>
    <row r="93" spans="1:10" hidden="1">
      <c r="A93" s="1776" t="s">
        <v>29</v>
      </c>
      <c r="B93" s="1778">
        <v>38</v>
      </c>
      <c r="C93" s="1777">
        <v>11290</v>
      </c>
      <c r="D93" s="1777">
        <v>297.10526315789474</v>
      </c>
      <c r="E93" s="1777">
        <v>989</v>
      </c>
      <c r="F93" s="1777">
        <v>796</v>
      </c>
      <c r="G93" s="1777">
        <v>804.85338725985844</v>
      </c>
      <c r="H93" s="1777"/>
      <c r="I93" s="1777"/>
      <c r="J93" s="1777"/>
    </row>
    <row r="94" spans="1:10">
      <c r="A94" s="1776" t="s">
        <v>1045</v>
      </c>
      <c r="B94" s="1779">
        <f>SUM(B95:B106)</f>
        <v>398</v>
      </c>
      <c r="C94" s="1779">
        <f>SUM(C95:C106)</f>
        <v>99279</v>
      </c>
      <c r="D94" s="1779">
        <f>C94/B94</f>
        <v>249.44472361809045</v>
      </c>
      <c r="E94" s="1779">
        <f>SUM(E95:E106)</f>
        <v>19163</v>
      </c>
      <c r="F94" s="1779">
        <f>SUM(F95:F106)</f>
        <v>8569</v>
      </c>
      <c r="G94" s="1779">
        <f>F94/E94*1000</f>
        <v>447.16380524969998</v>
      </c>
      <c r="H94" s="1779"/>
      <c r="I94" s="1779"/>
      <c r="J94" s="1779"/>
    </row>
    <row r="95" spans="1:10" hidden="1">
      <c r="A95" s="1776" t="s">
        <v>18</v>
      </c>
      <c r="B95" s="1778">
        <v>20</v>
      </c>
      <c r="C95" s="1777">
        <v>5459</v>
      </c>
      <c r="D95" s="1777">
        <v>272.95</v>
      </c>
      <c r="E95" s="1777">
        <v>852</v>
      </c>
      <c r="F95" s="1777">
        <v>430</v>
      </c>
      <c r="G95" s="1777">
        <v>504.69483568075111</v>
      </c>
      <c r="H95" s="1777"/>
      <c r="I95" s="1777"/>
      <c r="J95" s="1777"/>
    </row>
    <row r="96" spans="1:10" hidden="1">
      <c r="A96" s="1776" t="s">
        <v>19</v>
      </c>
      <c r="B96" s="1778">
        <v>25</v>
      </c>
      <c r="C96" s="1777">
        <v>6742</v>
      </c>
      <c r="D96" s="1777">
        <v>269.68</v>
      </c>
      <c r="E96" s="1777">
        <v>919</v>
      </c>
      <c r="F96" s="1777">
        <v>461</v>
      </c>
      <c r="G96" s="1777">
        <v>501.63220892274205</v>
      </c>
      <c r="H96" s="1777"/>
      <c r="I96" s="1777"/>
      <c r="J96" s="1777"/>
    </row>
    <row r="97" spans="1:10" hidden="1">
      <c r="A97" s="1776" t="s">
        <v>20</v>
      </c>
      <c r="B97" s="1778">
        <v>27</v>
      </c>
      <c r="C97" s="1777">
        <v>7966</v>
      </c>
      <c r="D97" s="1777">
        <v>295.03703703703701</v>
      </c>
      <c r="E97" s="1777">
        <v>1082</v>
      </c>
      <c r="F97" s="1777">
        <v>540</v>
      </c>
      <c r="G97" s="1777">
        <v>499.07578558225509</v>
      </c>
      <c r="H97" s="1777"/>
      <c r="I97" s="1777"/>
      <c r="J97" s="1777"/>
    </row>
    <row r="98" spans="1:10" hidden="1">
      <c r="A98" s="1776" t="s">
        <v>21</v>
      </c>
      <c r="B98" s="1778">
        <v>32</v>
      </c>
      <c r="C98" s="1777">
        <v>6498</v>
      </c>
      <c r="D98" s="1777">
        <v>203.0625</v>
      </c>
      <c r="E98" s="1777">
        <v>1297</v>
      </c>
      <c r="F98" s="1777">
        <v>530</v>
      </c>
      <c r="G98" s="1777">
        <v>408.63531225905933</v>
      </c>
      <c r="H98" s="1777"/>
      <c r="I98" s="1777"/>
      <c r="J98" s="1777"/>
    </row>
    <row r="99" spans="1:10" hidden="1">
      <c r="A99" s="1776" t="s">
        <v>22</v>
      </c>
      <c r="B99" s="1778">
        <v>33</v>
      </c>
      <c r="C99" s="1777">
        <v>7638</v>
      </c>
      <c r="D99" s="1777">
        <v>231.45454545454547</v>
      </c>
      <c r="E99" s="1777">
        <v>1757</v>
      </c>
      <c r="F99" s="1777">
        <v>603</v>
      </c>
      <c r="G99" s="1777">
        <v>343.19863403528745</v>
      </c>
      <c r="H99" s="1777"/>
      <c r="I99" s="1777"/>
      <c r="J99" s="1777"/>
    </row>
    <row r="100" spans="1:10" hidden="1">
      <c r="A100" s="1776" t="s">
        <v>23</v>
      </c>
      <c r="B100" s="1778">
        <v>33</v>
      </c>
      <c r="C100" s="1777">
        <v>7341</v>
      </c>
      <c r="D100" s="1777">
        <v>222.45454545454547</v>
      </c>
      <c r="E100" s="1777">
        <v>1660</v>
      </c>
      <c r="F100" s="1777">
        <v>607</v>
      </c>
      <c r="G100" s="1777">
        <v>365.66265060240966</v>
      </c>
      <c r="H100" s="1777"/>
      <c r="I100" s="1777"/>
      <c r="J100" s="1777"/>
    </row>
    <row r="101" spans="1:10" hidden="1">
      <c r="A101" s="1776" t="s">
        <v>24</v>
      </c>
      <c r="B101" s="1778">
        <v>34</v>
      </c>
      <c r="C101" s="1777">
        <v>8048</v>
      </c>
      <c r="D101" s="1777">
        <v>236.70588235294119</v>
      </c>
      <c r="E101" s="1777">
        <v>1740</v>
      </c>
      <c r="F101" s="1777">
        <v>861</v>
      </c>
      <c r="G101" s="1777">
        <v>494.82758620689657</v>
      </c>
      <c r="H101" s="1777"/>
      <c r="I101" s="1777"/>
      <c r="J101" s="1777"/>
    </row>
    <row r="102" spans="1:10" hidden="1">
      <c r="A102" s="1776" t="s">
        <v>25</v>
      </c>
      <c r="B102" s="1778">
        <v>32</v>
      </c>
      <c r="C102" s="1777">
        <v>8162</v>
      </c>
      <c r="D102" s="1777">
        <v>255.0625</v>
      </c>
      <c r="E102" s="1777">
        <v>1842</v>
      </c>
      <c r="F102" s="1777">
        <v>831</v>
      </c>
      <c r="G102" s="1777">
        <v>451.14006514657979</v>
      </c>
      <c r="H102" s="1777"/>
      <c r="I102" s="1777"/>
      <c r="J102" s="1777"/>
    </row>
    <row r="103" spans="1:10" hidden="1">
      <c r="A103" s="1776" t="s">
        <v>26</v>
      </c>
      <c r="B103" s="1778">
        <v>35</v>
      </c>
      <c r="C103" s="1777">
        <v>9155</v>
      </c>
      <c r="D103" s="1777">
        <v>261.57142857142856</v>
      </c>
      <c r="E103" s="1777">
        <v>1973</v>
      </c>
      <c r="F103" s="1777">
        <v>899</v>
      </c>
      <c r="G103" s="1777">
        <v>455.65129244804865</v>
      </c>
      <c r="H103" s="1777"/>
      <c r="I103" s="1777"/>
      <c r="J103" s="1777"/>
    </row>
    <row r="104" spans="1:10" hidden="1">
      <c r="A104" s="1776" t="s">
        <v>27</v>
      </c>
      <c r="B104" s="1778">
        <v>36</v>
      </c>
      <c r="C104" s="1777">
        <v>7297</v>
      </c>
      <c r="D104" s="1777">
        <v>202.69444444444446</v>
      </c>
      <c r="E104" s="1777">
        <v>1838</v>
      </c>
      <c r="F104" s="1777">
        <v>857</v>
      </c>
      <c r="G104" s="1777">
        <v>466.26768226332973</v>
      </c>
      <c r="H104" s="1777"/>
      <c r="I104" s="1777"/>
      <c r="J104" s="1777"/>
    </row>
    <row r="105" spans="1:10" hidden="1">
      <c r="A105" s="1776" t="s">
        <v>28</v>
      </c>
      <c r="B105" s="1778">
        <v>37</v>
      </c>
      <c r="C105" s="1777">
        <v>7906</v>
      </c>
      <c r="D105" s="1777">
        <v>213.67567567567568</v>
      </c>
      <c r="E105" s="1777">
        <v>1957</v>
      </c>
      <c r="F105" s="1777">
        <v>835</v>
      </c>
      <c r="G105" s="1777">
        <v>426.67347981604496</v>
      </c>
      <c r="H105" s="1777"/>
      <c r="I105" s="1777"/>
      <c r="J105" s="1777"/>
    </row>
    <row r="106" spans="1:10" hidden="1">
      <c r="A106" s="1776" t="s">
        <v>29</v>
      </c>
      <c r="B106" s="1778">
        <v>54</v>
      </c>
      <c r="C106" s="1777">
        <v>17067</v>
      </c>
      <c r="D106" s="1777">
        <v>316.05555555555554</v>
      </c>
      <c r="E106" s="1777">
        <v>2246</v>
      </c>
      <c r="F106" s="1777">
        <v>1115</v>
      </c>
      <c r="G106" s="1777">
        <v>496.43811219946571</v>
      </c>
      <c r="H106" s="1777"/>
      <c r="I106" s="1777"/>
      <c r="J106" s="1777"/>
    </row>
    <row r="107" spans="1:10">
      <c r="A107" s="1776" t="s">
        <v>1327</v>
      </c>
      <c r="B107" s="1779">
        <f>SUM(B108:B119)</f>
        <v>495</v>
      </c>
      <c r="C107" s="1779">
        <f>SUM(C108:C119)</f>
        <v>106985</v>
      </c>
      <c r="D107" s="1779">
        <f>C107/B107</f>
        <v>216.13131313131314</v>
      </c>
      <c r="E107" s="1779">
        <f>SUM(E108:E119)</f>
        <v>25631</v>
      </c>
      <c r="F107" s="1779">
        <f>SUM(F108:F119)</f>
        <v>11846</v>
      </c>
      <c r="G107" s="1779">
        <f>F107/E107*1000</f>
        <v>462.17471031173193</v>
      </c>
      <c r="H107" s="1779"/>
      <c r="I107" s="1779"/>
      <c r="J107" s="1779"/>
    </row>
    <row r="108" spans="1:10" hidden="1">
      <c r="A108" s="1776" t="s">
        <v>18</v>
      </c>
      <c r="B108" s="1775">
        <v>23</v>
      </c>
      <c r="C108" s="1774">
        <v>7292</v>
      </c>
      <c r="D108" s="1774">
        <v>317.04347826086956</v>
      </c>
      <c r="E108" s="1774">
        <v>2033</v>
      </c>
      <c r="F108" s="1774">
        <v>747</v>
      </c>
      <c r="G108" s="1774">
        <v>367.43728480078704</v>
      </c>
      <c r="H108" s="1774"/>
      <c r="I108" s="1774"/>
      <c r="J108" s="1774"/>
    </row>
    <row r="109" spans="1:10" hidden="1">
      <c r="A109" s="1776" t="s">
        <v>19</v>
      </c>
      <c r="B109" s="1775">
        <v>31</v>
      </c>
      <c r="C109" s="1774">
        <v>7836</v>
      </c>
      <c r="D109" s="1774">
        <v>252.7741935483871</v>
      </c>
      <c r="E109" s="1774">
        <v>2082</v>
      </c>
      <c r="F109" s="1774">
        <v>669</v>
      </c>
      <c r="G109" s="1774">
        <v>321.32564841498555</v>
      </c>
      <c r="H109" s="1774"/>
      <c r="I109" s="1774"/>
      <c r="J109" s="1774"/>
    </row>
    <row r="110" spans="1:10" hidden="1">
      <c r="A110" s="1776" t="s">
        <v>20</v>
      </c>
      <c r="B110" s="1775">
        <v>34</v>
      </c>
      <c r="C110" s="1774">
        <v>8378</v>
      </c>
      <c r="D110" s="1774">
        <v>246.41176470588235</v>
      </c>
      <c r="E110" s="1774">
        <v>1995</v>
      </c>
      <c r="F110" s="1774">
        <v>785</v>
      </c>
      <c r="G110" s="1774">
        <v>393.48370927318291</v>
      </c>
      <c r="H110" s="1774"/>
      <c r="I110" s="1774"/>
      <c r="J110" s="1774"/>
    </row>
    <row r="111" spans="1:10" hidden="1">
      <c r="A111" s="1776" t="s">
        <v>21</v>
      </c>
      <c r="B111" s="1775">
        <v>41</v>
      </c>
      <c r="C111" s="1774">
        <v>8739</v>
      </c>
      <c r="D111" s="1774">
        <v>213.14634146341464</v>
      </c>
      <c r="E111" s="1774">
        <v>1955</v>
      </c>
      <c r="F111" s="1774">
        <v>873</v>
      </c>
      <c r="G111" s="1774">
        <v>446.54731457800511</v>
      </c>
      <c r="H111" s="1774"/>
      <c r="I111" s="1774"/>
      <c r="J111" s="1774"/>
    </row>
    <row r="112" spans="1:10" hidden="1">
      <c r="A112" s="1776" t="s">
        <v>22</v>
      </c>
      <c r="B112" s="1775">
        <v>46</v>
      </c>
      <c r="C112" s="1774">
        <v>9024</v>
      </c>
      <c r="D112" s="1774">
        <v>196.17391304347825</v>
      </c>
      <c r="E112" s="1774">
        <v>2093</v>
      </c>
      <c r="F112" s="1774">
        <v>871</v>
      </c>
      <c r="G112" s="1774">
        <v>416.14906832298135</v>
      </c>
      <c r="H112" s="1774"/>
      <c r="I112" s="1774"/>
      <c r="J112" s="1774"/>
    </row>
    <row r="113" spans="1:10" hidden="1">
      <c r="A113" s="1776" t="s">
        <v>23</v>
      </c>
      <c r="B113" s="1775">
        <v>42</v>
      </c>
      <c r="C113" s="1774">
        <v>9208</v>
      </c>
      <c r="D113" s="1774">
        <v>219.23809523809524</v>
      </c>
      <c r="E113" s="1774">
        <v>1834</v>
      </c>
      <c r="F113" s="1774">
        <v>959</v>
      </c>
      <c r="G113" s="1774">
        <v>522.9007633587787</v>
      </c>
      <c r="H113" s="1774"/>
      <c r="I113" s="1774"/>
      <c r="J113" s="1774"/>
    </row>
    <row r="114" spans="1:10" hidden="1">
      <c r="A114" s="1776" t="s">
        <v>24</v>
      </c>
      <c r="B114" s="1775">
        <v>46</v>
      </c>
      <c r="C114" s="1774">
        <v>8856</v>
      </c>
      <c r="D114" s="1774">
        <v>192.52173913043478</v>
      </c>
      <c r="E114" s="1774">
        <v>2780</v>
      </c>
      <c r="F114" s="1774">
        <v>1044</v>
      </c>
      <c r="G114" s="1774">
        <v>375.53956834532374</v>
      </c>
      <c r="H114" s="1774"/>
      <c r="I114" s="1774"/>
      <c r="J114" s="1774"/>
    </row>
    <row r="115" spans="1:10" hidden="1">
      <c r="A115" s="1776" t="s">
        <v>25</v>
      </c>
      <c r="B115" s="1775">
        <v>41</v>
      </c>
      <c r="C115" s="1774">
        <v>8157</v>
      </c>
      <c r="D115" s="1774">
        <v>198.95121951219511</v>
      </c>
      <c r="E115" s="1774">
        <v>2098</v>
      </c>
      <c r="F115" s="1774">
        <v>1023</v>
      </c>
      <c r="G115" s="1774">
        <v>487.60724499523354</v>
      </c>
      <c r="H115" s="1774"/>
      <c r="I115" s="1774"/>
      <c r="J115" s="1774"/>
    </row>
    <row r="116" spans="1:10" hidden="1">
      <c r="A116" s="1776" t="s">
        <v>26</v>
      </c>
      <c r="B116" s="1775">
        <v>39</v>
      </c>
      <c r="C116" s="1774">
        <v>8996</v>
      </c>
      <c r="D116" s="1774">
        <v>230.66666666666666</v>
      </c>
      <c r="E116" s="1774">
        <v>1794</v>
      </c>
      <c r="F116" s="1774">
        <v>1046</v>
      </c>
      <c r="G116" s="1774">
        <v>583.05462653288737</v>
      </c>
      <c r="H116" s="1774"/>
      <c r="I116" s="1774"/>
      <c r="J116" s="1774"/>
    </row>
    <row r="117" spans="1:10" hidden="1">
      <c r="A117" s="1776" t="s">
        <v>27</v>
      </c>
      <c r="B117" s="1775">
        <v>43</v>
      </c>
      <c r="C117" s="1774">
        <v>8706</v>
      </c>
      <c r="D117" s="1774">
        <v>202.46511627906978</v>
      </c>
      <c r="E117" s="1774">
        <v>2301</v>
      </c>
      <c r="F117" s="1774">
        <v>1155</v>
      </c>
      <c r="G117" s="1774">
        <v>501.95567144719689</v>
      </c>
      <c r="H117" s="1774"/>
      <c r="I117" s="1774"/>
      <c r="J117" s="1774"/>
    </row>
    <row r="118" spans="1:10" hidden="1">
      <c r="A118" s="1776" t="s">
        <v>28</v>
      </c>
      <c r="B118" s="1775">
        <v>46</v>
      </c>
      <c r="C118" s="1774">
        <v>9264</v>
      </c>
      <c r="D118" s="1774">
        <v>201.39130434782609</v>
      </c>
      <c r="E118" s="1774">
        <v>2218</v>
      </c>
      <c r="F118" s="1774">
        <v>1144</v>
      </c>
      <c r="G118" s="1774">
        <v>515.77998196573492</v>
      </c>
      <c r="H118" s="1774"/>
      <c r="I118" s="1774"/>
      <c r="J118" s="1774"/>
    </row>
    <row r="119" spans="1:10" hidden="1">
      <c r="A119" s="1776" t="s">
        <v>29</v>
      </c>
      <c r="B119" s="1775">
        <v>63</v>
      </c>
      <c r="C119" s="1774">
        <v>12529</v>
      </c>
      <c r="D119" s="1774">
        <v>198.87301587301587</v>
      </c>
      <c r="E119" s="1774">
        <v>2448</v>
      </c>
      <c r="F119" s="1774">
        <v>1530</v>
      </c>
      <c r="G119" s="1774">
        <v>625</v>
      </c>
      <c r="H119" s="1774"/>
      <c r="I119" s="1774"/>
      <c r="J119" s="1774"/>
    </row>
    <row r="120" spans="1:10">
      <c r="A120" s="1776">
        <v>2013</v>
      </c>
      <c r="B120" s="1779">
        <f>SUM(B121:B132)</f>
        <v>522</v>
      </c>
      <c r="C120" s="1779">
        <f>SUM(C121:C132)</f>
        <v>113189</v>
      </c>
      <c r="D120" s="1779">
        <f>C120/B120</f>
        <v>216.83716475095787</v>
      </c>
      <c r="E120" s="1779">
        <f>SUM(E121:E132)</f>
        <v>26735</v>
      </c>
      <c r="F120" s="1779">
        <f>SUM(F121:F132)</f>
        <v>14973</v>
      </c>
      <c r="G120" s="1779">
        <f>F120/E120*1000</f>
        <v>560.05236581260522</v>
      </c>
      <c r="H120" s="1779"/>
      <c r="I120" s="1779"/>
      <c r="J120" s="1779"/>
    </row>
    <row r="121" spans="1:10" hidden="1">
      <c r="A121" s="1776">
        <v>1</v>
      </c>
      <c r="B121" s="1775">
        <v>24</v>
      </c>
      <c r="C121" s="1774">
        <v>7594</v>
      </c>
      <c r="D121" s="872">
        <v>316.41666666666669</v>
      </c>
      <c r="E121" s="1774">
        <v>2169</v>
      </c>
      <c r="F121" s="1774">
        <v>922</v>
      </c>
      <c r="G121" s="1774">
        <v>425.0806823420931</v>
      </c>
      <c r="H121" s="1774"/>
      <c r="I121" s="1774"/>
      <c r="J121" s="1774"/>
    </row>
    <row r="122" spans="1:10" hidden="1">
      <c r="A122" s="1776">
        <v>2</v>
      </c>
      <c r="B122" s="1775">
        <v>40</v>
      </c>
      <c r="C122" s="1774">
        <v>10197</v>
      </c>
      <c r="D122" s="872">
        <v>254.92500000000001</v>
      </c>
      <c r="E122" s="1774">
        <v>2204</v>
      </c>
      <c r="F122" s="1774">
        <v>1074</v>
      </c>
      <c r="G122" s="1774">
        <v>487.29582577132487</v>
      </c>
      <c r="H122" s="1774"/>
      <c r="I122" s="1774"/>
      <c r="J122" s="1774"/>
    </row>
    <row r="123" spans="1:10" hidden="1">
      <c r="A123" s="1776">
        <v>3</v>
      </c>
      <c r="B123" s="1775">
        <v>39</v>
      </c>
      <c r="C123" s="1774">
        <v>8747</v>
      </c>
      <c r="D123" s="1774">
        <v>224.28205128205127</v>
      </c>
      <c r="E123" s="1774">
        <v>1989</v>
      </c>
      <c r="F123" s="1774">
        <v>1113</v>
      </c>
      <c r="G123" s="1774">
        <v>559.57767722473602</v>
      </c>
      <c r="H123" s="1774"/>
      <c r="I123" s="1774"/>
      <c r="J123" s="1774"/>
    </row>
    <row r="124" spans="1:10" hidden="1">
      <c r="A124" s="1776">
        <v>4</v>
      </c>
      <c r="B124" s="1775">
        <v>45</v>
      </c>
      <c r="C124" s="1774">
        <v>9423</v>
      </c>
      <c r="D124" s="1774">
        <v>209.4</v>
      </c>
      <c r="E124" s="1774">
        <v>2402</v>
      </c>
      <c r="F124" s="1774">
        <v>1338</v>
      </c>
      <c r="G124" s="1774">
        <v>557.03580349708579</v>
      </c>
      <c r="H124" s="1774"/>
      <c r="I124" s="1774"/>
      <c r="J124" s="1774"/>
    </row>
    <row r="125" spans="1:10" hidden="1">
      <c r="A125" s="1776">
        <v>5</v>
      </c>
      <c r="B125" s="1775">
        <v>45</v>
      </c>
      <c r="C125" s="1774">
        <v>9344</v>
      </c>
      <c r="D125" s="1774">
        <v>207.64444444444445</v>
      </c>
      <c r="E125" s="1774">
        <v>2214</v>
      </c>
      <c r="F125" s="1774">
        <v>1216</v>
      </c>
      <c r="G125" s="1774">
        <v>549.23215898825651</v>
      </c>
      <c r="H125" s="1774"/>
      <c r="I125" s="1774"/>
      <c r="J125" s="1774"/>
    </row>
    <row r="126" spans="1:10" hidden="1">
      <c r="A126" s="1776">
        <v>6</v>
      </c>
      <c r="B126" s="1775">
        <v>40</v>
      </c>
      <c r="C126" s="1774">
        <v>8423</v>
      </c>
      <c r="D126" s="1774">
        <v>210.57499999999999</v>
      </c>
      <c r="E126" s="1774">
        <v>1839</v>
      </c>
      <c r="F126" s="1774">
        <v>1168</v>
      </c>
      <c r="G126" s="1774">
        <v>635.12778684067428</v>
      </c>
      <c r="H126" s="1774"/>
      <c r="I126" s="1774"/>
      <c r="J126" s="1774"/>
    </row>
    <row r="127" spans="1:10" hidden="1">
      <c r="A127" s="1776">
        <v>7</v>
      </c>
      <c r="B127" s="1775">
        <v>49</v>
      </c>
      <c r="C127" s="1774">
        <v>10457</v>
      </c>
      <c r="D127" s="1774">
        <v>213.40816326530611</v>
      </c>
      <c r="E127" s="1774">
        <v>2475</v>
      </c>
      <c r="F127" s="1774">
        <v>1397</v>
      </c>
      <c r="G127" s="1774">
        <v>564.44444444444446</v>
      </c>
      <c r="H127" s="1774"/>
      <c r="I127" s="1774"/>
      <c r="J127" s="1774"/>
    </row>
    <row r="128" spans="1:10" hidden="1">
      <c r="A128" s="1776">
        <v>8</v>
      </c>
      <c r="B128" s="1775">
        <v>41</v>
      </c>
      <c r="C128" s="1774">
        <v>9799</v>
      </c>
      <c r="D128" s="1774">
        <v>239</v>
      </c>
      <c r="E128" s="1774">
        <v>2017</v>
      </c>
      <c r="F128" s="1774">
        <v>1194</v>
      </c>
      <c r="G128" s="1774">
        <v>591.96826970748634</v>
      </c>
      <c r="H128" s="1774"/>
      <c r="I128" s="1774"/>
      <c r="J128" s="1774"/>
    </row>
    <row r="129" spans="1:10" hidden="1">
      <c r="A129" s="1776">
        <v>9</v>
      </c>
      <c r="B129" s="1775">
        <v>42</v>
      </c>
      <c r="C129" s="1774">
        <v>9316</v>
      </c>
      <c r="D129" s="1774">
        <v>221.8095238095238</v>
      </c>
      <c r="E129" s="1774">
        <v>2130</v>
      </c>
      <c r="F129" s="1774">
        <v>1204</v>
      </c>
      <c r="G129" s="1774">
        <v>565.25821596244134</v>
      </c>
      <c r="H129" s="1774"/>
      <c r="I129" s="1774"/>
      <c r="J129" s="1774"/>
    </row>
    <row r="130" spans="1:10" hidden="1">
      <c r="A130" s="1776">
        <v>10</v>
      </c>
      <c r="B130" s="1775">
        <v>46</v>
      </c>
      <c r="C130" s="1774">
        <v>9044</v>
      </c>
      <c r="D130" s="1774">
        <v>196.60869565217391</v>
      </c>
      <c r="E130" s="1774">
        <v>2313</v>
      </c>
      <c r="F130" s="1774">
        <v>1278</v>
      </c>
      <c r="G130" s="1774">
        <v>552.52918287937746</v>
      </c>
      <c r="H130" s="1774"/>
      <c r="I130" s="1774"/>
      <c r="J130" s="1774"/>
    </row>
    <row r="131" spans="1:10" hidden="1">
      <c r="A131" s="1776">
        <v>11</v>
      </c>
      <c r="B131" s="1775">
        <v>45</v>
      </c>
      <c r="C131" s="1774">
        <v>8548</v>
      </c>
      <c r="D131" s="1774">
        <v>189.95555555555555</v>
      </c>
      <c r="E131" s="1774">
        <v>2268</v>
      </c>
      <c r="F131" s="1774">
        <v>1456</v>
      </c>
      <c r="G131" s="1774">
        <v>641.97530864197529</v>
      </c>
      <c r="H131" s="1774"/>
      <c r="I131" s="1774"/>
      <c r="J131" s="1774"/>
    </row>
    <row r="132" spans="1:10" hidden="1">
      <c r="A132" s="1776">
        <v>12</v>
      </c>
      <c r="B132" s="1775">
        <v>66</v>
      </c>
      <c r="C132" s="1774">
        <v>12297</v>
      </c>
      <c r="D132" s="1774">
        <v>186.31818181818181</v>
      </c>
      <c r="E132" s="1774">
        <v>2715</v>
      </c>
      <c r="F132" s="1774">
        <v>1613</v>
      </c>
      <c r="G132" s="1774">
        <v>594.10681399631676</v>
      </c>
      <c r="H132" s="1774"/>
      <c r="I132" s="1774"/>
      <c r="J132" s="1774"/>
    </row>
    <row r="133" spans="1:10">
      <c r="A133" s="1776">
        <v>2014</v>
      </c>
      <c r="B133" s="1779">
        <f>SUM(B134:B145)</f>
        <v>515</v>
      </c>
      <c r="C133" s="1779">
        <f>SUM(C134:C145)</f>
        <v>104281</v>
      </c>
      <c r="D133" s="1779">
        <f>C133/B133</f>
        <v>202.48737864077671</v>
      </c>
      <c r="E133" s="1779">
        <f>SUM(E134:E145)</f>
        <v>28270</v>
      </c>
      <c r="F133" s="1779">
        <f>SUM(F134:F145)</f>
        <v>15076</v>
      </c>
      <c r="G133" s="1779">
        <f>F133/E133*1000</f>
        <v>533.28616908383447</v>
      </c>
      <c r="H133" s="1779"/>
      <c r="I133" s="1779"/>
      <c r="J133" s="1779"/>
    </row>
    <row r="134" spans="1:10" hidden="1">
      <c r="A134" s="1776">
        <v>1</v>
      </c>
      <c r="B134" s="1775">
        <v>25</v>
      </c>
      <c r="C134" s="1774">
        <v>7650</v>
      </c>
      <c r="D134" s="1774">
        <v>306</v>
      </c>
      <c r="E134" s="1774">
        <v>2258</v>
      </c>
      <c r="F134" s="1774">
        <v>1053</v>
      </c>
      <c r="G134" s="1774">
        <v>466.34189548272809</v>
      </c>
      <c r="H134" s="1774"/>
      <c r="I134" s="1774"/>
      <c r="J134" s="1774"/>
    </row>
    <row r="135" spans="1:10" hidden="1">
      <c r="A135" s="1776">
        <v>2</v>
      </c>
      <c r="B135" s="1775">
        <v>41</v>
      </c>
      <c r="C135" s="1774">
        <v>9022</v>
      </c>
      <c r="D135" s="1774">
        <v>220.04878048780489</v>
      </c>
      <c r="E135" s="1774">
        <v>2253</v>
      </c>
      <c r="F135" s="1774">
        <v>1128</v>
      </c>
      <c r="G135" s="1774">
        <v>500.66577896138489</v>
      </c>
      <c r="H135" s="1774"/>
      <c r="I135" s="1774"/>
      <c r="J135" s="1774"/>
    </row>
    <row r="136" spans="1:10" hidden="1">
      <c r="A136" s="1776">
        <v>3</v>
      </c>
      <c r="B136" s="1775">
        <v>39</v>
      </c>
      <c r="C136" s="1774">
        <v>8398</v>
      </c>
      <c r="D136" s="1774">
        <v>215.33333333333334</v>
      </c>
      <c r="E136" s="1774">
        <v>2168</v>
      </c>
      <c r="F136" s="1774">
        <v>1191</v>
      </c>
      <c r="G136" s="1774">
        <v>549.35424354243548</v>
      </c>
      <c r="H136" s="1774"/>
      <c r="I136" s="1774"/>
      <c r="J136" s="1774"/>
    </row>
    <row r="137" spans="1:10" hidden="1">
      <c r="A137" s="1776">
        <v>4</v>
      </c>
      <c r="B137" s="1775">
        <v>45</v>
      </c>
      <c r="C137" s="1774">
        <v>8887</v>
      </c>
      <c r="D137" s="1774">
        <v>197.48888888888888</v>
      </c>
      <c r="E137" s="1774">
        <v>2452</v>
      </c>
      <c r="F137" s="1774">
        <v>1351</v>
      </c>
      <c r="G137" s="1774">
        <v>550.97879282218594</v>
      </c>
      <c r="H137" s="1774"/>
      <c r="I137" s="1774"/>
      <c r="J137" s="1774"/>
    </row>
    <row r="138" spans="1:10" hidden="1">
      <c r="A138" s="1776">
        <v>5</v>
      </c>
      <c r="B138" s="1775">
        <v>44</v>
      </c>
      <c r="C138" s="1774">
        <v>8287</v>
      </c>
      <c r="D138" s="1774">
        <v>188.34090909090909</v>
      </c>
      <c r="E138" s="1774">
        <v>2300</v>
      </c>
      <c r="F138" s="1774">
        <v>1207</v>
      </c>
      <c r="G138" s="1774">
        <v>524.78260869565224</v>
      </c>
      <c r="H138" s="1774"/>
      <c r="I138" s="1774"/>
      <c r="J138" s="1774"/>
    </row>
    <row r="139" spans="1:10" hidden="1">
      <c r="A139" s="1776">
        <v>6</v>
      </c>
      <c r="B139" s="1775">
        <v>42</v>
      </c>
      <c r="C139" s="1774">
        <v>10445</v>
      </c>
      <c r="D139" s="1774">
        <v>248.6904761904762</v>
      </c>
      <c r="E139" s="1774">
        <v>2226</v>
      </c>
      <c r="F139" s="1774">
        <v>1228</v>
      </c>
      <c r="G139" s="1774">
        <v>551.66217430368374</v>
      </c>
      <c r="H139" s="1774"/>
      <c r="I139" s="1774"/>
      <c r="J139" s="1774"/>
    </row>
    <row r="140" spans="1:10" hidden="1">
      <c r="A140" s="1776">
        <v>7</v>
      </c>
      <c r="B140" s="1775">
        <v>47</v>
      </c>
      <c r="C140" s="1774">
        <v>8580</v>
      </c>
      <c r="D140" s="1774">
        <v>182.55319148936169</v>
      </c>
      <c r="E140" s="1774">
        <v>2471</v>
      </c>
      <c r="F140" s="1774">
        <v>1344</v>
      </c>
      <c r="G140" s="1774">
        <v>543.90934844192645</v>
      </c>
      <c r="H140" s="1774"/>
      <c r="I140" s="1774"/>
      <c r="J140" s="1774"/>
    </row>
    <row r="141" spans="1:10" hidden="1">
      <c r="A141" s="1776">
        <v>8</v>
      </c>
      <c r="B141" s="1775">
        <v>40</v>
      </c>
      <c r="C141" s="1774">
        <v>7726</v>
      </c>
      <c r="D141" s="1774">
        <v>193.15</v>
      </c>
      <c r="E141" s="1774">
        <v>2261</v>
      </c>
      <c r="F141" s="1774">
        <v>1168</v>
      </c>
      <c r="G141" s="1774">
        <v>516.58558160106145</v>
      </c>
      <c r="H141" s="1774"/>
      <c r="I141" s="1774"/>
      <c r="J141" s="1774"/>
    </row>
    <row r="142" spans="1:10" hidden="1">
      <c r="A142" s="1776">
        <v>9</v>
      </c>
      <c r="B142" s="1775">
        <v>44</v>
      </c>
      <c r="C142" s="1774">
        <v>7739</v>
      </c>
      <c r="D142" s="1774">
        <v>175.88636363636363</v>
      </c>
      <c r="E142" s="1774">
        <v>2415</v>
      </c>
      <c r="F142" s="1774">
        <v>1220</v>
      </c>
      <c r="G142" s="1774">
        <v>505.17598343685302</v>
      </c>
      <c r="H142" s="1774"/>
      <c r="I142" s="1774"/>
      <c r="J142" s="1774"/>
    </row>
    <row r="143" spans="1:10" hidden="1">
      <c r="A143" s="1776">
        <v>10</v>
      </c>
      <c r="B143" s="1775">
        <v>44</v>
      </c>
      <c r="C143" s="1774">
        <v>8123</v>
      </c>
      <c r="D143" s="1774">
        <v>184.61363636363637</v>
      </c>
      <c r="E143" s="1774">
        <v>2444</v>
      </c>
      <c r="F143" s="1774">
        <v>1325</v>
      </c>
      <c r="G143" s="1774">
        <v>542.14402618657937</v>
      </c>
      <c r="H143" s="1774"/>
      <c r="I143" s="1774"/>
      <c r="J143" s="1774"/>
    </row>
    <row r="144" spans="1:10" hidden="1">
      <c r="A144" s="1776">
        <v>11</v>
      </c>
      <c r="B144" s="1775">
        <v>42</v>
      </c>
      <c r="C144" s="1774">
        <v>8254</v>
      </c>
      <c r="D144" s="1774">
        <v>196.52380952380952</v>
      </c>
      <c r="E144" s="1774">
        <v>2242</v>
      </c>
      <c r="F144" s="1774">
        <v>1268</v>
      </c>
      <c r="G144" s="1774">
        <v>565.56645851917926</v>
      </c>
      <c r="H144" s="1774"/>
      <c r="I144" s="1774"/>
      <c r="J144" s="1774"/>
    </row>
    <row r="145" spans="1:10" hidden="1">
      <c r="A145" s="1776">
        <v>12</v>
      </c>
      <c r="B145" s="1775">
        <v>62</v>
      </c>
      <c r="C145" s="1774">
        <v>11170</v>
      </c>
      <c r="D145" s="1774">
        <v>180.16129032258064</v>
      </c>
      <c r="E145" s="1774">
        <v>2780</v>
      </c>
      <c r="F145" s="1774">
        <v>1593</v>
      </c>
      <c r="G145" s="1774">
        <v>573.02158273381303</v>
      </c>
      <c r="H145" s="1774"/>
      <c r="I145" s="1774"/>
      <c r="J145" s="1774"/>
    </row>
    <row r="146" spans="1:10">
      <c r="A146" s="1776">
        <v>2015</v>
      </c>
      <c r="B146" s="1779">
        <f>SUM(B147:B158)</f>
        <v>489</v>
      </c>
      <c r="C146" s="1779">
        <f>SUM(C147:C158)</f>
        <v>121624</v>
      </c>
      <c r="D146" s="1779">
        <f>C146/B146</f>
        <v>248.719836400818</v>
      </c>
      <c r="E146" s="1779">
        <f>SUM(E147:E158)</f>
        <v>29858</v>
      </c>
      <c r="F146" s="1779">
        <f>SUM(F147:F158)</f>
        <v>15033</v>
      </c>
      <c r="G146" s="1779">
        <f>F146/E146*1000</f>
        <v>503.48315359367678</v>
      </c>
      <c r="H146" s="1779"/>
      <c r="I146" s="1779"/>
      <c r="J146" s="1779"/>
    </row>
    <row r="147" spans="1:10" hidden="1">
      <c r="A147" s="1776">
        <v>1</v>
      </c>
      <c r="B147" s="1775">
        <v>21</v>
      </c>
      <c r="C147" s="1774">
        <v>7626</v>
      </c>
      <c r="D147" s="1774">
        <v>363.14285714285717</v>
      </c>
      <c r="E147" s="1774">
        <v>2331</v>
      </c>
      <c r="F147" s="1774">
        <v>1041</v>
      </c>
      <c r="G147" s="1774">
        <v>446.5894465894466</v>
      </c>
      <c r="H147" s="1774"/>
      <c r="I147" s="1774"/>
      <c r="J147" s="1774"/>
    </row>
    <row r="148" spans="1:10" hidden="1">
      <c r="A148" s="1776" t="s">
        <v>311</v>
      </c>
      <c r="B148" s="1775">
        <v>37</v>
      </c>
      <c r="C148" s="1774">
        <v>12730</v>
      </c>
      <c r="D148" s="1774">
        <v>344.05405405405406</v>
      </c>
      <c r="E148" s="1774">
        <v>2324</v>
      </c>
      <c r="F148" s="1774">
        <v>1103</v>
      </c>
      <c r="G148" s="1774">
        <v>474.61273666092944</v>
      </c>
      <c r="H148" s="1774"/>
      <c r="I148" s="1774"/>
      <c r="J148" s="1774"/>
    </row>
    <row r="149" spans="1:10" hidden="1">
      <c r="A149" s="1776" t="s">
        <v>310</v>
      </c>
      <c r="B149" s="1775">
        <v>40</v>
      </c>
      <c r="C149" s="1774">
        <v>10629</v>
      </c>
      <c r="D149" s="1774">
        <v>265.72500000000002</v>
      </c>
      <c r="E149" s="1774">
        <v>2461</v>
      </c>
      <c r="F149" s="1774">
        <v>1202</v>
      </c>
      <c r="G149" s="1774">
        <v>488.41934173100367</v>
      </c>
      <c r="H149" s="1774"/>
      <c r="I149" s="1774"/>
      <c r="J149" s="1774"/>
    </row>
    <row r="150" spans="1:10" hidden="1">
      <c r="A150" s="1776" t="s">
        <v>1031</v>
      </c>
      <c r="B150" s="1775">
        <v>44</v>
      </c>
      <c r="C150" s="1774">
        <v>10992</v>
      </c>
      <c r="D150" s="1774">
        <v>249.81818181818181</v>
      </c>
      <c r="E150" s="1774">
        <v>2595</v>
      </c>
      <c r="F150" s="1774">
        <v>1400</v>
      </c>
      <c r="G150" s="1774">
        <v>539.49903660886321</v>
      </c>
      <c r="H150" s="1774"/>
      <c r="I150" s="1774"/>
      <c r="J150" s="1774"/>
    </row>
    <row r="151" spans="1:10" hidden="1">
      <c r="A151" s="1776" t="s">
        <v>309</v>
      </c>
      <c r="B151" s="1775">
        <v>38</v>
      </c>
      <c r="C151" s="1774">
        <v>7371</v>
      </c>
      <c r="D151" s="1774">
        <v>193.97368421052633</v>
      </c>
      <c r="E151" s="1774">
        <v>2361</v>
      </c>
      <c r="F151" s="1774">
        <v>1184</v>
      </c>
      <c r="G151" s="1774">
        <v>501</v>
      </c>
      <c r="H151" s="1774"/>
      <c r="I151" s="1774"/>
      <c r="J151" s="1774"/>
    </row>
    <row r="152" spans="1:10" hidden="1">
      <c r="A152" s="1776" t="s">
        <v>1032</v>
      </c>
      <c r="B152" s="1775">
        <v>41</v>
      </c>
      <c r="C152" s="1774">
        <v>7793</v>
      </c>
      <c r="D152" s="1774">
        <v>190.07317073170731</v>
      </c>
      <c r="E152" s="1774">
        <v>2559</v>
      </c>
      <c r="F152" s="1774">
        <v>1245</v>
      </c>
      <c r="G152" s="1774">
        <v>486.5</v>
      </c>
      <c r="H152" s="1774"/>
      <c r="I152" s="1774"/>
      <c r="J152" s="1774"/>
    </row>
    <row r="153" spans="1:10" hidden="1">
      <c r="A153" s="1776" t="s">
        <v>307</v>
      </c>
      <c r="B153" s="1775">
        <v>41</v>
      </c>
      <c r="C153" s="1774">
        <v>7840</v>
      </c>
      <c r="D153" s="1774">
        <v>191.21951219512195</v>
      </c>
      <c r="E153" s="1774">
        <v>2693</v>
      </c>
      <c r="F153" s="1774">
        <v>1417</v>
      </c>
      <c r="G153" s="1774">
        <v>526.20000000000005</v>
      </c>
      <c r="H153" s="1774"/>
      <c r="I153" s="1774"/>
      <c r="J153" s="1774"/>
    </row>
    <row r="154" spans="1:10" hidden="1">
      <c r="A154" s="1776">
        <v>8</v>
      </c>
      <c r="B154" s="1775">
        <v>38</v>
      </c>
      <c r="C154" s="1774">
        <v>9887</v>
      </c>
      <c r="D154" s="1774">
        <v>260</v>
      </c>
      <c r="E154" s="1774">
        <v>2471</v>
      </c>
      <c r="F154" s="1774">
        <v>1139</v>
      </c>
      <c r="G154" s="1774">
        <v>461</v>
      </c>
      <c r="H154" s="1774"/>
      <c r="I154" s="1774"/>
      <c r="J154" s="1774"/>
    </row>
    <row r="155" spans="1:10" hidden="1">
      <c r="A155" s="1776">
        <v>9</v>
      </c>
      <c r="B155" s="1775">
        <v>40</v>
      </c>
      <c r="C155" s="1774">
        <v>10125</v>
      </c>
      <c r="D155" s="1774">
        <v>253.125</v>
      </c>
      <c r="E155" s="1774">
        <v>2296</v>
      </c>
      <c r="F155" s="1774">
        <v>1165</v>
      </c>
      <c r="G155" s="1774">
        <v>507</v>
      </c>
      <c r="H155" s="1774"/>
      <c r="I155" s="1774"/>
      <c r="J155" s="1774"/>
    </row>
    <row r="156" spans="1:10" hidden="1">
      <c r="A156" s="1776">
        <v>10</v>
      </c>
      <c r="B156" s="1775">
        <v>46</v>
      </c>
      <c r="C156" s="1774">
        <v>12883</v>
      </c>
      <c r="D156" s="1774">
        <v>280.06521739130397</v>
      </c>
      <c r="E156" s="1774">
        <v>2363</v>
      </c>
      <c r="F156" s="1774">
        <v>1434</v>
      </c>
      <c r="G156" s="1774">
        <v>606.85569191705463</v>
      </c>
      <c r="H156" s="1774"/>
      <c r="I156" s="1774"/>
      <c r="J156" s="1774"/>
    </row>
    <row r="157" spans="1:10" hidden="1">
      <c r="A157" s="1776">
        <v>11</v>
      </c>
      <c r="B157" s="1775">
        <v>42</v>
      </c>
      <c r="C157" s="1774">
        <v>8690</v>
      </c>
      <c r="D157" s="1774">
        <v>206.90476190476201</v>
      </c>
      <c r="E157" s="1774">
        <v>2589</v>
      </c>
      <c r="F157" s="1774">
        <v>1248</v>
      </c>
      <c r="G157" s="1774">
        <v>482.0393974507532</v>
      </c>
      <c r="H157" s="1774"/>
      <c r="I157" s="1774"/>
      <c r="J157" s="1774"/>
    </row>
    <row r="158" spans="1:10" hidden="1">
      <c r="A158" s="1776">
        <v>12</v>
      </c>
      <c r="B158" s="1775">
        <v>61</v>
      </c>
      <c r="C158" s="1774">
        <v>15058</v>
      </c>
      <c r="D158" s="1774">
        <v>246.852459016393</v>
      </c>
      <c r="E158" s="1774">
        <v>2815</v>
      </c>
      <c r="F158" s="1774">
        <v>1455</v>
      </c>
      <c r="G158" s="1774">
        <v>516.87388987566612</v>
      </c>
      <c r="H158" s="1774"/>
      <c r="I158" s="1774"/>
      <c r="J158" s="1774"/>
    </row>
    <row r="159" spans="1:10">
      <c r="A159" s="1776" t="s">
        <v>1879</v>
      </c>
      <c r="B159" s="1779">
        <f>SUM(B160:B171)</f>
        <v>574</v>
      </c>
      <c r="C159" s="1779">
        <f>SUM(C160:C171)</f>
        <v>131962</v>
      </c>
      <c r="D159" s="1779">
        <f>C159/B159</f>
        <v>229.89895470383274</v>
      </c>
      <c r="E159" s="1779">
        <f>SUM(E160:E171)</f>
        <v>32628</v>
      </c>
      <c r="F159" s="1779">
        <f>SUM(F160:F171)</f>
        <v>16103</v>
      </c>
      <c r="G159" s="1779">
        <f>F159/E159*1000</f>
        <v>493.53316170160599</v>
      </c>
      <c r="H159" s="1779"/>
      <c r="I159" s="1779"/>
      <c r="J159" s="1779"/>
    </row>
    <row r="160" spans="1:10" hidden="1">
      <c r="A160" s="1776">
        <v>1</v>
      </c>
      <c r="B160" s="1775">
        <v>24</v>
      </c>
      <c r="C160" s="1774">
        <v>10478</v>
      </c>
      <c r="D160" s="1774">
        <v>436.58333333333331</v>
      </c>
      <c r="E160" s="1775">
        <v>2309</v>
      </c>
      <c r="F160" s="1774">
        <v>960</v>
      </c>
      <c r="G160" s="1774">
        <v>415.76440017323517</v>
      </c>
      <c r="H160" s="1774"/>
      <c r="I160" s="1774"/>
      <c r="J160" s="1774"/>
    </row>
    <row r="161" spans="1:12" hidden="1">
      <c r="A161" s="1776">
        <v>2</v>
      </c>
      <c r="B161" s="1775">
        <v>38</v>
      </c>
      <c r="C161" s="1774">
        <v>9202</v>
      </c>
      <c r="D161" s="1774">
        <v>242.15789473684211</v>
      </c>
      <c r="E161" s="1775">
        <v>2695</v>
      </c>
      <c r="F161" s="1774">
        <v>1124</v>
      </c>
      <c r="G161" s="1774">
        <v>417.06864564007424</v>
      </c>
      <c r="H161" s="1774"/>
      <c r="I161" s="1774"/>
      <c r="J161" s="1774"/>
    </row>
    <row r="162" spans="1:12" hidden="1">
      <c r="A162" s="1776" t="s">
        <v>310</v>
      </c>
      <c r="B162" s="1775">
        <v>42</v>
      </c>
      <c r="C162" s="1774">
        <v>8674</v>
      </c>
      <c r="D162" s="1774">
        <v>206.52380952380952</v>
      </c>
      <c r="E162" s="1775">
        <v>2559</v>
      </c>
      <c r="F162" s="1774">
        <v>1181</v>
      </c>
      <c r="G162" s="1774">
        <v>461.50840171942167</v>
      </c>
      <c r="H162" s="1774"/>
      <c r="I162" s="1774"/>
      <c r="J162" s="1774"/>
    </row>
    <row r="163" spans="1:12" hidden="1">
      <c r="A163" s="1776" t="s">
        <v>1031</v>
      </c>
      <c r="B163" s="1775">
        <v>45</v>
      </c>
      <c r="C163" s="1774">
        <v>7108</v>
      </c>
      <c r="D163" s="1774">
        <v>157.95555555555555</v>
      </c>
      <c r="E163" s="1775">
        <v>2532</v>
      </c>
      <c r="F163" s="1774">
        <v>1300</v>
      </c>
      <c r="G163" s="1774">
        <v>513.42812006319116</v>
      </c>
      <c r="H163" s="1774"/>
      <c r="I163" s="1774"/>
      <c r="J163" s="1774"/>
    </row>
    <row r="164" spans="1:12" hidden="1">
      <c r="A164" s="1776" t="s">
        <v>309</v>
      </c>
      <c r="B164" s="1775">
        <v>50</v>
      </c>
      <c r="C164" s="1774">
        <v>16787</v>
      </c>
      <c r="D164" s="1774">
        <v>335.74</v>
      </c>
      <c r="E164" s="1775">
        <v>2740</v>
      </c>
      <c r="F164" s="1774">
        <v>1230</v>
      </c>
      <c r="G164" s="1774">
        <v>448.90510948905109</v>
      </c>
      <c r="H164" s="1774"/>
      <c r="I164" s="1774"/>
      <c r="J164" s="1774"/>
    </row>
    <row r="165" spans="1:12" hidden="1">
      <c r="A165" s="1776" t="s">
        <v>1032</v>
      </c>
      <c r="B165" s="1775">
        <v>52</v>
      </c>
      <c r="C165" s="1774">
        <v>7661</v>
      </c>
      <c r="D165" s="1774">
        <v>147.32692307692307</v>
      </c>
      <c r="E165" s="1775">
        <v>2662</v>
      </c>
      <c r="F165" s="1774">
        <v>1325</v>
      </c>
      <c r="G165" s="1774">
        <v>497.74605559729531</v>
      </c>
      <c r="H165" s="1774"/>
      <c r="I165" s="1774"/>
      <c r="J165" s="1774"/>
    </row>
    <row r="166" spans="1:12" hidden="1">
      <c r="A166" s="1776" t="s">
        <v>307</v>
      </c>
      <c r="B166" s="1775">
        <v>49</v>
      </c>
      <c r="C166" s="1774">
        <v>16792</v>
      </c>
      <c r="D166" s="1774">
        <v>342.69387755102042</v>
      </c>
      <c r="E166" s="1775">
        <v>2677</v>
      </c>
      <c r="F166" s="1774">
        <v>1398</v>
      </c>
      <c r="G166" s="1774">
        <v>522.22637280537924</v>
      </c>
      <c r="H166" s="1774"/>
      <c r="I166" s="1774"/>
      <c r="J166" s="1774"/>
    </row>
    <row r="167" spans="1:12" hidden="1">
      <c r="A167" s="1776" t="s">
        <v>308</v>
      </c>
      <c r="B167" s="1775">
        <v>48</v>
      </c>
      <c r="C167" s="1774">
        <v>8840</v>
      </c>
      <c r="D167" s="1774">
        <v>184.16666666666666</v>
      </c>
      <c r="E167" s="1775">
        <v>3005</v>
      </c>
      <c r="F167" s="1774">
        <v>1462</v>
      </c>
      <c r="G167" s="1774">
        <v>486.52246256239602</v>
      </c>
      <c r="H167" s="1774"/>
      <c r="I167" s="1774"/>
      <c r="J167" s="1774"/>
    </row>
    <row r="168" spans="1:12" s="432" customFormat="1" hidden="1">
      <c r="A168" s="1776">
        <v>9</v>
      </c>
      <c r="B168" s="1775">
        <v>47</v>
      </c>
      <c r="C168" s="1774">
        <v>11218</v>
      </c>
      <c r="D168" s="1774">
        <v>238.68085106382978</v>
      </c>
      <c r="E168" s="1775">
        <v>2557</v>
      </c>
      <c r="F168" s="1774">
        <v>1405</v>
      </c>
      <c r="G168" s="1774">
        <v>549.47203754399686</v>
      </c>
      <c r="H168" s="1774"/>
      <c r="I168" s="1774"/>
      <c r="J168" s="1774"/>
    </row>
    <row r="169" spans="1:12" s="432" customFormat="1" hidden="1">
      <c r="A169" s="1776">
        <v>10</v>
      </c>
      <c r="B169" s="1775">
        <v>52</v>
      </c>
      <c r="C169" s="1774">
        <v>9550</v>
      </c>
      <c r="D169" s="1774">
        <v>183.65384615384616</v>
      </c>
      <c r="E169" s="1775">
        <v>2872</v>
      </c>
      <c r="F169" s="1774">
        <v>1438</v>
      </c>
      <c r="G169" s="1774">
        <v>500.69637883008357</v>
      </c>
      <c r="H169" s="1774"/>
      <c r="I169" s="1774"/>
      <c r="J169" s="1774"/>
      <c r="L169" s="433">
        <v>1000</v>
      </c>
    </row>
    <row r="170" spans="1:12" s="432" customFormat="1" hidden="1">
      <c r="A170" s="1776">
        <v>11</v>
      </c>
      <c r="B170" s="1775">
        <v>55</v>
      </c>
      <c r="C170" s="1774">
        <v>8617</v>
      </c>
      <c r="D170" s="1774">
        <v>156.67272727272729</v>
      </c>
      <c r="E170" s="1775">
        <v>2959</v>
      </c>
      <c r="F170" s="1774">
        <v>1472</v>
      </c>
      <c r="G170" s="1774">
        <v>497.46535991889152</v>
      </c>
      <c r="H170" s="1774"/>
      <c r="I170" s="1774"/>
      <c r="J170" s="1774"/>
      <c r="L170" s="433"/>
    </row>
    <row r="171" spans="1:12" s="432" customFormat="1" hidden="1">
      <c r="A171" s="1776" t="s">
        <v>29</v>
      </c>
      <c r="B171" s="1775">
        <v>72</v>
      </c>
      <c r="C171" s="1774">
        <v>17035</v>
      </c>
      <c r="D171" s="1774">
        <v>236.59722222222223</v>
      </c>
      <c r="E171" s="1775">
        <v>3061</v>
      </c>
      <c r="F171" s="1774">
        <v>1808</v>
      </c>
      <c r="G171" s="1774">
        <v>590.65664815419791</v>
      </c>
      <c r="H171" s="1774"/>
      <c r="I171" s="1774"/>
      <c r="J171" s="1774"/>
      <c r="L171" s="433"/>
    </row>
    <row r="172" spans="1:12" s="432" customFormat="1">
      <c r="A172" s="1776" t="s">
        <v>1942</v>
      </c>
      <c r="B172" s="1779">
        <f>SUM(B173:B184)</f>
        <v>747</v>
      </c>
      <c r="C172" s="1779">
        <f>SUM(C173:C184)</f>
        <v>191293</v>
      </c>
      <c r="D172" s="1779">
        <f t="shared" ref="D172:D203" si="6">C172/B172</f>
        <v>256.08165997322624</v>
      </c>
      <c r="E172" s="1779">
        <f>SUM(E173:E184)</f>
        <v>37228</v>
      </c>
      <c r="F172" s="1779">
        <f>SUM(F173:F184)</f>
        <v>18883</v>
      </c>
      <c r="G172" s="1779">
        <f t="shared" ref="G172:G184" si="7">F172/E172*1000</f>
        <v>507.22574406360798</v>
      </c>
      <c r="H172" s="1779"/>
      <c r="I172" s="1779"/>
      <c r="J172" s="1779"/>
      <c r="L172" s="433"/>
    </row>
    <row r="173" spans="1:12" s="432" customFormat="1">
      <c r="A173" s="1776" t="s">
        <v>18</v>
      </c>
      <c r="B173" s="1775">
        <v>34</v>
      </c>
      <c r="C173" s="1774">
        <v>13988</v>
      </c>
      <c r="D173" s="1773">
        <f t="shared" si="6"/>
        <v>411.41176470588238</v>
      </c>
      <c r="E173" s="1774">
        <v>2826</v>
      </c>
      <c r="F173" s="1774">
        <v>1056</v>
      </c>
      <c r="G173" s="1773">
        <f t="shared" si="7"/>
        <v>373.6730360934182</v>
      </c>
      <c r="H173" s="1773"/>
      <c r="I173" s="1773"/>
      <c r="J173" s="1773"/>
      <c r="L173" s="433"/>
    </row>
    <row r="174" spans="1:12" s="432" customFormat="1">
      <c r="A174" s="1776" t="s">
        <v>19</v>
      </c>
      <c r="B174" s="1775">
        <v>54</v>
      </c>
      <c r="C174" s="1774">
        <v>9805</v>
      </c>
      <c r="D174" s="1773">
        <f t="shared" si="6"/>
        <v>181.57407407407408</v>
      </c>
      <c r="E174" s="1774">
        <v>2855</v>
      </c>
      <c r="F174" s="1774">
        <v>1258</v>
      </c>
      <c r="G174" s="1773">
        <f t="shared" si="7"/>
        <v>440.63047285464097</v>
      </c>
      <c r="H174" s="1773"/>
      <c r="I174" s="1773"/>
      <c r="J174" s="1773"/>
      <c r="L174" s="433"/>
    </row>
    <row r="175" spans="1:12" s="432" customFormat="1">
      <c r="A175" s="1776" t="s">
        <v>20</v>
      </c>
      <c r="B175" s="1775">
        <v>59</v>
      </c>
      <c r="C175" s="1774">
        <v>11052</v>
      </c>
      <c r="D175" s="1773">
        <f t="shared" si="6"/>
        <v>187.32203389830508</v>
      </c>
      <c r="E175" s="1774">
        <v>3172</v>
      </c>
      <c r="F175" s="1774">
        <v>1341</v>
      </c>
      <c r="G175" s="1773">
        <f t="shared" si="7"/>
        <v>422.76166456494326</v>
      </c>
      <c r="H175" s="1773"/>
      <c r="I175" s="1773"/>
      <c r="J175" s="1773"/>
      <c r="L175" s="433"/>
    </row>
    <row r="176" spans="1:12" s="432" customFormat="1">
      <c r="A176" s="1776" t="s">
        <v>21</v>
      </c>
      <c r="B176" s="1775">
        <v>58</v>
      </c>
      <c r="C176" s="1774">
        <v>10548</v>
      </c>
      <c r="D176" s="1773">
        <f t="shared" si="6"/>
        <v>181.86206896551724</v>
      </c>
      <c r="E176" s="1774">
        <v>3137</v>
      </c>
      <c r="F176" s="1774">
        <v>1442</v>
      </c>
      <c r="G176" s="1773">
        <f t="shared" si="7"/>
        <v>459.67484858144724</v>
      </c>
      <c r="H176" s="1773"/>
      <c r="I176" s="1773"/>
      <c r="J176" s="1773"/>
      <c r="L176" s="433"/>
    </row>
    <row r="177" spans="1:13" s="432" customFormat="1">
      <c r="A177" s="1776" t="s">
        <v>22</v>
      </c>
      <c r="B177" s="1775">
        <v>63</v>
      </c>
      <c r="C177" s="1774">
        <v>15161</v>
      </c>
      <c r="D177" s="1773">
        <f t="shared" si="6"/>
        <v>240.65079365079364</v>
      </c>
      <c r="E177" s="1774">
        <v>3464</v>
      </c>
      <c r="F177" s="1774">
        <v>1596</v>
      </c>
      <c r="G177" s="1773">
        <f t="shared" si="7"/>
        <v>460.7390300230947</v>
      </c>
      <c r="H177" s="1773"/>
      <c r="I177" s="1773"/>
      <c r="J177" s="1773"/>
      <c r="L177" s="433"/>
    </row>
    <row r="178" spans="1:13" s="432" customFormat="1">
      <c r="A178" s="1776" t="s">
        <v>23</v>
      </c>
      <c r="B178" s="1775">
        <v>62</v>
      </c>
      <c r="C178" s="1774">
        <v>12585</v>
      </c>
      <c r="D178" s="1773">
        <f t="shared" si="6"/>
        <v>202.98387096774192</v>
      </c>
      <c r="E178" s="1774">
        <v>2881</v>
      </c>
      <c r="F178" s="1774">
        <v>1507</v>
      </c>
      <c r="G178" s="1773">
        <f t="shared" si="7"/>
        <v>523.0822631030893</v>
      </c>
      <c r="H178" s="1773"/>
      <c r="I178" s="1773"/>
      <c r="J178" s="1773"/>
      <c r="L178" s="433"/>
      <c r="M178" s="434"/>
    </row>
    <row r="179" spans="1:13" s="432" customFormat="1">
      <c r="A179" s="1776" t="s">
        <v>24</v>
      </c>
      <c r="B179" s="1775">
        <v>67</v>
      </c>
      <c r="C179" s="1774">
        <v>20488</v>
      </c>
      <c r="D179" s="1773">
        <f t="shared" si="6"/>
        <v>305.79104477611941</v>
      </c>
      <c r="E179" s="1774">
        <v>3327</v>
      </c>
      <c r="F179" s="1774">
        <v>1994</v>
      </c>
      <c r="G179" s="1773">
        <f t="shared" si="7"/>
        <v>599.33874361286439</v>
      </c>
      <c r="H179" s="1773"/>
      <c r="I179" s="1773"/>
      <c r="J179" s="1773"/>
      <c r="L179" s="433"/>
    </row>
    <row r="180" spans="1:13" s="432" customFormat="1">
      <c r="A180" s="1776" t="s">
        <v>25</v>
      </c>
      <c r="B180" s="1775">
        <v>64</v>
      </c>
      <c r="C180" s="1774">
        <v>16044</v>
      </c>
      <c r="D180" s="1773">
        <f t="shared" si="6"/>
        <v>250.6875</v>
      </c>
      <c r="E180" s="1774">
        <v>3298</v>
      </c>
      <c r="F180" s="1774">
        <v>1743</v>
      </c>
      <c r="G180" s="1773">
        <f t="shared" si="7"/>
        <v>528.50212249848391</v>
      </c>
      <c r="H180" s="1773"/>
      <c r="I180" s="1773"/>
      <c r="J180" s="1773"/>
      <c r="L180" s="433"/>
    </row>
    <row r="181" spans="1:13" s="432" customFormat="1">
      <c r="A181" s="1776" t="s">
        <v>26</v>
      </c>
      <c r="B181" s="1775">
        <v>60</v>
      </c>
      <c r="C181" s="1774">
        <v>14618</v>
      </c>
      <c r="D181" s="1773">
        <f t="shared" si="6"/>
        <v>243.63333333333333</v>
      </c>
      <c r="E181" s="1774">
        <v>2976</v>
      </c>
      <c r="F181" s="1774">
        <v>1604</v>
      </c>
      <c r="G181" s="1773">
        <f t="shared" si="7"/>
        <v>538.97849462365593</v>
      </c>
      <c r="H181" s="1773"/>
      <c r="I181" s="1773"/>
      <c r="J181" s="1773"/>
      <c r="L181" s="433"/>
    </row>
    <row r="182" spans="1:13" s="432" customFormat="1">
      <c r="A182" s="1776" t="s">
        <v>27</v>
      </c>
      <c r="B182" s="1775">
        <v>68</v>
      </c>
      <c r="C182" s="1774">
        <v>18098</v>
      </c>
      <c r="D182" s="1773">
        <f t="shared" si="6"/>
        <v>266.14705882352939</v>
      </c>
      <c r="E182" s="1774">
        <v>3115</v>
      </c>
      <c r="F182" s="1774">
        <v>1730</v>
      </c>
      <c r="G182" s="1773">
        <f t="shared" si="7"/>
        <v>555.37720706260029</v>
      </c>
      <c r="H182" s="1773"/>
      <c r="I182" s="1773"/>
      <c r="J182" s="1773"/>
      <c r="L182" s="433"/>
    </row>
    <row r="183" spans="1:13" s="432" customFormat="1">
      <c r="A183" s="1776" t="s">
        <v>28</v>
      </c>
      <c r="B183" s="1775">
        <v>70</v>
      </c>
      <c r="C183" s="1774">
        <v>19006</v>
      </c>
      <c r="D183" s="1773">
        <f t="shared" si="6"/>
        <v>271.51428571428573</v>
      </c>
      <c r="E183" s="1774">
        <v>3026</v>
      </c>
      <c r="F183" s="1774">
        <v>1689</v>
      </c>
      <c r="G183" s="1773">
        <f t="shared" si="7"/>
        <v>558.16259087904825</v>
      </c>
      <c r="H183" s="1773"/>
      <c r="I183" s="1773"/>
      <c r="J183" s="1773"/>
      <c r="L183" s="433"/>
    </row>
    <row r="184" spans="1:13" s="432" customFormat="1">
      <c r="A184" s="1776" t="s">
        <v>29</v>
      </c>
      <c r="B184" s="1775">
        <v>88</v>
      </c>
      <c r="C184" s="1774">
        <v>29900</v>
      </c>
      <c r="D184" s="1773">
        <f t="shared" si="6"/>
        <v>339.77272727272725</v>
      </c>
      <c r="E184" s="1774">
        <v>3151</v>
      </c>
      <c r="F184" s="1774">
        <v>1923</v>
      </c>
      <c r="G184" s="1773">
        <f t="shared" si="7"/>
        <v>610.28245001586799</v>
      </c>
      <c r="H184" s="1773"/>
      <c r="I184" s="1773"/>
      <c r="J184" s="1773"/>
      <c r="L184" s="433"/>
    </row>
    <row r="185" spans="1:13" s="432" customFormat="1">
      <c r="A185" s="1776" t="s">
        <v>2078</v>
      </c>
      <c r="B185" s="1779">
        <f>SUM(B186:B197)</f>
        <v>820</v>
      </c>
      <c r="C185" s="1779">
        <f>SUM(C186:C197)</f>
        <v>252563</v>
      </c>
      <c r="D185" s="1779">
        <f t="shared" si="6"/>
        <v>308.00365853658536</v>
      </c>
      <c r="E185" s="1779">
        <f>SUM(E186:E197)</f>
        <v>39115</v>
      </c>
      <c r="F185" s="1779">
        <f>SUM(F186:F197)</f>
        <v>21848</v>
      </c>
      <c r="G185" s="1779">
        <f>F185*1000/E185</f>
        <v>558.55809791640036</v>
      </c>
      <c r="H185" s="1779"/>
      <c r="I185" s="1779"/>
      <c r="J185" s="1779"/>
      <c r="L185" s="433"/>
    </row>
    <row r="186" spans="1:13" s="432" customFormat="1">
      <c r="A186" s="1776" t="s">
        <v>18</v>
      </c>
      <c r="B186" s="1775">
        <v>41</v>
      </c>
      <c r="C186" s="1774">
        <v>15557</v>
      </c>
      <c r="D186" s="1773">
        <f t="shared" si="6"/>
        <v>379.4390243902439</v>
      </c>
      <c r="E186" s="1774">
        <v>3037</v>
      </c>
      <c r="F186" s="1774">
        <v>1310</v>
      </c>
      <c r="G186" s="1773">
        <f t="shared" ref="G186:G197" si="8">F186/E186*1000</f>
        <v>431.34672374053338</v>
      </c>
      <c r="H186" s="1773"/>
      <c r="I186" s="1773"/>
      <c r="J186" s="1773"/>
      <c r="L186" s="433"/>
    </row>
    <row r="187" spans="1:13" s="432" customFormat="1">
      <c r="A187" s="1776" t="s">
        <v>19</v>
      </c>
      <c r="B187" s="1775">
        <v>55</v>
      </c>
      <c r="C187" s="1774">
        <v>18479</v>
      </c>
      <c r="D187" s="1773">
        <f t="shared" si="6"/>
        <v>335.9818181818182</v>
      </c>
      <c r="E187" s="1774">
        <v>2814</v>
      </c>
      <c r="F187" s="1774">
        <v>1417</v>
      </c>
      <c r="G187" s="1773">
        <f t="shared" si="8"/>
        <v>503.55366027007818</v>
      </c>
      <c r="H187" s="1773"/>
      <c r="I187" s="1773"/>
      <c r="J187" s="1773"/>
      <c r="L187" s="433"/>
    </row>
    <row r="188" spans="1:13" s="432" customFormat="1">
      <c r="A188" s="1776" t="s">
        <v>20</v>
      </c>
      <c r="B188" s="1775">
        <v>63</v>
      </c>
      <c r="C188" s="1774">
        <v>20123</v>
      </c>
      <c r="D188" s="1773">
        <f t="shared" si="6"/>
        <v>319.41269841269843</v>
      </c>
      <c r="E188" s="1774">
        <v>2866</v>
      </c>
      <c r="F188" s="1774">
        <v>1611</v>
      </c>
      <c r="G188" s="1773">
        <f t="shared" si="8"/>
        <v>562.10746685275649</v>
      </c>
      <c r="H188" s="1773"/>
      <c r="I188" s="1773"/>
      <c r="J188" s="1773"/>
      <c r="L188" s="433"/>
    </row>
    <row r="189" spans="1:13" s="432" customFormat="1">
      <c r="A189" s="1776" t="s">
        <v>21</v>
      </c>
      <c r="B189" s="1775">
        <v>67</v>
      </c>
      <c r="C189" s="1774">
        <v>20627</v>
      </c>
      <c r="D189" s="1773">
        <f t="shared" si="6"/>
        <v>307.86567164179104</v>
      </c>
      <c r="E189" s="1774">
        <v>2981</v>
      </c>
      <c r="F189" s="1774">
        <v>1902</v>
      </c>
      <c r="G189" s="1773">
        <f t="shared" si="8"/>
        <v>638.04092586380409</v>
      </c>
      <c r="H189" s="1773"/>
      <c r="I189" s="1773"/>
      <c r="J189" s="1773"/>
      <c r="L189" s="433"/>
    </row>
    <row r="190" spans="1:13" s="432" customFormat="1">
      <c r="A190" s="1776" t="s">
        <v>22</v>
      </c>
      <c r="B190" s="1775">
        <v>75</v>
      </c>
      <c r="C190" s="1774">
        <v>22288</v>
      </c>
      <c r="D190" s="1773">
        <f t="shared" si="6"/>
        <v>297.17333333333335</v>
      </c>
      <c r="E190" s="1774">
        <v>3209</v>
      </c>
      <c r="F190" s="1774">
        <v>1786</v>
      </c>
      <c r="G190" s="1773">
        <f t="shared" si="8"/>
        <v>556.55967591149886</v>
      </c>
      <c r="H190" s="1773"/>
      <c r="I190" s="1773"/>
      <c r="J190" s="1773"/>
      <c r="L190" s="433"/>
    </row>
    <row r="191" spans="1:13" s="432" customFormat="1">
      <c r="A191" s="1776" t="s">
        <v>23</v>
      </c>
      <c r="B191" s="1775">
        <v>66</v>
      </c>
      <c r="C191" s="1774">
        <v>18201</v>
      </c>
      <c r="D191" s="1773">
        <f t="shared" si="6"/>
        <v>275.77272727272725</v>
      </c>
      <c r="E191" s="1774">
        <v>2689</v>
      </c>
      <c r="F191" s="1774">
        <v>1635</v>
      </c>
      <c r="G191" s="1773">
        <f t="shared" si="8"/>
        <v>608.03272592041651</v>
      </c>
      <c r="H191" s="1773"/>
      <c r="I191" s="1773"/>
      <c r="J191" s="1773"/>
      <c r="L191" s="433"/>
    </row>
    <row r="192" spans="1:13" s="432" customFormat="1">
      <c r="A192" s="1776" t="s">
        <v>24</v>
      </c>
      <c r="B192" s="1775">
        <v>77</v>
      </c>
      <c r="C192" s="1774">
        <v>21448</v>
      </c>
      <c r="D192" s="1773">
        <f t="shared" si="6"/>
        <v>278.54545454545456</v>
      </c>
      <c r="E192" s="1774">
        <v>3516</v>
      </c>
      <c r="F192" s="1774">
        <v>1935</v>
      </c>
      <c r="G192" s="1773">
        <f t="shared" si="8"/>
        <v>550.34129692832767</v>
      </c>
      <c r="H192" s="1773"/>
      <c r="I192" s="1773"/>
      <c r="J192" s="1773"/>
      <c r="L192" s="433"/>
    </row>
    <row r="193" spans="1:12" s="432" customFormat="1">
      <c r="A193" s="1776" t="s">
        <v>25</v>
      </c>
      <c r="B193" s="1775">
        <v>69</v>
      </c>
      <c r="C193" s="1774">
        <v>20962</v>
      </c>
      <c r="D193" s="1773">
        <f t="shared" si="6"/>
        <v>303.79710144927537</v>
      </c>
      <c r="E193" s="1774">
        <v>3211</v>
      </c>
      <c r="F193" s="1774">
        <v>1829</v>
      </c>
      <c r="G193" s="1773">
        <f t="shared" si="8"/>
        <v>569.60448458424162</v>
      </c>
      <c r="H193" s="1773"/>
      <c r="I193" s="1773"/>
      <c r="J193" s="1773"/>
      <c r="L193" s="433"/>
    </row>
    <row r="194" spans="1:12" s="432" customFormat="1">
      <c r="A194" s="1776" t="s">
        <v>26</v>
      </c>
      <c r="B194" s="1775">
        <v>65</v>
      </c>
      <c r="C194" s="1774">
        <v>18700</v>
      </c>
      <c r="D194" s="1773">
        <f t="shared" si="6"/>
        <v>287.69230769230768</v>
      </c>
      <c r="E194" s="1774">
        <v>3086</v>
      </c>
      <c r="F194" s="1774">
        <v>1834</v>
      </c>
      <c r="G194" s="1773">
        <f t="shared" si="8"/>
        <v>594.29682436811402</v>
      </c>
      <c r="H194" s="1773"/>
      <c r="I194" s="1773"/>
      <c r="J194" s="1773"/>
      <c r="L194" s="433"/>
    </row>
    <row r="195" spans="1:12" s="432" customFormat="1">
      <c r="A195" s="1776" t="s">
        <v>27</v>
      </c>
      <c r="B195" s="1775">
        <v>75</v>
      </c>
      <c r="C195" s="1774">
        <v>25815</v>
      </c>
      <c r="D195" s="1773">
        <f t="shared" si="6"/>
        <v>344.2</v>
      </c>
      <c r="E195" s="1774">
        <v>3983</v>
      </c>
      <c r="F195" s="1774">
        <v>2112</v>
      </c>
      <c r="G195" s="1773">
        <f t="shared" si="8"/>
        <v>530.25357770524727</v>
      </c>
      <c r="H195" s="1773"/>
      <c r="I195" s="1773"/>
      <c r="J195" s="1773"/>
      <c r="L195" s="433"/>
    </row>
    <row r="196" spans="1:12" s="432" customFormat="1">
      <c r="A196" s="1776" t="s">
        <v>28</v>
      </c>
      <c r="B196" s="1775">
        <v>74</v>
      </c>
      <c r="C196" s="1774">
        <v>23972</v>
      </c>
      <c r="D196" s="1773">
        <f t="shared" si="6"/>
        <v>323.94594594594594</v>
      </c>
      <c r="E196" s="1774">
        <v>3787</v>
      </c>
      <c r="F196" s="1774">
        <v>2006</v>
      </c>
      <c r="G196" s="1773">
        <f t="shared" si="8"/>
        <v>529.70689199894377</v>
      </c>
      <c r="H196" s="1773"/>
      <c r="I196" s="1773"/>
      <c r="J196" s="1773"/>
      <c r="L196" s="433"/>
    </row>
    <row r="197" spans="1:12" s="432" customFormat="1">
      <c r="A197" s="1776" t="s">
        <v>29</v>
      </c>
      <c r="B197" s="1775">
        <v>93</v>
      </c>
      <c r="C197" s="1774">
        <v>26391</v>
      </c>
      <c r="D197" s="1773">
        <f t="shared" si="6"/>
        <v>283.77419354838707</v>
      </c>
      <c r="E197" s="1774">
        <v>3936</v>
      </c>
      <c r="F197" s="1774">
        <v>2471</v>
      </c>
      <c r="G197" s="1773">
        <f t="shared" si="8"/>
        <v>627.79471544715443</v>
      </c>
      <c r="H197" s="1773"/>
      <c r="I197" s="1773"/>
      <c r="J197" s="1773"/>
      <c r="L197" s="433"/>
    </row>
    <row r="198" spans="1:12" s="432" customFormat="1">
      <c r="A198" s="1776" t="s">
        <v>2171</v>
      </c>
      <c r="B198" s="1780">
        <f>SUM(B199:B210)</f>
        <v>894</v>
      </c>
      <c r="C198" s="1780">
        <f>SUM(C199:C210)</f>
        <v>232236</v>
      </c>
      <c r="D198" s="1779">
        <f t="shared" si="6"/>
        <v>259.7718120805369</v>
      </c>
      <c r="E198" s="1780">
        <f>SUM(E199:E210)</f>
        <v>55721</v>
      </c>
      <c r="F198" s="1780">
        <f>SUM(F199:F210)</f>
        <v>26482</v>
      </c>
      <c r="G198" s="1779">
        <f>F198*1000/E198</f>
        <v>475.26067371368066</v>
      </c>
      <c r="H198" s="1779"/>
      <c r="I198" s="1779"/>
      <c r="J198" s="1779"/>
      <c r="L198" s="433"/>
    </row>
    <row r="199" spans="1:12" s="432" customFormat="1">
      <c r="A199" s="1782" t="s">
        <v>18</v>
      </c>
      <c r="B199" s="1773">
        <v>49</v>
      </c>
      <c r="C199" s="1773">
        <v>21759</v>
      </c>
      <c r="D199" s="1773">
        <f t="shared" si="6"/>
        <v>444.0612244897959</v>
      </c>
      <c r="E199" s="1773">
        <v>4072</v>
      </c>
      <c r="F199" s="1773">
        <v>1695</v>
      </c>
      <c r="G199" s="1773">
        <f t="shared" ref="G199:G210" si="9">F199/E199*1000</f>
        <v>416.25736738703341</v>
      </c>
      <c r="H199" s="1773"/>
      <c r="I199" s="1773"/>
      <c r="J199" s="1773"/>
      <c r="L199" s="433"/>
    </row>
    <row r="200" spans="1:12" s="432" customFormat="1">
      <c r="A200" s="1782" t="s">
        <v>19</v>
      </c>
      <c r="B200" s="1773">
        <v>66</v>
      </c>
      <c r="C200" s="1773">
        <v>19680</v>
      </c>
      <c r="D200" s="1773">
        <f t="shared" si="6"/>
        <v>298.18181818181819</v>
      </c>
      <c r="E200" s="1773">
        <v>3913</v>
      </c>
      <c r="F200" s="1773">
        <v>1674</v>
      </c>
      <c r="G200" s="1773">
        <f t="shared" si="9"/>
        <v>427.80475338614878</v>
      </c>
      <c r="H200" s="1773"/>
      <c r="I200" s="1773"/>
      <c r="J200" s="1773"/>
      <c r="L200" s="433"/>
    </row>
    <row r="201" spans="1:12" s="432" customFormat="1">
      <c r="A201" s="1782" t="s">
        <v>20</v>
      </c>
      <c r="B201" s="1773">
        <v>64</v>
      </c>
      <c r="C201" s="1773">
        <v>18365</v>
      </c>
      <c r="D201" s="1773">
        <f t="shared" si="6"/>
        <v>286.953125</v>
      </c>
      <c r="E201" s="1773">
        <v>3885</v>
      </c>
      <c r="F201" s="1773">
        <v>1753</v>
      </c>
      <c r="G201" s="1773">
        <f t="shared" si="9"/>
        <v>451.22265122265122</v>
      </c>
      <c r="H201" s="1773"/>
      <c r="I201" s="1773"/>
      <c r="J201" s="1773"/>
      <c r="L201" s="433"/>
    </row>
    <row r="202" spans="1:12" s="432" customFormat="1">
      <c r="A202" s="1782" t="s">
        <v>21</v>
      </c>
      <c r="B202" s="1773">
        <v>77</v>
      </c>
      <c r="C202" s="1773">
        <v>18921</v>
      </c>
      <c r="D202" s="1773">
        <f t="shared" si="6"/>
        <v>245.72727272727272</v>
      </c>
      <c r="E202" s="1773">
        <v>4676</v>
      </c>
      <c r="F202" s="1773">
        <v>2237</v>
      </c>
      <c r="G202" s="1773">
        <f t="shared" si="9"/>
        <v>478.40034217279725</v>
      </c>
      <c r="H202" s="1773"/>
      <c r="I202" s="1773"/>
      <c r="J202" s="1773"/>
      <c r="L202" s="433"/>
    </row>
    <row r="203" spans="1:12" s="432" customFormat="1">
      <c r="A203" s="1782" t="s">
        <v>22</v>
      </c>
      <c r="B203" s="1773">
        <v>78</v>
      </c>
      <c r="C203" s="1773">
        <v>20960</v>
      </c>
      <c r="D203" s="1773">
        <f t="shared" si="6"/>
        <v>268.71794871794873</v>
      </c>
      <c r="E203" s="1773">
        <v>4583</v>
      </c>
      <c r="F203" s="1773">
        <v>2144</v>
      </c>
      <c r="G203" s="1773">
        <f t="shared" si="9"/>
        <v>467.81584115208381</v>
      </c>
      <c r="H203" s="1773"/>
      <c r="I203" s="1773"/>
      <c r="J203" s="1773"/>
      <c r="L203" s="433"/>
    </row>
    <row r="204" spans="1:12" s="432" customFormat="1">
      <c r="A204" s="1782" t="s">
        <v>23</v>
      </c>
      <c r="B204" s="1773">
        <v>65</v>
      </c>
      <c r="C204" s="1773">
        <v>20150</v>
      </c>
      <c r="D204" s="1773">
        <f t="shared" ref="D204:D235" si="10">C204/B204</f>
        <v>310</v>
      </c>
      <c r="E204" s="1773">
        <v>3850</v>
      </c>
      <c r="F204" s="1773">
        <v>1979</v>
      </c>
      <c r="G204" s="1773">
        <f t="shared" si="9"/>
        <v>514.02597402597405</v>
      </c>
      <c r="H204" s="1773"/>
      <c r="I204" s="1773"/>
      <c r="J204" s="1773"/>
      <c r="L204" s="433"/>
    </row>
    <row r="205" spans="1:12" s="432" customFormat="1">
      <c r="A205" s="1782" t="s">
        <v>24</v>
      </c>
      <c r="B205" s="1773">
        <v>85</v>
      </c>
      <c r="C205" s="1773">
        <v>17768</v>
      </c>
      <c r="D205" s="1773">
        <f t="shared" si="10"/>
        <v>209.03529411764706</v>
      </c>
      <c r="E205" s="1773">
        <v>5361</v>
      </c>
      <c r="F205" s="1773">
        <v>2504</v>
      </c>
      <c r="G205" s="1773">
        <f t="shared" si="9"/>
        <v>467.07703786606976</v>
      </c>
      <c r="H205" s="1773"/>
      <c r="I205" s="1773"/>
      <c r="J205" s="1773"/>
      <c r="L205" s="433"/>
    </row>
    <row r="206" spans="1:12">
      <c r="A206" s="1776" t="s">
        <v>25</v>
      </c>
      <c r="B206" s="1775">
        <v>71</v>
      </c>
      <c r="C206" s="1774">
        <v>17831</v>
      </c>
      <c r="D206" s="1773">
        <f t="shared" si="10"/>
        <v>251.14084507042253</v>
      </c>
      <c r="E206" s="1774">
        <v>4636</v>
      </c>
      <c r="F206" s="1774">
        <v>2210</v>
      </c>
      <c r="G206" s="1773">
        <f t="shared" si="9"/>
        <v>476.70405522001727</v>
      </c>
      <c r="H206" s="1773"/>
      <c r="I206" s="1773"/>
      <c r="J206" s="1773"/>
      <c r="K206" s="432"/>
    </row>
    <row r="207" spans="1:12">
      <c r="A207" s="1776" t="s">
        <v>26</v>
      </c>
      <c r="B207" s="1775">
        <v>73</v>
      </c>
      <c r="C207" s="1774">
        <v>17128</v>
      </c>
      <c r="D207" s="1773">
        <f t="shared" si="10"/>
        <v>234.63013698630138</v>
      </c>
      <c r="E207" s="1774">
        <v>4789</v>
      </c>
      <c r="F207" s="1774">
        <v>2289</v>
      </c>
      <c r="G207" s="1773">
        <f t="shared" si="9"/>
        <v>477.97034871580706</v>
      </c>
      <c r="H207" s="1773"/>
      <c r="I207" s="1773"/>
      <c r="J207" s="1773"/>
      <c r="K207" s="432"/>
    </row>
    <row r="208" spans="1:12">
      <c r="A208" s="1776" t="s">
        <v>27</v>
      </c>
      <c r="B208" s="1775">
        <v>83</v>
      </c>
      <c r="C208" s="1774">
        <v>20557</v>
      </c>
      <c r="D208" s="1773">
        <f t="shared" si="10"/>
        <v>247.67469879518072</v>
      </c>
      <c r="E208" s="1774">
        <v>5189</v>
      </c>
      <c r="F208" s="1774">
        <v>2530</v>
      </c>
      <c r="G208" s="1773">
        <f t="shared" si="9"/>
        <v>487.56985931778763</v>
      </c>
      <c r="H208" s="1773"/>
      <c r="I208" s="1773"/>
      <c r="J208" s="1773"/>
      <c r="K208" s="432"/>
    </row>
    <row r="209" spans="1:11">
      <c r="A209" s="1776" t="s">
        <v>28</v>
      </c>
      <c r="B209" s="1775">
        <v>74</v>
      </c>
      <c r="C209" s="1774">
        <v>17925</v>
      </c>
      <c r="D209" s="1773">
        <f t="shared" si="10"/>
        <v>242.22972972972974</v>
      </c>
      <c r="E209" s="1774">
        <v>4842</v>
      </c>
      <c r="F209" s="1774">
        <v>2300</v>
      </c>
      <c r="G209" s="1773">
        <f t="shared" si="9"/>
        <v>475.01032631144159</v>
      </c>
      <c r="H209" s="1773"/>
      <c r="I209" s="1773"/>
      <c r="J209" s="1773"/>
      <c r="K209" s="432"/>
    </row>
    <row r="210" spans="1:11">
      <c r="A210" s="1776" t="s">
        <v>29</v>
      </c>
      <c r="B210" s="1775">
        <v>109</v>
      </c>
      <c r="C210" s="1774">
        <v>21192</v>
      </c>
      <c r="D210" s="1773">
        <f t="shared" si="10"/>
        <v>194.42201834862385</v>
      </c>
      <c r="E210" s="1774">
        <v>5925</v>
      </c>
      <c r="F210" s="1774">
        <v>3167</v>
      </c>
      <c r="G210" s="1773">
        <f t="shared" si="9"/>
        <v>534.51476793248946</v>
      </c>
      <c r="H210" s="1773"/>
      <c r="I210" s="1773"/>
      <c r="J210" s="1773"/>
      <c r="K210" s="432"/>
    </row>
    <row r="211" spans="1:11">
      <c r="A211" s="1776" t="s">
        <v>2407</v>
      </c>
      <c r="B211" s="1780">
        <f>SUM(B212:B223)</f>
        <v>908</v>
      </c>
      <c r="C211" s="1780">
        <f>SUM(C212:C223)</f>
        <v>195570</v>
      </c>
      <c r="D211" s="1779">
        <f t="shared" si="10"/>
        <v>215.38546255506608</v>
      </c>
      <c r="E211" s="1780">
        <f>SUM(E212:E223)</f>
        <v>58917</v>
      </c>
      <c r="F211" s="1780">
        <f>SUM(F212:F223)</f>
        <v>27831</v>
      </c>
      <c r="G211" s="1779">
        <f>F211*1000/E211</f>
        <v>472.3763939100769</v>
      </c>
      <c r="H211" s="1779"/>
      <c r="I211" s="1779"/>
      <c r="J211" s="1779"/>
      <c r="K211" s="432"/>
    </row>
    <row r="212" spans="1:11">
      <c r="A212" s="1776" t="s">
        <v>18</v>
      </c>
      <c r="B212" s="1775">
        <v>51</v>
      </c>
      <c r="C212" s="1774">
        <v>13109</v>
      </c>
      <c r="D212" s="1773">
        <f t="shared" si="10"/>
        <v>257.03921568627453</v>
      </c>
      <c r="E212" s="1774">
        <v>5030</v>
      </c>
      <c r="F212" s="1774">
        <v>2026</v>
      </c>
      <c r="G212" s="1773">
        <f t="shared" ref="G212:G223" si="11">F212/E212*1000</f>
        <v>402.78330019880713</v>
      </c>
      <c r="H212" s="1773"/>
      <c r="I212" s="1773"/>
      <c r="J212" s="1773"/>
      <c r="K212" s="432"/>
    </row>
    <row r="213" spans="1:11">
      <c r="A213" s="1776" t="s">
        <v>19</v>
      </c>
      <c r="B213" s="1775">
        <v>70</v>
      </c>
      <c r="C213" s="1774">
        <v>13823</v>
      </c>
      <c r="D213" s="1773">
        <f t="shared" si="10"/>
        <v>197.47142857142856</v>
      </c>
      <c r="E213" s="1774">
        <v>4704</v>
      </c>
      <c r="F213" s="1774">
        <v>2132</v>
      </c>
      <c r="G213" s="1773">
        <f t="shared" si="11"/>
        <v>453.23129251700675</v>
      </c>
      <c r="H213" s="1773"/>
      <c r="I213" s="1773"/>
      <c r="J213" s="1773"/>
      <c r="K213" s="432"/>
    </row>
    <row r="214" spans="1:11">
      <c r="A214" s="1776" t="s">
        <v>20</v>
      </c>
      <c r="B214" s="1775">
        <v>71</v>
      </c>
      <c r="C214" s="1774">
        <v>21980</v>
      </c>
      <c r="D214" s="1773">
        <f t="shared" si="10"/>
        <v>309.57746478873241</v>
      </c>
      <c r="E214" s="1774">
        <v>4586</v>
      </c>
      <c r="F214" s="1774">
        <v>2233</v>
      </c>
      <c r="G214" s="1773">
        <f t="shared" si="11"/>
        <v>486.91670300915831</v>
      </c>
      <c r="H214" s="1773"/>
      <c r="I214" s="1773"/>
      <c r="J214" s="1773"/>
      <c r="K214" s="432"/>
    </row>
    <row r="215" spans="1:11">
      <c r="A215" s="1776" t="s">
        <v>21</v>
      </c>
      <c r="B215" s="1775">
        <v>62</v>
      </c>
      <c r="C215" s="1774">
        <v>15118</v>
      </c>
      <c r="D215" s="1773">
        <f t="shared" si="10"/>
        <v>243.83870967741936</v>
      </c>
      <c r="E215" s="1774">
        <v>3825</v>
      </c>
      <c r="F215" s="1774">
        <v>2206</v>
      </c>
      <c r="G215" s="1773">
        <f t="shared" si="11"/>
        <v>576.73202614379079</v>
      </c>
      <c r="H215" s="1773"/>
      <c r="I215" s="1773"/>
      <c r="J215" s="1773"/>
      <c r="K215" s="432"/>
    </row>
    <row r="216" spans="1:11">
      <c r="A216" s="1776" t="s">
        <v>22</v>
      </c>
      <c r="B216" s="1775">
        <v>58</v>
      </c>
      <c r="C216" s="1774">
        <v>14215</v>
      </c>
      <c r="D216" s="1773">
        <f t="shared" si="10"/>
        <v>245.08620689655172</v>
      </c>
      <c r="E216" s="1774">
        <v>4522</v>
      </c>
      <c r="F216" s="1774">
        <v>2134</v>
      </c>
      <c r="G216" s="1773">
        <f t="shared" si="11"/>
        <v>471.91508182220252</v>
      </c>
      <c r="H216" s="1773"/>
      <c r="I216" s="1773"/>
      <c r="J216" s="1773"/>
      <c r="K216" s="432"/>
    </row>
    <row r="217" spans="1:11">
      <c r="A217" s="1776" t="s">
        <v>23</v>
      </c>
      <c r="B217" s="1775">
        <v>71</v>
      </c>
      <c r="C217" s="1774">
        <v>15282</v>
      </c>
      <c r="D217" s="1773">
        <f t="shared" si="10"/>
        <v>215.2394366197183</v>
      </c>
      <c r="E217" s="1774">
        <v>4617</v>
      </c>
      <c r="F217" s="1774">
        <v>2200</v>
      </c>
      <c r="G217" s="1773">
        <f t="shared" si="11"/>
        <v>476.49989170457008</v>
      </c>
      <c r="H217" s="1773"/>
      <c r="I217" s="1773"/>
      <c r="J217" s="1773"/>
      <c r="K217" s="432"/>
    </row>
    <row r="218" spans="1:11">
      <c r="A218" s="1776" t="s">
        <v>24</v>
      </c>
      <c r="B218" s="1775">
        <v>80</v>
      </c>
      <c r="C218" s="1774">
        <v>17417</v>
      </c>
      <c r="D218" s="1773">
        <f t="shared" si="10"/>
        <v>217.71250000000001</v>
      </c>
      <c r="E218" s="1774">
        <v>4870</v>
      </c>
      <c r="F218" s="1774">
        <v>2464</v>
      </c>
      <c r="G218" s="1773">
        <f t="shared" si="11"/>
        <v>505.95482546201231</v>
      </c>
      <c r="H218" s="1773"/>
      <c r="I218" s="1773"/>
      <c r="J218" s="1773"/>
      <c r="K218" s="432"/>
    </row>
    <row r="219" spans="1:11">
      <c r="A219" s="1776" t="s">
        <v>25</v>
      </c>
      <c r="B219" s="1775">
        <v>77</v>
      </c>
      <c r="C219" s="1774">
        <v>14734</v>
      </c>
      <c r="D219" s="1773">
        <f t="shared" si="10"/>
        <v>191.35064935064935</v>
      </c>
      <c r="E219" s="1774">
        <v>5239</v>
      </c>
      <c r="F219" s="1774">
        <v>2260</v>
      </c>
      <c r="G219" s="1773">
        <f t="shared" si="11"/>
        <v>431.38003435770185</v>
      </c>
      <c r="H219" s="1773"/>
      <c r="I219" s="1773"/>
      <c r="J219" s="1773"/>
      <c r="K219" s="432"/>
    </row>
    <row r="220" spans="1:11">
      <c r="A220" s="1776" t="s">
        <v>26</v>
      </c>
      <c r="B220" s="1775">
        <v>83</v>
      </c>
      <c r="C220" s="1774">
        <v>15866</v>
      </c>
      <c r="D220" s="1773">
        <f t="shared" si="10"/>
        <v>191.15662650602408</v>
      </c>
      <c r="E220" s="1774">
        <v>5277</v>
      </c>
      <c r="F220" s="1774">
        <v>2358</v>
      </c>
      <c r="G220" s="1773">
        <f t="shared" si="11"/>
        <v>446.84479818078455</v>
      </c>
      <c r="H220" s="1773"/>
      <c r="I220" s="1773"/>
      <c r="J220" s="1773"/>
      <c r="K220" s="432"/>
    </row>
    <row r="221" spans="1:11">
      <c r="A221" s="1776" t="s">
        <v>27</v>
      </c>
      <c r="B221" s="1775">
        <v>85</v>
      </c>
      <c r="C221" s="1774">
        <v>17037</v>
      </c>
      <c r="D221" s="1773">
        <f t="shared" si="10"/>
        <v>200.43529411764706</v>
      </c>
      <c r="E221" s="1774">
        <v>5057</v>
      </c>
      <c r="F221" s="1774">
        <v>2516</v>
      </c>
      <c r="G221" s="1773">
        <f t="shared" si="11"/>
        <v>497.52817876211191</v>
      </c>
      <c r="H221" s="1773">
        <v>4.3899999999999997</v>
      </c>
      <c r="I221" s="1773">
        <v>13.6</v>
      </c>
      <c r="J221" s="1773">
        <f t="shared" ref="J221:J249" si="12">I221/H221</f>
        <v>3.0979498861047836</v>
      </c>
      <c r="K221" s="432"/>
    </row>
    <row r="222" spans="1:11">
      <c r="A222" s="1776" t="s">
        <v>28</v>
      </c>
      <c r="B222" s="1775">
        <v>80</v>
      </c>
      <c r="C222" s="1774">
        <v>15154</v>
      </c>
      <c r="D222" s="1773">
        <f t="shared" si="10"/>
        <v>189.42500000000001</v>
      </c>
      <c r="E222" s="1774">
        <v>5244</v>
      </c>
      <c r="F222" s="1774">
        <v>2411</v>
      </c>
      <c r="G222" s="1773">
        <f t="shared" si="11"/>
        <v>459.76353928299005</v>
      </c>
      <c r="H222" s="1773">
        <v>4.3319999999999999</v>
      </c>
      <c r="I222" s="1773">
        <v>17</v>
      </c>
      <c r="J222" s="1773">
        <f t="shared" si="12"/>
        <v>3.9242843951985229</v>
      </c>
      <c r="K222" s="432"/>
    </row>
    <row r="223" spans="1:11">
      <c r="A223" s="1776" t="s">
        <v>29</v>
      </c>
      <c r="B223" s="1775">
        <v>120</v>
      </c>
      <c r="C223" s="1774">
        <v>21835</v>
      </c>
      <c r="D223" s="1773">
        <f t="shared" si="10"/>
        <v>181.95833333333334</v>
      </c>
      <c r="E223" s="1774">
        <v>5946</v>
      </c>
      <c r="F223" s="1774">
        <v>2891</v>
      </c>
      <c r="G223" s="1773">
        <f t="shared" si="11"/>
        <v>486.209216279852</v>
      </c>
      <c r="H223" s="1773">
        <v>4.8929999999999998</v>
      </c>
      <c r="I223" s="1773">
        <v>17.3</v>
      </c>
      <c r="J223" s="1773">
        <f t="shared" si="12"/>
        <v>3.5356631923155533</v>
      </c>
      <c r="K223" s="432"/>
    </row>
    <row r="224" spans="1:11">
      <c r="A224" s="1781">
        <v>2021</v>
      </c>
      <c r="B224" s="1780">
        <f>SUM(B225:B236)</f>
        <v>1113</v>
      </c>
      <c r="C224" s="1780">
        <f>SUM(C225:C236)</f>
        <v>183756</v>
      </c>
      <c r="D224" s="1779">
        <f t="shared" si="10"/>
        <v>165.09973045822102</v>
      </c>
      <c r="E224" s="1780">
        <f>SUM(E225:E236)</f>
        <v>69639</v>
      </c>
      <c r="F224" s="1780">
        <f>SUM(F225:F236)</f>
        <v>33906</v>
      </c>
      <c r="G224" s="1779">
        <f>F224*1000/E224</f>
        <v>486.88235040709947</v>
      </c>
      <c r="H224" s="1779">
        <f>SUM(H225:H236)</f>
        <v>117</v>
      </c>
      <c r="I224" s="1779">
        <f>SUM(I225:I236)</f>
        <v>280</v>
      </c>
      <c r="J224" s="1777">
        <f t="shared" si="12"/>
        <v>2.3931623931623931</v>
      </c>
      <c r="K224" s="432"/>
    </row>
    <row r="225" spans="1:11">
      <c r="A225" s="1776" t="s">
        <v>18</v>
      </c>
      <c r="B225" s="1775">
        <v>51</v>
      </c>
      <c r="C225" s="1774">
        <v>13785</v>
      </c>
      <c r="D225" s="1774">
        <f t="shared" si="10"/>
        <v>270.29411764705884</v>
      </c>
      <c r="E225" s="1774">
        <v>5415</v>
      </c>
      <c r="F225" s="1774">
        <v>2267</v>
      </c>
      <c r="G225" s="1773">
        <f t="shared" ref="G225:G249" si="13">F225/E225*1000</f>
        <v>418.65189289012005</v>
      </c>
      <c r="H225" s="1773">
        <v>5</v>
      </c>
      <c r="I225" s="1773">
        <v>15</v>
      </c>
      <c r="J225" s="1773">
        <f t="shared" si="12"/>
        <v>3</v>
      </c>
      <c r="K225" s="432"/>
    </row>
    <row r="226" spans="1:11">
      <c r="A226" s="1776" t="s">
        <v>19</v>
      </c>
      <c r="B226" s="1775">
        <v>76</v>
      </c>
      <c r="C226" s="1774">
        <v>12400</v>
      </c>
      <c r="D226" s="1774">
        <f t="shared" si="10"/>
        <v>163.15789473684211</v>
      </c>
      <c r="E226" s="1774">
        <v>5778</v>
      </c>
      <c r="F226" s="1774">
        <v>2183</v>
      </c>
      <c r="G226" s="1773">
        <f t="shared" si="13"/>
        <v>377.8123918310834</v>
      </c>
      <c r="H226" s="1773">
        <v>5</v>
      </c>
      <c r="I226" s="1773">
        <v>13</v>
      </c>
      <c r="J226" s="1773">
        <f t="shared" si="12"/>
        <v>2.6</v>
      </c>
      <c r="K226" s="432"/>
    </row>
    <row r="227" spans="1:11">
      <c r="A227" s="1776" t="s">
        <v>20</v>
      </c>
      <c r="B227" s="1775">
        <v>82</v>
      </c>
      <c r="C227" s="1774">
        <v>14508</v>
      </c>
      <c r="D227" s="1774">
        <f t="shared" si="10"/>
        <v>176.92682926829269</v>
      </c>
      <c r="E227" s="1774">
        <v>6668</v>
      </c>
      <c r="F227" s="1774">
        <v>2629</v>
      </c>
      <c r="G227" s="1773">
        <f t="shared" si="13"/>
        <v>394.27114577084581</v>
      </c>
      <c r="H227" s="1773">
        <v>6</v>
      </c>
      <c r="I227" s="1773">
        <v>15</v>
      </c>
      <c r="J227" s="1773">
        <f t="shared" si="12"/>
        <v>2.5</v>
      </c>
      <c r="K227" s="432"/>
    </row>
    <row r="228" spans="1:11">
      <c r="A228" s="1776" t="s">
        <v>21</v>
      </c>
      <c r="B228" s="1775">
        <v>90</v>
      </c>
      <c r="C228" s="1774">
        <v>14052</v>
      </c>
      <c r="D228" s="1774">
        <f t="shared" si="10"/>
        <v>156.13333333333333</v>
      </c>
      <c r="E228" s="1774">
        <v>6425</v>
      </c>
      <c r="F228" s="1774">
        <v>2867</v>
      </c>
      <c r="G228" s="1773">
        <f t="shared" si="13"/>
        <v>446.22568093385212</v>
      </c>
      <c r="H228" s="1773">
        <v>7</v>
      </c>
      <c r="I228" s="1773">
        <v>21</v>
      </c>
      <c r="J228" s="1773">
        <f t="shared" si="12"/>
        <v>3</v>
      </c>
      <c r="K228" s="432"/>
    </row>
    <row r="229" spans="1:11">
      <c r="A229" s="1776" t="s">
        <v>22</v>
      </c>
      <c r="B229" s="1775">
        <v>79</v>
      </c>
      <c r="C229" s="1774">
        <v>12880</v>
      </c>
      <c r="D229" s="1774">
        <f t="shared" si="10"/>
        <v>163.03797468354429</v>
      </c>
      <c r="E229" s="1774">
        <v>5086</v>
      </c>
      <c r="F229" s="1774">
        <v>2551</v>
      </c>
      <c r="G229" s="1773">
        <f t="shared" si="13"/>
        <v>501.57294534014937</v>
      </c>
      <c r="H229" s="1773">
        <v>7</v>
      </c>
      <c r="I229" s="1773">
        <v>15</v>
      </c>
      <c r="J229" s="1773">
        <f t="shared" si="12"/>
        <v>2.1428571428571428</v>
      </c>
      <c r="K229" s="432"/>
    </row>
    <row r="230" spans="1:11">
      <c r="A230" s="1776" t="s">
        <v>23</v>
      </c>
      <c r="B230" s="1775">
        <v>93</v>
      </c>
      <c r="C230" s="1774">
        <v>15547</v>
      </c>
      <c r="D230" s="1774">
        <f t="shared" si="10"/>
        <v>167.1720430107527</v>
      </c>
      <c r="E230" s="1774">
        <v>5688</v>
      </c>
      <c r="F230" s="1774">
        <v>2822</v>
      </c>
      <c r="G230" s="1773">
        <f t="shared" si="13"/>
        <v>496.13220815752464</v>
      </c>
      <c r="H230" s="1773">
        <v>7</v>
      </c>
      <c r="I230" s="1773">
        <v>18</v>
      </c>
      <c r="J230" s="1773">
        <f t="shared" si="12"/>
        <v>2.5714285714285716</v>
      </c>
      <c r="K230" s="432"/>
    </row>
    <row r="231" spans="1:11">
      <c r="A231" s="1776" t="s">
        <v>24</v>
      </c>
      <c r="B231" s="1775">
        <v>98</v>
      </c>
      <c r="C231" s="1774">
        <v>14643</v>
      </c>
      <c r="D231" s="1774">
        <f t="shared" si="10"/>
        <v>149.41836734693877</v>
      </c>
      <c r="E231" s="1774">
        <v>4956</v>
      </c>
      <c r="F231" s="1774">
        <v>2998</v>
      </c>
      <c r="G231" s="1773">
        <f t="shared" si="13"/>
        <v>604.92332526230825</v>
      </c>
      <c r="H231" s="1773">
        <v>8</v>
      </c>
      <c r="I231" s="1773">
        <v>20</v>
      </c>
      <c r="J231" s="1773">
        <f t="shared" si="12"/>
        <v>2.5</v>
      </c>
      <c r="K231" s="432"/>
    </row>
    <row r="232" spans="1:11">
      <c r="A232" s="1776" t="s">
        <v>25</v>
      </c>
      <c r="B232" s="1775">
        <v>95</v>
      </c>
      <c r="C232" s="1774">
        <v>13210</v>
      </c>
      <c r="D232" s="1774">
        <f t="shared" si="10"/>
        <v>139.05263157894737</v>
      </c>
      <c r="E232" s="1774">
        <v>5761</v>
      </c>
      <c r="F232" s="1774">
        <v>2686</v>
      </c>
      <c r="G232" s="1773">
        <f t="shared" si="13"/>
        <v>466.23850026037144</v>
      </c>
      <c r="H232" s="1773">
        <v>11</v>
      </c>
      <c r="I232" s="1773">
        <v>26</v>
      </c>
      <c r="J232" s="1773">
        <f t="shared" si="12"/>
        <v>2.3636363636363638</v>
      </c>
      <c r="K232" s="432"/>
    </row>
    <row r="233" spans="1:11">
      <c r="A233" s="1776" t="s">
        <v>26</v>
      </c>
      <c r="B233" s="1775">
        <v>99</v>
      </c>
      <c r="C233" s="1774">
        <v>14417</v>
      </c>
      <c r="D233" s="1774">
        <f t="shared" si="10"/>
        <v>145.62626262626262</v>
      </c>
      <c r="E233" s="1774">
        <v>5510</v>
      </c>
      <c r="F233" s="1774">
        <v>2848</v>
      </c>
      <c r="G233" s="1773">
        <f t="shared" si="13"/>
        <v>516.87840290381121</v>
      </c>
      <c r="H233" s="1773">
        <v>11</v>
      </c>
      <c r="I233" s="1773">
        <v>26</v>
      </c>
      <c r="J233" s="1773">
        <f t="shared" si="12"/>
        <v>2.3636363636363638</v>
      </c>
      <c r="K233" s="432"/>
    </row>
    <row r="234" spans="1:11">
      <c r="A234" s="1776" t="s">
        <v>27</v>
      </c>
      <c r="B234" s="1775">
        <v>101</v>
      </c>
      <c r="C234" s="1774">
        <v>16235</v>
      </c>
      <c r="D234" s="1774">
        <f t="shared" si="10"/>
        <v>160.74257425742573</v>
      </c>
      <c r="E234" s="1774">
        <v>5623</v>
      </c>
      <c r="F234" s="1774">
        <v>3255</v>
      </c>
      <c r="G234" s="1773">
        <f t="shared" si="13"/>
        <v>578.87248799573172</v>
      </c>
      <c r="H234" s="1773">
        <v>13</v>
      </c>
      <c r="I234" s="1773">
        <v>30</v>
      </c>
      <c r="J234" s="1773">
        <f t="shared" si="12"/>
        <v>2.3076923076923075</v>
      </c>
      <c r="K234" s="432"/>
    </row>
    <row r="235" spans="1:11">
      <c r="A235" s="1776" t="s">
        <v>28</v>
      </c>
      <c r="B235" s="1775">
        <v>107</v>
      </c>
      <c r="C235" s="1774">
        <v>15818</v>
      </c>
      <c r="D235" s="1774">
        <f t="shared" si="10"/>
        <v>147.83177570093457</v>
      </c>
      <c r="E235" s="1774">
        <v>6119</v>
      </c>
      <c r="F235" s="1774">
        <v>2762</v>
      </c>
      <c r="G235" s="1773">
        <f t="shared" si="13"/>
        <v>451.38094459879062</v>
      </c>
      <c r="H235" s="1773">
        <v>17</v>
      </c>
      <c r="I235" s="1773">
        <v>29</v>
      </c>
      <c r="J235" s="1773">
        <f t="shared" si="12"/>
        <v>1.7058823529411764</v>
      </c>
      <c r="K235" s="432"/>
    </row>
    <row r="236" spans="1:11">
      <c r="A236" s="1776" t="s">
        <v>29</v>
      </c>
      <c r="B236" s="1775">
        <v>142</v>
      </c>
      <c r="C236" s="1774">
        <v>26261</v>
      </c>
      <c r="D236" s="1774">
        <f t="shared" ref="D236:D249" si="14">C236/B236</f>
        <v>184.93661971830986</v>
      </c>
      <c r="E236" s="1774">
        <v>6610</v>
      </c>
      <c r="F236" s="1774">
        <v>4038</v>
      </c>
      <c r="G236" s="1773">
        <f t="shared" si="13"/>
        <v>610.89258698941001</v>
      </c>
      <c r="H236" s="1773">
        <v>20</v>
      </c>
      <c r="I236" s="1773">
        <v>52</v>
      </c>
      <c r="J236" s="1773">
        <f t="shared" si="12"/>
        <v>2.6</v>
      </c>
      <c r="K236" s="432"/>
    </row>
    <row r="237" spans="1:11">
      <c r="A237" s="1776" t="s">
        <v>2892</v>
      </c>
      <c r="B237" s="1778">
        <f>SUM(B238:B249)</f>
        <v>1358.6459999999997</v>
      </c>
      <c r="C237" s="1778">
        <f>SUM(C238:C249)</f>
        <v>300066.268713</v>
      </c>
      <c r="D237" s="1777">
        <f t="shared" si="14"/>
        <v>220.85684476530315</v>
      </c>
      <c r="E237" s="1778">
        <f>SUM(E238:E249)</f>
        <v>95896.627999999997</v>
      </c>
      <c r="F237" s="1778">
        <f>SUM(F238:F249)</f>
        <v>41939.117450000005</v>
      </c>
      <c r="G237" s="1777">
        <f t="shared" si="13"/>
        <v>437.33672731433279</v>
      </c>
      <c r="H237" s="1778">
        <f>SUM(H238:H249)</f>
        <v>337.32900000000006</v>
      </c>
      <c r="I237" s="1778">
        <f>SUM(I238:I249)</f>
        <v>549.63537599999995</v>
      </c>
      <c r="J237" s="1777">
        <f t="shared" si="12"/>
        <v>1.6293748121270328</v>
      </c>
      <c r="K237" s="432"/>
    </row>
    <row r="238" spans="1:11">
      <c r="A238" s="1776" t="s">
        <v>18</v>
      </c>
      <c r="B238" s="1775">
        <v>67</v>
      </c>
      <c r="C238" s="1774">
        <v>17426</v>
      </c>
      <c r="D238" s="1774">
        <f t="shared" si="14"/>
        <v>260.08955223880599</v>
      </c>
      <c r="E238" s="1774">
        <v>6018</v>
      </c>
      <c r="F238" s="1774">
        <v>2948</v>
      </c>
      <c r="G238" s="1773">
        <f t="shared" si="13"/>
        <v>489.86374210701229</v>
      </c>
      <c r="H238" s="1773">
        <v>16</v>
      </c>
      <c r="I238" s="1773">
        <v>31</v>
      </c>
      <c r="J238" s="1773">
        <f t="shared" si="12"/>
        <v>1.9375</v>
      </c>
      <c r="K238" s="432"/>
    </row>
    <row r="239" spans="1:11">
      <c r="A239" s="1776" t="s">
        <v>19</v>
      </c>
      <c r="B239" s="1775">
        <v>95</v>
      </c>
      <c r="C239" s="1774">
        <v>16543</v>
      </c>
      <c r="D239" s="1774">
        <f t="shared" si="14"/>
        <v>174.13684210526316</v>
      </c>
      <c r="E239" s="1774">
        <v>5920</v>
      </c>
      <c r="F239" s="1774">
        <v>2665</v>
      </c>
      <c r="G239" s="1773">
        <f t="shared" si="13"/>
        <v>450.16891891891891</v>
      </c>
      <c r="H239" s="1773">
        <v>18</v>
      </c>
      <c r="I239" s="1773">
        <v>31</v>
      </c>
      <c r="J239" s="1773">
        <f t="shared" si="12"/>
        <v>1.7222222222222223</v>
      </c>
      <c r="K239" s="432"/>
    </row>
    <row r="240" spans="1:11">
      <c r="A240" s="1776" t="s">
        <v>20</v>
      </c>
      <c r="B240" s="1775">
        <v>104</v>
      </c>
      <c r="C240" s="1774">
        <v>23466</v>
      </c>
      <c r="D240" s="1774">
        <f t="shared" si="14"/>
        <v>225.63461538461539</v>
      </c>
      <c r="E240" s="1774">
        <v>6286</v>
      </c>
      <c r="F240" s="1774">
        <v>3302</v>
      </c>
      <c r="G240" s="1773">
        <f t="shared" si="13"/>
        <v>525.294304804327</v>
      </c>
      <c r="H240" s="1773">
        <v>22</v>
      </c>
      <c r="I240" s="1773">
        <v>35</v>
      </c>
      <c r="J240" s="1773">
        <f t="shared" si="12"/>
        <v>1.5909090909090908</v>
      </c>
      <c r="K240" s="432"/>
    </row>
    <row r="241" spans="1:11">
      <c r="A241" s="1776" t="s">
        <v>21</v>
      </c>
      <c r="B241" s="1775">
        <v>112.12</v>
      </c>
      <c r="C241" s="1774">
        <v>20839.326282999999</v>
      </c>
      <c r="D241" s="1774">
        <f t="shared" si="14"/>
        <v>185.86627080806278</v>
      </c>
      <c r="E241" s="1774">
        <v>6480.875</v>
      </c>
      <c r="F241" s="1774">
        <v>3425.6060149999998</v>
      </c>
      <c r="G241" s="1773">
        <f t="shared" si="13"/>
        <v>528.57153007888587</v>
      </c>
      <c r="H241" s="1773">
        <v>25.18</v>
      </c>
      <c r="I241" s="1773">
        <v>42.958795000000002</v>
      </c>
      <c r="J241" s="1773">
        <f t="shared" si="12"/>
        <v>1.7060681096108024</v>
      </c>
      <c r="K241" s="432"/>
    </row>
    <row r="242" spans="1:11">
      <c r="A242" s="1776" t="s">
        <v>22</v>
      </c>
      <c r="B242" s="1775">
        <v>103.633</v>
      </c>
      <c r="C242" s="1774">
        <v>16256.340834000001</v>
      </c>
      <c r="D242" s="1774">
        <f t="shared" si="14"/>
        <v>156.86452031688748</v>
      </c>
      <c r="E242" s="1774">
        <v>6720.6639999999998</v>
      </c>
      <c r="F242" s="1774">
        <v>3242.397328</v>
      </c>
      <c r="G242" s="1773">
        <f t="shared" si="13"/>
        <v>482.45193153533637</v>
      </c>
      <c r="H242" s="1773">
        <v>24.11</v>
      </c>
      <c r="I242" s="1773">
        <v>39.065193999999998</v>
      </c>
      <c r="J242" s="1773">
        <f t="shared" si="12"/>
        <v>1.6202900871007879</v>
      </c>
      <c r="K242" s="432"/>
    </row>
    <row r="243" spans="1:11">
      <c r="A243" s="1776" t="s">
        <v>23</v>
      </c>
      <c r="B243" s="1775">
        <v>116.78400000000001</v>
      </c>
      <c r="C243" s="1774">
        <v>14850.078052999999</v>
      </c>
      <c r="D243" s="1774">
        <f t="shared" si="14"/>
        <v>127.15849819324563</v>
      </c>
      <c r="E243" s="1774">
        <v>6751.2380000000003</v>
      </c>
      <c r="F243" s="1774">
        <v>3257.9124919999999</v>
      </c>
      <c r="G243" s="1773">
        <f t="shared" si="13"/>
        <v>482.56519648692574</v>
      </c>
      <c r="H243" s="1773">
        <v>27.385000000000002</v>
      </c>
      <c r="I243" s="1773">
        <v>45.560265999999999</v>
      </c>
      <c r="J243" s="1773">
        <f t="shared" si="12"/>
        <v>1.6636942121599414</v>
      </c>
      <c r="K243" s="432"/>
    </row>
    <row r="244" spans="1:11">
      <c r="A244" s="1776" t="s">
        <v>24</v>
      </c>
      <c r="B244" s="1775">
        <v>110.021</v>
      </c>
      <c r="C244" s="1774">
        <v>15694.884866</v>
      </c>
      <c r="D244" s="1774">
        <f t="shared" si="14"/>
        <v>142.65353765190281</v>
      </c>
      <c r="E244" s="1774">
        <v>6965.4570000000003</v>
      </c>
      <c r="F244" s="1774">
        <v>3536.9061550000001</v>
      </c>
      <c r="G244" s="1773">
        <f t="shared" si="13"/>
        <v>507.77804744182606</v>
      </c>
      <c r="H244" s="1773">
        <v>30.625</v>
      </c>
      <c r="I244" s="1773">
        <v>50.419567999999998</v>
      </c>
      <c r="J244" s="1773">
        <f t="shared" si="12"/>
        <v>1.6463532408163264</v>
      </c>
      <c r="K244" s="432"/>
    </row>
    <row r="245" spans="1:11">
      <c r="A245" s="1776" t="s">
        <v>25</v>
      </c>
      <c r="B245" s="1775">
        <v>121.154</v>
      </c>
      <c r="C245" s="1774">
        <v>15361.737681000001</v>
      </c>
      <c r="D245" s="1774">
        <f t="shared" si="14"/>
        <v>126.79513413506777</v>
      </c>
      <c r="E245" s="1774">
        <v>9746.1890000000003</v>
      </c>
      <c r="F245" s="1774">
        <v>3436.945381</v>
      </c>
      <c r="G245" s="1773">
        <f t="shared" si="13"/>
        <v>352.64505757070793</v>
      </c>
      <c r="H245" s="1773">
        <v>31.245999999999999</v>
      </c>
      <c r="I245" s="1773">
        <v>50.178089999999997</v>
      </c>
      <c r="J245" s="1773">
        <f t="shared" si="12"/>
        <v>1.6059044357677783</v>
      </c>
      <c r="K245" s="432"/>
    </row>
    <row r="246" spans="1:11">
      <c r="A246" s="1776" t="s">
        <v>26</v>
      </c>
      <c r="B246" s="1775">
        <v>118.93899999999999</v>
      </c>
      <c r="C246" s="1774">
        <v>33364.511722000003</v>
      </c>
      <c r="D246" s="1774">
        <f t="shared" si="14"/>
        <v>280.51784294470281</v>
      </c>
      <c r="E246" s="1774">
        <v>9486.7710000000006</v>
      </c>
      <c r="F246" s="1774">
        <v>3224.0348319999998</v>
      </c>
      <c r="G246" s="1773">
        <f t="shared" si="13"/>
        <v>339.84533114586611</v>
      </c>
      <c r="H246" s="1773">
        <v>32.094999999999999</v>
      </c>
      <c r="I246" s="1773">
        <v>47.609662</v>
      </c>
      <c r="J246" s="1773">
        <f t="shared" si="12"/>
        <v>1.4833980993924287</v>
      </c>
      <c r="K246" s="432"/>
    </row>
    <row r="247" spans="1:11">
      <c r="A247" s="1776" t="s">
        <v>27</v>
      </c>
      <c r="B247" s="1775">
        <v>119.46899999999999</v>
      </c>
      <c r="C247" s="1774">
        <v>36943.431165000002</v>
      </c>
      <c r="D247" s="1774">
        <f t="shared" si="14"/>
        <v>309.23027032117119</v>
      </c>
      <c r="E247" s="1774">
        <v>11063.34</v>
      </c>
      <c r="F247" s="1774">
        <v>3664.3454000000002</v>
      </c>
      <c r="G247" s="1773">
        <f t="shared" si="13"/>
        <v>331.2151122536232</v>
      </c>
      <c r="H247" s="1773">
        <v>30.832999999999998</v>
      </c>
      <c r="I247" s="1773">
        <v>45.243550999999997</v>
      </c>
      <c r="J247" s="1773">
        <f t="shared" si="12"/>
        <v>1.467374274316479</v>
      </c>
      <c r="K247" s="432"/>
    </row>
    <row r="248" spans="1:11">
      <c r="A248" s="1776" t="s">
        <v>28</v>
      </c>
      <c r="B248" s="1775">
        <v>125.40600000000001</v>
      </c>
      <c r="C248" s="1774">
        <v>39324.417258000001</v>
      </c>
      <c r="D248" s="1774">
        <f t="shared" si="14"/>
        <v>313.57684048610116</v>
      </c>
      <c r="E248" s="1774">
        <v>9989.2260000000006</v>
      </c>
      <c r="F248" s="1774">
        <v>3814.8712759999999</v>
      </c>
      <c r="G248" s="1773">
        <f t="shared" si="13"/>
        <v>381.89858513562507</v>
      </c>
      <c r="H248" s="1773">
        <v>34.107999999999997</v>
      </c>
      <c r="I248" s="1773">
        <v>49.752963000000001</v>
      </c>
      <c r="J248" s="1773">
        <f t="shared" si="12"/>
        <v>1.4586889586020877</v>
      </c>
      <c r="K248" s="432"/>
    </row>
    <row r="249" spans="1:11">
      <c r="A249" s="1776" t="s">
        <v>29</v>
      </c>
      <c r="B249" s="1775">
        <v>165.12</v>
      </c>
      <c r="C249" s="1774">
        <v>49996.540850999998</v>
      </c>
      <c r="D249" s="1774">
        <f t="shared" si="14"/>
        <v>302.78912821584299</v>
      </c>
      <c r="E249" s="1774">
        <v>10468.868</v>
      </c>
      <c r="F249" s="1774">
        <v>5421.0985710000004</v>
      </c>
      <c r="G249" s="1773">
        <f t="shared" si="13"/>
        <v>517.83044460967506</v>
      </c>
      <c r="H249" s="1773">
        <v>45.747</v>
      </c>
      <c r="I249" s="1773">
        <v>81.847286999999994</v>
      </c>
      <c r="J249" s="1773">
        <f t="shared" si="12"/>
        <v>1.789129057643124</v>
      </c>
      <c r="K249" s="432"/>
    </row>
    <row r="250" spans="1:11">
      <c r="A250" s="1776" t="s">
        <v>3605</v>
      </c>
      <c r="B250" s="1778">
        <f>SUM(B251:B262)</f>
        <v>2119.4009999999998</v>
      </c>
      <c r="C250" s="1777">
        <f>SUM(C251:C262)</f>
        <v>716310.87747800001</v>
      </c>
      <c r="D250" s="1777">
        <f t="shared" ref="D250" si="15">C250/B250</f>
        <v>337.97798409928089</v>
      </c>
      <c r="E250" s="1777">
        <f>SUM(E251:E262)</f>
        <v>145036.74300000002</v>
      </c>
      <c r="F250" s="1777">
        <f>SUM(F251:F262)</f>
        <v>49011.95576099999</v>
      </c>
      <c r="G250" s="1777">
        <f t="shared" ref="G250" si="16">F250/E250*1000</f>
        <v>337.92785708791035</v>
      </c>
      <c r="H250" s="1777">
        <f>SUM(H251:H262)</f>
        <v>587.61799999999994</v>
      </c>
      <c r="I250" s="1777">
        <f>SUM(I251:I262)</f>
        <v>1054.408682</v>
      </c>
      <c r="J250" s="1777">
        <f t="shared" ref="J250" si="17">I250/H250</f>
        <v>1.7943777794417464</v>
      </c>
      <c r="K250" s="432"/>
    </row>
    <row r="251" spans="1:11">
      <c r="A251" s="1776" t="s">
        <v>18</v>
      </c>
      <c r="B251" s="1775">
        <v>91.108000000000004</v>
      </c>
      <c r="C251" s="1774">
        <v>36660.706982999996</v>
      </c>
      <c r="D251" s="1774">
        <f t="shared" ref="D251:D262" si="18">C251/B251</f>
        <v>402.38735328401452</v>
      </c>
      <c r="E251" s="1774">
        <v>10204.352999999999</v>
      </c>
      <c r="F251" s="1774">
        <v>3647.5491040000002</v>
      </c>
      <c r="G251" s="1773">
        <f t="shared" ref="G251:G262" si="19">F251/E251*1000</f>
        <v>357.45030615855808</v>
      </c>
      <c r="H251" s="1773">
        <v>40.293999999999997</v>
      </c>
      <c r="I251" s="1773">
        <v>53.433326999999998</v>
      </c>
      <c r="J251" s="1773">
        <f t="shared" ref="J251:J262" si="20">I251/H251</f>
        <v>1.3260864396684371</v>
      </c>
      <c r="K251" s="432"/>
    </row>
    <row r="252" spans="1:11">
      <c r="A252" s="1776" t="s">
        <v>19</v>
      </c>
      <c r="B252" s="1775">
        <v>160.44499999999999</v>
      </c>
      <c r="C252" s="1774">
        <v>37145.696744000001</v>
      </c>
      <c r="D252" s="1774">
        <f t="shared" si="18"/>
        <v>231.51669883137527</v>
      </c>
      <c r="E252" s="1774">
        <v>10531.706</v>
      </c>
      <c r="F252" s="1774">
        <v>3214.1088570000002</v>
      </c>
      <c r="G252" s="1773">
        <f t="shared" si="19"/>
        <v>305.18406581042046</v>
      </c>
      <c r="H252" s="1773">
        <v>45.042000000000002</v>
      </c>
      <c r="I252" s="1773">
        <v>140.54292100000001</v>
      </c>
      <c r="J252" s="1773">
        <f t="shared" si="20"/>
        <v>3.1202637760312597</v>
      </c>
      <c r="K252" s="432"/>
    </row>
    <row r="253" spans="1:11">
      <c r="A253" s="1776" t="s">
        <v>20</v>
      </c>
      <c r="B253" s="1775">
        <v>178.48400000000001</v>
      </c>
      <c r="C253" s="1774">
        <v>41829.277486999999</v>
      </c>
      <c r="D253" s="1774">
        <f t="shared" si="18"/>
        <v>234.35869594473454</v>
      </c>
      <c r="E253" s="1774">
        <v>11058.906999999999</v>
      </c>
      <c r="F253" s="1774">
        <v>3814.5697449999998</v>
      </c>
      <c r="G253" s="1773">
        <f t="shared" si="19"/>
        <v>344.93189471617762</v>
      </c>
      <c r="H253" s="1773">
        <v>51.276000000000003</v>
      </c>
      <c r="I253" s="1773">
        <v>195.251194</v>
      </c>
      <c r="J253" s="1773">
        <f t="shared" si="20"/>
        <v>3.8078476090178639</v>
      </c>
      <c r="K253" s="432"/>
    </row>
    <row r="254" spans="1:11">
      <c r="A254" s="1776" t="s">
        <v>21</v>
      </c>
      <c r="B254" s="1775">
        <v>162.11699999999999</v>
      </c>
      <c r="C254" s="1774">
        <v>40483.132396000001</v>
      </c>
      <c r="D254" s="1774">
        <f t="shared" si="18"/>
        <v>249.71552888346073</v>
      </c>
      <c r="E254" s="1774">
        <v>10624.512000000001</v>
      </c>
      <c r="F254" s="1774">
        <v>3984.703051</v>
      </c>
      <c r="G254" s="1773">
        <f t="shared" si="19"/>
        <v>375.04810112690353</v>
      </c>
      <c r="H254" s="1773">
        <v>46.591999999999999</v>
      </c>
      <c r="I254" s="1773">
        <v>72.627515000000002</v>
      </c>
      <c r="J254" s="1773">
        <f t="shared" si="20"/>
        <v>1.5587979696085166</v>
      </c>
      <c r="K254" s="432"/>
    </row>
    <row r="255" spans="1:11">
      <c r="A255" s="1776" t="s">
        <v>22</v>
      </c>
      <c r="B255" s="1775">
        <v>181.45500000000001</v>
      </c>
      <c r="C255" s="1774">
        <v>45947.633055999999</v>
      </c>
      <c r="D255" s="1774">
        <f t="shared" si="18"/>
        <v>253.21778433220356</v>
      </c>
      <c r="E255" s="1774">
        <v>12614.641</v>
      </c>
      <c r="F255" s="1774">
        <v>3770.7526939999998</v>
      </c>
      <c r="G255" s="1773">
        <f t="shared" si="19"/>
        <v>298.91874798498031</v>
      </c>
      <c r="H255" s="1773">
        <v>51.448999999999998</v>
      </c>
      <c r="I255" s="1773">
        <v>76.014280999999997</v>
      </c>
      <c r="J255" s="1773">
        <f t="shared" si="20"/>
        <v>1.4774685805360648</v>
      </c>
      <c r="K255" s="432"/>
    </row>
    <row r="256" spans="1:11">
      <c r="A256" s="1776" t="s">
        <v>23</v>
      </c>
      <c r="B256" s="1775">
        <v>178.196</v>
      </c>
      <c r="C256" s="1774">
        <v>38896.040908000003</v>
      </c>
      <c r="D256" s="1774">
        <f t="shared" si="18"/>
        <v>218.276734090552</v>
      </c>
      <c r="E256" s="1774">
        <v>12206.165999999999</v>
      </c>
      <c r="F256" s="1774">
        <v>3669.9096650000001</v>
      </c>
      <c r="G256" s="1773">
        <f t="shared" si="19"/>
        <v>300.66031094448499</v>
      </c>
      <c r="H256" s="1773">
        <v>48.164999999999999</v>
      </c>
      <c r="I256" s="1773">
        <v>75.469903000000002</v>
      </c>
      <c r="J256" s="1773">
        <f t="shared" si="20"/>
        <v>1.5669034153430916</v>
      </c>
      <c r="K256" s="432"/>
    </row>
    <row r="257" spans="1:34">
      <c r="A257" s="1776" t="s">
        <v>24</v>
      </c>
      <c r="B257" s="1775">
        <v>178.06700000000001</v>
      </c>
      <c r="C257" s="1774">
        <v>48385.682926000001</v>
      </c>
      <c r="D257" s="1774">
        <f t="shared" si="18"/>
        <v>271.72739994496453</v>
      </c>
      <c r="E257" s="1774">
        <v>15076.252</v>
      </c>
      <c r="F257" s="1774">
        <v>4537.6238460000004</v>
      </c>
      <c r="G257" s="1773">
        <f t="shared" si="19"/>
        <v>300.97824353161519</v>
      </c>
      <c r="H257" s="1773">
        <v>48.701999999999998</v>
      </c>
      <c r="I257" s="1773">
        <v>76.798392000000007</v>
      </c>
      <c r="J257" s="1773">
        <f t="shared" si="20"/>
        <v>1.5769042749784405</v>
      </c>
      <c r="K257" s="432"/>
    </row>
    <row r="258" spans="1:34">
      <c r="A258" s="1776" t="s">
        <v>25</v>
      </c>
      <c r="B258" s="1775">
        <v>181.15700000000001</v>
      </c>
      <c r="C258" s="1774">
        <v>59812.890206999997</v>
      </c>
      <c r="D258" s="1774">
        <f t="shared" si="18"/>
        <v>330.17156503474882</v>
      </c>
      <c r="E258" s="1774">
        <v>12575.754999999999</v>
      </c>
      <c r="F258" s="1774">
        <v>4482.0786699999999</v>
      </c>
      <c r="G258" s="1773">
        <f t="shared" si="19"/>
        <v>356.40632868563358</v>
      </c>
      <c r="H258" s="1773">
        <v>49.209000000000003</v>
      </c>
      <c r="I258" s="1773">
        <v>74.161629000000005</v>
      </c>
      <c r="J258" s="1773">
        <f t="shared" si="20"/>
        <v>1.5070744985673352</v>
      </c>
      <c r="K258" s="432"/>
    </row>
    <row r="259" spans="1:34">
      <c r="A259" s="1776" t="s">
        <v>26</v>
      </c>
      <c r="B259" s="1775">
        <v>172.11600000000001</v>
      </c>
      <c r="C259" s="1774">
        <v>73784.507656999995</v>
      </c>
      <c r="D259" s="1774">
        <f t="shared" si="18"/>
        <v>428.69057877826577</v>
      </c>
      <c r="E259" s="1774">
        <v>11811.055</v>
      </c>
      <c r="F259" s="1774">
        <v>4120.426931</v>
      </c>
      <c r="G259" s="1773">
        <f t="shared" si="19"/>
        <v>348.86188668158769</v>
      </c>
      <c r="H259" s="1773">
        <v>47.106999999999999</v>
      </c>
      <c r="I259" s="1773">
        <v>68.687235999999999</v>
      </c>
      <c r="J259" s="1773">
        <f t="shared" si="20"/>
        <v>1.4581110238393444</v>
      </c>
      <c r="K259" s="432"/>
    </row>
    <row r="260" spans="1:34">
      <c r="A260" s="1776" t="s">
        <v>27</v>
      </c>
      <c r="B260" s="1775">
        <v>186.50399999999999</v>
      </c>
      <c r="C260" s="1774">
        <v>81116.384445999996</v>
      </c>
      <c r="D260" s="1774">
        <f t="shared" si="18"/>
        <v>434.93107089392186</v>
      </c>
      <c r="E260" s="1774">
        <v>13151.196</v>
      </c>
      <c r="F260" s="1774">
        <v>4445.8855469999999</v>
      </c>
      <c r="G260" s="1773">
        <f t="shared" si="19"/>
        <v>338.05940896934396</v>
      </c>
      <c r="H260" s="1773">
        <v>51.402000000000001</v>
      </c>
      <c r="I260" s="1773">
        <v>67.922317000000007</v>
      </c>
      <c r="J260" s="1773">
        <f t="shared" si="20"/>
        <v>1.3213944399050621</v>
      </c>
      <c r="K260" s="432"/>
    </row>
    <row r="261" spans="1:34">
      <c r="A261" s="1776" t="s">
        <v>28</v>
      </c>
      <c r="B261" s="1775">
        <v>184.05699999999999</v>
      </c>
      <c r="C261" s="1774">
        <v>98807.544632999998</v>
      </c>
      <c r="D261" s="1774">
        <f t="shared" si="18"/>
        <v>536.83122420228517</v>
      </c>
      <c r="E261" s="1774">
        <v>12260.946</v>
      </c>
      <c r="F261" s="1774">
        <v>4066.1211969999999</v>
      </c>
      <c r="G261" s="1773">
        <f t="shared" si="19"/>
        <v>331.63193092931004</v>
      </c>
      <c r="H261" s="1773">
        <v>49.743000000000002</v>
      </c>
      <c r="I261" s="1773">
        <v>71.27946</v>
      </c>
      <c r="J261" s="1773">
        <f t="shared" si="20"/>
        <v>1.4329545865749955</v>
      </c>
      <c r="K261" s="432"/>
    </row>
    <row r="262" spans="1:34">
      <c r="A262" s="1776" t="s">
        <v>29</v>
      </c>
      <c r="B262" s="1775">
        <v>265.69499999999999</v>
      </c>
      <c r="C262" s="1774">
        <v>113441.38003499999</v>
      </c>
      <c r="D262" s="1774">
        <f t="shared" si="18"/>
        <v>426.96091396149717</v>
      </c>
      <c r="E262" s="1774">
        <v>12921.254000000001</v>
      </c>
      <c r="F262" s="1774">
        <v>5258.2264539999996</v>
      </c>
      <c r="G262" s="1773">
        <f t="shared" si="19"/>
        <v>406.9439741684514</v>
      </c>
      <c r="H262" s="1773">
        <v>58.637</v>
      </c>
      <c r="I262" s="1773">
        <v>82.220506999999998</v>
      </c>
      <c r="J262" s="1773">
        <f t="shared" si="20"/>
        <v>1.4021949792792945</v>
      </c>
      <c r="K262" s="432"/>
    </row>
    <row r="263" spans="1:34">
      <c r="A263" s="1776" t="s">
        <v>4086</v>
      </c>
      <c r="B263" s="1775"/>
      <c r="C263" s="1774"/>
      <c r="D263" s="1774"/>
      <c r="E263" s="1774"/>
      <c r="F263" s="1774"/>
      <c r="G263" s="1773"/>
      <c r="H263" s="1773"/>
      <c r="I263" s="1773"/>
      <c r="J263" s="1773"/>
      <c r="K263" s="432"/>
    </row>
    <row r="264" spans="1:34">
      <c r="A264" s="1776" t="s">
        <v>18</v>
      </c>
      <c r="B264" s="1775">
        <v>111.621</v>
      </c>
      <c r="C264" s="1774">
        <v>63231.802595000001</v>
      </c>
      <c r="D264" s="1774">
        <f t="shared" ref="D264:D265" si="21">C264/B264</f>
        <v>566.48661627292358</v>
      </c>
      <c r="E264" s="1774">
        <v>12173.221</v>
      </c>
      <c r="F264" s="1774">
        <v>3804.0335439999999</v>
      </c>
      <c r="G264" s="1773">
        <f t="shared" ref="G264:G265" si="22">F264/E264*1000</f>
        <v>312.49194802263099</v>
      </c>
      <c r="H264" s="1773">
        <v>51.305</v>
      </c>
      <c r="I264" s="1773">
        <v>67.108132999999995</v>
      </c>
      <c r="J264" s="1773">
        <f t="shared" ref="J264:J265" si="23">I264/H264</f>
        <v>1.3080232530942402</v>
      </c>
      <c r="K264" s="432"/>
    </row>
    <row r="265" spans="1:34">
      <c r="A265" s="1776" t="s">
        <v>19</v>
      </c>
      <c r="B265" s="1775">
        <v>176.43299999999999</v>
      </c>
      <c r="C265" s="1774">
        <v>72933.747545000006</v>
      </c>
      <c r="D265" s="1774">
        <f t="shared" si="21"/>
        <v>413.37928587622503</v>
      </c>
      <c r="E265" s="1774">
        <v>12465.625</v>
      </c>
      <c r="F265" s="1774">
        <v>3802.1383340000002</v>
      </c>
      <c r="G265" s="1773">
        <f t="shared" si="22"/>
        <v>305.0098437904237</v>
      </c>
      <c r="H265" s="1773">
        <v>55.773000000000003</v>
      </c>
      <c r="I265" s="1773">
        <v>72.082678999999999</v>
      </c>
      <c r="J265" s="1773">
        <f t="shared" si="23"/>
        <v>1.2924296523407381</v>
      </c>
      <c r="K265" s="432"/>
    </row>
    <row r="266" spans="1:34" s="1771" customFormat="1" ht="12" customHeight="1">
      <c r="A266" s="2620" t="s">
        <v>3351</v>
      </c>
      <c r="B266" s="2620"/>
      <c r="C266" s="2620"/>
      <c r="D266" s="2620"/>
      <c r="E266" s="2620"/>
      <c r="F266" s="2620"/>
      <c r="G266" s="2620"/>
      <c r="H266" s="2620"/>
      <c r="I266" s="2620"/>
      <c r="J266" s="2620"/>
      <c r="K266" s="1772"/>
      <c r="L266" s="1772"/>
      <c r="M266" s="1772"/>
      <c r="N266" s="1772"/>
      <c r="O266" s="1772"/>
      <c r="P266" s="1772"/>
      <c r="Q266" s="1772"/>
      <c r="R266" s="1772"/>
      <c r="S266" s="1772"/>
      <c r="T266" s="1772"/>
      <c r="U266" s="1772"/>
      <c r="V266" s="1772"/>
      <c r="W266" s="1772"/>
      <c r="X266" s="1772"/>
      <c r="Y266" s="1772"/>
      <c r="Z266" s="1772"/>
      <c r="AA266" s="1772"/>
      <c r="AB266" s="1772"/>
      <c r="AC266" s="1772"/>
      <c r="AD266" s="1772"/>
      <c r="AE266" s="1772"/>
      <c r="AF266" s="1772"/>
      <c r="AG266" s="1772"/>
      <c r="AH266" s="1772"/>
    </row>
    <row r="267" spans="1:34" s="1771" customFormat="1" ht="12" customHeight="1">
      <c r="A267" s="2617" t="s">
        <v>3352</v>
      </c>
      <c r="B267" s="2617"/>
      <c r="C267" s="2617"/>
      <c r="D267" s="2617"/>
      <c r="E267" s="2617"/>
      <c r="F267" s="2617"/>
      <c r="G267" s="2617"/>
      <c r="H267" s="2617"/>
      <c r="I267" s="2617"/>
      <c r="J267" s="2617"/>
      <c r="K267" s="1772"/>
      <c r="L267" s="1772"/>
      <c r="M267" s="1772"/>
      <c r="N267" s="1772"/>
      <c r="O267" s="1772"/>
      <c r="P267" s="1772"/>
      <c r="Q267" s="1772"/>
      <c r="R267" s="1772"/>
      <c r="S267" s="1772"/>
      <c r="T267" s="1772"/>
      <c r="U267" s="1772"/>
      <c r="V267" s="1772"/>
      <c r="W267" s="1772"/>
      <c r="X267" s="1772"/>
      <c r="Y267" s="1772"/>
      <c r="Z267" s="1772"/>
      <c r="AA267" s="1772"/>
      <c r="AB267" s="1772"/>
      <c r="AC267" s="1772"/>
      <c r="AD267" s="1772"/>
      <c r="AE267" s="1772"/>
      <c r="AF267" s="1772"/>
      <c r="AG267" s="1772"/>
      <c r="AH267" s="1772"/>
    </row>
    <row r="268" spans="1:34" s="1771" customFormat="1" ht="12" customHeight="1">
      <c r="A268" s="2617" t="s">
        <v>3353</v>
      </c>
      <c r="B268" s="2617"/>
      <c r="C268" s="2617"/>
      <c r="D268" s="2617"/>
      <c r="E268" s="2617"/>
      <c r="F268" s="2617"/>
      <c r="G268" s="2617"/>
      <c r="H268" s="2617"/>
      <c r="I268" s="2617"/>
      <c r="J268" s="2617"/>
      <c r="K268" s="1772"/>
      <c r="L268" s="1772"/>
      <c r="M268" s="1772"/>
      <c r="N268" s="1772"/>
      <c r="O268" s="1772"/>
      <c r="P268" s="1772"/>
      <c r="Q268" s="1772"/>
      <c r="R268" s="1772"/>
      <c r="S268" s="1772"/>
      <c r="T268" s="1772"/>
      <c r="U268" s="1772"/>
      <c r="V268" s="1772"/>
      <c r="W268" s="1772"/>
      <c r="X268" s="1772"/>
      <c r="Y268" s="1772"/>
      <c r="Z268" s="1772"/>
      <c r="AA268" s="1772"/>
      <c r="AB268" s="1772"/>
      <c r="AC268" s="1772"/>
      <c r="AD268" s="1772"/>
      <c r="AE268" s="1772"/>
      <c r="AF268" s="1772"/>
      <c r="AG268" s="1772"/>
      <c r="AH268" s="1772"/>
    </row>
    <row r="269" spans="1:34" s="1771" customFormat="1" ht="12" customHeight="1">
      <c r="A269" s="2618" t="s">
        <v>3354</v>
      </c>
      <c r="B269" s="2618"/>
      <c r="C269" s="2618"/>
      <c r="D269" s="2618"/>
      <c r="E269" s="2618"/>
      <c r="F269" s="2618"/>
      <c r="G269" s="2618"/>
      <c r="H269" s="2618"/>
      <c r="I269" s="2618"/>
      <c r="J269" s="2618"/>
      <c r="K269" s="1772"/>
      <c r="L269" s="1772"/>
      <c r="M269" s="1772"/>
      <c r="N269" s="1772"/>
      <c r="O269" s="1772"/>
      <c r="P269" s="1772"/>
      <c r="Q269" s="1772"/>
      <c r="R269" s="1772"/>
      <c r="S269" s="1772"/>
      <c r="T269" s="1772"/>
      <c r="U269" s="1772"/>
      <c r="V269" s="1772"/>
      <c r="W269" s="1772"/>
      <c r="X269" s="1772"/>
      <c r="Y269" s="1772"/>
      <c r="Z269" s="1772"/>
      <c r="AA269" s="1772"/>
      <c r="AB269" s="1772"/>
      <c r="AC269" s="1772"/>
      <c r="AD269" s="1772"/>
      <c r="AE269" s="1772"/>
      <c r="AF269" s="1772"/>
      <c r="AG269" s="1772"/>
      <c r="AH269" s="1772"/>
    </row>
    <row r="270" spans="1:34" s="1769" customFormat="1" ht="12" customHeight="1">
      <c r="A270" s="2616" t="s">
        <v>2753</v>
      </c>
      <c r="B270" s="2616"/>
      <c r="C270" s="2616"/>
      <c r="D270" s="2616"/>
      <c r="E270" s="2616"/>
      <c r="F270" s="2616"/>
      <c r="G270" s="2616"/>
      <c r="H270" s="2616"/>
      <c r="I270" s="2616"/>
      <c r="J270" s="2616"/>
      <c r="K270" s="1770"/>
      <c r="L270" s="1770"/>
      <c r="M270" s="1770"/>
      <c r="N270" s="1770"/>
      <c r="O270" s="1770"/>
      <c r="P270" s="1770"/>
      <c r="Q270" s="1770"/>
      <c r="R270" s="1770"/>
      <c r="S270" s="1770"/>
      <c r="T270" s="1770"/>
      <c r="U270" s="1770"/>
      <c r="V270" s="1770"/>
      <c r="W270" s="1770"/>
      <c r="X270" s="1770"/>
      <c r="Y270" s="1770"/>
      <c r="Z270" s="1770"/>
      <c r="AA270" s="1770"/>
      <c r="AB270" s="1770"/>
      <c r="AC270" s="1770"/>
      <c r="AD270" s="1770"/>
      <c r="AE270" s="1770"/>
      <c r="AF270" s="1770"/>
      <c r="AG270" s="1770"/>
      <c r="AH270" s="1770"/>
    </row>
  </sheetData>
  <mergeCells count="15">
    <mergeCell ref="A2:J2"/>
    <mergeCell ref="A3:J3"/>
    <mergeCell ref="A6:A8"/>
    <mergeCell ref="B6:D7"/>
    <mergeCell ref="E6:G7"/>
    <mergeCell ref="H6:J7"/>
    <mergeCell ref="A270:J270"/>
    <mergeCell ref="A268:J268"/>
    <mergeCell ref="A269:J269"/>
    <mergeCell ref="A9:A11"/>
    <mergeCell ref="B9:D10"/>
    <mergeCell ref="E9:G10"/>
    <mergeCell ref="H9:J10"/>
    <mergeCell ref="A266:J266"/>
    <mergeCell ref="A267:J267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Y32"/>
  <sheetViews>
    <sheetView showGridLines="0" view="pageBreakPreview" zoomScale="85" zoomScaleNormal="90" zoomScaleSheetLayoutView="85" workbookViewId="0">
      <pane xSplit="1" ySplit="7" topLeftCell="Z8" activePane="bottomRight" state="frozen"/>
      <selection activeCell="G291" sqref="G291"/>
      <selection pane="topRight" activeCell="G291" sqref="G291"/>
      <selection pane="bottomLeft" activeCell="G291" sqref="G291"/>
      <selection pane="bottomRight" activeCell="AY49" sqref="AY49"/>
    </sheetView>
  </sheetViews>
  <sheetFormatPr defaultColWidth="9.109375" defaultRowHeight="13.8"/>
  <cols>
    <col min="1" max="1" width="46" style="1097" customWidth="1"/>
    <col min="2" max="10" width="15.44140625" style="1097" hidden="1" customWidth="1"/>
    <col min="11" max="11" width="17.44140625" style="1097" hidden="1" customWidth="1"/>
    <col min="12" max="12" width="14.44140625" style="1097" hidden="1" customWidth="1"/>
    <col min="13" max="21" width="14" style="1097" hidden="1" customWidth="1"/>
    <col min="22" max="24" width="13.109375" style="1097" hidden="1" customWidth="1"/>
    <col min="25" max="25" width="13.33203125" style="1097" hidden="1" customWidth="1"/>
    <col min="26" max="37" width="13.109375" style="1097" hidden="1" customWidth="1"/>
    <col min="38" max="51" width="13.109375" style="1097" customWidth="1"/>
    <col min="52" max="16384" width="9.109375" style="1097"/>
  </cols>
  <sheetData>
    <row r="1" spans="1:51" ht="11.25" customHeight="1"/>
    <row r="2" spans="1:51" ht="20.25" customHeight="1">
      <c r="A2" s="2629" t="s">
        <v>3436</v>
      </c>
      <c r="B2" s="2629"/>
      <c r="C2" s="2629"/>
      <c r="D2" s="2629"/>
      <c r="E2" s="2629"/>
      <c r="F2" s="2629"/>
      <c r="G2" s="2629"/>
      <c r="H2" s="2629"/>
      <c r="I2" s="2629"/>
      <c r="J2" s="2629"/>
      <c r="K2" s="2629"/>
      <c r="L2" s="2629"/>
      <c r="M2" s="2629"/>
      <c r="N2" s="2629"/>
      <c r="O2" s="2629"/>
      <c r="P2" s="2629"/>
      <c r="Q2" s="2629"/>
      <c r="R2" s="2629"/>
      <c r="S2" s="2629"/>
      <c r="T2" s="2629"/>
      <c r="U2" s="2629"/>
      <c r="V2" s="2629"/>
      <c r="W2" s="2629"/>
      <c r="X2" s="2629"/>
      <c r="Y2" s="2629"/>
      <c r="Z2" s="2629"/>
      <c r="AA2" s="2629"/>
      <c r="AB2" s="2629"/>
      <c r="AC2" s="2629"/>
      <c r="AD2" s="2629"/>
      <c r="AE2" s="2629"/>
      <c r="AF2" s="2629"/>
      <c r="AG2" s="2629"/>
      <c r="AH2" s="2629"/>
      <c r="AI2" s="2629"/>
      <c r="AJ2" s="2629"/>
      <c r="AK2" s="2629"/>
      <c r="AL2" s="2629"/>
      <c r="AM2" s="2629"/>
      <c r="AN2" s="2629"/>
      <c r="AO2" s="2629"/>
      <c r="AP2" s="2629"/>
      <c r="AQ2" s="2629"/>
      <c r="AR2" s="2629"/>
      <c r="AS2" s="2629"/>
      <c r="AT2" s="2629"/>
      <c r="AU2" s="2629"/>
      <c r="AV2" s="2629"/>
      <c r="AW2" s="2629"/>
      <c r="AX2" s="2629"/>
      <c r="AY2" s="2629"/>
    </row>
    <row r="3" spans="1:51" ht="29.25" customHeight="1">
      <c r="A3" s="2484" t="s">
        <v>3437</v>
      </c>
      <c r="B3" s="2484"/>
      <c r="C3" s="2484"/>
      <c r="D3" s="2484"/>
      <c r="E3" s="2484"/>
      <c r="F3" s="2484"/>
      <c r="G3" s="2484"/>
      <c r="H3" s="2484"/>
      <c r="I3" s="2484"/>
      <c r="J3" s="2484"/>
      <c r="K3" s="2484"/>
      <c r="L3" s="2484"/>
      <c r="M3" s="2484"/>
      <c r="N3" s="2484"/>
      <c r="O3" s="2484"/>
      <c r="P3" s="2484"/>
      <c r="Q3" s="2484"/>
      <c r="R3" s="2484"/>
      <c r="S3" s="2484"/>
      <c r="T3" s="2484"/>
      <c r="U3" s="2484"/>
      <c r="V3" s="2484"/>
      <c r="W3" s="2484"/>
      <c r="X3" s="2484"/>
      <c r="Y3" s="2484"/>
      <c r="Z3" s="2484"/>
      <c r="AA3" s="2484"/>
      <c r="AB3" s="2484"/>
      <c r="AC3" s="2484"/>
      <c r="AD3" s="2484"/>
      <c r="AE3" s="2484"/>
      <c r="AF3" s="2484"/>
      <c r="AG3" s="2484"/>
      <c r="AH3" s="2484"/>
      <c r="AI3" s="2484"/>
      <c r="AJ3" s="2484"/>
      <c r="AK3" s="2484"/>
      <c r="AL3" s="2484"/>
      <c r="AM3" s="2484"/>
      <c r="AN3" s="2484"/>
      <c r="AO3" s="2484"/>
      <c r="AP3" s="2484"/>
      <c r="AQ3" s="2484"/>
      <c r="AR3" s="2484"/>
      <c r="AS3" s="2484"/>
      <c r="AT3" s="2484"/>
      <c r="AU3" s="2484"/>
      <c r="AV3" s="2484"/>
      <c r="AW3" s="2484"/>
      <c r="AX3" s="2484"/>
      <c r="AY3" s="2484"/>
    </row>
    <row r="4" spans="1:51" ht="15" customHeight="1">
      <c r="A4" s="1801"/>
      <c r="B4" s="1801"/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  <c r="N4" s="1801"/>
      <c r="O4" s="1801"/>
      <c r="P4" s="1801"/>
      <c r="Q4" s="1801"/>
      <c r="R4" s="1801"/>
      <c r="S4" s="1801"/>
      <c r="T4" s="1801"/>
      <c r="U4" s="1801"/>
      <c r="V4" s="1801"/>
      <c r="W4" s="1801"/>
      <c r="X4" s="1801"/>
      <c r="Y4" s="1801"/>
      <c r="Z4" s="1801"/>
      <c r="AA4" s="1801"/>
      <c r="AB4" s="1801"/>
      <c r="AC4" s="1801"/>
      <c r="AD4" s="1801"/>
      <c r="AE4" s="1801"/>
      <c r="AF4" s="1801"/>
      <c r="AG4" s="1801"/>
      <c r="AH4" s="1801"/>
      <c r="AI4" s="1801"/>
      <c r="AJ4" s="1801"/>
      <c r="AK4" s="1801"/>
      <c r="AL4" s="1801"/>
      <c r="AM4" s="1801"/>
      <c r="AN4" s="1801"/>
      <c r="AO4" s="1801"/>
      <c r="AP4" s="1801"/>
      <c r="AQ4" s="1801"/>
      <c r="AR4" s="1801"/>
      <c r="AS4" s="1801"/>
      <c r="AT4" s="1801"/>
      <c r="AU4" s="1801"/>
      <c r="AV4" s="1801"/>
      <c r="AW4" s="1801"/>
      <c r="AX4" s="1801"/>
      <c r="AY4" s="1801"/>
    </row>
    <row r="5" spans="1:51" ht="15" customHeight="1">
      <c r="A5" s="1338"/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  <c r="O5" s="1338"/>
      <c r="P5" s="1338"/>
      <c r="Q5" s="1338"/>
      <c r="R5" s="1338"/>
      <c r="S5" s="1338"/>
      <c r="T5" s="1338"/>
      <c r="U5" s="1338"/>
      <c r="V5" s="1338"/>
      <c r="W5" s="1338"/>
      <c r="X5" s="1338"/>
      <c r="Y5" s="1338"/>
      <c r="Z5" s="1338"/>
      <c r="AA5" s="1338"/>
      <c r="AB5" s="1338"/>
      <c r="AC5" s="1338"/>
      <c r="AD5" s="1338"/>
      <c r="AE5" s="1338"/>
      <c r="AF5" s="1338"/>
      <c r="AG5" s="1338"/>
      <c r="AH5" s="1338"/>
      <c r="AI5" s="1338"/>
      <c r="AJ5" s="1338"/>
      <c r="AK5" s="1338"/>
      <c r="AL5" s="1338"/>
      <c r="AM5" s="1338"/>
      <c r="AN5" s="1338"/>
      <c r="AO5" s="1338"/>
      <c r="AP5" s="1338"/>
      <c r="AQ5" s="1338"/>
      <c r="AR5" s="1338"/>
      <c r="AS5" s="1338"/>
      <c r="AT5" s="1338"/>
      <c r="AU5" s="1338"/>
      <c r="AV5" s="1338"/>
      <c r="AW5" s="1338"/>
      <c r="AX5" s="1338"/>
      <c r="AY5" s="1338"/>
    </row>
    <row r="6" spans="1:51" ht="23.25" customHeight="1">
      <c r="A6" s="2630"/>
      <c r="B6" s="2633">
        <v>2020</v>
      </c>
      <c r="C6" s="2633"/>
      <c r="D6" s="2633"/>
      <c r="E6" s="2633"/>
      <c r="F6" s="2633"/>
      <c r="G6" s="2633"/>
      <c r="H6" s="2633"/>
      <c r="I6" s="2633"/>
      <c r="J6" s="2633"/>
      <c r="K6" s="2633"/>
      <c r="L6" s="2633"/>
      <c r="M6" s="2633"/>
      <c r="N6" s="2633">
        <v>2021</v>
      </c>
      <c r="O6" s="2633"/>
      <c r="P6" s="2633"/>
      <c r="Q6" s="2633"/>
      <c r="R6" s="2633"/>
      <c r="S6" s="2633"/>
      <c r="T6" s="2633"/>
      <c r="U6" s="2633"/>
      <c r="V6" s="2633"/>
      <c r="W6" s="2633"/>
      <c r="X6" s="2633"/>
      <c r="Y6" s="2633"/>
      <c r="Z6" s="2634">
        <v>2022</v>
      </c>
      <c r="AA6" s="2635"/>
      <c r="AB6" s="2635"/>
      <c r="AC6" s="2635"/>
      <c r="AD6" s="2635"/>
      <c r="AE6" s="2635"/>
      <c r="AF6" s="2635"/>
      <c r="AG6" s="2635"/>
      <c r="AH6" s="2635"/>
      <c r="AI6" s="2635"/>
      <c r="AJ6" s="2635"/>
      <c r="AK6" s="2636"/>
      <c r="AL6" s="2637">
        <v>2023</v>
      </c>
      <c r="AM6" s="2635"/>
      <c r="AN6" s="2635"/>
      <c r="AO6" s="2635"/>
      <c r="AP6" s="2635"/>
      <c r="AQ6" s="2635"/>
      <c r="AR6" s="2635"/>
      <c r="AS6" s="2635"/>
      <c r="AT6" s="2635"/>
      <c r="AU6" s="2635"/>
      <c r="AV6" s="2635"/>
      <c r="AW6" s="2636"/>
      <c r="AX6" s="2637">
        <v>2024</v>
      </c>
      <c r="AY6" s="2636"/>
    </row>
    <row r="7" spans="1:51" ht="24.75" customHeight="1">
      <c r="A7" s="2631"/>
      <c r="B7" s="1766" t="s">
        <v>1988</v>
      </c>
      <c r="C7" s="1766" t="s">
        <v>1987</v>
      </c>
      <c r="D7" s="1766" t="s">
        <v>1986</v>
      </c>
      <c r="E7" s="1766" t="s">
        <v>1985</v>
      </c>
      <c r="F7" s="1766" t="s">
        <v>2005</v>
      </c>
      <c r="G7" s="1766" t="s">
        <v>2006</v>
      </c>
      <c r="H7" s="1766" t="s">
        <v>2015</v>
      </c>
      <c r="I7" s="1766" t="s">
        <v>2025</v>
      </c>
      <c r="J7" s="1766" t="s">
        <v>2035</v>
      </c>
      <c r="K7" s="1766" t="s">
        <v>2048</v>
      </c>
      <c r="L7" s="1766" t="s">
        <v>2059</v>
      </c>
      <c r="M7" s="1766" t="s">
        <v>1989</v>
      </c>
      <c r="N7" s="1766" t="s">
        <v>1988</v>
      </c>
      <c r="O7" s="1766" t="s">
        <v>1987</v>
      </c>
      <c r="P7" s="1766" t="s">
        <v>1986</v>
      </c>
      <c r="Q7" s="1766" t="s">
        <v>1985</v>
      </c>
      <c r="R7" s="1766" t="s">
        <v>2005</v>
      </c>
      <c r="S7" s="1766" t="s">
        <v>2006</v>
      </c>
      <c r="T7" s="1766" t="s">
        <v>3157</v>
      </c>
      <c r="U7" s="1766" t="s">
        <v>2025</v>
      </c>
      <c r="V7" s="1766" t="s">
        <v>2035</v>
      </c>
      <c r="W7" s="1766" t="s">
        <v>2048</v>
      </c>
      <c r="X7" s="1766" t="s">
        <v>2059</v>
      </c>
      <c r="Y7" s="1766" t="s">
        <v>1989</v>
      </c>
      <c r="Z7" s="1766" t="s">
        <v>1988</v>
      </c>
      <c r="AA7" s="1766" t="s">
        <v>1987</v>
      </c>
      <c r="AB7" s="1766" t="s">
        <v>1986</v>
      </c>
      <c r="AC7" s="1766" t="s">
        <v>1985</v>
      </c>
      <c r="AD7" s="1766" t="s">
        <v>2005</v>
      </c>
      <c r="AE7" s="1766" t="s">
        <v>2006</v>
      </c>
      <c r="AF7" s="1766" t="s">
        <v>3157</v>
      </c>
      <c r="AG7" s="1766" t="s">
        <v>2025</v>
      </c>
      <c r="AH7" s="1495" t="s">
        <v>2035</v>
      </c>
      <c r="AI7" s="1495" t="s">
        <v>2048</v>
      </c>
      <c r="AJ7" s="1495" t="s">
        <v>2059</v>
      </c>
      <c r="AK7" s="1418" t="s">
        <v>1989</v>
      </c>
      <c r="AL7" s="1555" t="s">
        <v>1988</v>
      </c>
      <c r="AM7" s="1495" t="s">
        <v>1987</v>
      </c>
      <c r="AN7" s="1495" t="s">
        <v>1986</v>
      </c>
      <c r="AO7" s="1495" t="s">
        <v>1985</v>
      </c>
      <c r="AP7" s="1495" t="s">
        <v>2005</v>
      </c>
      <c r="AQ7" s="1495" t="s">
        <v>2006</v>
      </c>
      <c r="AR7" s="1495" t="s">
        <v>2015</v>
      </c>
      <c r="AS7" s="1495" t="s">
        <v>2025</v>
      </c>
      <c r="AT7" s="1495" t="s">
        <v>2035</v>
      </c>
      <c r="AU7" s="1495" t="s">
        <v>2048</v>
      </c>
      <c r="AV7" s="1495" t="s">
        <v>2059</v>
      </c>
      <c r="AW7" s="1418" t="s">
        <v>1989</v>
      </c>
      <c r="AX7" s="1495" t="s">
        <v>1988</v>
      </c>
      <c r="AY7" s="1495" t="s">
        <v>1987</v>
      </c>
    </row>
    <row r="8" spans="1:51" ht="24.75" customHeight="1">
      <c r="A8" s="2632"/>
      <c r="B8" s="1766" t="s">
        <v>3194</v>
      </c>
      <c r="C8" s="1766" t="s">
        <v>3195</v>
      </c>
      <c r="D8" s="1766" t="s">
        <v>3196</v>
      </c>
      <c r="E8" s="1766" t="s">
        <v>3197</v>
      </c>
      <c r="F8" s="1766" t="s">
        <v>2005</v>
      </c>
      <c r="G8" s="1766" t="s">
        <v>3198</v>
      </c>
      <c r="H8" s="1766" t="s">
        <v>3199</v>
      </c>
      <c r="I8" s="1766" t="s">
        <v>3200</v>
      </c>
      <c r="J8" s="1766" t="s">
        <v>3201</v>
      </c>
      <c r="K8" s="1766" t="s">
        <v>3268</v>
      </c>
      <c r="L8" s="1766" t="s">
        <v>3318</v>
      </c>
      <c r="M8" s="1766" t="s">
        <v>3269</v>
      </c>
      <c r="N8" s="1766" t="s">
        <v>3194</v>
      </c>
      <c r="O8" s="1766" t="s">
        <v>3195</v>
      </c>
      <c r="P8" s="1766" t="s">
        <v>3196</v>
      </c>
      <c r="Q8" s="1766" t="s">
        <v>3197</v>
      </c>
      <c r="R8" s="1766" t="s">
        <v>2005</v>
      </c>
      <c r="S8" s="1766" t="s">
        <v>3198</v>
      </c>
      <c r="T8" s="1766" t="s">
        <v>3199</v>
      </c>
      <c r="U8" s="1766" t="s">
        <v>3200</v>
      </c>
      <c r="V8" s="1766" t="s">
        <v>3201</v>
      </c>
      <c r="W8" s="1766" t="s">
        <v>3268</v>
      </c>
      <c r="X8" s="1766" t="s">
        <v>3318</v>
      </c>
      <c r="Y8" s="1766" t="s">
        <v>3269</v>
      </c>
      <c r="Z8" s="1766" t="s">
        <v>3194</v>
      </c>
      <c r="AA8" s="1766" t="s">
        <v>3195</v>
      </c>
      <c r="AB8" s="1766" t="s">
        <v>3196</v>
      </c>
      <c r="AC8" s="1766" t="s">
        <v>3197</v>
      </c>
      <c r="AD8" s="1766" t="s">
        <v>2005</v>
      </c>
      <c r="AE8" s="1766" t="s">
        <v>3198</v>
      </c>
      <c r="AF8" s="1766" t="s">
        <v>3199</v>
      </c>
      <c r="AG8" s="1766" t="s">
        <v>3200</v>
      </c>
      <c r="AH8" s="1495" t="s">
        <v>3201</v>
      </c>
      <c r="AI8" s="1495" t="s">
        <v>3268</v>
      </c>
      <c r="AJ8" s="1495" t="s">
        <v>3503</v>
      </c>
      <c r="AK8" s="1418" t="s">
        <v>3269</v>
      </c>
      <c r="AL8" s="1555" t="s">
        <v>3194</v>
      </c>
      <c r="AM8" s="1495" t="s">
        <v>3195</v>
      </c>
      <c r="AN8" s="1495" t="s">
        <v>3196</v>
      </c>
      <c r="AO8" s="1495" t="s">
        <v>3197</v>
      </c>
      <c r="AP8" s="1495" t="s">
        <v>2005</v>
      </c>
      <c r="AQ8" s="1495" t="s">
        <v>3198</v>
      </c>
      <c r="AR8" s="1495" t="s">
        <v>3199</v>
      </c>
      <c r="AS8" s="1495" t="s">
        <v>3200</v>
      </c>
      <c r="AT8" s="1495" t="s">
        <v>3201</v>
      </c>
      <c r="AU8" s="1495" t="s">
        <v>3268</v>
      </c>
      <c r="AV8" s="1495" t="s">
        <v>3503</v>
      </c>
      <c r="AW8" s="1418" t="s">
        <v>3269</v>
      </c>
      <c r="AX8" s="1495" t="s">
        <v>3194</v>
      </c>
      <c r="AY8" s="1495" t="s">
        <v>3195</v>
      </c>
    </row>
    <row r="9" spans="1:51" ht="23.25" customHeight="1">
      <c r="A9" s="2623" t="s">
        <v>3224</v>
      </c>
      <c r="B9" s="2624"/>
      <c r="C9" s="2624"/>
      <c r="D9" s="2624"/>
      <c r="E9" s="2624"/>
      <c r="F9" s="2624"/>
      <c r="G9" s="2624"/>
      <c r="H9" s="2624"/>
      <c r="I9" s="2624"/>
      <c r="J9" s="2624"/>
      <c r="K9" s="2624"/>
      <c r="L9" s="2624"/>
      <c r="M9" s="2624"/>
      <c r="N9" s="2624"/>
      <c r="O9" s="2624"/>
      <c r="P9" s="2624"/>
      <c r="Q9" s="2624"/>
      <c r="R9" s="2624"/>
      <c r="S9" s="2624"/>
      <c r="T9" s="2624"/>
      <c r="U9" s="2624"/>
      <c r="V9" s="2624"/>
      <c r="W9" s="2624"/>
      <c r="X9" s="2624"/>
      <c r="Y9" s="2624"/>
      <c r="Z9" s="2624"/>
      <c r="AA9" s="2624"/>
      <c r="AB9" s="2624"/>
      <c r="AC9" s="2624"/>
      <c r="AD9" s="2624"/>
      <c r="AE9" s="2624"/>
      <c r="AF9" s="2624"/>
      <c r="AG9" s="2624"/>
      <c r="AH9" s="2624"/>
      <c r="AI9" s="2624"/>
      <c r="AJ9" s="2624"/>
      <c r="AK9" s="2624"/>
      <c r="AL9" s="2624"/>
      <c r="AM9" s="2624"/>
      <c r="AN9" s="2624"/>
      <c r="AO9" s="2624"/>
      <c r="AP9" s="2624"/>
      <c r="AQ9" s="2624"/>
      <c r="AR9" s="2624"/>
      <c r="AS9" s="2624"/>
      <c r="AT9" s="2624"/>
      <c r="AU9" s="2624"/>
      <c r="AV9" s="2624"/>
      <c r="AW9" s="2624"/>
      <c r="AX9" s="2624"/>
      <c r="AY9" s="2625"/>
    </row>
    <row r="10" spans="1:51" s="1339" customFormat="1" ht="20.25" customHeight="1">
      <c r="A10" s="1340" t="s">
        <v>3226</v>
      </c>
      <c r="B10" s="1341">
        <f t="shared" ref="B10:I10" si="0">SUM(B11:B13)</f>
        <v>50.792999999999999</v>
      </c>
      <c r="C10" s="1341">
        <f t="shared" si="0"/>
        <v>69.81</v>
      </c>
      <c r="D10" s="1341">
        <f t="shared" si="0"/>
        <v>70.820999999999998</v>
      </c>
      <c r="E10" s="1341">
        <f t="shared" si="0"/>
        <v>61.747</v>
      </c>
      <c r="F10" s="1341">
        <f t="shared" si="0"/>
        <v>58.346000000000004</v>
      </c>
      <c r="G10" s="1341">
        <f t="shared" si="0"/>
        <v>70.740000000000009</v>
      </c>
      <c r="H10" s="1341">
        <f t="shared" si="0"/>
        <v>79.647999999999996</v>
      </c>
      <c r="I10" s="1341">
        <f t="shared" si="0"/>
        <v>76.795999999999992</v>
      </c>
      <c r="J10" s="1341">
        <v>83</v>
      </c>
      <c r="K10" s="1341">
        <v>85</v>
      </c>
      <c r="L10" s="1341">
        <v>80</v>
      </c>
      <c r="M10" s="1341">
        <v>120</v>
      </c>
      <c r="N10" s="1341">
        <f>SUM(N11:N13)</f>
        <v>51.277999999999999</v>
      </c>
      <c r="O10" s="1341">
        <f>SUM(O11:O13)</f>
        <v>75.719000000000008</v>
      </c>
      <c r="P10" s="1341">
        <v>82</v>
      </c>
      <c r="Q10" s="1341">
        <v>90</v>
      </c>
      <c r="R10" s="1341">
        <v>79</v>
      </c>
      <c r="S10" s="1341">
        <v>93</v>
      </c>
      <c r="T10" s="1341">
        <v>98</v>
      </c>
      <c r="U10" s="1341">
        <v>95</v>
      </c>
      <c r="V10" s="1341">
        <v>99</v>
      </c>
      <c r="W10" s="1341">
        <v>101</v>
      </c>
      <c r="X10" s="1341">
        <v>107</v>
      </c>
      <c r="Y10" s="1341">
        <v>142</v>
      </c>
      <c r="Z10" s="1341">
        <v>67</v>
      </c>
      <c r="AA10" s="1341">
        <v>95</v>
      </c>
      <c r="AB10" s="1341">
        <v>103.84</v>
      </c>
      <c r="AC10" s="1341">
        <v>112.12</v>
      </c>
      <c r="AD10" s="1341">
        <v>103.633</v>
      </c>
      <c r="AE10" s="1341">
        <v>116.78400000000001</v>
      </c>
      <c r="AF10" s="1341">
        <v>110.021</v>
      </c>
      <c r="AG10" s="1341">
        <v>121.154</v>
      </c>
      <c r="AH10" s="1496">
        <v>118.93899999999999</v>
      </c>
      <c r="AI10" s="1496">
        <v>119.46899999999999</v>
      </c>
      <c r="AJ10" s="1496">
        <v>125.40600000000001</v>
      </c>
      <c r="AK10" s="1342">
        <v>165.12</v>
      </c>
      <c r="AL10" s="1341">
        <v>91.108000000000004</v>
      </c>
      <c r="AM10" s="1496">
        <v>160.44499999999999</v>
      </c>
      <c r="AN10" s="1496">
        <v>178.48400000000001</v>
      </c>
      <c r="AO10" s="1496">
        <v>162.11699999999999</v>
      </c>
      <c r="AP10" s="1341">
        <v>181.45500000000001</v>
      </c>
      <c r="AQ10" s="1341">
        <v>178.196</v>
      </c>
      <c r="AR10" s="1341">
        <v>178.06700000000001</v>
      </c>
      <c r="AS10" s="1341">
        <v>181.15700000000001</v>
      </c>
      <c r="AT10" s="1341">
        <v>172.11600000000001</v>
      </c>
      <c r="AU10" s="1341">
        <v>186.50399999999999</v>
      </c>
      <c r="AV10" s="1341">
        <v>184.05699999999999</v>
      </c>
      <c r="AW10" s="1342">
        <v>265.69499999999999</v>
      </c>
      <c r="AX10" s="2097">
        <v>111.621</v>
      </c>
      <c r="AY10" s="2097">
        <v>176.43299999999999</v>
      </c>
    </row>
    <row r="11" spans="1:51" ht="20.25" customHeight="1">
      <c r="A11" s="1800" t="s">
        <v>3227</v>
      </c>
      <c r="B11" s="1343">
        <v>1.0329999999999999</v>
      </c>
      <c r="C11" s="1343">
        <v>1.327</v>
      </c>
      <c r="D11" s="1343">
        <v>1.6</v>
      </c>
      <c r="E11" s="1343">
        <v>1.2110000000000001</v>
      </c>
      <c r="F11" s="1343">
        <v>1.0569999999999999</v>
      </c>
      <c r="G11" s="1343">
        <v>1.1479999999999999</v>
      </c>
      <c r="H11" s="1343">
        <v>1.167</v>
      </c>
      <c r="I11" s="1343">
        <v>1.153</v>
      </c>
      <c r="J11" s="1343">
        <v>1.153</v>
      </c>
      <c r="K11" s="1343">
        <v>1</v>
      </c>
      <c r="L11" s="1343">
        <v>1</v>
      </c>
      <c r="M11" s="1343">
        <v>1</v>
      </c>
      <c r="N11" s="1343">
        <v>0.92500000000000004</v>
      </c>
      <c r="O11" s="1343">
        <v>0.84099999999999997</v>
      </c>
      <c r="P11" s="1343">
        <v>1</v>
      </c>
      <c r="Q11" s="1343">
        <v>1</v>
      </c>
      <c r="R11" s="1343">
        <v>1</v>
      </c>
      <c r="S11" s="1343">
        <v>1</v>
      </c>
      <c r="T11" s="1343">
        <v>1</v>
      </c>
      <c r="U11" s="1343">
        <v>1</v>
      </c>
      <c r="V11" s="1343">
        <v>0.92500000000000004</v>
      </c>
      <c r="W11" s="1343">
        <v>1</v>
      </c>
      <c r="X11" s="1343">
        <v>1</v>
      </c>
      <c r="Y11" s="1343">
        <v>1</v>
      </c>
      <c r="Z11" s="1343">
        <v>1</v>
      </c>
      <c r="AA11" s="1343">
        <v>1</v>
      </c>
      <c r="AB11" s="1343">
        <v>0.96399999999999997</v>
      </c>
      <c r="AC11" s="1343">
        <v>0.94799999999999995</v>
      </c>
      <c r="AD11" s="1343">
        <v>0.78400000000000003</v>
      </c>
      <c r="AE11" s="1343">
        <v>0.83199999999999996</v>
      </c>
      <c r="AF11" s="1343">
        <v>0.80100000000000005</v>
      </c>
      <c r="AG11" s="1343">
        <v>0.96699999999999997</v>
      </c>
      <c r="AH11" s="1497">
        <v>1.335</v>
      </c>
      <c r="AI11" s="1497">
        <v>1.6930000000000001</v>
      </c>
      <c r="AJ11" s="1497">
        <v>1.7509999999999999</v>
      </c>
      <c r="AK11" s="1344">
        <v>1.956</v>
      </c>
      <c r="AL11" s="1343">
        <v>1.4690000000000001</v>
      </c>
      <c r="AM11" s="1497">
        <v>1.6080000000000001</v>
      </c>
      <c r="AN11" s="1497">
        <v>1.6870000000000001</v>
      </c>
      <c r="AO11" s="1497">
        <v>1.518</v>
      </c>
      <c r="AP11" s="1343">
        <v>1.7450000000000001</v>
      </c>
      <c r="AQ11" s="1343">
        <v>1.4379999999999999</v>
      </c>
      <c r="AR11" s="1343">
        <v>1.7729999999999999</v>
      </c>
      <c r="AS11" s="1343">
        <v>1.778</v>
      </c>
      <c r="AT11" s="1343">
        <v>1.5349999999999999</v>
      </c>
      <c r="AU11" s="1343">
        <v>1.641</v>
      </c>
      <c r="AV11" s="1343">
        <v>1.5740000000000001</v>
      </c>
      <c r="AW11" s="1344">
        <v>1.9039999999999999</v>
      </c>
      <c r="AX11" s="2098">
        <v>1.26</v>
      </c>
      <c r="AY11" s="2098">
        <v>1.544</v>
      </c>
    </row>
    <row r="12" spans="1:51" ht="20.25" customHeight="1">
      <c r="A12" s="1800" t="s">
        <v>3228</v>
      </c>
      <c r="B12" s="1343">
        <v>43.232999999999997</v>
      </c>
      <c r="C12" s="1343">
        <v>49.356999999999999</v>
      </c>
      <c r="D12" s="1343">
        <v>47.652000000000001</v>
      </c>
      <c r="E12" s="1343">
        <v>43.192999999999998</v>
      </c>
      <c r="F12" s="1343">
        <v>40.622999999999998</v>
      </c>
      <c r="G12" s="1343">
        <v>48.697000000000003</v>
      </c>
      <c r="H12" s="1343">
        <v>50.662999999999997</v>
      </c>
      <c r="I12" s="1343">
        <v>49.795000000000002</v>
      </c>
      <c r="J12" s="1343">
        <v>55</v>
      </c>
      <c r="K12" s="1343">
        <v>54</v>
      </c>
      <c r="L12" s="1343">
        <v>52</v>
      </c>
      <c r="M12" s="1343">
        <v>67</v>
      </c>
      <c r="N12" s="1343">
        <v>45.372</v>
      </c>
      <c r="O12" s="1343">
        <v>51.709000000000003</v>
      </c>
      <c r="P12" s="1343">
        <v>55</v>
      </c>
      <c r="Q12" s="1343">
        <v>63</v>
      </c>
      <c r="R12" s="1343">
        <v>55</v>
      </c>
      <c r="S12" s="1343">
        <v>66</v>
      </c>
      <c r="T12" s="1343">
        <v>67</v>
      </c>
      <c r="U12" s="1343">
        <v>69</v>
      </c>
      <c r="V12" s="1343">
        <v>70</v>
      </c>
      <c r="W12" s="1343">
        <v>72</v>
      </c>
      <c r="X12" s="1343">
        <v>76</v>
      </c>
      <c r="Y12" s="1343">
        <v>92</v>
      </c>
      <c r="Z12" s="1343">
        <v>60</v>
      </c>
      <c r="AA12" s="1343">
        <v>71</v>
      </c>
      <c r="AB12" s="1343">
        <v>76.17</v>
      </c>
      <c r="AC12" s="1343">
        <v>83.230999999999995</v>
      </c>
      <c r="AD12" s="1343">
        <v>79.584999999999994</v>
      </c>
      <c r="AE12" s="1343">
        <v>87.06</v>
      </c>
      <c r="AF12" s="1343">
        <v>81.540000000000006</v>
      </c>
      <c r="AG12" s="1343">
        <v>93.283000000000001</v>
      </c>
      <c r="AH12" s="1497">
        <v>89.516999999999996</v>
      </c>
      <c r="AI12" s="1497">
        <v>91.67</v>
      </c>
      <c r="AJ12" s="1497">
        <v>93.113</v>
      </c>
      <c r="AK12" s="1344">
        <v>113.456</v>
      </c>
      <c r="AL12" s="1343">
        <v>75.927000000000007</v>
      </c>
      <c r="AM12" s="1497">
        <v>85.444999999999993</v>
      </c>
      <c r="AN12" s="1497">
        <v>95.424000000000007</v>
      </c>
      <c r="AO12" s="1497">
        <v>96.069000000000003</v>
      </c>
      <c r="AP12" s="1343">
        <v>106.56399999999999</v>
      </c>
      <c r="AQ12" s="1343">
        <v>95.251999999999995</v>
      </c>
      <c r="AR12" s="1343">
        <v>107.83199999999999</v>
      </c>
      <c r="AS12" s="1343">
        <v>109.703</v>
      </c>
      <c r="AT12" s="1343">
        <v>101.607</v>
      </c>
      <c r="AU12" s="1343">
        <v>109.68899999999999</v>
      </c>
      <c r="AV12" s="1343">
        <v>107.363</v>
      </c>
      <c r="AW12" s="1344">
        <v>133.97800000000001</v>
      </c>
      <c r="AX12" s="2098">
        <v>91.165999999999997</v>
      </c>
      <c r="AY12" s="2098">
        <v>105.762</v>
      </c>
    </row>
    <row r="13" spans="1:51" ht="20.25" customHeight="1">
      <c r="A13" s="1800" t="s">
        <v>3229</v>
      </c>
      <c r="B13" s="1343">
        <v>6.5270000000000001</v>
      </c>
      <c r="C13" s="1343">
        <v>19.126000000000001</v>
      </c>
      <c r="D13" s="1343">
        <v>21.568999999999999</v>
      </c>
      <c r="E13" s="1343">
        <v>17.343</v>
      </c>
      <c r="F13" s="1343">
        <v>16.666</v>
      </c>
      <c r="G13" s="1343">
        <v>20.895</v>
      </c>
      <c r="H13" s="1343">
        <v>27.818000000000001</v>
      </c>
      <c r="I13" s="1343">
        <v>25.847999999999999</v>
      </c>
      <c r="J13" s="1343">
        <v>27</v>
      </c>
      <c r="K13" s="1343">
        <v>30</v>
      </c>
      <c r="L13" s="1343">
        <v>27</v>
      </c>
      <c r="M13" s="1343">
        <v>52</v>
      </c>
      <c r="N13" s="1343">
        <v>4.9809999999999999</v>
      </c>
      <c r="O13" s="1343">
        <v>23.169</v>
      </c>
      <c r="P13" s="1343">
        <v>26</v>
      </c>
      <c r="Q13" s="1343">
        <v>26</v>
      </c>
      <c r="R13" s="1343">
        <v>23</v>
      </c>
      <c r="S13" s="1343">
        <v>26</v>
      </c>
      <c r="T13" s="1343">
        <v>30</v>
      </c>
      <c r="U13" s="1343">
        <v>25</v>
      </c>
      <c r="V13" s="1343">
        <v>28</v>
      </c>
      <c r="W13" s="1343">
        <v>28</v>
      </c>
      <c r="X13" s="1343">
        <v>30</v>
      </c>
      <c r="Y13" s="1343">
        <v>49</v>
      </c>
      <c r="Z13" s="1343">
        <v>6</v>
      </c>
      <c r="AA13" s="1343">
        <v>23</v>
      </c>
      <c r="AB13" s="1343">
        <v>26.706</v>
      </c>
      <c r="AC13" s="1343">
        <v>27.940999999999999</v>
      </c>
      <c r="AD13" s="1343">
        <v>23.263999999999999</v>
      </c>
      <c r="AE13" s="1343">
        <v>28.891999999999999</v>
      </c>
      <c r="AF13" s="1343">
        <v>27.68</v>
      </c>
      <c r="AG13" s="1343">
        <v>26.904</v>
      </c>
      <c r="AH13" s="1497">
        <v>28.087</v>
      </c>
      <c r="AI13" s="1497">
        <v>26.106000000000002</v>
      </c>
      <c r="AJ13" s="1497">
        <v>30.542000000000002</v>
      </c>
      <c r="AK13" s="1344">
        <v>49.707999999999998</v>
      </c>
      <c r="AL13" s="1343">
        <v>13.712</v>
      </c>
      <c r="AM13" s="1497">
        <v>73.391999999999996</v>
      </c>
      <c r="AN13" s="1497">
        <v>81.373000000000005</v>
      </c>
      <c r="AO13" s="1497">
        <v>64.53</v>
      </c>
      <c r="AP13" s="1343">
        <v>73.146000000000001</v>
      </c>
      <c r="AQ13" s="1343">
        <v>81.506</v>
      </c>
      <c r="AR13" s="1343">
        <v>68.462000000000003</v>
      </c>
      <c r="AS13" s="1343">
        <v>69.676000000000002</v>
      </c>
      <c r="AT13" s="1343">
        <v>68.974000000000004</v>
      </c>
      <c r="AU13" s="1343">
        <v>75.174000000000007</v>
      </c>
      <c r="AV13" s="1343">
        <v>75.12</v>
      </c>
      <c r="AW13" s="1344">
        <v>129.81299999999999</v>
      </c>
      <c r="AX13" s="2098">
        <v>19.195</v>
      </c>
      <c r="AY13" s="2098">
        <v>69.126999999999995</v>
      </c>
    </row>
    <row r="14" spans="1:51" s="1339" customFormat="1" ht="20.25" customHeight="1">
      <c r="A14" s="1340" t="s">
        <v>3230</v>
      </c>
      <c r="B14" s="1341">
        <f t="shared" ref="B14:I14" si="1">SUM(B15:B17)</f>
        <v>5029.5210000000006</v>
      </c>
      <c r="C14" s="1341">
        <f t="shared" si="1"/>
        <v>4704.0060000000003</v>
      </c>
      <c r="D14" s="1341">
        <f t="shared" si="1"/>
        <v>4585.58</v>
      </c>
      <c r="E14" s="1341">
        <f t="shared" si="1"/>
        <v>3825.4509999999996</v>
      </c>
      <c r="F14" s="1341">
        <f t="shared" si="1"/>
        <v>4521.5650000000005</v>
      </c>
      <c r="G14" s="1341">
        <f t="shared" si="1"/>
        <v>4616.8650000000007</v>
      </c>
      <c r="H14" s="1341">
        <f t="shared" si="1"/>
        <v>4870.1140000000005</v>
      </c>
      <c r="I14" s="1341">
        <f t="shared" si="1"/>
        <v>5238.8770000000004</v>
      </c>
      <c r="J14" s="1341">
        <v>5277</v>
      </c>
      <c r="K14" s="1341">
        <v>5057</v>
      </c>
      <c r="L14" s="1341">
        <v>5244</v>
      </c>
      <c r="M14" s="1341">
        <v>5946</v>
      </c>
      <c r="N14" s="1341">
        <f>SUM(N15:N17)</f>
        <v>5415.2730000000001</v>
      </c>
      <c r="O14" s="1341">
        <f>SUM(O15:O17)</f>
        <v>5777.7629999999999</v>
      </c>
      <c r="P14" s="1341">
        <v>6668</v>
      </c>
      <c r="Q14" s="1341">
        <v>6425</v>
      </c>
      <c r="R14" s="1341">
        <v>5086</v>
      </c>
      <c r="S14" s="1341">
        <v>5688</v>
      </c>
      <c r="T14" s="1341">
        <v>4956</v>
      </c>
      <c r="U14" s="1341">
        <v>5761</v>
      </c>
      <c r="V14" s="1341">
        <f>SUM(V15:V17)</f>
        <v>5510</v>
      </c>
      <c r="W14" s="1341">
        <v>5623</v>
      </c>
      <c r="X14" s="1341">
        <v>6119</v>
      </c>
      <c r="Y14" s="1341">
        <v>6610</v>
      </c>
      <c r="Z14" s="1341">
        <v>6018</v>
      </c>
      <c r="AA14" s="1341">
        <v>5920</v>
      </c>
      <c r="AB14" s="1341">
        <v>6285.8180000000002</v>
      </c>
      <c r="AC14" s="1341">
        <v>6480.875</v>
      </c>
      <c r="AD14" s="1341">
        <v>6720.6639999999998</v>
      </c>
      <c r="AE14" s="1341">
        <v>6751.2380000000003</v>
      </c>
      <c r="AF14" s="1341">
        <v>6965.4570000000003</v>
      </c>
      <c r="AG14" s="1341">
        <v>9746.1890000000003</v>
      </c>
      <c r="AH14" s="1496">
        <v>9486.7710000000006</v>
      </c>
      <c r="AI14" s="1496">
        <v>11063.34</v>
      </c>
      <c r="AJ14" s="1496">
        <v>9989.2260000000006</v>
      </c>
      <c r="AK14" s="1342">
        <v>10468.868</v>
      </c>
      <c r="AL14" s="1341">
        <v>10204.352999999999</v>
      </c>
      <c r="AM14" s="1496">
        <v>10531.706</v>
      </c>
      <c r="AN14" s="1496">
        <v>11058.906999999999</v>
      </c>
      <c r="AO14" s="1496">
        <v>10624.512000000001</v>
      </c>
      <c r="AP14" s="1341">
        <v>12614.641</v>
      </c>
      <c r="AQ14" s="1341">
        <v>12206.165999999999</v>
      </c>
      <c r="AR14" s="1341">
        <v>15076.252</v>
      </c>
      <c r="AS14" s="1341">
        <v>12575.754999999999</v>
      </c>
      <c r="AT14" s="1341">
        <v>11811.055</v>
      </c>
      <c r="AU14" s="1341">
        <v>13151.196</v>
      </c>
      <c r="AV14" s="1341">
        <v>12260.946</v>
      </c>
      <c r="AW14" s="1342">
        <v>12921.254000000001</v>
      </c>
      <c r="AX14" s="2097">
        <v>12173.221</v>
      </c>
      <c r="AY14" s="2097">
        <v>12465.625</v>
      </c>
    </row>
    <row r="15" spans="1:51" ht="20.25" customHeight="1">
      <c r="A15" s="1345" t="s">
        <v>3227</v>
      </c>
      <c r="B15" s="1343">
        <v>3.2320000000000002</v>
      </c>
      <c r="C15" s="1343">
        <v>3.8010000000000002</v>
      </c>
      <c r="D15" s="1343">
        <v>3.8889999999999998</v>
      </c>
      <c r="E15" s="1343">
        <v>3.9119999999999999</v>
      </c>
      <c r="F15" s="1343">
        <v>3.331</v>
      </c>
      <c r="G15" s="1343">
        <v>9.6129999999999995</v>
      </c>
      <c r="H15" s="1343">
        <v>4.915</v>
      </c>
      <c r="I15" s="1343">
        <v>4.4660000000000002</v>
      </c>
      <c r="J15" s="1343">
        <v>7</v>
      </c>
      <c r="K15" s="1343">
        <v>2</v>
      </c>
      <c r="L15" s="1343">
        <v>4</v>
      </c>
      <c r="M15" s="1343">
        <v>2</v>
      </c>
      <c r="N15" s="1343">
        <v>3.4929999999999999</v>
      </c>
      <c r="O15" s="1343">
        <v>4.298</v>
      </c>
      <c r="P15" s="1343">
        <v>4</v>
      </c>
      <c r="Q15" s="1343">
        <v>5</v>
      </c>
      <c r="R15" s="1343">
        <v>4</v>
      </c>
      <c r="S15" s="1343">
        <v>5</v>
      </c>
      <c r="T15" s="1343">
        <v>5</v>
      </c>
      <c r="U15" s="1343">
        <v>4</v>
      </c>
      <c r="V15" s="1343">
        <v>4</v>
      </c>
      <c r="W15" s="1343">
        <v>6</v>
      </c>
      <c r="X15" s="1343">
        <v>5</v>
      </c>
      <c r="Y15" s="1343">
        <v>6</v>
      </c>
      <c r="Z15" s="1343">
        <v>4</v>
      </c>
      <c r="AA15" s="1343">
        <v>5</v>
      </c>
      <c r="AB15" s="1343">
        <v>5.0720000000000001</v>
      </c>
      <c r="AC15" s="1343">
        <v>5.73</v>
      </c>
      <c r="AD15" s="1343">
        <v>4.5380000000000003</v>
      </c>
      <c r="AE15" s="1343">
        <v>4.7229999999999999</v>
      </c>
      <c r="AF15" s="1343">
        <v>5.2859999999999996</v>
      </c>
      <c r="AG15" s="1343">
        <v>4.9240000000000004</v>
      </c>
      <c r="AH15" s="1497">
        <v>4.734</v>
      </c>
      <c r="AI15" s="1497">
        <v>5.4029999999999996</v>
      </c>
      <c r="AJ15" s="1497">
        <v>5.7910000000000004</v>
      </c>
      <c r="AK15" s="1344">
        <v>7.4249999999999998</v>
      </c>
      <c r="AL15" s="1343">
        <v>3.806</v>
      </c>
      <c r="AM15" s="1497">
        <v>5.6159999999999997</v>
      </c>
      <c r="AN15" s="1497">
        <v>5.5309999999999997</v>
      </c>
      <c r="AO15" s="1497">
        <v>5.7619999999999996</v>
      </c>
      <c r="AP15" s="1343">
        <v>5.7050000000000001</v>
      </c>
      <c r="AQ15" s="1343">
        <v>5.101</v>
      </c>
      <c r="AR15" s="1343">
        <v>5.4550000000000001</v>
      </c>
      <c r="AS15" s="1343">
        <v>5.6980000000000004</v>
      </c>
      <c r="AT15" s="1343">
        <v>5.22</v>
      </c>
      <c r="AU15" s="1343">
        <v>6.2560000000000002</v>
      </c>
      <c r="AV15" s="1343">
        <v>5.4450000000000003</v>
      </c>
      <c r="AW15" s="1344">
        <v>8.4540000000000006</v>
      </c>
      <c r="AX15" s="2098">
        <v>2.82</v>
      </c>
      <c r="AY15" s="2098">
        <v>4.2350000000000003</v>
      </c>
    </row>
    <row r="16" spans="1:51" ht="20.25" customHeight="1">
      <c r="A16" s="1345" t="s">
        <v>3228</v>
      </c>
      <c r="B16" s="1343">
        <v>5017.7030000000004</v>
      </c>
      <c r="C16" s="1343">
        <v>4680.8850000000002</v>
      </c>
      <c r="D16" s="1343">
        <v>4560.9920000000002</v>
      </c>
      <c r="E16" s="1343">
        <v>3802.116</v>
      </c>
      <c r="F16" s="1343">
        <v>4498.9970000000003</v>
      </c>
      <c r="G16" s="1343">
        <v>4583.9250000000002</v>
      </c>
      <c r="H16" s="1343">
        <v>4838.6180000000004</v>
      </c>
      <c r="I16" s="1343">
        <v>5207.83</v>
      </c>
      <c r="J16" s="1343">
        <v>5243</v>
      </c>
      <c r="K16" s="1343">
        <v>5023</v>
      </c>
      <c r="L16" s="1343">
        <v>5214</v>
      </c>
      <c r="M16" s="1343">
        <v>5883</v>
      </c>
      <c r="N16" s="1343">
        <v>5403.1639999999998</v>
      </c>
      <c r="O16" s="1343">
        <v>5750.2830000000004</v>
      </c>
      <c r="P16" s="1343">
        <v>6636</v>
      </c>
      <c r="Q16" s="1343">
        <v>6390</v>
      </c>
      <c r="R16" s="1343">
        <v>5056</v>
      </c>
      <c r="S16" s="1343">
        <v>5654</v>
      </c>
      <c r="T16" s="1343">
        <v>4921</v>
      </c>
      <c r="U16" s="1343">
        <v>5728</v>
      </c>
      <c r="V16" s="1343">
        <v>5474</v>
      </c>
      <c r="W16" s="1343">
        <v>5585</v>
      </c>
      <c r="X16" s="1343">
        <v>6080</v>
      </c>
      <c r="Y16" s="1343">
        <v>6545</v>
      </c>
      <c r="Z16" s="1343">
        <v>6003</v>
      </c>
      <c r="AA16" s="1343">
        <v>5891</v>
      </c>
      <c r="AB16" s="1343">
        <v>6252.9579999999996</v>
      </c>
      <c r="AC16" s="1343">
        <v>6443.2120000000004</v>
      </c>
      <c r="AD16" s="1343">
        <v>6689.6760000000004</v>
      </c>
      <c r="AE16" s="1343">
        <v>6717.6819999999998</v>
      </c>
      <c r="AF16" s="1343">
        <v>6932.9589999999998</v>
      </c>
      <c r="AG16" s="1343">
        <v>9711.94</v>
      </c>
      <c r="AH16" s="1497">
        <v>9452.3179999999993</v>
      </c>
      <c r="AI16" s="1497">
        <v>11029.023999999999</v>
      </c>
      <c r="AJ16" s="1497">
        <v>9949.5640000000003</v>
      </c>
      <c r="AK16" s="1344">
        <v>10402.994000000001</v>
      </c>
      <c r="AL16" s="1343">
        <v>10189.223</v>
      </c>
      <c r="AM16" s="1497">
        <v>10499.553</v>
      </c>
      <c r="AN16" s="1497">
        <v>11024.166999999999</v>
      </c>
      <c r="AO16" s="1497">
        <v>10591.35</v>
      </c>
      <c r="AP16" s="1343">
        <v>12577.487999999999</v>
      </c>
      <c r="AQ16" s="1343">
        <v>12169.825000000001</v>
      </c>
      <c r="AR16" s="1343">
        <v>15041.351000000001</v>
      </c>
      <c r="AS16" s="1343">
        <v>12537.47</v>
      </c>
      <c r="AT16" s="1343">
        <v>11774.727999999999</v>
      </c>
      <c r="AU16" s="1343">
        <v>13111.460999999999</v>
      </c>
      <c r="AV16" s="1343">
        <v>12221.441999999999</v>
      </c>
      <c r="AW16" s="1344">
        <v>12855.27</v>
      </c>
      <c r="AX16" s="2098">
        <v>12158.373</v>
      </c>
      <c r="AY16" s="2098">
        <v>12437.183999999999</v>
      </c>
    </row>
    <row r="17" spans="1:51" ht="20.25" customHeight="1">
      <c r="A17" s="1345" t="s">
        <v>3229</v>
      </c>
      <c r="B17" s="1343">
        <v>8.5860000000000003</v>
      </c>
      <c r="C17" s="1343">
        <v>19.32</v>
      </c>
      <c r="D17" s="1343">
        <v>20.699000000000002</v>
      </c>
      <c r="E17" s="1343">
        <v>19.422999999999998</v>
      </c>
      <c r="F17" s="1343">
        <v>19.236999999999998</v>
      </c>
      <c r="G17" s="1343">
        <v>23.327000000000002</v>
      </c>
      <c r="H17" s="1343">
        <v>26.581</v>
      </c>
      <c r="I17" s="1343">
        <v>26.581</v>
      </c>
      <c r="J17" s="1343">
        <v>28</v>
      </c>
      <c r="K17" s="1343">
        <v>32</v>
      </c>
      <c r="L17" s="1343">
        <v>26</v>
      </c>
      <c r="M17" s="1343">
        <v>61</v>
      </c>
      <c r="N17" s="1343">
        <v>8.6159999999999997</v>
      </c>
      <c r="O17" s="1343">
        <v>23.181999999999999</v>
      </c>
      <c r="P17" s="1343">
        <v>28</v>
      </c>
      <c r="Q17" s="1343">
        <v>30</v>
      </c>
      <c r="R17" s="1343">
        <v>26</v>
      </c>
      <c r="S17" s="1343">
        <v>29</v>
      </c>
      <c r="T17" s="1343">
        <v>30</v>
      </c>
      <c r="U17" s="1343">
        <v>29</v>
      </c>
      <c r="V17" s="1343">
        <v>32</v>
      </c>
      <c r="W17" s="1343">
        <v>32</v>
      </c>
      <c r="X17" s="1343">
        <v>34</v>
      </c>
      <c r="Y17" s="1343">
        <v>59</v>
      </c>
      <c r="Z17" s="1343">
        <v>11</v>
      </c>
      <c r="AA17" s="1343">
        <v>24</v>
      </c>
      <c r="AB17" s="1343">
        <v>27.788</v>
      </c>
      <c r="AC17" s="1343">
        <v>31.933</v>
      </c>
      <c r="AD17" s="1343">
        <v>26.45</v>
      </c>
      <c r="AE17" s="1343">
        <v>28.832999999999998</v>
      </c>
      <c r="AF17" s="1343">
        <v>27.212</v>
      </c>
      <c r="AG17" s="1343">
        <v>29.324999999999999</v>
      </c>
      <c r="AH17" s="1497">
        <v>29.719000000000001</v>
      </c>
      <c r="AI17" s="1497">
        <v>28.913</v>
      </c>
      <c r="AJ17" s="1497">
        <v>33.871000000000002</v>
      </c>
      <c r="AK17" s="1344">
        <v>58.448999999999998</v>
      </c>
      <c r="AL17" s="1343">
        <v>11.324</v>
      </c>
      <c r="AM17" s="1497">
        <v>26.536999999999999</v>
      </c>
      <c r="AN17" s="1497">
        <v>29.209</v>
      </c>
      <c r="AO17" s="1497">
        <v>27.4</v>
      </c>
      <c r="AP17" s="1343">
        <v>31.448</v>
      </c>
      <c r="AQ17" s="1343">
        <v>31.24</v>
      </c>
      <c r="AR17" s="1343">
        <v>29.446000000000002</v>
      </c>
      <c r="AS17" s="1343">
        <v>32.587000000000003</v>
      </c>
      <c r="AT17" s="1343">
        <v>31.106999999999999</v>
      </c>
      <c r="AU17" s="1343">
        <v>33.478999999999999</v>
      </c>
      <c r="AV17" s="1343">
        <v>34.058999999999997</v>
      </c>
      <c r="AW17" s="1344">
        <v>57.53</v>
      </c>
      <c r="AX17" s="2098">
        <v>12.028</v>
      </c>
      <c r="AY17" s="2098">
        <v>24.206</v>
      </c>
    </row>
    <row r="18" spans="1:51" s="1339" customFormat="1" ht="20.25" customHeight="1">
      <c r="A18" s="1340" t="s">
        <v>3231</v>
      </c>
      <c r="B18" s="1341">
        <v>0</v>
      </c>
      <c r="C18" s="1341">
        <v>0</v>
      </c>
      <c r="D18" s="1341">
        <v>0</v>
      </c>
      <c r="E18" s="1341">
        <v>0</v>
      </c>
      <c r="F18" s="1341">
        <v>0</v>
      </c>
      <c r="G18" s="1341">
        <v>0</v>
      </c>
      <c r="H18" s="1341">
        <v>0</v>
      </c>
      <c r="I18" s="1341">
        <v>0</v>
      </c>
      <c r="J18" s="1341">
        <v>0</v>
      </c>
      <c r="K18" s="1341">
        <v>4.3899999999999997</v>
      </c>
      <c r="L18" s="1341">
        <v>4.3319999999999999</v>
      </c>
      <c r="M18" s="1341">
        <v>4.8929999999999998</v>
      </c>
      <c r="N18" s="1341">
        <v>5.0090000000000003</v>
      </c>
      <c r="O18" s="1341">
        <v>5.4379999999999997</v>
      </c>
      <c r="P18" s="1341">
        <v>6</v>
      </c>
      <c r="Q18" s="1341">
        <v>7</v>
      </c>
      <c r="R18" s="1341">
        <v>7</v>
      </c>
      <c r="S18" s="1341">
        <v>7</v>
      </c>
      <c r="T18" s="1341">
        <v>8</v>
      </c>
      <c r="U18" s="1341">
        <v>11</v>
      </c>
      <c r="V18" s="1341">
        <v>11</v>
      </c>
      <c r="W18" s="1341">
        <v>13</v>
      </c>
      <c r="X18" s="1341">
        <v>17</v>
      </c>
      <c r="Y18" s="1341">
        <v>20</v>
      </c>
      <c r="Z18" s="1341">
        <v>16</v>
      </c>
      <c r="AA18" s="1341">
        <v>18</v>
      </c>
      <c r="AB18" s="1341">
        <v>21.815999999999999</v>
      </c>
      <c r="AC18" s="1341">
        <v>25.18</v>
      </c>
      <c r="AD18" s="1341">
        <v>24.11</v>
      </c>
      <c r="AE18" s="1341">
        <v>27.385000000000002</v>
      </c>
      <c r="AF18" s="1341">
        <v>30.625</v>
      </c>
      <c r="AG18" s="1341">
        <v>31.245999999999999</v>
      </c>
      <c r="AH18" s="1496">
        <v>32.094999999999999</v>
      </c>
      <c r="AI18" s="1496">
        <v>30.832999999999998</v>
      </c>
      <c r="AJ18" s="1496">
        <v>34.107999999999997</v>
      </c>
      <c r="AK18" s="1342">
        <v>45.747</v>
      </c>
      <c r="AL18" s="1341">
        <v>40.293999999999997</v>
      </c>
      <c r="AM18" s="1496">
        <v>45.042000000000002</v>
      </c>
      <c r="AN18" s="1496">
        <v>51.276000000000003</v>
      </c>
      <c r="AO18" s="1496">
        <v>46.591999999999999</v>
      </c>
      <c r="AP18" s="1341">
        <v>51.448999999999998</v>
      </c>
      <c r="AQ18" s="1341">
        <v>48.164999999999999</v>
      </c>
      <c r="AR18" s="1341">
        <v>48.701999999999998</v>
      </c>
      <c r="AS18" s="1341">
        <v>49.209000000000003</v>
      </c>
      <c r="AT18" s="1341">
        <v>47.106999999999999</v>
      </c>
      <c r="AU18" s="1341">
        <v>51.402000000000001</v>
      </c>
      <c r="AV18" s="1341">
        <v>49.743000000000002</v>
      </c>
      <c r="AW18" s="1342">
        <v>58.637</v>
      </c>
      <c r="AX18" s="2097">
        <v>51.305</v>
      </c>
      <c r="AY18" s="2097">
        <v>55.773000000000003</v>
      </c>
    </row>
    <row r="19" spans="1:51" s="1339" customFormat="1" ht="23.25" customHeight="1">
      <c r="A19" s="2623" t="s">
        <v>3225</v>
      </c>
      <c r="B19" s="2624"/>
      <c r="C19" s="2624"/>
      <c r="D19" s="2624"/>
      <c r="E19" s="2624"/>
      <c r="F19" s="2624"/>
      <c r="G19" s="2624"/>
      <c r="H19" s="2624"/>
      <c r="I19" s="2624"/>
      <c r="J19" s="2624"/>
      <c r="K19" s="2624"/>
      <c r="L19" s="2624"/>
      <c r="M19" s="2624"/>
      <c r="N19" s="2624"/>
      <c r="O19" s="2624"/>
      <c r="P19" s="2624"/>
      <c r="Q19" s="2624"/>
      <c r="R19" s="2624"/>
      <c r="S19" s="2624"/>
      <c r="T19" s="2624"/>
      <c r="U19" s="2624"/>
      <c r="V19" s="2624"/>
      <c r="W19" s="2624"/>
      <c r="X19" s="2624"/>
      <c r="Y19" s="2624"/>
      <c r="Z19" s="2626"/>
      <c r="AA19" s="2626"/>
      <c r="AB19" s="2626"/>
      <c r="AC19" s="2626"/>
      <c r="AD19" s="2626"/>
      <c r="AE19" s="2626"/>
      <c r="AF19" s="2626"/>
      <c r="AG19" s="2626"/>
      <c r="AH19" s="2626"/>
      <c r="AI19" s="2626"/>
      <c r="AJ19" s="2626"/>
      <c r="AK19" s="2626"/>
      <c r="AL19" s="2626"/>
      <c r="AM19" s="2626"/>
      <c r="AN19" s="2626"/>
      <c r="AO19" s="2626"/>
      <c r="AP19" s="2626"/>
      <c r="AQ19" s="2626"/>
      <c r="AR19" s="2626"/>
      <c r="AS19" s="2626"/>
      <c r="AT19" s="2626"/>
      <c r="AU19" s="2626"/>
      <c r="AV19" s="2626"/>
      <c r="AW19" s="2626"/>
      <c r="AX19" s="2626"/>
      <c r="AY19" s="2627"/>
    </row>
    <row r="20" spans="1:51" s="1339" customFormat="1" ht="20.25" customHeight="1">
      <c r="A20" s="1340" t="s">
        <v>3226</v>
      </c>
      <c r="B20" s="1341">
        <f t="shared" ref="B20:I20" si="2">SUM(B21:B23)</f>
        <v>13109.17628462</v>
      </c>
      <c r="C20" s="1341">
        <f t="shared" si="2"/>
        <v>13823.3142044</v>
      </c>
      <c r="D20" s="1341">
        <f t="shared" si="2"/>
        <v>21979.575576679999</v>
      </c>
      <c r="E20" s="1341">
        <f t="shared" si="2"/>
        <v>15118.103507359998</v>
      </c>
      <c r="F20" s="1341">
        <f t="shared" si="2"/>
        <v>14215.09809489</v>
      </c>
      <c r="G20" s="1341">
        <f t="shared" si="2"/>
        <v>15281.677777639999</v>
      </c>
      <c r="H20" s="1341">
        <f t="shared" si="2"/>
        <v>17417.136135119999</v>
      </c>
      <c r="I20" s="1341">
        <f t="shared" si="2"/>
        <v>14734.028447340002</v>
      </c>
      <c r="J20" s="1341">
        <v>15866</v>
      </c>
      <c r="K20" s="1341">
        <v>17037</v>
      </c>
      <c r="L20" s="1341">
        <v>15154</v>
      </c>
      <c r="M20" s="1341">
        <v>21835</v>
      </c>
      <c r="N20" s="1341">
        <f>SUM(N21:N23)</f>
        <v>13784.85867614</v>
      </c>
      <c r="O20" s="1341">
        <f>SUM(O21:O23)</f>
        <v>12399.762516980001</v>
      </c>
      <c r="P20" s="1341">
        <v>14508</v>
      </c>
      <c r="Q20" s="1341">
        <v>14052</v>
      </c>
      <c r="R20" s="1341">
        <v>12880</v>
      </c>
      <c r="S20" s="1341">
        <v>15547</v>
      </c>
      <c r="T20" s="1341">
        <v>14643</v>
      </c>
      <c r="U20" s="1341">
        <v>13210</v>
      </c>
      <c r="V20" s="1341">
        <f>SUM(V21:V23)</f>
        <v>14417</v>
      </c>
      <c r="W20" s="1341">
        <v>16235</v>
      </c>
      <c r="X20" s="1341">
        <v>15818</v>
      </c>
      <c r="Y20" s="1341">
        <v>26261</v>
      </c>
      <c r="Z20" s="1341">
        <v>17426</v>
      </c>
      <c r="AA20" s="1341">
        <v>16543</v>
      </c>
      <c r="AB20" s="1341">
        <v>23466.437409999999</v>
      </c>
      <c r="AC20" s="1341">
        <v>20839.326282999999</v>
      </c>
      <c r="AD20" s="1341">
        <v>16256.340834000001</v>
      </c>
      <c r="AE20" s="1341">
        <v>14850.078052999999</v>
      </c>
      <c r="AF20" s="1341">
        <v>15694.884866</v>
      </c>
      <c r="AG20" s="1341">
        <v>15361.737681000001</v>
      </c>
      <c r="AH20" s="1496">
        <v>33364.511722000003</v>
      </c>
      <c r="AI20" s="1496">
        <v>36943.431165000002</v>
      </c>
      <c r="AJ20" s="1496">
        <v>39324.417258000001</v>
      </c>
      <c r="AK20" s="1342">
        <v>49996.540850999998</v>
      </c>
      <c r="AL20" s="1341">
        <v>36660.706982999996</v>
      </c>
      <c r="AM20" s="1341">
        <v>37145.696744000001</v>
      </c>
      <c r="AN20" s="1341">
        <v>41829.277486999999</v>
      </c>
      <c r="AO20" s="1341">
        <v>40483.132396000001</v>
      </c>
      <c r="AP20" s="1341">
        <v>45947.633055999999</v>
      </c>
      <c r="AQ20" s="1341">
        <v>38896.040908000003</v>
      </c>
      <c r="AR20" s="1341">
        <v>48385.682926000001</v>
      </c>
      <c r="AS20" s="1341">
        <v>59812.890206999997</v>
      </c>
      <c r="AT20" s="1341">
        <v>73784.507656999995</v>
      </c>
      <c r="AU20" s="1341">
        <v>81116.384445999996</v>
      </c>
      <c r="AV20" s="1341">
        <v>98807.544632999998</v>
      </c>
      <c r="AW20" s="1342">
        <v>113441.38003499999</v>
      </c>
      <c r="AX20" s="2097">
        <v>63231.802595000001</v>
      </c>
      <c r="AY20" s="2097">
        <v>72933.747545000006</v>
      </c>
    </row>
    <row r="21" spans="1:51" ht="20.25" customHeight="1">
      <c r="A21" s="1800" t="s">
        <v>3227</v>
      </c>
      <c r="B21" s="1343">
        <v>3189.83992678</v>
      </c>
      <c r="C21" s="1343">
        <v>2957.0392173200003</v>
      </c>
      <c r="D21" s="1343">
        <v>7074.6712669799999</v>
      </c>
      <c r="E21" s="1343">
        <v>3900.35430417</v>
      </c>
      <c r="F21" s="1343">
        <v>3488.7462736500001</v>
      </c>
      <c r="G21" s="1343">
        <v>3921.2870718499998</v>
      </c>
      <c r="H21" s="1343">
        <v>3977.6125168200001</v>
      </c>
      <c r="I21" s="1343">
        <v>3830.8070858299998</v>
      </c>
      <c r="J21" s="1343">
        <v>4159</v>
      </c>
      <c r="K21" s="1343">
        <v>4675</v>
      </c>
      <c r="L21" s="1343">
        <v>3787</v>
      </c>
      <c r="M21" s="1343">
        <v>4903</v>
      </c>
      <c r="N21" s="1343">
        <v>3358.9982296399999</v>
      </c>
      <c r="O21" s="1343">
        <v>2093.5531968800001</v>
      </c>
      <c r="P21" s="1343">
        <v>2247</v>
      </c>
      <c r="Q21" s="1343">
        <v>2304</v>
      </c>
      <c r="R21" s="1343">
        <v>1866</v>
      </c>
      <c r="S21" s="1343">
        <v>2112</v>
      </c>
      <c r="T21" s="1343">
        <v>2069</v>
      </c>
      <c r="U21" s="1343">
        <v>1644</v>
      </c>
      <c r="V21" s="1343">
        <v>1836</v>
      </c>
      <c r="W21" s="1343">
        <v>2632</v>
      </c>
      <c r="X21" s="1343">
        <v>2724</v>
      </c>
      <c r="Y21" s="1343">
        <v>6326</v>
      </c>
      <c r="Z21" s="1343">
        <v>2897</v>
      </c>
      <c r="AA21" s="1343">
        <v>2392</v>
      </c>
      <c r="AB21" s="1343">
        <v>3161.2980923600003</v>
      </c>
      <c r="AC21" s="1343">
        <v>3053.4401916699999</v>
      </c>
      <c r="AD21" s="1343">
        <v>1956.9263780000001</v>
      </c>
      <c r="AE21" s="1343">
        <v>1902.2117209999999</v>
      </c>
      <c r="AF21" s="1343">
        <v>3026.0499030000001</v>
      </c>
      <c r="AG21" s="1343">
        <v>2080.9855400000001</v>
      </c>
      <c r="AH21" s="1497">
        <v>11182.518738000001</v>
      </c>
      <c r="AI21" s="1497">
        <v>11325.241161</v>
      </c>
      <c r="AJ21" s="1497">
        <v>12360.60001</v>
      </c>
      <c r="AK21" s="1344">
        <v>15645.293276</v>
      </c>
      <c r="AL21" s="1343">
        <v>11754.209552</v>
      </c>
      <c r="AM21" s="1343">
        <v>12266.865846999999</v>
      </c>
      <c r="AN21" s="1343">
        <v>13736.637316</v>
      </c>
      <c r="AO21" s="1343">
        <v>13332.272068</v>
      </c>
      <c r="AP21" s="1343">
        <v>15118.702225000001</v>
      </c>
      <c r="AQ21" s="1343">
        <v>12411.722771000001</v>
      </c>
      <c r="AR21" s="1343">
        <v>15085.268786000001</v>
      </c>
      <c r="AS21" s="1343">
        <v>19910.256552999999</v>
      </c>
      <c r="AT21" s="1343">
        <v>28644.780296000001</v>
      </c>
      <c r="AU21" s="1343">
        <v>31133.742297000001</v>
      </c>
      <c r="AV21" s="1343">
        <v>40870.468216000001</v>
      </c>
      <c r="AW21" s="1344">
        <v>45117.112830999999</v>
      </c>
      <c r="AX21" s="2098">
        <v>20961.657496</v>
      </c>
      <c r="AY21" s="2098">
        <v>26211.026291999999</v>
      </c>
    </row>
    <row r="22" spans="1:51" ht="20.25" customHeight="1">
      <c r="A22" s="1800" t="s">
        <v>3228</v>
      </c>
      <c r="B22" s="1343">
        <v>7173.6979497899983</v>
      </c>
      <c r="C22" s="1343">
        <v>8360.4144552899998</v>
      </c>
      <c r="D22" s="1343">
        <v>12661.908307109999</v>
      </c>
      <c r="E22" s="1343">
        <v>8921.1775280299989</v>
      </c>
      <c r="F22" s="1343">
        <v>8013.4723969899978</v>
      </c>
      <c r="G22" s="1343">
        <v>8570.5701775199996</v>
      </c>
      <c r="H22" s="1343">
        <v>9886.9040144999981</v>
      </c>
      <c r="I22" s="1343">
        <v>8047.1485804400018</v>
      </c>
      <c r="J22" s="1343">
        <v>8670</v>
      </c>
      <c r="K22" s="1343">
        <v>9249</v>
      </c>
      <c r="L22" s="1343">
        <v>8713</v>
      </c>
      <c r="M22" s="1343">
        <v>11871</v>
      </c>
      <c r="N22" s="1343">
        <v>8018.8894169200003</v>
      </c>
      <c r="O22" s="1343">
        <v>7622.5597480699998</v>
      </c>
      <c r="P22" s="1343">
        <v>8994</v>
      </c>
      <c r="Q22" s="1343">
        <v>8877</v>
      </c>
      <c r="R22" s="1343">
        <v>8293</v>
      </c>
      <c r="S22" s="1343">
        <v>10736</v>
      </c>
      <c r="T22" s="1343">
        <v>9513</v>
      </c>
      <c r="U22" s="1343">
        <v>9227</v>
      </c>
      <c r="V22" s="1343">
        <v>9774</v>
      </c>
      <c r="W22" s="1343">
        <v>10157</v>
      </c>
      <c r="X22" s="1343">
        <v>10388</v>
      </c>
      <c r="Y22" s="1343">
        <v>14817</v>
      </c>
      <c r="Z22" s="1343">
        <v>11993</v>
      </c>
      <c r="AA22" s="1343">
        <v>11580</v>
      </c>
      <c r="AB22" s="1343">
        <v>16162.769898389999</v>
      </c>
      <c r="AC22" s="1343">
        <v>14228.641993179999</v>
      </c>
      <c r="AD22" s="1343">
        <v>11580.135330999999</v>
      </c>
      <c r="AE22" s="1343">
        <v>10105.113971000001</v>
      </c>
      <c r="AF22" s="1343">
        <v>9985.9613210000007</v>
      </c>
      <c r="AG22" s="1343">
        <v>10451.891256999999</v>
      </c>
      <c r="AH22" s="1497">
        <v>19681.369393000001</v>
      </c>
      <c r="AI22" s="1497">
        <v>22450.70794</v>
      </c>
      <c r="AJ22" s="1497">
        <v>23500.190610000001</v>
      </c>
      <c r="AK22" s="1344">
        <v>29350.395285999999</v>
      </c>
      <c r="AL22" s="1343">
        <v>21473.794555</v>
      </c>
      <c r="AM22" s="1343">
        <v>21753.213228000001</v>
      </c>
      <c r="AN22" s="1343">
        <v>24809.44327</v>
      </c>
      <c r="AO22" s="1343">
        <v>24206.471777999999</v>
      </c>
      <c r="AP22" s="1343">
        <v>28260.445844000002</v>
      </c>
      <c r="AQ22" s="1343">
        <v>23491.573249000001</v>
      </c>
      <c r="AR22" s="1343">
        <v>29155.045672</v>
      </c>
      <c r="AS22" s="1343">
        <v>35827.534938999997</v>
      </c>
      <c r="AT22" s="1343">
        <v>42385.637741999999</v>
      </c>
      <c r="AU22" s="1343">
        <v>45317.571064000003</v>
      </c>
      <c r="AV22" s="1343">
        <v>54364.993779999997</v>
      </c>
      <c r="AW22" s="1344">
        <v>61983.870300000002</v>
      </c>
      <c r="AX22" s="2098">
        <v>38161.578029999997</v>
      </c>
      <c r="AY22" s="2098">
        <v>42774.412534000003</v>
      </c>
    </row>
    <row r="23" spans="1:51" ht="20.25" customHeight="1">
      <c r="A23" s="1800" t="s">
        <v>3229</v>
      </c>
      <c r="B23" s="1343">
        <v>2745.6384080500002</v>
      </c>
      <c r="C23" s="1343">
        <v>2505.8605317900001</v>
      </c>
      <c r="D23" s="1343">
        <v>2242.99600259</v>
      </c>
      <c r="E23" s="1343">
        <v>2296.5716751599998</v>
      </c>
      <c r="F23" s="1343">
        <v>2712.8794242499998</v>
      </c>
      <c r="G23" s="1343">
        <v>2789.8205282700001</v>
      </c>
      <c r="H23" s="1343">
        <v>3552.6196038000003</v>
      </c>
      <c r="I23" s="1343">
        <v>2856.07278107</v>
      </c>
      <c r="J23" s="1343">
        <v>3037</v>
      </c>
      <c r="K23" s="1343">
        <v>3113</v>
      </c>
      <c r="L23" s="1343">
        <v>2654</v>
      </c>
      <c r="M23" s="1343">
        <v>5061</v>
      </c>
      <c r="N23" s="1343">
        <v>2406.97102958</v>
      </c>
      <c r="O23" s="1343">
        <v>2683.6495720300004</v>
      </c>
      <c r="P23" s="1343">
        <v>3267</v>
      </c>
      <c r="Q23" s="1343">
        <v>2871</v>
      </c>
      <c r="R23" s="1343">
        <v>2721</v>
      </c>
      <c r="S23" s="1343">
        <v>2699</v>
      </c>
      <c r="T23" s="1343">
        <v>3061</v>
      </c>
      <c r="U23" s="1343">
        <v>2339</v>
      </c>
      <c r="V23" s="1343">
        <v>2807</v>
      </c>
      <c r="W23" s="1343">
        <v>3446</v>
      </c>
      <c r="X23" s="1343">
        <v>2706</v>
      </c>
      <c r="Y23" s="1343">
        <v>5118</v>
      </c>
      <c r="Z23" s="1343">
        <v>2536</v>
      </c>
      <c r="AA23" s="1343">
        <v>2571</v>
      </c>
      <c r="AB23" s="1343">
        <v>4142.3694194599993</v>
      </c>
      <c r="AC23" s="1343">
        <v>3557.2440981999898</v>
      </c>
      <c r="AD23" s="1343">
        <v>2719.279125</v>
      </c>
      <c r="AE23" s="1343">
        <v>2842.7523609999998</v>
      </c>
      <c r="AF23" s="1343">
        <v>2682.873642</v>
      </c>
      <c r="AG23" s="1343">
        <v>2828.8608840000002</v>
      </c>
      <c r="AH23" s="1497">
        <v>2500.623591</v>
      </c>
      <c r="AI23" s="1497">
        <v>3167.4820639999998</v>
      </c>
      <c r="AJ23" s="1497">
        <v>3463.6266380000002</v>
      </c>
      <c r="AK23" s="1344">
        <v>5000.8522890000004</v>
      </c>
      <c r="AL23" s="1343">
        <v>3432.7028759999998</v>
      </c>
      <c r="AM23" s="1343">
        <v>3125.6176690000002</v>
      </c>
      <c r="AN23" s="1343">
        <v>3283.1969009999998</v>
      </c>
      <c r="AO23" s="1343">
        <v>2944.3885500000001</v>
      </c>
      <c r="AP23" s="1343">
        <v>2568.4849869999998</v>
      </c>
      <c r="AQ23" s="1343">
        <v>2992.7448880000002</v>
      </c>
      <c r="AR23" s="1343">
        <v>4145.3684679999997</v>
      </c>
      <c r="AS23" s="1343">
        <v>4075.0987150000001</v>
      </c>
      <c r="AT23" s="1343">
        <v>2754.0896189999999</v>
      </c>
      <c r="AU23" s="1343">
        <v>4665.0710849999996</v>
      </c>
      <c r="AV23" s="1343">
        <v>3572.082637</v>
      </c>
      <c r="AW23" s="1344">
        <v>6340.3969040000002</v>
      </c>
      <c r="AX23" s="2098">
        <v>4108.5670689999997</v>
      </c>
      <c r="AY23" s="2098">
        <v>3948.3087190000001</v>
      </c>
    </row>
    <row r="24" spans="1:51" s="1339" customFormat="1" ht="20.25" customHeight="1">
      <c r="A24" s="1340" t="s">
        <v>3230</v>
      </c>
      <c r="B24" s="1341">
        <f t="shared" ref="B24:I24" si="3">SUM(B25:B27)</f>
        <v>2026.1181078799998</v>
      </c>
      <c r="C24" s="1341">
        <f t="shared" si="3"/>
        <v>2132.1753476499998</v>
      </c>
      <c r="D24" s="1341">
        <f t="shared" si="3"/>
        <v>2232.6398431600001</v>
      </c>
      <c r="E24" s="1341">
        <f t="shared" si="3"/>
        <v>2206.2707991900006</v>
      </c>
      <c r="F24" s="1341">
        <f t="shared" si="3"/>
        <v>2134.2145637199997</v>
      </c>
      <c r="G24" s="1341">
        <f t="shared" si="3"/>
        <v>2200.4411376000003</v>
      </c>
      <c r="H24" s="1341">
        <f t="shared" si="3"/>
        <v>2464.3330206800001</v>
      </c>
      <c r="I24" s="1341">
        <f t="shared" si="3"/>
        <v>2260.46141119</v>
      </c>
      <c r="J24" s="1341">
        <v>2358</v>
      </c>
      <c r="K24" s="1341">
        <v>2516</v>
      </c>
      <c r="L24" s="1341">
        <v>2411</v>
      </c>
      <c r="M24" s="1341">
        <v>2891</v>
      </c>
      <c r="N24" s="1341">
        <f>SUM(N25:N27)</f>
        <v>2266.8536185800003</v>
      </c>
      <c r="O24" s="1341">
        <f>SUM(O25:O27)</f>
        <v>2183.2391038400001</v>
      </c>
      <c r="P24" s="1341">
        <v>2629</v>
      </c>
      <c r="Q24" s="1341">
        <v>2867</v>
      </c>
      <c r="R24" s="1341">
        <v>2551</v>
      </c>
      <c r="S24" s="1341">
        <v>2822</v>
      </c>
      <c r="T24" s="1341">
        <v>2998</v>
      </c>
      <c r="U24" s="1341">
        <v>2686</v>
      </c>
      <c r="V24" s="1341">
        <f>SUM(V25:V27)</f>
        <v>2848</v>
      </c>
      <c r="W24" s="1341">
        <v>3255</v>
      </c>
      <c r="X24" s="1341">
        <v>2762</v>
      </c>
      <c r="Y24" s="1341">
        <v>4038</v>
      </c>
      <c r="Z24" s="1341">
        <v>2949</v>
      </c>
      <c r="AA24" s="1341">
        <v>2665</v>
      </c>
      <c r="AB24" s="1341">
        <v>3302.4425900000001</v>
      </c>
      <c r="AC24" s="1341">
        <v>3425.6060149999998</v>
      </c>
      <c r="AD24" s="1341">
        <v>3242.397328</v>
      </c>
      <c r="AE24" s="1341">
        <v>3257.9124919999999</v>
      </c>
      <c r="AF24" s="1341">
        <v>3536.9061550000001</v>
      </c>
      <c r="AG24" s="1341">
        <v>3436.945381</v>
      </c>
      <c r="AH24" s="1496">
        <v>3224.0348319999998</v>
      </c>
      <c r="AI24" s="1496">
        <v>3664.3454000000002</v>
      </c>
      <c r="AJ24" s="1496">
        <v>3814.8712759999999</v>
      </c>
      <c r="AK24" s="1342">
        <v>5421.0985710000004</v>
      </c>
      <c r="AL24" s="1341">
        <v>3647.5491040000002</v>
      </c>
      <c r="AM24" s="1341">
        <v>3214.1088570000002</v>
      </c>
      <c r="AN24" s="1341">
        <v>3814.5697449999998</v>
      </c>
      <c r="AO24" s="1341">
        <v>3984.703051</v>
      </c>
      <c r="AP24" s="1341">
        <v>3770.7526939999998</v>
      </c>
      <c r="AQ24" s="1341">
        <v>3669.9096650000001</v>
      </c>
      <c r="AR24" s="1341">
        <v>4537.6238460000004</v>
      </c>
      <c r="AS24" s="1341">
        <v>4482.0786699999999</v>
      </c>
      <c r="AT24" s="1341">
        <v>4120.426931</v>
      </c>
      <c r="AU24" s="1341">
        <v>4445.8855469999999</v>
      </c>
      <c r="AV24" s="1341">
        <v>4066.1211969999999</v>
      </c>
      <c r="AW24" s="1342">
        <v>5258.2264539999996</v>
      </c>
      <c r="AX24" s="2097">
        <v>3804.0335439999999</v>
      </c>
      <c r="AY24" s="2097">
        <v>3802.1383340000002</v>
      </c>
    </row>
    <row r="25" spans="1:51" ht="20.25" customHeight="1">
      <c r="A25" s="1345" t="s">
        <v>3227</v>
      </c>
      <c r="B25" s="1343">
        <v>57.464669459999996</v>
      </c>
      <c r="C25" s="1343">
        <v>46.795282929999999</v>
      </c>
      <c r="D25" s="1343">
        <v>91.950314760000012</v>
      </c>
      <c r="E25" s="1343">
        <v>113.25461138999999</v>
      </c>
      <c r="F25" s="1343">
        <v>78.069709930000002</v>
      </c>
      <c r="G25" s="1343">
        <v>96.62816196</v>
      </c>
      <c r="H25" s="1343">
        <v>76.225824379999992</v>
      </c>
      <c r="I25" s="1343">
        <v>61.314074140000002</v>
      </c>
      <c r="J25" s="1343">
        <v>75</v>
      </c>
      <c r="K25" s="1343">
        <v>17</v>
      </c>
      <c r="L25" s="1343">
        <v>95</v>
      </c>
      <c r="M25" s="1343">
        <v>10</v>
      </c>
      <c r="N25" s="1343">
        <v>34.046740720000003</v>
      </c>
      <c r="O25" s="1343">
        <v>41.53880307</v>
      </c>
      <c r="P25" s="1343">
        <v>47</v>
      </c>
      <c r="Q25" s="1343">
        <v>45</v>
      </c>
      <c r="R25" s="1343">
        <v>50</v>
      </c>
      <c r="S25" s="1343">
        <v>61</v>
      </c>
      <c r="T25" s="1343">
        <v>83</v>
      </c>
      <c r="U25" s="1343">
        <v>60</v>
      </c>
      <c r="V25" s="1343">
        <v>62</v>
      </c>
      <c r="W25" s="1343">
        <v>66</v>
      </c>
      <c r="X25" s="1343">
        <v>60</v>
      </c>
      <c r="Y25" s="1343">
        <v>368</v>
      </c>
      <c r="Z25" s="1343">
        <v>40</v>
      </c>
      <c r="AA25" s="1343">
        <v>64</v>
      </c>
      <c r="AB25" s="1343">
        <v>50.319934979999999</v>
      </c>
      <c r="AC25" s="1343">
        <v>67.062377769999998</v>
      </c>
      <c r="AD25" s="1343">
        <v>73.419002000000006</v>
      </c>
      <c r="AE25" s="1343">
        <v>74.02073</v>
      </c>
      <c r="AF25" s="1343">
        <v>73.507459999999995</v>
      </c>
      <c r="AG25" s="1343">
        <v>67.513469999999998</v>
      </c>
      <c r="AH25" s="1497">
        <v>59.618533999999997</v>
      </c>
      <c r="AI25" s="1497">
        <v>76.167235000000005</v>
      </c>
      <c r="AJ25" s="1497">
        <v>87.181956</v>
      </c>
      <c r="AK25" s="1344">
        <v>88.209517000000005</v>
      </c>
      <c r="AL25" s="1343">
        <v>41.498192000000003</v>
      </c>
      <c r="AM25" s="1343">
        <v>46.185921</v>
      </c>
      <c r="AN25" s="1343">
        <v>55.228839999999998</v>
      </c>
      <c r="AO25" s="1343">
        <v>49.316626999999997</v>
      </c>
      <c r="AP25" s="1343">
        <v>54.875675999999999</v>
      </c>
      <c r="AQ25" s="1343">
        <v>66.354890999999995</v>
      </c>
      <c r="AR25" s="1343">
        <v>59.491464000000001</v>
      </c>
      <c r="AS25" s="1343">
        <v>71.160809999999998</v>
      </c>
      <c r="AT25" s="1343">
        <v>71.250456</v>
      </c>
      <c r="AU25" s="1343">
        <v>77.364446999999998</v>
      </c>
      <c r="AV25" s="1343">
        <v>101.734385</v>
      </c>
      <c r="AW25" s="1344">
        <v>127.54430000000001</v>
      </c>
      <c r="AX25" s="2098">
        <v>76.925830000000005</v>
      </c>
      <c r="AY25" s="2098">
        <v>38.577013999999998</v>
      </c>
    </row>
    <row r="26" spans="1:51" ht="20.25" customHeight="1">
      <c r="A26" s="1345" t="s">
        <v>3228</v>
      </c>
      <c r="B26" s="1343">
        <v>1629.2661694099997</v>
      </c>
      <c r="C26" s="1343">
        <v>1769.1116515299998</v>
      </c>
      <c r="D26" s="1343">
        <v>1786.0632317999998</v>
      </c>
      <c r="E26" s="1343">
        <v>1744.8637267600006</v>
      </c>
      <c r="F26" s="1343">
        <v>1630.6875993499996</v>
      </c>
      <c r="G26" s="1343">
        <v>1745.9280396600004</v>
      </c>
      <c r="H26" s="1343">
        <v>1965.7530631900004</v>
      </c>
      <c r="I26" s="1343">
        <v>1793.6206506599999</v>
      </c>
      <c r="J26" s="1343">
        <v>1858</v>
      </c>
      <c r="K26" s="1343">
        <v>1988</v>
      </c>
      <c r="L26" s="1343">
        <v>1942</v>
      </c>
      <c r="M26" s="1343">
        <v>2164</v>
      </c>
      <c r="N26" s="1343">
        <v>1843.22844323</v>
      </c>
      <c r="O26" s="1343">
        <v>1815.0778264600001</v>
      </c>
      <c r="P26" s="1343">
        <v>2206</v>
      </c>
      <c r="Q26" s="1343">
        <v>2355</v>
      </c>
      <c r="R26" s="1343">
        <v>2094</v>
      </c>
      <c r="S26" s="1343">
        <v>2335</v>
      </c>
      <c r="T26" s="1343">
        <v>2490</v>
      </c>
      <c r="U26" s="1343">
        <v>2174</v>
      </c>
      <c r="V26" s="1343">
        <v>2249</v>
      </c>
      <c r="W26" s="1343">
        <v>2704</v>
      </c>
      <c r="X26" s="1343">
        <v>2207</v>
      </c>
      <c r="Y26" s="1343">
        <v>2835</v>
      </c>
      <c r="Z26" s="1343">
        <v>2261</v>
      </c>
      <c r="AA26" s="1343">
        <v>2224</v>
      </c>
      <c r="AB26" s="1343">
        <v>2661.0688868400002</v>
      </c>
      <c r="AC26" s="1343">
        <v>2710.3346824</v>
      </c>
      <c r="AD26" s="1343">
        <v>2559.14687</v>
      </c>
      <c r="AE26" s="1343">
        <v>2590.5554390000002</v>
      </c>
      <c r="AF26" s="1343">
        <v>2968.3156210000002</v>
      </c>
      <c r="AG26" s="1343">
        <v>2728.1693970000001</v>
      </c>
      <c r="AH26" s="1497">
        <v>2628.0084449999999</v>
      </c>
      <c r="AI26" s="1497">
        <v>2905.1137640000002</v>
      </c>
      <c r="AJ26" s="1497">
        <v>2996.2233379999998</v>
      </c>
      <c r="AK26" s="1344">
        <v>4366.7226689999998</v>
      </c>
      <c r="AL26" s="1343">
        <v>2875.3374480000002</v>
      </c>
      <c r="AM26" s="1343">
        <v>2667.6779700000002</v>
      </c>
      <c r="AN26" s="1343">
        <v>3078.827256</v>
      </c>
      <c r="AO26" s="1343">
        <v>3211.647868</v>
      </c>
      <c r="AP26" s="1343">
        <v>3069.1167829999999</v>
      </c>
      <c r="AQ26" s="1343">
        <v>2974.3818369999999</v>
      </c>
      <c r="AR26" s="1343">
        <v>3654.8789489999999</v>
      </c>
      <c r="AS26" s="1343">
        <v>3635.5090340000002</v>
      </c>
      <c r="AT26" s="1343">
        <v>3351.4744690000002</v>
      </c>
      <c r="AU26" s="1343">
        <v>3706.7802000000001</v>
      </c>
      <c r="AV26" s="1343">
        <v>3242.136857</v>
      </c>
      <c r="AW26" s="1344">
        <v>4158.2030940000004</v>
      </c>
      <c r="AX26" s="2098">
        <v>2897.899433</v>
      </c>
      <c r="AY26" s="2098">
        <v>3130.8474160000001</v>
      </c>
    </row>
    <row r="27" spans="1:51" ht="20.25" customHeight="1">
      <c r="A27" s="1345" t="s">
        <v>3229</v>
      </c>
      <c r="B27" s="1343">
        <v>339.38726901000001</v>
      </c>
      <c r="C27" s="1343">
        <v>316.26841318999999</v>
      </c>
      <c r="D27" s="1343">
        <v>354.62629660000005</v>
      </c>
      <c r="E27" s="1343">
        <v>348.15246104000005</v>
      </c>
      <c r="F27" s="1343">
        <v>425.45725443999999</v>
      </c>
      <c r="G27" s="1343">
        <v>357.88493598000002</v>
      </c>
      <c r="H27" s="1343">
        <v>422.35413311000002</v>
      </c>
      <c r="I27" s="1343">
        <v>405.52668639000001</v>
      </c>
      <c r="J27" s="1343">
        <v>425</v>
      </c>
      <c r="K27" s="1343">
        <v>511</v>
      </c>
      <c r="L27" s="1343">
        <v>374</v>
      </c>
      <c r="M27" s="1343">
        <v>717</v>
      </c>
      <c r="N27" s="1343">
        <v>389.57843463</v>
      </c>
      <c r="O27" s="1343">
        <v>326.62247430999997</v>
      </c>
      <c r="P27" s="1343">
        <v>376</v>
      </c>
      <c r="Q27" s="1343">
        <v>467</v>
      </c>
      <c r="R27" s="1343">
        <v>407</v>
      </c>
      <c r="S27" s="1343">
        <v>426</v>
      </c>
      <c r="T27" s="1343">
        <v>425</v>
      </c>
      <c r="U27" s="1343">
        <v>452</v>
      </c>
      <c r="V27" s="1343">
        <v>537</v>
      </c>
      <c r="W27" s="1343">
        <v>485</v>
      </c>
      <c r="X27" s="1343">
        <v>495</v>
      </c>
      <c r="Y27" s="1343">
        <v>835</v>
      </c>
      <c r="Z27" s="1343">
        <v>647</v>
      </c>
      <c r="AA27" s="1343">
        <v>377</v>
      </c>
      <c r="AB27" s="1343">
        <v>591.05376814999966</v>
      </c>
      <c r="AC27" s="1343">
        <v>648.20895498000004</v>
      </c>
      <c r="AD27" s="1343">
        <v>609.831456</v>
      </c>
      <c r="AE27" s="1343">
        <v>593.33632299999999</v>
      </c>
      <c r="AF27" s="1343">
        <v>495.08307400000001</v>
      </c>
      <c r="AG27" s="1343">
        <v>641.26251400000001</v>
      </c>
      <c r="AH27" s="1497">
        <v>536.40785300000005</v>
      </c>
      <c r="AI27" s="1497">
        <v>683.06440099999998</v>
      </c>
      <c r="AJ27" s="1497">
        <v>731.46598200000005</v>
      </c>
      <c r="AK27" s="1344">
        <v>966.16638499999999</v>
      </c>
      <c r="AL27" s="1343">
        <v>730.71346400000004</v>
      </c>
      <c r="AM27" s="1343">
        <v>500.24496599999998</v>
      </c>
      <c r="AN27" s="1343">
        <v>680.51364899999999</v>
      </c>
      <c r="AO27" s="1343">
        <v>723.73855600000002</v>
      </c>
      <c r="AP27" s="1343">
        <v>646.76023499999997</v>
      </c>
      <c r="AQ27" s="1343">
        <v>629.17293700000005</v>
      </c>
      <c r="AR27" s="1343">
        <v>823.25343299999997</v>
      </c>
      <c r="AS27" s="1343">
        <v>775.40882599999998</v>
      </c>
      <c r="AT27" s="1343">
        <v>697.70200599999998</v>
      </c>
      <c r="AU27" s="1343">
        <v>661.74090000000001</v>
      </c>
      <c r="AV27" s="1343">
        <v>722.249955</v>
      </c>
      <c r="AW27" s="1344">
        <v>972.47906</v>
      </c>
      <c r="AX27" s="2098">
        <v>829.20828100000006</v>
      </c>
      <c r="AY27" s="2098">
        <v>632.71390399999996</v>
      </c>
    </row>
    <row r="28" spans="1:51" s="1339" customFormat="1" ht="20.25" customHeight="1">
      <c r="A28" s="1346" t="s">
        <v>3231</v>
      </c>
      <c r="B28" s="1347">
        <v>0</v>
      </c>
      <c r="C28" s="1347">
        <v>0</v>
      </c>
      <c r="D28" s="1347">
        <v>0</v>
      </c>
      <c r="E28" s="1347">
        <v>0</v>
      </c>
      <c r="F28" s="1347">
        <v>0</v>
      </c>
      <c r="G28" s="1347">
        <v>0</v>
      </c>
      <c r="H28" s="1347">
        <v>0</v>
      </c>
      <c r="I28" s="1347">
        <v>0</v>
      </c>
      <c r="J28" s="1347">
        <v>0</v>
      </c>
      <c r="K28" s="1347">
        <v>13.647152999999999</v>
      </c>
      <c r="L28" s="1347">
        <v>17.037315</v>
      </c>
      <c r="M28" s="1347">
        <v>17.351372999999999</v>
      </c>
      <c r="N28" s="1347">
        <v>14.797878000000001</v>
      </c>
      <c r="O28" s="1347">
        <v>13.358305</v>
      </c>
      <c r="P28" s="1347">
        <v>15</v>
      </c>
      <c r="Q28" s="1347">
        <v>21</v>
      </c>
      <c r="R28" s="1347">
        <v>15</v>
      </c>
      <c r="S28" s="1347">
        <v>18</v>
      </c>
      <c r="T28" s="1347">
        <v>20</v>
      </c>
      <c r="U28" s="1347">
        <v>26</v>
      </c>
      <c r="V28" s="1347">
        <v>26</v>
      </c>
      <c r="W28" s="1347">
        <v>30</v>
      </c>
      <c r="X28" s="1347">
        <v>29</v>
      </c>
      <c r="Y28" s="1347">
        <v>52</v>
      </c>
      <c r="Z28" s="1347">
        <v>31</v>
      </c>
      <c r="AA28" s="1347">
        <v>31</v>
      </c>
      <c r="AB28" s="1347">
        <v>34.992664910000009</v>
      </c>
      <c r="AC28" s="1347">
        <v>42.958795289999998</v>
      </c>
      <c r="AD28" s="1347">
        <v>39</v>
      </c>
      <c r="AE28" s="1347">
        <v>45.560265999999999</v>
      </c>
      <c r="AF28" s="1347">
        <v>50.419567999999998</v>
      </c>
      <c r="AG28" s="1347">
        <v>50.178089999999997</v>
      </c>
      <c r="AH28" s="1498">
        <v>47.609662</v>
      </c>
      <c r="AI28" s="1498">
        <v>45.243550999999997</v>
      </c>
      <c r="AJ28" s="1498">
        <v>49.752963000000001</v>
      </c>
      <c r="AK28" s="1348">
        <v>81.847286999999994</v>
      </c>
      <c r="AL28" s="1347">
        <v>53.433326999999998</v>
      </c>
      <c r="AM28" s="1347">
        <v>140.54292100000001</v>
      </c>
      <c r="AN28" s="1347">
        <v>195.251194</v>
      </c>
      <c r="AO28" s="1347">
        <v>72.627515000000002</v>
      </c>
      <c r="AP28" s="1347">
        <v>76.014280999999997</v>
      </c>
      <c r="AQ28" s="1347">
        <v>75.469903000000002</v>
      </c>
      <c r="AR28" s="1347">
        <v>76.798392000000007</v>
      </c>
      <c r="AS28" s="1347">
        <v>74.161629000000005</v>
      </c>
      <c r="AT28" s="1347">
        <v>68.687235999999999</v>
      </c>
      <c r="AU28" s="1347">
        <v>67.922317000000007</v>
      </c>
      <c r="AV28" s="1347">
        <v>71.27946</v>
      </c>
      <c r="AW28" s="1348">
        <v>82.220506999999998</v>
      </c>
      <c r="AX28" s="2099">
        <v>67.108132999999995</v>
      </c>
      <c r="AY28" s="2099">
        <v>72.082678999999999</v>
      </c>
    </row>
    <row r="29" spans="1:51" s="1769" customFormat="1" ht="23.25" customHeight="1">
      <c r="A29" s="2628" t="s">
        <v>2757</v>
      </c>
      <c r="B29" s="2628"/>
      <c r="C29" s="2628"/>
      <c r="D29" s="2628"/>
      <c r="E29" s="2628"/>
      <c r="F29" s="2628"/>
      <c r="G29" s="2628"/>
      <c r="H29" s="2628"/>
      <c r="I29" s="2628"/>
      <c r="J29" s="2628"/>
      <c r="K29" s="2628"/>
      <c r="L29" s="2628"/>
      <c r="M29" s="2628"/>
      <c r="N29" s="2628"/>
      <c r="O29" s="2628"/>
      <c r="P29" s="2628"/>
      <c r="Q29" s="2628"/>
      <c r="R29" s="2628"/>
      <c r="S29" s="2628"/>
      <c r="T29" s="2628"/>
      <c r="U29" s="2628"/>
      <c r="V29" s="2628"/>
      <c r="W29" s="2628"/>
      <c r="X29" s="2628"/>
      <c r="Y29" s="2628"/>
      <c r="Z29" s="2628"/>
      <c r="AA29" s="2628"/>
      <c r="AB29" s="2628"/>
      <c r="AC29" s="2628"/>
      <c r="AD29" s="2628"/>
      <c r="AE29" s="2628"/>
      <c r="AF29" s="2628"/>
      <c r="AG29" s="2628"/>
      <c r="AH29" s="2628"/>
      <c r="AI29" s="2628"/>
      <c r="AJ29" s="2628"/>
      <c r="AK29" s="2628"/>
      <c r="AL29" s="2628"/>
      <c r="AM29" s="2628"/>
      <c r="AN29" s="2628"/>
      <c r="AO29" s="2628"/>
      <c r="AP29" s="2628"/>
      <c r="AQ29" s="2628"/>
      <c r="AR29" s="2628"/>
      <c r="AS29" s="2628"/>
      <c r="AT29" s="2628"/>
      <c r="AU29" s="2628"/>
      <c r="AV29" s="2628"/>
      <c r="AW29" s="2628"/>
      <c r="AX29" s="2628"/>
      <c r="AY29" s="2628"/>
    </row>
    <row r="32" spans="1:51" ht="18">
      <c r="U32" s="133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AY9"/>
    <mergeCell ref="A19:AY19"/>
    <mergeCell ref="A29:AY29"/>
    <mergeCell ref="A2:AY2"/>
    <mergeCell ref="A3:AY3"/>
    <mergeCell ref="A6:A8"/>
    <mergeCell ref="B6:M6"/>
    <mergeCell ref="N6:Y6"/>
    <mergeCell ref="Z6:AK6"/>
    <mergeCell ref="AL6:AW6"/>
    <mergeCell ref="AX6:AY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6"/>
  <sheetViews>
    <sheetView showGridLines="0" view="pageBreakPreview" zoomScale="115" zoomScaleSheetLayoutView="115" workbookViewId="0">
      <pane ySplit="11" topLeftCell="A216" activePane="bottomLeft" state="frozen"/>
      <selection activeCell="G291" sqref="G291"/>
      <selection pane="bottomLeft" activeCell="L237" sqref="L237"/>
    </sheetView>
  </sheetViews>
  <sheetFormatPr defaultColWidth="8.88671875" defaultRowHeight="13.2"/>
  <cols>
    <col min="1" max="1" width="7.6640625" style="1767" customWidth="1"/>
    <col min="2" max="2" width="13.33203125" style="1767" customWidth="1"/>
    <col min="3" max="3" width="14.5546875" style="1767" customWidth="1"/>
    <col min="4" max="4" width="13.5546875" style="1767" customWidth="1"/>
    <col min="5" max="6" width="13" style="1767" customWidth="1"/>
    <col min="7" max="7" width="14.5546875" style="1767" customWidth="1"/>
    <col min="8" max="8" width="14.6640625" style="1767" customWidth="1"/>
    <col min="9" max="9" width="14.5546875" style="1767" customWidth="1"/>
    <col min="10" max="11" width="13.5546875" style="1767" customWidth="1"/>
    <col min="12" max="12" width="14.5546875" style="1767" customWidth="1"/>
    <col min="13" max="13" width="13.5546875" style="1767" customWidth="1"/>
    <col min="14" max="16384" width="8.88671875" style="1767"/>
  </cols>
  <sheetData>
    <row r="1" spans="1:13" ht="9" customHeight="1"/>
    <row r="2" spans="1:13" ht="15" customHeight="1">
      <c r="A2" s="2642" t="s">
        <v>4016</v>
      </c>
      <c r="B2" s="2642"/>
      <c r="C2" s="2642"/>
      <c r="D2" s="2642"/>
      <c r="E2" s="2642"/>
      <c r="F2" s="2642"/>
      <c r="G2" s="2642"/>
      <c r="H2" s="2642"/>
      <c r="I2" s="2642"/>
      <c r="J2" s="2642"/>
      <c r="K2" s="2642"/>
      <c r="L2" s="2642"/>
      <c r="M2" s="2642"/>
    </row>
    <row r="3" spans="1:13" ht="21" customHeight="1">
      <c r="A3" s="2643" t="s">
        <v>4017</v>
      </c>
      <c r="B3" s="2643"/>
      <c r="C3" s="2643"/>
      <c r="D3" s="2643"/>
      <c r="E3" s="2643"/>
      <c r="F3" s="2643"/>
      <c r="G3" s="2643"/>
      <c r="H3" s="2643"/>
      <c r="I3" s="2643"/>
      <c r="J3" s="2643"/>
      <c r="K3" s="2643"/>
      <c r="L3" s="2643"/>
      <c r="M3" s="2643"/>
    </row>
    <row r="4" spans="1:13" ht="10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</row>
    <row r="5" spans="1:13" ht="10.5" customHeight="1">
      <c r="A5" s="2649" t="s">
        <v>2190</v>
      </c>
      <c r="B5" s="2649"/>
      <c r="C5" s="2649"/>
      <c r="D5" s="2649"/>
      <c r="E5" s="2649"/>
      <c r="F5" s="2649"/>
      <c r="G5" s="2649"/>
      <c r="H5" s="2649"/>
      <c r="I5" s="2649"/>
      <c r="J5" s="2649"/>
      <c r="K5" s="2649"/>
      <c r="L5" s="2649"/>
      <c r="M5" s="2649"/>
    </row>
    <row r="6" spans="1:13" ht="10.5" customHeight="1">
      <c r="A6" s="2219" t="s">
        <v>182</v>
      </c>
      <c r="B6" s="2219" t="s">
        <v>1033</v>
      </c>
      <c r="C6" s="2657" t="s">
        <v>1034</v>
      </c>
      <c r="D6" s="2658"/>
      <c r="E6" s="2219" t="s">
        <v>3385</v>
      </c>
      <c r="F6" s="2645" t="s">
        <v>144</v>
      </c>
      <c r="G6" s="2661"/>
      <c r="H6" s="2646"/>
      <c r="I6" s="2645" t="s">
        <v>3386</v>
      </c>
      <c r="J6" s="2646"/>
      <c r="K6" s="2219" t="s">
        <v>3850</v>
      </c>
      <c r="L6" s="2645" t="s">
        <v>1034</v>
      </c>
      <c r="M6" s="2646"/>
    </row>
    <row r="7" spans="1:13" ht="44.25" customHeight="1">
      <c r="A7" s="2644"/>
      <c r="B7" s="2644"/>
      <c r="C7" s="2659"/>
      <c r="D7" s="2660"/>
      <c r="E7" s="2644"/>
      <c r="F7" s="2219" t="s">
        <v>3848</v>
      </c>
      <c r="G7" s="2222" t="s">
        <v>3849</v>
      </c>
      <c r="H7" s="2222"/>
      <c r="I7" s="2647"/>
      <c r="J7" s="2648"/>
      <c r="K7" s="2644"/>
      <c r="L7" s="2647"/>
      <c r="M7" s="2648"/>
    </row>
    <row r="8" spans="1:13" ht="31.5" customHeight="1">
      <c r="A8" s="2220"/>
      <c r="B8" s="2220"/>
      <c r="C8" s="1756" t="s">
        <v>1035</v>
      </c>
      <c r="D8" s="1756" t="s">
        <v>1036</v>
      </c>
      <c r="E8" s="2220"/>
      <c r="F8" s="2220"/>
      <c r="G8" s="694" t="s">
        <v>155</v>
      </c>
      <c r="H8" s="1756" t="s">
        <v>1037</v>
      </c>
      <c r="I8" s="1756" t="s">
        <v>1035</v>
      </c>
      <c r="J8" s="1756" t="s">
        <v>1036</v>
      </c>
      <c r="K8" s="2220"/>
      <c r="L8" s="1756" t="s">
        <v>1035</v>
      </c>
      <c r="M8" s="1756" t="s">
        <v>1036</v>
      </c>
    </row>
    <row r="9" spans="1:13" ht="31.5" customHeight="1">
      <c r="A9" s="2223" t="s">
        <v>304</v>
      </c>
      <c r="B9" s="2223" t="s">
        <v>4020</v>
      </c>
      <c r="C9" s="2650" t="s">
        <v>1038</v>
      </c>
      <c r="D9" s="2651"/>
      <c r="E9" s="2223" t="s">
        <v>1039</v>
      </c>
      <c r="F9" s="2246" t="s">
        <v>149</v>
      </c>
      <c r="G9" s="2654"/>
      <c r="H9" s="2247"/>
      <c r="I9" s="2638" t="s">
        <v>1040</v>
      </c>
      <c r="J9" s="2639"/>
      <c r="K9" s="2223" t="s">
        <v>3851</v>
      </c>
      <c r="L9" s="2638" t="s">
        <v>149</v>
      </c>
      <c r="M9" s="2639"/>
    </row>
    <row r="10" spans="1:13" ht="30.75" customHeight="1">
      <c r="A10" s="2268"/>
      <c r="B10" s="2268"/>
      <c r="C10" s="2652"/>
      <c r="D10" s="2653"/>
      <c r="E10" s="2268"/>
      <c r="F10" s="2243" t="s">
        <v>3852</v>
      </c>
      <c r="G10" s="2619" t="s">
        <v>3853</v>
      </c>
      <c r="H10" s="2619"/>
      <c r="I10" s="2640"/>
      <c r="J10" s="2641"/>
      <c r="K10" s="2268"/>
      <c r="L10" s="2640"/>
      <c r="M10" s="2641"/>
    </row>
    <row r="11" spans="1:13" ht="24.75" customHeight="1">
      <c r="A11" s="2224"/>
      <c r="B11" s="2224"/>
      <c r="C11" s="1759" t="s">
        <v>1041</v>
      </c>
      <c r="D11" s="1759" t="s">
        <v>1042</v>
      </c>
      <c r="E11" s="2224"/>
      <c r="F11" s="2244"/>
      <c r="G11" s="695" t="s">
        <v>105</v>
      </c>
      <c r="H11" s="1759" t="s">
        <v>1043</v>
      </c>
      <c r="I11" s="1759" t="s">
        <v>1041</v>
      </c>
      <c r="J11" s="1759" t="s">
        <v>1042</v>
      </c>
      <c r="K11" s="2224"/>
      <c r="L11" s="1759" t="s">
        <v>1041</v>
      </c>
      <c r="M11" s="1759" t="s">
        <v>1042</v>
      </c>
    </row>
    <row r="12" spans="1:13">
      <c r="A12" s="1818">
        <v>2006</v>
      </c>
      <c r="B12" s="1817">
        <v>1080</v>
      </c>
      <c r="C12" s="1817">
        <v>655</v>
      </c>
      <c r="D12" s="1817">
        <v>425</v>
      </c>
      <c r="E12" s="1817">
        <v>2070</v>
      </c>
      <c r="F12" s="1817"/>
      <c r="G12" s="1817">
        <v>1576</v>
      </c>
      <c r="H12" s="1817">
        <v>1436</v>
      </c>
      <c r="I12" s="1817">
        <v>1719</v>
      </c>
      <c r="J12" s="1817">
        <v>351</v>
      </c>
      <c r="K12" s="1816"/>
      <c r="L12" s="1816"/>
      <c r="M12" s="1816"/>
    </row>
    <row r="13" spans="1:13">
      <c r="A13" s="1816">
        <v>2007</v>
      </c>
      <c r="B13" s="1816">
        <v>1317</v>
      </c>
      <c r="C13" s="1816">
        <v>820</v>
      </c>
      <c r="D13" s="1816">
        <v>497</v>
      </c>
      <c r="E13" s="1816">
        <v>5309</v>
      </c>
      <c r="F13" s="1816"/>
      <c r="G13" s="1816">
        <v>4653</v>
      </c>
      <c r="H13" s="1816">
        <v>4470</v>
      </c>
      <c r="I13" s="1816">
        <v>4871</v>
      </c>
      <c r="J13" s="1816">
        <v>438</v>
      </c>
      <c r="K13" s="1816"/>
      <c r="L13" s="1816"/>
      <c r="M13" s="1816"/>
    </row>
    <row r="14" spans="1:13" ht="13.2" hidden="1" customHeight="1">
      <c r="A14" s="1776" t="s">
        <v>18</v>
      </c>
      <c r="B14" s="1816">
        <v>1080</v>
      </c>
      <c r="C14" s="1816">
        <v>655</v>
      </c>
      <c r="D14" s="1816">
        <f t="shared" ref="D14:D25" si="0">B14-C14</f>
        <v>425</v>
      </c>
      <c r="E14" s="1816">
        <v>2099</v>
      </c>
      <c r="F14" s="1816"/>
      <c r="G14" s="1816">
        <v>1584</v>
      </c>
      <c r="H14" s="1816">
        <v>1437</v>
      </c>
      <c r="I14" s="1816">
        <v>1743</v>
      </c>
      <c r="J14" s="1816">
        <f t="shared" ref="J14:J25" si="1">E14-I14</f>
        <v>356</v>
      </c>
      <c r="K14" s="1816"/>
      <c r="L14" s="1816"/>
      <c r="M14" s="1816"/>
    </row>
    <row r="15" spans="1:13" ht="13.2" hidden="1" customHeight="1">
      <c r="A15" s="1776" t="s">
        <v>19</v>
      </c>
      <c r="B15" s="1816">
        <v>1089</v>
      </c>
      <c r="C15" s="1816">
        <v>665</v>
      </c>
      <c r="D15" s="1816">
        <f t="shared" si="0"/>
        <v>424</v>
      </c>
      <c r="E15" s="1816">
        <v>2134</v>
      </c>
      <c r="F15" s="1816"/>
      <c r="G15" s="1816">
        <v>1607</v>
      </c>
      <c r="H15" s="1816">
        <v>1455</v>
      </c>
      <c r="I15" s="1816">
        <v>1766</v>
      </c>
      <c r="J15" s="1816">
        <f t="shared" si="1"/>
        <v>368</v>
      </c>
      <c r="K15" s="1816"/>
      <c r="L15" s="1816"/>
      <c r="M15" s="1816"/>
    </row>
    <row r="16" spans="1:13" ht="13.2" hidden="1" customHeight="1">
      <c r="A16" s="1776" t="s">
        <v>20</v>
      </c>
      <c r="B16" s="1816">
        <v>1105</v>
      </c>
      <c r="C16" s="1816">
        <v>677</v>
      </c>
      <c r="D16" s="1816">
        <f t="shared" si="0"/>
        <v>428</v>
      </c>
      <c r="E16" s="1816">
        <v>2234</v>
      </c>
      <c r="F16" s="1816"/>
      <c r="G16" s="1816">
        <v>1685</v>
      </c>
      <c r="H16" s="1816">
        <v>1518</v>
      </c>
      <c r="I16" s="1816">
        <v>1852</v>
      </c>
      <c r="J16" s="1816">
        <f t="shared" si="1"/>
        <v>382</v>
      </c>
      <c r="K16" s="1816"/>
      <c r="L16" s="1816"/>
      <c r="M16" s="1816"/>
    </row>
    <row r="17" spans="1:13" ht="13.2" hidden="1" customHeight="1">
      <c r="A17" s="1776" t="s">
        <v>21</v>
      </c>
      <c r="B17" s="1816">
        <v>1122</v>
      </c>
      <c r="C17" s="1816">
        <v>695</v>
      </c>
      <c r="D17" s="1816">
        <f t="shared" si="0"/>
        <v>427</v>
      </c>
      <c r="E17" s="1816">
        <v>2558</v>
      </c>
      <c r="F17" s="1816"/>
      <c r="G17" s="1816">
        <v>2024</v>
      </c>
      <c r="H17" s="1816">
        <v>1856</v>
      </c>
      <c r="I17" s="1816">
        <v>2171</v>
      </c>
      <c r="J17" s="1816">
        <f t="shared" si="1"/>
        <v>387</v>
      </c>
      <c r="K17" s="1816"/>
      <c r="L17" s="1816"/>
      <c r="M17" s="1816"/>
    </row>
    <row r="18" spans="1:13" ht="13.2" hidden="1" customHeight="1">
      <c r="A18" s="1776" t="s">
        <v>22</v>
      </c>
      <c r="B18" s="1816">
        <v>1138</v>
      </c>
      <c r="C18" s="1816">
        <v>703</v>
      </c>
      <c r="D18" s="1816">
        <f t="shared" si="0"/>
        <v>435</v>
      </c>
      <c r="E18" s="1816">
        <v>2768</v>
      </c>
      <c r="F18" s="1816"/>
      <c r="G18" s="1816">
        <v>2227</v>
      </c>
      <c r="H18" s="1816">
        <v>2057</v>
      </c>
      <c r="I18" s="1816">
        <v>2382</v>
      </c>
      <c r="J18" s="1816">
        <f t="shared" si="1"/>
        <v>386</v>
      </c>
      <c r="K18" s="1816"/>
      <c r="L18" s="1816"/>
      <c r="M18" s="1816"/>
    </row>
    <row r="19" spans="1:13" ht="13.2" hidden="1" customHeight="1">
      <c r="A19" s="1776" t="s">
        <v>23</v>
      </c>
      <c r="B19" s="1816">
        <v>1161</v>
      </c>
      <c r="C19" s="1816">
        <v>725</v>
      </c>
      <c r="D19" s="1816">
        <f t="shared" si="0"/>
        <v>436</v>
      </c>
      <c r="E19" s="1816">
        <v>3119</v>
      </c>
      <c r="F19" s="1816"/>
      <c r="G19" s="1816">
        <v>2567</v>
      </c>
      <c r="H19" s="1816">
        <v>2396</v>
      </c>
      <c r="I19" s="1816">
        <v>2728</v>
      </c>
      <c r="J19" s="1816">
        <f t="shared" si="1"/>
        <v>391</v>
      </c>
      <c r="K19" s="1816"/>
      <c r="L19" s="1816"/>
      <c r="M19" s="1816"/>
    </row>
    <row r="20" spans="1:13" ht="13.2" hidden="1" customHeight="1">
      <c r="A20" s="1776" t="s">
        <v>24</v>
      </c>
      <c r="B20" s="1816">
        <v>1186</v>
      </c>
      <c r="C20" s="1816">
        <v>735</v>
      </c>
      <c r="D20" s="1816">
        <f t="shared" si="0"/>
        <v>451</v>
      </c>
      <c r="E20" s="1816">
        <v>3721</v>
      </c>
      <c r="F20" s="1816"/>
      <c r="G20" s="1816">
        <v>3144</v>
      </c>
      <c r="H20" s="1816">
        <v>2971</v>
      </c>
      <c r="I20" s="1816">
        <v>3324</v>
      </c>
      <c r="J20" s="1816">
        <f t="shared" si="1"/>
        <v>397</v>
      </c>
      <c r="K20" s="1816"/>
      <c r="L20" s="1816"/>
      <c r="M20" s="1816"/>
    </row>
    <row r="21" spans="1:13" ht="13.2" hidden="1" customHeight="1">
      <c r="A21" s="1776" t="s">
        <v>25</v>
      </c>
      <c r="B21" s="1816">
        <v>1204</v>
      </c>
      <c r="C21" s="1816">
        <v>748</v>
      </c>
      <c r="D21" s="1816">
        <f t="shared" si="0"/>
        <v>456</v>
      </c>
      <c r="E21" s="1816">
        <v>4039</v>
      </c>
      <c r="F21" s="1816"/>
      <c r="G21" s="1816">
        <v>3470</v>
      </c>
      <c r="H21" s="1816">
        <v>3291</v>
      </c>
      <c r="I21" s="1816">
        <v>3629</v>
      </c>
      <c r="J21" s="1816">
        <f t="shared" si="1"/>
        <v>410</v>
      </c>
      <c r="K21" s="1816"/>
      <c r="L21" s="1816"/>
      <c r="M21" s="1816"/>
    </row>
    <row r="22" spans="1:13" ht="13.2" hidden="1" customHeight="1">
      <c r="A22" s="1776" t="s">
        <v>26</v>
      </c>
      <c r="B22" s="1816">
        <v>1237</v>
      </c>
      <c r="C22" s="1816">
        <v>768</v>
      </c>
      <c r="D22" s="1816">
        <f t="shared" si="0"/>
        <v>469</v>
      </c>
      <c r="E22" s="1816">
        <v>4262</v>
      </c>
      <c r="F22" s="1816"/>
      <c r="G22" s="1816">
        <v>3683</v>
      </c>
      <c r="H22" s="1816">
        <v>3503</v>
      </c>
      <c r="I22" s="1816">
        <v>3844</v>
      </c>
      <c r="J22" s="1816">
        <f t="shared" si="1"/>
        <v>418</v>
      </c>
      <c r="K22" s="1816"/>
      <c r="L22" s="1816"/>
      <c r="M22" s="1816"/>
    </row>
    <row r="23" spans="1:13" ht="13.2" hidden="1" customHeight="1">
      <c r="A23" s="1776">
        <v>10</v>
      </c>
      <c r="B23" s="1816">
        <v>1259</v>
      </c>
      <c r="C23" s="1816">
        <v>783</v>
      </c>
      <c r="D23" s="1816">
        <f t="shared" si="0"/>
        <v>476</v>
      </c>
      <c r="E23" s="1816">
        <v>4494</v>
      </c>
      <c r="F23" s="1816"/>
      <c r="G23" s="1816">
        <v>3907</v>
      </c>
      <c r="H23" s="1816">
        <v>3725</v>
      </c>
      <c r="I23" s="1816">
        <v>4078</v>
      </c>
      <c r="J23" s="1816">
        <f t="shared" si="1"/>
        <v>416</v>
      </c>
      <c r="K23" s="1816"/>
      <c r="L23" s="1816"/>
      <c r="M23" s="1816"/>
    </row>
    <row r="24" spans="1:13" ht="13.2" hidden="1" customHeight="1">
      <c r="A24" s="1776">
        <v>11</v>
      </c>
      <c r="B24" s="1816">
        <v>1298</v>
      </c>
      <c r="C24" s="1816">
        <v>806</v>
      </c>
      <c r="D24" s="1816">
        <f t="shared" si="0"/>
        <v>492</v>
      </c>
      <c r="E24" s="1816">
        <v>4776</v>
      </c>
      <c r="F24" s="1816"/>
      <c r="G24" s="1816">
        <v>4172</v>
      </c>
      <c r="H24" s="1816">
        <v>3988</v>
      </c>
      <c r="I24" s="1816">
        <v>4353</v>
      </c>
      <c r="J24" s="1816">
        <f t="shared" si="1"/>
        <v>423</v>
      </c>
      <c r="K24" s="1816"/>
      <c r="L24" s="1816"/>
      <c r="M24" s="1816"/>
    </row>
    <row r="25" spans="1:13" ht="13.2" hidden="1" customHeight="1">
      <c r="A25" s="1776">
        <v>12</v>
      </c>
      <c r="B25" s="1816">
        <v>1317</v>
      </c>
      <c r="C25" s="1816">
        <v>820</v>
      </c>
      <c r="D25" s="1816">
        <f t="shared" si="0"/>
        <v>497</v>
      </c>
      <c r="E25" s="1816">
        <v>5309</v>
      </c>
      <c r="F25" s="1816"/>
      <c r="G25" s="1816">
        <v>4653</v>
      </c>
      <c r="H25" s="1816">
        <v>4470</v>
      </c>
      <c r="I25" s="1816">
        <v>4871</v>
      </c>
      <c r="J25" s="1816">
        <f t="shared" si="1"/>
        <v>438</v>
      </c>
      <c r="K25" s="1816"/>
      <c r="L25" s="1816"/>
      <c r="M25" s="1816"/>
    </row>
    <row r="26" spans="1:13">
      <c r="A26" s="1816">
        <v>2008</v>
      </c>
      <c r="B26" s="1816">
        <v>1515</v>
      </c>
      <c r="C26" s="1816">
        <v>867</v>
      </c>
      <c r="D26" s="1816">
        <v>648</v>
      </c>
      <c r="E26" s="1816">
        <v>8124</v>
      </c>
      <c r="F26" s="1816"/>
      <c r="G26" s="1816">
        <v>7367</v>
      </c>
      <c r="H26" s="1816">
        <v>6968</v>
      </c>
      <c r="I26" s="1816">
        <v>7397</v>
      </c>
      <c r="J26" s="1816">
        <v>727</v>
      </c>
      <c r="K26" s="1816"/>
      <c r="L26" s="1816"/>
      <c r="M26" s="1816"/>
    </row>
    <row r="27" spans="1:13">
      <c r="A27" s="1776" t="s">
        <v>43</v>
      </c>
      <c r="B27" s="1816">
        <v>1694</v>
      </c>
      <c r="C27" s="1816">
        <v>959</v>
      </c>
      <c r="D27" s="1816">
        <v>735</v>
      </c>
      <c r="E27" s="1816">
        <v>8657</v>
      </c>
      <c r="F27" s="1816"/>
      <c r="G27" s="1816">
        <v>7854</v>
      </c>
      <c r="H27" s="1816">
        <v>7429</v>
      </c>
      <c r="I27" s="1816">
        <v>7871</v>
      </c>
      <c r="J27" s="1816">
        <v>786</v>
      </c>
      <c r="K27" s="1808"/>
      <c r="L27" s="1808"/>
      <c r="M27" s="1808"/>
    </row>
    <row r="28" spans="1:13" hidden="1">
      <c r="A28" s="1776" t="s">
        <v>18</v>
      </c>
      <c r="B28" s="1808">
        <v>1545</v>
      </c>
      <c r="C28" s="1808">
        <v>878</v>
      </c>
      <c r="D28" s="1808">
        <v>667</v>
      </c>
      <c r="E28" s="1808">
        <v>8114</v>
      </c>
      <c r="F28" s="1808"/>
      <c r="G28" s="1808">
        <v>7332</v>
      </c>
      <c r="H28" s="1808">
        <v>6910</v>
      </c>
      <c r="I28" s="1808">
        <v>7346</v>
      </c>
      <c r="J28" s="1808">
        <v>768</v>
      </c>
      <c r="K28" s="1808"/>
      <c r="L28" s="1808"/>
      <c r="M28" s="1808"/>
    </row>
    <row r="29" spans="1:13" hidden="1">
      <c r="A29" s="1776" t="s">
        <v>19</v>
      </c>
      <c r="B29" s="1808">
        <v>1560</v>
      </c>
      <c r="C29" s="1808">
        <v>887</v>
      </c>
      <c r="D29" s="1808">
        <v>673</v>
      </c>
      <c r="E29" s="1808">
        <v>8237</v>
      </c>
      <c r="F29" s="1808"/>
      <c r="G29" s="1808">
        <v>7446</v>
      </c>
      <c r="H29" s="1808">
        <v>7012</v>
      </c>
      <c r="I29" s="1808">
        <v>7449</v>
      </c>
      <c r="J29" s="1808">
        <v>788</v>
      </c>
      <c r="K29" s="1808"/>
      <c r="L29" s="1808"/>
      <c r="M29" s="1808"/>
    </row>
    <row r="30" spans="1:13" hidden="1">
      <c r="A30" s="1776" t="s">
        <v>20</v>
      </c>
      <c r="B30" s="1808">
        <v>1576</v>
      </c>
      <c r="C30" s="1808">
        <v>888</v>
      </c>
      <c r="D30" s="1808">
        <v>688</v>
      </c>
      <c r="E30" s="1808">
        <v>8410</v>
      </c>
      <c r="F30" s="1808"/>
      <c r="G30" s="1808">
        <v>7547</v>
      </c>
      <c r="H30" s="1808">
        <v>7108</v>
      </c>
      <c r="I30" s="1808">
        <v>7608</v>
      </c>
      <c r="J30" s="1808">
        <v>802</v>
      </c>
      <c r="K30" s="1808"/>
      <c r="L30" s="1808"/>
      <c r="M30" s="1808"/>
    </row>
    <row r="31" spans="1:13" hidden="1">
      <c r="A31" s="1776" t="s">
        <v>21</v>
      </c>
      <c r="B31" s="1808">
        <v>1572</v>
      </c>
      <c r="C31" s="1808">
        <v>882</v>
      </c>
      <c r="D31" s="1808">
        <v>690</v>
      </c>
      <c r="E31" s="1808">
        <v>8404</v>
      </c>
      <c r="F31" s="1808"/>
      <c r="G31" s="1808">
        <v>7607</v>
      </c>
      <c r="H31" s="1808">
        <v>7164</v>
      </c>
      <c r="I31" s="1808">
        <v>7588</v>
      </c>
      <c r="J31" s="1808">
        <v>816</v>
      </c>
      <c r="K31" s="1808"/>
      <c r="L31" s="1808"/>
      <c r="M31" s="1808"/>
    </row>
    <row r="32" spans="1:13" hidden="1">
      <c r="A32" s="1776" t="s">
        <v>22</v>
      </c>
      <c r="B32" s="1808">
        <v>1582</v>
      </c>
      <c r="C32" s="1808">
        <v>895</v>
      </c>
      <c r="D32" s="1808">
        <v>687</v>
      </c>
      <c r="E32" s="1808">
        <v>8521</v>
      </c>
      <c r="F32" s="1808"/>
      <c r="G32" s="1808">
        <v>7796</v>
      </c>
      <c r="H32" s="1808">
        <v>7349</v>
      </c>
      <c r="I32" s="1808">
        <v>7739</v>
      </c>
      <c r="J32" s="1808">
        <v>782</v>
      </c>
      <c r="K32" s="1808"/>
      <c r="L32" s="1808"/>
      <c r="M32" s="1808"/>
    </row>
    <row r="33" spans="1:13" hidden="1">
      <c r="A33" s="1776" t="s">
        <v>23</v>
      </c>
      <c r="B33" s="1808">
        <v>1588</v>
      </c>
      <c r="C33" s="1808">
        <v>902</v>
      </c>
      <c r="D33" s="1808">
        <v>686</v>
      </c>
      <c r="E33" s="1808">
        <v>8532</v>
      </c>
      <c r="F33" s="1808"/>
      <c r="G33" s="1808">
        <v>7787</v>
      </c>
      <c r="H33" s="1808">
        <v>7349</v>
      </c>
      <c r="I33" s="1808">
        <v>7753</v>
      </c>
      <c r="J33" s="1808">
        <v>779</v>
      </c>
      <c r="K33" s="1808"/>
      <c r="L33" s="1808"/>
      <c r="M33" s="1808"/>
    </row>
    <row r="34" spans="1:13" hidden="1">
      <c r="A34" s="1776" t="s">
        <v>24</v>
      </c>
      <c r="B34" s="1808">
        <v>1600</v>
      </c>
      <c r="C34" s="1808">
        <v>902</v>
      </c>
      <c r="D34" s="1808">
        <v>698</v>
      </c>
      <c r="E34" s="1808">
        <v>8485</v>
      </c>
      <c r="F34" s="1808"/>
      <c r="G34" s="1808">
        <v>7724</v>
      </c>
      <c r="H34" s="1808">
        <v>7287</v>
      </c>
      <c r="I34" s="1808">
        <v>7704</v>
      </c>
      <c r="J34" s="1808">
        <v>781</v>
      </c>
      <c r="K34" s="1808"/>
      <c r="L34" s="1808"/>
      <c r="M34" s="1808"/>
    </row>
    <row r="35" spans="1:13" hidden="1">
      <c r="A35" s="1776" t="s">
        <v>25</v>
      </c>
      <c r="B35" s="1808">
        <v>1617</v>
      </c>
      <c r="C35" s="1808">
        <v>915</v>
      </c>
      <c r="D35" s="1808">
        <v>702</v>
      </c>
      <c r="E35" s="1808">
        <v>8481</v>
      </c>
      <c r="F35" s="1808"/>
      <c r="G35" s="1808">
        <v>7726</v>
      </c>
      <c r="H35" s="1808">
        <v>7290</v>
      </c>
      <c r="I35" s="1808">
        <v>7698</v>
      </c>
      <c r="J35" s="1808">
        <v>783</v>
      </c>
      <c r="K35" s="1808"/>
      <c r="L35" s="1808"/>
      <c r="M35" s="1808"/>
    </row>
    <row r="36" spans="1:13" hidden="1">
      <c r="A36" s="1776" t="s">
        <v>26</v>
      </c>
      <c r="B36" s="1808">
        <v>1638</v>
      </c>
      <c r="C36" s="1808">
        <v>928</v>
      </c>
      <c r="D36" s="1808">
        <v>710</v>
      </c>
      <c r="E36" s="1808">
        <v>8519</v>
      </c>
      <c r="F36" s="1808"/>
      <c r="G36" s="1808">
        <v>7764</v>
      </c>
      <c r="H36" s="1808">
        <v>7331</v>
      </c>
      <c r="I36" s="1808">
        <v>7737</v>
      </c>
      <c r="J36" s="1808">
        <v>782</v>
      </c>
      <c r="K36" s="1808"/>
      <c r="L36" s="1808"/>
      <c r="M36" s="1808"/>
    </row>
    <row r="37" spans="1:13" hidden="1">
      <c r="A37" s="1776" t="s">
        <v>27</v>
      </c>
      <c r="B37" s="1808">
        <v>1657</v>
      </c>
      <c r="C37" s="1808">
        <v>935</v>
      </c>
      <c r="D37" s="1808">
        <v>722</v>
      </c>
      <c r="E37" s="1808">
        <v>8567</v>
      </c>
      <c r="F37" s="1808"/>
      <c r="G37" s="1808">
        <v>7795</v>
      </c>
      <c r="H37" s="1808">
        <v>7361</v>
      </c>
      <c r="I37" s="1808">
        <v>7782</v>
      </c>
      <c r="J37" s="1808">
        <v>785</v>
      </c>
      <c r="K37" s="1808"/>
      <c r="L37" s="1808"/>
      <c r="M37" s="1808"/>
    </row>
    <row r="38" spans="1:13" hidden="1">
      <c r="A38" s="1776" t="s">
        <v>28</v>
      </c>
      <c r="B38" s="1808">
        <v>1673</v>
      </c>
      <c r="C38" s="1808">
        <v>943</v>
      </c>
      <c r="D38" s="1808">
        <v>730</v>
      </c>
      <c r="E38" s="1808">
        <v>8613</v>
      </c>
      <c r="F38" s="1808"/>
      <c r="G38" s="1808">
        <v>7830</v>
      </c>
      <c r="H38" s="1808">
        <v>7401</v>
      </c>
      <c r="I38" s="1808">
        <v>7827</v>
      </c>
      <c r="J38" s="1808">
        <v>786</v>
      </c>
      <c r="K38" s="1808"/>
      <c r="L38" s="1808"/>
      <c r="M38" s="1808"/>
    </row>
    <row r="39" spans="1:13" hidden="1">
      <c r="A39" s="1776" t="s">
        <v>29</v>
      </c>
      <c r="B39" s="1808">
        <v>1694</v>
      </c>
      <c r="C39" s="1808">
        <v>959</v>
      </c>
      <c r="D39" s="1808">
        <v>735</v>
      </c>
      <c r="E39" s="1808">
        <v>8657</v>
      </c>
      <c r="F39" s="1808"/>
      <c r="G39" s="1808">
        <v>7854</v>
      </c>
      <c r="H39" s="1808">
        <v>7429</v>
      </c>
      <c r="I39" s="1808">
        <v>7871</v>
      </c>
      <c r="J39" s="1808">
        <v>786</v>
      </c>
      <c r="K39" s="1811"/>
      <c r="L39" s="1811"/>
      <c r="M39" s="1811"/>
    </row>
    <row r="40" spans="1:13">
      <c r="A40" s="1776" t="s">
        <v>48</v>
      </c>
      <c r="B40" s="1811">
        <v>1892</v>
      </c>
      <c r="C40" s="1811">
        <v>1053</v>
      </c>
      <c r="D40" s="1811">
        <v>839</v>
      </c>
      <c r="E40" s="1811">
        <v>7872</v>
      </c>
      <c r="F40" s="1811"/>
      <c r="G40" s="1811">
        <v>6978</v>
      </c>
      <c r="H40" s="1811">
        <v>6554</v>
      </c>
      <c r="I40" s="1811">
        <v>7069</v>
      </c>
      <c r="J40" s="1811">
        <v>803</v>
      </c>
      <c r="K40" s="1811"/>
      <c r="L40" s="1811"/>
      <c r="M40" s="1811"/>
    </row>
    <row r="41" spans="1:13" hidden="1">
      <c r="A41" s="1776" t="s">
        <v>18</v>
      </c>
      <c r="B41" s="1811">
        <v>1708</v>
      </c>
      <c r="C41" s="1811">
        <v>972</v>
      </c>
      <c r="D41" s="1811">
        <v>736</v>
      </c>
      <c r="E41" s="1811">
        <v>8657</v>
      </c>
      <c r="F41" s="1811"/>
      <c r="G41" s="1811">
        <v>7833</v>
      </c>
      <c r="H41" s="1811">
        <v>7412</v>
      </c>
      <c r="I41" s="1811">
        <v>7873</v>
      </c>
      <c r="J41" s="1811">
        <v>784</v>
      </c>
      <c r="K41" s="1811"/>
      <c r="L41" s="1811"/>
      <c r="M41" s="1811"/>
    </row>
    <row r="42" spans="1:13" hidden="1">
      <c r="A42" s="1776" t="s">
        <v>19</v>
      </c>
      <c r="B42" s="1811">
        <v>1714</v>
      </c>
      <c r="C42" s="1811">
        <v>971</v>
      </c>
      <c r="D42" s="1811">
        <v>743</v>
      </c>
      <c r="E42" s="1811">
        <v>8678</v>
      </c>
      <c r="F42" s="1811"/>
      <c r="G42" s="1811">
        <v>7847</v>
      </c>
      <c r="H42" s="1811">
        <v>7423</v>
      </c>
      <c r="I42" s="1811">
        <v>7890</v>
      </c>
      <c r="J42" s="1811">
        <v>788</v>
      </c>
      <c r="K42" s="1811"/>
      <c r="L42" s="1811"/>
      <c r="M42" s="1811"/>
    </row>
    <row r="43" spans="1:13" hidden="1">
      <c r="A43" s="1776" t="s">
        <v>20</v>
      </c>
      <c r="B43" s="1811">
        <v>1715</v>
      </c>
      <c r="C43" s="1811">
        <v>967</v>
      </c>
      <c r="D43" s="1811">
        <v>748</v>
      </c>
      <c r="E43" s="1811">
        <v>8737</v>
      </c>
      <c r="F43" s="1811"/>
      <c r="G43" s="1811">
        <v>7903</v>
      </c>
      <c r="H43" s="1811">
        <v>7480</v>
      </c>
      <c r="I43" s="1811">
        <v>7950</v>
      </c>
      <c r="J43" s="1811">
        <v>787</v>
      </c>
      <c r="K43" s="1811"/>
      <c r="L43" s="1811"/>
      <c r="M43" s="1811"/>
    </row>
    <row r="44" spans="1:13" hidden="1">
      <c r="A44" s="1776" t="s">
        <v>21</v>
      </c>
      <c r="B44" s="1811">
        <v>1734</v>
      </c>
      <c r="C44" s="1811">
        <v>973</v>
      </c>
      <c r="D44" s="1811">
        <v>761</v>
      </c>
      <c r="E44" s="1811">
        <v>8716</v>
      </c>
      <c r="F44" s="1811"/>
      <c r="G44" s="1811">
        <v>7890</v>
      </c>
      <c r="H44" s="1811">
        <v>7466</v>
      </c>
      <c r="I44" s="1811">
        <v>7933</v>
      </c>
      <c r="J44" s="1811">
        <v>783</v>
      </c>
      <c r="K44" s="1811"/>
      <c r="L44" s="1811"/>
      <c r="M44" s="1811"/>
    </row>
    <row r="45" spans="1:13" hidden="1">
      <c r="A45" s="1776" t="s">
        <v>22</v>
      </c>
      <c r="B45" s="1811">
        <v>1752</v>
      </c>
      <c r="C45" s="1811">
        <v>979</v>
      </c>
      <c r="D45" s="1811">
        <v>773</v>
      </c>
      <c r="E45" s="1811">
        <v>8801</v>
      </c>
      <c r="F45" s="1811"/>
      <c r="G45" s="1811">
        <v>7966</v>
      </c>
      <c r="H45" s="1811">
        <v>7536</v>
      </c>
      <c r="I45" s="1811">
        <v>8013</v>
      </c>
      <c r="J45" s="1811">
        <v>788</v>
      </c>
      <c r="K45" s="1811"/>
      <c r="L45" s="1811"/>
      <c r="M45" s="1811"/>
    </row>
    <row r="46" spans="1:13" hidden="1">
      <c r="A46" s="1776" t="s">
        <v>23</v>
      </c>
      <c r="B46" s="1811">
        <v>1777</v>
      </c>
      <c r="C46" s="1811">
        <v>995</v>
      </c>
      <c r="D46" s="1811">
        <v>782</v>
      </c>
      <c r="E46" s="1811">
        <v>8815</v>
      </c>
      <c r="F46" s="1811"/>
      <c r="G46" s="1811">
        <v>7981</v>
      </c>
      <c r="H46" s="1811">
        <v>7555</v>
      </c>
      <c r="I46" s="1811">
        <v>8028</v>
      </c>
      <c r="J46" s="1811">
        <v>787</v>
      </c>
      <c r="K46" s="1811"/>
      <c r="L46" s="1811"/>
      <c r="M46" s="1811"/>
    </row>
    <row r="47" spans="1:13" hidden="1">
      <c r="A47" s="1776" t="s">
        <v>24</v>
      </c>
      <c r="B47" s="1811">
        <v>1809</v>
      </c>
      <c r="C47" s="1811">
        <v>1014</v>
      </c>
      <c r="D47" s="1811">
        <v>795</v>
      </c>
      <c r="E47" s="1811">
        <v>8769</v>
      </c>
      <c r="F47" s="1811"/>
      <c r="G47" s="1811">
        <v>7913</v>
      </c>
      <c r="H47" s="1811">
        <v>7842</v>
      </c>
      <c r="I47" s="1811">
        <v>7980</v>
      </c>
      <c r="J47" s="1811">
        <v>789</v>
      </c>
      <c r="K47" s="1811"/>
      <c r="L47" s="1811"/>
      <c r="M47" s="1811"/>
    </row>
    <row r="48" spans="1:13" hidden="1">
      <c r="A48" s="1776" t="s">
        <v>25</v>
      </c>
      <c r="B48" s="1811">
        <v>1832</v>
      </c>
      <c r="C48" s="1811">
        <v>1025</v>
      </c>
      <c r="D48" s="1811">
        <v>807</v>
      </c>
      <c r="E48" s="1811">
        <v>8792</v>
      </c>
      <c r="F48" s="1811"/>
      <c r="G48" s="1811">
        <v>7934</v>
      </c>
      <c r="H48" s="1811">
        <v>7503</v>
      </c>
      <c r="I48" s="1811">
        <v>7994</v>
      </c>
      <c r="J48" s="1811">
        <v>798</v>
      </c>
      <c r="K48" s="1811"/>
      <c r="L48" s="1811"/>
      <c r="M48" s="1811"/>
    </row>
    <row r="49" spans="1:13" hidden="1">
      <c r="A49" s="1776" t="s">
        <v>26</v>
      </c>
      <c r="B49" s="1811">
        <v>1847</v>
      </c>
      <c r="C49" s="1811">
        <v>1028</v>
      </c>
      <c r="D49" s="1811">
        <v>819</v>
      </c>
      <c r="E49" s="1811">
        <v>8882</v>
      </c>
      <c r="F49" s="1811"/>
      <c r="G49" s="1811">
        <v>8015</v>
      </c>
      <c r="H49" s="1811">
        <v>7581</v>
      </c>
      <c r="I49" s="1811">
        <v>8077</v>
      </c>
      <c r="J49" s="1811">
        <v>805</v>
      </c>
      <c r="K49" s="1811"/>
      <c r="L49" s="1811"/>
      <c r="M49" s="1811"/>
    </row>
    <row r="50" spans="1:13" hidden="1">
      <c r="A50" s="1776">
        <v>10</v>
      </c>
      <c r="B50" s="1811">
        <v>1868</v>
      </c>
      <c r="C50" s="1811">
        <v>1036</v>
      </c>
      <c r="D50" s="1811">
        <v>832</v>
      </c>
      <c r="E50" s="1811">
        <v>7878</v>
      </c>
      <c r="F50" s="1811"/>
      <c r="G50" s="1811">
        <v>7009</v>
      </c>
      <c r="H50" s="1811">
        <v>6575</v>
      </c>
      <c r="I50" s="1811">
        <v>7068</v>
      </c>
      <c r="J50" s="1811">
        <v>810</v>
      </c>
      <c r="K50" s="1811"/>
      <c r="L50" s="1811"/>
      <c r="M50" s="1811"/>
    </row>
    <row r="51" spans="1:13" hidden="1">
      <c r="A51" s="1776">
        <v>11</v>
      </c>
      <c r="B51" s="1811">
        <v>1879</v>
      </c>
      <c r="C51" s="1811">
        <v>1044</v>
      </c>
      <c r="D51" s="1811">
        <v>835</v>
      </c>
      <c r="E51" s="1811">
        <v>7912</v>
      </c>
      <c r="F51" s="1811"/>
      <c r="G51" s="1811">
        <v>7012</v>
      </c>
      <c r="H51" s="1811">
        <v>6582</v>
      </c>
      <c r="I51" s="1811">
        <v>7096</v>
      </c>
      <c r="J51" s="1811">
        <v>816</v>
      </c>
      <c r="K51" s="1811"/>
      <c r="L51" s="1811"/>
      <c r="M51" s="1811"/>
    </row>
    <row r="52" spans="1:13" hidden="1">
      <c r="A52" s="1776" t="s">
        <v>29</v>
      </c>
      <c r="B52" s="1811">
        <v>1892</v>
      </c>
      <c r="C52" s="1811">
        <v>1053</v>
      </c>
      <c r="D52" s="1811">
        <v>839</v>
      </c>
      <c r="E52" s="1811">
        <v>7872</v>
      </c>
      <c r="F52" s="1811"/>
      <c r="G52" s="1811">
        <v>6978</v>
      </c>
      <c r="H52" s="1811">
        <v>6554</v>
      </c>
      <c r="I52" s="1811">
        <v>7069</v>
      </c>
      <c r="J52" s="1811">
        <v>803</v>
      </c>
      <c r="K52" s="1811"/>
      <c r="L52" s="1811"/>
      <c r="M52" s="1811"/>
    </row>
    <row r="53" spans="1:13">
      <c r="A53" s="1776" t="s">
        <v>1045</v>
      </c>
      <c r="B53" s="1811">
        <v>2132</v>
      </c>
      <c r="C53" s="1811">
        <v>1179</v>
      </c>
      <c r="D53" s="1811">
        <v>953</v>
      </c>
      <c r="E53" s="1811">
        <v>13220</v>
      </c>
      <c r="F53" s="1811"/>
      <c r="G53" s="1811">
        <v>11714</v>
      </c>
      <c r="H53" s="1811">
        <v>11169</v>
      </c>
      <c r="I53" s="1811">
        <v>12153</v>
      </c>
      <c r="J53" s="1811">
        <v>1067</v>
      </c>
      <c r="K53" s="1811"/>
      <c r="L53" s="1811"/>
      <c r="M53" s="1811"/>
    </row>
    <row r="54" spans="1:13" hidden="1">
      <c r="A54" s="1776" t="s">
        <v>18</v>
      </c>
      <c r="B54" s="1811">
        <v>1907</v>
      </c>
      <c r="C54" s="1811">
        <v>1063</v>
      </c>
      <c r="D54" s="1811">
        <v>844</v>
      </c>
      <c r="E54" s="1811">
        <v>7864</v>
      </c>
      <c r="F54" s="1811"/>
      <c r="G54" s="1811">
        <v>6922</v>
      </c>
      <c r="H54" s="1811">
        <v>6494</v>
      </c>
      <c r="I54" s="1811">
        <v>7054</v>
      </c>
      <c r="J54" s="1811">
        <v>810</v>
      </c>
      <c r="K54" s="1811"/>
      <c r="L54" s="1811"/>
      <c r="M54" s="1811"/>
    </row>
    <row r="55" spans="1:13" hidden="1">
      <c r="A55" s="1776" t="s">
        <v>19</v>
      </c>
      <c r="B55" s="1811">
        <v>1912</v>
      </c>
      <c r="C55" s="1811">
        <v>1065</v>
      </c>
      <c r="D55" s="1811">
        <v>847</v>
      </c>
      <c r="E55" s="1811">
        <v>7983</v>
      </c>
      <c r="F55" s="1811"/>
      <c r="G55" s="1811">
        <v>7048</v>
      </c>
      <c r="H55" s="1811">
        <v>6620</v>
      </c>
      <c r="I55" s="1811">
        <v>7175</v>
      </c>
      <c r="J55" s="1811">
        <v>808</v>
      </c>
      <c r="K55" s="1811"/>
      <c r="L55" s="1811"/>
      <c r="M55" s="1811"/>
    </row>
    <row r="56" spans="1:13" hidden="1">
      <c r="A56" s="1776" t="s">
        <v>20</v>
      </c>
      <c r="B56" s="1811">
        <v>1929</v>
      </c>
      <c r="C56" s="1811">
        <v>1071</v>
      </c>
      <c r="D56" s="1811">
        <v>848</v>
      </c>
      <c r="E56" s="1811">
        <v>8857</v>
      </c>
      <c r="F56" s="1811"/>
      <c r="G56" s="1811">
        <v>7926</v>
      </c>
      <c r="H56" s="1811">
        <v>7497</v>
      </c>
      <c r="I56" s="1811">
        <v>8027</v>
      </c>
      <c r="J56" s="1811">
        <v>830</v>
      </c>
      <c r="K56" s="1811"/>
      <c r="L56" s="1811"/>
      <c r="M56" s="1811"/>
    </row>
    <row r="57" spans="1:13" hidden="1">
      <c r="A57" s="1776" t="s">
        <v>21</v>
      </c>
      <c r="B57" s="1811">
        <v>1947</v>
      </c>
      <c r="C57" s="1811">
        <v>1078</v>
      </c>
      <c r="D57" s="1811">
        <v>869</v>
      </c>
      <c r="E57" s="1811">
        <v>9435</v>
      </c>
      <c r="F57" s="1811"/>
      <c r="G57" s="1811">
        <v>8483</v>
      </c>
      <c r="H57" s="1811">
        <v>8040</v>
      </c>
      <c r="I57" s="1811">
        <v>8576</v>
      </c>
      <c r="J57" s="1811">
        <v>859</v>
      </c>
      <c r="K57" s="1811"/>
      <c r="L57" s="1811"/>
      <c r="M57" s="1811"/>
    </row>
    <row r="58" spans="1:13" hidden="1">
      <c r="A58" s="1776" t="s">
        <v>22</v>
      </c>
      <c r="B58" s="1811">
        <v>1960</v>
      </c>
      <c r="C58" s="1811">
        <v>1086</v>
      </c>
      <c r="D58" s="1811">
        <v>874</v>
      </c>
      <c r="E58" s="1811">
        <v>10095</v>
      </c>
      <c r="F58" s="1811"/>
      <c r="G58" s="1811">
        <v>8828</v>
      </c>
      <c r="H58" s="1811">
        <v>8380</v>
      </c>
      <c r="I58" s="1811">
        <v>9216</v>
      </c>
      <c r="J58" s="1811">
        <v>879</v>
      </c>
      <c r="K58" s="1811"/>
      <c r="L58" s="1811"/>
      <c r="M58" s="1811"/>
    </row>
    <row r="59" spans="1:13" hidden="1">
      <c r="A59" s="1776" t="s">
        <v>23</v>
      </c>
      <c r="B59" s="1811">
        <v>1985</v>
      </c>
      <c r="C59" s="1811">
        <v>1101</v>
      </c>
      <c r="D59" s="1811">
        <v>884</v>
      </c>
      <c r="E59" s="1811">
        <v>10609</v>
      </c>
      <c r="F59" s="1811"/>
      <c r="G59" s="1811">
        <v>9307</v>
      </c>
      <c r="H59" s="1811">
        <v>8851</v>
      </c>
      <c r="I59" s="1811">
        <v>9703</v>
      </c>
      <c r="J59" s="1811">
        <v>906</v>
      </c>
      <c r="K59" s="1811"/>
      <c r="L59" s="1811"/>
      <c r="M59" s="1811"/>
    </row>
    <row r="60" spans="1:13" hidden="1">
      <c r="A60" s="1776" t="s">
        <v>24</v>
      </c>
      <c r="B60" s="1811">
        <v>2002</v>
      </c>
      <c r="C60" s="1811">
        <v>1112</v>
      </c>
      <c r="D60" s="1811">
        <v>890</v>
      </c>
      <c r="E60" s="1811">
        <v>11272</v>
      </c>
      <c r="F60" s="1811"/>
      <c r="G60" s="1811">
        <v>9901</v>
      </c>
      <c r="H60" s="1811">
        <v>9442</v>
      </c>
      <c r="I60" s="1811">
        <v>10306</v>
      </c>
      <c r="J60" s="1811">
        <v>966</v>
      </c>
      <c r="K60" s="1811"/>
      <c r="L60" s="1811"/>
      <c r="M60" s="1811"/>
    </row>
    <row r="61" spans="1:13" hidden="1">
      <c r="A61" s="1776" t="s">
        <v>25</v>
      </c>
      <c r="B61" s="1811">
        <v>2038</v>
      </c>
      <c r="C61" s="1811">
        <v>1115</v>
      </c>
      <c r="D61" s="1811">
        <v>923</v>
      </c>
      <c r="E61" s="1811">
        <v>11787</v>
      </c>
      <c r="F61" s="1811"/>
      <c r="G61" s="1811">
        <v>10404</v>
      </c>
      <c r="H61" s="1811">
        <v>9939</v>
      </c>
      <c r="I61" s="1811">
        <v>10815</v>
      </c>
      <c r="J61" s="1811">
        <v>972</v>
      </c>
      <c r="K61" s="1811"/>
      <c r="L61" s="1811"/>
      <c r="M61" s="1811"/>
    </row>
    <row r="62" spans="1:13" hidden="1">
      <c r="A62" s="1776" t="s">
        <v>26</v>
      </c>
      <c r="B62" s="1811">
        <v>2056</v>
      </c>
      <c r="C62" s="1811">
        <v>1144</v>
      </c>
      <c r="D62" s="1811">
        <v>912</v>
      </c>
      <c r="E62" s="1811">
        <v>12204</v>
      </c>
      <c r="F62" s="1811"/>
      <c r="G62" s="1811">
        <v>10796</v>
      </c>
      <c r="H62" s="1811">
        <v>10319</v>
      </c>
      <c r="I62" s="1811">
        <v>11207</v>
      </c>
      <c r="J62" s="1811">
        <v>997</v>
      </c>
      <c r="K62" s="1811"/>
      <c r="L62" s="1811"/>
      <c r="M62" s="1811"/>
    </row>
    <row r="63" spans="1:13" hidden="1">
      <c r="A63" s="1776" t="s">
        <v>27</v>
      </c>
      <c r="B63" s="1811">
        <v>2073</v>
      </c>
      <c r="C63" s="1811">
        <v>1154</v>
      </c>
      <c r="D63" s="1811">
        <v>919</v>
      </c>
      <c r="E63" s="1811">
        <v>12477</v>
      </c>
      <c r="F63" s="1811"/>
      <c r="G63" s="1811">
        <v>10986</v>
      </c>
      <c r="H63" s="1811">
        <v>10487</v>
      </c>
      <c r="I63" s="1811">
        <v>11463</v>
      </c>
      <c r="J63" s="1811">
        <v>1014</v>
      </c>
      <c r="K63" s="1811"/>
      <c r="L63" s="1811"/>
      <c r="M63" s="1811"/>
    </row>
    <row r="64" spans="1:13" hidden="1">
      <c r="A64" s="1776" t="s">
        <v>28</v>
      </c>
      <c r="B64" s="1811">
        <v>2104</v>
      </c>
      <c r="C64" s="1811">
        <v>1166</v>
      </c>
      <c r="D64" s="1811">
        <v>938</v>
      </c>
      <c r="E64" s="1811">
        <v>12778</v>
      </c>
      <c r="F64" s="1811"/>
      <c r="G64" s="1811">
        <v>11289</v>
      </c>
      <c r="H64" s="1811">
        <v>10762</v>
      </c>
      <c r="I64" s="1811">
        <v>11735</v>
      </c>
      <c r="J64" s="1811">
        <v>1043</v>
      </c>
      <c r="K64" s="1811"/>
      <c r="L64" s="1811"/>
      <c r="M64" s="1811"/>
    </row>
    <row r="65" spans="1:13" hidden="1">
      <c r="A65" s="1776" t="s">
        <v>29</v>
      </c>
      <c r="B65" s="1811">
        <v>2132</v>
      </c>
      <c r="C65" s="1811">
        <v>1179</v>
      </c>
      <c r="D65" s="1811">
        <v>953</v>
      </c>
      <c r="E65" s="1811">
        <v>13220</v>
      </c>
      <c r="F65" s="1811"/>
      <c r="G65" s="1811">
        <v>11714</v>
      </c>
      <c r="H65" s="1811">
        <v>11169</v>
      </c>
      <c r="I65" s="1811">
        <v>12153</v>
      </c>
      <c r="J65" s="1811">
        <v>1067</v>
      </c>
      <c r="K65" s="1811"/>
      <c r="L65" s="1811"/>
      <c r="M65" s="1811"/>
    </row>
    <row r="66" spans="1:13">
      <c r="A66" s="1776" t="s">
        <v>1327</v>
      </c>
      <c r="B66" s="1811">
        <v>2260</v>
      </c>
      <c r="C66" s="1811">
        <v>1263</v>
      </c>
      <c r="D66" s="1811">
        <v>997</v>
      </c>
      <c r="E66" s="1811">
        <v>36860</v>
      </c>
      <c r="F66" s="1811"/>
      <c r="G66" s="1811">
        <v>35035</v>
      </c>
      <c r="H66" s="1811">
        <v>32386</v>
      </c>
      <c r="I66" s="1811">
        <v>33629</v>
      </c>
      <c r="J66" s="1811">
        <v>3231</v>
      </c>
      <c r="K66" s="1808"/>
      <c r="L66" s="1808"/>
      <c r="M66" s="1808"/>
    </row>
    <row r="67" spans="1:13" hidden="1">
      <c r="A67" s="1776" t="s">
        <v>18</v>
      </c>
      <c r="B67" s="1808">
        <v>2148</v>
      </c>
      <c r="C67" s="1808">
        <v>1187</v>
      </c>
      <c r="D67" s="1808">
        <v>961</v>
      </c>
      <c r="E67" s="1808">
        <v>13686</v>
      </c>
      <c r="F67" s="1808"/>
      <c r="G67" s="1808">
        <v>12174</v>
      </c>
      <c r="H67" s="1808">
        <v>11618</v>
      </c>
      <c r="I67" s="1808">
        <v>12604</v>
      </c>
      <c r="J67" s="1808">
        <v>1082</v>
      </c>
      <c r="K67" s="1808"/>
      <c r="L67" s="1808"/>
      <c r="M67" s="1808"/>
    </row>
    <row r="68" spans="1:13" hidden="1">
      <c r="A68" s="1776" t="s">
        <v>19</v>
      </c>
      <c r="B68" s="1808">
        <v>2157</v>
      </c>
      <c r="C68" s="1808">
        <v>1196</v>
      </c>
      <c r="D68" s="1808">
        <v>961</v>
      </c>
      <c r="E68" s="1808">
        <v>18193</v>
      </c>
      <c r="F68" s="1808"/>
      <c r="G68" s="1808">
        <v>16656</v>
      </c>
      <c r="H68" s="1808">
        <v>16054</v>
      </c>
      <c r="I68" s="1808">
        <v>17057</v>
      </c>
      <c r="J68" s="1808">
        <v>1136</v>
      </c>
      <c r="K68" s="1808"/>
      <c r="L68" s="1808"/>
      <c r="M68" s="1808"/>
    </row>
    <row r="69" spans="1:13" hidden="1">
      <c r="A69" s="1776" t="s">
        <v>20</v>
      </c>
      <c r="B69" s="1808">
        <v>2168</v>
      </c>
      <c r="C69" s="1808">
        <v>1198</v>
      </c>
      <c r="D69" s="1808">
        <v>970</v>
      </c>
      <c r="E69" s="1808">
        <v>20994</v>
      </c>
      <c r="F69" s="1808"/>
      <c r="G69" s="1808">
        <v>19447</v>
      </c>
      <c r="H69" s="1808">
        <v>18767</v>
      </c>
      <c r="I69" s="1808">
        <v>19772</v>
      </c>
      <c r="J69" s="1808">
        <v>1222</v>
      </c>
      <c r="K69" s="1808"/>
      <c r="L69" s="1808"/>
      <c r="M69" s="1808"/>
    </row>
    <row r="70" spans="1:13" hidden="1">
      <c r="A70" s="1776" t="s">
        <v>21</v>
      </c>
      <c r="B70" s="1808">
        <v>2183</v>
      </c>
      <c r="C70" s="1808">
        <v>1209</v>
      </c>
      <c r="D70" s="1808">
        <v>974</v>
      </c>
      <c r="E70" s="1808">
        <v>28921</v>
      </c>
      <c r="F70" s="1808"/>
      <c r="G70" s="1808">
        <v>27269</v>
      </c>
      <c r="H70" s="1808">
        <v>26443</v>
      </c>
      <c r="I70" s="1808">
        <v>27547</v>
      </c>
      <c r="J70" s="1808">
        <v>1374</v>
      </c>
      <c r="K70" s="1808"/>
      <c r="L70" s="1808"/>
      <c r="M70" s="1808"/>
    </row>
    <row r="71" spans="1:13" hidden="1">
      <c r="A71" s="1776" t="s">
        <v>22</v>
      </c>
      <c r="B71" s="1808">
        <v>2216</v>
      </c>
      <c r="C71" s="1808">
        <v>1230</v>
      </c>
      <c r="D71" s="1808">
        <v>986</v>
      </c>
      <c r="E71" s="1808">
        <v>37194</v>
      </c>
      <c r="F71" s="1808"/>
      <c r="G71" s="1808">
        <v>35617</v>
      </c>
      <c r="H71" s="1808">
        <v>33026</v>
      </c>
      <c r="I71" s="1808">
        <v>34038</v>
      </c>
      <c r="J71" s="1808">
        <v>3156</v>
      </c>
      <c r="K71" s="1808"/>
      <c r="L71" s="1808"/>
      <c r="M71" s="1808"/>
    </row>
    <row r="72" spans="1:13" hidden="1">
      <c r="A72" s="1776" t="s">
        <v>23</v>
      </c>
      <c r="B72" s="1808">
        <v>2227</v>
      </c>
      <c r="C72" s="1808">
        <v>1235</v>
      </c>
      <c r="D72" s="1808">
        <v>992</v>
      </c>
      <c r="E72" s="1808">
        <v>36310</v>
      </c>
      <c r="F72" s="1808"/>
      <c r="G72" s="1808">
        <v>34740</v>
      </c>
      <c r="H72" s="1808">
        <v>32114</v>
      </c>
      <c r="I72" s="1808">
        <v>33119</v>
      </c>
      <c r="J72" s="1808">
        <v>3191</v>
      </c>
      <c r="K72" s="1808"/>
      <c r="L72" s="1808"/>
      <c r="M72" s="1808"/>
    </row>
    <row r="73" spans="1:13" hidden="1">
      <c r="A73" s="1776" t="s">
        <v>24</v>
      </c>
      <c r="B73" s="1808">
        <v>2195</v>
      </c>
      <c r="C73" s="1808">
        <v>1225</v>
      </c>
      <c r="D73" s="1808">
        <v>970</v>
      </c>
      <c r="E73" s="1808">
        <v>36523</v>
      </c>
      <c r="F73" s="1808"/>
      <c r="G73" s="1808">
        <v>34989</v>
      </c>
      <c r="H73" s="1808">
        <v>32463</v>
      </c>
      <c r="I73" s="1808">
        <v>33340</v>
      </c>
      <c r="J73" s="1808">
        <v>3183</v>
      </c>
      <c r="K73" s="1808"/>
      <c r="L73" s="1808"/>
      <c r="M73" s="1808"/>
    </row>
    <row r="74" spans="1:13" hidden="1">
      <c r="A74" s="1776" t="s">
        <v>25</v>
      </c>
      <c r="B74" s="1808">
        <v>2214</v>
      </c>
      <c r="C74" s="1808">
        <v>1239</v>
      </c>
      <c r="D74" s="1808">
        <v>975</v>
      </c>
      <c r="E74" s="1808">
        <v>36514</v>
      </c>
      <c r="F74" s="1808"/>
      <c r="G74" s="1808">
        <v>34972</v>
      </c>
      <c r="H74" s="1808">
        <v>32455</v>
      </c>
      <c r="I74" s="1808">
        <v>33340</v>
      </c>
      <c r="J74" s="1808">
        <v>3174</v>
      </c>
      <c r="K74" s="1808"/>
      <c r="L74" s="1808"/>
      <c r="M74" s="1808"/>
    </row>
    <row r="75" spans="1:13" hidden="1">
      <c r="A75" s="1776" t="s">
        <v>26</v>
      </c>
      <c r="B75" s="1808">
        <v>2224</v>
      </c>
      <c r="C75" s="1808">
        <v>1224</v>
      </c>
      <c r="D75" s="1808">
        <v>1000</v>
      </c>
      <c r="E75" s="1808">
        <v>36702</v>
      </c>
      <c r="F75" s="1808"/>
      <c r="G75" s="1808">
        <v>35039</v>
      </c>
      <c r="H75" s="1808">
        <v>32453</v>
      </c>
      <c r="I75" s="1808">
        <v>33549</v>
      </c>
      <c r="J75" s="1808">
        <v>3153</v>
      </c>
      <c r="K75" s="1808"/>
      <c r="L75" s="1808"/>
      <c r="M75" s="1808"/>
    </row>
    <row r="76" spans="1:13" hidden="1">
      <c r="A76" s="1776" t="s">
        <v>27</v>
      </c>
      <c r="B76" s="1808">
        <v>2226</v>
      </c>
      <c r="C76" s="1808">
        <v>1243</v>
      </c>
      <c r="D76" s="1808">
        <v>983</v>
      </c>
      <c r="E76" s="1808">
        <v>36655</v>
      </c>
      <c r="F76" s="1808"/>
      <c r="G76" s="1808">
        <v>34976</v>
      </c>
      <c r="H76" s="1808">
        <v>32396</v>
      </c>
      <c r="I76" s="1808">
        <v>33506</v>
      </c>
      <c r="J76" s="1808">
        <v>3149</v>
      </c>
      <c r="K76" s="1808"/>
      <c r="L76" s="1808"/>
      <c r="M76" s="1808"/>
    </row>
    <row r="77" spans="1:13" hidden="1">
      <c r="A77" s="1776" t="s">
        <v>28</v>
      </c>
      <c r="B77" s="1808">
        <v>2240</v>
      </c>
      <c r="C77" s="1808">
        <v>1249</v>
      </c>
      <c r="D77" s="1808">
        <v>991</v>
      </c>
      <c r="E77" s="1808">
        <v>36482</v>
      </c>
      <c r="F77" s="1808"/>
      <c r="G77" s="1808">
        <v>34781</v>
      </c>
      <c r="H77" s="1808">
        <v>32204</v>
      </c>
      <c r="I77" s="1808">
        <v>33333</v>
      </c>
      <c r="J77" s="1808">
        <v>3149</v>
      </c>
      <c r="K77" s="1808"/>
      <c r="L77" s="1808"/>
      <c r="M77" s="1808"/>
    </row>
    <row r="78" spans="1:13" hidden="1">
      <c r="A78" s="1776" t="s">
        <v>29</v>
      </c>
      <c r="B78" s="1808">
        <v>2260</v>
      </c>
      <c r="C78" s="1808">
        <v>1263</v>
      </c>
      <c r="D78" s="1808">
        <v>997</v>
      </c>
      <c r="E78" s="1808">
        <v>36860</v>
      </c>
      <c r="F78" s="1808"/>
      <c r="G78" s="1808">
        <v>35035</v>
      </c>
      <c r="H78" s="1808">
        <v>32386</v>
      </c>
      <c r="I78" s="1808">
        <v>33629</v>
      </c>
      <c r="J78" s="1808">
        <v>3231</v>
      </c>
      <c r="K78" s="1811"/>
      <c r="L78" s="1811"/>
      <c r="M78" s="1811"/>
    </row>
    <row r="79" spans="1:13">
      <c r="A79" s="1776" t="s">
        <v>1449</v>
      </c>
      <c r="B79" s="1811">
        <v>2422</v>
      </c>
      <c r="C79" s="1811">
        <v>1366</v>
      </c>
      <c r="D79" s="1811">
        <v>1056</v>
      </c>
      <c r="E79" s="1811">
        <v>33285</v>
      </c>
      <c r="F79" s="1811"/>
      <c r="G79" s="1811">
        <v>31859</v>
      </c>
      <c r="H79" s="1811">
        <v>28090</v>
      </c>
      <c r="I79" s="1811">
        <v>28940</v>
      </c>
      <c r="J79" s="1811">
        <v>4345</v>
      </c>
      <c r="K79" s="1808"/>
      <c r="L79" s="1808"/>
      <c r="M79" s="1808"/>
    </row>
    <row r="80" spans="1:13" hidden="1">
      <c r="A80" s="1776" t="s">
        <v>18</v>
      </c>
      <c r="B80" s="1808">
        <v>2261</v>
      </c>
      <c r="C80" s="1808">
        <v>1264</v>
      </c>
      <c r="D80" s="1808">
        <v>997</v>
      </c>
      <c r="E80" s="1808">
        <v>37175</v>
      </c>
      <c r="F80" s="1808"/>
      <c r="G80" s="1808">
        <v>35775</v>
      </c>
      <c r="H80" s="1808">
        <v>33007</v>
      </c>
      <c r="I80" s="1808">
        <v>33816</v>
      </c>
      <c r="J80" s="1808">
        <v>3359</v>
      </c>
      <c r="K80" s="1808"/>
      <c r="L80" s="1808"/>
      <c r="M80" s="1808"/>
    </row>
    <row r="81" spans="1:13" hidden="1">
      <c r="A81" s="1776" t="s">
        <v>19</v>
      </c>
      <c r="B81" s="1808">
        <v>2279</v>
      </c>
      <c r="C81" s="1808">
        <v>1273</v>
      </c>
      <c r="D81" s="1808">
        <v>1006</v>
      </c>
      <c r="E81" s="1808">
        <v>36934</v>
      </c>
      <c r="F81" s="1808"/>
      <c r="G81" s="1808">
        <v>35517</v>
      </c>
      <c r="H81" s="1808">
        <v>32494</v>
      </c>
      <c r="I81" s="1808">
        <v>33307</v>
      </c>
      <c r="J81" s="1808">
        <v>3627</v>
      </c>
      <c r="K81" s="1808"/>
      <c r="L81" s="1808"/>
      <c r="M81" s="1808"/>
    </row>
    <row r="82" spans="1:13" hidden="1">
      <c r="A82" s="1776" t="s">
        <v>20</v>
      </c>
      <c r="B82" s="1808">
        <v>2295</v>
      </c>
      <c r="C82" s="1808">
        <v>1288</v>
      </c>
      <c r="D82" s="1808">
        <v>1007</v>
      </c>
      <c r="E82" s="1808">
        <v>37266</v>
      </c>
      <c r="F82" s="1808"/>
      <c r="G82" s="1808">
        <v>35850</v>
      </c>
      <c r="H82" s="1808">
        <v>32721</v>
      </c>
      <c r="I82" s="1808">
        <v>33517</v>
      </c>
      <c r="J82" s="1808">
        <v>3749</v>
      </c>
      <c r="K82" s="1808"/>
      <c r="L82" s="1808"/>
      <c r="M82" s="1808"/>
    </row>
    <row r="83" spans="1:13" hidden="1">
      <c r="A83" s="1776" t="s">
        <v>21</v>
      </c>
      <c r="B83" s="1808">
        <v>2331</v>
      </c>
      <c r="C83" s="1808">
        <v>1316</v>
      </c>
      <c r="D83" s="1808">
        <v>1015</v>
      </c>
      <c r="E83" s="1808">
        <v>37080</v>
      </c>
      <c r="F83" s="1808"/>
      <c r="G83" s="1808">
        <v>35658</v>
      </c>
      <c r="H83" s="1808">
        <v>32451</v>
      </c>
      <c r="I83" s="1808">
        <v>33268</v>
      </c>
      <c r="J83" s="1808">
        <v>3812</v>
      </c>
      <c r="K83" s="1808"/>
      <c r="L83" s="1808"/>
      <c r="M83" s="1808"/>
    </row>
    <row r="84" spans="1:13" hidden="1">
      <c r="A84" s="1776" t="s">
        <v>22</v>
      </c>
      <c r="B84" s="1808">
        <v>2343</v>
      </c>
      <c r="C84" s="1808">
        <v>1324</v>
      </c>
      <c r="D84" s="1808">
        <v>1019</v>
      </c>
      <c r="E84" s="1808">
        <v>37075</v>
      </c>
      <c r="F84" s="1808"/>
      <c r="G84" s="1808">
        <v>35674</v>
      </c>
      <c r="H84" s="1808">
        <v>32481</v>
      </c>
      <c r="I84" s="1808">
        <v>33269</v>
      </c>
      <c r="J84" s="1808">
        <v>3806</v>
      </c>
      <c r="K84" s="1808"/>
      <c r="L84" s="1808"/>
      <c r="M84" s="1808"/>
    </row>
    <row r="85" spans="1:13" hidden="1">
      <c r="A85" s="1776" t="s">
        <v>23</v>
      </c>
      <c r="B85" s="1808">
        <v>2351</v>
      </c>
      <c r="C85" s="1808">
        <v>1324</v>
      </c>
      <c r="D85" s="1808">
        <v>1027</v>
      </c>
      <c r="E85" s="1808">
        <v>37166</v>
      </c>
      <c r="F85" s="1808"/>
      <c r="G85" s="1808">
        <v>35758</v>
      </c>
      <c r="H85" s="1808">
        <v>32491</v>
      </c>
      <c r="I85" s="1808">
        <v>33284</v>
      </c>
      <c r="J85" s="1808">
        <v>3882</v>
      </c>
      <c r="K85" s="1808"/>
      <c r="L85" s="1808"/>
      <c r="M85" s="1808"/>
    </row>
    <row r="86" spans="1:13" hidden="1">
      <c r="A86" s="1776" t="s">
        <v>24</v>
      </c>
      <c r="B86" s="1808">
        <v>2368</v>
      </c>
      <c r="C86" s="1808">
        <v>1336</v>
      </c>
      <c r="D86" s="1808">
        <v>1032</v>
      </c>
      <c r="E86" s="1808">
        <v>36388</v>
      </c>
      <c r="F86" s="1808"/>
      <c r="G86" s="1808">
        <v>35003</v>
      </c>
      <c r="H86" s="1808">
        <v>31658</v>
      </c>
      <c r="I86" s="1808">
        <v>32470</v>
      </c>
      <c r="J86" s="1808">
        <v>3918</v>
      </c>
      <c r="K86" s="1808"/>
      <c r="L86" s="1808"/>
      <c r="M86" s="1808"/>
    </row>
    <row r="87" spans="1:13" hidden="1">
      <c r="A87" s="1776" t="s">
        <v>25</v>
      </c>
      <c r="B87" s="1808">
        <v>2375</v>
      </c>
      <c r="C87" s="1808">
        <v>1341</v>
      </c>
      <c r="D87" s="1808">
        <v>1034</v>
      </c>
      <c r="E87" s="1808">
        <v>35715</v>
      </c>
      <c r="F87" s="1808"/>
      <c r="G87" s="1808">
        <v>34333</v>
      </c>
      <c r="H87" s="1808">
        <v>30918</v>
      </c>
      <c r="I87" s="1808">
        <v>31754</v>
      </c>
      <c r="J87" s="1808">
        <v>3961</v>
      </c>
      <c r="K87" s="1808"/>
      <c r="L87" s="1808"/>
      <c r="M87" s="1808"/>
    </row>
    <row r="88" spans="1:13" hidden="1">
      <c r="A88" s="1776" t="s">
        <v>26</v>
      </c>
      <c r="B88" s="1808">
        <v>2396</v>
      </c>
      <c r="C88" s="1808">
        <v>1355</v>
      </c>
      <c r="D88" s="1808">
        <v>1041</v>
      </c>
      <c r="E88" s="1808">
        <v>35152</v>
      </c>
      <c r="F88" s="1808"/>
      <c r="G88" s="1808">
        <v>33752</v>
      </c>
      <c r="H88" s="1808">
        <v>30234</v>
      </c>
      <c r="I88" s="1808">
        <v>31068</v>
      </c>
      <c r="J88" s="1808">
        <v>4084</v>
      </c>
      <c r="K88" s="1808"/>
      <c r="L88" s="1808"/>
      <c r="M88" s="1808"/>
    </row>
    <row r="89" spans="1:13" hidden="1">
      <c r="A89" s="1776" t="s">
        <v>27</v>
      </c>
      <c r="B89" s="1808">
        <v>2397</v>
      </c>
      <c r="C89" s="1808">
        <v>1351</v>
      </c>
      <c r="D89" s="1808">
        <v>1046</v>
      </c>
      <c r="E89" s="1808">
        <v>35039</v>
      </c>
      <c r="F89" s="1808"/>
      <c r="G89" s="1808">
        <v>33635</v>
      </c>
      <c r="H89" s="1808">
        <v>30061</v>
      </c>
      <c r="I89" s="1808">
        <v>30897</v>
      </c>
      <c r="J89" s="1808">
        <v>4142</v>
      </c>
      <c r="K89" s="1808"/>
      <c r="L89" s="1808"/>
      <c r="M89" s="1808"/>
    </row>
    <row r="90" spans="1:13" hidden="1">
      <c r="A90" s="1776" t="s">
        <v>28</v>
      </c>
      <c r="B90" s="1808">
        <v>2411</v>
      </c>
      <c r="C90" s="1808">
        <v>1360</v>
      </c>
      <c r="D90" s="1808">
        <v>1051</v>
      </c>
      <c r="E90" s="1808">
        <v>33301</v>
      </c>
      <c r="F90" s="1808"/>
      <c r="G90" s="1808">
        <v>31897</v>
      </c>
      <c r="H90" s="1808">
        <v>28265</v>
      </c>
      <c r="I90" s="1808">
        <v>29101</v>
      </c>
      <c r="J90" s="1808">
        <v>4200</v>
      </c>
      <c r="K90" s="1808"/>
      <c r="L90" s="1808"/>
      <c r="M90" s="1808"/>
    </row>
    <row r="91" spans="1:13" hidden="1">
      <c r="A91" s="1776" t="s">
        <v>29</v>
      </c>
      <c r="B91" s="1808">
        <v>2422</v>
      </c>
      <c r="C91" s="1808">
        <v>1366</v>
      </c>
      <c r="D91" s="1808">
        <v>1056</v>
      </c>
      <c r="E91" s="1808">
        <v>33285</v>
      </c>
      <c r="F91" s="1808"/>
      <c r="G91" s="1808">
        <v>31859</v>
      </c>
      <c r="H91" s="1808">
        <v>28090</v>
      </c>
      <c r="I91" s="1808">
        <v>28940</v>
      </c>
      <c r="J91" s="1808">
        <v>4345</v>
      </c>
      <c r="K91" s="1811"/>
      <c r="L91" s="1811"/>
      <c r="M91" s="1811"/>
    </row>
    <row r="92" spans="1:13">
      <c r="A92" s="1776" t="s">
        <v>1660</v>
      </c>
      <c r="B92" s="1811">
        <v>2608</v>
      </c>
      <c r="C92" s="1811">
        <v>1471</v>
      </c>
      <c r="D92" s="1811">
        <f>B92-C92</f>
        <v>1137</v>
      </c>
      <c r="E92" s="1811">
        <v>73013</v>
      </c>
      <c r="F92" s="1811"/>
      <c r="G92" s="1811">
        <v>71553</v>
      </c>
      <c r="H92" s="1811">
        <v>49187</v>
      </c>
      <c r="I92" s="1811">
        <v>50050</v>
      </c>
      <c r="J92" s="1811">
        <f>E92-I92</f>
        <v>22963</v>
      </c>
      <c r="K92" s="1808"/>
      <c r="L92" s="1808"/>
      <c r="M92" s="1808"/>
    </row>
    <row r="93" spans="1:13">
      <c r="A93" s="1776" t="s">
        <v>18</v>
      </c>
      <c r="B93" s="1808">
        <v>2417</v>
      </c>
      <c r="C93" s="1808">
        <v>1358</v>
      </c>
      <c r="D93" s="1808">
        <v>1059</v>
      </c>
      <c r="E93" s="1808">
        <v>33045</v>
      </c>
      <c r="F93" s="1808"/>
      <c r="G93" s="1808">
        <v>33045</v>
      </c>
      <c r="H93" s="1808">
        <v>28650</v>
      </c>
      <c r="I93" s="1808">
        <v>27733</v>
      </c>
      <c r="J93" s="1808">
        <v>5312</v>
      </c>
      <c r="K93" s="1808"/>
      <c r="L93" s="1808"/>
      <c r="M93" s="1808"/>
    </row>
    <row r="94" spans="1:13">
      <c r="A94" s="1776" t="s">
        <v>19</v>
      </c>
      <c r="B94" s="1808">
        <v>2427</v>
      </c>
      <c r="C94" s="1808">
        <v>1363</v>
      </c>
      <c r="D94" s="1808">
        <v>1064</v>
      </c>
      <c r="E94" s="1808">
        <v>34141</v>
      </c>
      <c r="F94" s="1808"/>
      <c r="G94" s="1808">
        <v>32699</v>
      </c>
      <c r="H94" s="1808">
        <v>28530</v>
      </c>
      <c r="I94" s="1808">
        <v>29428</v>
      </c>
      <c r="J94" s="1808">
        <v>4713</v>
      </c>
      <c r="K94" s="1808"/>
      <c r="L94" s="1808"/>
      <c r="M94" s="1808"/>
    </row>
    <row r="95" spans="1:13">
      <c r="A95" s="1776" t="s">
        <v>20</v>
      </c>
      <c r="B95" s="1808">
        <v>2443</v>
      </c>
      <c r="C95" s="1808">
        <v>1373</v>
      </c>
      <c r="D95" s="1808">
        <v>1070</v>
      </c>
      <c r="E95" s="1808">
        <v>38772</v>
      </c>
      <c r="F95" s="1808"/>
      <c r="G95" s="1808">
        <v>37415</v>
      </c>
      <c r="H95" s="1808">
        <v>29858</v>
      </c>
      <c r="I95" s="1808">
        <v>30675</v>
      </c>
      <c r="J95" s="1808">
        <v>8097</v>
      </c>
      <c r="K95" s="1808"/>
      <c r="L95" s="1808"/>
      <c r="M95" s="1808"/>
    </row>
    <row r="96" spans="1:13">
      <c r="A96" s="1776" t="s">
        <v>21</v>
      </c>
      <c r="B96" s="1808">
        <v>2479</v>
      </c>
      <c r="C96" s="1808">
        <v>1395</v>
      </c>
      <c r="D96" s="1808">
        <v>1084</v>
      </c>
      <c r="E96" s="1808">
        <v>42790</v>
      </c>
      <c r="F96" s="1808"/>
      <c r="G96" s="1808">
        <v>41227</v>
      </c>
      <c r="H96" s="1808">
        <v>31696</v>
      </c>
      <c r="I96" s="1808">
        <v>32613</v>
      </c>
      <c r="J96" s="1808">
        <v>10177</v>
      </c>
      <c r="K96" s="1808"/>
      <c r="L96" s="1808"/>
      <c r="M96" s="1808"/>
    </row>
    <row r="97" spans="1:13">
      <c r="A97" s="1776" t="s">
        <v>22</v>
      </c>
      <c r="B97" s="1808">
        <v>2462</v>
      </c>
      <c r="C97" s="1808">
        <v>1379</v>
      </c>
      <c r="D97" s="1808">
        <v>1083</v>
      </c>
      <c r="E97" s="1808">
        <v>48582</v>
      </c>
      <c r="F97" s="1808"/>
      <c r="G97" s="1808">
        <v>47120</v>
      </c>
      <c r="H97" s="1808">
        <v>34197</v>
      </c>
      <c r="I97" s="1808">
        <v>35110</v>
      </c>
      <c r="J97" s="1808">
        <v>13472</v>
      </c>
      <c r="K97" s="1808"/>
      <c r="L97" s="1808"/>
      <c r="M97" s="1808"/>
    </row>
    <row r="98" spans="1:13">
      <c r="A98" s="1776" t="s">
        <v>23</v>
      </c>
      <c r="B98" s="1808">
        <v>2476</v>
      </c>
      <c r="C98" s="1808">
        <v>1389</v>
      </c>
      <c r="D98" s="1808">
        <v>1087</v>
      </c>
      <c r="E98" s="1808">
        <v>52413</v>
      </c>
      <c r="F98" s="1808"/>
      <c r="G98" s="1808">
        <v>50955</v>
      </c>
      <c r="H98" s="1808">
        <v>36175</v>
      </c>
      <c r="I98" s="1808">
        <v>37079</v>
      </c>
      <c r="J98" s="1808">
        <v>15334</v>
      </c>
      <c r="K98" s="1808"/>
      <c r="L98" s="1808"/>
      <c r="M98" s="1808"/>
    </row>
    <row r="99" spans="1:13" ht="13.5" customHeight="1">
      <c r="A99" s="1776" t="s">
        <v>24</v>
      </c>
      <c r="B99" s="1808">
        <v>2493</v>
      </c>
      <c r="C99" s="1808">
        <v>1399</v>
      </c>
      <c r="D99" s="1808">
        <v>1094</v>
      </c>
      <c r="E99" s="1808">
        <v>53988</v>
      </c>
      <c r="F99" s="1808"/>
      <c r="G99" s="1808">
        <v>52533</v>
      </c>
      <c r="H99" s="1808">
        <v>36285</v>
      </c>
      <c r="I99" s="1808">
        <v>37189</v>
      </c>
      <c r="J99" s="1808">
        <v>16799</v>
      </c>
      <c r="K99" s="1808"/>
      <c r="L99" s="1808"/>
      <c r="M99" s="1808"/>
    </row>
    <row r="100" spans="1:13" ht="13.5" customHeight="1">
      <c r="A100" s="1776" t="s">
        <v>25</v>
      </c>
      <c r="B100" s="1808">
        <v>2510</v>
      </c>
      <c r="C100" s="1808">
        <v>1413</v>
      </c>
      <c r="D100" s="1808">
        <v>1097</v>
      </c>
      <c r="E100" s="1808">
        <v>56731</v>
      </c>
      <c r="F100" s="1808"/>
      <c r="G100" s="1808">
        <v>55300</v>
      </c>
      <c r="H100" s="1808">
        <v>38102</v>
      </c>
      <c r="I100" s="1808">
        <v>38990</v>
      </c>
      <c r="J100" s="1808">
        <v>17741</v>
      </c>
      <c r="K100" s="1808"/>
      <c r="L100" s="1808"/>
      <c r="M100" s="1808"/>
    </row>
    <row r="101" spans="1:13" ht="13.5" customHeight="1">
      <c r="A101" s="1776" t="s">
        <v>26</v>
      </c>
      <c r="B101" s="1808">
        <v>2543</v>
      </c>
      <c r="C101" s="1808">
        <v>1440</v>
      </c>
      <c r="D101" s="1808">
        <v>1103</v>
      </c>
      <c r="E101" s="1808">
        <v>58609</v>
      </c>
      <c r="F101" s="1808"/>
      <c r="G101" s="1808">
        <v>57185</v>
      </c>
      <c r="H101" s="1808">
        <v>39280</v>
      </c>
      <c r="I101" s="1808">
        <v>40165</v>
      </c>
      <c r="J101" s="1808">
        <v>18444</v>
      </c>
      <c r="K101" s="1808"/>
      <c r="L101" s="1808"/>
      <c r="M101" s="1808"/>
    </row>
    <row r="102" spans="1:13" ht="13.5" customHeight="1">
      <c r="A102" s="1776" t="s">
        <v>27</v>
      </c>
      <c r="B102" s="1808">
        <v>2556</v>
      </c>
      <c r="C102" s="1808">
        <v>1447</v>
      </c>
      <c r="D102" s="1808">
        <v>1109</v>
      </c>
      <c r="E102" s="1808">
        <v>64297</v>
      </c>
      <c r="F102" s="1808"/>
      <c r="G102" s="1808">
        <v>62876</v>
      </c>
      <c r="H102" s="1808">
        <v>42902</v>
      </c>
      <c r="I102" s="1808">
        <v>43767</v>
      </c>
      <c r="J102" s="1808">
        <v>20530</v>
      </c>
      <c r="K102" s="1808"/>
      <c r="L102" s="1808"/>
      <c r="M102" s="1808"/>
    </row>
    <row r="103" spans="1:13" ht="13.5" customHeight="1">
      <c r="A103" s="1776" t="s">
        <v>28</v>
      </c>
      <c r="B103" s="1808">
        <v>2586</v>
      </c>
      <c r="C103" s="1808">
        <v>1460</v>
      </c>
      <c r="D103" s="1808">
        <f>B103-C103</f>
        <v>1126</v>
      </c>
      <c r="E103" s="1808">
        <v>68676</v>
      </c>
      <c r="F103" s="1808"/>
      <c r="G103" s="1808">
        <v>67227</v>
      </c>
      <c r="H103" s="1808">
        <v>46384</v>
      </c>
      <c r="I103" s="1808">
        <v>47250</v>
      </c>
      <c r="J103" s="1808">
        <f>E103-I103</f>
        <v>21426</v>
      </c>
      <c r="K103" s="1808"/>
      <c r="L103" s="1808"/>
      <c r="M103" s="1808"/>
    </row>
    <row r="104" spans="1:13" ht="13.5" customHeight="1">
      <c r="A104" s="1786" t="s">
        <v>29</v>
      </c>
      <c r="B104" s="1808">
        <v>2608</v>
      </c>
      <c r="C104" s="1808">
        <v>1471</v>
      </c>
      <c r="D104" s="1808">
        <f>B104-C104</f>
        <v>1137</v>
      </c>
      <c r="E104" s="1808">
        <v>73013</v>
      </c>
      <c r="F104" s="1808"/>
      <c r="G104" s="1808">
        <v>71553</v>
      </c>
      <c r="H104" s="1808">
        <v>49187</v>
      </c>
      <c r="I104" s="1808">
        <v>50050</v>
      </c>
      <c r="J104" s="1808">
        <f>E104-I104</f>
        <v>22963</v>
      </c>
      <c r="K104" s="1811"/>
      <c r="L104" s="1811"/>
      <c r="M104" s="1811"/>
    </row>
    <row r="105" spans="1:13" ht="13.5" customHeight="1">
      <c r="A105" s="1786" t="s">
        <v>1855</v>
      </c>
      <c r="B105" s="1811">
        <v>2694</v>
      </c>
      <c r="C105" s="1811">
        <v>1502</v>
      </c>
      <c r="D105" s="1811">
        <v>1192</v>
      </c>
      <c r="E105" s="1811">
        <v>80301</v>
      </c>
      <c r="F105" s="1811"/>
      <c r="G105" s="1811">
        <v>78762</v>
      </c>
      <c r="H105" s="1811">
        <v>47985</v>
      </c>
      <c r="I105" s="1811">
        <v>48944</v>
      </c>
      <c r="J105" s="1811">
        <v>31357</v>
      </c>
      <c r="K105" s="1808"/>
      <c r="L105" s="1808"/>
      <c r="M105" s="1808"/>
    </row>
    <row r="106" spans="1:13" ht="13.5" customHeight="1">
      <c r="A106" s="1786" t="s">
        <v>18</v>
      </c>
      <c r="B106" s="1808">
        <v>2618</v>
      </c>
      <c r="C106" s="1808">
        <v>1480</v>
      </c>
      <c r="D106" s="1808">
        <v>1138</v>
      </c>
      <c r="E106" s="1808">
        <v>74584</v>
      </c>
      <c r="F106" s="1808"/>
      <c r="G106" s="1808">
        <v>73159</v>
      </c>
      <c r="H106" s="1808">
        <v>49405</v>
      </c>
      <c r="I106" s="1808">
        <v>50294</v>
      </c>
      <c r="J106" s="1808">
        <v>24290</v>
      </c>
      <c r="K106" s="1808"/>
      <c r="L106" s="1808"/>
      <c r="M106" s="1808"/>
    </row>
    <row r="107" spans="1:13" ht="13.5" customHeight="1">
      <c r="A107" s="1786" t="s">
        <v>19</v>
      </c>
      <c r="B107" s="1808">
        <v>2622</v>
      </c>
      <c r="C107" s="1808">
        <v>1477</v>
      </c>
      <c r="D107" s="1808">
        <v>1145</v>
      </c>
      <c r="E107" s="1808">
        <v>77041</v>
      </c>
      <c r="F107" s="1808"/>
      <c r="G107" s="1808">
        <v>75816</v>
      </c>
      <c r="H107" s="1808">
        <v>49699</v>
      </c>
      <c r="I107" s="1808">
        <v>50387</v>
      </c>
      <c r="J107" s="1808">
        <v>26654</v>
      </c>
      <c r="K107" s="1808"/>
      <c r="L107" s="1808"/>
      <c r="M107" s="1808"/>
    </row>
    <row r="108" spans="1:13" ht="13.5" customHeight="1">
      <c r="A108" s="1786" t="s">
        <v>20</v>
      </c>
      <c r="B108" s="1808">
        <v>2633</v>
      </c>
      <c r="C108" s="1808">
        <v>1481</v>
      </c>
      <c r="D108" s="1808">
        <f>B108-C108</f>
        <v>1152</v>
      </c>
      <c r="E108" s="1808">
        <v>77631</v>
      </c>
      <c r="F108" s="1808"/>
      <c r="G108" s="1808">
        <v>76219</v>
      </c>
      <c r="H108" s="1808">
        <v>49323</v>
      </c>
      <c r="I108" s="1808">
        <v>50229</v>
      </c>
      <c r="J108" s="1808">
        <f>E108-I108</f>
        <v>27402</v>
      </c>
      <c r="K108" s="1808"/>
      <c r="L108" s="1808"/>
      <c r="M108" s="1808"/>
    </row>
    <row r="109" spans="1:13" ht="13.5" customHeight="1">
      <c r="A109" s="1786" t="s">
        <v>21</v>
      </c>
      <c r="B109" s="1808">
        <v>2642</v>
      </c>
      <c r="C109" s="1808">
        <v>1484</v>
      </c>
      <c r="D109" s="1808">
        <v>1158</v>
      </c>
      <c r="E109" s="1808">
        <v>78039</v>
      </c>
      <c r="F109" s="1808"/>
      <c r="G109" s="1808">
        <v>76605</v>
      </c>
      <c r="H109" s="1808">
        <v>48920</v>
      </c>
      <c r="I109" s="1808">
        <v>49824</v>
      </c>
      <c r="J109" s="1808">
        <v>28215</v>
      </c>
      <c r="K109" s="1808"/>
      <c r="L109" s="1808"/>
      <c r="M109" s="1808"/>
    </row>
    <row r="110" spans="1:13" ht="13.5" customHeight="1">
      <c r="A110" s="1786" t="s">
        <v>22</v>
      </c>
      <c r="B110" s="1808">
        <v>2670</v>
      </c>
      <c r="C110" s="1808">
        <v>1506</v>
      </c>
      <c r="D110" s="1808">
        <v>1164</v>
      </c>
      <c r="E110" s="1808">
        <v>78324</v>
      </c>
      <c r="F110" s="1808"/>
      <c r="G110" s="1808">
        <v>76892</v>
      </c>
      <c r="H110" s="1808">
        <v>48958</v>
      </c>
      <c r="I110" s="1808">
        <v>49815</v>
      </c>
      <c r="J110" s="1808">
        <v>28509</v>
      </c>
      <c r="K110" s="1808"/>
      <c r="L110" s="1808"/>
      <c r="M110" s="1808"/>
    </row>
    <row r="111" spans="1:13" ht="13.5" customHeight="1">
      <c r="A111" s="1786" t="s">
        <v>23</v>
      </c>
      <c r="B111" s="1808">
        <v>2703</v>
      </c>
      <c r="C111" s="1808">
        <v>1530</v>
      </c>
      <c r="D111" s="1808">
        <v>1173</v>
      </c>
      <c r="E111" s="1808">
        <v>78264</v>
      </c>
      <c r="F111" s="1808"/>
      <c r="G111" s="1808">
        <v>76832</v>
      </c>
      <c r="H111" s="1808">
        <v>48584</v>
      </c>
      <c r="I111" s="1808">
        <v>49438</v>
      </c>
      <c r="J111" s="1808">
        <v>28826</v>
      </c>
      <c r="K111" s="1808"/>
      <c r="L111" s="1808"/>
      <c r="M111" s="1808"/>
    </row>
    <row r="112" spans="1:13" ht="13.5" customHeight="1">
      <c r="A112" s="1786" t="s">
        <v>24</v>
      </c>
      <c r="B112" s="1808">
        <v>2685</v>
      </c>
      <c r="C112" s="1808">
        <v>1507</v>
      </c>
      <c r="D112" s="1808">
        <v>1178</v>
      </c>
      <c r="E112" s="1808">
        <v>77959</v>
      </c>
      <c r="F112" s="1808"/>
      <c r="G112" s="1808">
        <v>76515</v>
      </c>
      <c r="H112" s="1808">
        <v>48245</v>
      </c>
      <c r="I112" s="1808">
        <v>49110</v>
      </c>
      <c r="J112" s="1808">
        <v>28849</v>
      </c>
      <c r="K112" s="1808"/>
      <c r="L112" s="1808"/>
      <c r="M112" s="1808"/>
    </row>
    <row r="113" spans="1:13" ht="13.5" customHeight="1">
      <c r="A113" s="1786" t="s">
        <v>25</v>
      </c>
      <c r="B113" s="1808">
        <v>2702</v>
      </c>
      <c r="C113" s="1808">
        <v>1518</v>
      </c>
      <c r="D113" s="1808">
        <v>1194</v>
      </c>
      <c r="E113" s="1808">
        <v>77913</v>
      </c>
      <c r="F113" s="1808"/>
      <c r="G113" s="1808">
        <v>76438</v>
      </c>
      <c r="H113" s="1808">
        <v>48156</v>
      </c>
      <c r="I113" s="1808">
        <v>49053</v>
      </c>
      <c r="J113" s="1808">
        <v>28860</v>
      </c>
      <c r="K113" s="1808"/>
      <c r="L113" s="1808"/>
      <c r="M113" s="1808"/>
    </row>
    <row r="114" spans="1:13" ht="13.5" customHeight="1">
      <c r="A114" s="1786" t="s">
        <v>26</v>
      </c>
      <c r="B114" s="1808">
        <v>2707</v>
      </c>
      <c r="C114" s="1808">
        <v>1522</v>
      </c>
      <c r="D114" s="1808">
        <v>1185</v>
      </c>
      <c r="E114" s="1808">
        <v>77170</v>
      </c>
      <c r="F114" s="1808"/>
      <c r="G114" s="1808">
        <v>75691</v>
      </c>
      <c r="H114" s="1808">
        <v>47587</v>
      </c>
      <c r="I114" s="1808">
        <v>48478</v>
      </c>
      <c r="J114" s="1808">
        <v>28692</v>
      </c>
      <c r="K114" s="1808"/>
      <c r="L114" s="1808"/>
      <c r="M114" s="1808"/>
    </row>
    <row r="115" spans="1:13" ht="13.5" customHeight="1">
      <c r="A115" s="1786" t="s">
        <v>27</v>
      </c>
      <c r="B115" s="1808">
        <v>2711</v>
      </c>
      <c r="C115" s="1808">
        <v>1525</v>
      </c>
      <c r="D115" s="1808">
        <v>1186</v>
      </c>
      <c r="E115" s="1808">
        <v>76932</v>
      </c>
      <c r="F115" s="1808"/>
      <c r="G115" s="1808">
        <v>75461</v>
      </c>
      <c r="H115" s="1808">
        <v>47395</v>
      </c>
      <c r="I115" s="1808">
        <v>48278</v>
      </c>
      <c r="J115" s="1808">
        <v>28654</v>
      </c>
      <c r="K115" s="1808"/>
      <c r="L115" s="1808"/>
      <c r="M115" s="1808"/>
    </row>
    <row r="116" spans="1:13" ht="13.5" customHeight="1">
      <c r="A116" s="1786" t="s">
        <v>28</v>
      </c>
      <c r="B116" s="1808">
        <v>2695</v>
      </c>
      <c r="C116" s="1808">
        <v>1509</v>
      </c>
      <c r="D116" s="1808">
        <v>1186</v>
      </c>
      <c r="E116" s="1808">
        <v>76210</v>
      </c>
      <c r="F116" s="1808"/>
      <c r="G116" s="1808">
        <v>74733</v>
      </c>
      <c r="H116" s="1808">
        <v>46537</v>
      </c>
      <c r="I116" s="1808">
        <v>47427</v>
      </c>
      <c r="J116" s="1808">
        <v>28783</v>
      </c>
      <c r="K116" s="1808"/>
      <c r="L116" s="1808"/>
      <c r="M116" s="1808"/>
    </row>
    <row r="117" spans="1:13" ht="13.5" customHeight="1">
      <c r="A117" s="1786" t="s">
        <v>29</v>
      </c>
      <c r="B117" s="1808">
        <v>2694</v>
      </c>
      <c r="C117" s="1808">
        <v>1502</v>
      </c>
      <c r="D117" s="1808">
        <v>1192</v>
      </c>
      <c r="E117" s="1808">
        <v>80301</v>
      </c>
      <c r="F117" s="1808"/>
      <c r="G117" s="1808">
        <v>78762</v>
      </c>
      <c r="H117" s="1808">
        <v>47985</v>
      </c>
      <c r="I117" s="1808">
        <v>48944</v>
      </c>
      <c r="J117" s="1808">
        <v>31357</v>
      </c>
      <c r="K117" s="1811"/>
      <c r="L117" s="1811"/>
      <c r="M117" s="1811"/>
    </row>
    <row r="118" spans="1:13" ht="13.5" customHeight="1">
      <c r="A118" s="1786" t="s">
        <v>1879</v>
      </c>
      <c r="B118" s="1811">
        <v>2471</v>
      </c>
      <c r="C118" s="1811">
        <v>1332</v>
      </c>
      <c r="D118" s="1811">
        <v>1139</v>
      </c>
      <c r="E118" s="1811">
        <v>71959</v>
      </c>
      <c r="F118" s="1811">
        <v>9763</v>
      </c>
      <c r="G118" s="1811">
        <v>70914</v>
      </c>
      <c r="H118" s="1811">
        <v>39655</v>
      </c>
      <c r="I118" s="1811">
        <v>40534</v>
      </c>
      <c r="J118" s="1811">
        <v>31425</v>
      </c>
      <c r="K118" s="1811">
        <v>1289</v>
      </c>
      <c r="L118" s="1811">
        <v>730</v>
      </c>
      <c r="M118" s="1811">
        <v>559</v>
      </c>
    </row>
    <row r="119" spans="1:13" ht="13.5" customHeight="1">
      <c r="A119" s="1786" t="s">
        <v>18</v>
      </c>
      <c r="B119" s="1808">
        <v>2588</v>
      </c>
      <c r="C119" s="1808">
        <v>1432</v>
      </c>
      <c r="D119" s="1808">
        <v>1156</v>
      </c>
      <c r="E119" s="1808">
        <v>78579</v>
      </c>
      <c r="F119" s="1808">
        <v>4584</v>
      </c>
      <c r="G119" s="1808">
        <v>77124</v>
      </c>
      <c r="H119" s="1808">
        <v>44808</v>
      </c>
      <c r="I119" s="1808">
        <v>45690</v>
      </c>
      <c r="J119" s="1808">
        <v>32889</v>
      </c>
      <c r="K119" s="1808">
        <v>1021</v>
      </c>
      <c r="L119" s="1808">
        <v>530</v>
      </c>
      <c r="M119" s="1808">
        <v>491</v>
      </c>
    </row>
    <row r="120" spans="1:13" ht="13.5" customHeight="1">
      <c r="A120" s="1786" t="s">
        <v>19</v>
      </c>
      <c r="B120" s="1808">
        <v>2577</v>
      </c>
      <c r="C120" s="1808">
        <v>1432</v>
      </c>
      <c r="D120" s="1808">
        <v>1145</v>
      </c>
      <c r="E120" s="1808">
        <v>77377</v>
      </c>
      <c r="F120" s="1808">
        <v>4589</v>
      </c>
      <c r="G120" s="1808">
        <v>75919</v>
      </c>
      <c r="H120" s="1808">
        <v>43837</v>
      </c>
      <c r="I120" s="1808">
        <v>44727</v>
      </c>
      <c r="J120" s="1808">
        <v>32650</v>
      </c>
      <c r="K120" s="1808">
        <v>1057</v>
      </c>
      <c r="L120" s="1808">
        <v>534</v>
      </c>
      <c r="M120" s="1808">
        <v>523</v>
      </c>
    </row>
    <row r="121" spans="1:13" ht="13.5" customHeight="1">
      <c r="A121" s="1786" t="s">
        <v>20</v>
      </c>
      <c r="B121" s="1808">
        <v>2575</v>
      </c>
      <c r="C121" s="1808">
        <v>1429</v>
      </c>
      <c r="D121" s="1808">
        <v>1146</v>
      </c>
      <c r="E121" s="1808">
        <v>75690</v>
      </c>
      <c r="F121" s="1808">
        <v>8509</v>
      </c>
      <c r="G121" s="1808">
        <v>74272</v>
      </c>
      <c r="H121" s="1808">
        <v>42675</v>
      </c>
      <c r="I121" s="1808">
        <v>43491</v>
      </c>
      <c r="J121" s="1808">
        <v>32199</v>
      </c>
      <c r="K121" s="1808">
        <v>1187</v>
      </c>
      <c r="L121" s="1808">
        <v>656</v>
      </c>
      <c r="M121" s="1808">
        <v>531</v>
      </c>
    </row>
    <row r="122" spans="1:13" ht="13.5" customHeight="1">
      <c r="A122" s="1786" t="s">
        <v>21</v>
      </c>
      <c r="B122" s="1808">
        <v>2568</v>
      </c>
      <c r="C122" s="1808">
        <v>1420</v>
      </c>
      <c r="D122" s="1808">
        <v>1148</v>
      </c>
      <c r="E122" s="1808">
        <v>74088</v>
      </c>
      <c r="F122" s="1808">
        <v>8668</v>
      </c>
      <c r="G122" s="1808">
        <v>72677</v>
      </c>
      <c r="H122" s="1808">
        <v>41974</v>
      </c>
      <c r="I122" s="1808">
        <v>42778</v>
      </c>
      <c r="J122" s="1808">
        <v>31310</v>
      </c>
      <c r="K122" s="1808">
        <v>1216</v>
      </c>
      <c r="L122" s="1808">
        <v>674</v>
      </c>
      <c r="M122" s="1808">
        <v>542</v>
      </c>
    </row>
    <row r="123" spans="1:13" ht="13.5" customHeight="1">
      <c r="A123" s="1786" t="s">
        <v>22</v>
      </c>
      <c r="B123" s="1808">
        <v>2588</v>
      </c>
      <c r="C123" s="1808">
        <v>1429</v>
      </c>
      <c r="D123" s="1808">
        <v>1159</v>
      </c>
      <c r="E123" s="1808">
        <v>74073</v>
      </c>
      <c r="F123" s="1808">
        <v>8981</v>
      </c>
      <c r="G123" s="1808">
        <v>72637</v>
      </c>
      <c r="H123" s="1808">
        <v>41893</v>
      </c>
      <c r="I123" s="1808">
        <v>42724</v>
      </c>
      <c r="J123" s="1808">
        <v>31349</v>
      </c>
      <c r="K123" s="1808">
        <v>1250</v>
      </c>
      <c r="L123" s="1808">
        <v>695</v>
      </c>
      <c r="M123" s="1808">
        <v>555</v>
      </c>
    </row>
    <row r="124" spans="1:13" ht="13.5" customHeight="1">
      <c r="A124" s="1786" t="s">
        <v>23</v>
      </c>
      <c r="B124" s="1808">
        <v>2609</v>
      </c>
      <c r="C124" s="1808">
        <v>1435</v>
      </c>
      <c r="D124" s="1808">
        <v>1174</v>
      </c>
      <c r="E124" s="1808">
        <v>73350</v>
      </c>
      <c r="F124" s="1808">
        <v>9186</v>
      </c>
      <c r="G124" s="1808">
        <v>71899</v>
      </c>
      <c r="H124" s="1808">
        <v>41232</v>
      </c>
      <c r="I124" s="1808">
        <v>42079</v>
      </c>
      <c r="J124" s="1808">
        <v>31271</v>
      </c>
      <c r="K124" s="1808">
        <v>1304</v>
      </c>
      <c r="L124" s="1808">
        <v>719</v>
      </c>
      <c r="M124" s="1808">
        <v>585</v>
      </c>
    </row>
    <row r="125" spans="1:13" ht="13.5" customHeight="1">
      <c r="A125" s="1786" t="s">
        <v>24</v>
      </c>
      <c r="B125" s="1808">
        <v>2552</v>
      </c>
      <c r="C125" s="1808">
        <v>1406</v>
      </c>
      <c r="D125" s="1808">
        <v>1146</v>
      </c>
      <c r="E125" s="1808">
        <v>70620</v>
      </c>
      <c r="F125" s="1808">
        <v>9265</v>
      </c>
      <c r="G125" s="1808">
        <v>69527</v>
      </c>
      <c r="H125" s="1808">
        <v>38998</v>
      </c>
      <c r="I125" s="1808">
        <v>39586</v>
      </c>
      <c r="J125" s="1808">
        <v>31034</v>
      </c>
      <c r="K125" s="1808">
        <v>1330</v>
      </c>
      <c r="L125" s="1808">
        <v>733</v>
      </c>
      <c r="M125" s="1808">
        <v>597</v>
      </c>
    </row>
    <row r="126" spans="1:13" ht="13.5" customHeight="1">
      <c r="A126" s="1786" t="s">
        <v>25</v>
      </c>
      <c r="B126" s="1808">
        <v>2563</v>
      </c>
      <c r="C126" s="1808">
        <v>1411</v>
      </c>
      <c r="D126" s="1808">
        <v>1152</v>
      </c>
      <c r="E126" s="1808">
        <v>70446</v>
      </c>
      <c r="F126" s="1808">
        <v>9467</v>
      </c>
      <c r="G126" s="1808">
        <v>69348</v>
      </c>
      <c r="H126" s="1808">
        <v>38933</v>
      </c>
      <c r="I126" s="1808">
        <v>39447</v>
      </c>
      <c r="J126" s="1808">
        <v>30999</v>
      </c>
      <c r="K126" s="1808">
        <v>1357</v>
      </c>
      <c r="L126" s="1808">
        <v>752</v>
      </c>
      <c r="M126" s="1808">
        <v>605</v>
      </c>
    </row>
    <row r="127" spans="1:13" ht="13.5" customHeight="1">
      <c r="A127" s="1786" t="s">
        <v>26</v>
      </c>
      <c r="B127" s="1808">
        <v>2562</v>
      </c>
      <c r="C127" s="1808">
        <v>1408</v>
      </c>
      <c r="D127" s="1808">
        <v>1154</v>
      </c>
      <c r="E127" s="1808">
        <v>74527</v>
      </c>
      <c r="F127" s="1808">
        <v>9579</v>
      </c>
      <c r="G127" s="1808">
        <v>73478</v>
      </c>
      <c r="H127" s="1808">
        <v>41173</v>
      </c>
      <c r="I127" s="1808">
        <v>41662</v>
      </c>
      <c r="J127" s="1808">
        <v>32865</v>
      </c>
      <c r="K127" s="1808">
        <v>1356</v>
      </c>
      <c r="L127" s="1808">
        <v>751</v>
      </c>
      <c r="M127" s="1808">
        <v>605</v>
      </c>
    </row>
    <row r="128" spans="1:13" ht="13.5" customHeight="1">
      <c r="A128" s="1786" t="s">
        <v>27</v>
      </c>
      <c r="B128" s="1808">
        <v>2459</v>
      </c>
      <c r="C128" s="1808">
        <v>1326</v>
      </c>
      <c r="D128" s="1808">
        <v>1133</v>
      </c>
      <c r="E128" s="1808">
        <v>68295</v>
      </c>
      <c r="F128" s="1808">
        <v>9646</v>
      </c>
      <c r="G128" s="1808">
        <v>67108</v>
      </c>
      <c r="H128" s="1808">
        <v>37648</v>
      </c>
      <c r="I128" s="1808">
        <v>38303</v>
      </c>
      <c r="J128" s="1808">
        <v>29992</v>
      </c>
      <c r="K128" s="1808">
        <v>1341</v>
      </c>
      <c r="L128" s="1808">
        <v>740</v>
      </c>
      <c r="M128" s="1808">
        <v>601</v>
      </c>
    </row>
    <row r="129" spans="1:13" ht="13.5" customHeight="1">
      <c r="A129" s="1786" t="s">
        <v>28</v>
      </c>
      <c r="B129" s="1808">
        <v>2467</v>
      </c>
      <c r="C129" s="1808">
        <v>1332</v>
      </c>
      <c r="D129" s="1808">
        <v>1135</v>
      </c>
      <c r="E129" s="1808">
        <v>73318</v>
      </c>
      <c r="F129" s="1808">
        <v>9591</v>
      </c>
      <c r="G129" s="1808">
        <v>72278</v>
      </c>
      <c r="H129" s="1808">
        <v>40051</v>
      </c>
      <c r="I129" s="1808">
        <v>40557</v>
      </c>
      <c r="J129" s="1808">
        <v>32761</v>
      </c>
      <c r="K129" s="1808">
        <v>1348</v>
      </c>
      <c r="L129" s="1808">
        <v>746</v>
      </c>
      <c r="M129" s="1808">
        <v>602</v>
      </c>
    </row>
    <row r="130" spans="1:13" ht="13.5" customHeight="1">
      <c r="A130" s="1786" t="s">
        <v>29</v>
      </c>
      <c r="B130" s="1808">
        <v>2471</v>
      </c>
      <c r="C130" s="1808">
        <v>1332</v>
      </c>
      <c r="D130" s="1808">
        <v>1139</v>
      </c>
      <c r="E130" s="1808">
        <v>71959</v>
      </c>
      <c r="F130" s="1808">
        <v>9763</v>
      </c>
      <c r="G130" s="1808">
        <v>70914</v>
      </c>
      <c r="H130" s="1808">
        <v>39655</v>
      </c>
      <c r="I130" s="1808">
        <v>40534</v>
      </c>
      <c r="J130" s="1808">
        <v>31425</v>
      </c>
      <c r="K130" s="1812">
        <v>1289</v>
      </c>
      <c r="L130" s="1812">
        <v>730</v>
      </c>
      <c r="M130" s="1812">
        <v>559</v>
      </c>
    </row>
    <row r="131" spans="1:13" ht="13.5" customHeight="1">
      <c r="A131" s="1786" t="s">
        <v>1942</v>
      </c>
      <c r="B131" s="1811">
        <v>2461</v>
      </c>
      <c r="C131" s="1811">
        <v>1326</v>
      </c>
      <c r="D131" s="1811">
        <v>1135</v>
      </c>
      <c r="E131" s="1811">
        <v>65637</v>
      </c>
      <c r="F131" s="1811">
        <v>19417</v>
      </c>
      <c r="G131" s="1811">
        <v>64225</v>
      </c>
      <c r="H131" s="1811">
        <v>36415</v>
      </c>
      <c r="I131" s="1811">
        <v>37091</v>
      </c>
      <c r="J131" s="1811">
        <v>28546</v>
      </c>
      <c r="K131" s="1811">
        <v>1460</v>
      </c>
      <c r="L131" s="1811">
        <v>819</v>
      </c>
      <c r="M131" s="1811">
        <v>641</v>
      </c>
    </row>
    <row r="132" spans="1:13" ht="13.5" customHeight="1">
      <c r="A132" s="1786" t="s">
        <v>18</v>
      </c>
      <c r="B132" s="1808">
        <v>2479</v>
      </c>
      <c r="C132" s="1808">
        <v>1343</v>
      </c>
      <c r="D132" s="1808">
        <v>1136</v>
      </c>
      <c r="E132" s="1808">
        <v>71317</v>
      </c>
      <c r="F132" s="1808">
        <v>9834</v>
      </c>
      <c r="G132" s="1808">
        <v>70338</v>
      </c>
      <c r="H132" s="1808">
        <v>39587</v>
      </c>
      <c r="I132" s="1808">
        <v>40019</v>
      </c>
      <c r="J132" s="1808">
        <v>31298</v>
      </c>
      <c r="K132" s="1808">
        <v>1290</v>
      </c>
      <c r="L132" s="1808">
        <v>731</v>
      </c>
      <c r="M132" s="1808">
        <v>559</v>
      </c>
    </row>
    <row r="133" spans="1:13" ht="13.5" customHeight="1">
      <c r="A133" s="1786" t="s">
        <v>19</v>
      </c>
      <c r="B133" s="1808">
        <v>2482</v>
      </c>
      <c r="C133" s="1808">
        <v>1345</v>
      </c>
      <c r="D133" s="1808">
        <v>1137</v>
      </c>
      <c r="E133" s="1808">
        <v>71102</v>
      </c>
      <c r="F133" s="1808">
        <v>9752</v>
      </c>
      <c r="G133" s="1808">
        <v>70166</v>
      </c>
      <c r="H133" s="1808">
        <v>39489</v>
      </c>
      <c r="I133" s="1808">
        <v>39863</v>
      </c>
      <c r="J133" s="1808">
        <v>31239</v>
      </c>
      <c r="K133" s="1808">
        <v>1295</v>
      </c>
      <c r="L133" s="1808">
        <v>737</v>
      </c>
      <c r="M133" s="1808">
        <v>558</v>
      </c>
    </row>
    <row r="134" spans="1:13" ht="13.5" customHeight="1">
      <c r="A134" s="1786" t="s">
        <v>20</v>
      </c>
      <c r="B134" s="1808">
        <v>2493</v>
      </c>
      <c r="C134" s="1808">
        <v>1352</v>
      </c>
      <c r="D134" s="1808">
        <v>1141</v>
      </c>
      <c r="E134" s="1808">
        <v>70945</v>
      </c>
      <c r="F134" s="1808">
        <v>9808</v>
      </c>
      <c r="G134" s="1808">
        <v>70000</v>
      </c>
      <c r="H134" s="1808">
        <v>39432</v>
      </c>
      <c r="I134" s="1808">
        <v>39852</v>
      </c>
      <c r="J134" s="1808">
        <v>31093</v>
      </c>
      <c r="K134" s="1808">
        <v>1305</v>
      </c>
      <c r="L134" s="1808">
        <v>749</v>
      </c>
      <c r="M134" s="1808">
        <v>556</v>
      </c>
    </row>
    <row r="135" spans="1:13" ht="13.5" customHeight="1">
      <c r="A135" s="1786" t="s">
        <v>21</v>
      </c>
      <c r="B135" s="1808">
        <v>2515</v>
      </c>
      <c r="C135" s="1808">
        <v>1370</v>
      </c>
      <c r="D135" s="1808">
        <v>1145</v>
      </c>
      <c r="E135" s="1808">
        <v>70766</v>
      </c>
      <c r="F135" s="1808">
        <v>9968</v>
      </c>
      <c r="G135" s="1808">
        <v>69707</v>
      </c>
      <c r="H135" s="1808">
        <v>39279</v>
      </c>
      <c r="I135" s="1808">
        <v>39855</v>
      </c>
      <c r="J135" s="1808">
        <v>30911</v>
      </c>
      <c r="K135" s="1808">
        <v>1324</v>
      </c>
      <c r="L135" s="1808">
        <v>756</v>
      </c>
      <c r="M135" s="1808">
        <v>568</v>
      </c>
    </row>
    <row r="136" spans="1:13" ht="13.5" customHeight="1">
      <c r="A136" s="1786" t="s">
        <v>22</v>
      </c>
      <c r="B136" s="1808">
        <v>2499</v>
      </c>
      <c r="C136" s="1808">
        <v>1359</v>
      </c>
      <c r="D136" s="1808">
        <v>1140</v>
      </c>
      <c r="E136" s="1808">
        <v>70322</v>
      </c>
      <c r="F136" s="1808">
        <v>11086</v>
      </c>
      <c r="G136" s="1808">
        <v>69151</v>
      </c>
      <c r="H136" s="1808">
        <v>39134</v>
      </c>
      <c r="I136" s="1808">
        <v>39727</v>
      </c>
      <c r="J136" s="1808">
        <v>30595</v>
      </c>
      <c r="K136" s="1808">
        <v>1337</v>
      </c>
      <c r="L136" s="1808">
        <v>751</v>
      </c>
      <c r="M136" s="1808">
        <v>586</v>
      </c>
    </row>
    <row r="137" spans="1:13" ht="13.5" customHeight="1">
      <c r="A137" s="1786" t="s">
        <v>23</v>
      </c>
      <c r="B137" s="1808">
        <v>2526</v>
      </c>
      <c r="C137" s="1808">
        <v>1373</v>
      </c>
      <c r="D137" s="1808">
        <v>1153</v>
      </c>
      <c r="E137" s="1808">
        <v>70167</v>
      </c>
      <c r="F137" s="1808">
        <v>11238</v>
      </c>
      <c r="G137" s="1808">
        <v>69004</v>
      </c>
      <c r="H137" s="1808">
        <v>39194</v>
      </c>
      <c r="I137" s="1808">
        <v>39778</v>
      </c>
      <c r="J137" s="1808">
        <v>30389</v>
      </c>
      <c r="K137" s="1808">
        <v>1339</v>
      </c>
      <c r="L137" s="1808">
        <v>752</v>
      </c>
      <c r="M137" s="1808">
        <v>587</v>
      </c>
    </row>
    <row r="138" spans="1:13" ht="13.5" customHeight="1">
      <c r="A138" s="1786" t="s">
        <v>24</v>
      </c>
      <c r="B138" s="1808">
        <v>2530</v>
      </c>
      <c r="C138" s="1808">
        <v>1370</v>
      </c>
      <c r="D138" s="1808">
        <v>1160</v>
      </c>
      <c r="E138" s="1808">
        <v>69586</v>
      </c>
      <c r="F138" s="1808">
        <v>11204</v>
      </c>
      <c r="G138" s="1808">
        <v>68422</v>
      </c>
      <c r="H138" s="1808">
        <v>39020</v>
      </c>
      <c r="I138" s="1808">
        <v>39604</v>
      </c>
      <c r="J138" s="1808">
        <v>29982</v>
      </c>
      <c r="K138" s="1808">
        <v>1364</v>
      </c>
      <c r="L138" s="1808">
        <v>768</v>
      </c>
      <c r="M138" s="1808">
        <v>596</v>
      </c>
    </row>
    <row r="139" spans="1:13" ht="13.5" customHeight="1">
      <c r="A139" s="1786" t="s">
        <v>25</v>
      </c>
      <c r="B139" s="1808">
        <v>2520</v>
      </c>
      <c r="C139" s="1808">
        <v>1368</v>
      </c>
      <c r="D139" s="1808">
        <v>1152</v>
      </c>
      <c r="E139" s="1808">
        <v>68585</v>
      </c>
      <c r="F139" s="1808">
        <v>11264</v>
      </c>
      <c r="G139" s="1808">
        <v>67351</v>
      </c>
      <c r="H139" s="1808">
        <v>38158</v>
      </c>
      <c r="I139" s="1808">
        <v>38803</v>
      </c>
      <c r="J139" s="1808">
        <v>29782</v>
      </c>
      <c r="K139" s="1808">
        <v>1378</v>
      </c>
      <c r="L139" s="1808">
        <v>775</v>
      </c>
      <c r="M139" s="1808">
        <v>603</v>
      </c>
    </row>
    <row r="140" spans="1:13" ht="13.5" customHeight="1">
      <c r="A140" s="1786" t="s">
        <v>26</v>
      </c>
      <c r="B140" s="1808">
        <v>2511</v>
      </c>
      <c r="C140" s="1808">
        <v>1363</v>
      </c>
      <c r="D140" s="1808">
        <v>1148</v>
      </c>
      <c r="E140" s="1808">
        <v>67760</v>
      </c>
      <c r="F140" s="1808">
        <v>11002</v>
      </c>
      <c r="G140" s="1808">
        <v>66534</v>
      </c>
      <c r="H140" s="1808">
        <v>37569</v>
      </c>
      <c r="I140" s="1808">
        <v>38146</v>
      </c>
      <c r="J140" s="1808">
        <v>29614</v>
      </c>
      <c r="K140" s="1808">
        <v>1378</v>
      </c>
      <c r="L140" s="1808">
        <v>775</v>
      </c>
      <c r="M140" s="1808">
        <v>603</v>
      </c>
    </row>
    <row r="141" spans="1:13" ht="13.5" customHeight="1">
      <c r="A141" s="1786" t="s">
        <v>27</v>
      </c>
      <c r="B141" s="1808">
        <v>2516</v>
      </c>
      <c r="C141" s="1808">
        <v>1371</v>
      </c>
      <c r="D141" s="1808">
        <v>1145</v>
      </c>
      <c r="E141" s="1808">
        <v>66485</v>
      </c>
      <c r="F141" s="1808">
        <v>11081</v>
      </c>
      <c r="G141" s="1808">
        <v>65138</v>
      </c>
      <c r="H141" s="1808">
        <v>37438</v>
      </c>
      <c r="I141" s="1808">
        <v>38044</v>
      </c>
      <c r="J141" s="1808">
        <v>28441</v>
      </c>
      <c r="K141" s="1808">
        <v>1424</v>
      </c>
      <c r="L141" s="1808">
        <v>822</v>
      </c>
      <c r="M141" s="1808">
        <v>602</v>
      </c>
    </row>
    <row r="142" spans="1:13" ht="13.5" customHeight="1">
      <c r="A142" s="1786" t="s">
        <v>28</v>
      </c>
      <c r="B142" s="1808">
        <v>2487</v>
      </c>
      <c r="C142" s="1808">
        <v>1343</v>
      </c>
      <c r="D142" s="1808">
        <v>1144</v>
      </c>
      <c r="E142" s="1808">
        <v>66189</v>
      </c>
      <c r="F142" s="1808">
        <v>13903</v>
      </c>
      <c r="G142" s="1808">
        <v>64763</v>
      </c>
      <c r="H142" s="1808">
        <v>37230</v>
      </c>
      <c r="I142" s="1808">
        <v>37876</v>
      </c>
      <c r="J142" s="1808">
        <v>28313</v>
      </c>
      <c r="K142" s="1808">
        <v>1484</v>
      </c>
      <c r="L142" s="1808">
        <v>821</v>
      </c>
      <c r="M142" s="1808">
        <v>663</v>
      </c>
    </row>
    <row r="143" spans="1:13" ht="13.5" customHeight="1">
      <c r="A143" s="1786" t="s">
        <v>29</v>
      </c>
      <c r="B143" s="1808">
        <v>2461</v>
      </c>
      <c r="C143" s="1808">
        <v>1326</v>
      </c>
      <c r="D143" s="1808">
        <v>1135</v>
      </c>
      <c r="E143" s="1808">
        <v>65637</v>
      </c>
      <c r="F143" s="1808">
        <v>19417</v>
      </c>
      <c r="G143" s="1808">
        <v>64225</v>
      </c>
      <c r="H143" s="1808">
        <v>36415</v>
      </c>
      <c r="I143" s="1808">
        <v>37091</v>
      </c>
      <c r="J143" s="1808">
        <v>28546</v>
      </c>
      <c r="K143" s="1812">
        <v>1460</v>
      </c>
      <c r="L143" s="1812">
        <v>819</v>
      </c>
      <c r="M143" s="1812">
        <v>641</v>
      </c>
    </row>
    <row r="144" spans="1:13" ht="13.5" customHeight="1">
      <c r="A144" s="1786" t="s">
        <v>2078</v>
      </c>
      <c r="B144" s="1811">
        <v>2563</v>
      </c>
      <c r="C144" s="1811">
        <v>1350</v>
      </c>
      <c r="D144" s="1811">
        <v>1213</v>
      </c>
      <c r="E144" s="1811">
        <v>66454</v>
      </c>
      <c r="F144" s="1811">
        <v>21812</v>
      </c>
      <c r="G144" s="1811">
        <v>64813</v>
      </c>
      <c r="H144" s="1811">
        <v>38239</v>
      </c>
      <c r="I144" s="1811">
        <v>39069</v>
      </c>
      <c r="J144" s="1811">
        <v>27385</v>
      </c>
      <c r="K144" s="1811">
        <v>1550</v>
      </c>
      <c r="L144" s="1811">
        <v>847</v>
      </c>
      <c r="M144" s="1811">
        <v>703</v>
      </c>
    </row>
    <row r="145" spans="1:13" ht="13.5" customHeight="1">
      <c r="A145" s="1786" t="s">
        <v>18</v>
      </c>
      <c r="B145" s="1808">
        <v>2471</v>
      </c>
      <c r="C145" s="1808">
        <v>1332</v>
      </c>
      <c r="D145" s="1808">
        <v>1139</v>
      </c>
      <c r="E145" s="1808">
        <v>65371</v>
      </c>
      <c r="F145" s="1808">
        <v>18296</v>
      </c>
      <c r="G145" s="1808">
        <v>63907</v>
      </c>
      <c r="H145" s="1808">
        <v>36114</v>
      </c>
      <c r="I145" s="1808">
        <v>36826</v>
      </c>
      <c r="J145" s="1808">
        <v>28545</v>
      </c>
      <c r="K145" s="1808">
        <v>1477</v>
      </c>
      <c r="L145" s="1808">
        <v>827</v>
      </c>
      <c r="M145" s="1808">
        <v>650</v>
      </c>
    </row>
    <row r="146" spans="1:13" ht="13.5" customHeight="1">
      <c r="A146" s="1786" t="s">
        <v>19</v>
      </c>
      <c r="B146" s="1808">
        <v>2479</v>
      </c>
      <c r="C146" s="1808">
        <v>1336</v>
      </c>
      <c r="D146" s="1808">
        <v>1143</v>
      </c>
      <c r="E146" s="1808">
        <v>65431</v>
      </c>
      <c r="F146" s="1808">
        <v>19811</v>
      </c>
      <c r="G146" s="1808">
        <v>63966</v>
      </c>
      <c r="H146" s="1808">
        <v>36150</v>
      </c>
      <c r="I146" s="1808">
        <v>36864</v>
      </c>
      <c r="J146" s="1808">
        <v>28567</v>
      </c>
      <c r="K146" s="1808">
        <v>1503</v>
      </c>
      <c r="L146" s="1808">
        <v>842</v>
      </c>
      <c r="M146" s="1808">
        <v>661</v>
      </c>
    </row>
    <row r="147" spans="1:13" ht="13.5" customHeight="1">
      <c r="A147" s="1786" t="s">
        <v>20</v>
      </c>
      <c r="B147" s="1808">
        <v>2491</v>
      </c>
      <c r="C147" s="1808">
        <v>1339</v>
      </c>
      <c r="D147" s="1808">
        <v>1152</v>
      </c>
      <c r="E147" s="1808">
        <v>65334</v>
      </c>
      <c r="F147" s="1808">
        <v>19965</v>
      </c>
      <c r="G147" s="1808">
        <v>63864</v>
      </c>
      <c r="H147" s="1808">
        <v>36104</v>
      </c>
      <c r="I147" s="1808">
        <v>36793</v>
      </c>
      <c r="J147" s="1808">
        <v>28541</v>
      </c>
      <c r="K147" s="1808">
        <v>1503</v>
      </c>
      <c r="L147" s="1808">
        <v>842</v>
      </c>
      <c r="M147" s="1808">
        <v>661</v>
      </c>
    </row>
    <row r="148" spans="1:13" ht="13.5" customHeight="1">
      <c r="A148" s="1786" t="s">
        <v>21</v>
      </c>
      <c r="B148" s="1808">
        <v>2503</v>
      </c>
      <c r="C148" s="1808">
        <v>1344</v>
      </c>
      <c r="D148" s="1808">
        <v>1159</v>
      </c>
      <c r="E148" s="1808">
        <v>65535</v>
      </c>
      <c r="F148" s="1808">
        <v>20273</v>
      </c>
      <c r="G148" s="1808">
        <v>64026</v>
      </c>
      <c r="H148" s="1808">
        <v>36270</v>
      </c>
      <c r="I148" s="1808">
        <v>36999</v>
      </c>
      <c r="J148" s="1808">
        <v>28536</v>
      </c>
      <c r="K148" s="1808">
        <v>1504</v>
      </c>
      <c r="L148" s="1808">
        <v>842</v>
      </c>
      <c r="M148" s="1808">
        <v>662</v>
      </c>
    </row>
    <row r="149" spans="1:13" ht="13.5" customHeight="1">
      <c r="A149" s="1786" t="s">
        <v>22</v>
      </c>
      <c r="B149" s="1808">
        <v>2507</v>
      </c>
      <c r="C149" s="1808">
        <v>1351</v>
      </c>
      <c r="D149" s="1808">
        <v>1156</v>
      </c>
      <c r="E149" s="1808">
        <v>65784</v>
      </c>
      <c r="F149" s="1808">
        <v>20415</v>
      </c>
      <c r="G149" s="1808">
        <v>64254</v>
      </c>
      <c r="H149" s="1808">
        <v>36424</v>
      </c>
      <c r="I149" s="1808">
        <v>37160</v>
      </c>
      <c r="J149" s="1808">
        <v>28624</v>
      </c>
      <c r="K149" s="1808">
        <v>1509</v>
      </c>
      <c r="L149" s="1808">
        <v>846</v>
      </c>
      <c r="M149" s="1808">
        <v>663</v>
      </c>
    </row>
    <row r="150" spans="1:13" ht="13.5" customHeight="1">
      <c r="A150" s="1786" t="s">
        <v>23</v>
      </c>
      <c r="B150" s="1808">
        <v>2520</v>
      </c>
      <c r="C150" s="1808">
        <v>1360</v>
      </c>
      <c r="D150" s="1808">
        <v>1160</v>
      </c>
      <c r="E150" s="1808">
        <v>65792</v>
      </c>
      <c r="F150" s="1808">
        <v>20544</v>
      </c>
      <c r="G150" s="1808">
        <v>64240</v>
      </c>
      <c r="H150" s="1808">
        <v>36536</v>
      </c>
      <c r="I150" s="1808">
        <v>37288</v>
      </c>
      <c r="J150" s="1808">
        <v>28504</v>
      </c>
      <c r="K150" s="1808">
        <v>1511</v>
      </c>
      <c r="L150" s="1808">
        <v>843</v>
      </c>
      <c r="M150" s="1808">
        <v>668</v>
      </c>
    </row>
    <row r="151" spans="1:13" ht="13.5" customHeight="1">
      <c r="A151" s="1786" t="s">
        <v>24</v>
      </c>
      <c r="B151" s="1808">
        <v>2517</v>
      </c>
      <c r="C151" s="1808">
        <v>1354</v>
      </c>
      <c r="D151" s="1808">
        <v>1163</v>
      </c>
      <c r="E151" s="1808">
        <v>66050</v>
      </c>
      <c r="F151" s="1808">
        <v>20713</v>
      </c>
      <c r="G151" s="1808">
        <v>64502</v>
      </c>
      <c r="H151" s="1808">
        <v>37752</v>
      </c>
      <c r="I151" s="1808">
        <v>38501</v>
      </c>
      <c r="J151" s="1808">
        <v>27549</v>
      </c>
      <c r="K151" s="1808">
        <v>1510</v>
      </c>
      <c r="L151" s="1808">
        <v>843</v>
      </c>
      <c r="M151" s="1808">
        <v>667</v>
      </c>
    </row>
    <row r="152" spans="1:13" ht="13.5" customHeight="1">
      <c r="A152" s="1786" t="s">
        <v>25</v>
      </c>
      <c r="B152" s="1808">
        <v>2521</v>
      </c>
      <c r="C152" s="1808">
        <v>1348</v>
      </c>
      <c r="D152" s="1808">
        <v>1173</v>
      </c>
      <c r="E152" s="1808">
        <v>66106</v>
      </c>
      <c r="F152" s="1808">
        <v>20833</v>
      </c>
      <c r="G152" s="1808">
        <v>64508</v>
      </c>
      <c r="H152" s="1808">
        <v>37846</v>
      </c>
      <c r="I152" s="1808">
        <v>38644</v>
      </c>
      <c r="J152" s="1808">
        <v>27462</v>
      </c>
      <c r="K152" s="1808">
        <v>1514</v>
      </c>
      <c r="L152" s="1808">
        <v>847</v>
      </c>
      <c r="M152" s="1808">
        <v>667</v>
      </c>
    </row>
    <row r="153" spans="1:13" ht="13.5" customHeight="1">
      <c r="A153" s="1786" t="s">
        <v>26</v>
      </c>
      <c r="B153" s="1808">
        <v>2540</v>
      </c>
      <c r="C153" s="1808">
        <v>1354</v>
      </c>
      <c r="D153" s="1808">
        <v>1186</v>
      </c>
      <c r="E153" s="1808">
        <v>66314</v>
      </c>
      <c r="F153" s="1808">
        <v>21064</v>
      </c>
      <c r="G153" s="1808">
        <v>64713</v>
      </c>
      <c r="H153" s="1808">
        <v>37986</v>
      </c>
      <c r="I153" s="1808">
        <v>38784</v>
      </c>
      <c r="J153" s="1808">
        <v>27530</v>
      </c>
      <c r="K153" s="1808">
        <v>1538</v>
      </c>
      <c r="L153" s="1808">
        <v>849</v>
      </c>
      <c r="M153" s="1808">
        <v>689</v>
      </c>
    </row>
    <row r="154" spans="1:13" ht="13.5" customHeight="1">
      <c r="A154" s="1786" t="s">
        <v>27</v>
      </c>
      <c r="B154" s="1808">
        <v>2553</v>
      </c>
      <c r="C154" s="1808">
        <v>1346</v>
      </c>
      <c r="D154" s="1808">
        <v>1207</v>
      </c>
      <c r="E154" s="1808">
        <v>66206</v>
      </c>
      <c r="F154" s="1808">
        <v>21334</v>
      </c>
      <c r="G154" s="1808">
        <v>64577</v>
      </c>
      <c r="H154" s="1808">
        <v>37856</v>
      </c>
      <c r="I154" s="1808">
        <v>38690</v>
      </c>
      <c r="J154" s="1808">
        <v>27516</v>
      </c>
      <c r="K154" s="1808">
        <v>1548</v>
      </c>
      <c r="L154" s="1808">
        <v>850</v>
      </c>
      <c r="M154" s="1808">
        <v>698</v>
      </c>
    </row>
    <row r="155" spans="1:13" ht="13.5" customHeight="1">
      <c r="A155" s="1786" t="s">
        <v>28</v>
      </c>
      <c r="B155" s="1808">
        <v>2551</v>
      </c>
      <c r="C155" s="1808">
        <v>1343</v>
      </c>
      <c r="D155" s="1808">
        <v>1208</v>
      </c>
      <c r="E155" s="1808">
        <v>66256</v>
      </c>
      <c r="F155" s="1808">
        <v>21464</v>
      </c>
      <c r="G155" s="1808">
        <v>64615</v>
      </c>
      <c r="H155" s="1808">
        <v>37863</v>
      </c>
      <c r="I155" s="1808">
        <v>38709</v>
      </c>
      <c r="J155" s="1808">
        <v>27547</v>
      </c>
      <c r="K155" s="1808">
        <v>1550</v>
      </c>
      <c r="L155" s="1808">
        <v>848</v>
      </c>
      <c r="M155" s="1808">
        <v>702</v>
      </c>
    </row>
    <row r="156" spans="1:13" ht="13.5" customHeight="1">
      <c r="A156" s="1786" t="s">
        <v>29</v>
      </c>
      <c r="B156" s="1808">
        <v>2563</v>
      </c>
      <c r="C156" s="1808">
        <v>1350</v>
      </c>
      <c r="D156" s="1808">
        <v>1213</v>
      </c>
      <c r="E156" s="1808">
        <v>66454</v>
      </c>
      <c r="F156" s="1808">
        <v>21812</v>
      </c>
      <c r="G156" s="1808">
        <v>64813</v>
      </c>
      <c r="H156" s="1808">
        <v>38239</v>
      </c>
      <c r="I156" s="1808">
        <v>39069</v>
      </c>
      <c r="J156" s="1808">
        <v>27385</v>
      </c>
      <c r="K156" s="1812">
        <v>1550</v>
      </c>
      <c r="L156" s="1812">
        <v>847</v>
      </c>
      <c r="M156" s="1812">
        <v>703</v>
      </c>
    </row>
    <row r="157" spans="1:13" ht="13.5" customHeight="1">
      <c r="A157" s="1776" t="s">
        <v>2171</v>
      </c>
      <c r="B157" s="1815">
        <v>2712</v>
      </c>
      <c r="C157" s="1815">
        <v>1446</v>
      </c>
      <c r="D157" s="1815">
        <v>1266</v>
      </c>
      <c r="E157" s="1815">
        <v>67681</v>
      </c>
      <c r="F157" s="1815">
        <v>30133</v>
      </c>
      <c r="G157" s="1815">
        <v>65973</v>
      </c>
      <c r="H157" s="1815">
        <v>40097</v>
      </c>
      <c r="I157" s="1815">
        <v>40988</v>
      </c>
      <c r="J157" s="1814">
        <v>26693</v>
      </c>
      <c r="K157" s="1811">
        <v>1648</v>
      </c>
      <c r="L157" s="1811">
        <v>908</v>
      </c>
      <c r="M157" s="1811">
        <v>740</v>
      </c>
    </row>
    <row r="158" spans="1:13" ht="13.5" customHeight="1">
      <c r="A158" s="1786" t="s">
        <v>18</v>
      </c>
      <c r="B158" s="1808">
        <v>2572</v>
      </c>
      <c r="C158" s="1808">
        <v>1355</v>
      </c>
      <c r="D158" s="1808">
        <v>1217</v>
      </c>
      <c r="E158" s="1808">
        <v>66353</v>
      </c>
      <c r="F158" s="1808">
        <v>23259</v>
      </c>
      <c r="G158" s="1808">
        <v>64685</v>
      </c>
      <c r="H158" s="1808">
        <v>38195</v>
      </c>
      <c r="I158" s="1808">
        <v>39054</v>
      </c>
      <c r="J158" s="1808">
        <v>27299</v>
      </c>
      <c r="K158" s="1808">
        <v>1591</v>
      </c>
      <c r="L158" s="1808">
        <v>874</v>
      </c>
      <c r="M158" s="1808">
        <v>717</v>
      </c>
    </row>
    <row r="159" spans="1:13" ht="13.5" customHeight="1">
      <c r="A159" s="1786" t="s">
        <v>19</v>
      </c>
      <c r="B159" s="1808">
        <v>2585</v>
      </c>
      <c r="C159" s="1808">
        <v>1364</v>
      </c>
      <c r="D159" s="1808">
        <v>1221</v>
      </c>
      <c r="E159" s="1808">
        <v>66397</v>
      </c>
      <c r="F159" s="1808">
        <v>24097</v>
      </c>
      <c r="G159" s="1808">
        <v>64728</v>
      </c>
      <c r="H159" s="1808">
        <v>38371</v>
      </c>
      <c r="I159" s="1808">
        <v>39233</v>
      </c>
      <c r="J159" s="1808">
        <v>27164</v>
      </c>
      <c r="K159" s="1808">
        <v>1596</v>
      </c>
      <c r="L159" s="1808">
        <v>875</v>
      </c>
      <c r="M159" s="1808">
        <v>721</v>
      </c>
    </row>
    <row r="160" spans="1:13" ht="13.5" customHeight="1">
      <c r="A160" s="1786" t="s">
        <v>20</v>
      </c>
      <c r="B160" s="1808">
        <v>2595</v>
      </c>
      <c r="C160" s="1808">
        <v>1370</v>
      </c>
      <c r="D160" s="1808">
        <v>1225</v>
      </c>
      <c r="E160" s="1808">
        <v>66779</v>
      </c>
      <c r="F160" s="1808">
        <v>24594</v>
      </c>
      <c r="G160" s="1808">
        <v>65115</v>
      </c>
      <c r="H160" s="1808">
        <v>38987</v>
      </c>
      <c r="I160" s="1808">
        <v>39847</v>
      </c>
      <c r="J160" s="1808">
        <v>26932</v>
      </c>
      <c r="K160" s="1808">
        <v>1601</v>
      </c>
      <c r="L160" s="1808">
        <v>879</v>
      </c>
      <c r="M160" s="1808">
        <v>722</v>
      </c>
    </row>
    <row r="161" spans="1:13" ht="13.5" customHeight="1">
      <c r="A161" s="1786" t="s">
        <v>21</v>
      </c>
      <c r="B161" s="1808">
        <v>2605</v>
      </c>
      <c r="C161" s="1808">
        <v>1379</v>
      </c>
      <c r="D161" s="1808">
        <v>1226</v>
      </c>
      <c r="E161" s="1808">
        <v>66640</v>
      </c>
      <c r="F161" s="1808">
        <v>25169</v>
      </c>
      <c r="G161" s="1808">
        <v>65096</v>
      </c>
      <c r="H161" s="1808">
        <v>40043</v>
      </c>
      <c r="I161" s="1808">
        <v>40788</v>
      </c>
      <c r="J161" s="1808">
        <v>25852</v>
      </c>
      <c r="K161" s="1808">
        <v>1607</v>
      </c>
      <c r="L161" s="1808">
        <v>885</v>
      </c>
      <c r="M161" s="1808">
        <v>722</v>
      </c>
    </row>
    <row r="162" spans="1:13" ht="13.5" customHeight="1">
      <c r="A162" s="1786" t="s">
        <v>22</v>
      </c>
      <c r="B162" s="1808">
        <v>2629</v>
      </c>
      <c r="C162" s="1808">
        <v>1397</v>
      </c>
      <c r="D162" s="1808">
        <v>1232</v>
      </c>
      <c r="E162" s="1808">
        <v>66804</v>
      </c>
      <c r="F162" s="1808">
        <v>25685</v>
      </c>
      <c r="G162" s="1808">
        <v>65293</v>
      </c>
      <c r="H162" s="1808">
        <v>40467</v>
      </c>
      <c r="I162" s="1808">
        <v>41179</v>
      </c>
      <c r="J162" s="1808">
        <v>25625</v>
      </c>
      <c r="K162" s="1808">
        <v>1611</v>
      </c>
      <c r="L162" s="1808">
        <v>885</v>
      </c>
      <c r="M162" s="1808">
        <v>726</v>
      </c>
    </row>
    <row r="163" spans="1:13" ht="13.5" customHeight="1">
      <c r="A163" s="1786" t="s">
        <v>23</v>
      </c>
      <c r="B163" s="1808">
        <v>2632</v>
      </c>
      <c r="C163" s="1808">
        <v>1394</v>
      </c>
      <c r="D163" s="1808">
        <v>1238</v>
      </c>
      <c r="E163" s="1808">
        <v>63774</v>
      </c>
      <c r="F163" s="1808">
        <v>25934</v>
      </c>
      <c r="G163" s="1808">
        <v>62003</v>
      </c>
      <c r="H163" s="1808">
        <v>37269</v>
      </c>
      <c r="I163" s="1808">
        <v>38185</v>
      </c>
      <c r="J163" s="1808">
        <v>25589</v>
      </c>
      <c r="K163" s="1808">
        <v>1613</v>
      </c>
      <c r="L163" s="1808">
        <v>887</v>
      </c>
      <c r="M163" s="1808">
        <v>726</v>
      </c>
    </row>
    <row r="164" spans="1:13" ht="13.5" customHeight="1">
      <c r="A164" s="1786" t="s">
        <v>24</v>
      </c>
      <c r="B164" s="1808">
        <v>2644</v>
      </c>
      <c r="C164" s="1808">
        <v>1400</v>
      </c>
      <c r="D164" s="1808">
        <v>1244</v>
      </c>
      <c r="E164" s="1808">
        <v>64160</v>
      </c>
      <c r="F164" s="1808">
        <v>26362</v>
      </c>
      <c r="G164" s="1808">
        <v>62345</v>
      </c>
      <c r="H164" s="1808">
        <v>37322</v>
      </c>
      <c r="I164" s="1808">
        <v>38285</v>
      </c>
      <c r="J164" s="1808">
        <v>25875</v>
      </c>
      <c r="K164" s="1808">
        <v>1622</v>
      </c>
      <c r="L164" s="1808">
        <v>892</v>
      </c>
      <c r="M164" s="1808">
        <v>730</v>
      </c>
    </row>
    <row r="165" spans="1:13" ht="13.5" customHeight="1">
      <c r="A165" s="1786" t="s">
        <v>25</v>
      </c>
      <c r="B165" s="1808">
        <v>2650</v>
      </c>
      <c r="C165" s="1808">
        <v>1406</v>
      </c>
      <c r="D165" s="1808">
        <v>1244</v>
      </c>
      <c r="E165" s="1808">
        <v>64511</v>
      </c>
      <c r="F165" s="1808">
        <v>26813</v>
      </c>
      <c r="G165" s="1808">
        <v>62740</v>
      </c>
      <c r="H165" s="1808">
        <v>37681</v>
      </c>
      <c r="I165" s="1808">
        <v>38591</v>
      </c>
      <c r="J165" s="1808">
        <v>25920</v>
      </c>
      <c r="K165" s="1808">
        <v>1627</v>
      </c>
      <c r="L165" s="1808">
        <v>896</v>
      </c>
      <c r="M165" s="1808">
        <v>731</v>
      </c>
    </row>
    <row r="166" spans="1:13" ht="13.5" customHeight="1">
      <c r="A166" s="1786" t="s">
        <v>26</v>
      </c>
      <c r="B166" s="1808">
        <v>2654</v>
      </c>
      <c r="C166" s="1808">
        <v>1407</v>
      </c>
      <c r="D166" s="1808">
        <v>1247</v>
      </c>
      <c r="E166" s="1808">
        <v>65153</v>
      </c>
      <c r="F166" s="1808">
        <v>27528</v>
      </c>
      <c r="G166" s="1808">
        <v>63368</v>
      </c>
      <c r="H166" s="1808">
        <v>38305</v>
      </c>
      <c r="I166" s="1808">
        <v>39205</v>
      </c>
      <c r="J166" s="1808">
        <v>25948</v>
      </c>
      <c r="K166" s="1808">
        <v>1633</v>
      </c>
      <c r="L166" s="1808">
        <v>900</v>
      </c>
      <c r="M166" s="1808">
        <v>733</v>
      </c>
    </row>
    <row r="167" spans="1:13" ht="13.5" customHeight="1">
      <c r="A167" s="1786" t="s">
        <v>27</v>
      </c>
      <c r="B167" s="1808">
        <v>2675</v>
      </c>
      <c r="C167" s="1808">
        <v>1425</v>
      </c>
      <c r="D167" s="1808">
        <v>1250</v>
      </c>
      <c r="E167" s="1808">
        <v>65819</v>
      </c>
      <c r="F167" s="1808">
        <v>28351</v>
      </c>
      <c r="G167" s="1808">
        <v>64221</v>
      </c>
      <c r="H167" s="1808">
        <v>38903</v>
      </c>
      <c r="I167" s="1808">
        <v>39723</v>
      </c>
      <c r="J167" s="1808">
        <v>26096</v>
      </c>
      <c r="K167" s="1808">
        <v>1640</v>
      </c>
      <c r="L167" s="1808">
        <v>905</v>
      </c>
      <c r="M167" s="1808">
        <v>735</v>
      </c>
    </row>
    <row r="168" spans="1:13" ht="13.5" customHeight="1">
      <c r="A168" s="1786" t="s">
        <v>28</v>
      </c>
      <c r="B168" s="1808">
        <v>2692</v>
      </c>
      <c r="C168" s="1808">
        <v>1437</v>
      </c>
      <c r="D168" s="1808">
        <v>1255</v>
      </c>
      <c r="E168" s="1808">
        <v>66503</v>
      </c>
      <c r="F168" s="1808">
        <v>29054</v>
      </c>
      <c r="G168" s="1808">
        <v>64843</v>
      </c>
      <c r="H168" s="1808">
        <v>39531</v>
      </c>
      <c r="I168" s="1808">
        <v>40404</v>
      </c>
      <c r="J168" s="1808">
        <v>26099</v>
      </c>
      <c r="K168" s="1808">
        <v>1645</v>
      </c>
      <c r="L168" s="1808">
        <v>904</v>
      </c>
      <c r="M168" s="1808">
        <v>741</v>
      </c>
    </row>
    <row r="169" spans="1:13" ht="13.5" customHeight="1">
      <c r="A169" s="1776" t="s">
        <v>29</v>
      </c>
      <c r="B169" s="1810">
        <v>2712</v>
      </c>
      <c r="C169" s="1808">
        <v>1446</v>
      </c>
      <c r="D169" s="1808">
        <v>1266</v>
      </c>
      <c r="E169" s="1808">
        <v>67681</v>
      </c>
      <c r="F169" s="1808">
        <v>30133</v>
      </c>
      <c r="G169" s="1808">
        <v>65973</v>
      </c>
      <c r="H169" s="1808">
        <v>40097</v>
      </c>
      <c r="I169" s="1808">
        <v>40988</v>
      </c>
      <c r="J169" s="1808">
        <v>26693</v>
      </c>
      <c r="K169" s="1812">
        <v>1648</v>
      </c>
      <c r="L169" s="1812">
        <v>908</v>
      </c>
      <c r="M169" s="1812">
        <v>740</v>
      </c>
    </row>
    <row r="170" spans="1:13" ht="13.5" customHeight="1">
      <c r="A170" s="1776" t="s">
        <v>2407</v>
      </c>
      <c r="B170" s="1813">
        <v>2779</v>
      </c>
      <c r="C170" s="1811">
        <v>1454</v>
      </c>
      <c r="D170" s="1811">
        <v>1325</v>
      </c>
      <c r="E170" s="1811">
        <v>57344</v>
      </c>
      <c r="F170" s="1811">
        <v>34381</v>
      </c>
      <c r="G170" s="1811">
        <v>55798</v>
      </c>
      <c r="H170" s="1811">
        <v>36889</v>
      </c>
      <c r="I170" s="1811">
        <v>37707</v>
      </c>
      <c r="J170" s="1811">
        <v>19637</v>
      </c>
      <c r="K170" s="1811">
        <v>1928</v>
      </c>
      <c r="L170" s="1811">
        <v>1059</v>
      </c>
      <c r="M170" s="1811">
        <v>869</v>
      </c>
    </row>
    <row r="171" spans="1:13" ht="13.5" customHeight="1">
      <c r="A171" s="1776" t="s">
        <v>18</v>
      </c>
      <c r="B171" s="1810">
        <v>2724</v>
      </c>
      <c r="C171" s="1808">
        <v>1463</v>
      </c>
      <c r="D171" s="1808">
        <v>1261</v>
      </c>
      <c r="E171" s="1808">
        <v>69026</v>
      </c>
      <c r="F171" s="1808">
        <v>31740</v>
      </c>
      <c r="G171" s="1808">
        <v>67341</v>
      </c>
      <c r="H171" s="1808">
        <v>41143</v>
      </c>
      <c r="I171" s="1808">
        <v>42005</v>
      </c>
      <c r="J171" s="1808">
        <v>27021</v>
      </c>
      <c r="K171" s="1808">
        <v>1652</v>
      </c>
      <c r="L171" s="1808">
        <v>912</v>
      </c>
      <c r="M171" s="1808">
        <v>740</v>
      </c>
    </row>
    <row r="172" spans="1:13" ht="13.5" customHeight="1">
      <c r="A172" s="1776" t="s">
        <v>19</v>
      </c>
      <c r="B172" s="1810">
        <v>2723</v>
      </c>
      <c r="C172" s="1808">
        <v>1463</v>
      </c>
      <c r="D172" s="1808">
        <v>1260</v>
      </c>
      <c r="E172" s="1808">
        <v>70312</v>
      </c>
      <c r="F172" s="1808">
        <v>32815</v>
      </c>
      <c r="G172" s="1808">
        <v>68624</v>
      </c>
      <c r="H172" s="1808">
        <v>41903</v>
      </c>
      <c r="I172" s="1808">
        <v>42792</v>
      </c>
      <c r="J172" s="1808">
        <v>27520</v>
      </c>
      <c r="K172" s="1808">
        <v>1667</v>
      </c>
      <c r="L172" s="1808">
        <v>919</v>
      </c>
      <c r="M172" s="1808">
        <v>748</v>
      </c>
    </row>
    <row r="173" spans="1:13" ht="13.5" customHeight="1">
      <c r="A173" s="1776" t="s">
        <v>20</v>
      </c>
      <c r="B173" s="1810">
        <v>2742</v>
      </c>
      <c r="C173" s="1808">
        <v>1473</v>
      </c>
      <c r="D173" s="1808">
        <v>1269</v>
      </c>
      <c r="E173" s="1808">
        <v>71349</v>
      </c>
      <c r="F173" s="1808">
        <v>34186</v>
      </c>
      <c r="G173" s="1808">
        <v>69638</v>
      </c>
      <c r="H173" s="1808">
        <v>42513</v>
      </c>
      <c r="I173" s="1808">
        <v>43443</v>
      </c>
      <c r="J173" s="1808">
        <v>27906</v>
      </c>
      <c r="K173" s="1808">
        <v>1684</v>
      </c>
      <c r="L173" s="1808">
        <v>926</v>
      </c>
      <c r="M173" s="1808">
        <v>758</v>
      </c>
    </row>
    <row r="174" spans="1:13" ht="13.5" customHeight="1">
      <c r="A174" s="1776" t="s">
        <v>21</v>
      </c>
      <c r="B174" s="1810">
        <v>2701</v>
      </c>
      <c r="C174" s="1808">
        <v>1431</v>
      </c>
      <c r="D174" s="1808">
        <v>1270</v>
      </c>
      <c r="E174" s="1808">
        <v>56891</v>
      </c>
      <c r="F174" s="1808">
        <v>28963</v>
      </c>
      <c r="G174" s="1808">
        <v>55256</v>
      </c>
      <c r="H174" s="1808">
        <v>35552</v>
      </c>
      <c r="I174" s="1808">
        <v>36391</v>
      </c>
      <c r="J174" s="1808">
        <v>20500</v>
      </c>
      <c r="K174" s="1808">
        <v>1660</v>
      </c>
      <c r="L174" s="1808">
        <v>917</v>
      </c>
      <c r="M174" s="1808">
        <v>743</v>
      </c>
    </row>
    <row r="175" spans="1:13" ht="13.5" customHeight="1">
      <c r="A175" s="1776" t="s">
        <v>22</v>
      </c>
      <c r="B175" s="1810">
        <v>2618</v>
      </c>
      <c r="C175" s="1808">
        <v>1364</v>
      </c>
      <c r="D175" s="1808">
        <v>1254</v>
      </c>
      <c r="E175" s="1808">
        <v>55250</v>
      </c>
      <c r="F175" s="1808">
        <v>28870</v>
      </c>
      <c r="G175" s="1808">
        <v>53626</v>
      </c>
      <c r="H175" s="1808">
        <v>35301</v>
      </c>
      <c r="I175" s="1808">
        <v>36032</v>
      </c>
      <c r="J175" s="1808">
        <v>19218</v>
      </c>
      <c r="K175" s="1808">
        <v>1670</v>
      </c>
      <c r="L175" s="1808">
        <v>919</v>
      </c>
      <c r="M175" s="1808">
        <v>751</v>
      </c>
    </row>
    <row r="176" spans="1:13" ht="13.5" customHeight="1">
      <c r="A176" s="1776" t="s">
        <v>23</v>
      </c>
      <c r="B176" s="1810">
        <v>2633</v>
      </c>
      <c r="C176" s="1808">
        <v>1368</v>
      </c>
      <c r="D176" s="1808">
        <v>1265</v>
      </c>
      <c r="E176" s="1808">
        <v>55854</v>
      </c>
      <c r="F176" s="1808">
        <v>29728</v>
      </c>
      <c r="G176" s="1808">
        <v>54225</v>
      </c>
      <c r="H176" s="1808">
        <v>35547</v>
      </c>
      <c r="I176" s="1808">
        <v>36406</v>
      </c>
      <c r="J176" s="1808">
        <v>19448</v>
      </c>
      <c r="K176" s="1808">
        <v>1673</v>
      </c>
      <c r="L176" s="1808">
        <v>913</v>
      </c>
      <c r="M176" s="1808">
        <v>760</v>
      </c>
    </row>
    <row r="177" spans="1:13" ht="13.5" customHeight="1">
      <c r="A177" s="1776" t="s">
        <v>24</v>
      </c>
      <c r="B177" s="1810">
        <v>2649</v>
      </c>
      <c r="C177" s="1808">
        <v>1373</v>
      </c>
      <c r="D177" s="1808">
        <v>1276</v>
      </c>
      <c r="E177" s="1808">
        <v>55710</v>
      </c>
      <c r="F177" s="1808">
        <v>29846</v>
      </c>
      <c r="G177" s="1808">
        <v>54242</v>
      </c>
      <c r="H177" s="1808">
        <v>35599</v>
      </c>
      <c r="I177" s="1808">
        <v>36302</v>
      </c>
      <c r="J177" s="1808">
        <v>19408</v>
      </c>
      <c r="K177" s="1808">
        <v>1677</v>
      </c>
      <c r="L177" s="1808">
        <v>915</v>
      </c>
      <c r="M177" s="1808">
        <v>762</v>
      </c>
    </row>
    <row r="178" spans="1:13" ht="13.5" customHeight="1">
      <c r="A178" s="1776" t="s">
        <v>25</v>
      </c>
      <c r="B178" s="1810">
        <v>2672</v>
      </c>
      <c r="C178" s="1808">
        <v>1389</v>
      </c>
      <c r="D178" s="1808">
        <v>1283</v>
      </c>
      <c r="E178" s="1808">
        <v>56770</v>
      </c>
      <c r="F178" s="1808">
        <v>31211</v>
      </c>
      <c r="G178" s="1808">
        <v>55062</v>
      </c>
      <c r="H178" s="1808">
        <v>35966</v>
      </c>
      <c r="I178" s="1808">
        <v>36911</v>
      </c>
      <c r="J178" s="1808">
        <v>19859</v>
      </c>
      <c r="K178" s="1808">
        <v>1679</v>
      </c>
      <c r="L178" s="1808">
        <v>913</v>
      </c>
      <c r="M178" s="1808">
        <v>766</v>
      </c>
    </row>
    <row r="179" spans="1:13" ht="13.5" customHeight="1">
      <c r="A179" s="1776" t="s">
        <v>26</v>
      </c>
      <c r="B179" s="1808">
        <v>2704</v>
      </c>
      <c r="C179" s="1808">
        <v>1408</v>
      </c>
      <c r="D179" s="1808">
        <v>1296</v>
      </c>
      <c r="E179" s="1808">
        <v>57263</v>
      </c>
      <c r="F179" s="1808">
        <v>32440</v>
      </c>
      <c r="G179" s="1808">
        <v>55461</v>
      </c>
      <c r="H179" s="1808">
        <v>36339</v>
      </c>
      <c r="I179" s="1808">
        <v>37386</v>
      </c>
      <c r="J179" s="1808">
        <v>19877</v>
      </c>
      <c r="K179" s="1808">
        <v>1681</v>
      </c>
      <c r="L179" s="1808">
        <v>916</v>
      </c>
      <c r="M179" s="1808">
        <v>765</v>
      </c>
    </row>
    <row r="180" spans="1:13" ht="13.5" customHeight="1">
      <c r="A180" s="1776" t="s">
        <v>27</v>
      </c>
      <c r="B180" s="1808">
        <v>2719</v>
      </c>
      <c r="C180" s="1808">
        <v>1417</v>
      </c>
      <c r="D180" s="1808">
        <v>1302</v>
      </c>
      <c r="E180" s="1808">
        <v>57226</v>
      </c>
      <c r="F180" s="1808">
        <v>32845</v>
      </c>
      <c r="G180" s="1808">
        <v>55465</v>
      </c>
      <c r="H180" s="1808">
        <v>36319</v>
      </c>
      <c r="I180" s="1808">
        <v>37310</v>
      </c>
      <c r="J180" s="1808">
        <v>19916</v>
      </c>
      <c r="K180" s="1808">
        <v>1688</v>
      </c>
      <c r="L180" s="1808">
        <v>918</v>
      </c>
      <c r="M180" s="1808">
        <v>770</v>
      </c>
    </row>
    <row r="181" spans="1:13" ht="13.5" customHeight="1">
      <c r="A181" s="1776" t="s">
        <v>28</v>
      </c>
      <c r="B181" s="1808">
        <v>2752</v>
      </c>
      <c r="C181" s="1808">
        <v>1440</v>
      </c>
      <c r="D181" s="1808">
        <v>1312</v>
      </c>
      <c r="E181" s="1808">
        <v>57180</v>
      </c>
      <c r="F181" s="1808">
        <v>33687</v>
      </c>
      <c r="G181" s="1808">
        <v>55499</v>
      </c>
      <c r="H181" s="1808">
        <v>36577</v>
      </c>
      <c r="I181" s="1808">
        <v>37519</v>
      </c>
      <c r="J181" s="1808">
        <v>19661</v>
      </c>
      <c r="K181" s="1808">
        <v>1893</v>
      </c>
      <c r="L181" s="1808">
        <v>1055</v>
      </c>
      <c r="M181" s="1808">
        <v>838</v>
      </c>
    </row>
    <row r="182" spans="1:13" ht="13.5" customHeight="1">
      <c r="A182" s="1776" t="s">
        <v>29</v>
      </c>
      <c r="B182" s="1808">
        <v>2779</v>
      </c>
      <c r="C182" s="1808">
        <v>1454</v>
      </c>
      <c r="D182" s="1808">
        <v>1325</v>
      </c>
      <c r="E182" s="1808">
        <v>57344</v>
      </c>
      <c r="F182" s="1808">
        <v>34381</v>
      </c>
      <c r="G182" s="1808">
        <v>55798</v>
      </c>
      <c r="H182" s="1808">
        <v>36889</v>
      </c>
      <c r="I182" s="1808">
        <v>37707</v>
      </c>
      <c r="J182" s="1808">
        <v>19637</v>
      </c>
      <c r="K182" s="1812">
        <v>1928</v>
      </c>
      <c r="L182" s="1812">
        <v>1059</v>
      </c>
      <c r="M182" s="1812">
        <v>869</v>
      </c>
    </row>
    <row r="183" spans="1:13" ht="13.5" customHeight="1">
      <c r="A183" s="1776" t="s">
        <v>2583</v>
      </c>
      <c r="B183" s="1811">
        <v>2970</v>
      </c>
      <c r="C183" s="1811">
        <v>1585</v>
      </c>
      <c r="D183" s="1811">
        <v>1385</v>
      </c>
      <c r="E183" s="1811">
        <v>61179</v>
      </c>
      <c r="F183" s="1811">
        <v>43920</v>
      </c>
      <c r="G183" s="1811">
        <v>59645</v>
      </c>
      <c r="H183" s="1811">
        <v>39725</v>
      </c>
      <c r="I183" s="1811">
        <v>40672</v>
      </c>
      <c r="J183" s="1811">
        <v>20507</v>
      </c>
      <c r="K183" s="1811">
        <v>1845</v>
      </c>
      <c r="L183" s="1811">
        <v>960</v>
      </c>
      <c r="M183" s="1811">
        <v>885</v>
      </c>
    </row>
    <row r="184" spans="1:13" ht="13.5" customHeight="1">
      <c r="A184" s="1776" t="s">
        <v>18</v>
      </c>
      <c r="B184" s="1809">
        <v>2803</v>
      </c>
      <c r="C184" s="1808">
        <v>1461</v>
      </c>
      <c r="D184" s="1808">
        <v>1342</v>
      </c>
      <c r="E184" s="1808">
        <v>57633</v>
      </c>
      <c r="F184" s="1808">
        <v>34536</v>
      </c>
      <c r="G184" s="1808">
        <v>56099</v>
      </c>
      <c r="H184" s="1808">
        <v>36905</v>
      </c>
      <c r="I184" s="1808">
        <v>37738</v>
      </c>
      <c r="J184" s="1808">
        <v>19895</v>
      </c>
      <c r="K184" s="1808">
        <v>1966</v>
      </c>
      <c r="L184" s="1808">
        <v>1084</v>
      </c>
      <c r="M184" s="1808">
        <v>882</v>
      </c>
    </row>
    <row r="185" spans="1:13" ht="13.5" customHeight="1">
      <c r="A185" s="1776" t="s">
        <v>19</v>
      </c>
      <c r="B185" s="1809">
        <v>2810</v>
      </c>
      <c r="C185" s="1808">
        <v>1464</v>
      </c>
      <c r="D185" s="1808">
        <v>1346</v>
      </c>
      <c r="E185" s="1808">
        <v>57881</v>
      </c>
      <c r="F185" s="1808">
        <v>35402</v>
      </c>
      <c r="G185" s="1808">
        <v>56354</v>
      </c>
      <c r="H185" s="1808">
        <v>37093</v>
      </c>
      <c r="I185" s="1808">
        <v>37947</v>
      </c>
      <c r="J185" s="1808">
        <v>19934</v>
      </c>
      <c r="K185" s="1808">
        <v>1987</v>
      </c>
      <c r="L185" s="1808">
        <v>1088</v>
      </c>
      <c r="M185" s="1808">
        <v>899</v>
      </c>
    </row>
    <row r="186" spans="1:13" ht="13.5" customHeight="1">
      <c r="A186" s="1776" t="s">
        <v>20</v>
      </c>
      <c r="B186" s="1809">
        <v>2826</v>
      </c>
      <c r="C186" s="1808">
        <v>1476</v>
      </c>
      <c r="D186" s="1808">
        <v>1350</v>
      </c>
      <c r="E186" s="1808">
        <v>58410</v>
      </c>
      <c r="F186" s="1808">
        <v>35947</v>
      </c>
      <c r="G186" s="1808">
        <v>56553</v>
      </c>
      <c r="H186" s="1808">
        <v>37349</v>
      </c>
      <c r="I186" s="1808">
        <v>38514</v>
      </c>
      <c r="J186" s="1808">
        <v>19896</v>
      </c>
      <c r="K186" s="1808">
        <v>1997</v>
      </c>
      <c r="L186" s="1808">
        <v>1091</v>
      </c>
      <c r="M186" s="1808">
        <v>906</v>
      </c>
    </row>
    <row r="187" spans="1:13" ht="13.5" customHeight="1">
      <c r="A187" s="1776" t="s">
        <v>21</v>
      </c>
      <c r="B187" s="1809">
        <v>2833</v>
      </c>
      <c r="C187" s="1808">
        <v>1478</v>
      </c>
      <c r="D187" s="1808">
        <v>1355</v>
      </c>
      <c r="E187" s="1808">
        <v>59262</v>
      </c>
      <c r="F187" s="1808">
        <v>37362</v>
      </c>
      <c r="G187" s="1808">
        <v>57598</v>
      </c>
      <c r="H187" s="1808">
        <v>37903</v>
      </c>
      <c r="I187" s="1808">
        <v>38846</v>
      </c>
      <c r="J187" s="1808">
        <v>20416</v>
      </c>
      <c r="K187" s="1808">
        <v>1997</v>
      </c>
      <c r="L187" s="1808">
        <v>1086</v>
      </c>
      <c r="M187" s="1808">
        <v>911</v>
      </c>
    </row>
    <row r="188" spans="1:13" ht="13.5" customHeight="1">
      <c r="A188" s="1776" t="s">
        <v>22</v>
      </c>
      <c r="B188" s="1809">
        <v>2848</v>
      </c>
      <c r="C188" s="1808">
        <v>1491</v>
      </c>
      <c r="D188" s="1808">
        <v>1357</v>
      </c>
      <c r="E188" s="1808">
        <v>59882</v>
      </c>
      <c r="F188" s="1808">
        <v>38236</v>
      </c>
      <c r="G188" s="1808">
        <v>58245</v>
      </c>
      <c r="H188" s="1808">
        <v>38352</v>
      </c>
      <c r="I188" s="1808">
        <v>39268</v>
      </c>
      <c r="J188" s="1808">
        <v>20614</v>
      </c>
      <c r="K188" s="1808">
        <v>1972</v>
      </c>
      <c r="L188" s="1808">
        <v>1067</v>
      </c>
      <c r="M188" s="1808">
        <v>905</v>
      </c>
    </row>
    <row r="189" spans="1:13" ht="13.5" customHeight="1">
      <c r="A189" s="1776" t="s">
        <v>23</v>
      </c>
      <c r="B189" s="1809">
        <v>2867</v>
      </c>
      <c r="C189" s="1808">
        <v>1504</v>
      </c>
      <c r="D189" s="1808">
        <v>1363</v>
      </c>
      <c r="E189" s="1808">
        <v>60381</v>
      </c>
      <c r="F189" s="1808">
        <v>39168</v>
      </c>
      <c r="G189" s="1808">
        <v>58436</v>
      </c>
      <c r="H189" s="1808">
        <v>38707</v>
      </c>
      <c r="I189" s="1808">
        <v>39923</v>
      </c>
      <c r="J189" s="1808">
        <v>20458</v>
      </c>
      <c r="K189" s="1808">
        <v>1958</v>
      </c>
      <c r="L189" s="1808">
        <v>1055</v>
      </c>
      <c r="M189" s="1808">
        <v>903</v>
      </c>
    </row>
    <row r="190" spans="1:13" ht="13.5" customHeight="1">
      <c r="A190" s="1776" t="s">
        <v>24</v>
      </c>
      <c r="B190" s="1809">
        <v>2887</v>
      </c>
      <c r="C190" s="1808">
        <v>1522</v>
      </c>
      <c r="D190" s="1808">
        <v>1365</v>
      </c>
      <c r="E190" s="1808">
        <v>60225</v>
      </c>
      <c r="F190" s="1808">
        <v>39525</v>
      </c>
      <c r="G190" s="1808">
        <v>58268</v>
      </c>
      <c r="H190" s="1808">
        <v>39151</v>
      </c>
      <c r="I190" s="1808">
        <v>40347</v>
      </c>
      <c r="J190" s="1808">
        <v>19878</v>
      </c>
      <c r="K190" s="1808">
        <v>1965</v>
      </c>
      <c r="L190" s="1808">
        <v>1056</v>
      </c>
      <c r="M190" s="1808">
        <v>909</v>
      </c>
    </row>
    <row r="191" spans="1:13" ht="13.5" customHeight="1">
      <c r="A191" s="1776" t="s">
        <v>25</v>
      </c>
      <c r="B191" s="1809">
        <v>2907</v>
      </c>
      <c r="C191" s="1808">
        <v>1527</v>
      </c>
      <c r="D191" s="1808">
        <v>1380</v>
      </c>
      <c r="E191" s="1808">
        <v>59625</v>
      </c>
      <c r="F191" s="1808">
        <v>40471</v>
      </c>
      <c r="G191" s="1808">
        <v>57987</v>
      </c>
      <c r="H191" s="1808">
        <v>38884</v>
      </c>
      <c r="I191" s="1808">
        <v>39761</v>
      </c>
      <c r="J191" s="1808">
        <v>19864</v>
      </c>
      <c r="K191" s="1808">
        <v>1782</v>
      </c>
      <c r="L191" s="1808">
        <v>876</v>
      </c>
      <c r="M191" s="1808">
        <v>906</v>
      </c>
    </row>
    <row r="192" spans="1:13" ht="13.5" customHeight="1">
      <c r="A192" s="1776" t="s">
        <v>26</v>
      </c>
      <c r="B192" s="1809">
        <v>2917</v>
      </c>
      <c r="C192" s="1808">
        <v>1535</v>
      </c>
      <c r="D192" s="1808">
        <v>1382</v>
      </c>
      <c r="E192" s="1808">
        <v>61339</v>
      </c>
      <c r="F192" s="1808">
        <v>42454</v>
      </c>
      <c r="G192" s="1808">
        <v>59828</v>
      </c>
      <c r="H192" s="1808">
        <v>39837</v>
      </c>
      <c r="I192" s="1808">
        <v>40661</v>
      </c>
      <c r="J192" s="1808">
        <v>20678</v>
      </c>
      <c r="K192" s="1808">
        <v>1672</v>
      </c>
      <c r="L192" s="1808">
        <v>875</v>
      </c>
      <c r="M192" s="1808">
        <v>797</v>
      </c>
    </row>
    <row r="193" spans="1:13" ht="13.5" customHeight="1">
      <c r="A193" s="1776" t="s">
        <v>27</v>
      </c>
      <c r="B193" s="1809">
        <v>2933</v>
      </c>
      <c r="C193" s="1808">
        <v>1546</v>
      </c>
      <c r="D193" s="1808">
        <v>1387</v>
      </c>
      <c r="E193" s="1808">
        <v>61301</v>
      </c>
      <c r="F193" s="1808">
        <v>43206</v>
      </c>
      <c r="G193" s="1808">
        <v>59789</v>
      </c>
      <c r="H193" s="1808">
        <v>39279</v>
      </c>
      <c r="I193" s="1808">
        <v>40157</v>
      </c>
      <c r="J193" s="1808">
        <v>21144</v>
      </c>
      <c r="K193" s="1808">
        <v>1672</v>
      </c>
      <c r="L193" s="1808">
        <v>873</v>
      </c>
      <c r="M193" s="1808">
        <v>799</v>
      </c>
    </row>
    <row r="194" spans="1:13" ht="13.5" customHeight="1">
      <c r="A194" s="1776" t="s">
        <v>28</v>
      </c>
      <c r="B194" s="1809">
        <v>2945</v>
      </c>
      <c r="C194" s="1808">
        <v>1552</v>
      </c>
      <c r="D194" s="1808">
        <v>1393</v>
      </c>
      <c r="E194" s="1808">
        <v>60977</v>
      </c>
      <c r="F194" s="1808">
        <v>43183</v>
      </c>
      <c r="G194" s="1808">
        <v>59433</v>
      </c>
      <c r="H194" s="1808">
        <v>39566</v>
      </c>
      <c r="I194" s="1808">
        <v>40508</v>
      </c>
      <c r="J194" s="1808">
        <v>20469</v>
      </c>
      <c r="K194" s="1808">
        <v>1773</v>
      </c>
      <c r="L194" s="1808">
        <v>917</v>
      </c>
      <c r="M194" s="1808">
        <v>856</v>
      </c>
    </row>
    <row r="195" spans="1:13" ht="13.5" customHeight="1">
      <c r="A195" s="1776" t="s">
        <v>29</v>
      </c>
      <c r="B195" s="1809">
        <v>2970</v>
      </c>
      <c r="C195" s="1808">
        <v>1585</v>
      </c>
      <c r="D195" s="1808">
        <v>1385</v>
      </c>
      <c r="E195" s="1808">
        <v>61179</v>
      </c>
      <c r="F195" s="1808">
        <v>43920</v>
      </c>
      <c r="G195" s="1808">
        <v>59645</v>
      </c>
      <c r="H195" s="1808">
        <v>39725</v>
      </c>
      <c r="I195" s="1808">
        <v>40672</v>
      </c>
      <c r="J195" s="1808">
        <v>20507</v>
      </c>
      <c r="K195" s="1812">
        <v>1845</v>
      </c>
      <c r="L195" s="1812">
        <v>960</v>
      </c>
      <c r="M195" s="1812">
        <v>885</v>
      </c>
    </row>
    <row r="196" spans="1:13" ht="13.5" customHeight="1">
      <c r="A196" s="1776" t="s">
        <v>2892</v>
      </c>
      <c r="B196" s="1782">
        <v>3068</v>
      </c>
      <c r="C196" s="1811">
        <v>1591</v>
      </c>
      <c r="D196" s="1811">
        <v>1477</v>
      </c>
      <c r="E196" s="1811">
        <v>79820</v>
      </c>
      <c r="F196" s="1811">
        <v>69599</v>
      </c>
      <c r="G196" s="1811">
        <v>77551</v>
      </c>
      <c r="H196" s="1811">
        <v>52602</v>
      </c>
      <c r="I196" s="1811">
        <v>53820</v>
      </c>
      <c r="J196" s="1811">
        <v>26000</v>
      </c>
      <c r="K196" s="1811">
        <v>2029</v>
      </c>
      <c r="L196" s="1811">
        <v>1106</v>
      </c>
      <c r="M196" s="1811">
        <v>923</v>
      </c>
    </row>
    <row r="197" spans="1:13" ht="13.5" customHeight="1">
      <c r="A197" s="1776" t="s">
        <v>18</v>
      </c>
      <c r="B197" s="1809">
        <v>2983</v>
      </c>
      <c r="C197" s="1808">
        <v>1590</v>
      </c>
      <c r="D197" s="1808">
        <v>1393</v>
      </c>
      <c r="E197" s="1808">
        <v>61679</v>
      </c>
      <c r="F197" s="1808">
        <v>44544</v>
      </c>
      <c r="G197" s="1808">
        <v>60165</v>
      </c>
      <c r="H197" s="1808">
        <v>40029</v>
      </c>
      <c r="I197" s="1808">
        <v>40955</v>
      </c>
      <c r="J197" s="1808">
        <v>20724</v>
      </c>
      <c r="K197" s="1808">
        <v>1902</v>
      </c>
      <c r="L197" s="1808">
        <v>1029</v>
      </c>
      <c r="M197" s="1808">
        <v>873</v>
      </c>
    </row>
    <row r="198" spans="1:13" ht="13.5" customHeight="1">
      <c r="A198" s="1776" t="s">
        <v>19</v>
      </c>
      <c r="B198" s="1809">
        <v>2994</v>
      </c>
      <c r="C198" s="1808">
        <v>1601</v>
      </c>
      <c r="D198" s="1808">
        <v>1393</v>
      </c>
      <c r="E198" s="1808">
        <v>63328</v>
      </c>
      <c r="F198" s="1808">
        <v>46520</v>
      </c>
      <c r="G198" s="1808">
        <v>61801</v>
      </c>
      <c r="H198" s="1808">
        <v>41591</v>
      </c>
      <c r="I198" s="1808">
        <v>42512</v>
      </c>
      <c r="J198" s="1808">
        <v>20816</v>
      </c>
      <c r="K198" s="1808">
        <v>1934</v>
      </c>
      <c r="L198" s="1808">
        <v>1055</v>
      </c>
      <c r="M198" s="1808">
        <v>879</v>
      </c>
    </row>
    <row r="199" spans="1:13" ht="13.5" customHeight="1">
      <c r="A199" s="1776" t="s">
        <v>20</v>
      </c>
      <c r="B199" s="1809">
        <v>2997</v>
      </c>
      <c r="C199" s="1808">
        <v>1599</v>
      </c>
      <c r="D199" s="1808">
        <v>1398</v>
      </c>
      <c r="E199" s="1808">
        <v>66548</v>
      </c>
      <c r="F199" s="1808">
        <v>49473</v>
      </c>
      <c r="G199" s="1808">
        <v>65042</v>
      </c>
      <c r="H199" s="1808">
        <v>43451</v>
      </c>
      <c r="I199" s="1808">
        <v>44345</v>
      </c>
      <c r="J199" s="1808">
        <v>22203</v>
      </c>
      <c r="K199" s="1808">
        <v>1944</v>
      </c>
      <c r="L199" s="1808">
        <v>1064</v>
      </c>
      <c r="M199" s="1808">
        <v>880</v>
      </c>
    </row>
    <row r="200" spans="1:13" ht="13.5" customHeight="1">
      <c r="A200" s="1776" t="s">
        <v>21</v>
      </c>
      <c r="B200" s="1809">
        <v>2996</v>
      </c>
      <c r="C200" s="1808">
        <v>1583</v>
      </c>
      <c r="D200" s="1808">
        <v>1413</v>
      </c>
      <c r="E200" s="1808">
        <v>68244</v>
      </c>
      <c r="F200" s="1808">
        <v>50407</v>
      </c>
      <c r="G200" s="1808">
        <v>66764</v>
      </c>
      <c r="H200" s="1808">
        <v>44641</v>
      </c>
      <c r="I200" s="1808">
        <v>45522</v>
      </c>
      <c r="J200" s="1808">
        <v>22722</v>
      </c>
      <c r="K200" s="1808">
        <v>1986</v>
      </c>
      <c r="L200" s="1808">
        <v>1088</v>
      </c>
      <c r="M200" s="1808">
        <v>898</v>
      </c>
    </row>
    <row r="201" spans="1:13" ht="13.5" customHeight="1">
      <c r="A201" s="1776" t="s">
        <v>22</v>
      </c>
      <c r="B201" s="1809">
        <v>2996</v>
      </c>
      <c r="C201" s="1808">
        <v>1580</v>
      </c>
      <c r="D201" s="1808">
        <v>1416</v>
      </c>
      <c r="E201" s="1808">
        <v>69275</v>
      </c>
      <c r="F201" s="1808">
        <v>57046</v>
      </c>
      <c r="G201" s="1808">
        <v>67322</v>
      </c>
      <c r="H201" s="1808">
        <v>45271</v>
      </c>
      <c r="I201" s="1808">
        <v>46459</v>
      </c>
      <c r="J201" s="1808">
        <v>22816</v>
      </c>
      <c r="K201" s="1808">
        <v>1986</v>
      </c>
      <c r="L201" s="1808">
        <v>1088</v>
      </c>
      <c r="M201" s="1808">
        <v>898</v>
      </c>
    </row>
    <row r="202" spans="1:13" ht="13.5" customHeight="1">
      <c r="A202" s="1776" t="s">
        <v>23</v>
      </c>
      <c r="B202" s="1809">
        <v>2998</v>
      </c>
      <c r="C202" s="1808">
        <v>1580</v>
      </c>
      <c r="D202" s="1808">
        <v>1418</v>
      </c>
      <c r="E202" s="1808">
        <v>70814</v>
      </c>
      <c r="F202" s="1808">
        <v>58204</v>
      </c>
      <c r="G202" s="1808">
        <v>69005</v>
      </c>
      <c r="H202" s="1808">
        <v>46368</v>
      </c>
      <c r="I202" s="1808">
        <v>47421</v>
      </c>
      <c r="J202" s="1808">
        <v>23393</v>
      </c>
      <c r="K202" s="1808">
        <v>1987</v>
      </c>
      <c r="L202" s="1808">
        <v>1083</v>
      </c>
      <c r="M202" s="1808">
        <v>904</v>
      </c>
    </row>
    <row r="203" spans="1:13" ht="13.5" customHeight="1">
      <c r="A203" s="1776" t="s">
        <v>24</v>
      </c>
      <c r="B203" s="1809">
        <v>3009</v>
      </c>
      <c r="C203" s="1808">
        <v>1579</v>
      </c>
      <c r="D203" s="1808">
        <v>1430</v>
      </c>
      <c r="E203" s="1808">
        <v>70963</v>
      </c>
      <c r="F203" s="1808">
        <v>58692</v>
      </c>
      <c r="G203" s="1808">
        <v>69148</v>
      </c>
      <c r="H203" s="1808">
        <v>46435</v>
      </c>
      <c r="I203" s="1808">
        <v>47489</v>
      </c>
      <c r="J203" s="1808">
        <v>23474</v>
      </c>
      <c r="K203" s="1808">
        <v>2001</v>
      </c>
      <c r="L203" s="1808">
        <v>1086</v>
      </c>
      <c r="M203" s="1808">
        <v>915</v>
      </c>
    </row>
    <row r="204" spans="1:13" ht="13.5" customHeight="1">
      <c r="A204" s="1776" t="s">
        <v>25</v>
      </c>
      <c r="B204" s="1809">
        <v>3025</v>
      </c>
      <c r="C204" s="1808">
        <v>1582</v>
      </c>
      <c r="D204" s="1808">
        <v>1443</v>
      </c>
      <c r="E204" s="1808">
        <v>72442</v>
      </c>
      <c r="F204" s="1808">
        <v>60432</v>
      </c>
      <c r="G204" s="1808">
        <v>70515</v>
      </c>
      <c r="H204" s="1808">
        <v>47297</v>
      </c>
      <c r="I204" s="1808">
        <v>48398</v>
      </c>
      <c r="J204" s="1808">
        <v>24044</v>
      </c>
      <c r="K204" s="1808">
        <v>1983</v>
      </c>
      <c r="L204" s="1808">
        <v>1072</v>
      </c>
      <c r="M204" s="1808">
        <v>911</v>
      </c>
    </row>
    <row r="205" spans="1:13" ht="13.5" customHeight="1">
      <c r="A205" s="1776" t="s">
        <v>26</v>
      </c>
      <c r="B205" s="1809">
        <v>3029</v>
      </c>
      <c r="C205" s="1808">
        <v>1586</v>
      </c>
      <c r="D205" s="1808">
        <v>1443</v>
      </c>
      <c r="E205" s="1808">
        <v>74456</v>
      </c>
      <c r="F205" s="1808">
        <v>62984</v>
      </c>
      <c r="G205" s="1808">
        <v>72470</v>
      </c>
      <c r="H205" s="1808">
        <v>48603</v>
      </c>
      <c r="I205" s="1808">
        <v>49735</v>
      </c>
      <c r="J205" s="1808">
        <v>24721</v>
      </c>
      <c r="K205" s="1808">
        <v>1981</v>
      </c>
      <c r="L205" s="1808">
        <v>1072</v>
      </c>
      <c r="M205" s="1808">
        <v>909</v>
      </c>
    </row>
    <row r="206" spans="1:13" ht="13.5" customHeight="1">
      <c r="A206" s="1776" t="s">
        <v>27</v>
      </c>
      <c r="B206" s="1809">
        <v>3033</v>
      </c>
      <c r="C206" s="1808">
        <v>1580</v>
      </c>
      <c r="D206" s="1808">
        <v>1453</v>
      </c>
      <c r="E206" s="1808">
        <v>75579</v>
      </c>
      <c r="F206" s="1808">
        <v>64728</v>
      </c>
      <c r="G206" s="1808">
        <v>73537</v>
      </c>
      <c r="H206" s="1808">
        <v>49538</v>
      </c>
      <c r="I206" s="1808">
        <v>50679</v>
      </c>
      <c r="J206" s="1808">
        <v>24900</v>
      </c>
      <c r="K206" s="1808">
        <v>1982</v>
      </c>
      <c r="L206" s="1808">
        <v>1077</v>
      </c>
      <c r="M206" s="1808">
        <v>905</v>
      </c>
    </row>
    <row r="207" spans="1:13" ht="13.5" customHeight="1">
      <c r="A207" s="1776" t="s">
        <v>28</v>
      </c>
      <c r="B207" s="1809">
        <v>3045</v>
      </c>
      <c r="C207" s="1808">
        <v>1586</v>
      </c>
      <c r="D207" s="1808">
        <v>1459</v>
      </c>
      <c r="E207" s="1808">
        <v>77634</v>
      </c>
      <c r="F207" s="1808">
        <v>67040</v>
      </c>
      <c r="G207" s="1808">
        <v>75586</v>
      </c>
      <c r="H207" s="1808">
        <v>50738</v>
      </c>
      <c r="I207" s="1808">
        <v>51885</v>
      </c>
      <c r="J207" s="1808">
        <v>25749</v>
      </c>
      <c r="K207" s="1808">
        <v>2022</v>
      </c>
      <c r="L207" s="1808">
        <v>1119</v>
      </c>
      <c r="M207" s="1808">
        <v>903</v>
      </c>
    </row>
    <row r="208" spans="1:13" ht="13.5" customHeight="1">
      <c r="A208" s="1776" t="s">
        <v>29</v>
      </c>
      <c r="B208" s="1809">
        <v>3068</v>
      </c>
      <c r="C208" s="1808">
        <v>1591</v>
      </c>
      <c r="D208" s="1808">
        <v>1477</v>
      </c>
      <c r="E208" s="1808">
        <v>79820</v>
      </c>
      <c r="F208" s="1808">
        <v>69599</v>
      </c>
      <c r="G208" s="1808">
        <v>77551</v>
      </c>
      <c r="H208" s="1808">
        <v>52602</v>
      </c>
      <c r="I208" s="1808">
        <v>53820</v>
      </c>
      <c r="J208" s="1808">
        <v>26000</v>
      </c>
      <c r="K208" s="1808">
        <v>2029</v>
      </c>
      <c r="L208" s="1808">
        <v>1106</v>
      </c>
      <c r="M208" s="1808">
        <v>923</v>
      </c>
    </row>
    <row r="209" spans="1:13" ht="13.5" customHeight="1">
      <c r="A209" s="1776" t="s">
        <v>3605</v>
      </c>
      <c r="B209" s="1782" t="s">
        <v>4067</v>
      </c>
      <c r="C209" s="1811">
        <v>1621</v>
      </c>
      <c r="D209" s="1811">
        <v>1491</v>
      </c>
      <c r="E209" s="1811">
        <v>86383</v>
      </c>
      <c r="F209" s="1811">
        <v>82992</v>
      </c>
      <c r="G209" s="1811">
        <v>83584</v>
      </c>
      <c r="H209" s="1811">
        <v>55739</v>
      </c>
      <c r="I209" s="1811">
        <v>57054</v>
      </c>
      <c r="J209" s="1811">
        <v>29329</v>
      </c>
      <c r="K209" s="1813">
        <v>2106</v>
      </c>
      <c r="L209" s="1813">
        <v>1030</v>
      </c>
      <c r="M209" s="1813">
        <v>1076</v>
      </c>
    </row>
    <row r="210" spans="1:13" ht="13.5" customHeight="1">
      <c r="A210" s="1776" t="s">
        <v>18</v>
      </c>
      <c r="B210" s="1809" t="s">
        <v>3622</v>
      </c>
      <c r="C210" s="1808">
        <v>1618</v>
      </c>
      <c r="D210" s="1808">
        <v>1459</v>
      </c>
      <c r="E210" s="1808">
        <v>79880</v>
      </c>
      <c r="F210" s="1808">
        <v>70608</v>
      </c>
      <c r="G210" s="1808">
        <v>77605</v>
      </c>
      <c r="H210" s="1808">
        <v>52577</v>
      </c>
      <c r="I210" s="1808">
        <v>53799</v>
      </c>
      <c r="J210" s="1808">
        <v>26081</v>
      </c>
      <c r="K210" s="1808">
        <v>2095</v>
      </c>
      <c r="L210" s="1810">
        <v>1101</v>
      </c>
      <c r="M210" s="1810">
        <v>994</v>
      </c>
    </row>
    <row r="211" spans="1:13" ht="13.5" customHeight="1">
      <c r="A211" s="1776" t="s">
        <v>19</v>
      </c>
      <c r="B211" s="1809">
        <v>3074</v>
      </c>
      <c r="C211" s="1808">
        <v>1607</v>
      </c>
      <c r="D211" s="1808">
        <v>1467</v>
      </c>
      <c r="E211" s="1808">
        <v>79130</v>
      </c>
      <c r="F211" s="1808">
        <v>70754</v>
      </c>
      <c r="G211" s="1808">
        <v>76797</v>
      </c>
      <c r="H211" s="1808">
        <v>52254</v>
      </c>
      <c r="I211" s="1808">
        <v>53489</v>
      </c>
      <c r="J211" s="1808">
        <v>25641</v>
      </c>
      <c r="K211" s="1808">
        <v>2137</v>
      </c>
      <c r="L211" s="1810">
        <v>1091</v>
      </c>
      <c r="M211" s="1810">
        <v>1046</v>
      </c>
    </row>
    <row r="212" spans="1:13" ht="13.5" customHeight="1">
      <c r="A212" s="1776" t="s">
        <v>20</v>
      </c>
      <c r="B212" s="1809">
        <v>3068</v>
      </c>
      <c r="C212" s="1808">
        <v>1591</v>
      </c>
      <c r="D212" s="1808">
        <v>1477</v>
      </c>
      <c r="E212" s="1808">
        <v>80729</v>
      </c>
      <c r="F212" s="1808">
        <v>71461</v>
      </c>
      <c r="G212" s="1808">
        <v>78385</v>
      </c>
      <c r="H212" s="1808">
        <v>53311</v>
      </c>
      <c r="I212" s="1808">
        <v>54553</v>
      </c>
      <c r="J212" s="1808">
        <v>26176</v>
      </c>
      <c r="K212" s="1808">
        <v>2133</v>
      </c>
      <c r="L212" s="1810">
        <v>1087</v>
      </c>
      <c r="M212" s="1810">
        <v>1046</v>
      </c>
    </row>
    <row r="213" spans="1:13" ht="13.5" customHeight="1">
      <c r="A213" s="1776" t="s">
        <v>21</v>
      </c>
      <c r="B213" s="1809">
        <v>3075</v>
      </c>
      <c r="C213" s="1808">
        <v>1599</v>
      </c>
      <c r="D213" s="1808">
        <v>1476</v>
      </c>
      <c r="E213" s="1808">
        <v>79118</v>
      </c>
      <c r="F213" s="1808">
        <v>71602</v>
      </c>
      <c r="G213" s="1808">
        <v>76776</v>
      </c>
      <c r="H213" s="1808">
        <v>53407</v>
      </c>
      <c r="I213" s="1808">
        <v>54647</v>
      </c>
      <c r="J213" s="1808">
        <v>24471</v>
      </c>
      <c r="K213" s="1810">
        <v>2131</v>
      </c>
      <c r="L213" s="1810">
        <v>1086</v>
      </c>
      <c r="M213" s="1810">
        <v>1045</v>
      </c>
    </row>
    <row r="214" spans="1:13" ht="13.5" customHeight="1">
      <c r="A214" s="1776" t="s">
        <v>22</v>
      </c>
      <c r="B214" s="1809">
        <v>3075</v>
      </c>
      <c r="C214" s="1808">
        <v>1602</v>
      </c>
      <c r="D214" s="1808">
        <v>1473</v>
      </c>
      <c r="E214" s="1808">
        <v>80462</v>
      </c>
      <c r="F214" s="1808">
        <v>73151</v>
      </c>
      <c r="G214" s="1808">
        <v>78102</v>
      </c>
      <c r="H214" s="1808">
        <v>54151</v>
      </c>
      <c r="I214" s="1808">
        <v>55404</v>
      </c>
      <c r="J214" s="1808">
        <v>25058</v>
      </c>
      <c r="K214" s="1810">
        <v>2148</v>
      </c>
      <c r="L214" s="1810">
        <v>1098</v>
      </c>
      <c r="M214" s="1810">
        <v>1050</v>
      </c>
    </row>
    <row r="215" spans="1:13" ht="13.5" customHeight="1">
      <c r="A215" s="1776" t="s">
        <v>23</v>
      </c>
      <c r="B215" s="1809">
        <v>3081</v>
      </c>
      <c r="C215" s="1808">
        <v>1604</v>
      </c>
      <c r="D215" s="1808">
        <v>1477</v>
      </c>
      <c r="E215" s="1808">
        <v>81775</v>
      </c>
      <c r="F215" s="1808">
        <v>74508</v>
      </c>
      <c r="G215" s="1808">
        <v>79300</v>
      </c>
      <c r="H215" s="1808">
        <v>54763</v>
      </c>
      <c r="I215" s="1808">
        <v>56014</v>
      </c>
      <c r="J215" s="1808">
        <v>25761</v>
      </c>
      <c r="K215" s="1810">
        <v>2159</v>
      </c>
      <c r="L215" s="1810">
        <v>1100</v>
      </c>
      <c r="M215" s="1810">
        <v>1059</v>
      </c>
    </row>
    <row r="216" spans="1:13" ht="13.5" customHeight="1">
      <c r="A216" s="1776" t="s">
        <v>24</v>
      </c>
      <c r="B216" s="1809">
        <v>3087</v>
      </c>
      <c r="C216" s="1808">
        <v>1603</v>
      </c>
      <c r="D216" s="1808">
        <v>1484</v>
      </c>
      <c r="E216" s="1808">
        <v>83080</v>
      </c>
      <c r="F216" s="1808">
        <v>75916</v>
      </c>
      <c r="G216" s="1808">
        <v>80594</v>
      </c>
      <c r="H216" s="1808">
        <v>55379</v>
      </c>
      <c r="I216" s="1808">
        <v>56635</v>
      </c>
      <c r="J216" s="1808">
        <v>26445</v>
      </c>
      <c r="K216" s="1810">
        <v>2156</v>
      </c>
      <c r="L216" s="1810">
        <v>1099</v>
      </c>
      <c r="M216" s="1810">
        <v>1057</v>
      </c>
    </row>
    <row r="217" spans="1:13" ht="13.5" customHeight="1">
      <c r="A217" s="1776" t="s">
        <v>25</v>
      </c>
      <c r="B217" s="1809">
        <v>3104</v>
      </c>
      <c r="C217" s="1808">
        <v>1612</v>
      </c>
      <c r="D217" s="1808">
        <v>1492</v>
      </c>
      <c r="E217" s="1808">
        <v>81219</v>
      </c>
      <c r="F217" s="1808">
        <v>77087</v>
      </c>
      <c r="G217" s="1808">
        <v>78473</v>
      </c>
      <c r="H217" s="1808">
        <v>53992</v>
      </c>
      <c r="I217" s="1808">
        <v>55263</v>
      </c>
      <c r="J217" s="1808">
        <v>25956</v>
      </c>
      <c r="K217" s="1810">
        <v>2161</v>
      </c>
      <c r="L217" s="1810">
        <v>1101</v>
      </c>
      <c r="M217" s="1810">
        <v>1060</v>
      </c>
    </row>
    <row r="218" spans="1:13" ht="13.5" customHeight="1">
      <c r="A218" s="1776" t="s">
        <v>26</v>
      </c>
      <c r="B218" s="1809">
        <v>3119</v>
      </c>
      <c r="C218" s="1808">
        <v>1621</v>
      </c>
      <c r="D218" s="1808">
        <v>1498</v>
      </c>
      <c r="E218" s="1808">
        <v>81799</v>
      </c>
      <c r="F218" s="1808">
        <v>77722</v>
      </c>
      <c r="G218" s="1808">
        <v>79009</v>
      </c>
      <c r="H218" s="1808">
        <v>54052</v>
      </c>
      <c r="I218" s="1808">
        <v>55362</v>
      </c>
      <c r="J218" s="1808">
        <v>26437</v>
      </c>
      <c r="K218" s="1810">
        <v>2112</v>
      </c>
      <c r="L218" s="1810">
        <v>1055</v>
      </c>
      <c r="M218" s="1810">
        <v>1057</v>
      </c>
    </row>
    <row r="219" spans="1:13" ht="13.5" customHeight="1">
      <c r="A219" s="1776">
        <v>10</v>
      </c>
      <c r="B219" s="1809">
        <v>3090</v>
      </c>
      <c r="C219" s="1808">
        <v>1604</v>
      </c>
      <c r="D219" s="1808">
        <v>1486</v>
      </c>
      <c r="E219" s="1808">
        <v>82615</v>
      </c>
      <c r="F219" s="1808">
        <v>78803</v>
      </c>
      <c r="G219" s="1808">
        <v>79852</v>
      </c>
      <c r="H219" s="1808">
        <v>54347</v>
      </c>
      <c r="I219" s="1808">
        <v>55632</v>
      </c>
      <c r="J219" s="1808">
        <v>26983</v>
      </c>
      <c r="K219" s="1810">
        <v>2117</v>
      </c>
      <c r="L219" s="1810">
        <v>1056</v>
      </c>
      <c r="M219" s="1810">
        <v>1061</v>
      </c>
    </row>
    <row r="220" spans="1:13" ht="13.5" customHeight="1">
      <c r="A220" s="1776" t="s">
        <v>28</v>
      </c>
      <c r="B220" s="1809">
        <v>3114</v>
      </c>
      <c r="C220" s="1808">
        <v>1621</v>
      </c>
      <c r="D220" s="1808">
        <v>1493</v>
      </c>
      <c r="E220" s="1808">
        <v>83428</v>
      </c>
      <c r="F220" s="1808">
        <v>79870</v>
      </c>
      <c r="G220" s="1808">
        <v>80667</v>
      </c>
      <c r="H220" s="1808">
        <v>54507</v>
      </c>
      <c r="I220" s="1808">
        <v>55802</v>
      </c>
      <c r="J220" s="1808">
        <v>27626</v>
      </c>
      <c r="K220" s="1810">
        <v>2102</v>
      </c>
      <c r="L220" s="1810">
        <v>1027</v>
      </c>
      <c r="M220" s="1810">
        <v>1075</v>
      </c>
    </row>
    <row r="221" spans="1:13" ht="13.5" customHeight="1">
      <c r="A221" s="1776" t="s">
        <v>29</v>
      </c>
      <c r="B221" s="1809">
        <v>3112</v>
      </c>
      <c r="C221" s="1808">
        <v>1621</v>
      </c>
      <c r="D221" s="1808">
        <v>1491</v>
      </c>
      <c r="E221" s="1808">
        <v>86383</v>
      </c>
      <c r="F221" s="1808">
        <v>82992</v>
      </c>
      <c r="G221" s="1808">
        <v>83584</v>
      </c>
      <c r="H221" s="1808">
        <v>55739</v>
      </c>
      <c r="I221" s="1808">
        <v>57054</v>
      </c>
      <c r="J221" s="1808">
        <v>29329</v>
      </c>
      <c r="K221" s="1810">
        <v>2106</v>
      </c>
      <c r="L221" s="1810">
        <v>1030</v>
      </c>
      <c r="M221" s="1810">
        <v>1076</v>
      </c>
    </row>
    <row r="222" spans="1:13" ht="13.5" customHeight="1">
      <c r="A222" s="1776" t="s">
        <v>4086</v>
      </c>
      <c r="B222" s="1809"/>
      <c r="C222" s="1808"/>
      <c r="D222" s="1808"/>
      <c r="E222" s="1808"/>
      <c r="F222" s="1808"/>
      <c r="G222" s="1808"/>
      <c r="H222" s="1808"/>
      <c r="I222" s="1808"/>
      <c r="J222" s="1808"/>
      <c r="K222" s="1810"/>
      <c r="L222" s="1810"/>
      <c r="M222" s="1810"/>
    </row>
    <row r="223" spans="1:13" ht="13.5" customHeight="1">
      <c r="A223" s="1776" t="s">
        <v>18</v>
      </c>
      <c r="B223" s="1809">
        <v>3116</v>
      </c>
      <c r="C223" s="1808">
        <v>1610</v>
      </c>
      <c r="D223" s="1808">
        <v>1506</v>
      </c>
      <c r="E223" s="1808">
        <v>88751</v>
      </c>
      <c r="F223" s="1808">
        <v>85781</v>
      </c>
      <c r="G223" s="1808">
        <v>85936</v>
      </c>
      <c r="H223" s="1808">
        <v>56925</v>
      </c>
      <c r="I223" s="1808">
        <v>58250</v>
      </c>
      <c r="J223" s="1808">
        <v>30501</v>
      </c>
      <c r="K223" s="1810">
        <v>2099</v>
      </c>
      <c r="L223" s="1810">
        <v>1021</v>
      </c>
      <c r="M223" s="1810">
        <v>1078</v>
      </c>
    </row>
    <row r="224" spans="1:13" ht="12.6" customHeight="1">
      <c r="A224" s="1776" t="s">
        <v>19</v>
      </c>
      <c r="B224" s="1809" t="s">
        <v>4123</v>
      </c>
      <c r="C224" s="1808">
        <v>1626</v>
      </c>
      <c r="D224" s="1808">
        <v>1510</v>
      </c>
      <c r="E224" s="1808">
        <v>90505</v>
      </c>
      <c r="F224" s="1808">
        <v>87579</v>
      </c>
      <c r="G224" s="1808">
        <v>87719</v>
      </c>
      <c r="H224" s="1808">
        <v>57718</v>
      </c>
      <c r="I224" s="1808">
        <v>58997</v>
      </c>
      <c r="J224" s="1808">
        <v>31508</v>
      </c>
      <c r="K224" s="1807">
        <v>2122</v>
      </c>
      <c r="L224" s="1806">
        <v>1034</v>
      </c>
      <c r="M224" s="1806">
        <v>1088</v>
      </c>
    </row>
    <row r="225" spans="1:13" s="1802" customFormat="1" ht="15" customHeight="1">
      <c r="A225" s="2655" t="s">
        <v>3749</v>
      </c>
      <c r="B225" s="2655"/>
      <c r="C225" s="2655"/>
      <c r="D225" s="2655"/>
      <c r="E225" s="2655"/>
      <c r="F225" s="2655"/>
      <c r="G225" s="2655"/>
      <c r="H225" s="2655"/>
      <c r="I225" s="2655"/>
      <c r="J225" s="2655"/>
      <c r="K225" s="1805"/>
      <c r="L225" s="1804"/>
      <c r="M225" s="1804"/>
    </row>
    <row r="226" spans="1:13" s="1802" customFormat="1" ht="12.75" customHeight="1">
      <c r="A226" s="2656" t="s">
        <v>3438</v>
      </c>
      <c r="B226" s="2656"/>
      <c r="C226" s="2656"/>
      <c r="D226" s="2656"/>
      <c r="E226" s="2656"/>
      <c r="F226" s="2656"/>
      <c r="G226" s="2656"/>
      <c r="H226" s="2656"/>
      <c r="I226" s="2656"/>
      <c r="J226" s="2656"/>
      <c r="K226" s="1803"/>
      <c r="L226" s="1803"/>
      <c r="M226" s="1803"/>
    </row>
  </sheetData>
  <mergeCells count="25">
    <mergeCell ref="A225:J225"/>
    <mergeCell ref="A226:J226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I30" sqref="I30"/>
    </sheetView>
  </sheetViews>
  <sheetFormatPr defaultColWidth="9.109375" defaultRowHeight="13.8"/>
  <cols>
    <col min="1" max="1" width="33.5546875" style="1097" customWidth="1"/>
    <col min="2" max="5" width="30.109375" style="1097" customWidth="1"/>
    <col min="6" max="6" width="35.5546875" style="1097" customWidth="1"/>
    <col min="7" max="16384" width="9.109375" style="1097"/>
  </cols>
  <sheetData>
    <row r="1" spans="1:6" ht="7.5" customHeight="1">
      <c r="A1" s="2665"/>
      <c r="B1" s="2665"/>
      <c r="C1" s="2665"/>
      <c r="D1" s="2665"/>
      <c r="E1" s="2665"/>
    </row>
    <row r="2" spans="1:6" ht="14.25" customHeight="1">
      <c r="A2" s="2665" t="s">
        <v>3439</v>
      </c>
      <c r="B2" s="2665"/>
      <c r="C2" s="2665"/>
      <c r="D2" s="2665"/>
      <c r="E2" s="2665"/>
      <c r="F2" s="2665"/>
    </row>
    <row r="3" spans="1:6" ht="23.25" customHeight="1">
      <c r="A3" s="2666" t="s">
        <v>3451</v>
      </c>
      <c r="B3" s="2667"/>
      <c r="C3" s="2667"/>
      <c r="D3" s="2667"/>
      <c r="E3" s="2667"/>
      <c r="F3" s="2667"/>
    </row>
    <row r="4" spans="1:6" ht="11.25" customHeight="1">
      <c r="A4" s="1838"/>
      <c r="B4" s="1838"/>
      <c r="C4" s="1838"/>
      <c r="D4" s="1838"/>
      <c r="E4" s="1837"/>
      <c r="F4" s="1837"/>
    </row>
    <row r="5" spans="1:6" ht="13.5" customHeight="1">
      <c r="A5" s="1836"/>
      <c r="B5" s="1835"/>
      <c r="C5" s="1835"/>
      <c r="D5" s="1835"/>
      <c r="E5" s="1834"/>
      <c r="F5" s="1468" t="s">
        <v>3395</v>
      </c>
    </row>
    <row r="6" spans="1:6" ht="15.6">
      <c r="A6" s="2668" t="s">
        <v>3160</v>
      </c>
      <c r="B6" s="2671">
        <v>45351</v>
      </c>
      <c r="C6" s="2672"/>
      <c r="D6" s="2672"/>
      <c r="E6" s="2673"/>
      <c r="F6" s="2674" t="s">
        <v>1228</v>
      </c>
    </row>
    <row r="7" spans="1:6" ht="41.25" customHeight="1">
      <c r="A7" s="2669"/>
      <c r="B7" s="2679" t="s">
        <v>3161</v>
      </c>
      <c r="C7" s="2681" t="s">
        <v>3599</v>
      </c>
      <c r="D7" s="2682"/>
      <c r="E7" s="2679" t="s">
        <v>3600</v>
      </c>
      <c r="F7" s="2675"/>
    </row>
    <row r="8" spans="1:6" ht="41.25" customHeight="1">
      <c r="A8" s="2669"/>
      <c r="B8" s="2680"/>
      <c r="C8" s="1833" t="s">
        <v>155</v>
      </c>
      <c r="D8" s="1833" t="s">
        <v>3854</v>
      </c>
      <c r="E8" s="2680"/>
      <c r="F8" s="2675"/>
    </row>
    <row r="9" spans="1:6" ht="21.75" customHeight="1">
      <c r="A9" s="2669"/>
      <c r="B9" s="2677">
        <v>45351</v>
      </c>
      <c r="C9" s="2678"/>
      <c r="D9" s="2678"/>
      <c r="E9" s="2678"/>
      <c r="F9" s="2675"/>
    </row>
    <row r="10" spans="1:6" ht="21.75" customHeight="1">
      <c r="A10" s="2669"/>
      <c r="B10" s="2683" t="s">
        <v>3219</v>
      </c>
      <c r="C10" s="2685" t="s">
        <v>3220</v>
      </c>
      <c r="D10" s="2686"/>
      <c r="E10" s="2683" t="s">
        <v>3221</v>
      </c>
      <c r="F10" s="2675"/>
    </row>
    <row r="11" spans="1:6" ht="36.75" customHeight="1">
      <c r="A11" s="2670"/>
      <c r="B11" s="2684"/>
      <c r="C11" s="1832" t="s">
        <v>105</v>
      </c>
      <c r="D11" s="1832" t="s">
        <v>3852</v>
      </c>
      <c r="E11" s="2684"/>
      <c r="F11" s="2676"/>
    </row>
    <row r="12" spans="1:6" ht="20.25" customHeight="1">
      <c r="A12" s="1831" t="s">
        <v>3159</v>
      </c>
      <c r="B12" s="1432">
        <v>3136</v>
      </c>
      <c r="C12" s="1432">
        <v>90505</v>
      </c>
      <c r="D12" s="1432">
        <v>87579</v>
      </c>
      <c r="E12" s="1432">
        <v>2122</v>
      </c>
      <c r="F12" s="1830" t="s">
        <v>3217</v>
      </c>
    </row>
    <row r="13" spans="1:6" ht="20.25" customHeight="1">
      <c r="A13" s="1826" t="s">
        <v>2721</v>
      </c>
      <c r="B13" s="1433">
        <v>1626</v>
      </c>
      <c r="C13" s="1433">
        <v>58997</v>
      </c>
      <c r="D13" s="1433">
        <v>57440</v>
      </c>
      <c r="E13" s="1433">
        <v>1034</v>
      </c>
      <c r="F13" s="1825" t="s">
        <v>3203</v>
      </c>
    </row>
    <row r="14" spans="1:6" ht="20.25" customHeight="1">
      <c r="A14" s="1826" t="s">
        <v>201</v>
      </c>
      <c r="B14" s="1433">
        <v>131</v>
      </c>
      <c r="C14" s="1433">
        <v>2287</v>
      </c>
      <c r="D14" s="1433">
        <v>1854</v>
      </c>
      <c r="E14" s="1433">
        <v>150</v>
      </c>
      <c r="F14" s="1825" t="s">
        <v>3204</v>
      </c>
    </row>
    <row r="15" spans="1:6" ht="20.25" customHeight="1">
      <c r="A15" s="1826" t="s">
        <v>2722</v>
      </c>
      <c r="B15" s="1433">
        <v>211</v>
      </c>
      <c r="C15" s="1433">
        <v>5602</v>
      </c>
      <c r="D15" s="1433">
        <v>5465</v>
      </c>
      <c r="E15" s="1433">
        <v>138</v>
      </c>
      <c r="F15" s="1825" t="s">
        <v>3205</v>
      </c>
    </row>
    <row r="16" spans="1:6" ht="20.25" customHeight="1">
      <c r="A16" s="1828" t="s">
        <v>198</v>
      </c>
      <c r="B16" s="1433">
        <v>55</v>
      </c>
      <c r="C16" s="1433">
        <v>1313</v>
      </c>
      <c r="D16" s="1433">
        <v>1275</v>
      </c>
      <c r="E16" s="1433">
        <v>43</v>
      </c>
      <c r="F16" s="1829" t="s">
        <v>3426</v>
      </c>
    </row>
    <row r="17" spans="1:35" ht="20.25" customHeight="1">
      <c r="A17" s="1826" t="s">
        <v>2723</v>
      </c>
      <c r="B17" s="1433">
        <v>164</v>
      </c>
      <c r="C17" s="1433">
        <v>4246</v>
      </c>
      <c r="D17" s="1433">
        <v>4124</v>
      </c>
      <c r="E17" s="1433">
        <v>94</v>
      </c>
      <c r="F17" s="1825" t="s">
        <v>3206</v>
      </c>
    </row>
    <row r="18" spans="1:35" ht="20.25" customHeight="1">
      <c r="A18" s="1828" t="s">
        <v>2724</v>
      </c>
      <c r="B18" s="1433">
        <v>112</v>
      </c>
      <c r="C18" s="1433">
        <v>1944</v>
      </c>
      <c r="D18" s="1433">
        <v>1879</v>
      </c>
      <c r="E18" s="1433">
        <v>75</v>
      </c>
      <c r="F18" s="1827" t="s">
        <v>3207</v>
      </c>
    </row>
    <row r="19" spans="1:35" ht="20.25" customHeight="1">
      <c r="A19" s="1826" t="s">
        <v>2725</v>
      </c>
      <c r="B19" s="1433">
        <v>134</v>
      </c>
      <c r="C19" s="1433">
        <v>2279</v>
      </c>
      <c r="D19" s="1433">
        <v>2203</v>
      </c>
      <c r="E19" s="1433">
        <v>69</v>
      </c>
      <c r="F19" s="1825" t="s">
        <v>3208</v>
      </c>
    </row>
    <row r="20" spans="1:35" ht="20.25" customHeight="1">
      <c r="A20" s="1826" t="s">
        <v>199</v>
      </c>
      <c r="B20" s="1433">
        <v>117</v>
      </c>
      <c r="C20" s="1433">
        <v>2851</v>
      </c>
      <c r="D20" s="1433">
        <v>2731</v>
      </c>
      <c r="E20" s="1433">
        <v>111</v>
      </c>
      <c r="F20" s="1825" t="s">
        <v>3209</v>
      </c>
    </row>
    <row r="21" spans="1:35" ht="20.25" customHeight="1">
      <c r="A21" s="1828" t="s">
        <v>2726</v>
      </c>
      <c r="B21" s="1433">
        <v>107</v>
      </c>
      <c r="C21" s="1433">
        <v>2494</v>
      </c>
      <c r="D21" s="1433">
        <v>2420</v>
      </c>
      <c r="E21" s="1433">
        <v>83</v>
      </c>
      <c r="F21" s="1827" t="s">
        <v>3210</v>
      </c>
    </row>
    <row r="22" spans="1:35" ht="20.25" customHeight="1">
      <c r="A22" s="1826" t="s">
        <v>2727</v>
      </c>
      <c r="B22" s="1433">
        <v>141</v>
      </c>
      <c r="C22" s="1433">
        <v>2836</v>
      </c>
      <c r="D22" s="1433">
        <v>2774</v>
      </c>
      <c r="E22" s="1433">
        <v>106</v>
      </c>
      <c r="F22" s="1825" t="s">
        <v>3211</v>
      </c>
    </row>
    <row r="23" spans="1:35" ht="20.25" customHeight="1">
      <c r="A23" s="1826" t="s">
        <v>2728</v>
      </c>
      <c r="B23" s="1433">
        <v>84</v>
      </c>
      <c r="C23" s="1433">
        <v>1164</v>
      </c>
      <c r="D23" s="1433">
        <v>1112</v>
      </c>
      <c r="E23" s="1433">
        <v>47</v>
      </c>
      <c r="F23" s="1825" t="s">
        <v>3212</v>
      </c>
    </row>
    <row r="24" spans="1:35" ht="20.25" customHeight="1">
      <c r="A24" s="1826" t="s">
        <v>200</v>
      </c>
      <c r="B24" s="1433">
        <v>140</v>
      </c>
      <c r="C24" s="1433">
        <v>2945</v>
      </c>
      <c r="D24" s="1433">
        <v>2823</v>
      </c>
      <c r="E24" s="1433">
        <v>92</v>
      </c>
      <c r="F24" s="1825" t="s">
        <v>3213</v>
      </c>
    </row>
    <row r="25" spans="1:35" ht="20.25" customHeight="1">
      <c r="A25" s="1826" t="s">
        <v>3162</v>
      </c>
      <c r="B25" s="1433">
        <v>12</v>
      </c>
      <c r="C25" s="1433">
        <v>53</v>
      </c>
      <c r="D25" s="1433">
        <v>40</v>
      </c>
      <c r="E25" s="1433">
        <v>2</v>
      </c>
      <c r="F25" s="1825" t="s">
        <v>3214</v>
      </c>
    </row>
    <row r="26" spans="1:35" ht="20.25" customHeight="1">
      <c r="A26" s="1824" t="s">
        <v>2730</v>
      </c>
      <c r="B26" s="1434">
        <v>102</v>
      </c>
      <c r="C26" s="1434">
        <v>1494</v>
      </c>
      <c r="D26" s="1434">
        <v>1439</v>
      </c>
      <c r="E26" s="1434">
        <v>78</v>
      </c>
      <c r="F26" s="1823" t="s">
        <v>3215</v>
      </c>
    </row>
    <row r="27" spans="1:35">
      <c r="A27" s="2663" t="s">
        <v>3171</v>
      </c>
      <c r="B27" s="2664"/>
      <c r="C27" s="2664"/>
      <c r="D27" s="2664"/>
      <c r="E27" s="2664"/>
    </row>
    <row r="28" spans="1:35" s="1769" customFormat="1" ht="16.5" customHeight="1">
      <c r="A28" s="2662" t="s">
        <v>2756</v>
      </c>
      <c r="B28" s="2662"/>
      <c r="C28" s="2662"/>
      <c r="D28" s="2662"/>
      <c r="E28" s="2662"/>
      <c r="F28" s="1822"/>
      <c r="G28" s="1822"/>
      <c r="H28" s="1822"/>
      <c r="I28" s="1822"/>
      <c r="J28" s="1822"/>
      <c r="K28" s="1822"/>
      <c r="L28" s="1822"/>
      <c r="M28" s="1822"/>
      <c r="N28" s="1822"/>
      <c r="O28" s="1822"/>
      <c r="P28" s="1822"/>
      <c r="Q28" s="1822"/>
      <c r="R28" s="1822"/>
      <c r="S28" s="1822"/>
      <c r="T28" s="1822"/>
      <c r="U28" s="1822"/>
      <c r="V28" s="1822"/>
      <c r="W28" s="1822"/>
      <c r="X28" s="1822"/>
      <c r="Y28" s="1822"/>
      <c r="Z28" s="1822"/>
      <c r="AA28" s="1822"/>
      <c r="AB28" s="1822"/>
      <c r="AC28" s="1822"/>
      <c r="AD28" s="1822"/>
      <c r="AE28" s="1822"/>
      <c r="AF28" s="1822"/>
      <c r="AG28" s="1822"/>
      <c r="AH28" s="1822"/>
      <c r="AI28" s="1822"/>
    </row>
    <row r="29" spans="1:35">
      <c r="A29" s="1821"/>
      <c r="B29" s="1820"/>
      <c r="C29" s="1819"/>
      <c r="D29" s="1819"/>
      <c r="E29" s="1819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74"/>
  <sheetViews>
    <sheetView showGridLines="0" view="pageBreakPreview" zoomScale="130" zoomScaleNormal="100" zoomScaleSheetLayoutView="130" workbookViewId="0">
      <pane ySplit="21" topLeftCell="A256" activePane="bottomLeft" state="frozen"/>
      <selection activeCell="G291" sqref="G291"/>
      <selection pane="bottomLeft" activeCell="F276" sqref="F276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162"/>
      <c r="B1" s="2162"/>
      <c r="C1" s="2162"/>
      <c r="D1" s="2162"/>
      <c r="E1" s="2162"/>
      <c r="F1" s="2162"/>
      <c r="G1" s="2162"/>
    </row>
    <row r="2" spans="1:77" ht="16.5" customHeight="1">
      <c r="A2" s="2163" t="s">
        <v>2824</v>
      </c>
      <c r="B2" s="2163"/>
      <c r="C2" s="2163"/>
      <c r="D2" s="2163"/>
      <c r="E2" s="2163"/>
      <c r="F2" s="2163"/>
      <c r="G2" s="2163"/>
    </row>
    <row r="3" spans="1:77" ht="21.75" customHeight="1">
      <c r="A3" s="2164" t="s">
        <v>2825</v>
      </c>
      <c r="B3" s="2164"/>
      <c r="C3" s="2164"/>
      <c r="D3" s="2164"/>
      <c r="E3" s="2164"/>
      <c r="F3" s="2164"/>
      <c r="G3" s="2164"/>
    </row>
    <row r="4" spans="1:77" ht="9.75" customHeight="1">
      <c r="A4" s="603"/>
      <c r="B4" s="603"/>
      <c r="C4" s="603"/>
      <c r="D4" s="603"/>
      <c r="E4" s="603"/>
      <c r="F4" s="603"/>
      <c r="G4" s="603"/>
    </row>
    <row r="5" spans="1:77" ht="9.75" customHeight="1">
      <c r="A5" s="1045"/>
      <c r="B5" s="1045"/>
      <c r="C5" s="1045"/>
      <c r="D5" s="1045"/>
      <c r="E5" s="1045"/>
      <c r="F5" s="1045"/>
      <c r="G5" s="1045"/>
    </row>
    <row r="6" spans="1:77">
      <c r="A6" s="2165" t="s">
        <v>182</v>
      </c>
      <c r="B6" s="2168" t="s">
        <v>49</v>
      </c>
      <c r="C6" s="2169"/>
      <c r="D6" s="2169"/>
      <c r="E6" s="2169"/>
      <c r="F6" s="2169"/>
      <c r="G6" s="2170"/>
    </row>
    <row r="7" spans="1:77">
      <c r="A7" s="2166"/>
      <c r="B7" s="1029" t="s">
        <v>50</v>
      </c>
      <c r="C7" s="1029" t="s">
        <v>51</v>
      </c>
      <c r="D7" s="1029" t="s">
        <v>52</v>
      </c>
      <c r="E7" s="1029" t="s">
        <v>51</v>
      </c>
      <c r="F7" s="1029" t="s">
        <v>53</v>
      </c>
      <c r="G7" s="1029" t="s">
        <v>54</v>
      </c>
      <c r="BY7" s="27">
        <f>BY9+BY20+BY29+BY36</f>
        <v>0</v>
      </c>
    </row>
    <row r="8" spans="1:77">
      <c r="A8" s="2167"/>
      <c r="B8" s="631" t="s">
        <v>8</v>
      </c>
      <c r="C8" s="1030" t="s">
        <v>55</v>
      </c>
      <c r="D8" s="631" t="s">
        <v>8</v>
      </c>
      <c r="E8" s="1030" t="s">
        <v>55</v>
      </c>
      <c r="F8" s="1030" t="s">
        <v>56</v>
      </c>
      <c r="G8" s="1030" t="s">
        <v>57</v>
      </c>
    </row>
    <row r="9" spans="1:77">
      <c r="A9" s="2174" t="s">
        <v>304</v>
      </c>
      <c r="B9" s="2171" t="s">
        <v>58</v>
      </c>
      <c r="C9" s="2172"/>
      <c r="D9" s="2172"/>
      <c r="E9" s="2172"/>
      <c r="F9" s="2172"/>
      <c r="G9" s="2173"/>
    </row>
    <row r="10" spans="1:77">
      <c r="A10" s="2175"/>
      <c r="B10" s="1031" t="s">
        <v>3471</v>
      </c>
      <c r="C10" s="1031" t="s">
        <v>59</v>
      </c>
      <c r="D10" s="632" t="s">
        <v>3472</v>
      </c>
      <c r="E10" s="1031" t="s">
        <v>59</v>
      </c>
      <c r="F10" s="1031" t="s">
        <v>60</v>
      </c>
      <c r="G10" s="1031" t="s">
        <v>59</v>
      </c>
    </row>
    <row r="11" spans="1:77">
      <c r="A11" s="2176"/>
      <c r="B11" s="633" t="s">
        <v>8</v>
      </c>
      <c r="C11" s="1032" t="s">
        <v>61</v>
      </c>
      <c r="D11" s="634" t="s">
        <v>8</v>
      </c>
      <c r="E11" s="1032" t="s">
        <v>61</v>
      </c>
      <c r="F11" s="1032" t="s">
        <v>62</v>
      </c>
      <c r="G11" s="1032" t="s">
        <v>61</v>
      </c>
    </row>
    <row r="12" spans="1:77" hidden="1">
      <c r="A12" s="21">
        <v>1995</v>
      </c>
      <c r="B12" s="438">
        <v>316.89999999999998</v>
      </c>
      <c r="C12" s="20">
        <v>19.5</v>
      </c>
      <c r="D12" s="43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96">
        <v>2005</v>
      </c>
      <c r="B22" s="697">
        <v>2055.2141799999999</v>
      </c>
      <c r="C22" s="698">
        <v>17.306072956313784</v>
      </c>
      <c r="D22" s="699">
        <v>2140.6999999999998</v>
      </c>
      <c r="E22" s="700">
        <v>18.026036579204415</v>
      </c>
      <c r="F22" s="1044">
        <f t="shared" si="0"/>
        <v>-85.485819999999876</v>
      </c>
      <c r="G22" s="700">
        <v>-0.7</v>
      </c>
    </row>
    <row r="23" spans="1:7" hidden="1">
      <c r="A23" s="701" t="s">
        <v>18</v>
      </c>
      <c r="B23" s="697">
        <v>127.14</v>
      </c>
      <c r="C23" s="698">
        <v>19.37932506173216</v>
      </c>
      <c r="D23" s="699">
        <v>43.32</v>
      </c>
      <c r="E23" s="698">
        <v>6.6030545986647562</v>
      </c>
      <c r="F23" s="1039">
        <f t="shared" si="0"/>
        <v>83.82</v>
      </c>
      <c r="G23" s="698">
        <v>12.8</v>
      </c>
    </row>
    <row r="24" spans="1:7" hidden="1">
      <c r="A24" s="701" t="s">
        <v>19</v>
      </c>
      <c r="B24" s="697">
        <v>245.08</v>
      </c>
      <c r="C24" s="698">
        <v>17.426547967803412</v>
      </c>
      <c r="D24" s="702">
        <v>219.14</v>
      </c>
      <c r="E24" s="698">
        <v>15.582070024744732</v>
      </c>
      <c r="F24" s="1039">
        <f t="shared" si="0"/>
        <v>25.940000000000026</v>
      </c>
      <c r="G24" s="698">
        <v>1.8</v>
      </c>
    </row>
    <row r="25" spans="1:7" hidden="1">
      <c r="A25" s="701" t="s">
        <v>20</v>
      </c>
      <c r="B25" s="697">
        <v>446.7</v>
      </c>
      <c r="C25" s="698">
        <v>20.957269127554561</v>
      </c>
      <c r="D25" s="699">
        <v>390.36</v>
      </c>
      <c r="E25" s="698">
        <v>18.314035318182672</v>
      </c>
      <c r="F25" s="1039">
        <f t="shared" si="0"/>
        <v>56.339999999999975</v>
      </c>
      <c r="G25" s="698">
        <v>2.64</v>
      </c>
    </row>
    <row r="26" spans="1:7" hidden="1">
      <c r="A26" s="701" t="s">
        <v>21</v>
      </c>
      <c r="B26" s="697">
        <v>592.66</v>
      </c>
      <c r="C26" s="698">
        <v>19.186392831244174</v>
      </c>
      <c r="D26" s="699">
        <v>550.96</v>
      </c>
      <c r="E26" s="698">
        <v>17.836423909665388</v>
      </c>
      <c r="F26" s="1039">
        <f t="shared" si="0"/>
        <v>41.699999999999932</v>
      </c>
      <c r="G26" s="698">
        <v>1.4</v>
      </c>
    </row>
    <row r="27" spans="1:7" hidden="1">
      <c r="A27" s="701" t="s">
        <v>22</v>
      </c>
      <c r="B27" s="697">
        <v>733.26</v>
      </c>
      <c r="C27" s="698">
        <v>18.480172991718373</v>
      </c>
      <c r="D27" s="699">
        <v>734.44</v>
      </c>
      <c r="E27" s="698">
        <v>18.509912244003004</v>
      </c>
      <c r="F27" s="1039">
        <f t="shared" si="0"/>
        <v>-1.1800000000000637</v>
      </c>
      <c r="G27" s="698">
        <v>0.03</v>
      </c>
    </row>
    <row r="28" spans="1:7" hidden="1">
      <c r="A28" s="701" t="s">
        <v>23</v>
      </c>
      <c r="B28" s="697">
        <v>912.54</v>
      </c>
      <c r="C28" s="698">
        <v>18.619389433220022</v>
      </c>
      <c r="D28" s="699">
        <v>904.42</v>
      </c>
      <c r="E28" s="698">
        <v>18.453709635953331</v>
      </c>
      <c r="F28" s="1039">
        <f t="shared" si="0"/>
        <v>8.1200000000000045</v>
      </c>
      <c r="G28" s="698">
        <v>0.1</v>
      </c>
    </row>
    <row r="29" spans="1:7" hidden="1">
      <c r="A29" s="701" t="s">
        <v>24</v>
      </c>
      <c r="B29" s="697">
        <v>1102.4000000000001</v>
      </c>
      <c r="C29" s="698">
        <v>18.778766910940544</v>
      </c>
      <c r="D29" s="699">
        <v>1097.52</v>
      </c>
      <c r="E29" s="698">
        <v>18.695638842611991</v>
      </c>
      <c r="F29" s="1039">
        <f t="shared" si="0"/>
        <v>4.8800000000001091</v>
      </c>
      <c r="G29" s="698">
        <v>0.1</v>
      </c>
    </row>
    <row r="30" spans="1:7" hidden="1">
      <c r="A30" s="701" t="s">
        <v>25</v>
      </c>
      <c r="B30" s="697">
        <v>1246.96</v>
      </c>
      <c r="C30" s="698">
        <v>17.457579660637286</v>
      </c>
      <c r="D30" s="699">
        <v>1259.48</v>
      </c>
      <c r="E30" s="698">
        <v>17.632861062888502</v>
      </c>
      <c r="F30" s="1039">
        <f t="shared" si="0"/>
        <v>-12.519999999999982</v>
      </c>
      <c r="G30" s="698">
        <v>0.1</v>
      </c>
    </row>
    <row r="31" spans="1:7" hidden="1">
      <c r="A31" s="701" t="s">
        <v>26</v>
      </c>
      <c r="B31" s="697">
        <v>1451.68</v>
      </c>
      <c r="C31" s="698">
        <v>17.745441032298444</v>
      </c>
      <c r="D31" s="699">
        <v>1487</v>
      </c>
      <c r="E31" s="698">
        <v>18.177195259993788</v>
      </c>
      <c r="F31" s="1039">
        <f t="shared" si="0"/>
        <v>-35.319999999999936</v>
      </c>
      <c r="G31" s="698">
        <v>0.5</v>
      </c>
    </row>
    <row r="32" spans="1:7" hidden="1">
      <c r="A32" s="701" t="s">
        <v>27</v>
      </c>
      <c r="B32" s="697">
        <v>1651.88</v>
      </c>
      <c r="C32" s="698">
        <v>17.802656366528577</v>
      </c>
      <c r="D32" s="699">
        <v>1695.12</v>
      </c>
      <c r="E32" s="698">
        <v>18.268662893206479</v>
      </c>
      <c r="F32" s="1039">
        <f t="shared" si="0"/>
        <v>-43.239999999999782</v>
      </c>
      <c r="G32" s="698">
        <v>0.5</v>
      </c>
    </row>
    <row r="33" spans="1:9" hidden="1">
      <c r="A33" s="701" t="s">
        <v>28</v>
      </c>
      <c r="B33" s="697">
        <v>1844.9</v>
      </c>
      <c r="C33" s="698">
        <v>17.627656951979468</v>
      </c>
      <c r="D33" s="699">
        <v>1867.7</v>
      </c>
      <c r="E33" s="698">
        <v>17.845506471468401</v>
      </c>
      <c r="F33" s="1039">
        <f t="shared" si="0"/>
        <v>-22.799999999999955</v>
      </c>
      <c r="G33" s="698">
        <v>0.2</v>
      </c>
    </row>
    <row r="34" spans="1:9" hidden="1">
      <c r="A34" s="701" t="s">
        <v>29</v>
      </c>
      <c r="B34" s="697">
        <v>2055.1999999999998</v>
      </c>
      <c r="C34" s="698">
        <v>17.306072956313784</v>
      </c>
      <c r="D34" s="699">
        <v>2140.6999999999998</v>
      </c>
      <c r="E34" s="698">
        <v>18.026036579204415</v>
      </c>
      <c r="F34" s="1039">
        <f t="shared" si="0"/>
        <v>-85.5</v>
      </c>
      <c r="G34" s="698">
        <v>0.7</v>
      </c>
    </row>
    <row r="35" spans="1:9">
      <c r="A35" s="696">
        <v>2006</v>
      </c>
      <c r="B35" s="697">
        <v>3868.7730000000001</v>
      </c>
      <c r="C35" s="698">
        <v>21.88342223074234</v>
      </c>
      <c r="D35" s="699">
        <v>3790.1235999999999</v>
      </c>
      <c r="E35" s="698">
        <v>21.367516548450027</v>
      </c>
      <c r="F35" s="1039">
        <f t="shared" si="0"/>
        <v>78.649400000000242</v>
      </c>
      <c r="G35" s="698">
        <v>0.51590568229231271</v>
      </c>
    </row>
    <row r="36" spans="1:9" hidden="1">
      <c r="A36" s="701" t="s">
        <v>18</v>
      </c>
      <c r="B36" s="697">
        <v>198.6</v>
      </c>
      <c r="C36" s="698">
        <v>19.600000000000001</v>
      </c>
      <c r="D36" s="699">
        <v>129.4</v>
      </c>
      <c r="E36" s="698">
        <v>12.7</v>
      </c>
      <c r="F36" s="1039">
        <f t="shared" si="0"/>
        <v>69.199999999999989</v>
      </c>
      <c r="G36" s="698">
        <v>6.9</v>
      </c>
    </row>
    <row r="37" spans="1:9" hidden="1">
      <c r="A37" s="701" t="s">
        <v>19</v>
      </c>
      <c r="B37" s="697">
        <v>420.2</v>
      </c>
      <c r="C37" s="698">
        <v>18.8</v>
      </c>
      <c r="D37" s="699">
        <v>405.8</v>
      </c>
      <c r="E37" s="698">
        <v>18.2</v>
      </c>
      <c r="F37" s="1039">
        <f t="shared" si="0"/>
        <v>14.399999999999977</v>
      </c>
      <c r="G37" s="698">
        <v>0.6</v>
      </c>
    </row>
    <row r="38" spans="1:9" hidden="1">
      <c r="A38" s="701" t="s">
        <v>20</v>
      </c>
      <c r="B38" s="697">
        <v>658.7</v>
      </c>
      <c r="C38" s="698">
        <v>20.399999999999999</v>
      </c>
      <c r="D38" s="699">
        <v>664.4</v>
      </c>
      <c r="E38" s="698">
        <v>20.6</v>
      </c>
      <c r="F38" s="1039">
        <f t="shared" si="0"/>
        <v>-5.6999999999999318</v>
      </c>
      <c r="G38" s="698">
        <v>0.2</v>
      </c>
    </row>
    <row r="39" spans="1:9" hidden="1">
      <c r="A39" s="701" t="s">
        <v>21</v>
      </c>
      <c r="B39" s="698">
        <v>1078.5999999999999</v>
      </c>
      <c r="C39" s="698">
        <v>24.087183724513721</v>
      </c>
      <c r="D39" s="699">
        <v>910.6</v>
      </c>
      <c r="E39" s="698">
        <v>20.335425087652698</v>
      </c>
      <c r="F39" s="1039">
        <f t="shared" si="0"/>
        <v>167.99999999999989</v>
      </c>
      <c r="G39" s="698">
        <v>3.7517586368610267</v>
      </c>
    </row>
    <row r="40" spans="1:9" ht="16.2" hidden="1">
      <c r="A40" s="701" t="s">
        <v>22</v>
      </c>
      <c r="B40" s="698">
        <v>1292.3</v>
      </c>
      <c r="C40" s="698">
        <f t="shared" ref="C40:C47" si="1">B40/H40*100</f>
        <v>22.075881036573907</v>
      </c>
      <c r="D40" s="699">
        <v>1118.0999999999999</v>
      </c>
      <c r="E40" s="698">
        <f t="shared" ref="E40:E47" si="2">D40/H40*100</f>
        <v>19.100087121406244</v>
      </c>
      <c r="F40" s="1039">
        <f t="shared" si="0"/>
        <v>174.20000000000005</v>
      </c>
      <c r="G40" s="698">
        <f t="shared" ref="G40:G47" si="3">F40/H40*100</f>
        <v>2.9757939151676669</v>
      </c>
      <c r="H40" s="35">
        <v>5853.9</v>
      </c>
    </row>
    <row r="41" spans="1:9" ht="16.2" hidden="1">
      <c r="A41" s="701" t="s">
        <v>23</v>
      </c>
      <c r="B41" s="698">
        <v>1540.6</v>
      </c>
      <c r="C41" s="698">
        <f t="shared" si="1"/>
        <v>21.55770737714094</v>
      </c>
      <c r="D41" s="699">
        <v>1446</v>
      </c>
      <c r="E41" s="698">
        <f t="shared" si="2"/>
        <v>20.233963953878877</v>
      </c>
      <c r="F41" s="1039">
        <f t="shared" si="0"/>
        <v>94.599999999999909</v>
      </c>
      <c r="G41" s="698">
        <f t="shared" si="3"/>
        <v>1.3237434232620608</v>
      </c>
      <c r="H41" s="35">
        <v>7146.4</v>
      </c>
    </row>
    <row r="42" spans="1:9" ht="16.2" hidden="1">
      <c r="A42" s="701" t="s">
        <v>24</v>
      </c>
      <c r="B42" s="698">
        <v>2077.6999999999998</v>
      </c>
      <c r="C42" s="698">
        <f t="shared" si="1"/>
        <v>23.600840574771397</v>
      </c>
      <c r="D42" s="699">
        <v>1823.9</v>
      </c>
      <c r="E42" s="698">
        <f t="shared" si="2"/>
        <v>20.717896291247801</v>
      </c>
      <c r="F42" s="1039">
        <f t="shared" si="0"/>
        <v>253.79999999999973</v>
      </c>
      <c r="G42" s="698">
        <f t="shared" si="3"/>
        <v>2.8829442835235954</v>
      </c>
      <c r="H42" s="35">
        <v>8803.5</v>
      </c>
    </row>
    <row r="43" spans="1:9" ht="16.2" hidden="1">
      <c r="A43" s="701" t="s">
        <v>25</v>
      </c>
      <c r="B43" s="698">
        <v>2427.8000000000002</v>
      </c>
      <c r="C43" s="698">
        <f t="shared" si="1"/>
        <v>23.578428040051666</v>
      </c>
      <c r="D43" s="699">
        <v>2155.3000000000002</v>
      </c>
      <c r="E43" s="698">
        <f t="shared" si="2"/>
        <v>20.931949071061602</v>
      </c>
      <c r="F43" s="1039">
        <f t="shared" si="0"/>
        <v>272.5</v>
      </c>
      <c r="G43" s="698">
        <f t="shared" si="3"/>
        <v>2.6464789689900647</v>
      </c>
      <c r="H43" s="35">
        <v>10296.700000000001</v>
      </c>
    </row>
    <row r="44" spans="1:9" ht="16.2" hidden="1">
      <c r="A44" s="701" t="s">
        <v>26</v>
      </c>
      <c r="B44" s="698">
        <v>2683.6</v>
      </c>
      <c r="C44" s="698">
        <f t="shared" si="1"/>
        <v>21.080580038019825</v>
      </c>
      <c r="D44" s="699">
        <v>2420.9</v>
      </c>
      <c r="E44" s="698">
        <f t="shared" si="2"/>
        <v>19.016983236712697</v>
      </c>
      <c r="F44" s="1039">
        <f t="shared" si="0"/>
        <v>262.69999999999982</v>
      </c>
      <c r="G44" s="698">
        <f t="shared" si="3"/>
        <v>2.0635968013071264</v>
      </c>
      <c r="H44" s="35">
        <v>12730.2</v>
      </c>
      <c r="I44" s="36"/>
    </row>
    <row r="45" spans="1:9" ht="16.2" hidden="1">
      <c r="A45" s="701" t="s">
        <v>27</v>
      </c>
      <c r="B45" s="698">
        <v>3387.4</v>
      </c>
      <c r="C45" s="698">
        <f t="shared" si="1"/>
        <v>22.947066075952797</v>
      </c>
      <c r="D45" s="699">
        <v>2765.9</v>
      </c>
      <c r="E45" s="698">
        <f t="shared" si="2"/>
        <v>18.73687490685418</v>
      </c>
      <c r="F45" s="1039">
        <f t="shared" si="0"/>
        <v>621.5</v>
      </c>
      <c r="G45" s="698">
        <f t="shared" si="3"/>
        <v>4.2101911690986196</v>
      </c>
      <c r="H45" s="37">
        <v>14761.8</v>
      </c>
    </row>
    <row r="46" spans="1:9" ht="16.2" hidden="1">
      <c r="A46" s="701" t="s">
        <v>28</v>
      </c>
      <c r="B46" s="698">
        <v>3624.6</v>
      </c>
      <c r="C46" s="698">
        <f t="shared" si="1"/>
        <v>22.196773916984089</v>
      </c>
      <c r="D46" s="699">
        <v>3116.5</v>
      </c>
      <c r="E46" s="698">
        <f t="shared" si="2"/>
        <v>19.085208274645733</v>
      </c>
      <c r="F46" s="1039">
        <f t="shared" si="0"/>
        <v>508.09999999999991</v>
      </c>
      <c r="G46" s="698">
        <f t="shared" si="3"/>
        <v>3.1115656423383586</v>
      </c>
      <c r="H46" s="24">
        <v>16329.4</v>
      </c>
    </row>
    <row r="47" spans="1:9" ht="16.2" hidden="1">
      <c r="A47" s="701" t="s">
        <v>29</v>
      </c>
      <c r="B47" s="699">
        <v>3881.2</v>
      </c>
      <c r="C47" s="698">
        <f t="shared" si="1"/>
        <v>21.88342223074234</v>
      </c>
      <c r="D47" s="699">
        <v>3789.7</v>
      </c>
      <c r="E47" s="697">
        <f t="shared" si="2"/>
        <v>21.367516548450027</v>
      </c>
      <c r="F47" s="1039">
        <f t="shared" si="0"/>
        <v>91.5</v>
      </c>
      <c r="G47" s="698">
        <f t="shared" si="3"/>
        <v>0.51590568229231271</v>
      </c>
      <c r="H47" s="24">
        <v>17735.8</v>
      </c>
    </row>
    <row r="48" spans="1:9" ht="16.2" hidden="1">
      <c r="A48" s="701"/>
      <c r="B48" s="702"/>
      <c r="C48" s="698"/>
      <c r="D48" s="702"/>
      <c r="E48" s="698"/>
      <c r="F48" s="1039">
        <f t="shared" si="0"/>
        <v>0</v>
      </c>
      <c r="G48" s="698"/>
      <c r="H48" s="24"/>
    </row>
    <row r="49" spans="1:8" ht="16.2">
      <c r="A49" s="696">
        <v>2007</v>
      </c>
      <c r="B49" s="702">
        <v>6006.6</v>
      </c>
      <c r="C49" s="698">
        <v>23.809165176925731</v>
      </c>
      <c r="D49" s="702">
        <v>6086.19</v>
      </c>
      <c r="E49" s="698">
        <v>24.018851994403068</v>
      </c>
      <c r="F49" s="1039">
        <f t="shared" ref="F49:F75" si="4">+B49-D49</f>
        <v>-79.589999999999236</v>
      </c>
      <c r="G49" s="698">
        <v>-0.209686817477337</v>
      </c>
      <c r="H49" s="24"/>
    </row>
    <row r="50" spans="1:8" ht="16.2" hidden="1">
      <c r="A50" s="701" t="s">
        <v>18</v>
      </c>
      <c r="B50" s="702">
        <v>515.29999999999995</v>
      </c>
      <c r="C50" s="698">
        <f t="shared" ref="C50:C61" si="5">B50/H50*100</f>
        <v>31.287188828172429</v>
      </c>
      <c r="D50" s="699">
        <v>92</v>
      </c>
      <c r="E50" s="698">
        <f t="shared" ref="E50:E61" si="6">D50/H50*100</f>
        <v>5.5859137826350942</v>
      </c>
      <c r="F50" s="1039">
        <f t="shared" si="4"/>
        <v>423.29999999999995</v>
      </c>
      <c r="G50" s="698">
        <f t="shared" ref="G50:G60" si="7">F50/H50*100</f>
        <v>25.701275045537336</v>
      </c>
      <c r="H50" s="24">
        <v>1647</v>
      </c>
    </row>
    <row r="51" spans="1:8" ht="16.2" hidden="1">
      <c r="A51" s="701" t="s">
        <v>19</v>
      </c>
      <c r="B51" s="702">
        <v>777.1</v>
      </c>
      <c r="C51" s="698">
        <f t="shared" si="5"/>
        <v>23.742018270141457</v>
      </c>
      <c r="D51" s="699">
        <v>462.7</v>
      </c>
      <c r="E51" s="698">
        <f t="shared" si="6"/>
        <v>14.136445571476584</v>
      </c>
      <c r="F51" s="1039">
        <f t="shared" si="4"/>
        <v>314.40000000000003</v>
      </c>
      <c r="G51" s="698">
        <f t="shared" si="7"/>
        <v>9.6055726986648757</v>
      </c>
      <c r="H51" s="24">
        <v>3273.1</v>
      </c>
    </row>
    <row r="52" spans="1:8" ht="16.2" hidden="1">
      <c r="A52" s="701" t="s">
        <v>20</v>
      </c>
      <c r="B52" s="702">
        <v>1086.8</v>
      </c>
      <c r="C52" s="698">
        <f t="shared" si="5"/>
        <v>21.121778676099041</v>
      </c>
      <c r="D52" s="699">
        <v>834.6</v>
      </c>
      <c r="E52" s="698">
        <f t="shared" si="6"/>
        <v>16.220313289540172</v>
      </c>
      <c r="F52" s="1039">
        <f t="shared" si="4"/>
        <v>252.19999999999993</v>
      </c>
      <c r="G52" s="698">
        <f t="shared" si="7"/>
        <v>4.9014653865588667</v>
      </c>
      <c r="H52" s="24">
        <v>5145.3999999999996</v>
      </c>
    </row>
    <row r="53" spans="1:8" ht="16.2" hidden="1">
      <c r="A53" s="701" t="s">
        <v>21</v>
      </c>
      <c r="B53" s="698">
        <v>1869.1</v>
      </c>
      <c r="C53" s="698">
        <f t="shared" si="5"/>
        <v>27.150576682838963</v>
      </c>
      <c r="D53" s="699">
        <v>1305.7</v>
      </c>
      <c r="E53" s="698">
        <f t="shared" si="6"/>
        <v>18.966619215014092</v>
      </c>
      <c r="F53" s="1039">
        <f t="shared" si="4"/>
        <v>563.39999999999986</v>
      </c>
      <c r="G53" s="698">
        <f t="shared" si="7"/>
        <v>8.1839574678248717</v>
      </c>
      <c r="H53" s="24">
        <v>6884.2</v>
      </c>
    </row>
    <row r="54" spans="1:8" ht="16.2" hidden="1">
      <c r="A54" s="701" t="s">
        <v>22</v>
      </c>
      <c r="B54" s="698">
        <v>2210.1999999999998</v>
      </c>
      <c r="C54" s="698">
        <f t="shared" si="5"/>
        <v>25.221380317692166</v>
      </c>
      <c r="D54" s="699">
        <v>1731.3</v>
      </c>
      <c r="E54" s="698">
        <f t="shared" si="6"/>
        <v>19.756481650538614</v>
      </c>
      <c r="F54" s="1039">
        <f t="shared" si="4"/>
        <v>478.89999999999986</v>
      </c>
      <c r="G54" s="698">
        <f t="shared" si="7"/>
        <v>5.4648986671535491</v>
      </c>
      <c r="H54" s="24">
        <v>8763.2000000000007</v>
      </c>
    </row>
    <row r="55" spans="1:8" ht="16.2" hidden="1">
      <c r="A55" s="701" t="s">
        <v>23</v>
      </c>
      <c r="B55" s="698">
        <v>2582.3000000000002</v>
      </c>
      <c r="C55" s="698">
        <f t="shared" si="5"/>
        <v>24.196057119298381</v>
      </c>
      <c r="D55" s="699">
        <v>2284.8000000000002</v>
      </c>
      <c r="E55" s="698">
        <f t="shared" si="6"/>
        <v>21.408492935047416</v>
      </c>
      <c r="F55" s="1039">
        <f t="shared" si="4"/>
        <v>297.5</v>
      </c>
      <c r="G55" s="698">
        <f t="shared" si="7"/>
        <v>2.7875641842509653</v>
      </c>
      <c r="H55" s="24">
        <v>10672.4</v>
      </c>
    </row>
    <row r="56" spans="1:8" ht="16.2" hidden="1">
      <c r="A56" s="701" t="s">
        <v>24</v>
      </c>
      <c r="B56" s="698">
        <v>3615.6</v>
      </c>
      <c r="C56" s="698">
        <f t="shared" si="5"/>
        <v>28.380574110850333</v>
      </c>
      <c r="D56" s="699">
        <v>2896</v>
      </c>
      <c r="E56" s="698">
        <f t="shared" si="6"/>
        <v>22.73208945265587</v>
      </c>
      <c r="F56" s="1039">
        <f t="shared" si="4"/>
        <v>719.59999999999991</v>
      </c>
      <c r="G56" s="698">
        <f t="shared" si="7"/>
        <v>5.6484846581944623</v>
      </c>
      <c r="H56" s="24">
        <v>12739.7</v>
      </c>
    </row>
    <row r="57" spans="1:8" hidden="1">
      <c r="A57" s="701" t="s">
        <v>25</v>
      </c>
      <c r="B57" s="698">
        <v>3963.6</v>
      </c>
      <c r="C57" s="698">
        <f t="shared" si="5"/>
        <v>26.751437596177208</v>
      </c>
      <c r="D57" s="699">
        <v>3388.5</v>
      </c>
      <c r="E57" s="698">
        <f t="shared" si="6"/>
        <v>22.869927917712804</v>
      </c>
      <c r="F57" s="1039">
        <f t="shared" si="4"/>
        <v>575.09999999999991</v>
      </c>
      <c r="G57" s="698">
        <f t="shared" si="7"/>
        <v>3.8815096784644036</v>
      </c>
      <c r="H57" s="25">
        <v>14816.4</v>
      </c>
    </row>
    <row r="58" spans="1:8" hidden="1">
      <c r="A58" s="701" t="s">
        <v>26</v>
      </c>
      <c r="B58" s="698">
        <v>4383.3999999999996</v>
      </c>
      <c r="C58" s="698">
        <f t="shared" si="5"/>
        <v>26.39330443159923</v>
      </c>
      <c r="D58" s="699">
        <v>3985.9</v>
      </c>
      <c r="E58" s="698">
        <f t="shared" si="6"/>
        <v>23.999879576107901</v>
      </c>
      <c r="F58" s="1039">
        <f t="shared" si="4"/>
        <v>397.49999999999955</v>
      </c>
      <c r="G58" s="698">
        <f t="shared" si="7"/>
        <v>2.3934248554913267</v>
      </c>
      <c r="H58" s="25">
        <v>16608</v>
      </c>
    </row>
    <row r="59" spans="1:8" hidden="1">
      <c r="A59" s="701" t="s">
        <v>27</v>
      </c>
      <c r="B59" s="698">
        <v>5224.1000000000004</v>
      </c>
      <c r="C59" s="698">
        <f t="shared" si="5"/>
        <v>27.877329291980622</v>
      </c>
      <c r="D59" s="699">
        <v>4402.8</v>
      </c>
      <c r="E59" s="698">
        <f t="shared" si="6"/>
        <v>23.494631689043526</v>
      </c>
      <c r="F59" s="1039">
        <f t="shared" si="4"/>
        <v>821.30000000000018</v>
      </c>
      <c r="G59" s="698">
        <f t="shared" si="7"/>
        <v>4.382697602937097</v>
      </c>
      <c r="H59" s="25">
        <v>18739.599999999999</v>
      </c>
    </row>
    <row r="60" spans="1:8" hidden="1">
      <c r="A60" s="701" t="s">
        <v>28</v>
      </c>
      <c r="B60" s="698">
        <v>5566.1</v>
      </c>
      <c r="C60" s="698">
        <f t="shared" si="5"/>
        <v>26.736958401383422</v>
      </c>
      <c r="D60" s="699">
        <v>4841.3999999999996</v>
      </c>
      <c r="E60" s="698">
        <f t="shared" si="6"/>
        <v>23.255836295513497</v>
      </c>
      <c r="F60" s="1039">
        <f t="shared" si="4"/>
        <v>724.70000000000073</v>
      </c>
      <c r="G60" s="698">
        <f t="shared" si="7"/>
        <v>3.4811221058699235</v>
      </c>
      <c r="H60" s="25">
        <v>20818</v>
      </c>
    </row>
    <row r="61" spans="1:8" hidden="1">
      <c r="A61" s="701" t="s">
        <v>29</v>
      </c>
      <c r="B61" s="698">
        <v>6006.6</v>
      </c>
      <c r="C61" s="698">
        <f t="shared" si="5"/>
        <v>23.809165176925731</v>
      </c>
      <c r="D61" s="699">
        <v>6059.5</v>
      </c>
      <c r="E61" s="698">
        <f t="shared" si="6"/>
        <v>24.018851994403068</v>
      </c>
      <c r="F61" s="1039">
        <f t="shared" si="4"/>
        <v>-52.899999999999636</v>
      </c>
      <c r="G61" s="698">
        <f>-F61/H61*100</f>
        <v>0.20968681747733534</v>
      </c>
      <c r="H61" s="25">
        <v>25228.1</v>
      </c>
    </row>
    <row r="62" spans="1:8" ht="16.2">
      <c r="A62" s="696">
        <v>2008</v>
      </c>
      <c r="B62" s="698">
        <v>10762</v>
      </c>
      <c r="C62" s="698">
        <v>26.813031302631973</v>
      </c>
      <c r="D62" s="699">
        <v>10774.2341</v>
      </c>
      <c r="E62" s="698">
        <v>26.608732049071687</v>
      </c>
      <c r="F62" s="1039">
        <f t="shared" si="4"/>
        <v>-12.234099999999671</v>
      </c>
      <c r="G62" s="698">
        <v>0.20429925356028825</v>
      </c>
      <c r="H62" s="24"/>
    </row>
    <row r="63" spans="1:8" ht="16.2" hidden="1">
      <c r="A63" s="701" t="s">
        <v>18</v>
      </c>
      <c r="B63" s="698">
        <v>978.3</v>
      </c>
      <c r="C63" s="698">
        <f t="shared" ref="C63:C73" si="8">B63/H63*100</f>
        <v>42.795275590551178</v>
      </c>
      <c r="D63" s="699">
        <v>179.5</v>
      </c>
      <c r="E63" s="698">
        <f t="shared" ref="E63:E73" si="9">D63/H63*100</f>
        <v>7.8521434820647409</v>
      </c>
      <c r="F63" s="1039">
        <f t="shared" si="4"/>
        <v>798.8</v>
      </c>
      <c r="G63" s="698">
        <f t="shared" ref="G63:G73" si="10">F63/H63*100</f>
        <v>34.943132108486438</v>
      </c>
      <c r="H63" s="24">
        <v>2286</v>
      </c>
    </row>
    <row r="64" spans="1:8" ht="16.2" hidden="1">
      <c r="A64" s="701" t="s">
        <v>19</v>
      </c>
      <c r="B64" s="698">
        <v>1425.1</v>
      </c>
      <c r="C64" s="698">
        <f t="shared" si="8"/>
        <v>29.895112229913991</v>
      </c>
      <c r="D64" s="699">
        <v>832.6</v>
      </c>
      <c r="E64" s="698">
        <f t="shared" si="9"/>
        <v>17.465911474722049</v>
      </c>
      <c r="F64" s="1039">
        <f t="shared" si="4"/>
        <v>592.49999999999989</v>
      </c>
      <c r="G64" s="698">
        <f t="shared" si="10"/>
        <v>12.429200755191943</v>
      </c>
      <c r="H64" s="24">
        <v>4767</v>
      </c>
    </row>
    <row r="65" spans="1:8" s="36" customFormat="1" ht="16.2" hidden="1">
      <c r="A65" s="701" t="s">
        <v>20</v>
      </c>
      <c r="B65" s="698">
        <v>1984.4</v>
      </c>
      <c r="C65" s="698">
        <f t="shared" si="8"/>
        <v>24.171112572778878</v>
      </c>
      <c r="D65" s="699">
        <v>1372.5</v>
      </c>
      <c r="E65" s="698">
        <f t="shared" si="9"/>
        <v>16.71782503836878</v>
      </c>
      <c r="F65" s="1039">
        <f t="shared" si="4"/>
        <v>611.90000000000009</v>
      </c>
      <c r="G65" s="698">
        <f t="shared" si="10"/>
        <v>7.4532875344100971</v>
      </c>
      <c r="H65" s="24">
        <v>8209.7999999999993</v>
      </c>
    </row>
    <row r="66" spans="1:8" s="36" customFormat="1" ht="16.2" hidden="1">
      <c r="A66" s="701" t="s">
        <v>21</v>
      </c>
      <c r="B66" s="697">
        <v>3427.5</v>
      </c>
      <c r="C66" s="698">
        <f t="shared" si="8"/>
        <v>30.678278615158781</v>
      </c>
      <c r="D66" s="699">
        <v>2131.1999999999998</v>
      </c>
      <c r="E66" s="698">
        <f t="shared" si="9"/>
        <v>19.075579105653215</v>
      </c>
      <c r="F66" s="1039">
        <f t="shared" si="4"/>
        <v>1296.3000000000002</v>
      </c>
      <c r="G66" s="698">
        <f t="shared" si="10"/>
        <v>11.60269950950557</v>
      </c>
      <c r="H66" s="24">
        <v>11172.4</v>
      </c>
    </row>
    <row r="67" spans="1:8" s="36" customFormat="1" ht="16.2" hidden="1">
      <c r="A67" s="701" t="s">
        <v>22</v>
      </c>
      <c r="B67" s="698">
        <v>4070.6</v>
      </c>
      <c r="C67" s="698">
        <f t="shared" si="8"/>
        <v>28.448625302265768</v>
      </c>
      <c r="D67" s="702">
        <v>2972.6</v>
      </c>
      <c r="E67" s="698">
        <f t="shared" si="9"/>
        <v>20.774918580434143</v>
      </c>
      <c r="F67" s="1039">
        <f t="shared" si="4"/>
        <v>1098</v>
      </c>
      <c r="G67" s="698">
        <f t="shared" si="10"/>
        <v>7.6737067218316257</v>
      </c>
      <c r="H67" s="24">
        <v>14308.6</v>
      </c>
    </row>
    <row r="68" spans="1:8" s="36" customFormat="1" ht="16.2" hidden="1">
      <c r="A68" s="701" t="s">
        <v>23</v>
      </c>
      <c r="B68" s="698">
        <v>4809.7</v>
      </c>
      <c r="C68" s="698">
        <f t="shared" si="8"/>
        <v>25.990370534483969</v>
      </c>
      <c r="D68" s="699">
        <v>4094.6</v>
      </c>
      <c r="E68" s="698">
        <f t="shared" si="9"/>
        <v>22.126155724992838</v>
      </c>
      <c r="F68" s="1039">
        <f t="shared" si="4"/>
        <v>715.09999999999991</v>
      </c>
      <c r="G68" s="698">
        <f t="shared" si="10"/>
        <v>3.8642148094911288</v>
      </c>
      <c r="H68" s="24">
        <v>18505.7</v>
      </c>
    </row>
    <row r="69" spans="1:8" s="36" customFormat="1" ht="16.2" hidden="1">
      <c r="A69" s="701" t="s">
        <v>24</v>
      </c>
      <c r="B69" s="698">
        <v>6038.9</v>
      </c>
      <c r="C69" s="698">
        <f t="shared" si="8"/>
        <v>26.236580629184392</v>
      </c>
      <c r="D69" s="699">
        <v>5106.5</v>
      </c>
      <c r="E69" s="698">
        <f t="shared" si="9"/>
        <v>22.185679342749523</v>
      </c>
      <c r="F69" s="1039">
        <f t="shared" si="4"/>
        <v>932.39999999999964</v>
      </c>
      <c r="G69" s="698">
        <f t="shared" si="10"/>
        <v>4.0509012864348666</v>
      </c>
      <c r="H69" s="24">
        <v>23017.1</v>
      </c>
    </row>
    <row r="70" spans="1:8" s="36" customFormat="1" ht="16.2" hidden="1">
      <c r="A70" s="701" t="s">
        <v>25</v>
      </c>
      <c r="B70" s="698">
        <v>6685.7</v>
      </c>
      <c r="C70" s="698">
        <f t="shared" si="8"/>
        <v>25.821588991151671</v>
      </c>
      <c r="D70" s="699">
        <v>5828.2</v>
      </c>
      <c r="E70" s="698">
        <f t="shared" si="9"/>
        <v>22.509742429099447</v>
      </c>
      <c r="F70" s="1039">
        <f t="shared" si="4"/>
        <v>857.5</v>
      </c>
      <c r="G70" s="698">
        <f t="shared" si="10"/>
        <v>3.3118465620522244</v>
      </c>
      <c r="H70" s="24">
        <v>25891.9</v>
      </c>
    </row>
    <row r="71" spans="1:8" s="36" customFormat="1" ht="16.2" hidden="1">
      <c r="A71" s="701" t="s">
        <v>26</v>
      </c>
      <c r="B71" s="698">
        <v>7606.5</v>
      </c>
      <c r="C71" s="698">
        <f t="shared" si="8"/>
        <v>25.045768248030974</v>
      </c>
      <c r="D71" s="699">
        <v>6719.1</v>
      </c>
      <c r="E71" s="698">
        <f t="shared" si="9"/>
        <v>22.123844269420225</v>
      </c>
      <c r="F71" s="1039">
        <f t="shared" si="4"/>
        <v>887.39999999999964</v>
      </c>
      <c r="G71" s="698">
        <f t="shared" si="10"/>
        <v>2.9219239786107511</v>
      </c>
      <c r="H71" s="24">
        <v>30370.400000000001</v>
      </c>
    </row>
    <row r="72" spans="1:8" s="36" customFormat="1" ht="16.2" hidden="1">
      <c r="A72" s="701" t="s">
        <v>27</v>
      </c>
      <c r="B72" s="698">
        <v>8736.2999999999993</v>
      </c>
      <c r="C72" s="698">
        <f t="shared" si="8"/>
        <v>26.845899503417076</v>
      </c>
      <c r="D72" s="699">
        <v>7598.4</v>
      </c>
      <c r="E72" s="698">
        <f t="shared" si="9"/>
        <v>23.349230542307879</v>
      </c>
      <c r="F72" s="1039">
        <f t="shared" si="4"/>
        <v>1137.8999999999996</v>
      </c>
      <c r="G72" s="698">
        <f t="shared" si="10"/>
        <v>3.4966689611091977</v>
      </c>
      <c r="H72" s="24">
        <v>32542.400000000001</v>
      </c>
    </row>
    <row r="73" spans="1:8" s="36" customFormat="1" ht="16.2" hidden="1">
      <c r="A73" s="701" t="s">
        <v>28</v>
      </c>
      <c r="B73" s="698">
        <v>9387.2999999999993</v>
      </c>
      <c r="C73" s="698">
        <f t="shared" si="8"/>
        <v>27.083489610681866</v>
      </c>
      <c r="D73" s="699">
        <v>8280.7999999999993</v>
      </c>
      <c r="E73" s="698">
        <f t="shared" si="9"/>
        <v>23.891104020126598</v>
      </c>
      <c r="F73" s="1039">
        <f t="shared" si="4"/>
        <v>1106.5</v>
      </c>
      <c r="G73" s="698">
        <f t="shared" si="10"/>
        <v>3.1923855905552703</v>
      </c>
      <c r="H73" s="24">
        <v>34660.6</v>
      </c>
    </row>
    <row r="74" spans="1:8" s="36" customFormat="1" ht="16.2" hidden="1">
      <c r="A74" s="701" t="s">
        <v>29</v>
      </c>
      <c r="B74" s="698">
        <v>10762</v>
      </c>
      <c r="C74" s="698">
        <v>26.813031302631973</v>
      </c>
      <c r="D74" s="699">
        <v>10680</v>
      </c>
      <c r="E74" s="698">
        <v>26.608732049071687</v>
      </c>
      <c r="F74" s="1039">
        <f t="shared" si="4"/>
        <v>82</v>
      </c>
      <c r="G74" s="698">
        <v>0.20429925356028825</v>
      </c>
      <c r="H74" s="26">
        <v>40137.199999999997</v>
      </c>
    </row>
    <row r="75" spans="1:8" s="36" customFormat="1" ht="16.2">
      <c r="A75" s="696">
        <v>2009</v>
      </c>
      <c r="B75" s="698">
        <v>10325.9</v>
      </c>
      <c r="C75" s="698">
        <v>29.862024888153694</v>
      </c>
      <c r="D75" s="702">
        <v>10503.8588</v>
      </c>
      <c r="E75" s="698">
        <v>30.561877687709487</v>
      </c>
      <c r="F75" s="1039">
        <f t="shared" si="4"/>
        <v>-177.95880000000034</v>
      </c>
      <c r="G75" s="698">
        <v>-0.69985279955579605</v>
      </c>
      <c r="H75" s="26"/>
    </row>
    <row r="76" spans="1:8" s="36" customFormat="1" ht="16.2" hidden="1">
      <c r="A76" s="701" t="s">
        <v>18</v>
      </c>
      <c r="B76" s="703">
        <v>997.4</v>
      </c>
      <c r="C76" s="703">
        <f t="shared" ref="C76:C86" si="11">B76/H76*100</f>
        <v>53.623655913978496</v>
      </c>
      <c r="D76" s="704">
        <v>241.5</v>
      </c>
      <c r="E76" s="703">
        <v>12.983870967741936</v>
      </c>
      <c r="F76" s="703">
        <v>755.9</v>
      </c>
      <c r="G76" s="703">
        <v>40.63978494623656</v>
      </c>
      <c r="H76" s="26">
        <v>1860</v>
      </c>
    </row>
    <row r="77" spans="1:8" s="36" customFormat="1" ht="16.2" hidden="1">
      <c r="A77" s="701" t="s">
        <v>19</v>
      </c>
      <c r="B77" s="703">
        <v>1799.8</v>
      </c>
      <c r="C77" s="703">
        <f t="shared" si="11"/>
        <v>46.635400202109189</v>
      </c>
      <c r="D77" s="704">
        <v>1440</v>
      </c>
      <c r="E77" s="703">
        <v>37.312465991241936</v>
      </c>
      <c r="F77" s="703">
        <v>359.79999999999995</v>
      </c>
      <c r="G77" s="703">
        <v>9.3229342108672544</v>
      </c>
      <c r="H77" s="26">
        <v>3859.3</v>
      </c>
    </row>
    <row r="78" spans="1:8" s="36" customFormat="1" ht="16.2" hidden="1">
      <c r="A78" s="701" t="s">
        <v>20</v>
      </c>
      <c r="B78" s="703">
        <v>2522.3000000000002</v>
      </c>
      <c r="C78" s="703">
        <f t="shared" si="11"/>
        <v>37.412857100477623</v>
      </c>
      <c r="D78" s="704">
        <v>2347.6999999999998</v>
      </c>
      <c r="E78" s="703">
        <v>34.823044290842205</v>
      </c>
      <c r="F78" s="703">
        <v>174.6</v>
      </c>
      <c r="G78" s="703">
        <v>2.5898128096354087</v>
      </c>
      <c r="H78" s="26">
        <v>6741.8</v>
      </c>
    </row>
    <row r="79" spans="1:8" s="36" customFormat="1" ht="16.2" hidden="1">
      <c r="A79" s="701" t="s">
        <v>21</v>
      </c>
      <c r="B79" s="703">
        <v>3234.2</v>
      </c>
      <c r="C79" s="703">
        <f t="shared" si="11"/>
        <v>35.951534015117829</v>
      </c>
      <c r="D79" s="704">
        <v>2972.4</v>
      </c>
      <c r="E79" s="703">
        <v>33.041351711871947</v>
      </c>
      <c r="F79" s="703">
        <v>261.8</v>
      </c>
      <c r="G79" s="703">
        <v>2.9101823032458873</v>
      </c>
      <c r="H79" s="26">
        <v>8996</v>
      </c>
    </row>
    <row r="80" spans="1:8" s="36" customFormat="1" ht="16.2" hidden="1">
      <c r="A80" s="701" t="s">
        <v>22</v>
      </c>
      <c r="B80" s="703">
        <v>3994.4</v>
      </c>
      <c r="C80" s="703">
        <f t="shared" si="11"/>
        <v>35.143100975708464</v>
      </c>
      <c r="D80" s="704">
        <v>3657.4</v>
      </c>
      <c r="E80" s="703">
        <v>32.178143778428833</v>
      </c>
      <c r="F80" s="703">
        <v>337</v>
      </c>
      <c r="G80" s="703">
        <v>2.9649571972796296</v>
      </c>
      <c r="H80" s="26">
        <v>11366.1</v>
      </c>
    </row>
    <row r="81" spans="1:8" s="1037" customFormat="1" ht="16.2" hidden="1">
      <c r="A81" s="1043" t="s">
        <v>23</v>
      </c>
      <c r="B81" s="1038">
        <v>4861.8999999999996</v>
      </c>
      <c r="C81" s="1038">
        <f t="shared" si="11"/>
        <v>34.028570028765998</v>
      </c>
      <c r="D81" s="1042">
        <v>4437.8999999999996</v>
      </c>
      <c r="E81" s="1038">
        <v>31.060982523429239</v>
      </c>
      <c r="F81" s="1038">
        <f>+B81-D81</f>
        <v>424</v>
      </c>
      <c r="G81" s="1038">
        <v>2.9675875053367582</v>
      </c>
      <c r="H81" s="1041">
        <v>14287.7</v>
      </c>
    </row>
    <row r="82" spans="1:8" s="1037" customFormat="1" ht="16.2" hidden="1">
      <c r="A82" s="1043" t="s">
        <v>24</v>
      </c>
      <c r="B82" s="1038">
        <v>5708.7</v>
      </c>
      <c r="C82" s="1038">
        <f t="shared" si="11"/>
        <v>32.928791855334119</v>
      </c>
      <c r="D82" s="1042">
        <v>5276</v>
      </c>
      <c r="E82" s="1038">
        <v>30.432901681423587</v>
      </c>
      <c r="F82" s="1038">
        <v>432.69999999999982</v>
      </c>
      <c r="G82" s="1038">
        <v>2.4958901739105346</v>
      </c>
      <c r="H82" s="1041">
        <v>17336.5</v>
      </c>
    </row>
    <row r="83" spans="1:8" s="1037" customFormat="1" ht="16.2" hidden="1">
      <c r="A83" s="1043" t="s">
        <v>25</v>
      </c>
      <c r="B83" s="1038">
        <v>6539.1</v>
      </c>
      <c r="C83" s="1038">
        <f t="shared" si="11"/>
        <v>31.700116346713209</v>
      </c>
      <c r="D83" s="1042">
        <v>5861.4</v>
      </c>
      <c r="E83" s="1038">
        <f>D83/H83*100</f>
        <v>28.414776032577077</v>
      </c>
      <c r="F83" s="1038">
        <v>677.70000000000073</v>
      </c>
      <c r="G83" s="1038">
        <f>F83/H83*100</f>
        <v>3.2853403141361293</v>
      </c>
      <c r="H83" s="1041">
        <v>20628</v>
      </c>
    </row>
    <row r="84" spans="1:8" s="1037" customFormat="1" ht="16.2" hidden="1">
      <c r="A84" s="1043" t="s">
        <v>26</v>
      </c>
      <c r="B84" s="1038">
        <v>7235</v>
      </c>
      <c r="C84" s="1038">
        <f t="shared" si="11"/>
        <v>27.150764612064922</v>
      </c>
      <c r="D84" s="1042">
        <v>6456.8</v>
      </c>
      <c r="E84" s="1038">
        <f>D84/H84*100</f>
        <v>24.230415611220565</v>
      </c>
      <c r="F84" s="1038">
        <v>778.2</v>
      </c>
      <c r="G84" s="1038">
        <f>F84/H84*100</f>
        <v>2.9203490008443569</v>
      </c>
      <c r="H84" s="1041">
        <v>26647.5</v>
      </c>
    </row>
    <row r="85" spans="1:8" s="1037" customFormat="1" ht="16.2" hidden="1">
      <c r="A85" s="1043" t="s">
        <v>27</v>
      </c>
      <c r="B85" s="1038">
        <v>8342.2000000000007</v>
      </c>
      <c r="C85" s="1038">
        <f t="shared" si="11"/>
        <v>31.305751008537392</v>
      </c>
      <c r="D85" s="1042">
        <v>7178.9</v>
      </c>
      <c r="E85" s="1038">
        <f>D85/H85*100</f>
        <v>26.940238296275449</v>
      </c>
      <c r="F85" s="1038">
        <v>1163.3000000000011</v>
      </c>
      <c r="G85" s="1038">
        <f>F85/H85*100</f>
        <v>4.3655127122619426</v>
      </c>
      <c r="H85" s="1041">
        <v>26647.5</v>
      </c>
    </row>
    <row r="86" spans="1:8" s="1037" customFormat="1" ht="16.2" hidden="1">
      <c r="A86" s="1043" t="s">
        <v>28</v>
      </c>
      <c r="B86" s="1038">
        <v>8919.1</v>
      </c>
      <c r="C86" s="1038">
        <f t="shared" si="11"/>
        <v>30.077021130227759</v>
      </c>
      <c r="D86" s="1042">
        <v>7892.2</v>
      </c>
      <c r="E86" s="1038">
        <f>D86/H86*100</f>
        <v>26.614105253218767</v>
      </c>
      <c r="F86" s="1038">
        <v>1026.9000000000005</v>
      </c>
      <c r="G86" s="1038">
        <f>F86/H86*100</f>
        <v>3.4629158770089923</v>
      </c>
      <c r="H86" s="1041">
        <v>29654.2</v>
      </c>
    </row>
    <row r="87" spans="1:8" s="1037" customFormat="1" ht="16.2" hidden="1">
      <c r="A87" s="1043" t="s">
        <v>29</v>
      </c>
      <c r="B87" s="1038">
        <v>10325.9</v>
      </c>
      <c r="C87" s="1038">
        <v>29.862024888153694</v>
      </c>
      <c r="D87" s="1042">
        <v>10567.9</v>
      </c>
      <c r="E87" s="1038">
        <v>30.561877687709487</v>
      </c>
      <c r="F87" s="1038">
        <v>-242</v>
      </c>
      <c r="G87" s="1038">
        <v>0.69985279955579593</v>
      </c>
      <c r="H87" s="1041">
        <v>34578.699999999997</v>
      </c>
    </row>
    <row r="88" spans="1:8" s="1037" customFormat="1" ht="16.2">
      <c r="A88" s="696">
        <v>2010</v>
      </c>
      <c r="B88" s="698">
        <v>11403</v>
      </c>
      <c r="C88" s="1039">
        <v>27.426535849927962</v>
      </c>
      <c r="D88" s="699">
        <v>11765.9</v>
      </c>
      <c r="E88" s="1039">
        <v>28.30086567070839</v>
      </c>
      <c r="F88" s="1039">
        <v>-363.5</v>
      </c>
      <c r="G88" s="1039">
        <v>0.87432982078042665</v>
      </c>
      <c r="H88" s="26"/>
    </row>
    <row r="89" spans="1:8" s="1037" customFormat="1" ht="16.2" hidden="1">
      <c r="A89" s="701" t="s">
        <v>18</v>
      </c>
      <c r="B89" s="703">
        <v>973</v>
      </c>
      <c r="C89" s="1038">
        <v>30.292652552926526</v>
      </c>
      <c r="D89" s="704">
        <v>320.39999999999998</v>
      </c>
      <c r="E89" s="1038">
        <v>9.9750933997509339</v>
      </c>
      <c r="F89" s="1038">
        <v>652.6</v>
      </c>
      <c r="G89" s="1038">
        <v>20.317559153175594</v>
      </c>
      <c r="H89" s="26">
        <v>3212</v>
      </c>
    </row>
    <row r="90" spans="1:8" s="1037" customFormat="1" ht="16.2" hidden="1">
      <c r="A90" s="701" t="s">
        <v>19</v>
      </c>
      <c r="B90" s="703">
        <v>1632.3</v>
      </c>
      <c r="C90" s="1038">
        <v>26.636749347258487</v>
      </c>
      <c r="D90" s="704">
        <v>1081.5999999999999</v>
      </c>
      <c r="E90" s="1038">
        <v>17.650130548302869</v>
      </c>
      <c r="F90" s="1038">
        <v>550.70000000000005</v>
      </c>
      <c r="G90" s="1038">
        <v>8.9866187989556146</v>
      </c>
      <c r="H90" s="26">
        <v>6128</v>
      </c>
    </row>
    <row r="91" spans="1:8" s="1037" customFormat="1" ht="16.2" hidden="1">
      <c r="A91" s="701" t="s">
        <v>20</v>
      </c>
      <c r="B91" s="703">
        <v>2446.1999999999998</v>
      </c>
      <c r="C91" s="1038">
        <v>25.61036894342309</v>
      </c>
      <c r="D91" s="704">
        <v>1979.1</v>
      </c>
      <c r="E91" s="1038">
        <v>20.720088780937225</v>
      </c>
      <c r="F91" s="1038">
        <v>467.09999999999991</v>
      </c>
      <c r="G91" s="1038">
        <v>4.8902801624858654</v>
      </c>
      <c r="H91" s="26">
        <v>9551.6</v>
      </c>
    </row>
    <row r="92" spans="1:8" s="1037" customFormat="1" ht="16.2" hidden="1">
      <c r="A92" s="701" t="s">
        <v>21</v>
      </c>
      <c r="B92" s="703">
        <v>3232.6</v>
      </c>
      <c r="C92" s="1038">
        <v>24.895070427958629</v>
      </c>
      <c r="D92" s="704">
        <v>2779.9</v>
      </c>
      <c r="E92" s="1038">
        <v>21.408713197637258</v>
      </c>
      <c r="F92" s="1038">
        <v>452.69999999999982</v>
      </c>
      <c r="G92" s="1038">
        <v>3.4863572303213721</v>
      </c>
      <c r="H92" s="26">
        <v>12984.9</v>
      </c>
    </row>
    <row r="93" spans="1:8" s="1037" customFormat="1" ht="16.2" hidden="1">
      <c r="A93" s="701" t="s">
        <v>22</v>
      </c>
      <c r="B93" s="703">
        <v>4096.2</v>
      </c>
      <c r="C93" s="1038">
        <v>24.774554097944222</v>
      </c>
      <c r="D93" s="704">
        <v>3559.1</v>
      </c>
      <c r="E93" s="1038">
        <v>21.526076727208945</v>
      </c>
      <c r="F93" s="1038">
        <v>537.09999999999991</v>
      </c>
      <c r="G93" s="1038">
        <v>3.2484773707352761</v>
      </c>
      <c r="H93" s="26">
        <v>16533.900000000001</v>
      </c>
    </row>
    <row r="94" spans="1:8" s="1037" customFormat="1" ht="16.2" hidden="1">
      <c r="A94" s="701" t="s">
        <v>23</v>
      </c>
      <c r="B94" s="703">
        <v>4922.7</v>
      </c>
      <c r="C94" s="1038">
        <v>25.01371951219512</v>
      </c>
      <c r="D94" s="704">
        <v>4276.7</v>
      </c>
      <c r="E94" s="1038">
        <v>21.731199186991869</v>
      </c>
      <c r="F94" s="1038">
        <v>646</v>
      </c>
      <c r="G94" s="1038">
        <v>3.2825203252032518</v>
      </c>
      <c r="H94" s="26">
        <v>19680</v>
      </c>
    </row>
    <row r="95" spans="1:8" s="1037" customFormat="1" ht="16.2" hidden="1">
      <c r="A95" s="701" t="s">
        <v>24</v>
      </c>
      <c r="B95" s="703">
        <v>5734.2</v>
      </c>
      <c r="C95" s="1038">
        <v>24.76473458952178</v>
      </c>
      <c r="D95" s="704">
        <v>5244.1</v>
      </c>
      <c r="E95" s="1038">
        <v>22.648101681300126</v>
      </c>
      <c r="F95" s="1038">
        <v>490.09999999999945</v>
      </c>
      <c r="G95" s="1038">
        <v>2.1166329082216544</v>
      </c>
      <c r="H95" s="26">
        <v>23154.7</v>
      </c>
    </row>
    <row r="96" spans="1:8" s="1037" customFormat="1" ht="16.2" hidden="1">
      <c r="A96" s="701" t="s">
        <v>25</v>
      </c>
      <c r="B96" s="703">
        <v>6708.9</v>
      </c>
      <c r="C96" s="1038">
        <v>25.616656993615788</v>
      </c>
      <c r="D96" s="704">
        <v>6044.5</v>
      </c>
      <c r="E96" s="1038">
        <v>23.079772123285579</v>
      </c>
      <c r="F96" s="1038">
        <v>664.39999999999964</v>
      </c>
      <c r="G96" s="1038">
        <v>2.5368848703302063</v>
      </c>
      <c r="H96" s="26">
        <v>26189.599999999999</v>
      </c>
    </row>
    <row r="97" spans="1:248" s="1037" customFormat="1" ht="16.2" hidden="1">
      <c r="A97" s="701" t="s">
        <v>26</v>
      </c>
      <c r="B97" s="703">
        <v>7504.5</v>
      </c>
      <c r="C97" s="1038">
        <v>25.605636686229015</v>
      </c>
      <c r="D97" s="704">
        <v>6836.6</v>
      </c>
      <c r="E97" s="1038">
        <v>23.326736727173468</v>
      </c>
      <c r="F97" s="1038">
        <v>667.89999999999964</v>
      </c>
      <c r="G97" s="1038">
        <v>2.2788999590555465</v>
      </c>
      <c r="H97" s="26">
        <v>29308</v>
      </c>
    </row>
    <row r="98" spans="1:248" s="1037" customFormat="1" ht="16.2" hidden="1">
      <c r="A98" s="701" t="s">
        <v>27</v>
      </c>
      <c r="B98" s="703">
        <v>8418.2999999999993</v>
      </c>
      <c r="C98" s="1038">
        <v>25.902860044000676</v>
      </c>
      <c r="D98" s="704">
        <v>7643.8</v>
      </c>
      <c r="E98" s="1038">
        <v>23.519746457637812</v>
      </c>
      <c r="F98" s="1038">
        <v>774.49999999999909</v>
      </c>
      <c r="G98" s="1038">
        <v>2.3831135863628643</v>
      </c>
      <c r="H98" s="26">
        <v>32499.5</v>
      </c>
    </row>
    <row r="99" spans="1:248" ht="16.2" hidden="1">
      <c r="A99" s="701" t="s">
        <v>28</v>
      </c>
      <c r="B99" s="703">
        <v>9192</v>
      </c>
      <c r="C99" s="1038">
        <v>25.131645860332352</v>
      </c>
      <c r="D99" s="704">
        <v>8421</v>
      </c>
      <c r="E99" s="1038">
        <v>23.023671648156956</v>
      </c>
      <c r="F99" s="1038">
        <v>771</v>
      </c>
      <c r="G99" s="1038">
        <v>2.1079742121753968</v>
      </c>
      <c r="H99" s="26">
        <v>32499.5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7"/>
      <c r="AB99" s="1037"/>
      <c r="AC99" s="1037"/>
      <c r="AD99" s="1037"/>
      <c r="AE99" s="1037"/>
      <c r="AF99" s="1037"/>
      <c r="AG99" s="1037"/>
      <c r="AH99" s="1037"/>
      <c r="AI99" s="1037"/>
      <c r="AJ99" s="1037"/>
      <c r="AK99" s="1037"/>
      <c r="AL99" s="1037"/>
      <c r="AM99" s="1037"/>
      <c r="AN99" s="1037"/>
      <c r="AO99" s="1037"/>
      <c r="AP99" s="1037"/>
      <c r="AQ99" s="1037"/>
      <c r="AR99" s="1037"/>
      <c r="AS99" s="1037"/>
      <c r="AT99" s="1037"/>
      <c r="AU99" s="1037"/>
      <c r="AV99" s="1037"/>
      <c r="AW99" s="1037"/>
      <c r="AX99" s="1037"/>
      <c r="AY99" s="1037"/>
      <c r="AZ99" s="1037"/>
      <c r="BA99" s="1037"/>
      <c r="BB99" s="1037"/>
      <c r="BC99" s="1037"/>
      <c r="BD99" s="1037"/>
      <c r="BE99" s="1037"/>
      <c r="BF99" s="1037"/>
      <c r="BG99" s="1037"/>
      <c r="BH99" s="1037"/>
      <c r="BI99" s="1037"/>
      <c r="BJ99" s="1037"/>
      <c r="BK99" s="1037"/>
      <c r="BL99" s="1037"/>
      <c r="BM99" s="1037"/>
      <c r="BN99" s="1037"/>
      <c r="BO99" s="1037"/>
      <c r="BP99" s="1037"/>
      <c r="BQ99" s="1037"/>
      <c r="BR99" s="1037"/>
      <c r="BS99" s="1037"/>
      <c r="BT99" s="1037"/>
      <c r="BU99" s="1037"/>
      <c r="BV99" s="1037"/>
      <c r="BW99" s="1037"/>
      <c r="BX99" s="1037"/>
      <c r="BY99" s="1037"/>
      <c r="BZ99" s="1037"/>
      <c r="CA99" s="1037"/>
      <c r="CB99" s="1037"/>
      <c r="CC99" s="1037"/>
      <c r="CD99" s="1037"/>
      <c r="CE99" s="1037"/>
      <c r="CF99" s="1037"/>
      <c r="CG99" s="1037"/>
      <c r="CH99" s="1037"/>
      <c r="CI99" s="1037"/>
      <c r="CJ99" s="1037"/>
      <c r="CK99" s="1037"/>
      <c r="CL99" s="1037"/>
      <c r="CM99" s="1037"/>
      <c r="CN99" s="1037"/>
      <c r="CO99" s="1037"/>
      <c r="CP99" s="1037"/>
      <c r="CQ99" s="1037"/>
      <c r="CR99" s="1037"/>
      <c r="CS99" s="1037"/>
      <c r="CT99" s="1037"/>
      <c r="CU99" s="1037"/>
      <c r="CV99" s="1037"/>
      <c r="CW99" s="1037"/>
      <c r="CX99" s="1037"/>
      <c r="CY99" s="1037"/>
      <c r="CZ99" s="1037"/>
      <c r="DA99" s="1037"/>
      <c r="DB99" s="1037"/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7"/>
      <c r="DN99" s="1037"/>
      <c r="DO99" s="1037"/>
      <c r="DP99" s="1037"/>
      <c r="DQ99" s="1037"/>
      <c r="DR99" s="1037"/>
      <c r="DS99" s="1037"/>
      <c r="DT99" s="1037"/>
      <c r="DU99" s="1037"/>
      <c r="DV99" s="1037"/>
      <c r="DW99" s="1037"/>
      <c r="DX99" s="1037"/>
      <c r="DY99" s="1037"/>
      <c r="DZ99" s="1037"/>
      <c r="EA99" s="1037"/>
      <c r="EB99" s="1037"/>
      <c r="EC99" s="1037"/>
      <c r="ED99" s="1037"/>
      <c r="EE99" s="1037"/>
      <c r="EF99" s="1037"/>
      <c r="EG99" s="1037"/>
      <c r="EH99" s="1037"/>
      <c r="EI99" s="1037"/>
      <c r="EJ99" s="1037"/>
      <c r="EK99" s="1037"/>
      <c r="EL99" s="1037"/>
      <c r="EM99" s="1037"/>
      <c r="EN99" s="1037"/>
      <c r="EO99" s="1037"/>
      <c r="EP99" s="1037"/>
      <c r="EQ99" s="1037"/>
      <c r="ER99" s="1037"/>
      <c r="ES99" s="1037"/>
      <c r="ET99" s="1037"/>
      <c r="EU99" s="1037"/>
      <c r="EV99" s="1037"/>
      <c r="EW99" s="1037"/>
      <c r="EX99" s="1037"/>
      <c r="EY99" s="1037"/>
      <c r="EZ99" s="1037"/>
      <c r="FA99" s="1037"/>
      <c r="FB99" s="1037"/>
      <c r="FC99" s="1037"/>
      <c r="FD99" s="1037"/>
      <c r="FE99" s="1037"/>
      <c r="FF99" s="1037"/>
      <c r="FG99" s="1037"/>
      <c r="FH99" s="1037"/>
      <c r="FI99" s="1037"/>
      <c r="FJ99" s="1037"/>
      <c r="FK99" s="1037"/>
      <c r="FL99" s="1037"/>
      <c r="FM99" s="1037"/>
      <c r="FN99" s="1037"/>
      <c r="FO99" s="1037"/>
      <c r="FP99" s="1037"/>
      <c r="FQ99" s="1037"/>
      <c r="FR99" s="1037"/>
      <c r="FS99" s="1037"/>
      <c r="FT99" s="1037"/>
      <c r="FU99" s="1037"/>
      <c r="FV99" s="1037"/>
      <c r="FW99" s="1037"/>
      <c r="FX99" s="1037"/>
      <c r="FY99" s="1037"/>
      <c r="FZ99" s="1037"/>
      <c r="GA99" s="1037"/>
      <c r="GB99" s="1037"/>
      <c r="GC99" s="1037"/>
      <c r="GD99" s="1037"/>
      <c r="GE99" s="1037"/>
      <c r="GF99" s="1037"/>
      <c r="GG99" s="1037"/>
      <c r="GH99" s="1037"/>
      <c r="GI99" s="1037"/>
      <c r="GJ99" s="1037"/>
      <c r="GK99" s="1037"/>
      <c r="GL99" s="1037"/>
      <c r="GM99" s="1037"/>
      <c r="GN99" s="1037"/>
      <c r="GO99" s="1037"/>
      <c r="GP99" s="1037"/>
      <c r="GQ99" s="1037"/>
      <c r="GR99" s="1037"/>
      <c r="GS99" s="1037"/>
      <c r="GT99" s="1037"/>
      <c r="GU99" s="1037"/>
      <c r="GV99" s="1037"/>
      <c r="GW99" s="1037"/>
      <c r="GX99" s="1037"/>
      <c r="GY99" s="1037"/>
      <c r="GZ99" s="1037"/>
      <c r="HA99" s="1037"/>
      <c r="HB99" s="1037"/>
      <c r="HC99" s="1037"/>
      <c r="HD99" s="1037"/>
      <c r="HE99" s="1037"/>
      <c r="HF99" s="1037"/>
      <c r="HG99" s="1037"/>
      <c r="HH99" s="1037"/>
      <c r="HI99" s="1037"/>
      <c r="HJ99" s="1037"/>
      <c r="HK99" s="1037"/>
      <c r="HL99" s="1037"/>
      <c r="HM99" s="1037"/>
      <c r="HN99" s="1037"/>
      <c r="HO99" s="1037"/>
      <c r="HP99" s="1037"/>
      <c r="HQ99" s="1037"/>
      <c r="HR99" s="1037"/>
      <c r="HS99" s="1037"/>
      <c r="HT99" s="1037"/>
      <c r="HU99" s="1037"/>
      <c r="HV99" s="1037"/>
      <c r="HW99" s="1037"/>
      <c r="HX99" s="1037"/>
      <c r="HY99" s="1037"/>
      <c r="HZ99" s="1037"/>
      <c r="IA99" s="1037"/>
      <c r="IB99" s="1037"/>
      <c r="IC99" s="1037"/>
      <c r="ID99" s="1037"/>
      <c r="IE99" s="1037"/>
      <c r="IF99" s="1037"/>
      <c r="IG99" s="1037"/>
      <c r="IH99" s="1037"/>
      <c r="II99" s="1037"/>
      <c r="IJ99" s="1037"/>
      <c r="IK99" s="1037"/>
      <c r="IL99" s="1037"/>
      <c r="IM99" s="1037"/>
      <c r="IN99" s="1037"/>
    </row>
    <row r="100" spans="1:248" ht="16.2" hidden="1">
      <c r="A100" s="701" t="s">
        <v>29</v>
      </c>
      <c r="B100" s="703">
        <v>11402.5</v>
      </c>
      <c r="C100" s="1038">
        <v>27.426535849927962</v>
      </c>
      <c r="D100" s="704">
        <v>11766</v>
      </c>
      <c r="E100" s="1038">
        <v>28.30086567070839</v>
      </c>
      <c r="F100" s="1038">
        <v>-363.5</v>
      </c>
      <c r="G100" s="1038">
        <v>0.87432982078042665</v>
      </c>
      <c r="H100" s="26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7"/>
      <c r="AB100" s="1037"/>
      <c r="AC100" s="1037"/>
      <c r="AD100" s="1037"/>
      <c r="AE100" s="1037"/>
      <c r="AF100" s="1037"/>
      <c r="AG100" s="1037"/>
      <c r="AH100" s="1037"/>
      <c r="AI100" s="1037"/>
      <c r="AJ100" s="1037"/>
      <c r="AK100" s="1037"/>
      <c r="AL100" s="1037"/>
      <c r="AM100" s="1037"/>
      <c r="AN100" s="1037"/>
      <c r="AO100" s="1037"/>
      <c r="AP100" s="1037"/>
      <c r="AQ100" s="1037"/>
      <c r="AR100" s="1037"/>
      <c r="AS100" s="1037"/>
      <c r="AT100" s="1037"/>
      <c r="AU100" s="1037"/>
      <c r="AV100" s="1037"/>
      <c r="AW100" s="1037"/>
      <c r="AX100" s="1037"/>
      <c r="AY100" s="1037"/>
      <c r="AZ100" s="1037"/>
      <c r="BA100" s="1037"/>
      <c r="BB100" s="1037"/>
      <c r="BC100" s="1037"/>
      <c r="BD100" s="1037"/>
      <c r="BE100" s="1037"/>
      <c r="BF100" s="1037"/>
      <c r="BG100" s="1037"/>
      <c r="BH100" s="1037"/>
      <c r="BI100" s="1037"/>
      <c r="BJ100" s="1037"/>
      <c r="BK100" s="1037"/>
      <c r="BL100" s="1037"/>
      <c r="BM100" s="1037"/>
      <c r="BN100" s="1037"/>
      <c r="BO100" s="1037"/>
      <c r="BP100" s="1037"/>
      <c r="BQ100" s="1037"/>
      <c r="BR100" s="1037"/>
      <c r="BS100" s="1037"/>
      <c r="BT100" s="1037"/>
      <c r="BU100" s="1037"/>
      <c r="BV100" s="1037"/>
      <c r="BW100" s="1037"/>
      <c r="BX100" s="1037"/>
      <c r="BY100" s="1037"/>
      <c r="BZ100" s="1037"/>
      <c r="CA100" s="1037"/>
      <c r="CB100" s="1037"/>
      <c r="CC100" s="1037"/>
      <c r="CD100" s="1037"/>
      <c r="CE100" s="1037"/>
      <c r="CF100" s="1037"/>
      <c r="CG100" s="1037"/>
      <c r="CH100" s="1037"/>
      <c r="CI100" s="1037"/>
      <c r="CJ100" s="1037"/>
      <c r="CK100" s="1037"/>
      <c r="CL100" s="1037"/>
      <c r="CM100" s="1037"/>
      <c r="CN100" s="1037"/>
      <c r="CO100" s="1037"/>
      <c r="CP100" s="1037"/>
      <c r="CQ100" s="1037"/>
      <c r="CR100" s="1037"/>
      <c r="CS100" s="1037"/>
      <c r="CT100" s="1037"/>
      <c r="CU100" s="1037"/>
      <c r="CV100" s="1037"/>
      <c r="CW100" s="1037"/>
      <c r="CX100" s="1037"/>
      <c r="CY100" s="1037"/>
      <c r="CZ100" s="1037"/>
      <c r="DA100" s="1037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7"/>
      <c r="DN100" s="1037"/>
      <c r="DO100" s="1037"/>
      <c r="DP100" s="1037"/>
      <c r="DQ100" s="1037"/>
      <c r="DR100" s="1037"/>
      <c r="DS100" s="1037"/>
      <c r="DT100" s="1037"/>
      <c r="DU100" s="1037"/>
      <c r="DV100" s="1037"/>
      <c r="DW100" s="1037"/>
      <c r="DX100" s="1037"/>
      <c r="DY100" s="1037"/>
      <c r="DZ100" s="1037"/>
      <c r="EA100" s="1037"/>
      <c r="EB100" s="1037"/>
      <c r="EC100" s="1037"/>
      <c r="ED100" s="1037"/>
      <c r="EE100" s="1037"/>
      <c r="EF100" s="1037"/>
      <c r="EG100" s="1037"/>
      <c r="EH100" s="1037"/>
      <c r="EI100" s="1037"/>
      <c r="EJ100" s="1037"/>
      <c r="EK100" s="1037"/>
      <c r="EL100" s="1037"/>
      <c r="EM100" s="1037"/>
      <c r="EN100" s="1037"/>
      <c r="EO100" s="1037"/>
      <c r="EP100" s="1037"/>
      <c r="EQ100" s="1037"/>
      <c r="ER100" s="1037"/>
      <c r="ES100" s="1037"/>
      <c r="ET100" s="1037"/>
      <c r="EU100" s="1037"/>
      <c r="EV100" s="1037"/>
      <c r="EW100" s="1037"/>
      <c r="EX100" s="1037"/>
      <c r="EY100" s="1037"/>
      <c r="EZ100" s="1037"/>
      <c r="FA100" s="1037"/>
      <c r="FB100" s="1037"/>
      <c r="FC100" s="1037"/>
      <c r="FD100" s="1037"/>
      <c r="FE100" s="1037"/>
      <c r="FF100" s="1037"/>
      <c r="FG100" s="1037"/>
      <c r="FH100" s="1037"/>
      <c r="FI100" s="1037"/>
      <c r="FJ100" s="1037"/>
      <c r="FK100" s="1037"/>
      <c r="FL100" s="1037"/>
      <c r="FM100" s="1037"/>
      <c r="FN100" s="1037"/>
      <c r="FO100" s="1037"/>
      <c r="FP100" s="1037"/>
      <c r="FQ100" s="1037"/>
      <c r="FR100" s="1037"/>
      <c r="FS100" s="1037"/>
      <c r="FT100" s="1037"/>
      <c r="FU100" s="1037"/>
      <c r="FV100" s="1037"/>
      <c r="FW100" s="1037"/>
      <c r="FX100" s="1037"/>
      <c r="FY100" s="1037"/>
      <c r="FZ100" s="1037"/>
      <c r="GA100" s="1037"/>
      <c r="GB100" s="1037"/>
      <c r="GC100" s="1037"/>
      <c r="GD100" s="1037"/>
      <c r="GE100" s="1037"/>
      <c r="GF100" s="1037"/>
      <c r="GG100" s="1037"/>
      <c r="GH100" s="1037"/>
      <c r="GI100" s="1037"/>
      <c r="GJ100" s="1037"/>
      <c r="GK100" s="1037"/>
      <c r="GL100" s="1037"/>
      <c r="GM100" s="1037"/>
      <c r="GN100" s="1037"/>
      <c r="GO100" s="1037"/>
      <c r="GP100" s="1037"/>
      <c r="GQ100" s="1037"/>
      <c r="GR100" s="1037"/>
      <c r="GS100" s="1037"/>
      <c r="GT100" s="1037"/>
      <c r="GU100" s="1037"/>
      <c r="GV100" s="1037"/>
      <c r="GW100" s="1037"/>
      <c r="GX100" s="1037"/>
      <c r="GY100" s="1037"/>
      <c r="GZ100" s="1037"/>
      <c r="HA100" s="1037"/>
      <c r="HB100" s="1037"/>
      <c r="HC100" s="1037"/>
      <c r="HD100" s="1037"/>
      <c r="HE100" s="1037"/>
      <c r="HF100" s="1037"/>
      <c r="HG100" s="1037"/>
      <c r="HH100" s="1037"/>
      <c r="HI100" s="1037"/>
      <c r="HJ100" s="1037"/>
      <c r="HK100" s="1037"/>
      <c r="HL100" s="1037"/>
      <c r="HM100" s="1037"/>
      <c r="HN100" s="1037"/>
      <c r="HO100" s="1037"/>
      <c r="HP100" s="1037"/>
      <c r="HQ100" s="1037"/>
      <c r="HR100" s="1037"/>
      <c r="HS100" s="1037"/>
      <c r="HT100" s="1037"/>
      <c r="HU100" s="1037"/>
      <c r="HV100" s="1037"/>
      <c r="HW100" s="1037"/>
      <c r="HX100" s="1037"/>
      <c r="HY100" s="1037"/>
      <c r="HZ100" s="1037"/>
      <c r="IA100" s="1037"/>
      <c r="IB100" s="1037"/>
      <c r="IC100" s="1037"/>
      <c r="ID100" s="1037"/>
      <c r="IE100" s="1037"/>
      <c r="IF100" s="1037"/>
      <c r="IG100" s="1037"/>
      <c r="IH100" s="1037"/>
      <c r="II100" s="1037"/>
      <c r="IJ100" s="1037"/>
      <c r="IK100" s="1037"/>
      <c r="IL100" s="1037"/>
      <c r="IM100" s="1037"/>
      <c r="IN100" s="1037"/>
    </row>
    <row r="101" spans="1:248" ht="16.2">
      <c r="A101" s="696">
        <v>2011</v>
      </c>
      <c r="B101" s="698">
        <v>15700.7</v>
      </c>
      <c r="C101" s="698">
        <v>31.358125786414746</v>
      </c>
      <c r="D101" s="699">
        <v>15397.5</v>
      </c>
      <c r="E101" s="698">
        <v>30.746969182528112</v>
      </c>
      <c r="F101" s="698">
        <v>306</v>
      </c>
      <c r="G101" s="698">
        <v>0.61115660388663651</v>
      </c>
      <c r="H101" s="26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7"/>
      <c r="AB101" s="1037"/>
      <c r="AC101" s="1037"/>
      <c r="AD101" s="1037"/>
      <c r="AE101" s="1037"/>
      <c r="AF101" s="1037"/>
      <c r="AG101" s="1037"/>
      <c r="AH101" s="1037"/>
      <c r="AI101" s="1037"/>
      <c r="AJ101" s="1037"/>
      <c r="AK101" s="1037"/>
      <c r="AL101" s="1037"/>
      <c r="AM101" s="1037"/>
      <c r="AN101" s="1037"/>
      <c r="AO101" s="1037"/>
      <c r="AP101" s="1037"/>
      <c r="AQ101" s="1037"/>
      <c r="AR101" s="1037"/>
      <c r="AS101" s="1037"/>
      <c r="AT101" s="1037"/>
      <c r="AU101" s="1037"/>
      <c r="AV101" s="1037"/>
      <c r="AW101" s="1037"/>
      <c r="AX101" s="1037"/>
      <c r="AY101" s="1037"/>
      <c r="AZ101" s="1037"/>
      <c r="BA101" s="1037"/>
      <c r="BB101" s="1037"/>
      <c r="BC101" s="1037"/>
      <c r="BD101" s="1037"/>
      <c r="BE101" s="1037"/>
      <c r="BF101" s="1037"/>
      <c r="BG101" s="1037"/>
      <c r="BH101" s="1037"/>
      <c r="BI101" s="1037"/>
      <c r="BJ101" s="1037"/>
      <c r="BK101" s="1037"/>
      <c r="BL101" s="1037"/>
      <c r="BM101" s="1037"/>
      <c r="BN101" s="1037"/>
      <c r="BO101" s="1037"/>
      <c r="BP101" s="1037"/>
      <c r="BQ101" s="1037"/>
      <c r="BR101" s="1037"/>
      <c r="BS101" s="1037"/>
      <c r="BT101" s="1037"/>
      <c r="BU101" s="1037"/>
      <c r="BV101" s="1037"/>
      <c r="BW101" s="1037"/>
      <c r="BX101" s="1037"/>
      <c r="BY101" s="1037"/>
      <c r="BZ101" s="1037"/>
      <c r="CA101" s="1037"/>
      <c r="CB101" s="1037"/>
      <c r="CC101" s="1037"/>
      <c r="CD101" s="1037"/>
      <c r="CE101" s="1037"/>
      <c r="CF101" s="1037"/>
      <c r="CG101" s="1037"/>
      <c r="CH101" s="1037"/>
      <c r="CI101" s="1037"/>
      <c r="CJ101" s="1037"/>
      <c r="CK101" s="1037"/>
      <c r="CL101" s="1037"/>
      <c r="CM101" s="1037"/>
      <c r="CN101" s="1037"/>
      <c r="CO101" s="1037"/>
      <c r="CP101" s="1037"/>
      <c r="CQ101" s="1037"/>
      <c r="CR101" s="1037"/>
      <c r="CS101" s="1037"/>
      <c r="CT101" s="1037"/>
      <c r="CU101" s="1037"/>
      <c r="CV101" s="1037"/>
      <c r="CW101" s="1037"/>
      <c r="CX101" s="1037"/>
      <c r="CY101" s="1037"/>
      <c r="CZ101" s="1037"/>
      <c r="DA101" s="1037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7"/>
      <c r="DN101" s="1037"/>
      <c r="DO101" s="1037"/>
      <c r="DP101" s="1037"/>
      <c r="DQ101" s="1037"/>
      <c r="DR101" s="1037"/>
      <c r="DS101" s="1037"/>
      <c r="DT101" s="1037"/>
      <c r="DU101" s="1037"/>
      <c r="DV101" s="1037"/>
      <c r="DW101" s="1037"/>
      <c r="DX101" s="1037"/>
      <c r="DY101" s="1037"/>
      <c r="DZ101" s="1037"/>
      <c r="EA101" s="1037"/>
      <c r="EB101" s="1037"/>
      <c r="EC101" s="1037"/>
      <c r="ED101" s="1037"/>
      <c r="EE101" s="1037"/>
      <c r="EF101" s="1037"/>
      <c r="EG101" s="1037"/>
      <c r="EH101" s="1037"/>
      <c r="EI101" s="1037"/>
      <c r="EJ101" s="1037"/>
      <c r="EK101" s="1037"/>
      <c r="EL101" s="1037"/>
      <c r="EM101" s="1037"/>
      <c r="EN101" s="1037"/>
      <c r="EO101" s="1037"/>
      <c r="EP101" s="1037"/>
      <c r="EQ101" s="1037"/>
      <c r="ER101" s="1037"/>
      <c r="ES101" s="1037"/>
      <c r="ET101" s="1037"/>
      <c r="EU101" s="1037"/>
      <c r="EV101" s="1037"/>
      <c r="EW101" s="1037"/>
      <c r="EX101" s="1037"/>
      <c r="EY101" s="1037"/>
      <c r="EZ101" s="1037"/>
      <c r="FA101" s="1037"/>
      <c r="FB101" s="1037"/>
      <c r="FC101" s="1037"/>
      <c r="FD101" s="1037"/>
      <c r="FE101" s="1037"/>
      <c r="FF101" s="1037"/>
      <c r="FG101" s="1037"/>
      <c r="FH101" s="1037"/>
      <c r="FI101" s="1037"/>
      <c r="FJ101" s="1037"/>
      <c r="FK101" s="1037"/>
      <c r="FL101" s="1037"/>
      <c r="FM101" s="1037"/>
      <c r="FN101" s="1037"/>
      <c r="FO101" s="1037"/>
      <c r="FP101" s="1037"/>
      <c r="FQ101" s="1037"/>
      <c r="FR101" s="1037"/>
      <c r="FS101" s="1037"/>
      <c r="FT101" s="1037"/>
      <c r="FU101" s="1037"/>
      <c r="FV101" s="1037"/>
      <c r="FW101" s="1037"/>
      <c r="FX101" s="1037"/>
      <c r="FY101" s="1037"/>
      <c r="FZ101" s="1037"/>
      <c r="GA101" s="1037"/>
      <c r="GB101" s="1037"/>
      <c r="GC101" s="1037"/>
      <c r="GD101" s="1037"/>
      <c r="GE101" s="1037"/>
      <c r="GF101" s="1037"/>
      <c r="GG101" s="1037"/>
      <c r="GH101" s="1037"/>
      <c r="GI101" s="1037"/>
      <c r="GJ101" s="1037"/>
      <c r="GK101" s="1037"/>
      <c r="GL101" s="1037"/>
      <c r="GM101" s="1037"/>
      <c r="GN101" s="1037"/>
      <c r="GO101" s="1037"/>
      <c r="GP101" s="1037"/>
      <c r="GQ101" s="1037"/>
      <c r="GR101" s="1037"/>
      <c r="GS101" s="1037"/>
      <c r="GT101" s="1037"/>
      <c r="GU101" s="1037"/>
      <c r="GV101" s="1037"/>
      <c r="GW101" s="1037"/>
      <c r="GX101" s="1037"/>
      <c r="GY101" s="1037"/>
      <c r="GZ101" s="1037"/>
      <c r="HA101" s="1037"/>
      <c r="HB101" s="1037"/>
      <c r="HC101" s="1037"/>
      <c r="HD101" s="1037"/>
      <c r="HE101" s="1037"/>
      <c r="HF101" s="1037"/>
      <c r="HG101" s="1037"/>
      <c r="HH101" s="1037"/>
      <c r="HI101" s="1037"/>
      <c r="HJ101" s="1037"/>
      <c r="HK101" s="1037"/>
      <c r="HL101" s="1037"/>
      <c r="HM101" s="1037"/>
      <c r="HN101" s="1037"/>
      <c r="HO101" s="1037"/>
      <c r="HP101" s="1037"/>
      <c r="HQ101" s="1037"/>
      <c r="HR101" s="1037"/>
      <c r="HS101" s="1037"/>
      <c r="HT101" s="1037"/>
      <c r="HU101" s="1037"/>
      <c r="HV101" s="1037"/>
      <c r="HW101" s="1037"/>
      <c r="HX101" s="1037"/>
      <c r="HY101" s="1037"/>
      <c r="HZ101" s="1037"/>
      <c r="IA101" s="1037"/>
      <c r="IB101" s="1037"/>
      <c r="IC101" s="1037"/>
      <c r="ID101" s="1037"/>
      <c r="IE101" s="1037"/>
      <c r="IF101" s="1037"/>
      <c r="IG101" s="1037"/>
      <c r="IH101" s="1037"/>
      <c r="II101" s="1037"/>
      <c r="IJ101" s="1037"/>
      <c r="IK101" s="1037"/>
      <c r="IL101" s="1037"/>
      <c r="IM101" s="1037"/>
      <c r="IN101" s="1037"/>
    </row>
    <row r="102" spans="1:248" ht="16.2" hidden="1">
      <c r="A102" s="701" t="s">
        <v>18</v>
      </c>
      <c r="B102" s="703">
        <v>1121.5</v>
      </c>
      <c r="C102" s="1038">
        <v>32.578068264342775</v>
      </c>
      <c r="D102" s="704">
        <v>382.9</v>
      </c>
      <c r="E102" s="1038">
        <v>11.122730573710966</v>
      </c>
      <c r="F102" s="1038">
        <v>738.6</v>
      </c>
      <c r="G102" s="1038">
        <v>21.455337690631808</v>
      </c>
      <c r="H102" s="26">
        <v>3212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7"/>
      <c r="AB102" s="1037"/>
      <c r="AC102" s="1037"/>
      <c r="AD102" s="1037"/>
      <c r="AE102" s="1037"/>
      <c r="AF102" s="1037"/>
      <c r="AG102" s="1037"/>
      <c r="AH102" s="1037"/>
      <c r="AI102" s="1037"/>
      <c r="AJ102" s="1037"/>
      <c r="AK102" s="1037"/>
      <c r="AL102" s="1037"/>
      <c r="AM102" s="1037"/>
      <c r="AN102" s="1037"/>
      <c r="AO102" s="1037"/>
      <c r="AP102" s="1037"/>
      <c r="AQ102" s="1037"/>
      <c r="AR102" s="1037"/>
      <c r="AS102" s="1037"/>
      <c r="AT102" s="1037"/>
      <c r="AU102" s="1037"/>
      <c r="AV102" s="1037"/>
      <c r="AW102" s="1037"/>
      <c r="AX102" s="1037"/>
      <c r="AY102" s="1037"/>
      <c r="AZ102" s="1037"/>
      <c r="BA102" s="1037"/>
      <c r="BB102" s="1037"/>
      <c r="BC102" s="1037"/>
      <c r="BD102" s="1037"/>
      <c r="BE102" s="1037"/>
      <c r="BF102" s="1037"/>
      <c r="BG102" s="1037"/>
      <c r="BH102" s="1037"/>
      <c r="BI102" s="1037"/>
      <c r="BJ102" s="1037"/>
      <c r="BK102" s="1037"/>
      <c r="BL102" s="1037"/>
      <c r="BM102" s="1037"/>
      <c r="BN102" s="1037"/>
      <c r="BO102" s="1037"/>
      <c r="BP102" s="1037"/>
      <c r="BQ102" s="1037"/>
      <c r="BR102" s="1037"/>
      <c r="BS102" s="1037"/>
      <c r="BT102" s="1037"/>
      <c r="BU102" s="1037"/>
      <c r="BV102" s="1037"/>
      <c r="BW102" s="1037"/>
      <c r="BX102" s="1037"/>
      <c r="BY102" s="1037"/>
      <c r="BZ102" s="1037"/>
      <c r="CA102" s="1037"/>
      <c r="CB102" s="1037"/>
      <c r="CC102" s="1037"/>
      <c r="CD102" s="1037"/>
      <c r="CE102" s="1037"/>
      <c r="CF102" s="1037"/>
      <c r="CG102" s="1037"/>
      <c r="CH102" s="1037"/>
      <c r="CI102" s="1037"/>
      <c r="CJ102" s="1037"/>
      <c r="CK102" s="1037"/>
      <c r="CL102" s="1037"/>
      <c r="CM102" s="1037"/>
      <c r="CN102" s="1037"/>
      <c r="CO102" s="1037"/>
      <c r="CP102" s="1037"/>
      <c r="CQ102" s="1037"/>
      <c r="CR102" s="1037"/>
      <c r="CS102" s="1037"/>
      <c r="CT102" s="1037"/>
      <c r="CU102" s="1037"/>
      <c r="CV102" s="1037"/>
      <c r="CW102" s="1037"/>
      <c r="CX102" s="1037"/>
      <c r="CY102" s="1037"/>
      <c r="CZ102" s="1037"/>
      <c r="DA102" s="1037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7"/>
      <c r="DN102" s="1037"/>
      <c r="DO102" s="1037"/>
      <c r="DP102" s="1037"/>
      <c r="DQ102" s="1037"/>
      <c r="DR102" s="1037"/>
      <c r="DS102" s="1037"/>
      <c r="DT102" s="1037"/>
      <c r="DU102" s="1037"/>
      <c r="DV102" s="1037"/>
      <c r="DW102" s="1037"/>
      <c r="DX102" s="1037"/>
      <c r="DY102" s="1037"/>
      <c r="DZ102" s="1037"/>
      <c r="EA102" s="1037"/>
      <c r="EB102" s="1037"/>
      <c r="EC102" s="1037"/>
      <c r="ED102" s="1037"/>
      <c r="EE102" s="1037"/>
      <c r="EF102" s="1037"/>
      <c r="EG102" s="1037"/>
      <c r="EH102" s="1037"/>
      <c r="EI102" s="1037"/>
      <c r="EJ102" s="1037"/>
      <c r="EK102" s="1037"/>
      <c r="EL102" s="1037"/>
      <c r="EM102" s="1037"/>
      <c r="EN102" s="1037"/>
      <c r="EO102" s="1037"/>
      <c r="EP102" s="1037"/>
      <c r="EQ102" s="1037"/>
      <c r="ER102" s="1037"/>
      <c r="ES102" s="1037"/>
      <c r="ET102" s="1037"/>
      <c r="EU102" s="1037"/>
      <c r="EV102" s="1037"/>
      <c r="EW102" s="1037"/>
      <c r="EX102" s="1037"/>
      <c r="EY102" s="1037"/>
      <c r="EZ102" s="1037"/>
      <c r="FA102" s="1037"/>
      <c r="FB102" s="1037"/>
      <c r="FC102" s="1037"/>
      <c r="FD102" s="1037"/>
      <c r="FE102" s="1037"/>
      <c r="FF102" s="1037"/>
      <c r="FG102" s="1037"/>
      <c r="FH102" s="1037"/>
      <c r="FI102" s="1037"/>
      <c r="FJ102" s="1037"/>
      <c r="FK102" s="1037"/>
      <c r="FL102" s="1037"/>
      <c r="FM102" s="1037"/>
      <c r="FN102" s="1037"/>
      <c r="FO102" s="1037"/>
      <c r="FP102" s="1037"/>
      <c r="FQ102" s="1037"/>
      <c r="FR102" s="1037"/>
      <c r="FS102" s="1037"/>
      <c r="FT102" s="1037"/>
      <c r="FU102" s="1037"/>
      <c r="FV102" s="1037"/>
      <c r="FW102" s="1037"/>
      <c r="FX102" s="1037"/>
      <c r="FY102" s="1037"/>
      <c r="FZ102" s="1037"/>
      <c r="GA102" s="1037"/>
      <c r="GB102" s="1037"/>
      <c r="GC102" s="1037"/>
      <c r="GD102" s="1037"/>
      <c r="GE102" s="1037"/>
      <c r="GF102" s="1037"/>
      <c r="GG102" s="1037"/>
      <c r="GH102" s="1037"/>
      <c r="GI102" s="1037"/>
      <c r="GJ102" s="1037"/>
      <c r="GK102" s="1037"/>
      <c r="GL102" s="1037"/>
      <c r="GM102" s="1037"/>
      <c r="GN102" s="1037"/>
      <c r="GO102" s="1037"/>
      <c r="GP102" s="1037"/>
      <c r="GQ102" s="1037"/>
      <c r="GR102" s="1037"/>
      <c r="GS102" s="1037"/>
      <c r="GT102" s="1037"/>
      <c r="GU102" s="1037"/>
      <c r="GV102" s="1037"/>
      <c r="GW102" s="1037"/>
      <c r="GX102" s="1037"/>
      <c r="GY102" s="1037"/>
      <c r="GZ102" s="1037"/>
      <c r="HA102" s="1037"/>
      <c r="HB102" s="1037"/>
      <c r="HC102" s="1037"/>
      <c r="HD102" s="1037"/>
      <c r="HE102" s="1037"/>
      <c r="HF102" s="1037"/>
      <c r="HG102" s="1037"/>
      <c r="HH102" s="1037"/>
      <c r="HI102" s="1037"/>
      <c r="HJ102" s="1037"/>
      <c r="HK102" s="1037"/>
      <c r="HL102" s="1037"/>
      <c r="HM102" s="1037"/>
      <c r="HN102" s="1037"/>
      <c r="HO102" s="1037"/>
      <c r="HP102" s="1037"/>
      <c r="HQ102" s="1037"/>
      <c r="HR102" s="1037"/>
      <c r="HS102" s="1037"/>
      <c r="HT102" s="1037"/>
      <c r="HU102" s="1037"/>
      <c r="HV102" s="1037"/>
      <c r="HW102" s="1037"/>
      <c r="HX102" s="1037"/>
      <c r="HY102" s="1037"/>
      <c r="HZ102" s="1037"/>
      <c r="IA102" s="1037"/>
      <c r="IB102" s="1037"/>
      <c r="IC102" s="1037"/>
      <c r="ID102" s="1037"/>
      <c r="IE102" s="1037"/>
      <c r="IF102" s="1037"/>
      <c r="IG102" s="1037"/>
      <c r="IH102" s="1037"/>
      <c r="II102" s="1037"/>
      <c r="IJ102" s="1037"/>
      <c r="IK102" s="1037"/>
      <c r="IL102" s="1037"/>
      <c r="IM102" s="1037"/>
      <c r="IN102" s="1037"/>
    </row>
    <row r="103" spans="1:248" ht="16.2" hidden="1">
      <c r="A103" s="701" t="s">
        <v>19</v>
      </c>
      <c r="B103" s="703">
        <v>1829.3</v>
      </c>
      <c r="C103" s="1038">
        <f t="shared" ref="C103:C113" si="12">+B103/H103*100</f>
        <v>27.256202041272442</v>
      </c>
      <c r="D103" s="704">
        <v>1186.4000000000001</v>
      </c>
      <c r="E103" s="1038">
        <f t="shared" ref="E103:E113" si="13">+D103/H103*100</f>
        <v>17.677121358861655</v>
      </c>
      <c r="F103" s="1038">
        <f t="shared" ref="F103:F113" si="14">+B103-D103</f>
        <v>642.89999999999986</v>
      </c>
      <c r="G103" s="1038">
        <f t="shared" ref="G103:G113" si="15">F103/H103*100</f>
        <v>9.579080682410785</v>
      </c>
      <c r="H103" s="26">
        <v>6711.5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7"/>
      <c r="AB103" s="1037"/>
      <c r="AC103" s="1037"/>
      <c r="AD103" s="1037"/>
      <c r="AE103" s="1037"/>
      <c r="AF103" s="1037"/>
      <c r="AG103" s="1037"/>
      <c r="AH103" s="1037"/>
      <c r="AI103" s="1037"/>
      <c r="AJ103" s="1037"/>
      <c r="AK103" s="1037"/>
      <c r="AL103" s="1037"/>
      <c r="AM103" s="1037"/>
      <c r="AN103" s="1037"/>
      <c r="AO103" s="1037"/>
      <c r="AP103" s="1037"/>
      <c r="AQ103" s="1037"/>
      <c r="AR103" s="1037"/>
      <c r="AS103" s="1037"/>
      <c r="AT103" s="1037"/>
      <c r="AU103" s="1037"/>
      <c r="AV103" s="1037"/>
      <c r="AW103" s="1037"/>
      <c r="AX103" s="1037"/>
      <c r="AY103" s="1037"/>
      <c r="AZ103" s="1037"/>
      <c r="BA103" s="1037"/>
      <c r="BB103" s="1037"/>
      <c r="BC103" s="1037"/>
      <c r="BD103" s="1037"/>
      <c r="BE103" s="1037"/>
      <c r="BF103" s="1037"/>
      <c r="BG103" s="1037"/>
      <c r="BH103" s="1037"/>
      <c r="BI103" s="1037"/>
      <c r="BJ103" s="1037"/>
      <c r="BK103" s="1037"/>
      <c r="BL103" s="1037"/>
      <c r="BM103" s="1037"/>
      <c r="BN103" s="1037"/>
      <c r="BO103" s="1037"/>
      <c r="BP103" s="1037"/>
      <c r="BQ103" s="1037"/>
      <c r="BR103" s="1037"/>
      <c r="BS103" s="1037"/>
      <c r="BT103" s="1037"/>
      <c r="BU103" s="1037"/>
      <c r="BV103" s="1037"/>
      <c r="BW103" s="1037"/>
      <c r="BX103" s="1037"/>
      <c r="BY103" s="1037"/>
      <c r="BZ103" s="1037"/>
      <c r="CA103" s="1037"/>
      <c r="CB103" s="1037"/>
      <c r="CC103" s="1037"/>
      <c r="CD103" s="1037"/>
      <c r="CE103" s="1037"/>
      <c r="CF103" s="1037"/>
      <c r="CG103" s="1037"/>
      <c r="CH103" s="1037"/>
      <c r="CI103" s="1037"/>
      <c r="CJ103" s="1037"/>
      <c r="CK103" s="1037"/>
      <c r="CL103" s="1037"/>
      <c r="CM103" s="1037"/>
      <c r="CN103" s="1037"/>
      <c r="CO103" s="1037"/>
      <c r="CP103" s="1037"/>
      <c r="CQ103" s="1037"/>
      <c r="CR103" s="1037"/>
      <c r="CS103" s="1037"/>
      <c r="CT103" s="1037"/>
      <c r="CU103" s="1037"/>
      <c r="CV103" s="1037"/>
      <c r="CW103" s="1037"/>
      <c r="CX103" s="1037"/>
      <c r="CY103" s="1037"/>
      <c r="CZ103" s="1037"/>
      <c r="DA103" s="1037"/>
      <c r="DB103" s="1037"/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7"/>
      <c r="DO103" s="1037"/>
      <c r="DP103" s="1037"/>
      <c r="DQ103" s="1037"/>
      <c r="DR103" s="1037"/>
      <c r="DS103" s="1037"/>
      <c r="DT103" s="1037"/>
      <c r="DU103" s="1037"/>
      <c r="DV103" s="1037"/>
      <c r="DW103" s="1037"/>
      <c r="DX103" s="1037"/>
      <c r="DY103" s="1037"/>
      <c r="DZ103" s="1037"/>
      <c r="EA103" s="1037"/>
      <c r="EB103" s="1037"/>
      <c r="EC103" s="1037"/>
      <c r="ED103" s="1037"/>
      <c r="EE103" s="1037"/>
      <c r="EF103" s="1037"/>
      <c r="EG103" s="1037"/>
      <c r="EH103" s="1037"/>
      <c r="EI103" s="1037"/>
      <c r="EJ103" s="1037"/>
      <c r="EK103" s="1037"/>
      <c r="EL103" s="1037"/>
      <c r="EM103" s="1037"/>
      <c r="EN103" s="1037"/>
      <c r="EO103" s="1037"/>
      <c r="EP103" s="1037"/>
      <c r="EQ103" s="1037"/>
      <c r="ER103" s="1037"/>
      <c r="ES103" s="1037"/>
      <c r="ET103" s="1037"/>
      <c r="EU103" s="1037"/>
      <c r="EV103" s="1037"/>
      <c r="EW103" s="1037"/>
      <c r="EX103" s="1037"/>
      <c r="EY103" s="1037"/>
      <c r="EZ103" s="1037"/>
      <c r="FA103" s="1037"/>
      <c r="FB103" s="1037"/>
      <c r="FC103" s="1037"/>
      <c r="FD103" s="1037"/>
      <c r="FE103" s="1037"/>
      <c r="FF103" s="1037"/>
      <c r="FG103" s="1037"/>
      <c r="FH103" s="1037"/>
      <c r="FI103" s="1037"/>
      <c r="FJ103" s="1037"/>
      <c r="FK103" s="1037"/>
      <c r="FL103" s="1037"/>
      <c r="FM103" s="1037"/>
      <c r="FN103" s="1037"/>
      <c r="FO103" s="1037"/>
      <c r="FP103" s="1037"/>
      <c r="FQ103" s="1037"/>
      <c r="FR103" s="1037"/>
      <c r="FS103" s="1037"/>
      <c r="FT103" s="1037"/>
      <c r="FU103" s="1037"/>
      <c r="FV103" s="1037"/>
      <c r="FW103" s="1037"/>
      <c r="FX103" s="1037"/>
      <c r="FY103" s="1037"/>
      <c r="FZ103" s="1037"/>
      <c r="GA103" s="1037"/>
      <c r="GB103" s="1037"/>
      <c r="GC103" s="1037"/>
      <c r="GD103" s="1037"/>
      <c r="GE103" s="1037"/>
      <c r="GF103" s="1037"/>
      <c r="GG103" s="1037"/>
      <c r="GH103" s="1037"/>
      <c r="GI103" s="1037"/>
      <c r="GJ103" s="1037"/>
      <c r="GK103" s="1037"/>
      <c r="GL103" s="1037"/>
      <c r="GM103" s="1037"/>
      <c r="GN103" s="1037"/>
      <c r="GO103" s="1037"/>
      <c r="GP103" s="1037"/>
      <c r="GQ103" s="1037"/>
      <c r="GR103" s="1037"/>
      <c r="GS103" s="1037"/>
      <c r="GT103" s="1037"/>
      <c r="GU103" s="1037"/>
      <c r="GV103" s="1037"/>
      <c r="GW103" s="1037"/>
      <c r="GX103" s="1037"/>
      <c r="GY103" s="1037"/>
      <c r="GZ103" s="1037"/>
      <c r="HA103" s="1037"/>
      <c r="HB103" s="1037"/>
      <c r="HC103" s="1037"/>
      <c r="HD103" s="1037"/>
      <c r="HE103" s="1037"/>
      <c r="HF103" s="1037"/>
      <c r="HG103" s="1037"/>
      <c r="HH103" s="1037"/>
      <c r="HI103" s="1037"/>
      <c r="HJ103" s="1037"/>
      <c r="HK103" s="1037"/>
      <c r="HL103" s="1037"/>
      <c r="HM103" s="1037"/>
      <c r="HN103" s="1037"/>
      <c r="HO103" s="1037"/>
      <c r="HP103" s="1037"/>
      <c r="HQ103" s="1037"/>
      <c r="HR103" s="1037"/>
      <c r="HS103" s="1037"/>
      <c r="HT103" s="1037"/>
      <c r="HU103" s="1037"/>
      <c r="HV103" s="1037"/>
      <c r="HW103" s="1037"/>
      <c r="HX103" s="1037"/>
      <c r="HY103" s="1037"/>
      <c r="HZ103" s="1037"/>
      <c r="IA103" s="1037"/>
      <c r="IB103" s="1037"/>
      <c r="IC103" s="1037"/>
      <c r="ID103" s="1037"/>
      <c r="IE103" s="1037"/>
      <c r="IF103" s="1037"/>
      <c r="IG103" s="1037"/>
      <c r="IH103" s="1037"/>
      <c r="II103" s="1037"/>
      <c r="IJ103" s="1037"/>
      <c r="IK103" s="1037"/>
      <c r="IL103" s="1037"/>
      <c r="IM103" s="1037"/>
      <c r="IN103" s="1037"/>
    </row>
    <row r="104" spans="1:248" ht="16.2" hidden="1">
      <c r="A104" s="701" t="s">
        <v>20</v>
      </c>
      <c r="B104" s="703">
        <v>2768.4</v>
      </c>
      <c r="C104" s="1038">
        <f t="shared" si="12"/>
        <v>26.565333793937302</v>
      </c>
      <c r="D104" s="704">
        <v>2087.4</v>
      </c>
      <c r="E104" s="1038">
        <f t="shared" si="13"/>
        <v>20.03051501281055</v>
      </c>
      <c r="F104" s="1038">
        <f t="shared" si="14"/>
        <v>681</v>
      </c>
      <c r="G104" s="1038">
        <f t="shared" si="15"/>
        <v>6.5348187811267531</v>
      </c>
      <c r="H104" s="26">
        <v>10421.1</v>
      </c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7"/>
      <c r="AB104" s="1037"/>
      <c r="AC104" s="1037"/>
      <c r="AD104" s="1037"/>
      <c r="AE104" s="1037"/>
      <c r="AF104" s="1037"/>
      <c r="AG104" s="1037"/>
      <c r="AH104" s="1037"/>
      <c r="AI104" s="1037"/>
      <c r="AJ104" s="1037"/>
      <c r="AK104" s="1037"/>
      <c r="AL104" s="1037"/>
      <c r="AM104" s="1037"/>
      <c r="AN104" s="1037"/>
      <c r="AO104" s="1037"/>
      <c r="AP104" s="1037"/>
      <c r="AQ104" s="1037"/>
      <c r="AR104" s="1037"/>
      <c r="AS104" s="1037"/>
      <c r="AT104" s="1037"/>
      <c r="AU104" s="1037"/>
      <c r="AV104" s="1037"/>
      <c r="AW104" s="1037"/>
      <c r="AX104" s="1037"/>
      <c r="AY104" s="1037"/>
      <c r="AZ104" s="1037"/>
      <c r="BA104" s="1037"/>
      <c r="BB104" s="1037"/>
      <c r="BC104" s="1037"/>
      <c r="BD104" s="1037"/>
      <c r="BE104" s="1037"/>
      <c r="BF104" s="1037"/>
      <c r="BG104" s="1037"/>
      <c r="BH104" s="1037"/>
      <c r="BI104" s="1037"/>
      <c r="BJ104" s="1037"/>
      <c r="BK104" s="1037"/>
      <c r="BL104" s="1037"/>
      <c r="BM104" s="1037"/>
      <c r="BN104" s="1037"/>
      <c r="BO104" s="1037"/>
      <c r="BP104" s="1037"/>
      <c r="BQ104" s="1037"/>
      <c r="BR104" s="1037"/>
      <c r="BS104" s="1037"/>
      <c r="BT104" s="1037"/>
      <c r="BU104" s="1037"/>
      <c r="BV104" s="1037"/>
      <c r="BW104" s="1037"/>
      <c r="BX104" s="1037"/>
      <c r="BY104" s="1037"/>
      <c r="BZ104" s="1037"/>
      <c r="CA104" s="1037"/>
      <c r="CB104" s="1037"/>
      <c r="CC104" s="1037"/>
      <c r="CD104" s="1037"/>
      <c r="CE104" s="1037"/>
      <c r="CF104" s="1037"/>
      <c r="CG104" s="1037"/>
      <c r="CH104" s="1037"/>
      <c r="CI104" s="1037"/>
      <c r="CJ104" s="1037"/>
      <c r="CK104" s="1037"/>
      <c r="CL104" s="1037"/>
      <c r="CM104" s="1037"/>
      <c r="CN104" s="1037"/>
      <c r="CO104" s="1037"/>
      <c r="CP104" s="1037"/>
      <c r="CQ104" s="1037"/>
      <c r="CR104" s="1037"/>
      <c r="CS104" s="1037"/>
      <c r="CT104" s="1037"/>
      <c r="CU104" s="1037"/>
      <c r="CV104" s="1037"/>
      <c r="CW104" s="1037"/>
      <c r="CX104" s="1037"/>
      <c r="CY104" s="1037"/>
      <c r="CZ104" s="1037"/>
      <c r="DA104" s="1037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7"/>
      <c r="DO104" s="1037"/>
      <c r="DP104" s="1037"/>
      <c r="DQ104" s="1037"/>
      <c r="DR104" s="1037"/>
      <c r="DS104" s="1037"/>
      <c r="DT104" s="1037"/>
      <c r="DU104" s="1037"/>
      <c r="DV104" s="1037"/>
      <c r="DW104" s="1037"/>
      <c r="DX104" s="1037"/>
      <c r="DY104" s="1037"/>
      <c r="DZ104" s="1037"/>
      <c r="EA104" s="1037"/>
      <c r="EB104" s="1037"/>
      <c r="EC104" s="1037"/>
      <c r="ED104" s="1037"/>
      <c r="EE104" s="1037"/>
      <c r="EF104" s="1037"/>
      <c r="EG104" s="1037"/>
      <c r="EH104" s="1037"/>
      <c r="EI104" s="1037"/>
      <c r="EJ104" s="1037"/>
      <c r="EK104" s="1037"/>
      <c r="EL104" s="1037"/>
      <c r="EM104" s="1037"/>
      <c r="EN104" s="1037"/>
      <c r="EO104" s="1037"/>
      <c r="EP104" s="1037"/>
      <c r="EQ104" s="1037"/>
      <c r="ER104" s="1037"/>
      <c r="ES104" s="1037"/>
      <c r="ET104" s="1037"/>
      <c r="EU104" s="1037"/>
      <c r="EV104" s="1037"/>
      <c r="EW104" s="1037"/>
      <c r="EX104" s="1037"/>
      <c r="EY104" s="1037"/>
      <c r="EZ104" s="1037"/>
      <c r="FA104" s="1037"/>
      <c r="FB104" s="1037"/>
      <c r="FC104" s="1037"/>
      <c r="FD104" s="1037"/>
      <c r="FE104" s="1037"/>
      <c r="FF104" s="1037"/>
      <c r="FG104" s="1037"/>
      <c r="FH104" s="1037"/>
      <c r="FI104" s="1037"/>
      <c r="FJ104" s="1037"/>
      <c r="FK104" s="1037"/>
      <c r="FL104" s="1037"/>
      <c r="FM104" s="1037"/>
      <c r="FN104" s="1037"/>
      <c r="FO104" s="1037"/>
      <c r="FP104" s="1037"/>
      <c r="FQ104" s="1037"/>
      <c r="FR104" s="1037"/>
      <c r="FS104" s="1037"/>
      <c r="FT104" s="1037"/>
      <c r="FU104" s="1037"/>
      <c r="FV104" s="1037"/>
      <c r="FW104" s="1037"/>
      <c r="FX104" s="1037"/>
      <c r="FY104" s="1037"/>
      <c r="FZ104" s="1037"/>
      <c r="GA104" s="1037"/>
      <c r="GB104" s="1037"/>
      <c r="GC104" s="1037"/>
      <c r="GD104" s="1037"/>
      <c r="GE104" s="1037"/>
      <c r="GF104" s="1037"/>
      <c r="GG104" s="1037"/>
      <c r="GH104" s="1037"/>
      <c r="GI104" s="1037"/>
      <c r="GJ104" s="1037"/>
      <c r="GK104" s="1037"/>
      <c r="GL104" s="1037"/>
      <c r="GM104" s="1037"/>
      <c r="GN104" s="1037"/>
      <c r="GO104" s="1037"/>
      <c r="GP104" s="1037"/>
      <c r="GQ104" s="1037"/>
      <c r="GR104" s="1037"/>
      <c r="GS104" s="1037"/>
      <c r="GT104" s="1037"/>
      <c r="GU104" s="1037"/>
      <c r="GV104" s="1037"/>
      <c r="GW104" s="1037"/>
      <c r="GX104" s="1037"/>
      <c r="GY104" s="1037"/>
      <c r="GZ104" s="1037"/>
      <c r="HA104" s="1037"/>
      <c r="HB104" s="1037"/>
      <c r="HC104" s="1037"/>
      <c r="HD104" s="1037"/>
      <c r="HE104" s="1037"/>
      <c r="HF104" s="1037"/>
      <c r="HG104" s="1037"/>
      <c r="HH104" s="1037"/>
      <c r="HI104" s="1037"/>
      <c r="HJ104" s="1037"/>
      <c r="HK104" s="1037"/>
      <c r="HL104" s="1037"/>
      <c r="HM104" s="1037"/>
      <c r="HN104" s="1037"/>
      <c r="HO104" s="1037"/>
      <c r="HP104" s="1037"/>
      <c r="HQ104" s="1037"/>
      <c r="HR104" s="1037"/>
      <c r="HS104" s="1037"/>
      <c r="HT104" s="1037"/>
      <c r="HU104" s="1037"/>
      <c r="HV104" s="1037"/>
      <c r="HW104" s="1037"/>
      <c r="HX104" s="1037"/>
      <c r="HY104" s="1037"/>
      <c r="HZ104" s="1037"/>
      <c r="IA104" s="1037"/>
      <c r="IB104" s="1037"/>
      <c r="IC104" s="1037"/>
      <c r="ID104" s="1037"/>
      <c r="IE104" s="1037"/>
      <c r="IF104" s="1037"/>
      <c r="IG104" s="1037"/>
      <c r="IH104" s="1037"/>
      <c r="II104" s="1037"/>
      <c r="IJ104" s="1037"/>
      <c r="IK104" s="1037"/>
      <c r="IL104" s="1037"/>
      <c r="IM104" s="1037"/>
      <c r="IN104" s="1037"/>
    </row>
    <row r="105" spans="1:248" ht="16.2" hidden="1">
      <c r="A105" s="701" t="s">
        <v>21</v>
      </c>
      <c r="B105" s="703">
        <v>4048.2</v>
      </c>
      <c r="C105" s="1038">
        <f t="shared" si="12"/>
        <v>29.516802893203742</v>
      </c>
      <c r="D105" s="704">
        <v>2823.7</v>
      </c>
      <c r="E105" s="1038">
        <f t="shared" si="13"/>
        <v>20.588556970885676</v>
      </c>
      <c r="F105" s="1038">
        <f t="shared" si="14"/>
        <v>1224.5</v>
      </c>
      <c r="G105" s="1038">
        <f t="shared" si="15"/>
        <v>8.9282459223180641</v>
      </c>
      <c r="H105" s="26">
        <v>13714.9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7"/>
      <c r="AB105" s="1037"/>
      <c r="AC105" s="1037"/>
      <c r="AD105" s="1037"/>
      <c r="AE105" s="1037"/>
      <c r="AF105" s="1037"/>
      <c r="AG105" s="1037"/>
      <c r="AH105" s="1037"/>
      <c r="AI105" s="1037"/>
      <c r="AJ105" s="1037"/>
      <c r="AK105" s="1037"/>
      <c r="AL105" s="1037"/>
      <c r="AM105" s="1037"/>
      <c r="AN105" s="1037"/>
      <c r="AO105" s="1037"/>
      <c r="AP105" s="1037"/>
      <c r="AQ105" s="1037"/>
      <c r="AR105" s="1037"/>
      <c r="AS105" s="1037"/>
      <c r="AT105" s="1037"/>
      <c r="AU105" s="1037"/>
      <c r="AV105" s="1037"/>
      <c r="AW105" s="1037"/>
      <c r="AX105" s="1037"/>
      <c r="AY105" s="1037"/>
      <c r="AZ105" s="1037"/>
      <c r="BA105" s="1037"/>
      <c r="BB105" s="1037"/>
      <c r="BC105" s="1037"/>
      <c r="BD105" s="1037"/>
      <c r="BE105" s="1037"/>
      <c r="BF105" s="1037"/>
      <c r="BG105" s="1037"/>
      <c r="BH105" s="1037"/>
      <c r="BI105" s="1037"/>
      <c r="BJ105" s="1037"/>
      <c r="BK105" s="1037"/>
      <c r="BL105" s="1037"/>
      <c r="BM105" s="1037"/>
      <c r="BN105" s="1037"/>
      <c r="BO105" s="1037"/>
      <c r="BP105" s="1037"/>
      <c r="BQ105" s="1037"/>
      <c r="BR105" s="1037"/>
      <c r="BS105" s="1037"/>
      <c r="BT105" s="1037"/>
      <c r="BU105" s="1037"/>
      <c r="BV105" s="1037"/>
      <c r="BW105" s="1037"/>
      <c r="BX105" s="1037"/>
      <c r="BY105" s="1037"/>
      <c r="BZ105" s="1037"/>
      <c r="CA105" s="1037"/>
      <c r="CB105" s="1037"/>
      <c r="CC105" s="1037"/>
      <c r="CD105" s="1037"/>
      <c r="CE105" s="1037"/>
      <c r="CF105" s="1037"/>
      <c r="CG105" s="1037"/>
      <c r="CH105" s="1037"/>
      <c r="CI105" s="1037"/>
      <c r="CJ105" s="1037"/>
      <c r="CK105" s="1037"/>
      <c r="CL105" s="1037"/>
      <c r="CM105" s="1037"/>
      <c r="CN105" s="1037"/>
      <c r="CO105" s="1037"/>
      <c r="CP105" s="1037"/>
      <c r="CQ105" s="1037"/>
      <c r="CR105" s="1037"/>
      <c r="CS105" s="1037"/>
      <c r="CT105" s="1037"/>
      <c r="CU105" s="1037"/>
      <c r="CV105" s="1037"/>
      <c r="CW105" s="1037"/>
      <c r="CX105" s="1037"/>
      <c r="CY105" s="1037"/>
      <c r="CZ105" s="1037"/>
      <c r="DA105" s="1037"/>
      <c r="DB105" s="1037"/>
      <c r="DC105" s="1037"/>
      <c r="DD105" s="1037"/>
      <c r="DE105" s="1037"/>
      <c r="DF105" s="1037"/>
      <c r="DG105" s="1037"/>
      <c r="DH105" s="1037"/>
      <c r="DI105" s="1037"/>
      <c r="DJ105" s="1037"/>
      <c r="DK105" s="1037"/>
      <c r="DL105" s="1037"/>
      <c r="DM105" s="1037"/>
      <c r="DN105" s="1037"/>
      <c r="DO105" s="1037"/>
      <c r="DP105" s="1037"/>
      <c r="DQ105" s="1037"/>
      <c r="DR105" s="1037"/>
      <c r="DS105" s="1037"/>
      <c r="DT105" s="1037"/>
      <c r="DU105" s="1037"/>
      <c r="DV105" s="1037"/>
      <c r="DW105" s="1037"/>
      <c r="DX105" s="1037"/>
      <c r="DY105" s="1037"/>
      <c r="DZ105" s="1037"/>
      <c r="EA105" s="1037"/>
      <c r="EB105" s="1037"/>
      <c r="EC105" s="1037"/>
      <c r="ED105" s="1037"/>
      <c r="EE105" s="1037"/>
      <c r="EF105" s="1037"/>
      <c r="EG105" s="1037"/>
      <c r="EH105" s="1037"/>
      <c r="EI105" s="1037"/>
      <c r="EJ105" s="1037"/>
      <c r="EK105" s="1037"/>
      <c r="EL105" s="1037"/>
      <c r="EM105" s="1037"/>
      <c r="EN105" s="1037"/>
      <c r="EO105" s="1037"/>
      <c r="EP105" s="1037"/>
      <c r="EQ105" s="1037"/>
      <c r="ER105" s="1037"/>
      <c r="ES105" s="1037"/>
      <c r="ET105" s="1037"/>
      <c r="EU105" s="1037"/>
      <c r="EV105" s="1037"/>
      <c r="EW105" s="1037"/>
      <c r="EX105" s="1037"/>
      <c r="EY105" s="1037"/>
      <c r="EZ105" s="1037"/>
      <c r="FA105" s="1037"/>
      <c r="FB105" s="1037"/>
      <c r="FC105" s="1037"/>
      <c r="FD105" s="1037"/>
      <c r="FE105" s="1037"/>
      <c r="FF105" s="1037"/>
      <c r="FG105" s="1037"/>
      <c r="FH105" s="1037"/>
      <c r="FI105" s="1037"/>
      <c r="FJ105" s="1037"/>
      <c r="FK105" s="1037"/>
      <c r="FL105" s="1037"/>
      <c r="FM105" s="1037"/>
      <c r="FN105" s="1037"/>
      <c r="FO105" s="1037"/>
      <c r="FP105" s="1037"/>
      <c r="FQ105" s="1037"/>
      <c r="FR105" s="1037"/>
      <c r="FS105" s="1037"/>
      <c r="FT105" s="1037"/>
      <c r="FU105" s="1037"/>
      <c r="FV105" s="1037"/>
      <c r="FW105" s="1037"/>
      <c r="FX105" s="1037"/>
      <c r="FY105" s="1037"/>
      <c r="FZ105" s="1037"/>
      <c r="GA105" s="1037"/>
      <c r="GB105" s="1037"/>
      <c r="GC105" s="1037"/>
      <c r="GD105" s="1037"/>
      <c r="GE105" s="1037"/>
      <c r="GF105" s="1037"/>
      <c r="GG105" s="1037"/>
      <c r="GH105" s="1037"/>
      <c r="GI105" s="1037"/>
      <c r="GJ105" s="1037"/>
      <c r="GK105" s="1037"/>
      <c r="GL105" s="1037"/>
      <c r="GM105" s="1037"/>
      <c r="GN105" s="1037"/>
      <c r="GO105" s="1037"/>
      <c r="GP105" s="1037"/>
      <c r="GQ105" s="1037"/>
      <c r="GR105" s="1037"/>
      <c r="GS105" s="1037"/>
      <c r="GT105" s="1037"/>
      <c r="GU105" s="1037"/>
      <c r="GV105" s="1037"/>
      <c r="GW105" s="1037"/>
      <c r="GX105" s="1037"/>
      <c r="GY105" s="1037"/>
      <c r="GZ105" s="1037"/>
      <c r="HA105" s="1037"/>
      <c r="HB105" s="1037"/>
      <c r="HC105" s="1037"/>
      <c r="HD105" s="1037"/>
      <c r="HE105" s="1037"/>
      <c r="HF105" s="1037"/>
      <c r="HG105" s="1037"/>
      <c r="HH105" s="1037"/>
      <c r="HI105" s="1037"/>
      <c r="HJ105" s="1037"/>
      <c r="HK105" s="1037"/>
      <c r="HL105" s="1037"/>
      <c r="HM105" s="1037"/>
      <c r="HN105" s="1037"/>
      <c r="HO105" s="1037"/>
      <c r="HP105" s="1037"/>
      <c r="HQ105" s="1037"/>
      <c r="HR105" s="1037"/>
      <c r="HS105" s="1037"/>
      <c r="HT105" s="1037"/>
      <c r="HU105" s="1037"/>
      <c r="HV105" s="1037"/>
      <c r="HW105" s="1037"/>
      <c r="HX105" s="1037"/>
      <c r="HY105" s="1037"/>
      <c r="HZ105" s="1037"/>
      <c r="IA105" s="1037"/>
      <c r="IB105" s="1037"/>
      <c r="IC105" s="1037"/>
      <c r="ID105" s="1037"/>
      <c r="IE105" s="1037"/>
      <c r="IF105" s="1037"/>
      <c r="IG105" s="1037"/>
      <c r="IH105" s="1037"/>
      <c r="II105" s="1037"/>
      <c r="IJ105" s="1037"/>
      <c r="IK105" s="1037"/>
      <c r="IL105" s="1037"/>
      <c r="IM105" s="1037"/>
      <c r="IN105" s="1037"/>
    </row>
    <row r="106" spans="1:248" ht="16.2" hidden="1">
      <c r="A106" s="701" t="s">
        <v>22</v>
      </c>
      <c r="B106" s="703">
        <v>4825.2</v>
      </c>
      <c r="C106" s="1038">
        <f t="shared" si="12"/>
        <v>27.421206369412275</v>
      </c>
      <c r="D106" s="704">
        <v>3683</v>
      </c>
      <c r="E106" s="1038">
        <f t="shared" si="13"/>
        <v>20.930179693804487</v>
      </c>
      <c r="F106" s="1038">
        <f t="shared" si="14"/>
        <v>1142.1999999999998</v>
      </c>
      <c r="G106" s="1038">
        <f t="shared" si="15"/>
        <v>6.4910266756077872</v>
      </c>
      <c r="H106" s="26">
        <v>17596.599999999999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7"/>
      <c r="AB106" s="1037"/>
      <c r="AC106" s="1037"/>
      <c r="AD106" s="1037"/>
      <c r="AE106" s="1037"/>
      <c r="AF106" s="1037"/>
      <c r="AG106" s="1037"/>
      <c r="AH106" s="1037"/>
      <c r="AI106" s="1037"/>
      <c r="AJ106" s="1037"/>
      <c r="AK106" s="1037"/>
      <c r="AL106" s="1037"/>
      <c r="AM106" s="1037"/>
      <c r="AN106" s="1037"/>
      <c r="AO106" s="1037"/>
      <c r="AP106" s="1037"/>
      <c r="AQ106" s="1037"/>
      <c r="AR106" s="1037"/>
      <c r="AS106" s="1037"/>
      <c r="AT106" s="1037"/>
      <c r="AU106" s="1037"/>
      <c r="AV106" s="1037"/>
      <c r="AW106" s="1037"/>
      <c r="AX106" s="1037"/>
      <c r="AY106" s="1037"/>
      <c r="AZ106" s="1037"/>
      <c r="BA106" s="1037"/>
      <c r="BB106" s="1037"/>
      <c r="BC106" s="1037"/>
      <c r="BD106" s="1037"/>
      <c r="BE106" s="1037"/>
      <c r="BF106" s="1037"/>
      <c r="BG106" s="1037"/>
      <c r="BH106" s="1037"/>
      <c r="BI106" s="1037"/>
      <c r="BJ106" s="1037"/>
      <c r="BK106" s="1037"/>
      <c r="BL106" s="1037"/>
      <c r="BM106" s="1037"/>
      <c r="BN106" s="1037"/>
      <c r="BO106" s="1037"/>
      <c r="BP106" s="1037"/>
      <c r="BQ106" s="1037"/>
      <c r="BR106" s="1037"/>
      <c r="BS106" s="1037"/>
      <c r="BT106" s="1037"/>
      <c r="BU106" s="1037"/>
      <c r="BV106" s="1037"/>
      <c r="BW106" s="1037"/>
      <c r="BX106" s="1037"/>
      <c r="BY106" s="1037"/>
      <c r="BZ106" s="1037"/>
      <c r="CA106" s="1037"/>
      <c r="CB106" s="1037"/>
      <c r="CC106" s="1037"/>
      <c r="CD106" s="1037"/>
      <c r="CE106" s="1037"/>
      <c r="CF106" s="1037"/>
      <c r="CG106" s="1037"/>
      <c r="CH106" s="1037"/>
      <c r="CI106" s="1037"/>
      <c r="CJ106" s="1037"/>
      <c r="CK106" s="1037"/>
      <c r="CL106" s="1037"/>
      <c r="CM106" s="1037"/>
      <c r="CN106" s="1037"/>
      <c r="CO106" s="1037"/>
      <c r="CP106" s="1037"/>
      <c r="CQ106" s="1037"/>
      <c r="CR106" s="1037"/>
      <c r="CS106" s="1037"/>
      <c r="CT106" s="1037"/>
      <c r="CU106" s="1037"/>
      <c r="CV106" s="1037"/>
      <c r="CW106" s="1037"/>
      <c r="CX106" s="1037"/>
      <c r="CY106" s="1037"/>
      <c r="CZ106" s="1037"/>
      <c r="DA106" s="1037"/>
      <c r="DB106" s="1037"/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7"/>
      <c r="DN106" s="1037"/>
      <c r="DO106" s="1037"/>
      <c r="DP106" s="1037"/>
      <c r="DQ106" s="1037"/>
      <c r="DR106" s="1037"/>
      <c r="DS106" s="1037"/>
      <c r="DT106" s="1037"/>
      <c r="DU106" s="1037"/>
      <c r="DV106" s="1037"/>
      <c r="DW106" s="1037"/>
      <c r="DX106" s="1037"/>
      <c r="DY106" s="1037"/>
      <c r="DZ106" s="1037"/>
      <c r="EA106" s="1037"/>
      <c r="EB106" s="1037"/>
      <c r="EC106" s="1037"/>
      <c r="ED106" s="1037"/>
      <c r="EE106" s="1037"/>
      <c r="EF106" s="1037"/>
      <c r="EG106" s="1037"/>
      <c r="EH106" s="1037"/>
      <c r="EI106" s="1037"/>
      <c r="EJ106" s="1037"/>
      <c r="EK106" s="1037"/>
      <c r="EL106" s="1037"/>
      <c r="EM106" s="1037"/>
      <c r="EN106" s="1037"/>
      <c r="EO106" s="1037"/>
      <c r="EP106" s="1037"/>
      <c r="EQ106" s="1037"/>
      <c r="ER106" s="1037"/>
      <c r="ES106" s="1037"/>
      <c r="ET106" s="1037"/>
      <c r="EU106" s="1037"/>
      <c r="EV106" s="1037"/>
      <c r="EW106" s="1037"/>
      <c r="EX106" s="1037"/>
      <c r="EY106" s="1037"/>
      <c r="EZ106" s="1037"/>
      <c r="FA106" s="1037"/>
      <c r="FB106" s="1037"/>
      <c r="FC106" s="1037"/>
      <c r="FD106" s="1037"/>
      <c r="FE106" s="1037"/>
      <c r="FF106" s="1037"/>
      <c r="FG106" s="1037"/>
      <c r="FH106" s="1037"/>
      <c r="FI106" s="1037"/>
      <c r="FJ106" s="1037"/>
      <c r="FK106" s="1037"/>
      <c r="FL106" s="1037"/>
      <c r="FM106" s="1037"/>
      <c r="FN106" s="1037"/>
      <c r="FO106" s="1037"/>
      <c r="FP106" s="1037"/>
      <c r="FQ106" s="1037"/>
      <c r="FR106" s="1037"/>
      <c r="FS106" s="1037"/>
      <c r="FT106" s="1037"/>
      <c r="FU106" s="1037"/>
      <c r="FV106" s="1037"/>
      <c r="FW106" s="1037"/>
      <c r="FX106" s="1037"/>
      <c r="FY106" s="1037"/>
      <c r="FZ106" s="1037"/>
      <c r="GA106" s="1037"/>
      <c r="GB106" s="1037"/>
      <c r="GC106" s="1037"/>
      <c r="GD106" s="1037"/>
      <c r="GE106" s="1037"/>
      <c r="GF106" s="1037"/>
      <c r="GG106" s="1037"/>
      <c r="GH106" s="1037"/>
      <c r="GI106" s="1037"/>
      <c r="GJ106" s="1037"/>
      <c r="GK106" s="1037"/>
      <c r="GL106" s="1037"/>
      <c r="GM106" s="1037"/>
      <c r="GN106" s="1037"/>
      <c r="GO106" s="1037"/>
      <c r="GP106" s="1037"/>
      <c r="GQ106" s="1037"/>
      <c r="GR106" s="1037"/>
      <c r="GS106" s="1037"/>
      <c r="GT106" s="1037"/>
      <c r="GU106" s="1037"/>
      <c r="GV106" s="1037"/>
      <c r="GW106" s="1037"/>
      <c r="GX106" s="1037"/>
      <c r="GY106" s="1037"/>
      <c r="GZ106" s="1037"/>
      <c r="HA106" s="1037"/>
      <c r="HB106" s="1037"/>
      <c r="HC106" s="1037"/>
      <c r="HD106" s="1037"/>
      <c r="HE106" s="1037"/>
      <c r="HF106" s="1037"/>
      <c r="HG106" s="1037"/>
      <c r="HH106" s="1037"/>
      <c r="HI106" s="1037"/>
      <c r="HJ106" s="1037"/>
      <c r="HK106" s="1037"/>
      <c r="HL106" s="1037"/>
      <c r="HM106" s="1037"/>
      <c r="HN106" s="1037"/>
      <c r="HO106" s="1037"/>
      <c r="HP106" s="1037"/>
      <c r="HQ106" s="1037"/>
      <c r="HR106" s="1037"/>
      <c r="HS106" s="1037"/>
      <c r="HT106" s="1037"/>
      <c r="HU106" s="1037"/>
      <c r="HV106" s="1037"/>
      <c r="HW106" s="1037"/>
      <c r="HX106" s="1037"/>
      <c r="HY106" s="1037"/>
      <c r="HZ106" s="1037"/>
      <c r="IA106" s="1037"/>
      <c r="IB106" s="1037"/>
      <c r="IC106" s="1037"/>
      <c r="ID106" s="1037"/>
      <c r="IE106" s="1037"/>
      <c r="IF106" s="1037"/>
      <c r="IG106" s="1037"/>
      <c r="IH106" s="1037"/>
      <c r="II106" s="1037"/>
      <c r="IJ106" s="1037"/>
      <c r="IK106" s="1037"/>
      <c r="IL106" s="1037"/>
      <c r="IM106" s="1037"/>
      <c r="IN106" s="1037"/>
    </row>
    <row r="107" spans="1:248" ht="16.2" hidden="1">
      <c r="A107" s="701" t="s">
        <v>23</v>
      </c>
      <c r="B107" s="703">
        <v>5610.8</v>
      </c>
      <c r="C107" s="1038">
        <f t="shared" si="12"/>
        <v>24.918615237714565</v>
      </c>
      <c r="D107" s="704">
        <v>4882.1000000000004</v>
      </c>
      <c r="E107" s="1038">
        <f t="shared" si="13"/>
        <v>21.682321852863456</v>
      </c>
      <c r="F107" s="1038">
        <f t="shared" si="14"/>
        <v>728.69999999999982</v>
      </c>
      <c r="G107" s="1038">
        <f t="shared" si="15"/>
        <v>3.2362933848511086</v>
      </c>
      <c r="H107" s="26">
        <v>22516.5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7"/>
      <c r="AB107" s="1037"/>
      <c r="AC107" s="1037"/>
      <c r="AD107" s="1037"/>
      <c r="AE107" s="1037"/>
      <c r="AF107" s="1037"/>
      <c r="AG107" s="1037"/>
      <c r="AH107" s="1037"/>
      <c r="AI107" s="1037"/>
      <c r="AJ107" s="1037"/>
      <c r="AK107" s="1037"/>
      <c r="AL107" s="1037"/>
      <c r="AM107" s="1037"/>
      <c r="AN107" s="1037"/>
      <c r="AO107" s="1037"/>
      <c r="AP107" s="1037"/>
      <c r="AQ107" s="1037"/>
      <c r="AR107" s="1037"/>
      <c r="AS107" s="1037"/>
      <c r="AT107" s="1037"/>
      <c r="AU107" s="1037"/>
      <c r="AV107" s="1037"/>
      <c r="AW107" s="1037"/>
      <c r="AX107" s="1037"/>
      <c r="AY107" s="1037"/>
      <c r="AZ107" s="1037"/>
      <c r="BA107" s="1037"/>
      <c r="BB107" s="1037"/>
      <c r="BC107" s="1037"/>
      <c r="BD107" s="1037"/>
      <c r="BE107" s="1037"/>
      <c r="BF107" s="1037"/>
      <c r="BG107" s="1037"/>
      <c r="BH107" s="1037"/>
      <c r="BI107" s="1037"/>
      <c r="BJ107" s="1037"/>
      <c r="BK107" s="1037"/>
      <c r="BL107" s="1037"/>
      <c r="BM107" s="1037"/>
      <c r="BN107" s="1037"/>
      <c r="BO107" s="1037"/>
      <c r="BP107" s="1037"/>
      <c r="BQ107" s="1037"/>
      <c r="BR107" s="1037"/>
      <c r="BS107" s="1037"/>
      <c r="BT107" s="1037"/>
      <c r="BU107" s="1037"/>
      <c r="BV107" s="1037"/>
      <c r="BW107" s="1037"/>
      <c r="BX107" s="1037"/>
      <c r="BY107" s="1037"/>
      <c r="BZ107" s="1037"/>
      <c r="CA107" s="1037"/>
      <c r="CB107" s="1037"/>
      <c r="CC107" s="1037"/>
      <c r="CD107" s="1037"/>
      <c r="CE107" s="1037"/>
      <c r="CF107" s="1037"/>
      <c r="CG107" s="1037"/>
      <c r="CH107" s="1037"/>
      <c r="CI107" s="1037"/>
      <c r="CJ107" s="1037"/>
      <c r="CK107" s="1037"/>
      <c r="CL107" s="1037"/>
      <c r="CM107" s="1037"/>
      <c r="CN107" s="1037"/>
      <c r="CO107" s="1037"/>
      <c r="CP107" s="1037"/>
      <c r="CQ107" s="1037"/>
      <c r="CR107" s="1037"/>
      <c r="CS107" s="1037"/>
      <c r="CT107" s="1037"/>
      <c r="CU107" s="1037"/>
      <c r="CV107" s="1037"/>
      <c r="CW107" s="1037"/>
      <c r="CX107" s="1037"/>
      <c r="CY107" s="1037"/>
      <c r="CZ107" s="1037"/>
      <c r="DA107" s="1037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7"/>
      <c r="DN107" s="1037"/>
      <c r="DO107" s="1037"/>
      <c r="DP107" s="1037"/>
      <c r="DQ107" s="1037"/>
      <c r="DR107" s="1037"/>
      <c r="DS107" s="1037"/>
      <c r="DT107" s="1037"/>
      <c r="DU107" s="1037"/>
      <c r="DV107" s="1037"/>
      <c r="DW107" s="1037"/>
      <c r="DX107" s="1037"/>
      <c r="DY107" s="1037"/>
      <c r="DZ107" s="1037"/>
      <c r="EA107" s="1037"/>
      <c r="EB107" s="1037"/>
      <c r="EC107" s="1037"/>
      <c r="ED107" s="1037"/>
      <c r="EE107" s="1037"/>
      <c r="EF107" s="1037"/>
      <c r="EG107" s="1037"/>
      <c r="EH107" s="1037"/>
      <c r="EI107" s="1037"/>
      <c r="EJ107" s="1037"/>
      <c r="EK107" s="1037"/>
      <c r="EL107" s="1037"/>
      <c r="EM107" s="1037"/>
      <c r="EN107" s="1037"/>
      <c r="EO107" s="1037"/>
      <c r="EP107" s="1037"/>
      <c r="EQ107" s="1037"/>
      <c r="ER107" s="1037"/>
      <c r="ES107" s="1037"/>
      <c r="ET107" s="1037"/>
      <c r="EU107" s="1037"/>
      <c r="EV107" s="1037"/>
      <c r="EW107" s="1037"/>
      <c r="EX107" s="1037"/>
      <c r="EY107" s="1037"/>
      <c r="EZ107" s="1037"/>
      <c r="FA107" s="1037"/>
      <c r="FB107" s="1037"/>
      <c r="FC107" s="1037"/>
      <c r="FD107" s="1037"/>
      <c r="FE107" s="1037"/>
      <c r="FF107" s="1037"/>
      <c r="FG107" s="1037"/>
      <c r="FH107" s="1037"/>
      <c r="FI107" s="1037"/>
      <c r="FJ107" s="1037"/>
      <c r="FK107" s="1037"/>
      <c r="FL107" s="1037"/>
      <c r="FM107" s="1037"/>
      <c r="FN107" s="1037"/>
      <c r="FO107" s="1037"/>
      <c r="FP107" s="1037"/>
      <c r="FQ107" s="1037"/>
      <c r="FR107" s="1037"/>
      <c r="FS107" s="1037"/>
      <c r="FT107" s="1037"/>
      <c r="FU107" s="1037"/>
      <c r="FV107" s="1037"/>
      <c r="FW107" s="1037"/>
      <c r="FX107" s="1037"/>
      <c r="FY107" s="1037"/>
      <c r="FZ107" s="1037"/>
      <c r="GA107" s="1037"/>
      <c r="GB107" s="1037"/>
      <c r="GC107" s="1037"/>
      <c r="GD107" s="1037"/>
      <c r="GE107" s="1037"/>
      <c r="GF107" s="1037"/>
      <c r="GG107" s="1037"/>
      <c r="GH107" s="1037"/>
      <c r="GI107" s="1037"/>
      <c r="GJ107" s="1037"/>
      <c r="GK107" s="1037"/>
      <c r="GL107" s="1037"/>
      <c r="GM107" s="1037"/>
      <c r="GN107" s="1037"/>
      <c r="GO107" s="1037"/>
      <c r="GP107" s="1037"/>
      <c r="GQ107" s="1037"/>
      <c r="GR107" s="1037"/>
      <c r="GS107" s="1037"/>
      <c r="GT107" s="1037"/>
      <c r="GU107" s="1037"/>
      <c r="GV107" s="1037"/>
      <c r="GW107" s="1037"/>
      <c r="GX107" s="1037"/>
      <c r="GY107" s="1037"/>
      <c r="GZ107" s="1037"/>
      <c r="HA107" s="1037"/>
      <c r="HB107" s="1037"/>
      <c r="HC107" s="1037"/>
      <c r="HD107" s="1037"/>
      <c r="HE107" s="1037"/>
      <c r="HF107" s="1037"/>
      <c r="HG107" s="1037"/>
      <c r="HH107" s="1037"/>
      <c r="HI107" s="1037"/>
      <c r="HJ107" s="1037"/>
      <c r="HK107" s="1037"/>
      <c r="HL107" s="1037"/>
      <c r="HM107" s="1037"/>
      <c r="HN107" s="1037"/>
      <c r="HO107" s="1037"/>
      <c r="HP107" s="1037"/>
      <c r="HQ107" s="1037"/>
      <c r="HR107" s="1037"/>
      <c r="HS107" s="1037"/>
      <c r="HT107" s="1037"/>
      <c r="HU107" s="1037"/>
      <c r="HV107" s="1037"/>
      <c r="HW107" s="1037"/>
      <c r="HX107" s="1037"/>
      <c r="HY107" s="1037"/>
      <c r="HZ107" s="1037"/>
      <c r="IA107" s="1037"/>
      <c r="IB107" s="1037"/>
      <c r="IC107" s="1037"/>
      <c r="ID107" s="1037"/>
      <c r="IE107" s="1037"/>
      <c r="IF107" s="1037"/>
      <c r="IG107" s="1037"/>
      <c r="IH107" s="1037"/>
      <c r="II107" s="1037"/>
      <c r="IJ107" s="1037"/>
      <c r="IK107" s="1037"/>
      <c r="IL107" s="1037"/>
      <c r="IM107" s="1037"/>
      <c r="IN107" s="1037"/>
    </row>
    <row r="108" spans="1:248" ht="16.2" hidden="1">
      <c r="A108" s="701" t="s">
        <v>24</v>
      </c>
      <c r="B108" s="703">
        <v>6868.5</v>
      </c>
      <c r="C108" s="1038">
        <f t="shared" si="12"/>
        <v>25.916618557634617</v>
      </c>
      <c r="D108" s="704">
        <v>6201.2</v>
      </c>
      <c r="E108" s="1038">
        <f t="shared" si="13"/>
        <v>23.398723884342111</v>
      </c>
      <c r="F108" s="1038">
        <f t="shared" si="14"/>
        <v>667.30000000000018</v>
      </c>
      <c r="G108" s="1038">
        <f t="shared" si="15"/>
        <v>2.5178946732925076</v>
      </c>
      <c r="H108" s="26">
        <v>26502.3</v>
      </c>
      <c r="I108" s="1037"/>
      <c r="J108" s="1037"/>
      <c r="K108" s="1037"/>
      <c r="L108" s="1037"/>
      <c r="M108" s="1037"/>
      <c r="N108" s="1037"/>
      <c r="O108" s="1040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7"/>
      <c r="AB108" s="1037"/>
      <c r="AC108" s="1037"/>
      <c r="AD108" s="1037"/>
      <c r="AE108" s="1037"/>
      <c r="AF108" s="1037"/>
      <c r="AG108" s="1037"/>
      <c r="AH108" s="1037"/>
      <c r="AI108" s="1037"/>
      <c r="AJ108" s="1037"/>
      <c r="AK108" s="1037"/>
      <c r="AL108" s="1037"/>
      <c r="AM108" s="1037"/>
      <c r="AN108" s="1037"/>
      <c r="AO108" s="1037"/>
      <c r="AP108" s="1037"/>
      <c r="AQ108" s="1037"/>
      <c r="AR108" s="1037"/>
      <c r="AS108" s="1037"/>
      <c r="AT108" s="1037"/>
      <c r="AU108" s="1037"/>
      <c r="AV108" s="1037"/>
      <c r="AW108" s="1037"/>
      <c r="AX108" s="1037"/>
      <c r="AY108" s="1037"/>
      <c r="AZ108" s="1037"/>
      <c r="BA108" s="1037"/>
      <c r="BB108" s="1037"/>
      <c r="BC108" s="1037"/>
      <c r="BD108" s="1037"/>
      <c r="BE108" s="1037"/>
      <c r="BF108" s="1037"/>
      <c r="BG108" s="1037"/>
      <c r="BH108" s="1037"/>
      <c r="BI108" s="1037"/>
      <c r="BJ108" s="1037"/>
      <c r="BK108" s="1037"/>
      <c r="BL108" s="1037"/>
      <c r="BM108" s="1037"/>
      <c r="BN108" s="1037"/>
      <c r="BO108" s="1037"/>
      <c r="BP108" s="1037"/>
      <c r="BQ108" s="1037"/>
      <c r="BR108" s="1037"/>
      <c r="BS108" s="1037"/>
      <c r="BT108" s="1037"/>
      <c r="BU108" s="1037"/>
      <c r="BV108" s="1037"/>
      <c r="BW108" s="1037"/>
      <c r="BX108" s="1037"/>
      <c r="BY108" s="1037"/>
      <c r="BZ108" s="1037"/>
      <c r="CA108" s="1037"/>
      <c r="CB108" s="1037"/>
      <c r="CC108" s="1037"/>
      <c r="CD108" s="1037"/>
      <c r="CE108" s="1037"/>
      <c r="CF108" s="1037"/>
      <c r="CG108" s="1037"/>
      <c r="CH108" s="1037"/>
      <c r="CI108" s="1037"/>
      <c r="CJ108" s="1037"/>
      <c r="CK108" s="1037"/>
      <c r="CL108" s="1037"/>
      <c r="CM108" s="1037"/>
      <c r="CN108" s="1037"/>
      <c r="CO108" s="1037"/>
      <c r="CP108" s="1037"/>
      <c r="CQ108" s="1037"/>
      <c r="CR108" s="1037"/>
      <c r="CS108" s="1037"/>
      <c r="CT108" s="1037"/>
      <c r="CU108" s="1037"/>
      <c r="CV108" s="1037"/>
      <c r="CW108" s="1037"/>
      <c r="CX108" s="1037"/>
      <c r="CY108" s="1037"/>
      <c r="CZ108" s="1037"/>
      <c r="DA108" s="1037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7"/>
      <c r="DN108" s="1037"/>
      <c r="DO108" s="1037"/>
      <c r="DP108" s="1037"/>
      <c r="DQ108" s="1037"/>
      <c r="DR108" s="1037"/>
      <c r="DS108" s="1037"/>
      <c r="DT108" s="1037"/>
      <c r="DU108" s="1037"/>
      <c r="DV108" s="1037"/>
      <c r="DW108" s="1037"/>
      <c r="DX108" s="1037"/>
      <c r="DY108" s="1037"/>
      <c r="DZ108" s="1037"/>
      <c r="EA108" s="1037"/>
      <c r="EB108" s="1037"/>
      <c r="EC108" s="1037"/>
      <c r="ED108" s="1037"/>
      <c r="EE108" s="1037"/>
      <c r="EF108" s="1037"/>
      <c r="EG108" s="1037"/>
      <c r="EH108" s="1037"/>
      <c r="EI108" s="1037"/>
      <c r="EJ108" s="1037"/>
      <c r="EK108" s="1037"/>
      <c r="EL108" s="1037"/>
      <c r="EM108" s="1037"/>
      <c r="EN108" s="1037"/>
      <c r="EO108" s="1037"/>
      <c r="EP108" s="1037"/>
      <c r="EQ108" s="1037"/>
      <c r="ER108" s="1037"/>
      <c r="ES108" s="1037"/>
      <c r="ET108" s="1037"/>
      <c r="EU108" s="1037"/>
      <c r="EV108" s="1037"/>
      <c r="EW108" s="1037"/>
      <c r="EX108" s="1037"/>
      <c r="EY108" s="1037"/>
      <c r="EZ108" s="1037"/>
      <c r="FA108" s="1037"/>
      <c r="FB108" s="1037"/>
      <c r="FC108" s="1037"/>
      <c r="FD108" s="1037"/>
      <c r="FE108" s="1037"/>
      <c r="FF108" s="1037"/>
      <c r="FG108" s="1037"/>
      <c r="FH108" s="1037"/>
      <c r="FI108" s="1037"/>
      <c r="FJ108" s="1037"/>
      <c r="FK108" s="1037"/>
      <c r="FL108" s="1037"/>
      <c r="FM108" s="1037"/>
      <c r="FN108" s="1037"/>
      <c r="FO108" s="1037"/>
      <c r="FP108" s="1037"/>
      <c r="FQ108" s="1037"/>
      <c r="FR108" s="1037"/>
      <c r="FS108" s="1037"/>
      <c r="FT108" s="1037"/>
      <c r="FU108" s="1037"/>
      <c r="FV108" s="1037"/>
      <c r="FW108" s="1037"/>
      <c r="FX108" s="1037"/>
      <c r="FY108" s="1037"/>
      <c r="FZ108" s="1037"/>
      <c r="GA108" s="1037"/>
      <c r="GB108" s="1037"/>
      <c r="GC108" s="1037"/>
      <c r="GD108" s="1037"/>
      <c r="GE108" s="1037"/>
      <c r="GF108" s="1037"/>
      <c r="GG108" s="1037"/>
      <c r="GH108" s="1037"/>
      <c r="GI108" s="1037"/>
      <c r="GJ108" s="1037"/>
      <c r="GK108" s="1037"/>
      <c r="GL108" s="1037"/>
      <c r="GM108" s="1037"/>
      <c r="GN108" s="1037"/>
      <c r="GO108" s="1037"/>
      <c r="GP108" s="1037"/>
      <c r="GQ108" s="1037"/>
      <c r="GR108" s="1037"/>
      <c r="GS108" s="1037"/>
      <c r="GT108" s="1037"/>
      <c r="GU108" s="1037"/>
      <c r="GV108" s="1037"/>
      <c r="GW108" s="1037"/>
      <c r="GX108" s="1037"/>
      <c r="GY108" s="1037"/>
      <c r="GZ108" s="1037"/>
      <c r="HA108" s="1037"/>
      <c r="HB108" s="1037"/>
      <c r="HC108" s="1037"/>
      <c r="HD108" s="1037"/>
      <c r="HE108" s="1037"/>
      <c r="HF108" s="1037"/>
      <c r="HG108" s="1037"/>
      <c r="HH108" s="1037"/>
      <c r="HI108" s="1037"/>
      <c r="HJ108" s="1037"/>
      <c r="HK108" s="1037"/>
      <c r="HL108" s="1037"/>
      <c r="HM108" s="1037"/>
      <c r="HN108" s="1037"/>
      <c r="HO108" s="1037"/>
      <c r="HP108" s="1037"/>
      <c r="HQ108" s="1037"/>
      <c r="HR108" s="1037"/>
      <c r="HS108" s="1037"/>
      <c r="HT108" s="1037"/>
      <c r="HU108" s="1037"/>
      <c r="HV108" s="1037"/>
      <c r="HW108" s="1037"/>
      <c r="HX108" s="1037"/>
      <c r="HY108" s="1037"/>
      <c r="HZ108" s="1037"/>
      <c r="IA108" s="1037"/>
      <c r="IB108" s="1037"/>
      <c r="IC108" s="1037"/>
      <c r="ID108" s="1037"/>
      <c r="IE108" s="1037"/>
      <c r="IF108" s="1037"/>
      <c r="IG108" s="1037"/>
      <c r="IH108" s="1037"/>
      <c r="II108" s="1037"/>
      <c r="IJ108" s="1037"/>
      <c r="IK108" s="1037"/>
      <c r="IL108" s="1037"/>
      <c r="IM108" s="1037"/>
      <c r="IN108" s="1037"/>
    </row>
    <row r="109" spans="1:248" ht="16.2" hidden="1">
      <c r="A109" s="701" t="s">
        <v>25</v>
      </c>
      <c r="B109" s="703">
        <v>7738.7</v>
      </c>
      <c r="C109" s="1038">
        <f t="shared" si="12"/>
        <v>25.069649613849581</v>
      </c>
      <c r="D109" s="704">
        <v>7538</v>
      </c>
      <c r="E109" s="1038">
        <f t="shared" si="13"/>
        <v>24.419478567356038</v>
      </c>
      <c r="F109" s="1038">
        <f t="shared" si="14"/>
        <v>200.69999999999982</v>
      </c>
      <c r="G109" s="1038">
        <f t="shared" si="15"/>
        <v>0.65017104649354629</v>
      </c>
      <c r="H109" s="26">
        <v>30868.799999999999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7"/>
      <c r="AB109" s="1037"/>
      <c r="AC109" s="1037"/>
      <c r="AD109" s="1037"/>
      <c r="AE109" s="1037"/>
      <c r="AF109" s="1037"/>
      <c r="AG109" s="1037"/>
      <c r="AH109" s="1037"/>
      <c r="AI109" s="1037"/>
      <c r="AJ109" s="1037"/>
      <c r="AK109" s="1037"/>
      <c r="AL109" s="1037"/>
      <c r="AM109" s="1037"/>
      <c r="AN109" s="1037"/>
      <c r="AO109" s="1037"/>
      <c r="AP109" s="1037"/>
      <c r="AQ109" s="1037"/>
      <c r="AR109" s="1037"/>
      <c r="AS109" s="1037"/>
      <c r="AT109" s="1037"/>
      <c r="AU109" s="1037"/>
      <c r="AV109" s="1037"/>
      <c r="AW109" s="1037"/>
      <c r="AX109" s="1037"/>
      <c r="AY109" s="1037"/>
      <c r="AZ109" s="1037"/>
      <c r="BA109" s="1037"/>
      <c r="BB109" s="1037"/>
      <c r="BC109" s="1037"/>
      <c r="BD109" s="1037"/>
      <c r="BE109" s="1037"/>
      <c r="BF109" s="1037"/>
      <c r="BG109" s="1037"/>
      <c r="BH109" s="1037"/>
      <c r="BI109" s="1037"/>
      <c r="BJ109" s="1037"/>
      <c r="BK109" s="1037"/>
      <c r="BL109" s="1037"/>
      <c r="BM109" s="1037"/>
      <c r="BN109" s="1037"/>
      <c r="BO109" s="1037"/>
      <c r="BP109" s="1037"/>
      <c r="BQ109" s="1037"/>
      <c r="BR109" s="1037"/>
      <c r="BS109" s="1037"/>
      <c r="BT109" s="1037"/>
      <c r="BU109" s="1037"/>
      <c r="BV109" s="1037"/>
      <c r="BW109" s="1037"/>
      <c r="BX109" s="1037"/>
      <c r="BY109" s="1037"/>
      <c r="BZ109" s="1037"/>
      <c r="CA109" s="1037"/>
      <c r="CB109" s="1037"/>
      <c r="CC109" s="1037"/>
      <c r="CD109" s="1037"/>
      <c r="CE109" s="1037"/>
      <c r="CF109" s="1037"/>
      <c r="CG109" s="1037"/>
      <c r="CH109" s="1037"/>
      <c r="CI109" s="1037"/>
      <c r="CJ109" s="1037"/>
      <c r="CK109" s="1037"/>
      <c r="CL109" s="1037"/>
      <c r="CM109" s="1037"/>
      <c r="CN109" s="1037"/>
      <c r="CO109" s="1037"/>
      <c r="CP109" s="1037"/>
      <c r="CQ109" s="1037"/>
      <c r="CR109" s="1037"/>
      <c r="CS109" s="1037"/>
      <c r="CT109" s="1037"/>
      <c r="CU109" s="1037"/>
      <c r="CV109" s="1037"/>
      <c r="CW109" s="1037"/>
      <c r="CX109" s="1037"/>
      <c r="CY109" s="1037"/>
      <c r="CZ109" s="1037"/>
      <c r="DA109" s="1037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7"/>
      <c r="DO109" s="1037"/>
      <c r="DP109" s="1037"/>
      <c r="DQ109" s="1037"/>
      <c r="DR109" s="1037"/>
      <c r="DS109" s="1037"/>
      <c r="DT109" s="1037"/>
      <c r="DU109" s="1037"/>
      <c r="DV109" s="1037"/>
      <c r="DW109" s="1037"/>
      <c r="DX109" s="1037"/>
      <c r="DY109" s="1037"/>
      <c r="DZ109" s="1037"/>
      <c r="EA109" s="1037"/>
      <c r="EB109" s="1037"/>
      <c r="EC109" s="1037"/>
      <c r="ED109" s="1037"/>
      <c r="EE109" s="1037"/>
      <c r="EF109" s="1037"/>
      <c r="EG109" s="1037"/>
      <c r="EH109" s="1037"/>
      <c r="EI109" s="1037"/>
      <c r="EJ109" s="1037"/>
      <c r="EK109" s="1037"/>
      <c r="EL109" s="1037"/>
      <c r="EM109" s="1037"/>
      <c r="EN109" s="1037"/>
      <c r="EO109" s="1037"/>
      <c r="EP109" s="1037"/>
      <c r="EQ109" s="1037"/>
      <c r="ER109" s="1037"/>
      <c r="ES109" s="1037"/>
      <c r="ET109" s="1037"/>
      <c r="EU109" s="1037"/>
      <c r="EV109" s="1037"/>
      <c r="EW109" s="1037"/>
      <c r="EX109" s="1037"/>
      <c r="EY109" s="1037"/>
      <c r="EZ109" s="1037"/>
      <c r="FA109" s="1037"/>
      <c r="FB109" s="1037"/>
      <c r="FC109" s="1037"/>
      <c r="FD109" s="1037"/>
      <c r="FE109" s="1037"/>
      <c r="FF109" s="1037"/>
      <c r="FG109" s="1037"/>
      <c r="FH109" s="1037"/>
      <c r="FI109" s="1037"/>
      <c r="FJ109" s="1037"/>
      <c r="FK109" s="1037"/>
      <c r="FL109" s="1037"/>
      <c r="FM109" s="1037"/>
      <c r="FN109" s="1037"/>
      <c r="FO109" s="1037"/>
      <c r="FP109" s="1037"/>
      <c r="FQ109" s="1037"/>
      <c r="FR109" s="1037"/>
      <c r="FS109" s="1037"/>
      <c r="FT109" s="1037"/>
      <c r="FU109" s="1037"/>
      <c r="FV109" s="1037"/>
      <c r="FW109" s="1037"/>
      <c r="FX109" s="1037"/>
      <c r="FY109" s="1037"/>
      <c r="FZ109" s="1037"/>
      <c r="GA109" s="1037"/>
      <c r="GB109" s="1037"/>
      <c r="GC109" s="1037"/>
      <c r="GD109" s="1037"/>
      <c r="GE109" s="1037"/>
      <c r="GF109" s="1037"/>
      <c r="GG109" s="1037"/>
      <c r="GH109" s="1037"/>
      <c r="GI109" s="1037"/>
      <c r="GJ109" s="1037"/>
      <c r="GK109" s="1037"/>
      <c r="GL109" s="1037"/>
      <c r="GM109" s="1037"/>
      <c r="GN109" s="1037"/>
      <c r="GO109" s="1037"/>
      <c r="GP109" s="1037"/>
      <c r="GQ109" s="1037"/>
      <c r="GR109" s="1037"/>
      <c r="GS109" s="1037"/>
      <c r="GT109" s="1037"/>
      <c r="GU109" s="1037"/>
      <c r="GV109" s="1037"/>
      <c r="GW109" s="1037"/>
      <c r="GX109" s="1037"/>
      <c r="GY109" s="1037"/>
      <c r="GZ109" s="1037"/>
      <c r="HA109" s="1037"/>
      <c r="HB109" s="1037"/>
      <c r="HC109" s="1037"/>
      <c r="HD109" s="1037"/>
      <c r="HE109" s="1037"/>
      <c r="HF109" s="1037"/>
      <c r="HG109" s="1037"/>
      <c r="HH109" s="1037"/>
      <c r="HI109" s="1037"/>
      <c r="HJ109" s="1037"/>
      <c r="HK109" s="1037"/>
      <c r="HL109" s="1037"/>
      <c r="HM109" s="1037"/>
      <c r="HN109" s="1037"/>
      <c r="HO109" s="1037"/>
      <c r="HP109" s="1037"/>
      <c r="HQ109" s="1037"/>
      <c r="HR109" s="1037"/>
      <c r="HS109" s="1037"/>
      <c r="HT109" s="1037"/>
      <c r="HU109" s="1037"/>
      <c r="HV109" s="1037"/>
      <c r="HW109" s="1037"/>
      <c r="HX109" s="1037"/>
      <c r="HY109" s="1037"/>
      <c r="HZ109" s="1037"/>
      <c r="IA109" s="1037"/>
      <c r="IB109" s="1037"/>
      <c r="IC109" s="1037"/>
      <c r="ID109" s="1037"/>
      <c r="IE109" s="1037"/>
      <c r="IF109" s="1037"/>
      <c r="IG109" s="1037"/>
      <c r="IH109" s="1037"/>
      <c r="II109" s="1037"/>
      <c r="IJ109" s="1037"/>
      <c r="IK109" s="1037"/>
      <c r="IL109" s="1037"/>
      <c r="IM109" s="1037"/>
      <c r="IN109" s="1037"/>
    </row>
    <row r="110" spans="1:248" ht="16.2" hidden="1">
      <c r="A110" s="701" t="s">
        <v>26</v>
      </c>
      <c r="B110" s="703">
        <v>8978.9</v>
      </c>
      <c r="C110" s="1038">
        <f t="shared" si="12"/>
        <v>25.963259511148507</v>
      </c>
      <c r="D110" s="704">
        <v>8734.7999999999993</v>
      </c>
      <c r="E110" s="1038">
        <f t="shared" si="13"/>
        <v>25.257423423579723</v>
      </c>
      <c r="F110" s="1038">
        <f t="shared" si="14"/>
        <v>244.10000000000036</v>
      </c>
      <c r="G110" s="1038">
        <f t="shared" si="15"/>
        <v>0.70583608756878469</v>
      </c>
      <c r="H110" s="26">
        <v>34583.1</v>
      </c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7"/>
      <c r="AB110" s="1037"/>
      <c r="AC110" s="1037"/>
      <c r="AD110" s="1037"/>
      <c r="AE110" s="1037"/>
      <c r="AF110" s="1037"/>
      <c r="AG110" s="1037"/>
      <c r="AH110" s="1037"/>
      <c r="AI110" s="1037"/>
      <c r="AJ110" s="1037"/>
      <c r="AK110" s="1037"/>
      <c r="AL110" s="1037"/>
      <c r="AM110" s="1037"/>
      <c r="AN110" s="1037"/>
      <c r="AO110" s="1037"/>
      <c r="AP110" s="1037"/>
      <c r="AQ110" s="1037"/>
      <c r="AR110" s="1037"/>
      <c r="AS110" s="1037"/>
      <c r="AT110" s="1037"/>
      <c r="AU110" s="1037"/>
      <c r="AV110" s="1037"/>
      <c r="AW110" s="1037"/>
      <c r="AX110" s="1037"/>
      <c r="AY110" s="1037"/>
      <c r="AZ110" s="1037"/>
      <c r="BA110" s="1037"/>
      <c r="BB110" s="1037"/>
      <c r="BC110" s="1037"/>
      <c r="BD110" s="1037"/>
      <c r="BE110" s="1037"/>
      <c r="BF110" s="1037"/>
      <c r="BG110" s="1037"/>
      <c r="BH110" s="1037"/>
      <c r="BI110" s="1037"/>
      <c r="BJ110" s="1037"/>
      <c r="BK110" s="1037"/>
      <c r="BL110" s="1037"/>
      <c r="BM110" s="1037"/>
      <c r="BN110" s="1037"/>
      <c r="BO110" s="1037"/>
      <c r="BP110" s="1037"/>
      <c r="BQ110" s="1037"/>
      <c r="BR110" s="1037"/>
      <c r="BS110" s="1037"/>
      <c r="BT110" s="1037"/>
      <c r="BU110" s="1037"/>
      <c r="BV110" s="1037"/>
      <c r="BW110" s="1037"/>
      <c r="BX110" s="1037"/>
      <c r="BY110" s="1037"/>
      <c r="BZ110" s="1037"/>
      <c r="CA110" s="1037"/>
      <c r="CB110" s="1037"/>
      <c r="CC110" s="1037"/>
      <c r="CD110" s="1037"/>
      <c r="CE110" s="1037"/>
      <c r="CF110" s="1037"/>
      <c r="CG110" s="1037"/>
      <c r="CH110" s="1037"/>
      <c r="CI110" s="1037"/>
      <c r="CJ110" s="1037"/>
      <c r="CK110" s="1037"/>
      <c r="CL110" s="1037"/>
      <c r="CM110" s="1037"/>
      <c r="CN110" s="1037"/>
      <c r="CO110" s="1037"/>
      <c r="CP110" s="1037"/>
      <c r="CQ110" s="1037"/>
      <c r="CR110" s="1037"/>
      <c r="CS110" s="1037"/>
      <c r="CT110" s="1037"/>
      <c r="CU110" s="1037"/>
      <c r="CV110" s="1037"/>
      <c r="CW110" s="1037"/>
      <c r="CX110" s="1037"/>
      <c r="CY110" s="1037"/>
      <c r="CZ110" s="1037"/>
      <c r="DA110" s="1037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7"/>
      <c r="DO110" s="1037"/>
      <c r="DP110" s="1037"/>
      <c r="DQ110" s="1037"/>
      <c r="DR110" s="1037"/>
      <c r="DS110" s="1037"/>
      <c r="DT110" s="1037"/>
      <c r="DU110" s="1037"/>
      <c r="DV110" s="1037"/>
      <c r="DW110" s="1037"/>
      <c r="DX110" s="1037"/>
      <c r="DY110" s="1037"/>
      <c r="DZ110" s="1037"/>
      <c r="EA110" s="1037"/>
      <c r="EB110" s="1037"/>
      <c r="EC110" s="1037"/>
      <c r="ED110" s="1037"/>
      <c r="EE110" s="1037"/>
      <c r="EF110" s="1037"/>
      <c r="EG110" s="1037"/>
      <c r="EH110" s="1037"/>
      <c r="EI110" s="1037"/>
      <c r="EJ110" s="1037"/>
      <c r="EK110" s="1037"/>
      <c r="EL110" s="1037"/>
      <c r="EM110" s="1037"/>
      <c r="EN110" s="1037"/>
      <c r="EO110" s="1037"/>
      <c r="EP110" s="1037"/>
      <c r="EQ110" s="1037"/>
      <c r="ER110" s="1037"/>
      <c r="ES110" s="1037"/>
      <c r="ET110" s="1037"/>
      <c r="EU110" s="1037"/>
      <c r="EV110" s="1037"/>
      <c r="EW110" s="1037"/>
      <c r="EX110" s="1037"/>
      <c r="EY110" s="1037"/>
      <c r="EZ110" s="1037"/>
      <c r="FA110" s="1037"/>
      <c r="FB110" s="1037"/>
      <c r="FC110" s="1037"/>
      <c r="FD110" s="1037"/>
      <c r="FE110" s="1037"/>
      <c r="FF110" s="1037"/>
      <c r="FG110" s="1037"/>
      <c r="FH110" s="1037"/>
      <c r="FI110" s="1037"/>
      <c r="FJ110" s="1037"/>
      <c r="FK110" s="1037"/>
      <c r="FL110" s="1037"/>
      <c r="FM110" s="1037"/>
      <c r="FN110" s="1037"/>
      <c r="FO110" s="1037"/>
      <c r="FP110" s="1037"/>
      <c r="FQ110" s="1037"/>
      <c r="FR110" s="1037"/>
      <c r="FS110" s="1037"/>
      <c r="FT110" s="1037"/>
      <c r="FU110" s="1037"/>
      <c r="FV110" s="1037"/>
      <c r="FW110" s="1037"/>
      <c r="FX110" s="1037"/>
      <c r="FY110" s="1037"/>
      <c r="FZ110" s="1037"/>
      <c r="GA110" s="1037"/>
      <c r="GB110" s="1037"/>
      <c r="GC110" s="1037"/>
      <c r="GD110" s="1037"/>
      <c r="GE110" s="1037"/>
      <c r="GF110" s="1037"/>
      <c r="GG110" s="1037"/>
      <c r="GH110" s="1037"/>
      <c r="GI110" s="1037"/>
      <c r="GJ110" s="1037"/>
      <c r="GK110" s="1037"/>
      <c r="GL110" s="1037"/>
      <c r="GM110" s="1037"/>
      <c r="GN110" s="1037"/>
      <c r="GO110" s="1037"/>
      <c r="GP110" s="1037"/>
      <c r="GQ110" s="1037"/>
      <c r="GR110" s="1037"/>
      <c r="GS110" s="1037"/>
      <c r="GT110" s="1037"/>
      <c r="GU110" s="1037"/>
      <c r="GV110" s="1037"/>
      <c r="GW110" s="1037"/>
      <c r="GX110" s="1037"/>
      <c r="GY110" s="1037"/>
      <c r="GZ110" s="1037"/>
      <c r="HA110" s="1037"/>
      <c r="HB110" s="1037"/>
      <c r="HC110" s="1037"/>
      <c r="HD110" s="1037"/>
      <c r="HE110" s="1037"/>
      <c r="HF110" s="1037"/>
      <c r="HG110" s="1037"/>
      <c r="HH110" s="1037"/>
      <c r="HI110" s="1037"/>
      <c r="HJ110" s="1037"/>
      <c r="HK110" s="1037"/>
      <c r="HL110" s="1037"/>
      <c r="HM110" s="1037"/>
      <c r="HN110" s="1037"/>
      <c r="HO110" s="1037"/>
      <c r="HP110" s="1037"/>
      <c r="HQ110" s="1037"/>
      <c r="HR110" s="1037"/>
      <c r="HS110" s="1037"/>
      <c r="HT110" s="1037"/>
      <c r="HU110" s="1037"/>
      <c r="HV110" s="1037"/>
      <c r="HW110" s="1037"/>
      <c r="HX110" s="1037"/>
      <c r="HY110" s="1037"/>
      <c r="HZ110" s="1037"/>
      <c r="IA110" s="1037"/>
      <c r="IB110" s="1037"/>
      <c r="IC110" s="1037"/>
      <c r="ID110" s="1037"/>
      <c r="IE110" s="1037"/>
      <c r="IF110" s="1037"/>
      <c r="IG110" s="1037"/>
      <c r="IH110" s="1037"/>
      <c r="II110" s="1037"/>
      <c r="IJ110" s="1037"/>
      <c r="IK110" s="1037"/>
      <c r="IL110" s="1037"/>
      <c r="IM110" s="1037"/>
      <c r="IN110" s="1037"/>
    </row>
    <row r="111" spans="1:248" ht="16.2" hidden="1">
      <c r="A111" s="701" t="s">
        <v>27</v>
      </c>
      <c r="B111" s="703">
        <v>10548.7</v>
      </c>
      <c r="C111" s="1038">
        <f t="shared" si="12"/>
        <v>25.924551486851811</v>
      </c>
      <c r="D111" s="704">
        <v>9897.5</v>
      </c>
      <c r="E111" s="1038">
        <f t="shared" si="13"/>
        <v>24.324158269845171</v>
      </c>
      <c r="F111" s="1038">
        <f t="shared" si="14"/>
        <v>651.20000000000073</v>
      </c>
      <c r="G111" s="1038">
        <f t="shared" si="15"/>
        <v>1.6003932170066373</v>
      </c>
      <c r="H111" s="26">
        <v>40690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7"/>
      <c r="AB111" s="1037"/>
      <c r="AC111" s="1037"/>
      <c r="AD111" s="1037"/>
      <c r="AE111" s="1037"/>
      <c r="AF111" s="1037"/>
      <c r="AG111" s="1037"/>
      <c r="AH111" s="1037"/>
      <c r="AI111" s="1037"/>
      <c r="AJ111" s="1037"/>
      <c r="AK111" s="1037"/>
      <c r="AL111" s="1037"/>
      <c r="AM111" s="1037"/>
      <c r="AN111" s="1037"/>
      <c r="AO111" s="1037"/>
      <c r="AP111" s="1037"/>
      <c r="AQ111" s="1037"/>
      <c r="AR111" s="1037"/>
      <c r="AS111" s="1037"/>
      <c r="AT111" s="1037"/>
      <c r="AU111" s="1037"/>
      <c r="AV111" s="1037"/>
      <c r="AW111" s="1037"/>
      <c r="AX111" s="1037"/>
      <c r="AY111" s="1037"/>
      <c r="AZ111" s="1037"/>
      <c r="BA111" s="1037"/>
      <c r="BB111" s="1037"/>
      <c r="BC111" s="1037"/>
      <c r="BD111" s="1037"/>
      <c r="BE111" s="1037"/>
      <c r="BF111" s="1037"/>
      <c r="BG111" s="1037"/>
      <c r="BH111" s="1037"/>
      <c r="BI111" s="1037"/>
      <c r="BJ111" s="1037"/>
      <c r="BK111" s="1037"/>
      <c r="BL111" s="1037"/>
      <c r="BM111" s="1037"/>
      <c r="BN111" s="1037"/>
      <c r="BO111" s="1037"/>
      <c r="BP111" s="1037"/>
      <c r="BQ111" s="1037"/>
      <c r="BR111" s="1037"/>
      <c r="BS111" s="1037"/>
      <c r="BT111" s="1037"/>
      <c r="BU111" s="1037"/>
      <c r="BV111" s="1037"/>
      <c r="BW111" s="1037"/>
      <c r="BX111" s="1037"/>
      <c r="BY111" s="1037"/>
      <c r="BZ111" s="1037"/>
      <c r="CA111" s="1037"/>
      <c r="CB111" s="1037"/>
      <c r="CC111" s="1037"/>
      <c r="CD111" s="1037"/>
      <c r="CE111" s="1037"/>
      <c r="CF111" s="1037"/>
      <c r="CG111" s="1037"/>
      <c r="CH111" s="1037"/>
      <c r="CI111" s="1037"/>
      <c r="CJ111" s="1037"/>
      <c r="CK111" s="1037"/>
      <c r="CL111" s="1037"/>
      <c r="CM111" s="1037"/>
      <c r="CN111" s="1037"/>
      <c r="CO111" s="1037"/>
      <c r="CP111" s="1037"/>
      <c r="CQ111" s="1037"/>
      <c r="CR111" s="1037"/>
      <c r="CS111" s="1037"/>
      <c r="CT111" s="1037"/>
      <c r="CU111" s="1037"/>
      <c r="CV111" s="1037"/>
      <c r="CW111" s="1037"/>
      <c r="CX111" s="1037"/>
      <c r="CY111" s="1037"/>
      <c r="CZ111" s="1037"/>
      <c r="DA111" s="1037"/>
      <c r="DB111" s="1037"/>
      <c r="DC111" s="1037"/>
      <c r="DD111" s="1037"/>
      <c r="DE111" s="1037"/>
      <c r="DF111" s="1037"/>
      <c r="DG111" s="1037"/>
      <c r="DH111" s="1037"/>
      <c r="DI111" s="1037"/>
      <c r="DJ111" s="1037"/>
      <c r="DK111" s="1037"/>
      <c r="DL111" s="1037"/>
      <c r="DM111" s="1037"/>
      <c r="DN111" s="1037"/>
      <c r="DO111" s="1037"/>
      <c r="DP111" s="1037"/>
      <c r="DQ111" s="1037"/>
      <c r="DR111" s="1037"/>
      <c r="DS111" s="1037"/>
      <c r="DT111" s="1037"/>
      <c r="DU111" s="1037"/>
      <c r="DV111" s="1037"/>
      <c r="DW111" s="1037"/>
      <c r="DX111" s="1037"/>
      <c r="DY111" s="1037"/>
      <c r="DZ111" s="1037"/>
      <c r="EA111" s="1037"/>
      <c r="EB111" s="1037"/>
      <c r="EC111" s="1037"/>
      <c r="ED111" s="1037"/>
      <c r="EE111" s="1037"/>
      <c r="EF111" s="1037"/>
      <c r="EG111" s="1037"/>
      <c r="EH111" s="1037"/>
      <c r="EI111" s="1037"/>
      <c r="EJ111" s="1037"/>
      <c r="EK111" s="1037"/>
      <c r="EL111" s="1037"/>
      <c r="EM111" s="1037"/>
      <c r="EN111" s="1037"/>
      <c r="EO111" s="1037"/>
      <c r="EP111" s="1037"/>
      <c r="EQ111" s="1037"/>
      <c r="ER111" s="1037"/>
      <c r="ES111" s="1037"/>
      <c r="ET111" s="1037"/>
      <c r="EU111" s="1037"/>
      <c r="EV111" s="1037"/>
      <c r="EW111" s="1037"/>
      <c r="EX111" s="1037"/>
      <c r="EY111" s="1037"/>
      <c r="EZ111" s="1037"/>
      <c r="FA111" s="1037"/>
      <c r="FB111" s="1037"/>
      <c r="FC111" s="1037"/>
      <c r="FD111" s="1037"/>
      <c r="FE111" s="1037"/>
      <c r="FF111" s="1037"/>
      <c r="FG111" s="1037"/>
      <c r="FH111" s="1037"/>
      <c r="FI111" s="1037"/>
      <c r="FJ111" s="1037"/>
      <c r="FK111" s="1037"/>
      <c r="FL111" s="1037"/>
      <c r="FM111" s="1037"/>
      <c r="FN111" s="1037"/>
      <c r="FO111" s="1037"/>
      <c r="FP111" s="1037"/>
      <c r="FQ111" s="1037"/>
      <c r="FR111" s="1037"/>
      <c r="FS111" s="1037"/>
      <c r="FT111" s="1037"/>
      <c r="FU111" s="1037"/>
      <c r="FV111" s="1037"/>
      <c r="FW111" s="1037"/>
      <c r="FX111" s="1037"/>
      <c r="FY111" s="1037"/>
      <c r="FZ111" s="1037"/>
      <c r="GA111" s="1037"/>
      <c r="GB111" s="1037"/>
      <c r="GC111" s="1037"/>
      <c r="GD111" s="1037"/>
      <c r="GE111" s="1037"/>
      <c r="GF111" s="1037"/>
      <c r="GG111" s="1037"/>
      <c r="GH111" s="1037"/>
      <c r="GI111" s="1037"/>
      <c r="GJ111" s="1037"/>
      <c r="GK111" s="1037"/>
      <c r="GL111" s="1037"/>
      <c r="GM111" s="1037"/>
      <c r="GN111" s="1037"/>
      <c r="GO111" s="1037"/>
      <c r="GP111" s="1037"/>
      <c r="GQ111" s="1037"/>
      <c r="GR111" s="1037"/>
      <c r="GS111" s="1037"/>
      <c r="GT111" s="1037"/>
      <c r="GU111" s="1037"/>
      <c r="GV111" s="1037"/>
      <c r="GW111" s="1037"/>
      <c r="GX111" s="1037"/>
      <c r="GY111" s="1037"/>
      <c r="GZ111" s="1037"/>
      <c r="HA111" s="1037"/>
      <c r="HB111" s="1037"/>
      <c r="HC111" s="1037"/>
      <c r="HD111" s="1037"/>
      <c r="HE111" s="1037"/>
      <c r="HF111" s="1037"/>
      <c r="HG111" s="1037"/>
      <c r="HH111" s="1037"/>
      <c r="HI111" s="1037"/>
      <c r="HJ111" s="1037"/>
      <c r="HK111" s="1037"/>
      <c r="HL111" s="1037"/>
      <c r="HM111" s="1037"/>
      <c r="HN111" s="1037"/>
      <c r="HO111" s="1037"/>
      <c r="HP111" s="1037"/>
      <c r="HQ111" s="1037"/>
      <c r="HR111" s="1037"/>
      <c r="HS111" s="1037"/>
      <c r="HT111" s="1037"/>
      <c r="HU111" s="1037"/>
      <c r="HV111" s="1037"/>
      <c r="HW111" s="1037"/>
      <c r="HX111" s="1037"/>
      <c r="HY111" s="1037"/>
      <c r="HZ111" s="1037"/>
      <c r="IA111" s="1037"/>
      <c r="IB111" s="1037"/>
      <c r="IC111" s="1037"/>
      <c r="ID111" s="1037"/>
      <c r="IE111" s="1037"/>
      <c r="IF111" s="1037"/>
      <c r="IG111" s="1037"/>
      <c r="IH111" s="1037"/>
      <c r="II111" s="1037"/>
      <c r="IJ111" s="1037"/>
      <c r="IK111" s="1037"/>
      <c r="IL111" s="1037"/>
      <c r="IM111" s="1037"/>
      <c r="IN111" s="1037"/>
    </row>
    <row r="112" spans="1:248" ht="16.2" hidden="1">
      <c r="A112" s="701" t="s">
        <v>28</v>
      </c>
      <c r="B112" s="703">
        <v>11638.9</v>
      </c>
      <c r="C112" s="1038">
        <f t="shared" si="12"/>
        <v>25.593162197701673</v>
      </c>
      <c r="D112" s="704">
        <v>11387.2</v>
      </c>
      <c r="E112" s="1038">
        <f t="shared" si="13"/>
        <v>25.039690742051956</v>
      </c>
      <c r="F112" s="1038">
        <f t="shared" si="14"/>
        <v>251.69999999999891</v>
      </c>
      <c r="G112" s="1038">
        <f t="shared" si="15"/>
        <v>0.55347145564971645</v>
      </c>
      <c r="H112" s="26">
        <v>45476.6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7"/>
      <c r="AB112" s="1037"/>
      <c r="AC112" s="1037"/>
      <c r="AD112" s="1037"/>
      <c r="AE112" s="1037"/>
      <c r="AF112" s="1037"/>
      <c r="AG112" s="1037"/>
      <c r="AH112" s="1037"/>
      <c r="AI112" s="1037"/>
      <c r="AJ112" s="1037"/>
      <c r="AK112" s="1037"/>
      <c r="AL112" s="1037"/>
      <c r="AM112" s="1037"/>
      <c r="AN112" s="1037"/>
      <c r="AO112" s="1037"/>
      <c r="AP112" s="1037"/>
      <c r="AQ112" s="1037"/>
      <c r="AR112" s="1037"/>
      <c r="AS112" s="1037"/>
      <c r="AT112" s="1037"/>
      <c r="AU112" s="1037"/>
      <c r="AV112" s="1037"/>
      <c r="AW112" s="1037"/>
      <c r="AX112" s="1037"/>
      <c r="AY112" s="1037"/>
      <c r="AZ112" s="1037"/>
      <c r="BA112" s="1037"/>
      <c r="BB112" s="1037"/>
      <c r="BC112" s="1037"/>
      <c r="BD112" s="1037"/>
      <c r="BE112" s="1037"/>
      <c r="BF112" s="1037"/>
      <c r="BG112" s="1037"/>
      <c r="BH112" s="1037"/>
      <c r="BI112" s="1037"/>
      <c r="BJ112" s="1037"/>
      <c r="BK112" s="1037"/>
      <c r="BL112" s="1037"/>
      <c r="BM112" s="1037"/>
      <c r="BN112" s="1037"/>
      <c r="BO112" s="1037"/>
      <c r="BP112" s="1037"/>
      <c r="BQ112" s="1037"/>
      <c r="BR112" s="1037"/>
      <c r="BS112" s="1037"/>
      <c r="BT112" s="1037"/>
      <c r="BU112" s="1037"/>
      <c r="BV112" s="1037"/>
      <c r="BW112" s="1037"/>
      <c r="BX112" s="1037"/>
      <c r="BY112" s="1037"/>
      <c r="BZ112" s="1037"/>
      <c r="CA112" s="1037"/>
      <c r="CB112" s="1037"/>
      <c r="CC112" s="1037"/>
      <c r="CD112" s="1037"/>
      <c r="CE112" s="1037"/>
      <c r="CF112" s="1037"/>
      <c r="CG112" s="1037"/>
      <c r="CH112" s="1037"/>
      <c r="CI112" s="1037"/>
      <c r="CJ112" s="1037"/>
      <c r="CK112" s="1037"/>
      <c r="CL112" s="1037"/>
      <c r="CM112" s="1037"/>
      <c r="CN112" s="1037"/>
      <c r="CO112" s="1037"/>
      <c r="CP112" s="1037"/>
      <c r="CQ112" s="1037"/>
      <c r="CR112" s="1037"/>
      <c r="CS112" s="1037"/>
      <c r="CT112" s="1037"/>
      <c r="CU112" s="1037"/>
      <c r="CV112" s="1037"/>
      <c r="CW112" s="1037"/>
      <c r="CX112" s="1037"/>
      <c r="CY112" s="1037"/>
      <c r="CZ112" s="1037"/>
      <c r="DA112" s="1037"/>
      <c r="DB112" s="1037"/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7"/>
      <c r="DN112" s="1037"/>
      <c r="DO112" s="1037"/>
      <c r="DP112" s="1037"/>
      <c r="DQ112" s="1037"/>
      <c r="DR112" s="1037"/>
      <c r="DS112" s="1037"/>
      <c r="DT112" s="1037"/>
      <c r="DU112" s="1037"/>
      <c r="DV112" s="1037"/>
      <c r="DW112" s="1037"/>
      <c r="DX112" s="1037"/>
      <c r="DY112" s="1037"/>
      <c r="DZ112" s="1037"/>
      <c r="EA112" s="1037"/>
      <c r="EB112" s="1037"/>
      <c r="EC112" s="1037"/>
      <c r="ED112" s="1037"/>
      <c r="EE112" s="1037"/>
      <c r="EF112" s="1037"/>
      <c r="EG112" s="1037"/>
      <c r="EH112" s="1037"/>
      <c r="EI112" s="1037"/>
      <c r="EJ112" s="1037"/>
      <c r="EK112" s="1037"/>
      <c r="EL112" s="1037"/>
      <c r="EM112" s="1037"/>
      <c r="EN112" s="1037"/>
      <c r="EO112" s="1037"/>
      <c r="EP112" s="1037"/>
      <c r="EQ112" s="1037"/>
      <c r="ER112" s="1037"/>
      <c r="ES112" s="1037"/>
      <c r="ET112" s="1037"/>
      <c r="EU112" s="1037"/>
      <c r="EV112" s="1037"/>
      <c r="EW112" s="1037"/>
      <c r="EX112" s="1037"/>
      <c r="EY112" s="1037"/>
      <c r="EZ112" s="1037"/>
      <c r="FA112" s="1037"/>
      <c r="FB112" s="1037"/>
      <c r="FC112" s="1037"/>
      <c r="FD112" s="1037"/>
      <c r="FE112" s="1037"/>
      <c r="FF112" s="1037"/>
      <c r="FG112" s="1037"/>
      <c r="FH112" s="1037"/>
      <c r="FI112" s="1037"/>
      <c r="FJ112" s="1037"/>
      <c r="FK112" s="1037"/>
      <c r="FL112" s="1037"/>
      <c r="FM112" s="1037"/>
      <c r="FN112" s="1037"/>
      <c r="FO112" s="1037"/>
      <c r="FP112" s="1037"/>
      <c r="FQ112" s="1037"/>
      <c r="FR112" s="1037"/>
      <c r="FS112" s="1037"/>
      <c r="FT112" s="1037"/>
      <c r="FU112" s="1037"/>
      <c r="FV112" s="1037"/>
      <c r="FW112" s="1037"/>
      <c r="FX112" s="1037"/>
      <c r="FY112" s="1037"/>
      <c r="FZ112" s="1037"/>
      <c r="GA112" s="1037"/>
      <c r="GB112" s="1037"/>
      <c r="GC112" s="1037"/>
      <c r="GD112" s="1037"/>
      <c r="GE112" s="1037"/>
      <c r="GF112" s="1037"/>
      <c r="GG112" s="1037"/>
      <c r="GH112" s="1037"/>
      <c r="GI112" s="1037"/>
      <c r="GJ112" s="1037"/>
      <c r="GK112" s="1037"/>
      <c r="GL112" s="1037"/>
      <c r="GM112" s="1037"/>
      <c r="GN112" s="1037"/>
      <c r="GO112" s="1037"/>
      <c r="GP112" s="1037"/>
      <c r="GQ112" s="1037"/>
      <c r="GR112" s="1037"/>
      <c r="GS112" s="1037"/>
      <c r="GT112" s="1037"/>
      <c r="GU112" s="1037"/>
      <c r="GV112" s="1037"/>
      <c r="GW112" s="1037"/>
      <c r="GX112" s="1037"/>
      <c r="GY112" s="1037"/>
      <c r="GZ112" s="1037"/>
      <c r="HA112" s="1037"/>
      <c r="HB112" s="1037"/>
      <c r="HC112" s="1037"/>
      <c r="HD112" s="1037"/>
      <c r="HE112" s="1037"/>
      <c r="HF112" s="1037"/>
      <c r="HG112" s="1037"/>
      <c r="HH112" s="1037"/>
      <c r="HI112" s="1037"/>
      <c r="HJ112" s="1037"/>
      <c r="HK112" s="1037"/>
      <c r="HL112" s="1037"/>
      <c r="HM112" s="1037"/>
      <c r="HN112" s="1037"/>
      <c r="HO112" s="1037"/>
      <c r="HP112" s="1037"/>
      <c r="HQ112" s="1037"/>
      <c r="HR112" s="1037"/>
      <c r="HS112" s="1037"/>
      <c r="HT112" s="1037"/>
      <c r="HU112" s="1037"/>
      <c r="HV112" s="1037"/>
      <c r="HW112" s="1037"/>
      <c r="HX112" s="1037"/>
      <c r="HY112" s="1037"/>
      <c r="HZ112" s="1037"/>
      <c r="IA112" s="1037"/>
      <c r="IB112" s="1037"/>
      <c r="IC112" s="1037"/>
      <c r="ID112" s="1037"/>
      <c r="IE112" s="1037"/>
      <c r="IF112" s="1037"/>
      <c r="IG112" s="1037"/>
      <c r="IH112" s="1037"/>
      <c r="II112" s="1037"/>
      <c r="IJ112" s="1037"/>
      <c r="IK112" s="1037"/>
      <c r="IL112" s="1037"/>
      <c r="IM112" s="1037"/>
      <c r="IN112" s="1037"/>
    </row>
    <row r="113" spans="1:248" ht="16.2" hidden="1">
      <c r="A113" s="701" t="s">
        <v>29</v>
      </c>
      <c r="B113" s="703">
        <v>15700.7</v>
      </c>
      <c r="C113" s="1038">
        <f t="shared" si="12"/>
        <v>31.358125786414746</v>
      </c>
      <c r="D113" s="704">
        <v>15394.7</v>
      </c>
      <c r="E113" s="1038">
        <f t="shared" si="13"/>
        <v>30.746969182528112</v>
      </c>
      <c r="F113" s="1038">
        <f t="shared" si="14"/>
        <v>306</v>
      </c>
      <c r="G113" s="1038">
        <f t="shared" si="15"/>
        <v>0.61115660388663651</v>
      </c>
      <c r="H113" s="26">
        <v>50069</v>
      </c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7"/>
      <c r="AB113" s="1037"/>
      <c r="AC113" s="1037"/>
      <c r="AD113" s="1037"/>
      <c r="AE113" s="1037"/>
      <c r="AF113" s="1037"/>
      <c r="AG113" s="1037"/>
      <c r="AH113" s="1037"/>
      <c r="AI113" s="1037"/>
      <c r="AJ113" s="1037"/>
      <c r="AK113" s="1037"/>
      <c r="AL113" s="1037"/>
      <c r="AM113" s="1037"/>
      <c r="AN113" s="1037"/>
      <c r="AO113" s="1037"/>
      <c r="AP113" s="1037"/>
      <c r="AQ113" s="1037"/>
      <c r="AR113" s="1037"/>
      <c r="AS113" s="1037"/>
      <c r="AT113" s="1037"/>
      <c r="AU113" s="1037"/>
      <c r="AV113" s="1037"/>
      <c r="AW113" s="1037"/>
      <c r="AX113" s="1037"/>
      <c r="AY113" s="1037"/>
      <c r="AZ113" s="1037"/>
      <c r="BA113" s="1037"/>
      <c r="BB113" s="1037"/>
      <c r="BC113" s="1037"/>
      <c r="BD113" s="1037"/>
      <c r="BE113" s="1037"/>
      <c r="BF113" s="1037"/>
      <c r="BG113" s="1037"/>
      <c r="BH113" s="1037"/>
      <c r="BI113" s="1037"/>
      <c r="BJ113" s="1037"/>
      <c r="BK113" s="1037"/>
      <c r="BL113" s="1037"/>
      <c r="BM113" s="1037"/>
      <c r="BN113" s="1037"/>
      <c r="BO113" s="1037"/>
      <c r="BP113" s="1037"/>
      <c r="BQ113" s="1037"/>
      <c r="BR113" s="1037"/>
      <c r="BS113" s="1037"/>
      <c r="BT113" s="1037"/>
      <c r="BU113" s="1037"/>
      <c r="BV113" s="1037"/>
      <c r="BW113" s="1037"/>
      <c r="BX113" s="1037"/>
      <c r="BY113" s="1037"/>
      <c r="BZ113" s="1037"/>
      <c r="CA113" s="1037"/>
      <c r="CB113" s="1037"/>
      <c r="CC113" s="1037"/>
      <c r="CD113" s="1037"/>
      <c r="CE113" s="1037"/>
      <c r="CF113" s="1037"/>
      <c r="CG113" s="1037"/>
      <c r="CH113" s="1037"/>
      <c r="CI113" s="1037"/>
      <c r="CJ113" s="1037"/>
      <c r="CK113" s="1037"/>
      <c r="CL113" s="1037"/>
      <c r="CM113" s="1037"/>
      <c r="CN113" s="1037"/>
      <c r="CO113" s="1037"/>
      <c r="CP113" s="1037"/>
      <c r="CQ113" s="1037"/>
      <c r="CR113" s="1037"/>
      <c r="CS113" s="1037"/>
      <c r="CT113" s="1037"/>
      <c r="CU113" s="1037"/>
      <c r="CV113" s="1037"/>
      <c r="CW113" s="1037"/>
      <c r="CX113" s="1037"/>
      <c r="CY113" s="1037"/>
      <c r="CZ113" s="1037"/>
      <c r="DA113" s="1037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7"/>
      <c r="DN113" s="1037"/>
      <c r="DO113" s="1037"/>
      <c r="DP113" s="1037"/>
      <c r="DQ113" s="1037"/>
      <c r="DR113" s="1037"/>
      <c r="DS113" s="1037"/>
      <c r="DT113" s="1037"/>
      <c r="DU113" s="1037"/>
      <c r="DV113" s="1037"/>
      <c r="DW113" s="1037"/>
      <c r="DX113" s="1037"/>
      <c r="DY113" s="1037"/>
      <c r="DZ113" s="1037"/>
      <c r="EA113" s="1037"/>
      <c r="EB113" s="1037"/>
      <c r="EC113" s="1037"/>
      <c r="ED113" s="1037"/>
      <c r="EE113" s="1037"/>
      <c r="EF113" s="1037"/>
      <c r="EG113" s="1037"/>
      <c r="EH113" s="1037"/>
      <c r="EI113" s="1037"/>
      <c r="EJ113" s="1037"/>
      <c r="EK113" s="1037"/>
      <c r="EL113" s="1037"/>
      <c r="EM113" s="1037"/>
      <c r="EN113" s="1037"/>
      <c r="EO113" s="1037"/>
      <c r="EP113" s="1037"/>
      <c r="EQ113" s="1037"/>
      <c r="ER113" s="1037"/>
      <c r="ES113" s="1037"/>
      <c r="ET113" s="1037"/>
      <c r="EU113" s="1037"/>
      <c r="EV113" s="1037"/>
      <c r="EW113" s="1037"/>
      <c r="EX113" s="1037"/>
      <c r="EY113" s="1037"/>
      <c r="EZ113" s="1037"/>
      <c r="FA113" s="1037"/>
      <c r="FB113" s="1037"/>
      <c r="FC113" s="1037"/>
      <c r="FD113" s="1037"/>
      <c r="FE113" s="1037"/>
      <c r="FF113" s="1037"/>
      <c r="FG113" s="1037"/>
      <c r="FH113" s="1037"/>
      <c r="FI113" s="1037"/>
      <c r="FJ113" s="1037"/>
      <c r="FK113" s="1037"/>
      <c r="FL113" s="1037"/>
      <c r="FM113" s="1037"/>
      <c r="FN113" s="1037"/>
      <c r="FO113" s="1037"/>
      <c r="FP113" s="1037"/>
      <c r="FQ113" s="1037"/>
      <c r="FR113" s="1037"/>
      <c r="FS113" s="1037"/>
      <c r="FT113" s="1037"/>
      <c r="FU113" s="1037"/>
      <c r="FV113" s="1037"/>
      <c r="FW113" s="1037"/>
      <c r="FX113" s="1037"/>
      <c r="FY113" s="1037"/>
      <c r="FZ113" s="1037"/>
      <c r="GA113" s="1037"/>
      <c r="GB113" s="1037"/>
      <c r="GC113" s="1037"/>
      <c r="GD113" s="1037"/>
      <c r="GE113" s="1037"/>
      <c r="GF113" s="1037"/>
      <c r="GG113" s="1037"/>
      <c r="GH113" s="1037"/>
      <c r="GI113" s="1037"/>
      <c r="GJ113" s="1037"/>
      <c r="GK113" s="1037"/>
      <c r="GL113" s="1037"/>
      <c r="GM113" s="1037"/>
      <c r="GN113" s="1037"/>
      <c r="GO113" s="1037"/>
      <c r="GP113" s="1037"/>
      <c r="GQ113" s="1037"/>
      <c r="GR113" s="1037"/>
      <c r="GS113" s="1037"/>
      <c r="GT113" s="1037"/>
      <c r="GU113" s="1037"/>
      <c r="GV113" s="1037"/>
      <c r="GW113" s="1037"/>
      <c r="GX113" s="1037"/>
      <c r="GY113" s="1037"/>
      <c r="GZ113" s="1037"/>
      <c r="HA113" s="1037"/>
      <c r="HB113" s="1037"/>
      <c r="HC113" s="1037"/>
      <c r="HD113" s="1037"/>
      <c r="HE113" s="1037"/>
      <c r="HF113" s="1037"/>
      <c r="HG113" s="1037"/>
      <c r="HH113" s="1037"/>
      <c r="HI113" s="1037"/>
      <c r="HJ113" s="1037"/>
      <c r="HK113" s="1037"/>
      <c r="HL113" s="1037"/>
      <c r="HM113" s="1037"/>
      <c r="HN113" s="1037"/>
      <c r="HO113" s="1037"/>
      <c r="HP113" s="1037"/>
      <c r="HQ113" s="1037"/>
      <c r="HR113" s="1037"/>
      <c r="HS113" s="1037"/>
      <c r="HT113" s="1037"/>
      <c r="HU113" s="1037"/>
      <c r="HV113" s="1037"/>
      <c r="HW113" s="1037"/>
      <c r="HX113" s="1037"/>
      <c r="HY113" s="1037"/>
      <c r="HZ113" s="1037"/>
      <c r="IA113" s="1037"/>
      <c r="IB113" s="1037"/>
      <c r="IC113" s="1037"/>
      <c r="ID113" s="1037"/>
      <c r="IE113" s="1037"/>
      <c r="IF113" s="1037"/>
      <c r="IG113" s="1037"/>
      <c r="IH113" s="1037"/>
      <c r="II113" s="1037"/>
      <c r="IJ113" s="1037"/>
      <c r="IK113" s="1037"/>
      <c r="IL113" s="1037"/>
      <c r="IM113" s="1037"/>
      <c r="IN113" s="1037"/>
    </row>
    <row r="114" spans="1:248" ht="16.2">
      <c r="A114" s="696">
        <v>2012</v>
      </c>
      <c r="B114" s="698">
        <v>17281.5</v>
      </c>
      <c r="C114" s="698">
        <v>32.005926474673579</v>
      </c>
      <c r="D114" s="699">
        <v>17416.5</v>
      </c>
      <c r="E114" s="698">
        <v>31.67997036762663</v>
      </c>
      <c r="F114" s="1039">
        <f>B114-D114</f>
        <v>-135</v>
      </c>
      <c r="G114" s="698">
        <v>0.32595610704694883</v>
      </c>
      <c r="H114" s="26"/>
      <c r="I114" s="1037"/>
      <c r="J114" s="1037"/>
      <c r="K114" s="1037"/>
      <c r="L114" s="1037"/>
      <c r="M114" s="1037"/>
      <c r="N114" s="1037"/>
      <c r="O114" s="1037"/>
      <c r="P114" s="1037"/>
      <c r="Q114" s="1037"/>
      <c r="R114" s="1037"/>
      <c r="S114" s="1037"/>
      <c r="T114" s="1037"/>
      <c r="U114" s="1037"/>
      <c r="V114" s="1037"/>
      <c r="W114" s="1037"/>
      <c r="X114" s="1037"/>
      <c r="Y114" s="1037"/>
      <c r="Z114" s="1037"/>
      <c r="AA114" s="1037"/>
      <c r="AB114" s="1037"/>
      <c r="AC114" s="1037"/>
      <c r="AD114" s="1037"/>
      <c r="AE114" s="1037"/>
      <c r="AF114" s="1037"/>
      <c r="AG114" s="1037"/>
      <c r="AH114" s="1037"/>
      <c r="AI114" s="1037"/>
      <c r="AJ114" s="1037"/>
      <c r="AK114" s="1037"/>
      <c r="AL114" s="1037"/>
      <c r="AM114" s="1037"/>
      <c r="AN114" s="1037"/>
      <c r="AO114" s="1037"/>
      <c r="AP114" s="1037"/>
      <c r="AQ114" s="1037"/>
      <c r="AR114" s="1037"/>
      <c r="AS114" s="1037"/>
      <c r="AT114" s="1037"/>
      <c r="AU114" s="1037"/>
      <c r="AV114" s="1037"/>
      <c r="AW114" s="1037"/>
      <c r="AX114" s="1037"/>
      <c r="AY114" s="1037"/>
      <c r="AZ114" s="1037"/>
      <c r="BA114" s="1037"/>
      <c r="BB114" s="1037"/>
      <c r="BC114" s="1037"/>
      <c r="BD114" s="1037"/>
      <c r="BE114" s="1037"/>
      <c r="BF114" s="1037"/>
      <c r="BG114" s="1037"/>
      <c r="BH114" s="1037"/>
      <c r="BI114" s="1037"/>
      <c r="BJ114" s="1037"/>
      <c r="BK114" s="1037"/>
      <c r="BL114" s="1037"/>
      <c r="BM114" s="1037"/>
      <c r="BN114" s="1037"/>
      <c r="BO114" s="1037"/>
      <c r="BP114" s="1037"/>
      <c r="BQ114" s="1037"/>
      <c r="BR114" s="1037"/>
      <c r="BS114" s="1037"/>
      <c r="BT114" s="1037"/>
      <c r="BU114" s="1037"/>
      <c r="BV114" s="1037"/>
      <c r="BW114" s="1037"/>
      <c r="BX114" s="1037"/>
      <c r="BY114" s="1037"/>
      <c r="BZ114" s="1037"/>
      <c r="CA114" s="1037"/>
      <c r="CB114" s="1037"/>
      <c r="CC114" s="1037"/>
      <c r="CD114" s="1037"/>
      <c r="CE114" s="1037"/>
      <c r="CF114" s="1037"/>
      <c r="CG114" s="1037"/>
      <c r="CH114" s="1037"/>
      <c r="CI114" s="1037"/>
      <c r="CJ114" s="1037"/>
      <c r="CK114" s="1037"/>
      <c r="CL114" s="1037"/>
      <c r="CM114" s="1037"/>
      <c r="CN114" s="1037"/>
      <c r="CO114" s="1037"/>
      <c r="CP114" s="1037"/>
      <c r="CQ114" s="1037"/>
      <c r="CR114" s="1037"/>
      <c r="CS114" s="1037"/>
      <c r="CT114" s="1037"/>
      <c r="CU114" s="1037"/>
      <c r="CV114" s="1037"/>
      <c r="CW114" s="1037"/>
      <c r="CX114" s="1037"/>
      <c r="CY114" s="1037"/>
      <c r="CZ114" s="1037"/>
      <c r="DA114" s="1037"/>
      <c r="DB114" s="1037"/>
      <c r="DC114" s="1037"/>
      <c r="DD114" s="1037"/>
      <c r="DE114" s="1037"/>
      <c r="DF114" s="1037"/>
      <c r="DG114" s="1037"/>
      <c r="DH114" s="1037"/>
      <c r="DI114" s="1037"/>
      <c r="DJ114" s="1037"/>
      <c r="DK114" s="1037"/>
      <c r="DL114" s="1037"/>
      <c r="DM114" s="1037"/>
      <c r="DN114" s="1037"/>
      <c r="DO114" s="1037"/>
      <c r="DP114" s="1037"/>
      <c r="DQ114" s="1037"/>
      <c r="DR114" s="1037"/>
      <c r="DS114" s="1037"/>
      <c r="DT114" s="1037"/>
      <c r="DU114" s="1037"/>
      <c r="DV114" s="1037"/>
      <c r="DW114" s="1037"/>
      <c r="DX114" s="1037"/>
      <c r="DY114" s="1037"/>
      <c r="DZ114" s="1037"/>
      <c r="EA114" s="1037"/>
      <c r="EB114" s="1037"/>
      <c r="EC114" s="1037"/>
      <c r="ED114" s="1037"/>
      <c r="EE114" s="1037"/>
      <c r="EF114" s="1037"/>
      <c r="EG114" s="1037"/>
      <c r="EH114" s="1037"/>
      <c r="EI114" s="1037"/>
      <c r="EJ114" s="1037"/>
      <c r="EK114" s="1037"/>
      <c r="EL114" s="1037"/>
      <c r="EM114" s="1037"/>
      <c r="EN114" s="1037"/>
      <c r="EO114" s="1037"/>
      <c r="EP114" s="1037"/>
      <c r="EQ114" s="1037"/>
      <c r="ER114" s="1037"/>
      <c r="ES114" s="1037"/>
      <c r="ET114" s="1037"/>
      <c r="EU114" s="1037"/>
      <c r="EV114" s="1037"/>
      <c r="EW114" s="1037"/>
      <c r="EX114" s="1037"/>
      <c r="EY114" s="1037"/>
      <c r="EZ114" s="1037"/>
      <c r="FA114" s="1037"/>
      <c r="FB114" s="1037"/>
      <c r="FC114" s="1037"/>
      <c r="FD114" s="1037"/>
      <c r="FE114" s="1037"/>
      <c r="FF114" s="1037"/>
      <c r="FG114" s="1037"/>
      <c r="FH114" s="1037"/>
      <c r="FI114" s="1037"/>
      <c r="FJ114" s="1037"/>
      <c r="FK114" s="1037"/>
      <c r="FL114" s="1037"/>
      <c r="FM114" s="1037"/>
      <c r="FN114" s="1037"/>
      <c r="FO114" s="1037"/>
      <c r="FP114" s="1037"/>
      <c r="FQ114" s="1037"/>
      <c r="FR114" s="1037"/>
      <c r="FS114" s="1037"/>
      <c r="FT114" s="1037"/>
      <c r="FU114" s="1037"/>
      <c r="FV114" s="1037"/>
      <c r="FW114" s="1037"/>
      <c r="FX114" s="1037"/>
      <c r="FY114" s="1037"/>
      <c r="FZ114" s="1037"/>
      <c r="GA114" s="1037"/>
      <c r="GB114" s="1037"/>
      <c r="GC114" s="1037"/>
      <c r="GD114" s="1037"/>
      <c r="GE114" s="1037"/>
      <c r="GF114" s="1037"/>
      <c r="GG114" s="1037"/>
      <c r="GH114" s="1037"/>
      <c r="GI114" s="1037"/>
      <c r="GJ114" s="1037"/>
      <c r="GK114" s="1037"/>
      <c r="GL114" s="1037"/>
      <c r="GM114" s="1037"/>
      <c r="GN114" s="1037"/>
      <c r="GO114" s="1037"/>
      <c r="GP114" s="1037"/>
      <c r="GQ114" s="1037"/>
      <c r="GR114" s="1037"/>
      <c r="GS114" s="1037"/>
      <c r="GT114" s="1037"/>
      <c r="GU114" s="1037"/>
      <c r="GV114" s="1037"/>
      <c r="GW114" s="1037"/>
      <c r="GX114" s="1037"/>
      <c r="GY114" s="1037"/>
      <c r="GZ114" s="1037"/>
      <c r="HA114" s="1037"/>
      <c r="HB114" s="1037"/>
      <c r="HC114" s="1037"/>
      <c r="HD114" s="1037"/>
      <c r="HE114" s="1037"/>
      <c r="HF114" s="1037"/>
      <c r="HG114" s="1037"/>
      <c r="HH114" s="1037"/>
      <c r="HI114" s="1037"/>
      <c r="HJ114" s="1037"/>
      <c r="HK114" s="1037"/>
      <c r="HL114" s="1037"/>
      <c r="HM114" s="1037"/>
      <c r="HN114" s="1037"/>
      <c r="HO114" s="1037"/>
      <c r="HP114" s="1037"/>
      <c r="HQ114" s="1037"/>
      <c r="HR114" s="1037"/>
      <c r="HS114" s="1037"/>
      <c r="HT114" s="1037"/>
      <c r="HU114" s="1037"/>
      <c r="HV114" s="1037"/>
      <c r="HW114" s="1037"/>
      <c r="HX114" s="1037"/>
      <c r="HY114" s="1037"/>
      <c r="HZ114" s="1037"/>
      <c r="IA114" s="1037"/>
      <c r="IB114" s="1037"/>
      <c r="IC114" s="1037"/>
      <c r="ID114" s="1037"/>
      <c r="IE114" s="1037"/>
      <c r="IF114" s="1037"/>
      <c r="IG114" s="1037"/>
      <c r="IH114" s="1037"/>
      <c r="II114" s="1037"/>
      <c r="IJ114" s="1037"/>
      <c r="IK114" s="1037"/>
      <c r="IL114" s="1037"/>
      <c r="IM114" s="1037"/>
      <c r="IN114" s="1037"/>
    </row>
    <row r="115" spans="1:248" ht="16.2" hidden="1">
      <c r="A115" s="701" t="s">
        <v>18</v>
      </c>
      <c r="B115" s="703">
        <v>1547.9</v>
      </c>
      <c r="C115" s="1038">
        <f t="shared" ref="C115:C125" si="16">+B115/H115*100</f>
        <v>37.834865076261245</v>
      </c>
      <c r="D115" s="704">
        <v>460.8</v>
      </c>
      <c r="E115" s="1038">
        <f t="shared" ref="E115:E125" si="17">+D115/H115*100</f>
        <v>11.26319906140008</v>
      </c>
      <c r="F115" s="1038">
        <f t="shared" ref="F115:F125" si="18">+B115-D115</f>
        <v>1087.1000000000001</v>
      </c>
      <c r="G115" s="1038">
        <f t="shared" ref="G115:G125" si="19">F115/H115*100</f>
        <v>26.571666014861169</v>
      </c>
      <c r="H115" s="26">
        <v>4091.2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7"/>
      <c r="AB115" s="1037"/>
      <c r="AC115" s="1037"/>
      <c r="AD115" s="1037"/>
      <c r="AE115" s="1037"/>
      <c r="AF115" s="1037"/>
      <c r="AG115" s="1037"/>
      <c r="AH115" s="1037"/>
      <c r="AI115" s="1037"/>
      <c r="AJ115" s="1037"/>
      <c r="AK115" s="1037"/>
      <c r="AL115" s="1037"/>
      <c r="AM115" s="1037"/>
      <c r="AN115" s="1037"/>
      <c r="AO115" s="1037"/>
      <c r="AP115" s="1037"/>
      <c r="AQ115" s="1037"/>
      <c r="AR115" s="1037"/>
      <c r="AS115" s="1037"/>
      <c r="AT115" s="1037"/>
      <c r="AU115" s="1037"/>
      <c r="AV115" s="1037"/>
      <c r="AW115" s="1037"/>
      <c r="AX115" s="1037"/>
      <c r="AY115" s="1037"/>
      <c r="AZ115" s="1037"/>
      <c r="BA115" s="1037"/>
      <c r="BB115" s="1037"/>
      <c r="BC115" s="1037"/>
      <c r="BD115" s="1037"/>
      <c r="BE115" s="1037"/>
      <c r="BF115" s="1037"/>
      <c r="BG115" s="1037"/>
      <c r="BH115" s="1037"/>
      <c r="BI115" s="1037"/>
      <c r="BJ115" s="1037"/>
      <c r="BK115" s="1037"/>
      <c r="BL115" s="1037"/>
      <c r="BM115" s="1037"/>
      <c r="BN115" s="1037"/>
      <c r="BO115" s="1037"/>
      <c r="BP115" s="1037"/>
      <c r="BQ115" s="1037"/>
      <c r="BR115" s="1037"/>
      <c r="BS115" s="1037"/>
      <c r="BT115" s="1037"/>
      <c r="BU115" s="1037"/>
      <c r="BV115" s="1037"/>
      <c r="BW115" s="1037"/>
      <c r="BX115" s="1037"/>
      <c r="BY115" s="1037"/>
      <c r="BZ115" s="1037"/>
      <c r="CA115" s="1037"/>
      <c r="CB115" s="1037"/>
      <c r="CC115" s="1037"/>
      <c r="CD115" s="1037"/>
      <c r="CE115" s="1037"/>
      <c r="CF115" s="1037"/>
      <c r="CG115" s="1037"/>
      <c r="CH115" s="1037"/>
      <c r="CI115" s="1037"/>
      <c r="CJ115" s="1037"/>
      <c r="CK115" s="1037"/>
      <c r="CL115" s="1037"/>
      <c r="CM115" s="1037"/>
      <c r="CN115" s="1037"/>
      <c r="CO115" s="1037"/>
      <c r="CP115" s="1037"/>
      <c r="CQ115" s="1037"/>
      <c r="CR115" s="1037"/>
      <c r="CS115" s="1037"/>
      <c r="CT115" s="1037"/>
      <c r="CU115" s="1037"/>
      <c r="CV115" s="1037"/>
      <c r="CW115" s="1037"/>
      <c r="CX115" s="1037"/>
      <c r="CY115" s="1037"/>
      <c r="CZ115" s="1037"/>
      <c r="DA115" s="1037"/>
      <c r="DB115" s="1037"/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7"/>
      <c r="DO115" s="1037"/>
      <c r="DP115" s="1037"/>
      <c r="DQ115" s="1037"/>
      <c r="DR115" s="1037"/>
      <c r="DS115" s="1037"/>
      <c r="DT115" s="1037"/>
      <c r="DU115" s="1037"/>
      <c r="DV115" s="1037"/>
      <c r="DW115" s="1037"/>
      <c r="DX115" s="1037"/>
      <c r="DY115" s="1037"/>
      <c r="DZ115" s="1037"/>
      <c r="EA115" s="1037"/>
      <c r="EB115" s="1037"/>
      <c r="EC115" s="1037"/>
      <c r="ED115" s="1037"/>
      <c r="EE115" s="1037"/>
      <c r="EF115" s="1037"/>
      <c r="EG115" s="1037"/>
      <c r="EH115" s="1037"/>
      <c r="EI115" s="1037"/>
      <c r="EJ115" s="1037"/>
      <c r="EK115" s="1037"/>
      <c r="EL115" s="1037"/>
      <c r="EM115" s="1037"/>
      <c r="EN115" s="1037"/>
      <c r="EO115" s="1037"/>
      <c r="EP115" s="1037"/>
      <c r="EQ115" s="1037"/>
      <c r="ER115" s="1037"/>
      <c r="ES115" s="1037"/>
      <c r="ET115" s="1037"/>
      <c r="EU115" s="1037"/>
      <c r="EV115" s="1037"/>
      <c r="EW115" s="1037"/>
      <c r="EX115" s="1037"/>
      <c r="EY115" s="1037"/>
      <c r="EZ115" s="1037"/>
      <c r="FA115" s="1037"/>
      <c r="FB115" s="1037"/>
      <c r="FC115" s="1037"/>
      <c r="FD115" s="1037"/>
      <c r="FE115" s="1037"/>
      <c r="FF115" s="1037"/>
      <c r="FG115" s="1037"/>
      <c r="FH115" s="1037"/>
      <c r="FI115" s="1037"/>
      <c r="FJ115" s="1037"/>
      <c r="FK115" s="1037"/>
      <c r="FL115" s="1037"/>
      <c r="FM115" s="1037"/>
      <c r="FN115" s="1037"/>
      <c r="FO115" s="1037"/>
      <c r="FP115" s="1037"/>
      <c r="FQ115" s="1037"/>
      <c r="FR115" s="1037"/>
      <c r="FS115" s="1037"/>
      <c r="FT115" s="1037"/>
      <c r="FU115" s="1037"/>
      <c r="FV115" s="1037"/>
      <c r="FW115" s="1037"/>
      <c r="FX115" s="1037"/>
      <c r="FY115" s="1037"/>
      <c r="FZ115" s="1037"/>
      <c r="GA115" s="1037"/>
      <c r="GB115" s="1037"/>
      <c r="GC115" s="1037"/>
      <c r="GD115" s="1037"/>
      <c r="GE115" s="1037"/>
      <c r="GF115" s="1037"/>
      <c r="GG115" s="1037"/>
      <c r="GH115" s="1037"/>
      <c r="GI115" s="1037"/>
      <c r="GJ115" s="1037"/>
      <c r="GK115" s="1037"/>
      <c r="GL115" s="1037"/>
      <c r="GM115" s="1037"/>
      <c r="GN115" s="1037"/>
      <c r="GO115" s="1037"/>
      <c r="GP115" s="1037"/>
      <c r="GQ115" s="1037"/>
      <c r="GR115" s="1037"/>
      <c r="GS115" s="1037"/>
      <c r="GT115" s="1037"/>
      <c r="GU115" s="1037"/>
      <c r="GV115" s="1037"/>
      <c r="GW115" s="1037"/>
      <c r="GX115" s="1037"/>
      <c r="GY115" s="1037"/>
      <c r="GZ115" s="1037"/>
      <c r="HA115" s="1037"/>
      <c r="HB115" s="1037"/>
      <c r="HC115" s="1037"/>
      <c r="HD115" s="1037"/>
      <c r="HE115" s="1037"/>
      <c r="HF115" s="1037"/>
      <c r="HG115" s="1037"/>
      <c r="HH115" s="1037"/>
      <c r="HI115" s="1037"/>
      <c r="HJ115" s="1037"/>
      <c r="HK115" s="1037"/>
      <c r="HL115" s="1037"/>
      <c r="HM115" s="1037"/>
      <c r="HN115" s="1037"/>
      <c r="HO115" s="1037"/>
      <c r="HP115" s="1037"/>
      <c r="HQ115" s="1037"/>
      <c r="HR115" s="1037"/>
      <c r="HS115" s="1037"/>
      <c r="HT115" s="1037"/>
      <c r="HU115" s="1037"/>
      <c r="HV115" s="1037"/>
      <c r="HW115" s="1037"/>
      <c r="HX115" s="1037"/>
      <c r="HY115" s="1037"/>
      <c r="HZ115" s="1037"/>
      <c r="IA115" s="1037"/>
      <c r="IB115" s="1037"/>
      <c r="IC115" s="1037"/>
      <c r="ID115" s="1037"/>
      <c r="IE115" s="1037"/>
      <c r="IF115" s="1037"/>
      <c r="IG115" s="1037"/>
      <c r="IH115" s="1037"/>
      <c r="II115" s="1037"/>
      <c r="IJ115" s="1037"/>
      <c r="IK115" s="1037"/>
      <c r="IL115" s="1037"/>
      <c r="IM115" s="1037"/>
      <c r="IN115" s="1037"/>
    </row>
    <row r="116" spans="1:248" ht="16.2" hidden="1">
      <c r="A116" s="701" t="s">
        <v>19</v>
      </c>
      <c r="B116" s="703">
        <v>2475</v>
      </c>
      <c r="C116" s="1038">
        <f t="shared" si="16"/>
        <v>30.930154088404006</v>
      </c>
      <c r="D116" s="704">
        <v>1286.7</v>
      </c>
      <c r="E116" s="1038">
        <f t="shared" si="17"/>
        <v>16.079931016383611</v>
      </c>
      <c r="F116" s="1038">
        <f t="shared" si="18"/>
        <v>1188.3</v>
      </c>
      <c r="G116" s="1038">
        <f t="shared" si="19"/>
        <v>14.850223072020396</v>
      </c>
      <c r="H116" s="26">
        <v>8001.9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7"/>
      <c r="AB116" s="1037"/>
      <c r="AC116" s="1037"/>
      <c r="AD116" s="1037"/>
      <c r="AE116" s="1037"/>
      <c r="AF116" s="1037"/>
      <c r="AG116" s="1037"/>
      <c r="AH116" s="1037"/>
      <c r="AI116" s="1037"/>
      <c r="AJ116" s="1037"/>
      <c r="AK116" s="1037"/>
      <c r="AL116" s="1037"/>
      <c r="AM116" s="1037"/>
      <c r="AN116" s="1037"/>
      <c r="AO116" s="1037"/>
      <c r="AP116" s="1037"/>
      <c r="AQ116" s="1037"/>
      <c r="AR116" s="1037"/>
      <c r="AS116" s="1037"/>
      <c r="AT116" s="1037"/>
      <c r="AU116" s="1037"/>
      <c r="AV116" s="1037"/>
      <c r="AW116" s="1037"/>
      <c r="AX116" s="1037"/>
      <c r="AY116" s="1037"/>
      <c r="AZ116" s="1037"/>
      <c r="BA116" s="1037"/>
      <c r="BB116" s="1037"/>
      <c r="BC116" s="1037"/>
      <c r="BD116" s="1037"/>
      <c r="BE116" s="1037"/>
      <c r="BF116" s="1037"/>
      <c r="BG116" s="1037"/>
      <c r="BH116" s="1037"/>
      <c r="BI116" s="1037"/>
      <c r="BJ116" s="1037"/>
      <c r="BK116" s="1037"/>
      <c r="BL116" s="1037"/>
      <c r="BM116" s="1037"/>
      <c r="BN116" s="1037"/>
      <c r="BO116" s="1037"/>
      <c r="BP116" s="1037"/>
      <c r="BQ116" s="1037"/>
      <c r="BR116" s="1037"/>
      <c r="BS116" s="1037"/>
      <c r="BT116" s="1037"/>
      <c r="BU116" s="1037"/>
      <c r="BV116" s="1037"/>
      <c r="BW116" s="1037"/>
      <c r="BX116" s="1037"/>
      <c r="BY116" s="1037"/>
      <c r="BZ116" s="1037"/>
      <c r="CA116" s="1037"/>
      <c r="CB116" s="1037"/>
      <c r="CC116" s="1037"/>
      <c r="CD116" s="1037"/>
      <c r="CE116" s="1037"/>
      <c r="CF116" s="1037"/>
      <c r="CG116" s="1037"/>
      <c r="CH116" s="1037"/>
      <c r="CI116" s="1037"/>
      <c r="CJ116" s="1037"/>
      <c r="CK116" s="1037"/>
      <c r="CL116" s="1037"/>
      <c r="CM116" s="1037"/>
      <c r="CN116" s="1037"/>
      <c r="CO116" s="1037"/>
      <c r="CP116" s="1037"/>
      <c r="CQ116" s="1037"/>
      <c r="CR116" s="1037"/>
      <c r="CS116" s="1037"/>
      <c r="CT116" s="1037"/>
      <c r="CU116" s="1037"/>
      <c r="CV116" s="1037"/>
      <c r="CW116" s="1037"/>
      <c r="CX116" s="1037"/>
      <c r="CY116" s="1037"/>
      <c r="CZ116" s="1037"/>
      <c r="DA116" s="1037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7"/>
      <c r="DO116" s="1037"/>
      <c r="DP116" s="1037"/>
      <c r="DQ116" s="1037"/>
      <c r="DR116" s="1037"/>
      <c r="DS116" s="1037"/>
      <c r="DT116" s="1037"/>
      <c r="DU116" s="1037"/>
      <c r="DV116" s="1037"/>
      <c r="DW116" s="1037"/>
      <c r="DX116" s="1037"/>
      <c r="DY116" s="1037"/>
      <c r="DZ116" s="1037"/>
      <c r="EA116" s="1037"/>
      <c r="EB116" s="1037"/>
      <c r="EC116" s="1037"/>
      <c r="ED116" s="1037"/>
      <c r="EE116" s="1037"/>
      <c r="EF116" s="1037"/>
      <c r="EG116" s="1037"/>
      <c r="EH116" s="1037"/>
      <c r="EI116" s="1037"/>
      <c r="EJ116" s="1037"/>
      <c r="EK116" s="1037"/>
      <c r="EL116" s="1037"/>
      <c r="EM116" s="1037"/>
      <c r="EN116" s="1037"/>
      <c r="EO116" s="1037"/>
      <c r="EP116" s="1037"/>
      <c r="EQ116" s="1037"/>
      <c r="ER116" s="1037"/>
      <c r="ES116" s="1037"/>
      <c r="ET116" s="1037"/>
      <c r="EU116" s="1037"/>
      <c r="EV116" s="1037"/>
      <c r="EW116" s="1037"/>
      <c r="EX116" s="1037"/>
      <c r="EY116" s="1037"/>
      <c r="EZ116" s="1037"/>
      <c r="FA116" s="1037"/>
      <c r="FB116" s="1037"/>
      <c r="FC116" s="1037"/>
      <c r="FD116" s="1037"/>
      <c r="FE116" s="1037"/>
      <c r="FF116" s="1037"/>
      <c r="FG116" s="1037"/>
      <c r="FH116" s="1037"/>
      <c r="FI116" s="1037"/>
      <c r="FJ116" s="1037"/>
      <c r="FK116" s="1037"/>
      <c r="FL116" s="1037"/>
      <c r="FM116" s="1037"/>
      <c r="FN116" s="1037"/>
      <c r="FO116" s="1037"/>
      <c r="FP116" s="1037"/>
      <c r="FQ116" s="1037"/>
      <c r="FR116" s="1037"/>
      <c r="FS116" s="1037"/>
      <c r="FT116" s="1037"/>
      <c r="FU116" s="1037"/>
      <c r="FV116" s="1037"/>
      <c r="FW116" s="1037"/>
      <c r="FX116" s="1037"/>
      <c r="FY116" s="1037"/>
      <c r="FZ116" s="1037"/>
      <c r="GA116" s="1037"/>
      <c r="GB116" s="1037"/>
      <c r="GC116" s="1037"/>
      <c r="GD116" s="1037"/>
      <c r="GE116" s="1037"/>
      <c r="GF116" s="1037"/>
      <c r="GG116" s="1037"/>
      <c r="GH116" s="1037"/>
      <c r="GI116" s="1037"/>
      <c r="GJ116" s="1037"/>
      <c r="GK116" s="1037"/>
      <c r="GL116" s="1037"/>
      <c r="GM116" s="1037"/>
      <c r="GN116" s="1037"/>
      <c r="GO116" s="1037"/>
      <c r="GP116" s="1037"/>
      <c r="GQ116" s="1037"/>
      <c r="GR116" s="1037"/>
      <c r="GS116" s="1037"/>
      <c r="GT116" s="1037"/>
      <c r="GU116" s="1037"/>
      <c r="GV116" s="1037"/>
      <c r="GW116" s="1037"/>
      <c r="GX116" s="1037"/>
      <c r="GY116" s="1037"/>
      <c r="GZ116" s="1037"/>
      <c r="HA116" s="1037"/>
      <c r="HB116" s="1037"/>
      <c r="HC116" s="1037"/>
      <c r="HD116" s="1037"/>
      <c r="HE116" s="1037"/>
      <c r="HF116" s="1037"/>
      <c r="HG116" s="1037"/>
      <c r="HH116" s="1037"/>
      <c r="HI116" s="1037"/>
      <c r="HJ116" s="1037"/>
      <c r="HK116" s="1037"/>
      <c r="HL116" s="1037"/>
      <c r="HM116" s="1037"/>
      <c r="HN116" s="1037"/>
      <c r="HO116" s="1037"/>
      <c r="HP116" s="1037"/>
      <c r="HQ116" s="1037"/>
      <c r="HR116" s="1037"/>
      <c r="HS116" s="1037"/>
      <c r="HT116" s="1037"/>
      <c r="HU116" s="1037"/>
      <c r="HV116" s="1037"/>
      <c r="HW116" s="1037"/>
      <c r="HX116" s="1037"/>
      <c r="HY116" s="1037"/>
      <c r="HZ116" s="1037"/>
      <c r="IA116" s="1037"/>
      <c r="IB116" s="1037"/>
      <c r="IC116" s="1037"/>
      <c r="ID116" s="1037"/>
      <c r="IE116" s="1037"/>
      <c r="IF116" s="1037"/>
      <c r="IG116" s="1037"/>
      <c r="IH116" s="1037"/>
      <c r="II116" s="1037"/>
      <c r="IJ116" s="1037"/>
      <c r="IK116" s="1037"/>
      <c r="IL116" s="1037"/>
      <c r="IM116" s="1037"/>
      <c r="IN116" s="1037"/>
    </row>
    <row r="117" spans="1:248" ht="16.2" hidden="1">
      <c r="A117" s="701" t="s">
        <v>20</v>
      </c>
      <c r="B117" s="703">
        <v>3487.8</v>
      </c>
      <c r="C117" s="1038">
        <f t="shared" si="16"/>
        <v>28.381248423399597</v>
      </c>
      <c r="D117" s="704">
        <v>2843.2</v>
      </c>
      <c r="E117" s="1038">
        <f t="shared" si="17"/>
        <v>23.135949744082151</v>
      </c>
      <c r="F117" s="1038">
        <f t="shared" si="18"/>
        <v>644.60000000000036</v>
      </c>
      <c r="G117" s="1038">
        <f t="shared" si="19"/>
        <v>5.2452986793174468</v>
      </c>
      <c r="H117" s="26">
        <v>12289.1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7"/>
      <c r="AB117" s="1037"/>
      <c r="AC117" s="1037"/>
      <c r="AD117" s="1037"/>
      <c r="AE117" s="1037"/>
      <c r="AF117" s="1037"/>
      <c r="AG117" s="1037"/>
      <c r="AH117" s="1037"/>
      <c r="AI117" s="1037"/>
      <c r="AJ117" s="1037"/>
      <c r="AK117" s="1037"/>
      <c r="AL117" s="1037"/>
      <c r="AM117" s="1037"/>
      <c r="AN117" s="1037"/>
      <c r="AO117" s="1037"/>
      <c r="AP117" s="1037"/>
      <c r="AQ117" s="1037"/>
      <c r="AR117" s="1037"/>
      <c r="AS117" s="1037"/>
      <c r="AT117" s="1037"/>
      <c r="AU117" s="1037"/>
      <c r="AV117" s="1037"/>
      <c r="AW117" s="1037"/>
      <c r="AX117" s="1037"/>
      <c r="AY117" s="1037"/>
      <c r="AZ117" s="1037"/>
      <c r="BA117" s="1037"/>
      <c r="BB117" s="1037"/>
      <c r="BC117" s="1037"/>
      <c r="BD117" s="1037"/>
      <c r="BE117" s="1037"/>
      <c r="BF117" s="1037"/>
      <c r="BG117" s="1037"/>
      <c r="BH117" s="1037"/>
      <c r="BI117" s="1037"/>
      <c r="BJ117" s="1037"/>
      <c r="BK117" s="1037"/>
      <c r="BL117" s="1037"/>
      <c r="BM117" s="1037"/>
      <c r="BN117" s="1037"/>
      <c r="BO117" s="1037"/>
      <c r="BP117" s="1037"/>
      <c r="BQ117" s="1037"/>
      <c r="BR117" s="1037"/>
      <c r="BS117" s="1037"/>
      <c r="BT117" s="1037"/>
      <c r="BU117" s="1037"/>
      <c r="BV117" s="1037"/>
      <c r="BW117" s="1037"/>
      <c r="BX117" s="1037"/>
      <c r="BY117" s="1037"/>
      <c r="BZ117" s="1037"/>
      <c r="CA117" s="1037"/>
      <c r="CB117" s="1037"/>
      <c r="CC117" s="1037"/>
      <c r="CD117" s="1037"/>
      <c r="CE117" s="1037"/>
      <c r="CF117" s="1037"/>
      <c r="CG117" s="1037"/>
      <c r="CH117" s="1037"/>
      <c r="CI117" s="1037"/>
      <c r="CJ117" s="1037"/>
      <c r="CK117" s="1037"/>
      <c r="CL117" s="1037"/>
      <c r="CM117" s="1037"/>
      <c r="CN117" s="1037"/>
      <c r="CO117" s="1037"/>
      <c r="CP117" s="1037"/>
      <c r="CQ117" s="1037"/>
      <c r="CR117" s="1037"/>
      <c r="CS117" s="1037"/>
      <c r="CT117" s="1037"/>
      <c r="CU117" s="1037"/>
      <c r="CV117" s="1037"/>
      <c r="CW117" s="1037"/>
      <c r="CX117" s="1037"/>
      <c r="CY117" s="1037"/>
      <c r="CZ117" s="1037"/>
      <c r="DA117" s="1037"/>
      <c r="DB117" s="1037"/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7"/>
      <c r="DN117" s="1037"/>
      <c r="DO117" s="1037"/>
      <c r="DP117" s="1037"/>
      <c r="DQ117" s="1037"/>
      <c r="DR117" s="1037"/>
      <c r="DS117" s="1037"/>
      <c r="DT117" s="1037"/>
      <c r="DU117" s="1037"/>
      <c r="DV117" s="1037"/>
      <c r="DW117" s="1037"/>
      <c r="DX117" s="1037"/>
      <c r="DY117" s="1037"/>
      <c r="DZ117" s="1037"/>
      <c r="EA117" s="1037"/>
      <c r="EB117" s="1037"/>
      <c r="EC117" s="1037"/>
      <c r="ED117" s="1037"/>
      <c r="EE117" s="1037"/>
      <c r="EF117" s="1037"/>
      <c r="EG117" s="1037"/>
      <c r="EH117" s="1037"/>
      <c r="EI117" s="1037"/>
      <c r="EJ117" s="1037"/>
      <c r="EK117" s="1037"/>
      <c r="EL117" s="1037"/>
      <c r="EM117" s="1037"/>
      <c r="EN117" s="1037"/>
      <c r="EO117" s="1037"/>
      <c r="EP117" s="1037"/>
      <c r="EQ117" s="1037"/>
      <c r="ER117" s="1037"/>
      <c r="ES117" s="1037"/>
      <c r="ET117" s="1037"/>
      <c r="EU117" s="1037"/>
      <c r="EV117" s="1037"/>
      <c r="EW117" s="1037"/>
      <c r="EX117" s="1037"/>
      <c r="EY117" s="1037"/>
      <c r="EZ117" s="1037"/>
      <c r="FA117" s="1037"/>
      <c r="FB117" s="1037"/>
      <c r="FC117" s="1037"/>
      <c r="FD117" s="1037"/>
      <c r="FE117" s="1037"/>
      <c r="FF117" s="1037"/>
      <c r="FG117" s="1037"/>
      <c r="FH117" s="1037"/>
      <c r="FI117" s="1037"/>
      <c r="FJ117" s="1037"/>
      <c r="FK117" s="1037"/>
      <c r="FL117" s="1037"/>
      <c r="FM117" s="1037"/>
      <c r="FN117" s="1037"/>
      <c r="FO117" s="1037"/>
      <c r="FP117" s="1037"/>
      <c r="FQ117" s="1037"/>
      <c r="FR117" s="1037"/>
      <c r="FS117" s="1037"/>
      <c r="FT117" s="1037"/>
      <c r="FU117" s="1037"/>
      <c r="FV117" s="1037"/>
      <c r="FW117" s="1037"/>
      <c r="FX117" s="1037"/>
      <c r="FY117" s="1037"/>
      <c r="FZ117" s="1037"/>
      <c r="GA117" s="1037"/>
      <c r="GB117" s="1037"/>
      <c r="GC117" s="1037"/>
      <c r="GD117" s="1037"/>
      <c r="GE117" s="1037"/>
      <c r="GF117" s="1037"/>
      <c r="GG117" s="1037"/>
      <c r="GH117" s="1037"/>
      <c r="GI117" s="1037"/>
      <c r="GJ117" s="1037"/>
      <c r="GK117" s="1037"/>
      <c r="GL117" s="1037"/>
      <c r="GM117" s="1037"/>
      <c r="GN117" s="1037"/>
      <c r="GO117" s="1037"/>
      <c r="GP117" s="1037"/>
      <c r="GQ117" s="1037"/>
      <c r="GR117" s="1037"/>
      <c r="GS117" s="1037"/>
      <c r="GT117" s="1037"/>
      <c r="GU117" s="1037"/>
      <c r="GV117" s="1037"/>
      <c r="GW117" s="1037"/>
      <c r="GX117" s="1037"/>
      <c r="GY117" s="1037"/>
      <c r="GZ117" s="1037"/>
      <c r="HA117" s="1037"/>
      <c r="HB117" s="1037"/>
      <c r="HC117" s="1037"/>
      <c r="HD117" s="1037"/>
      <c r="HE117" s="1037"/>
      <c r="HF117" s="1037"/>
      <c r="HG117" s="1037"/>
      <c r="HH117" s="1037"/>
      <c r="HI117" s="1037"/>
      <c r="HJ117" s="1037"/>
      <c r="HK117" s="1037"/>
      <c r="HL117" s="1037"/>
      <c r="HM117" s="1037"/>
      <c r="HN117" s="1037"/>
      <c r="HO117" s="1037"/>
      <c r="HP117" s="1037"/>
      <c r="HQ117" s="1037"/>
      <c r="HR117" s="1037"/>
      <c r="HS117" s="1037"/>
      <c r="HT117" s="1037"/>
      <c r="HU117" s="1037"/>
      <c r="HV117" s="1037"/>
      <c r="HW117" s="1037"/>
      <c r="HX117" s="1037"/>
      <c r="HY117" s="1037"/>
      <c r="HZ117" s="1037"/>
      <c r="IA117" s="1037"/>
      <c r="IB117" s="1037"/>
      <c r="IC117" s="1037"/>
      <c r="ID117" s="1037"/>
      <c r="IE117" s="1037"/>
      <c r="IF117" s="1037"/>
      <c r="IG117" s="1037"/>
      <c r="IH117" s="1037"/>
      <c r="II117" s="1037"/>
      <c r="IJ117" s="1037"/>
      <c r="IK117" s="1037"/>
      <c r="IL117" s="1037"/>
      <c r="IM117" s="1037"/>
      <c r="IN117" s="1037"/>
    </row>
    <row r="118" spans="1:248" ht="16.2" hidden="1">
      <c r="A118" s="701" t="s">
        <v>21</v>
      </c>
      <c r="B118" s="703">
        <v>5386.3</v>
      </c>
      <c r="C118" s="1038">
        <f t="shared" si="16"/>
        <v>32.398796992481202</v>
      </c>
      <c r="D118" s="704">
        <v>3894.7</v>
      </c>
      <c r="E118" s="1038">
        <f t="shared" si="17"/>
        <v>23.426766917293232</v>
      </c>
      <c r="F118" s="1038">
        <f t="shared" si="18"/>
        <v>1491.6000000000004</v>
      </c>
      <c r="G118" s="1038">
        <f t="shared" si="19"/>
        <v>8.9720300751879734</v>
      </c>
      <c r="H118" s="26">
        <v>16625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7"/>
      <c r="AB118" s="1037"/>
      <c r="AC118" s="1037"/>
      <c r="AD118" s="1037"/>
      <c r="AE118" s="1037"/>
      <c r="AF118" s="1037"/>
      <c r="AG118" s="1037"/>
      <c r="AH118" s="1037"/>
      <c r="AI118" s="1037"/>
      <c r="AJ118" s="1037"/>
      <c r="AK118" s="1037"/>
      <c r="AL118" s="1037"/>
      <c r="AM118" s="1037"/>
      <c r="AN118" s="1037"/>
      <c r="AO118" s="1037"/>
      <c r="AP118" s="1037"/>
      <c r="AQ118" s="1037"/>
      <c r="AR118" s="1037"/>
      <c r="AS118" s="1037"/>
      <c r="AT118" s="1037"/>
      <c r="AU118" s="1037"/>
      <c r="AV118" s="1037"/>
      <c r="AW118" s="1037"/>
      <c r="AX118" s="1037"/>
      <c r="AY118" s="1037"/>
      <c r="AZ118" s="1037"/>
      <c r="BA118" s="1037"/>
      <c r="BB118" s="1037"/>
      <c r="BC118" s="1037"/>
      <c r="BD118" s="1037"/>
      <c r="BE118" s="1037"/>
      <c r="BF118" s="1037"/>
      <c r="BG118" s="1037"/>
      <c r="BH118" s="1037"/>
      <c r="BI118" s="1037"/>
      <c r="BJ118" s="1037"/>
      <c r="BK118" s="1037"/>
      <c r="BL118" s="1037"/>
      <c r="BM118" s="1037"/>
      <c r="BN118" s="1037"/>
      <c r="BO118" s="1037"/>
      <c r="BP118" s="1037"/>
      <c r="BQ118" s="1037"/>
      <c r="BR118" s="1037"/>
      <c r="BS118" s="1037"/>
      <c r="BT118" s="1037"/>
      <c r="BU118" s="1037"/>
      <c r="BV118" s="1037"/>
      <c r="BW118" s="1037"/>
      <c r="BX118" s="1037"/>
      <c r="BY118" s="1037"/>
      <c r="BZ118" s="1037"/>
      <c r="CA118" s="1037"/>
      <c r="CB118" s="1037"/>
      <c r="CC118" s="1037"/>
      <c r="CD118" s="1037"/>
      <c r="CE118" s="1037"/>
      <c r="CF118" s="1037"/>
      <c r="CG118" s="1037"/>
      <c r="CH118" s="1037"/>
      <c r="CI118" s="1037"/>
      <c r="CJ118" s="1037"/>
      <c r="CK118" s="1037"/>
      <c r="CL118" s="1037"/>
      <c r="CM118" s="1037"/>
      <c r="CN118" s="1037"/>
      <c r="CO118" s="1037"/>
      <c r="CP118" s="1037"/>
      <c r="CQ118" s="1037"/>
      <c r="CR118" s="1037"/>
      <c r="CS118" s="1037"/>
      <c r="CT118" s="1037"/>
      <c r="CU118" s="1037"/>
      <c r="CV118" s="1037"/>
      <c r="CW118" s="1037"/>
      <c r="CX118" s="1037"/>
      <c r="CY118" s="1037"/>
      <c r="CZ118" s="1037"/>
      <c r="DA118" s="1037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7"/>
      <c r="DN118" s="1037"/>
      <c r="DO118" s="1037"/>
      <c r="DP118" s="1037"/>
      <c r="DQ118" s="1037"/>
      <c r="DR118" s="1037"/>
      <c r="DS118" s="1037"/>
      <c r="DT118" s="1037"/>
      <c r="DU118" s="1037"/>
      <c r="DV118" s="1037"/>
      <c r="DW118" s="1037"/>
      <c r="DX118" s="1037"/>
      <c r="DY118" s="1037"/>
      <c r="DZ118" s="1037"/>
      <c r="EA118" s="1037"/>
      <c r="EB118" s="1037"/>
      <c r="EC118" s="1037"/>
      <c r="ED118" s="1037"/>
      <c r="EE118" s="1037"/>
      <c r="EF118" s="1037"/>
      <c r="EG118" s="1037"/>
      <c r="EH118" s="1037"/>
      <c r="EI118" s="1037"/>
      <c r="EJ118" s="1037"/>
      <c r="EK118" s="1037"/>
      <c r="EL118" s="1037"/>
      <c r="EM118" s="1037"/>
      <c r="EN118" s="1037"/>
      <c r="EO118" s="1037"/>
      <c r="EP118" s="1037"/>
      <c r="EQ118" s="1037"/>
      <c r="ER118" s="1037"/>
      <c r="ES118" s="1037"/>
      <c r="ET118" s="1037"/>
      <c r="EU118" s="1037"/>
      <c r="EV118" s="1037"/>
      <c r="EW118" s="1037"/>
      <c r="EX118" s="1037"/>
      <c r="EY118" s="1037"/>
      <c r="EZ118" s="1037"/>
      <c r="FA118" s="1037"/>
      <c r="FB118" s="1037"/>
      <c r="FC118" s="1037"/>
      <c r="FD118" s="1037"/>
      <c r="FE118" s="1037"/>
      <c r="FF118" s="1037"/>
      <c r="FG118" s="1037"/>
      <c r="FH118" s="1037"/>
      <c r="FI118" s="1037"/>
      <c r="FJ118" s="1037"/>
      <c r="FK118" s="1037"/>
      <c r="FL118" s="1037"/>
      <c r="FM118" s="1037"/>
      <c r="FN118" s="1037"/>
      <c r="FO118" s="1037"/>
      <c r="FP118" s="1037"/>
      <c r="FQ118" s="1037"/>
      <c r="FR118" s="1037"/>
      <c r="FS118" s="1037"/>
      <c r="FT118" s="1037"/>
      <c r="FU118" s="1037"/>
      <c r="FV118" s="1037"/>
      <c r="FW118" s="1037"/>
      <c r="FX118" s="1037"/>
      <c r="FY118" s="1037"/>
      <c r="FZ118" s="1037"/>
      <c r="GA118" s="1037"/>
      <c r="GB118" s="1037"/>
      <c r="GC118" s="1037"/>
      <c r="GD118" s="1037"/>
      <c r="GE118" s="1037"/>
      <c r="GF118" s="1037"/>
      <c r="GG118" s="1037"/>
      <c r="GH118" s="1037"/>
      <c r="GI118" s="1037"/>
      <c r="GJ118" s="1037"/>
      <c r="GK118" s="1037"/>
      <c r="GL118" s="1037"/>
      <c r="GM118" s="1037"/>
      <c r="GN118" s="1037"/>
      <c r="GO118" s="1037"/>
      <c r="GP118" s="1037"/>
      <c r="GQ118" s="1037"/>
      <c r="GR118" s="1037"/>
      <c r="GS118" s="1037"/>
      <c r="GT118" s="1037"/>
      <c r="GU118" s="1037"/>
      <c r="GV118" s="1037"/>
      <c r="GW118" s="1037"/>
      <c r="GX118" s="1037"/>
      <c r="GY118" s="1037"/>
      <c r="GZ118" s="1037"/>
      <c r="HA118" s="1037"/>
      <c r="HB118" s="1037"/>
      <c r="HC118" s="1037"/>
      <c r="HD118" s="1037"/>
      <c r="HE118" s="1037"/>
      <c r="HF118" s="1037"/>
      <c r="HG118" s="1037"/>
      <c r="HH118" s="1037"/>
      <c r="HI118" s="1037"/>
      <c r="HJ118" s="1037"/>
      <c r="HK118" s="1037"/>
      <c r="HL118" s="1037"/>
      <c r="HM118" s="1037"/>
      <c r="HN118" s="1037"/>
      <c r="HO118" s="1037"/>
      <c r="HP118" s="1037"/>
      <c r="HQ118" s="1037"/>
      <c r="HR118" s="1037"/>
      <c r="HS118" s="1037"/>
      <c r="HT118" s="1037"/>
      <c r="HU118" s="1037"/>
      <c r="HV118" s="1037"/>
      <c r="HW118" s="1037"/>
      <c r="HX118" s="1037"/>
      <c r="HY118" s="1037"/>
      <c r="HZ118" s="1037"/>
      <c r="IA118" s="1037"/>
      <c r="IB118" s="1037"/>
      <c r="IC118" s="1037"/>
      <c r="ID118" s="1037"/>
      <c r="IE118" s="1037"/>
      <c r="IF118" s="1037"/>
      <c r="IG118" s="1037"/>
      <c r="IH118" s="1037"/>
      <c r="II118" s="1037"/>
      <c r="IJ118" s="1037"/>
      <c r="IK118" s="1037"/>
      <c r="IL118" s="1037"/>
      <c r="IM118" s="1037"/>
      <c r="IN118" s="1037"/>
    </row>
    <row r="119" spans="1:248" ht="16.2" hidden="1">
      <c r="A119" s="701" t="s">
        <v>22</v>
      </c>
      <c r="B119" s="703">
        <v>6715.3</v>
      </c>
      <c r="C119" s="1038">
        <f t="shared" si="16"/>
        <v>32.204584692115866</v>
      </c>
      <c r="D119" s="704">
        <v>5648.5</v>
      </c>
      <c r="E119" s="1038">
        <f t="shared" si="17"/>
        <v>27.08852867830424</v>
      </c>
      <c r="F119" s="1038">
        <f t="shared" si="18"/>
        <v>1066.8000000000002</v>
      </c>
      <c r="G119" s="1038">
        <f t="shared" si="19"/>
        <v>5.1160560138116251</v>
      </c>
      <c r="H119" s="26">
        <v>20852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7"/>
      <c r="AB119" s="1037"/>
      <c r="AC119" s="1037"/>
      <c r="AD119" s="1037"/>
      <c r="AE119" s="1037"/>
      <c r="AF119" s="1037"/>
      <c r="AG119" s="1037"/>
      <c r="AH119" s="1037"/>
      <c r="AI119" s="1037"/>
      <c r="AJ119" s="1037"/>
      <c r="AK119" s="1037"/>
      <c r="AL119" s="1037"/>
      <c r="AM119" s="1037"/>
      <c r="AN119" s="1037"/>
      <c r="AO119" s="1037"/>
      <c r="AP119" s="1037"/>
      <c r="AQ119" s="1037"/>
      <c r="AR119" s="1037"/>
      <c r="AS119" s="1037"/>
      <c r="AT119" s="1037"/>
      <c r="AU119" s="1037"/>
      <c r="AV119" s="1037"/>
      <c r="AW119" s="1037"/>
      <c r="AX119" s="1037"/>
      <c r="AY119" s="1037"/>
      <c r="AZ119" s="1037"/>
      <c r="BA119" s="1037"/>
      <c r="BB119" s="1037"/>
      <c r="BC119" s="1037"/>
      <c r="BD119" s="1037"/>
      <c r="BE119" s="1037"/>
      <c r="BF119" s="1037"/>
      <c r="BG119" s="1037"/>
      <c r="BH119" s="1037"/>
      <c r="BI119" s="1037"/>
      <c r="BJ119" s="1037"/>
      <c r="BK119" s="1037"/>
      <c r="BL119" s="1037"/>
      <c r="BM119" s="1037"/>
      <c r="BN119" s="1037"/>
      <c r="BO119" s="1037"/>
      <c r="BP119" s="1037"/>
      <c r="BQ119" s="1037"/>
      <c r="BR119" s="1037"/>
      <c r="BS119" s="1037"/>
      <c r="BT119" s="1037"/>
      <c r="BU119" s="1037"/>
      <c r="BV119" s="1037"/>
      <c r="BW119" s="1037"/>
      <c r="BX119" s="1037"/>
      <c r="BY119" s="1037"/>
      <c r="BZ119" s="1037"/>
      <c r="CA119" s="1037"/>
      <c r="CB119" s="1037"/>
      <c r="CC119" s="1037"/>
      <c r="CD119" s="1037"/>
      <c r="CE119" s="1037"/>
      <c r="CF119" s="1037"/>
      <c r="CG119" s="1037"/>
      <c r="CH119" s="1037"/>
      <c r="CI119" s="1037"/>
      <c r="CJ119" s="1037"/>
      <c r="CK119" s="1037"/>
      <c r="CL119" s="1037"/>
      <c r="CM119" s="1037"/>
      <c r="CN119" s="1037"/>
      <c r="CO119" s="1037"/>
      <c r="CP119" s="1037"/>
      <c r="CQ119" s="1037"/>
      <c r="CR119" s="1037"/>
      <c r="CS119" s="1037"/>
      <c r="CT119" s="1037"/>
      <c r="CU119" s="1037"/>
      <c r="CV119" s="1037"/>
      <c r="CW119" s="1037"/>
      <c r="CX119" s="1037"/>
      <c r="CY119" s="1037"/>
      <c r="CZ119" s="1037"/>
      <c r="DA119" s="1037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7"/>
      <c r="DN119" s="1037"/>
      <c r="DO119" s="1037"/>
      <c r="DP119" s="1037"/>
      <c r="DQ119" s="1037"/>
      <c r="DR119" s="1037"/>
      <c r="DS119" s="1037"/>
      <c r="DT119" s="1037"/>
      <c r="DU119" s="1037"/>
      <c r="DV119" s="1037"/>
      <c r="DW119" s="1037"/>
      <c r="DX119" s="1037"/>
      <c r="DY119" s="1037"/>
      <c r="DZ119" s="1037"/>
      <c r="EA119" s="1037"/>
      <c r="EB119" s="1037"/>
      <c r="EC119" s="1037"/>
      <c r="ED119" s="1037"/>
      <c r="EE119" s="1037"/>
      <c r="EF119" s="1037"/>
      <c r="EG119" s="1037"/>
      <c r="EH119" s="1037"/>
      <c r="EI119" s="1037"/>
      <c r="EJ119" s="1037"/>
      <c r="EK119" s="1037"/>
      <c r="EL119" s="1037"/>
      <c r="EM119" s="1037"/>
      <c r="EN119" s="1037"/>
      <c r="EO119" s="1037"/>
      <c r="EP119" s="1037"/>
      <c r="EQ119" s="1037"/>
      <c r="ER119" s="1037"/>
      <c r="ES119" s="1037"/>
      <c r="ET119" s="1037"/>
      <c r="EU119" s="1037"/>
      <c r="EV119" s="1037"/>
      <c r="EW119" s="1037"/>
      <c r="EX119" s="1037"/>
      <c r="EY119" s="1037"/>
      <c r="EZ119" s="1037"/>
      <c r="FA119" s="1037"/>
      <c r="FB119" s="1037"/>
      <c r="FC119" s="1037"/>
      <c r="FD119" s="1037"/>
      <c r="FE119" s="1037"/>
      <c r="FF119" s="1037"/>
      <c r="FG119" s="1037"/>
      <c r="FH119" s="1037"/>
      <c r="FI119" s="1037"/>
      <c r="FJ119" s="1037"/>
      <c r="FK119" s="1037"/>
      <c r="FL119" s="1037"/>
      <c r="FM119" s="1037"/>
      <c r="FN119" s="1037"/>
      <c r="FO119" s="1037"/>
      <c r="FP119" s="1037"/>
      <c r="FQ119" s="1037"/>
      <c r="FR119" s="1037"/>
      <c r="FS119" s="1037"/>
      <c r="FT119" s="1037"/>
      <c r="FU119" s="1037"/>
      <c r="FV119" s="1037"/>
      <c r="FW119" s="1037"/>
      <c r="FX119" s="1037"/>
      <c r="FY119" s="1037"/>
      <c r="FZ119" s="1037"/>
      <c r="GA119" s="1037"/>
      <c r="GB119" s="1037"/>
      <c r="GC119" s="1037"/>
      <c r="GD119" s="1037"/>
      <c r="GE119" s="1037"/>
      <c r="GF119" s="1037"/>
      <c r="GG119" s="1037"/>
      <c r="GH119" s="1037"/>
      <c r="GI119" s="1037"/>
      <c r="GJ119" s="1037"/>
      <c r="GK119" s="1037"/>
      <c r="GL119" s="1037"/>
      <c r="GM119" s="1037"/>
      <c r="GN119" s="1037"/>
      <c r="GO119" s="1037"/>
      <c r="GP119" s="1037"/>
      <c r="GQ119" s="1037"/>
      <c r="GR119" s="1037"/>
      <c r="GS119" s="1037"/>
      <c r="GT119" s="1037"/>
      <c r="GU119" s="1037"/>
      <c r="GV119" s="1037"/>
      <c r="GW119" s="1037"/>
      <c r="GX119" s="1037"/>
      <c r="GY119" s="1037"/>
      <c r="GZ119" s="1037"/>
      <c r="HA119" s="1037"/>
      <c r="HB119" s="1037"/>
      <c r="HC119" s="1037"/>
      <c r="HD119" s="1037"/>
      <c r="HE119" s="1037"/>
      <c r="HF119" s="1037"/>
      <c r="HG119" s="1037"/>
      <c r="HH119" s="1037"/>
      <c r="HI119" s="1037"/>
      <c r="HJ119" s="1037"/>
      <c r="HK119" s="1037"/>
      <c r="HL119" s="1037"/>
      <c r="HM119" s="1037"/>
      <c r="HN119" s="1037"/>
      <c r="HO119" s="1037"/>
      <c r="HP119" s="1037"/>
      <c r="HQ119" s="1037"/>
      <c r="HR119" s="1037"/>
      <c r="HS119" s="1037"/>
      <c r="HT119" s="1037"/>
      <c r="HU119" s="1037"/>
      <c r="HV119" s="1037"/>
      <c r="HW119" s="1037"/>
      <c r="HX119" s="1037"/>
      <c r="HY119" s="1037"/>
      <c r="HZ119" s="1037"/>
      <c r="IA119" s="1037"/>
      <c r="IB119" s="1037"/>
      <c r="IC119" s="1037"/>
      <c r="ID119" s="1037"/>
      <c r="IE119" s="1037"/>
      <c r="IF119" s="1037"/>
      <c r="IG119" s="1037"/>
      <c r="IH119" s="1037"/>
      <c r="II119" s="1037"/>
      <c r="IJ119" s="1037"/>
      <c r="IK119" s="1037"/>
      <c r="IL119" s="1037"/>
      <c r="IM119" s="1037"/>
      <c r="IN119" s="1037"/>
    </row>
    <row r="120" spans="1:248" ht="16.2" hidden="1">
      <c r="A120" s="701" t="s">
        <v>23</v>
      </c>
      <c r="B120" s="703">
        <v>8134.3</v>
      </c>
      <c r="C120" s="1038">
        <f t="shared" si="16"/>
        <v>31.453561885906744</v>
      </c>
      <c r="D120" s="704">
        <v>7109.5</v>
      </c>
      <c r="E120" s="1038">
        <f t="shared" si="17"/>
        <v>27.490884062286121</v>
      </c>
      <c r="F120" s="1038">
        <f t="shared" si="18"/>
        <v>1024.8000000000002</v>
      </c>
      <c r="G120" s="1038">
        <f t="shared" si="19"/>
        <v>3.962677823620623</v>
      </c>
      <c r="H120" s="26">
        <v>25861.3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7"/>
      <c r="AB120" s="1037"/>
      <c r="AC120" s="1037"/>
      <c r="AD120" s="1037"/>
      <c r="AE120" s="1037"/>
      <c r="AF120" s="1037"/>
      <c r="AG120" s="1037"/>
      <c r="AH120" s="1037"/>
      <c r="AI120" s="1037"/>
      <c r="AJ120" s="1037"/>
      <c r="AK120" s="1037"/>
      <c r="AL120" s="1037"/>
      <c r="AM120" s="1037"/>
      <c r="AN120" s="1037"/>
      <c r="AO120" s="1037"/>
      <c r="AP120" s="1037"/>
      <c r="AQ120" s="1037"/>
      <c r="AR120" s="1037"/>
      <c r="AS120" s="1037"/>
      <c r="AT120" s="1037"/>
      <c r="AU120" s="1037"/>
      <c r="AV120" s="1037"/>
      <c r="AW120" s="1037"/>
      <c r="AX120" s="1037"/>
      <c r="AY120" s="1037"/>
      <c r="AZ120" s="1037"/>
      <c r="BA120" s="1037"/>
      <c r="BB120" s="1037"/>
      <c r="BC120" s="1037"/>
      <c r="BD120" s="1037"/>
      <c r="BE120" s="1037"/>
      <c r="BF120" s="1037"/>
      <c r="BG120" s="1037"/>
      <c r="BH120" s="1037"/>
      <c r="BI120" s="1037"/>
      <c r="BJ120" s="1037"/>
      <c r="BK120" s="1037"/>
      <c r="BL120" s="1037"/>
      <c r="BM120" s="1037"/>
      <c r="BN120" s="1037"/>
      <c r="BO120" s="1037"/>
      <c r="BP120" s="1037"/>
      <c r="BQ120" s="1037"/>
      <c r="BR120" s="1037"/>
      <c r="BS120" s="1037"/>
      <c r="BT120" s="1037"/>
      <c r="BU120" s="1037"/>
      <c r="BV120" s="1037"/>
      <c r="BW120" s="1037"/>
      <c r="BX120" s="1037"/>
      <c r="BY120" s="1037"/>
      <c r="BZ120" s="1037"/>
      <c r="CA120" s="1037"/>
      <c r="CB120" s="1037"/>
      <c r="CC120" s="1037"/>
      <c r="CD120" s="1037"/>
      <c r="CE120" s="1037"/>
      <c r="CF120" s="1037"/>
      <c r="CG120" s="1037"/>
      <c r="CH120" s="1037"/>
      <c r="CI120" s="1037"/>
      <c r="CJ120" s="1037"/>
      <c r="CK120" s="1037"/>
      <c r="CL120" s="1037"/>
      <c r="CM120" s="1037"/>
      <c r="CN120" s="1037"/>
      <c r="CO120" s="1037"/>
      <c r="CP120" s="1037"/>
      <c r="CQ120" s="1037"/>
      <c r="CR120" s="1037"/>
      <c r="CS120" s="1037"/>
      <c r="CT120" s="1037"/>
      <c r="CU120" s="1037"/>
      <c r="CV120" s="1037"/>
      <c r="CW120" s="1037"/>
      <c r="CX120" s="1037"/>
      <c r="CY120" s="1037"/>
      <c r="CZ120" s="1037"/>
      <c r="DA120" s="1037"/>
      <c r="DB120" s="1037"/>
      <c r="DC120" s="1037"/>
      <c r="DD120" s="1037"/>
      <c r="DE120" s="1037"/>
      <c r="DF120" s="1037"/>
      <c r="DG120" s="1037"/>
      <c r="DH120" s="1037"/>
      <c r="DI120" s="1037"/>
      <c r="DJ120" s="1037"/>
      <c r="DK120" s="1037"/>
      <c r="DL120" s="1037"/>
      <c r="DM120" s="1037"/>
      <c r="DN120" s="1037"/>
      <c r="DO120" s="1037"/>
      <c r="DP120" s="1037"/>
      <c r="DQ120" s="1037"/>
      <c r="DR120" s="1037"/>
      <c r="DS120" s="1037"/>
      <c r="DT120" s="1037"/>
      <c r="DU120" s="1037"/>
      <c r="DV120" s="1037"/>
      <c r="DW120" s="1037"/>
      <c r="DX120" s="1037"/>
      <c r="DY120" s="1037"/>
      <c r="DZ120" s="1037"/>
      <c r="EA120" s="1037"/>
      <c r="EB120" s="1037"/>
      <c r="EC120" s="1037"/>
      <c r="ED120" s="1037"/>
      <c r="EE120" s="1037"/>
      <c r="EF120" s="1037"/>
      <c r="EG120" s="1037"/>
      <c r="EH120" s="1037"/>
      <c r="EI120" s="1037"/>
      <c r="EJ120" s="1037"/>
      <c r="EK120" s="1037"/>
      <c r="EL120" s="1037"/>
      <c r="EM120" s="1037"/>
      <c r="EN120" s="1037"/>
      <c r="EO120" s="1037"/>
      <c r="EP120" s="1037"/>
      <c r="EQ120" s="1037"/>
      <c r="ER120" s="1037"/>
      <c r="ES120" s="1037"/>
      <c r="ET120" s="1037"/>
      <c r="EU120" s="1037"/>
      <c r="EV120" s="1037"/>
      <c r="EW120" s="1037"/>
      <c r="EX120" s="1037"/>
      <c r="EY120" s="1037"/>
      <c r="EZ120" s="1037"/>
      <c r="FA120" s="1037"/>
      <c r="FB120" s="1037"/>
      <c r="FC120" s="1037"/>
      <c r="FD120" s="1037"/>
      <c r="FE120" s="1037"/>
      <c r="FF120" s="1037"/>
      <c r="FG120" s="1037"/>
      <c r="FH120" s="1037"/>
      <c r="FI120" s="1037"/>
      <c r="FJ120" s="1037"/>
      <c r="FK120" s="1037"/>
      <c r="FL120" s="1037"/>
      <c r="FM120" s="1037"/>
      <c r="FN120" s="1037"/>
      <c r="FO120" s="1037"/>
      <c r="FP120" s="1037"/>
      <c r="FQ120" s="1037"/>
      <c r="FR120" s="1037"/>
      <c r="FS120" s="1037"/>
      <c r="FT120" s="1037"/>
      <c r="FU120" s="1037"/>
      <c r="FV120" s="1037"/>
      <c r="FW120" s="1037"/>
      <c r="FX120" s="1037"/>
      <c r="FY120" s="1037"/>
      <c r="FZ120" s="1037"/>
      <c r="GA120" s="1037"/>
      <c r="GB120" s="1037"/>
      <c r="GC120" s="1037"/>
      <c r="GD120" s="1037"/>
      <c r="GE120" s="1037"/>
      <c r="GF120" s="1037"/>
      <c r="GG120" s="1037"/>
      <c r="GH120" s="1037"/>
      <c r="GI120" s="1037"/>
      <c r="GJ120" s="1037"/>
      <c r="GK120" s="1037"/>
      <c r="GL120" s="1037"/>
      <c r="GM120" s="1037"/>
      <c r="GN120" s="1037"/>
      <c r="GO120" s="1037"/>
      <c r="GP120" s="1037"/>
      <c r="GQ120" s="1037"/>
      <c r="GR120" s="1037"/>
      <c r="GS120" s="1037"/>
      <c r="GT120" s="1037"/>
      <c r="GU120" s="1037"/>
      <c r="GV120" s="1037"/>
      <c r="GW120" s="1037"/>
      <c r="GX120" s="1037"/>
      <c r="GY120" s="1037"/>
      <c r="GZ120" s="1037"/>
      <c r="HA120" s="1037"/>
      <c r="HB120" s="1037"/>
      <c r="HC120" s="1037"/>
      <c r="HD120" s="1037"/>
      <c r="HE120" s="1037"/>
      <c r="HF120" s="1037"/>
      <c r="HG120" s="1037"/>
      <c r="HH120" s="1037"/>
      <c r="HI120" s="1037"/>
      <c r="HJ120" s="1037"/>
      <c r="HK120" s="1037"/>
      <c r="HL120" s="1037"/>
      <c r="HM120" s="1037"/>
      <c r="HN120" s="1037"/>
      <c r="HO120" s="1037"/>
      <c r="HP120" s="1037"/>
      <c r="HQ120" s="1037"/>
      <c r="HR120" s="1037"/>
      <c r="HS120" s="1037"/>
      <c r="HT120" s="1037"/>
      <c r="HU120" s="1037"/>
      <c r="HV120" s="1037"/>
      <c r="HW120" s="1037"/>
      <c r="HX120" s="1037"/>
      <c r="HY120" s="1037"/>
      <c r="HZ120" s="1037"/>
      <c r="IA120" s="1037"/>
      <c r="IB120" s="1037"/>
      <c r="IC120" s="1037"/>
      <c r="ID120" s="1037"/>
      <c r="IE120" s="1037"/>
      <c r="IF120" s="1037"/>
      <c r="IG120" s="1037"/>
      <c r="IH120" s="1037"/>
      <c r="II120" s="1037"/>
      <c r="IJ120" s="1037"/>
      <c r="IK120" s="1037"/>
      <c r="IL120" s="1037"/>
      <c r="IM120" s="1037"/>
      <c r="IN120" s="1037"/>
    </row>
    <row r="121" spans="1:248" ht="16.2" hidden="1">
      <c r="A121" s="701" t="s">
        <v>24</v>
      </c>
      <c r="B121" s="703">
        <v>9681.2000000000007</v>
      </c>
      <c r="C121" s="1038">
        <f t="shared" si="16"/>
        <v>31.449724036890377</v>
      </c>
      <c r="D121" s="704">
        <v>8605.7000000000007</v>
      </c>
      <c r="E121" s="1038">
        <f t="shared" si="17"/>
        <v>27.955923867316812</v>
      </c>
      <c r="F121" s="1038">
        <f t="shared" si="18"/>
        <v>1075.5</v>
      </c>
      <c r="G121" s="1038">
        <f t="shared" si="19"/>
        <v>3.4938001695735648</v>
      </c>
      <c r="H121" s="26">
        <v>30783.1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7"/>
      <c r="AB121" s="1037"/>
      <c r="AC121" s="1037"/>
      <c r="AD121" s="1037"/>
      <c r="AE121" s="1037"/>
      <c r="AF121" s="1037"/>
      <c r="AG121" s="1037"/>
      <c r="AH121" s="1037"/>
      <c r="AI121" s="1037"/>
      <c r="AJ121" s="1037"/>
      <c r="AK121" s="1037"/>
      <c r="AL121" s="1037"/>
      <c r="AM121" s="1037"/>
      <c r="AN121" s="1037"/>
      <c r="AO121" s="1037"/>
      <c r="AP121" s="1037"/>
      <c r="AQ121" s="1037"/>
      <c r="AR121" s="1037"/>
      <c r="AS121" s="1037"/>
      <c r="AT121" s="1037"/>
      <c r="AU121" s="1037"/>
      <c r="AV121" s="1037"/>
      <c r="AW121" s="1037"/>
      <c r="AX121" s="1037"/>
      <c r="AY121" s="1037"/>
      <c r="AZ121" s="1037"/>
      <c r="BA121" s="1037"/>
      <c r="BB121" s="1037"/>
      <c r="BC121" s="1037"/>
      <c r="BD121" s="1037"/>
      <c r="BE121" s="1037"/>
      <c r="BF121" s="1037"/>
      <c r="BG121" s="1037"/>
      <c r="BH121" s="1037"/>
      <c r="BI121" s="1037"/>
      <c r="BJ121" s="1037"/>
      <c r="BK121" s="1037"/>
      <c r="BL121" s="1037"/>
      <c r="BM121" s="1037"/>
      <c r="BN121" s="1037"/>
      <c r="BO121" s="1037"/>
      <c r="BP121" s="1037"/>
      <c r="BQ121" s="1037"/>
      <c r="BR121" s="1037"/>
      <c r="BS121" s="1037"/>
      <c r="BT121" s="1037"/>
      <c r="BU121" s="1037"/>
      <c r="BV121" s="1037"/>
      <c r="BW121" s="1037"/>
      <c r="BX121" s="1037"/>
      <c r="BY121" s="1037"/>
      <c r="BZ121" s="1037"/>
      <c r="CA121" s="1037"/>
      <c r="CB121" s="1037"/>
      <c r="CC121" s="1037"/>
      <c r="CD121" s="1037"/>
      <c r="CE121" s="1037"/>
      <c r="CF121" s="1037"/>
      <c r="CG121" s="1037"/>
      <c r="CH121" s="1037"/>
      <c r="CI121" s="1037"/>
      <c r="CJ121" s="1037"/>
      <c r="CK121" s="1037"/>
      <c r="CL121" s="1037"/>
      <c r="CM121" s="1037"/>
      <c r="CN121" s="1037"/>
      <c r="CO121" s="1037"/>
      <c r="CP121" s="1037"/>
      <c r="CQ121" s="1037"/>
      <c r="CR121" s="1037"/>
      <c r="CS121" s="1037"/>
      <c r="CT121" s="1037"/>
      <c r="CU121" s="1037"/>
      <c r="CV121" s="1037"/>
      <c r="CW121" s="1037"/>
      <c r="CX121" s="1037"/>
      <c r="CY121" s="1037"/>
      <c r="CZ121" s="1037"/>
      <c r="DA121" s="1037"/>
      <c r="DB121" s="1037"/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7"/>
      <c r="DO121" s="1037"/>
      <c r="DP121" s="1037"/>
      <c r="DQ121" s="1037"/>
      <c r="DR121" s="1037"/>
      <c r="DS121" s="1037"/>
      <c r="DT121" s="1037"/>
      <c r="DU121" s="1037"/>
      <c r="DV121" s="1037"/>
      <c r="DW121" s="1037"/>
      <c r="DX121" s="1037"/>
      <c r="DY121" s="1037"/>
      <c r="DZ121" s="1037"/>
      <c r="EA121" s="1037"/>
      <c r="EB121" s="1037"/>
      <c r="EC121" s="1037"/>
      <c r="ED121" s="1037"/>
      <c r="EE121" s="1037"/>
      <c r="EF121" s="1037"/>
      <c r="EG121" s="1037"/>
      <c r="EH121" s="1037"/>
      <c r="EI121" s="1037"/>
      <c r="EJ121" s="1037"/>
      <c r="EK121" s="1037"/>
      <c r="EL121" s="1037"/>
      <c r="EM121" s="1037"/>
      <c r="EN121" s="1037"/>
      <c r="EO121" s="1037"/>
      <c r="EP121" s="1037"/>
      <c r="EQ121" s="1037"/>
      <c r="ER121" s="1037"/>
      <c r="ES121" s="1037"/>
      <c r="ET121" s="1037"/>
      <c r="EU121" s="1037"/>
      <c r="EV121" s="1037"/>
      <c r="EW121" s="1037"/>
      <c r="EX121" s="1037"/>
      <c r="EY121" s="1037"/>
      <c r="EZ121" s="1037"/>
      <c r="FA121" s="1037"/>
      <c r="FB121" s="1037"/>
      <c r="FC121" s="1037"/>
      <c r="FD121" s="1037"/>
      <c r="FE121" s="1037"/>
      <c r="FF121" s="1037"/>
      <c r="FG121" s="1037"/>
      <c r="FH121" s="1037"/>
      <c r="FI121" s="1037"/>
      <c r="FJ121" s="1037"/>
      <c r="FK121" s="1037"/>
      <c r="FL121" s="1037"/>
      <c r="FM121" s="1037"/>
      <c r="FN121" s="1037"/>
      <c r="FO121" s="1037"/>
      <c r="FP121" s="1037"/>
      <c r="FQ121" s="1037"/>
      <c r="FR121" s="1037"/>
      <c r="FS121" s="1037"/>
      <c r="FT121" s="1037"/>
      <c r="FU121" s="1037"/>
      <c r="FV121" s="1037"/>
      <c r="FW121" s="1037"/>
      <c r="FX121" s="1037"/>
      <c r="FY121" s="1037"/>
      <c r="FZ121" s="1037"/>
      <c r="GA121" s="1037"/>
      <c r="GB121" s="1037"/>
      <c r="GC121" s="1037"/>
      <c r="GD121" s="1037"/>
      <c r="GE121" s="1037"/>
      <c r="GF121" s="1037"/>
      <c r="GG121" s="1037"/>
      <c r="GH121" s="1037"/>
      <c r="GI121" s="1037"/>
      <c r="GJ121" s="1037"/>
      <c r="GK121" s="1037"/>
      <c r="GL121" s="1037"/>
      <c r="GM121" s="1037"/>
      <c r="GN121" s="1037"/>
      <c r="GO121" s="1037"/>
      <c r="GP121" s="1037"/>
      <c r="GQ121" s="1037"/>
      <c r="GR121" s="1037"/>
      <c r="GS121" s="1037"/>
      <c r="GT121" s="1037"/>
      <c r="GU121" s="1037"/>
      <c r="GV121" s="1037"/>
      <c r="GW121" s="1037"/>
      <c r="GX121" s="1037"/>
      <c r="GY121" s="1037"/>
      <c r="GZ121" s="1037"/>
      <c r="HA121" s="1037"/>
      <c r="HB121" s="1037"/>
      <c r="HC121" s="1037"/>
      <c r="HD121" s="1037"/>
      <c r="HE121" s="1037"/>
      <c r="HF121" s="1037"/>
      <c r="HG121" s="1037"/>
      <c r="HH121" s="1037"/>
      <c r="HI121" s="1037"/>
      <c r="HJ121" s="1037"/>
      <c r="HK121" s="1037"/>
      <c r="HL121" s="1037"/>
      <c r="HM121" s="1037"/>
      <c r="HN121" s="1037"/>
      <c r="HO121" s="1037"/>
      <c r="HP121" s="1037"/>
      <c r="HQ121" s="1037"/>
      <c r="HR121" s="1037"/>
      <c r="HS121" s="1037"/>
      <c r="HT121" s="1037"/>
      <c r="HU121" s="1037"/>
      <c r="HV121" s="1037"/>
      <c r="HW121" s="1037"/>
      <c r="HX121" s="1037"/>
      <c r="HY121" s="1037"/>
      <c r="HZ121" s="1037"/>
      <c r="IA121" s="1037"/>
      <c r="IB121" s="1037"/>
      <c r="IC121" s="1037"/>
      <c r="ID121" s="1037"/>
      <c r="IE121" s="1037"/>
      <c r="IF121" s="1037"/>
      <c r="IG121" s="1037"/>
      <c r="IH121" s="1037"/>
      <c r="II121" s="1037"/>
      <c r="IJ121" s="1037"/>
      <c r="IK121" s="1037"/>
      <c r="IL121" s="1037"/>
      <c r="IM121" s="1037"/>
      <c r="IN121" s="1037"/>
    </row>
    <row r="122" spans="1:248" ht="16.2" hidden="1">
      <c r="A122" s="701" t="s">
        <v>25</v>
      </c>
      <c r="B122" s="703">
        <v>10990.8</v>
      </c>
      <c r="C122" s="1038">
        <f t="shared" si="16"/>
        <v>31.280381598570138</v>
      </c>
      <c r="D122" s="704">
        <v>9724.2000000000007</v>
      </c>
      <c r="E122" s="1038">
        <f t="shared" si="17"/>
        <v>27.675572910144471</v>
      </c>
      <c r="F122" s="1038">
        <f t="shared" si="18"/>
        <v>1266.5999999999985</v>
      </c>
      <c r="G122" s="1038">
        <f t="shared" si="19"/>
        <v>3.6048086884256736</v>
      </c>
      <c r="H122" s="26">
        <v>35136.400000000001</v>
      </c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7"/>
      <c r="AB122" s="1037"/>
      <c r="AC122" s="1037"/>
      <c r="AD122" s="1037"/>
      <c r="AE122" s="1037"/>
      <c r="AF122" s="1037"/>
      <c r="AG122" s="1037"/>
      <c r="AH122" s="1037"/>
      <c r="AI122" s="1037"/>
      <c r="AJ122" s="1037"/>
      <c r="AK122" s="1037"/>
      <c r="AL122" s="1037"/>
      <c r="AM122" s="1037"/>
      <c r="AN122" s="1037"/>
      <c r="AO122" s="1037"/>
      <c r="AP122" s="1037"/>
      <c r="AQ122" s="1037"/>
      <c r="AR122" s="1037"/>
      <c r="AS122" s="1037"/>
      <c r="AT122" s="1037"/>
      <c r="AU122" s="1037"/>
      <c r="AV122" s="1037"/>
      <c r="AW122" s="1037"/>
      <c r="AX122" s="1037"/>
      <c r="AY122" s="1037"/>
      <c r="AZ122" s="1037"/>
      <c r="BA122" s="1037"/>
      <c r="BB122" s="1037"/>
      <c r="BC122" s="1037"/>
      <c r="BD122" s="1037"/>
      <c r="BE122" s="1037"/>
      <c r="BF122" s="1037"/>
      <c r="BG122" s="1037"/>
      <c r="BH122" s="1037"/>
      <c r="BI122" s="1037"/>
      <c r="BJ122" s="1037"/>
      <c r="BK122" s="1037"/>
      <c r="BL122" s="1037"/>
      <c r="BM122" s="1037"/>
      <c r="BN122" s="1037"/>
      <c r="BO122" s="1037"/>
      <c r="BP122" s="1037"/>
      <c r="BQ122" s="1037"/>
      <c r="BR122" s="1037"/>
      <c r="BS122" s="1037"/>
      <c r="BT122" s="1037"/>
      <c r="BU122" s="1037"/>
      <c r="BV122" s="1037"/>
      <c r="BW122" s="1037"/>
      <c r="BX122" s="1037"/>
      <c r="BY122" s="1037"/>
      <c r="BZ122" s="1037"/>
      <c r="CA122" s="1037"/>
      <c r="CB122" s="1037"/>
      <c r="CC122" s="1037"/>
      <c r="CD122" s="1037"/>
      <c r="CE122" s="1037"/>
      <c r="CF122" s="1037"/>
      <c r="CG122" s="1037"/>
      <c r="CH122" s="1037"/>
      <c r="CI122" s="1037"/>
      <c r="CJ122" s="1037"/>
      <c r="CK122" s="1037"/>
      <c r="CL122" s="1037"/>
      <c r="CM122" s="1037"/>
      <c r="CN122" s="1037"/>
      <c r="CO122" s="1037"/>
      <c r="CP122" s="1037"/>
      <c r="CQ122" s="1037"/>
      <c r="CR122" s="1037"/>
      <c r="CS122" s="1037"/>
      <c r="CT122" s="1037"/>
      <c r="CU122" s="1037"/>
      <c r="CV122" s="1037"/>
      <c r="CW122" s="1037"/>
      <c r="CX122" s="1037"/>
      <c r="CY122" s="1037"/>
      <c r="CZ122" s="1037"/>
      <c r="DA122" s="1037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7"/>
      <c r="DO122" s="1037"/>
      <c r="DP122" s="1037"/>
      <c r="DQ122" s="1037"/>
      <c r="DR122" s="1037"/>
      <c r="DS122" s="1037"/>
      <c r="DT122" s="1037"/>
      <c r="DU122" s="1037"/>
      <c r="DV122" s="1037"/>
      <c r="DW122" s="1037"/>
      <c r="DX122" s="1037"/>
      <c r="DY122" s="1037"/>
      <c r="DZ122" s="1037"/>
      <c r="EA122" s="1037"/>
      <c r="EB122" s="1037"/>
      <c r="EC122" s="1037"/>
      <c r="ED122" s="1037"/>
      <c r="EE122" s="1037"/>
      <c r="EF122" s="1037"/>
      <c r="EG122" s="1037"/>
      <c r="EH122" s="1037"/>
      <c r="EI122" s="1037"/>
      <c r="EJ122" s="1037"/>
      <c r="EK122" s="1037"/>
      <c r="EL122" s="1037"/>
      <c r="EM122" s="1037"/>
      <c r="EN122" s="1037"/>
      <c r="EO122" s="1037"/>
      <c r="EP122" s="1037"/>
      <c r="EQ122" s="1037"/>
      <c r="ER122" s="1037"/>
      <c r="ES122" s="1037"/>
      <c r="ET122" s="1037"/>
      <c r="EU122" s="1037"/>
      <c r="EV122" s="1037"/>
      <c r="EW122" s="1037"/>
      <c r="EX122" s="1037"/>
      <c r="EY122" s="1037"/>
      <c r="EZ122" s="1037"/>
      <c r="FA122" s="1037"/>
      <c r="FB122" s="1037"/>
      <c r="FC122" s="1037"/>
      <c r="FD122" s="1037"/>
      <c r="FE122" s="1037"/>
      <c r="FF122" s="1037"/>
      <c r="FG122" s="1037"/>
      <c r="FH122" s="1037"/>
      <c r="FI122" s="1037"/>
      <c r="FJ122" s="1037"/>
      <c r="FK122" s="1037"/>
      <c r="FL122" s="1037"/>
      <c r="FM122" s="1037"/>
      <c r="FN122" s="1037"/>
      <c r="FO122" s="1037"/>
      <c r="FP122" s="1037"/>
      <c r="FQ122" s="1037"/>
      <c r="FR122" s="1037"/>
      <c r="FS122" s="1037"/>
      <c r="FT122" s="1037"/>
      <c r="FU122" s="1037"/>
      <c r="FV122" s="1037"/>
      <c r="FW122" s="1037"/>
      <c r="FX122" s="1037"/>
      <c r="FY122" s="1037"/>
      <c r="FZ122" s="1037"/>
      <c r="GA122" s="1037"/>
      <c r="GB122" s="1037"/>
      <c r="GC122" s="1037"/>
      <c r="GD122" s="1037"/>
      <c r="GE122" s="1037"/>
      <c r="GF122" s="1037"/>
      <c r="GG122" s="1037"/>
      <c r="GH122" s="1037"/>
      <c r="GI122" s="1037"/>
      <c r="GJ122" s="1037"/>
      <c r="GK122" s="1037"/>
      <c r="GL122" s="1037"/>
      <c r="GM122" s="1037"/>
      <c r="GN122" s="1037"/>
      <c r="GO122" s="1037"/>
      <c r="GP122" s="1037"/>
      <c r="GQ122" s="1037"/>
      <c r="GR122" s="1037"/>
      <c r="GS122" s="1037"/>
      <c r="GT122" s="1037"/>
      <c r="GU122" s="1037"/>
      <c r="GV122" s="1037"/>
      <c r="GW122" s="1037"/>
      <c r="GX122" s="1037"/>
      <c r="GY122" s="1037"/>
      <c r="GZ122" s="1037"/>
      <c r="HA122" s="1037"/>
      <c r="HB122" s="1037"/>
      <c r="HC122" s="1037"/>
      <c r="HD122" s="1037"/>
      <c r="HE122" s="1037"/>
      <c r="HF122" s="1037"/>
      <c r="HG122" s="1037"/>
      <c r="HH122" s="1037"/>
      <c r="HI122" s="1037"/>
      <c r="HJ122" s="1037"/>
      <c r="HK122" s="1037"/>
      <c r="HL122" s="1037"/>
      <c r="HM122" s="1037"/>
      <c r="HN122" s="1037"/>
      <c r="HO122" s="1037"/>
      <c r="HP122" s="1037"/>
      <c r="HQ122" s="1037"/>
      <c r="HR122" s="1037"/>
      <c r="HS122" s="1037"/>
      <c r="HT122" s="1037"/>
      <c r="HU122" s="1037"/>
      <c r="HV122" s="1037"/>
      <c r="HW122" s="1037"/>
      <c r="HX122" s="1037"/>
      <c r="HY122" s="1037"/>
      <c r="HZ122" s="1037"/>
      <c r="IA122" s="1037"/>
      <c r="IB122" s="1037"/>
      <c r="IC122" s="1037"/>
      <c r="ID122" s="1037"/>
      <c r="IE122" s="1037"/>
      <c r="IF122" s="1037"/>
      <c r="IG122" s="1037"/>
      <c r="IH122" s="1037"/>
      <c r="II122" s="1037"/>
      <c r="IJ122" s="1037"/>
      <c r="IK122" s="1037"/>
      <c r="IL122" s="1037"/>
      <c r="IM122" s="1037"/>
      <c r="IN122" s="1037"/>
    </row>
    <row r="123" spans="1:248" ht="16.2" hidden="1">
      <c r="A123" s="701" t="s">
        <v>26</v>
      </c>
      <c r="B123" s="703">
        <v>12521</v>
      </c>
      <c r="C123" s="1038">
        <f t="shared" si="16"/>
        <v>31.490973476255391</v>
      </c>
      <c r="D123" s="704">
        <v>11074.2</v>
      </c>
      <c r="E123" s="1038">
        <f t="shared" si="17"/>
        <v>27.852195389405594</v>
      </c>
      <c r="F123" s="1038">
        <f t="shared" si="18"/>
        <v>1446.7999999999993</v>
      </c>
      <c r="G123" s="1038">
        <f t="shared" si="19"/>
        <v>3.6387780868497943</v>
      </c>
      <c r="H123" s="26">
        <v>39760.6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7"/>
      <c r="AB123" s="1037"/>
      <c r="AC123" s="1037"/>
      <c r="AD123" s="1037"/>
      <c r="AE123" s="1037"/>
      <c r="AF123" s="1037"/>
      <c r="AG123" s="1037"/>
      <c r="AH123" s="1037"/>
      <c r="AI123" s="1037"/>
      <c r="AJ123" s="1037"/>
      <c r="AK123" s="1037"/>
      <c r="AL123" s="1037"/>
      <c r="AM123" s="1037"/>
      <c r="AN123" s="1037"/>
      <c r="AO123" s="1037"/>
      <c r="AP123" s="1037"/>
      <c r="AQ123" s="1037"/>
      <c r="AR123" s="1037"/>
      <c r="AS123" s="1037"/>
      <c r="AT123" s="1037"/>
      <c r="AU123" s="1037"/>
      <c r="AV123" s="1037"/>
      <c r="AW123" s="1037"/>
      <c r="AX123" s="1037"/>
      <c r="AY123" s="1037"/>
      <c r="AZ123" s="1037"/>
      <c r="BA123" s="1037"/>
      <c r="BB123" s="1037"/>
      <c r="BC123" s="1037"/>
      <c r="BD123" s="1037"/>
      <c r="BE123" s="1037"/>
      <c r="BF123" s="1037"/>
      <c r="BG123" s="1037"/>
      <c r="BH123" s="1037"/>
      <c r="BI123" s="1037"/>
      <c r="BJ123" s="1037"/>
      <c r="BK123" s="1037"/>
      <c r="BL123" s="1037"/>
      <c r="BM123" s="1037"/>
      <c r="BN123" s="1037"/>
      <c r="BO123" s="1037"/>
      <c r="BP123" s="1037"/>
      <c r="BQ123" s="1037"/>
      <c r="BR123" s="1037"/>
      <c r="BS123" s="1037"/>
      <c r="BT123" s="1037"/>
      <c r="BU123" s="1037"/>
      <c r="BV123" s="1037"/>
      <c r="BW123" s="1037"/>
      <c r="BX123" s="1037"/>
      <c r="BY123" s="1037"/>
      <c r="BZ123" s="1037"/>
      <c r="CA123" s="1037"/>
      <c r="CB123" s="1037"/>
      <c r="CC123" s="1037"/>
      <c r="CD123" s="1037"/>
      <c r="CE123" s="1037"/>
      <c r="CF123" s="1037"/>
      <c r="CG123" s="1037"/>
      <c r="CH123" s="1037"/>
      <c r="CI123" s="1037"/>
      <c r="CJ123" s="1037"/>
      <c r="CK123" s="1037"/>
      <c r="CL123" s="1037"/>
      <c r="CM123" s="1037"/>
      <c r="CN123" s="1037"/>
      <c r="CO123" s="1037"/>
      <c r="CP123" s="1037"/>
      <c r="CQ123" s="1037"/>
      <c r="CR123" s="1037"/>
      <c r="CS123" s="1037"/>
      <c r="CT123" s="1037"/>
      <c r="CU123" s="1037"/>
      <c r="CV123" s="1037"/>
      <c r="CW123" s="1037"/>
      <c r="CX123" s="1037"/>
      <c r="CY123" s="1037"/>
      <c r="CZ123" s="1037"/>
      <c r="DA123" s="1037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7"/>
      <c r="DN123" s="1037"/>
      <c r="DO123" s="1037"/>
      <c r="DP123" s="1037"/>
      <c r="DQ123" s="1037"/>
      <c r="DR123" s="1037"/>
      <c r="DS123" s="1037"/>
      <c r="DT123" s="1037"/>
      <c r="DU123" s="1037"/>
      <c r="DV123" s="1037"/>
      <c r="DW123" s="1037"/>
      <c r="DX123" s="1037"/>
      <c r="DY123" s="1037"/>
      <c r="DZ123" s="1037"/>
      <c r="EA123" s="1037"/>
      <c r="EB123" s="1037"/>
      <c r="EC123" s="1037"/>
      <c r="ED123" s="1037"/>
      <c r="EE123" s="1037"/>
      <c r="EF123" s="1037"/>
      <c r="EG123" s="1037"/>
      <c r="EH123" s="1037"/>
      <c r="EI123" s="1037"/>
      <c r="EJ123" s="1037"/>
      <c r="EK123" s="1037"/>
      <c r="EL123" s="1037"/>
      <c r="EM123" s="1037"/>
      <c r="EN123" s="1037"/>
      <c r="EO123" s="1037"/>
      <c r="EP123" s="1037"/>
      <c r="EQ123" s="1037"/>
      <c r="ER123" s="1037"/>
      <c r="ES123" s="1037"/>
      <c r="ET123" s="1037"/>
      <c r="EU123" s="1037"/>
      <c r="EV123" s="1037"/>
      <c r="EW123" s="1037"/>
      <c r="EX123" s="1037"/>
      <c r="EY123" s="1037"/>
      <c r="EZ123" s="1037"/>
      <c r="FA123" s="1037"/>
      <c r="FB123" s="1037"/>
      <c r="FC123" s="1037"/>
      <c r="FD123" s="1037"/>
      <c r="FE123" s="1037"/>
      <c r="FF123" s="1037"/>
      <c r="FG123" s="1037"/>
      <c r="FH123" s="1037"/>
      <c r="FI123" s="1037"/>
      <c r="FJ123" s="1037"/>
      <c r="FK123" s="1037"/>
      <c r="FL123" s="1037"/>
      <c r="FM123" s="1037"/>
      <c r="FN123" s="1037"/>
      <c r="FO123" s="1037"/>
      <c r="FP123" s="1037"/>
      <c r="FQ123" s="1037"/>
      <c r="FR123" s="1037"/>
      <c r="FS123" s="1037"/>
      <c r="FT123" s="1037"/>
      <c r="FU123" s="1037"/>
      <c r="FV123" s="1037"/>
      <c r="FW123" s="1037"/>
      <c r="FX123" s="1037"/>
      <c r="FY123" s="1037"/>
      <c r="FZ123" s="1037"/>
      <c r="GA123" s="1037"/>
      <c r="GB123" s="1037"/>
      <c r="GC123" s="1037"/>
      <c r="GD123" s="1037"/>
      <c r="GE123" s="1037"/>
      <c r="GF123" s="1037"/>
      <c r="GG123" s="1037"/>
      <c r="GH123" s="1037"/>
      <c r="GI123" s="1037"/>
      <c r="GJ123" s="1037"/>
      <c r="GK123" s="1037"/>
      <c r="GL123" s="1037"/>
      <c r="GM123" s="1037"/>
      <c r="GN123" s="1037"/>
      <c r="GO123" s="1037"/>
      <c r="GP123" s="1037"/>
      <c r="GQ123" s="1037"/>
      <c r="GR123" s="1037"/>
      <c r="GS123" s="1037"/>
      <c r="GT123" s="1037"/>
      <c r="GU123" s="1037"/>
      <c r="GV123" s="1037"/>
      <c r="GW123" s="1037"/>
      <c r="GX123" s="1037"/>
      <c r="GY123" s="1037"/>
      <c r="GZ123" s="1037"/>
      <c r="HA123" s="1037"/>
      <c r="HB123" s="1037"/>
      <c r="HC123" s="1037"/>
      <c r="HD123" s="1037"/>
      <c r="HE123" s="1037"/>
      <c r="HF123" s="1037"/>
      <c r="HG123" s="1037"/>
      <c r="HH123" s="1037"/>
      <c r="HI123" s="1037"/>
      <c r="HJ123" s="1037"/>
      <c r="HK123" s="1037"/>
      <c r="HL123" s="1037"/>
      <c r="HM123" s="1037"/>
      <c r="HN123" s="1037"/>
      <c r="HO123" s="1037"/>
      <c r="HP123" s="1037"/>
      <c r="HQ123" s="1037"/>
      <c r="HR123" s="1037"/>
      <c r="HS123" s="1037"/>
      <c r="HT123" s="1037"/>
      <c r="HU123" s="1037"/>
      <c r="HV123" s="1037"/>
      <c r="HW123" s="1037"/>
      <c r="HX123" s="1037"/>
      <c r="HY123" s="1037"/>
      <c r="HZ123" s="1037"/>
      <c r="IA123" s="1037"/>
      <c r="IB123" s="1037"/>
      <c r="IC123" s="1037"/>
      <c r="ID123" s="1037"/>
      <c r="IE123" s="1037"/>
      <c r="IF123" s="1037"/>
      <c r="IG123" s="1037"/>
      <c r="IH123" s="1037"/>
      <c r="II123" s="1037"/>
      <c r="IJ123" s="1037"/>
      <c r="IK123" s="1037"/>
      <c r="IL123" s="1037"/>
      <c r="IM123" s="1037"/>
      <c r="IN123" s="1037"/>
    </row>
    <row r="124" spans="1:248" ht="16.2" hidden="1">
      <c r="A124" s="701" t="s">
        <v>27</v>
      </c>
      <c r="B124" s="703">
        <v>14225.7</v>
      </c>
      <c r="C124" s="1038">
        <f t="shared" si="16"/>
        <v>32.171740015378354</v>
      </c>
      <c r="D124" s="704">
        <v>12209.6</v>
      </c>
      <c r="E124" s="1038">
        <f t="shared" si="17"/>
        <v>27.612284589985979</v>
      </c>
      <c r="F124" s="1038">
        <f t="shared" si="18"/>
        <v>2016.1000000000004</v>
      </c>
      <c r="G124" s="1038">
        <f t="shared" si="19"/>
        <v>4.5594554253923754</v>
      </c>
      <c r="H124" s="26">
        <v>44218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7"/>
      <c r="AB124" s="1037"/>
      <c r="AC124" s="1037"/>
      <c r="AD124" s="1037"/>
      <c r="AE124" s="1037"/>
      <c r="AF124" s="1037"/>
      <c r="AG124" s="1037"/>
      <c r="AH124" s="1037"/>
      <c r="AI124" s="1037"/>
      <c r="AJ124" s="1037"/>
      <c r="AK124" s="1037"/>
      <c r="AL124" s="1037"/>
      <c r="AM124" s="1037"/>
      <c r="AN124" s="1037"/>
      <c r="AO124" s="1037"/>
      <c r="AP124" s="1037"/>
      <c r="AQ124" s="1037"/>
      <c r="AR124" s="1037"/>
      <c r="AS124" s="1037"/>
      <c r="AT124" s="1037"/>
      <c r="AU124" s="1037"/>
      <c r="AV124" s="1037"/>
      <c r="AW124" s="1037"/>
      <c r="AX124" s="1037"/>
      <c r="AY124" s="1037"/>
      <c r="AZ124" s="1037"/>
      <c r="BA124" s="1037"/>
      <c r="BB124" s="1037"/>
      <c r="BC124" s="1037"/>
      <c r="BD124" s="1037"/>
      <c r="BE124" s="1037"/>
      <c r="BF124" s="1037"/>
      <c r="BG124" s="1037"/>
      <c r="BH124" s="1037"/>
      <c r="BI124" s="1037"/>
      <c r="BJ124" s="1037"/>
      <c r="BK124" s="1037"/>
      <c r="BL124" s="1037"/>
      <c r="BM124" s="1037"/>
      <c r="BN124" s="1037"/>
      <c r="BO124" s="1037"/>
      <c r="BP124" s="1037"/>
      <c r="BQ124" s="1037"/>
      <c r="BR124" s="1037"/>
      <c r="BS124" s="1037"/>
      <c r="BT124" s="1037"/>
      <c r="BU124" s="1037"/>
      <c r="BV124" s="1037"/>
      <c r="BW124" s="1037"/>
      <c r="BX124" s="1037"/>
      <c r="BY124" s="1037"/>
      <c r="BZ124" s="1037"/>
      <c r="CA124" s="1037"/>
      <c r="CB124" s="1037"/>
      <c r="CC124" s="1037"/>
      <c r="CD124" s="1037"/>
      <c r="CE124" s="1037"/>
      <c r="CF124" s="1037"/>
      <c r="CG124" s="1037"/>
      <c r="CH124" s="1037"/>
      <c r="CI124" s="1037"/>
      <c r="CJ124" s="1037"/>
      <c r="CK124" s="1037"/>
      <c r="CL124" s="1037"/>
      <c r="CM124" s="1037"/>
      <c r="CN124" s="1037"/>
      <c r="CO124" s="1037"/>
      <c r="CP124" s="1037"/>
      <c r="CQ124" s="1037"/>
      <c r="CR124" s="1037"/>
      <c r="CS124" s="1037"/>
      <c r="CT124" s="1037"/>
      <c r="CU124" s="1037"/>
      <c r="CV124" s="1037"/>
      <c r="CW124" s="1037"/>
      <c r="CX124" s="1037"/>
      <c r="CY124" s="1037"/>
      <c r="CZ124" s="1037"/>
      <c r="DA124" s="1037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7"/>
      <c r="DN124" s="1037"/>
      <c r="DO124" s="1037"/>
      <c r="DP124" s="1037"/>
      <c r="DQ124" s="1037"/>
      <c r="DR124" s="1037"/>
      <c r="DS124" s="1037"/>
      <c r="DT124" s="1037"/>
      <c r="DU124" s="1037"/>
      <c r="DV124" s="1037"/>
      <c r="DW124" s="1037"/>
      <c r="DX124" s="1037"/>
      <c r="DY124" s="1037"/>
      <c r="DZ124" s="1037"/>
      <c r="EA124" s="1037"/>
      <c r="EB124" s="1037"/>
      <c r="EC124" s="1037"/>
      <c r="ED124" s="1037"/>
      <c r="EE124" s="1037"/>
      <c r="EF124" s="1037"/>
      <c r="EG124" s="1037"/>
      <c r="EH124" s="1037"/>
      <c r="EI124" s="1037"/>
      <c r="EJ124" s="1037"/>
      <c r="EK124" s="1037"/>
      <c r="EL124" s="1037"/>
      <c r="EM124" s="1037"/>
      <c r="EN124" s="1037"/>
      <c r="EO124" s="1037"/>
      <c r="EP124" s="1037"/>
      <c r="EQ124" s="1037"/>
      <c r="ER124" s="1037"/>
      <c r="ES124" s="1037"/>
      <c r="ET124" s="1037"/>
      <c r="EU124" s="1037"/>
      <c r="EV124" s="1037"/>
      <c r="EW124" s="1037"/>
      <c r="EX124" s="1037"/>
      <c r="EY124" s="1037"/>
      <c r="EZ124" s="1037"/>
      <c r="FA124" s="1037"/>
      <c r="FB124" s="1037"/>
      <c r="FC124" s="1037"/>
      <c r="FD124" s="1037"/>
      <c r="FE124" s="1037"/>
      <c r="FF124" s="1037"/>
      <c r="FG124" s="1037"/>
      <c r="FH124" s="1037"/>
      <c r="FI124" s="1037"/>
      <c r="FJ124" s="1037"/>
      <c r="FK124" s="1037"/>
      <c r="FL124" s="1037"/>
      <c r="FM124" s="1037"/>
      <c r="FN124" s="1037"/>
      <c r="FO124" s="1037"/>
      <c r="FP124" s="1037"/>
      <c r="FQ124" s="1037"/>
      <c r="FR124" s="1037"/>
      <c r="FS124" s="1037"/>
      <c r="FT124" s="1037"/>
      <c r="FU124" s="1037"/>
      <c r="FV124" s="1037"/>
      <c r="FW124" s="1037"/>
      <c r="FX124" s="1037"/>
      <c r="FY124" s="1037"/>
      <c r="FZ124" s="1037"/>
      <c r="GA124" s="1037"/>
      <c r="GB124" s="1037"/>
      <c r="GC124" s="1037"/>
      <c r="GD124" s="1037"/>
      <c r="GE124" s="1037"/>
      <c r="GF124" s="1037"/>
      <c r="GG124" s="1037"/>
      <c r="GH124" s="1037"/>
      <c r="GI124" s="1037"/>
      <c r="GJ124" s="1037"/>
      <c r="GK124" s="1037"/>
      <c r="GL124" s="1037"/>
      <c r="GM124" s="1037"/>
      <c r="GN124" s="1037"/>
      <c r="GO124" s="1037"/>
      <c r="GP124" s="1037"/>
      <c r="GQ124" s="1037"/>
      <c r="GR124" s="1037"/>
      <c r="GS124" s="1037"/>
      <c r="GT124" s="1037"/>
      <c r="GU124" s="1037"/>
      <c r="GV124" s="1037"/>
      <c r="GW124" s="1037"/>
      <c r="GX124" s="1037"/>
      <c r="GY124" s="1037"/>
      <c r="GZ124" s="1037"/>
      <c r="HA124" s="1037"/>
      <c r="HB124" s="1037"/>
      <c r="HC124" s="1037"/>
      <c r="HD124" s="1037"/>
      <c r="HE124" s="1037"/>
      <c r="HF124" s="1037"/>
      <c r="HG124" s="1037"/>
      <c r="HH124" s="1037"/>
      <c r="HI124" s="1037"/>
      <c r="HJ124" s="1037"/>
      <c r="HK124" s="1037"/>
      <c r="HL124" s="1037"/>
      <c r="HM124" s="1037"/>
      <c r="HN124" s="1037"/>
      <c r="HO124" s="1037"/>
      <c r="HP124" s="1037"/>
      <c r="HQ124" s="1037"/>
      <c r="HR124" s="1037"/>
      <c r="HS124" s="1037"/>
      <c r="HT124" s="1037"/>
      <c r="HU124" s="1037"/>
      <c r="HV124" s="1037"/>
      <c r="HW124" s="1037"/>
      <c r="HX124" s="1037"/>
      <c r="HY124" s="1037"/>
      <c r="HZ124" s="1037"/>
      <c r="IA124" s="1037"/>
      <c r="IB124" s="1037"/>
      <c r="IC124" s="1037"/>
      <c r="ID124" s="1037"/>
      <c r="IE124" s="1037"/>
      <c r="IF124" s="1037"/>
      <c r="IG124" s="1037"/>
      <c r="IH124" s="1037"/>
      <c r="II124" s="1037"/>
      <c r="IJ124" s="1037"/>
      <c r="IK124" s="1037"/>
      <c r="IL124" s="1037"/>
      <c r="IM124" s="1037"/>
      <c r="IN124" s="1037"/>
    </row>
    <row r="125" spans="1:248" ht="16.2" hidden="1">
      <c r="A125" s="701" t="s">
        <v>28</v>
      </c>
      <c r="B125" s="703">
        <v>15687.2</v>
      </c>
      <c r="C125" s="1038">
        <f t="shared" si="16"/>
        <v>32.553217097535978</v>
      </c>
      <c r="D125" s="704">
        <v>13940.1</v>
      </c>
      <c r="E125" s="1038">
        <f t="shared" si="17"/>
        <v>28.927730994783087</v>
      </c>
      <c r="F125" s="1038">
        <f t="shared" si="18"/>
        <v>1747.1000000000004</v>
      </c>
      <c r="G125" s="1038">
        <f t="shared" si="19"/>
        <v>3.625486102752888</v>
      </c>
      <c r="H125" s="26">
        <v>48189.4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7"/>
      <c r="AB125" s="1037"/>
      <c r="AC125" s="1037"/>
      <c r="AD125" s="1037"/>
      <c r="AE125" s="1037"/>
      <c r="AF125" s="1037"/>
      <c r="AG125" s="1037"/>
      <c r="AH125" s="1037"/>
      <c r="AI125" s="1037"/>
      <c r="AJ125" s="1037"/>
      <c r="AK125" s="1037"/>
      <c r="AL125" s="1037"/>
      <c r="AM125" s="1037"/>
      <c r="AN125" s="1037"/>
      <c r="AO125" s="1037"/>
      <c r="AP125" s="1037"/>
      <c r="AQ125" s="1037"/>
      <c r="AR125" s="1037"/>
      <c r="AS125" s="1037"/>
      <c r="AT125" s="1037"/>
      <c r="AU125" s="1037"/>
      <c r="AV125" s="1037"/>
      <c r="AW125" s="1037"/>
      <c r="AX125" s="1037"/>
      <c r="AY125" s="1037"/>
      <c r="AZ125" s="1037"/>
      <c r="BA125" s="1037"/>
      <c r="BB125" s="1037"/>
      <c r="BC125" s="1037"/>
      <c r="BD125" s="1037"/>
      <c r="BE125" s="1037"/>
      <c r="BF125" s="1037"/>
      <c r="BG125" s="1037"/>
      <c r="BH125" s="1037"/>
      <c r="BI125" s="1037"/>
      <c r="BJ125" s="1037"/>
      <c r="BK125" s="1037"/>
      <c r="BL125" s="1037"/>
      <c r="BM125" s="1037"/>
      <c r="BN125" s="1037"/>
      <c r="BO125" s="1037"/>
      <c r="BP125" s="1037"/>
      <c r="BQ125" s="1037"/>
      <c r="BR125" s="1037"/>
      <c r="BS125" s="1037"/>
      <c r="BT125" s="1037"/>
      <c r="BU125" s="1037"/>
      <c r="BV125" s="1037"/>
      <c r="BW125" s="1037"/>
      <c r="BX125" s="1037"/>
      <c r="BY125" s="1037"/>
      <c r="BZ125" s="1037"/>
      <c r="CA125" s="1037"/>
      <c r="CB125" s="1037"/>
      <c r="CC125" s="1037"/>
      <c r="CD125" s="1037"/>
      <c r="CE125" s="1037"/>
      <c r="CF125" s="1037"/>
      <c r="CG125" s="1037"/>
      <c r="CH125" s="1037"/>
      <c r="CI125" s="1037"/>
      <c r="CJ125" s="1037"/>
      <c r="CK125" s="1037"/>
      <c r="CL125" s="1037"/>
      <c r="CM125" s="1037"/>
      <c r="CN125" s="1037"/>
      <c r="CO125" s="1037"/>
      <c r="CP125" s="1037"/>
      <c r="CQ125" s="1037"/>
      <c r="CR125" s="1037"/>
      <c r="CS125" s="1037"/>
      <c r="CT125" s="1037"/>
      <c r="CU125" s="1037"/>
      <c r="CV125" s="1037"/>
      <c r="CW125" s="1037"/>
      <c r="CX125" s="1037"/>
      <c r="CY125" s="1037"/>
      <c r="CZ125" s="1037"/>
      <c r="DA125" s="1037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7"/>
      <c r="DN125" s="1037"/>
      <c r="DO125" s="1037"/>
      <c r="DP125" s="1037"/>
      <c r="DQ125" s="1037"/>
      <c r="DR125" s="1037"/>
      <c r="DS125" s="1037"/>
      <c r="DT125" s="1037"/>
      <c r="DU125" s="1037"/>
      <c r="DV125" s="1037"/>
      <c r="DW125" s="1037"/>
      <c r="DX125" s="1037"/>
      <c r="DY125" s="1037"/>
      <c r="DZ125" s="1037"/>
      <c r="EA125" s="1037"/>
      <c r="EB125" s="1037"/>
      <c r="EC125" s="1037"/>
      <c r="ED125" s="1037"/>
      <c r="EE125" s="1037"/>
      <c r="EF125" s="1037"/>
      <c r="EG125" s="1037"/>
      <c r="EH125" s="1037"/>
      <c r="EI125" s="1037"/>
      <c r="EJ125" s="1037"/>
      <c r="EK125" s="1037"/>
      <c r="EL125" s="1037"/>
      <c r="EM125" s="1037"/>
      <c r="EN125" s="1037"/>
      <c r="EO125" s="1037"/>
      <c r="EP125" s="1037"/>
      <c r="EQ125" s="1037"/>
      <c r="ER125" s="1037"/>
      <c r="ES125" s="1037"/>
      <c r="ET125" s="1037"/>
      <c r="EU125" s="1037"/>
      <c r="EV125" s="1037"/>
      <c r="EW125" s="1037"/>
      <c r="EX125" s="1037"/>
      <c r="EY125" s="1037"/>
      <c r="EZ125" s="1037"/>
      <c r="FA125" s="1037"/>
      <c r="FB125" s="1037"/>
      <c r="FC125" s="1037"/>
      <c r="FD125" s="1037"/>
      <c r="FE125" s="1037"/>
      <c r="FF125" s="1037"/>
      <c r="FG125" s="1037"/>
      <c r="FH125" s="1037"/>
      <c r="FI125" s="1037"/>
      <c r="FJ125" s="1037"/>
      <c r="FK125" s="1037"/>
      <c r="FL125" s="1037"/>
      <c r="FM125" s="1037"/>
      <c r="FN125" s="1037"/>
      <c r="FO125" s="1037"/>
      <c r="FP125" s="1037"/>
      <c r="FQ125" s="1037"/>
      <c r="FR125" s="1037"/>
      <c r="FS125" s="1037"/>
      <c r="FT125" s="1037"/>
      <c r="FU125" s="1037"/>
      <c r="FV125" s="1037"/>
      <c r="FW125" s="1037"/>
      <c r="FX125" s="1037"/>
      <c r="FY125" s="1037"/>
      <c r="FZ125" s="1037"/>
      <c r="GA125" s="1037"/>
      <c r="GB125" s="1037"/>
      <c r="GC125" s="1037"/>
      <c r="GD125" s="1037"/>
      <c r="GE125" s="1037"/>
      <c r="GF125" s="1037"/>
      <c r="GG125" s="1037"/>
      <c r="GH125" s="1037"/>
      <c r="GI125" s="1037"/>
      <c r="GJ125" s="1037"/>
      <c r="GK125" s="1037"/>
      <c r="GL125" s="1037"/>
      <c r="GM125" s="1037"/>
      <c r="GN125" s="1037"/>
      <c r="GO125" s="1037"/>
      <c r="GP125" s="1037"/>
      <c r="GQ125" s="1037"/>
      <c r="GR125" s="1037"/>
      <c r="GS125" s="1037"/>
      <c r="GT125" s="1037"/>
      <c r="GU125" s="1037"/>
      <c r="GV125" s="1037"/>
      <c r="GW125" s="1037"/>
      <c r="GX125" s="1037"/>
      <c r="GY125" s="1037"/>
      <c r="GZ125" s="1037"/>
      <c r="HA125" s="1037"/>
      <c r="HB125" s="1037"/>
      <c r="HC125" s="1037"/>
      <c r="HD125" s="1037"/>
      <c r="HE125" s="1037"/>
      <c r="HF125" s="1037"/>
      <c r="HG125" s="1037"/>
      <c r="HH125" s="1037"/>
      <c r="HI125" s="1037"/>
      <c r="HJ125" s="1037"/>
      <c r="HK125" s="1037"/>
      <c r="HL125" s="1037"/>
      <c r="HM125" s="1037"/>
      <c r="HN125" s="1037"/>
      <c r="HO125" s="1037"/>
      <c r="HP125" s="1037"/>
      <c r="HQ125" s="1037"/>
      <c r="HR125" s="1037"/>
      <c r="HS125" s="1037"/>
      <c r="HT125" s="1037"/>
      <c r="HU125" s="1037"/>
      <c r="HV125" s="1037"/>
      <c r="HW125" s="1037"/>
      <c r="HX125" s="1037"/>
      <c r="HY125" s="1037"/>
      <c r="HZ125" s="1037"/>
      <c r="IA125" s="1037"/>
      <c r="IB125" s="1037"/>
      <c r="IC125" s="1037"/>
      <c r="ID125" s="1037"/>
      <c r="IE125" s="1037"/>
      <c r="IF125" s="1037"/>
      <c r="IG125" s="1037"/>
      <c r="IH125" s="1037"/>
      <c r="II125" s="1037"/>
      <c r="IJ125" s="1037"/>
      <c r="IK125" s="1037"/>
      <c r="IL125" s="1037"/>
      <c r="IM125" s="1037"/>
      <c r="IN125" s="1037"/>
    </row>
    <row r="126" spans="1:248" ht="16.2" hidden="1">
      <c r="A126" s="701" t="s">
        <v>29</v>
      </c>
      <c r="B126" s="703">
        <v>17281.5</v>
      </c>
      <c r="C126" s="1038">
        <v>32.005926474673579</v>
      </c>
      <c r="D126" s="704">
        <v>17416.5</v>
      </c>
      <c r="E126" s="1038">
        <v>31.67997036762663</v>
      </c>
      <c r="F126" s="1038">
        <v>-135</v>
      </c>
      <c r="G126" s="1038">
        <v>0.32595610704694883</v>
      </c>
      <c r="H126" s="26">
        <v>53995</v>
      </c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7"/>
      <c r="AB126" s="1037"/>
      <c r="AC126" s="1037"/>
      <c r="AD126" s="1037"/>
      <c r="AE126" s="1037"/>
      <c r="AF126" s="1037"/>
      <c r="AG126" s="1037"/>
      <c r="AH126" s="1037"/>
      <c r="AI126" s="1037"/>
      <c r="AJ126" s="1037"/>
      <c r="AK126" s="1037"/>
      <c r="AL126" s="1037"/>
      <c r="AM126" s="1037"/>
      <c r="AN126" s="1037"/>
      <c r="AO126" s="1037"/>
      <c r="AP126" s="1037"/>
      <c r="AQ126" s="1037"/>
      <c r="AR126" s="1037"/>
      <c r="AS126" s="1037"/>
      <c r="AT126" s="1037"/>
      <c r="AU126" s="1037"/>
      <c r="AV126" s="1037"/>
      <c r="AW126" s="1037"/>
      <c r="AX126" s="1037"/>
      <c r="AY126" s="1037"/>
      <c r="AZ126" s="1037"/>
      <c r="BA126" s="1037"/>
      <c r="BB126" s="1037"/>
      <c r="BC126" s="1037"/>
      <c r="BD126" s="1037"/>
      <c r="BE126" s="1037"/>
      <c r="BF126" s="1037"/>
      <c r="BG126" s="1037"/>
      <c r="BH126" s="1037"/>
      <c r="BI126" s="1037"/>
      <c r="BJ126" s="1037"/>
      <c r="BK126" s="1037"/>
      <c r="BL126" s="1037"/>
      <c r="BM126" s="1037"/>
      <c r="BN126" s="1037"/>
      <c r="BO126" s="1037"/>
      <c r="BP126" s="1037"/>
      <c r="BQ126" s="1037"/>
      <c r="BR126" s="1037"/>
      <c r="BS126" s="1037"/>
      <c r="BT126" s="1037"/>
      <c r="BU126" s="1037"/>
      <c r="BV126" s="1037"/>
      <c r="BW126" s="1037"/>
      <c r="BX126" s="1037"/>
      <c r="BY126" s="1037"/>
      <c r="BZ126" s="1037"/>
      <c r="CA126" s="1037"/>
      <c r="CB126" s="1037"/>
      <c r="CC126" s="1037"/>
      <c r="CD126" s="1037"/>
      <c r="CE126" s="1037"/>
      <c r="CF126" s="1037"/>
      <c r="CG126" s="1037"/>
      <c r="CH126" s="1037"/>
      <c r="CI126" s="1037"/>
      <c r="CJ126" s="1037"/>
      <c r="CK126" s="1037"/>
      <c r="CL126" s="1037"/>
      <c r="CM126" s="1037"/>
      <c r="CN126" s="1037"/>
      <c r="CO126" s="1037"/>
      <c r="CP126" s="1037"/>
      <c r="CQ126" s="1037"/>
      <c r="CR126" s="1037"/>
      <c r="CS126" s="1037"/>
      <c r="CT126" s="1037"/>
      <c r="CU126" s="1037"/>
      <c r="CV126" s="1037"/>
      <c r="CW126" s="1037"/>
      <c r="CX126" s="1037"/>
      <c r="CY126" s="1037"/>
      <c r="CZ126" s="1037"/>
      <c r="DA126" s="1037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7"/>
      <c r="DN126" s="1037"/>
      <c r="DO126" s="1037"/>
      <c r="DP126" s="1037"/>
      <c r="DQ126" s="1037"/>
      <c r="DR126" s="1037"/>
      <c r="DS126" s="1037"/>
      <c r="DT126" s="1037"/>
      <c r="DU126" s="1037"/>
      <c r="DV126" s="1037"/>
      <c r="DW126" s="1037"/>
      <c r="DX126" s="1037"/>
      <c r="DY126" s="1037"/>
      <c r="DZ126" s="1037"/>
      <c r="EA126" s="1037"/>
      <c r="EB126" s="1037"/>
      <c r="EC126" s="1037"/>
      <c r="ED126" s="1037"/>
      <c r="EE126" s="1037"/>
      <c r="EF126" s="1037"/>
      <c r="EG126" s="1037"/>
      <c r="EH126" s="1037"/>
      <c r="EI126" s="1037"/>
      <c r="EJ126" s="1037"/>
      <c r="EK126" s="1037"/>
      <c r="EL126" s="1037"/>
      <c r="EM126" s="1037"/>
      <c r="EN126" s="1037"/>
      <c r="EO126" s="1037"/>
      <c r="EP126" s="1037"/>
      <c r="EQ126" s="1037"/>
      <c r="ER126" s="1037"/>
      <c r="ES126" s="1037"/>
      <c r="ET126" s="1037"/>
      <c r="EU126" s="1037"/>
      <c r="EV126" s="1037"/>
      <c r="EW126" s="1037"/>
      <c r="EX126" s="1037"/>
      <c r="EY126" s="1037"/>
      <c r="EZ126" s="1037"/>
      <c r="FA126" s="1037"/>
      <c r="FB126" s="1037"/>
      <c r="FC126" s="1037"/>
      <c r="FD126" s="1037"/>
      <c r="FE126" s="1037"/>
      <c r="FF126" s="1037"/>
      <c r="FG126" s="1037"/>
      <c r="FH126" s="1037"/>
      <c r="FI126" s="1037"/>
      <c r="FJ126" s="1037"/>
      <c r="FK126" s="1037"/>
      <c r="FL126" s="1037"/>
      <c r="FM126" s="1037"/>
      <c r="FN126" s="1037"/>
      <c r="FO126" s="1037"/>
      <c r="FP126" s="1037"/>
      <c r="FQ126" s="1037"/>
      <c r="FR126" s="1037"/>
      <c r="FS126" s="1037"/>
      <c r="FT126" s="1037"/>
      <c r="FU126" s="1037"/>
      <c r="FV126" s="1037"/>
      <c r="FW126" s="1037"/>
      <c r="FX126" s="1037"/>
      <c r="FY126" s="1037"/>
      <c r="FZ126" s="1037"/>
      <c r="GA126" s="1037"/>
      <c r="GB126" s="1037"/>
      <c r="GC126" s="1037"/>
      <c r="GD126" s="1037"/>
      <c r="GE126" s="1037"/>
      <c r="GF126" s="1037"/>
      <c r="GG126" s="1037"/>
      <c r="GH126" s="1037"/>
      <c r="GI126" s="1037"/>
      <c r="GJ126" s="1037"/>
      <c r="GK126" s="1037"/>
      <c r="GL126" s="1037"/>
      <c r="GM126" s="1037"/>
      <c r="GN126" s="1037"/>
      <c r="GO126" s="1037"/>
      <c r="GP126" s="1037"/>
      <c r="GQ126" s="1037"/>
      <c r="GR126" s="1037"/>
      <c r="GS126" s="1037"/>
      <c r="GT126" s="1037"/>
      <c r="GU126" s="1037"/>
      <c r="GV126" s="1037"/>
      <c r="GW126" s="1037"/>
      <c r="GX126" s="1037"/>
      <c r="GY126" s="1037"/>
      <c r="GZ126" s="1037"/>
      <c r="HA126" s="1037"/>
      <c r="HB126" s="1037"/>
      <c r="HC126" s="1037"/>
      <c r="HD126" s="1037"/>
      <c r="HE126" s="1037"/>
      <c r="HF126" s="1037"/>
      <c r="HG126" s="1037"/>
      <c r="HH126" s="1037"/>
      <c r="HI126" s="1037"/>
      <c r="HJ126" s="1037"/>
      <c r="HK126" s="1037"/>
      <c r="HL126" s="1037"/>
      <c r="HM126" s="1037"/>
      <c r="HN126" s="1037"/>
      <c r="HO126" s="1037"/>
      <c r="HP126" s="1037"/>
      <c r="HQ126" s="1037"/>
      <c r="HR126" s="1037"/>
      <c r="HS126" s="1037"/>
      <c r="HT126" s="1037"/>
      <c r="HU126" s="1037"/>
      <c r="HV126" s="1037"/>
      <c r="HW126" s="1037"/>
      <c r="HX126" s="1037"/>
      <c r="HY126" s="1037"/>
      <c r="HZ126" s="1037"/>
      <c r="IA126" s="1037"/>
      <c r="IB126" s="1037"/>
      <c r="IC126" s="1037"/>
      <c r="ID126" s="1037"/>
      <c r="IE126" s="1037"/>
      <c r="IF126" s="1037"/>
      <c r="IG126" s="1037"/>
      <c r="IH126" s="1037"/>
      <c r="II126" s="1037"/>
      <c r="IJ126" s="1037"/>
      <c r="IK126" s="1037"/>
      <c r="IL126" s="1037"/>
      <c r="IM126" s="1037"/>
      <c r="IN126" s="1037"/>
    </row>
    <row r="127" spans="1:248" ht="16.2">
      <c r="A127" s="696">
        <v>2013</v>
      </c>
      <c r="B127" s="698">
        <v>19496.3</v>
      </c>
      <c r="C127" s="698">
        <v>33.781334368425973</v>
      </c>
      <c r="D127" s="699">
        <v>19143.5</v>
      </c>
      <c r="E127" s="698">
        <v>33.172928630593226</v>
      </c>
      <c r="F127" s="1039">
        <f>B127-D127</f>
        <v>352.79999999999927</v>
      </c>
      <c r="G127" s="698">
        <v>0.6084057378327492</v>
      </c>
      <c r="H127" s="26"/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7"/>
      <c r="AB127" s="1037"/>
      <c r="AC127" s="1037"/>
      <c r="AD127" s="1037"/>
      <c r="AE127" s="1037"/>
      <c r="AF127" s="1037"/>
      <c r="AG127" s="1037"/>
      <c r="AH127" s="1037"/>
      <c r="AI127" s="1037"/>
      <c r="AJ127" s="1037"/>
      <c r="AK127" s="1037"/>
      <c r="AL127" s="1037"/>
      <c r="AM127" s="1037"/>
      <c r="AN127" s="1037"/>
      <c r="AO127" s="1037"/>
      <c r="AP127" s="1037"/>
      <c r="AQ127" s="1037"/>
      <c r="AR127" s="1037"/>
      <c r="AS127" s="1037"/>
      <c r="AT127" s="1037"/>
      <c r="AU127" s="1037"/>
      <c r="AV127" s="1037"/>
      <c r="AW127" s="1037"/>
      <c r="AX127" s="1037"/>
      <c r="AY127" s="1037"/>
      <c r="AZ127" s="1037"/>
      <c r="BA127" s="1037"/>
      <c r="BB127" s="1037"/>
      <c r="BC127" s="1037"/>
      <c r="BD127" s="1037"/>
      <c r="BE127" s="1037"/>
      <c r="BF127" s="1037"/>
      <c r="BG127" s="1037"/>
      <c r="BH127" s="1037"/>
      <c r="BI127" s="1037"/>
      <c r="BJ127" s="1037"/>
      <c r="BK127" s="1037"/>
      <c r="BL127" s="1037"/>
      <c r="BM127" s="1037"/>
      <c r="BN127" s="1037"/>
      <c r="BO127" s="1037"/>
      <c r="BP127" s="1037"/>
      <c r="BQ127" s="1037"/>
      <c r="BR127" s="1037"/>
      <c r="BS127" s="1037"/>
      <c r="BT127" s="1037"/>
      <c r="BU127" s="1037"/>
      <c r="BV127" s="1037"/>
      <c r="BW127" s="1037"/>
      <c r="BX127" s="1037"/>
      <c r="BY127" s="1037"/>
      <c r="BZ127" s="1037"/>
      <c r="CA127" s="1037"/>
      <c r="CB127" s="1037"/>
      <c r="CC127" s="1037"/>
      <c r="CD127" s="1037"/>
      <c r="CE127" s="1037"/>
      <c r="CF127" s="1037"/>
      <c r="CG127" s="1037"/>
      <c r="CH127" s="1037"/>
      <c r="CI127" s="1037"/>
      <c r="CJ127" s="1037"/>
      <c r="CK127" s="1037"/>
      <c r="CL127" s="1037"/>
      <c r="CM127" s="1037"/>
      <c r="CN127" s="1037"/>
      <c r="CO127" s="1037"/>
      <c r="CP127" s="1037"/>
      <c r="CQ127" s="1037"/>
      <c r="CR127" s="1037"/>
      <c r="CS127" s="1037"/>
      <c r="CT127" s="1037"/>
      <c r="CU127" s="1037"/>
      <c r="CV127" s="1037"/>
      <c r="CW127" s="1037"/>
      <c r="CX127" s="1037"/>
      <c r="CY127" s="1037"/>
      <c r="CZ127" s="1037"/>
      <c r="DA127" s="1037"/>
      <c r="DB127" s="1037"/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7"/>
      <c r="DO127" s="1037"/>
      <c r="DP127" s="1037"/>
      <c r="DQ127" s="1037"/>
      <c r="DR127" s="1037"/>
      <c r="DS127" s="1037"/>
      <c r="DT127" s="1037"/>
      <c r="DU127" s="1037"/>
      <c r="DV127" s="1037"/>
      <c r="DW127" s="1037"/>
      <c r="DX127" s="1037"/>
      <c r="DY127" s="1037"/>
      <c r="DZ127" s="1037"/>
      <c r="EA127" s="1037"/>
      <c r="EB127" s="1037"/>
      <c r="EC127" s="1037"/>
      <c r="ED127" s="1037"/>
      <c r="EE127" s="1037"/>
      <c r="EF127" s="1037"/>
      <c r="EG127" s="1037"/>
      <c r="EH127" s="1037"/>
      <c r="EI127" s="1037"/>
      <c r="EJ127" s="1037"/>
      <c r="EK127" s="1037"/>
      <c r="EL127" s="1037"/>
      <c r="EM127" s="1037"/>
      <c r="EN127" s="1037"/>
      <c r="EO127" s="1037"/>
      <c r="EP127" s="1037"/>
      <c r="EQ127" s="1037"/>
      <c r="ER127" s="1037"/>
      <c r="ES127" s="1037"/>
      <c r="ET127" s="1037"/>
      <c r="EU127" s="1037"/>
      <c r="EV127" s="1037"/>
      <c r="EW127" s="1037"/>
      <c r="EX127" s="1037"/>
      <c r="EY127" s="1037"/>
      <c r="EZ127" s="1037"/>
      <c r="FA127" s="1037"/>
      <c r="FB127" s="1037"/>
      <c r="FC127" s="1037"/>
      <c r="FD127" s="1037"/>
      <c r="FE127" s="1037"/>
      <c r="FF127" s="1037"/>
      <c r="FG127" s="1037"/>
      <c r="FH127" s="1037"/>
      <c r="FI127" s="1037"/>
      <c r="FJ127" s="1037"/>
      <c r="FK127" s="1037"/>
      <c r="FL127" s="1037"/>
      <c r="FM127" s="1037"/>
      <c r="FN127" s="1037"/>
      <c r="FO127" s="1037"/>
      <c r="FP127" s="1037"/>
      <c r="FQ127" s="1037"/>
      <c r="FR127" s="1037"/>
      <c r="FS127" s="1037"/>
      <c r="FT127" s="1037"/>
      <c r="FU127" s="1037"/>
      <c r="FV127" s="1037"/>
      <c r="FW127" s="1037"/>
      <c r="FX127" s="1037"/>
      <c r="FY127" s="1037"/>
      <c r="FZ127" s="1037"/>
      <c r="GA127" s="1037"/>
      <c r="GB127" s="1037"/>
      <c r="GC127" s="1037"/>
      <c r="GD127" s="1037"/>
      <c r="GE127" s="1037"/>
      <c r="GF127" s="1037"/>
      <c r="GG127" s="1037"/>
      <c r="GH127" s="1037"/>
      <c r="GI127" s="1037"/>
      <c r="GJ127" s="1037"/>
      <c r="GK127" s="1037"/>
      <c r="GL127" s="1037"/>
      <c r="GM127" s="1037"/>
      <c r="GN127" s="1037"/>
      <c r="GO127" s="1037"/>
      <c r="GP127" s="1037"/>
      <c r="GQ127" s="1037"/>
      <c r="GR127" s="1037"/>
      <c r="GS127" s="1037"/>
      <c r="GT127" s="1037"/>
      <c r="GU127" s="1037"/>
      <c r="GV127" s="1037"/>
      <c r="GW127" s="1037"/>
      <c r="GX127" s="1037"/>
      <c r="GY127" s="1037"/>
      <c r="GZ127" s="1037"/>
      <c r="HA127" s="1037"/>
      <c r="HB127" s="1037"/>
      <c r="HC127" s="1037"/>
      <c r="HD127" s="1037"/>
      <c r="HE127" s="1037"/>
      <c r="HF127" s="1037"/>
      <c r="HG127" s="1037"/>
      <c r="HH127" s="1037"/>
      <c r="HI127" s="1037"/>
      <c r="HJ127" s="1037"/>
      <c r="HK127" s="1037"/>
      <c r="HL127" s="1037"/>
      <c r="HM127" s="1037"/>
      <c r="HN127" s="1037"/>
      <c r="HO127" s="1037"/>
      <c r="HP127" s="1037"/>
      <c r="HQ127" s="1037"/>
      <c r="HR127" s="1037"/>
      <c r="HS127" s="1037"/>
      <c r="HT127" s="1037"/>
      <c r="HU127" s="1037"/>
      <c r="HV127" s="1037"/>
      <c r="HW127" s="1037"/>
      <c r="HX127" s="1037"/>
      <c r="HY127" s="1037"/>
      <c r="HZ127" s="1037"/>
      <c r="IA127" s="1037"/>
      <c r="IB127" s="1037"/>
      <c r="IC127" s="1037"/>
      <c r="ID127" s="1037"/>
      <c r="IE127" s="1037"/>
      <c r="IF127" s="1037"/>
      <c r="IG127" s="1037"/>
      <c r="IH127" s="1037"/>
      <c r="II127" s="1037"/>
      <c r="IJ127" s="1037"/>
      <c r="IK127" s="1037"/>
      <c r="IL127" s="1037"/>
      <c r="IM127" s="1037"/>
      <c r="IN127" s="1037"/>
    </row>
    <row r="128" spans="1:248" ht="16.2">
      <c r="A128" s="701" t="s">
        <v>18</v>
      </c>
      <c r="B128" s="703">
        <v>1768.1</v>
      </c>
      <c r="C128" s="1038">
        <f t="shared" ref="C128:C137" si="20">+B128/H128*100</f>
        <v>39.516795923384663</v>
      </c>
      <c r="D128" s="704">
        <v>1391.7</v>
      </c>
      <c r="E128" s="1038">
        <f t="shared" ref="E128:E137" si="21">+D128/H128*100</f>
        <v>31.104306818943744</v>
      </c>
      <c r="F128" s="1038">
        <f t="shared" ref="F128:F137" si="22">+B128-D128</f>
        <v>376.39999999999986</v>
      </c>
      <c r="G128" s="1038">
        <f t="shared" ref="G128:G138" si="23">F128/H128*100</f>
        <v>8.4124891044409154</v>
      </c>
      <c r="H128" s="26">
        <v>4474.3</v>
      </c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7"/>
      <c r="AB128" s="1037"/>
      <c r="AC128" s="1037"/>
      <c r="AD128" s="1037"/>
      <c r="AE128" s="1037"/>
      <c r="AF128" s="1037"/>
      <c r="AG128" s="1037"/>
      <c r="AH128" s="1037"/>
      <c r="AI128" s="1037"/>
      <c r="AJ128" s="1037"/>
      <c r="AK128" s="1037"/>
      <c r="AL128" s="1037"/>
      <c r="AM128" s="1037"/>
      <c r="AN128" s="1037"/>
      <c r="AO128" s="1037"/>
      <c r="AP128" s="1037"/>
      <c r="AQ128" s="1037"/>
      <c r="AR128" s="1037"/>
      <c r="AS128" s="1037"/>
      <c r="AT128" s="1037"/>
      <c r="AU128" s="1037"/>
      <c r="AV128" s="1037"/>
      <c r="AW128" s="1037"/>
      <c r="AX128" s="1037"/>
      <c r="AY128" s="1037"/>
      <c r="AZ128" s="1037"/>
      <c r="BA128" s="1037"/>
      <c r="BB128" s="1037"/>
      <c r="BC128" s="1037"/>
      <c r="BD128" s="1037"/>
      <c r="BE128" s="1037"/>
      <c r="BF128" s="1037"/>
      <c r="BG128" s="1037"/>
      <c r="BH128" s="1037"/>
      <c r="BI128" s="1037"/>
      <c r="BJ128" s="1037"/>
      <c r="BK128" s="1037"/>
      <c r="BL128" s="1037"/>
      <c r="BM128" s="1037"/>
      <c r="BN128" s="1037"/>
      <c r="BO128" s="1037"/>
      <c r="BP128" s="1037"/>
      <c r="BQ128" s="1037"/>
      <c r="BR128" s="1037"/>
      <c r="BS128" s="1037"/>
      <c r="BT128" s="1037"/>
      <c r="BU128" s="1037"/>
      <c r="BV128" s="1037"/>
      <c r="BW128" s="1037"/>
      <c r="BX128" s="1037"/>
      <c r="BY128" s="1037"/>
      <c r="BZ128" s="1037"/>
      <c r="CA128" s="1037"/>
      <c r="CB128" s="1037"/>
      <c r="CC128" s="1037"/>
      <c r="CD128" s="1037"/>
      <c r="CE128" s="1037"/>
      <c r="CF128" s="1037"/>
      <c r="CG128" s="1037"/>
      <c r="CH128" s="1037"/>
      <c r="CI128" s="1037"/>
      <c r="CJ128" s="1037"/>
      <c r="CK128" s="1037"/>
      <c r="CL128" s="1037"/>
      <c r="CM128" s="1037"/>
      <c r="CN128" s="1037"/>
      <c r="CO128" s="1037"/>
      <c r="CP128" s="1037"/>
      <c r="CQ128" s="1037"/>
      <c r="CR128" s="1037"/>
      <c r="CS128" s="1037"/>
      <c r="CT128" s="1037"/>
      <c r="CU128" s="1037"/>
      <c r="CV128" s="1037"/>
      <c r="CW128" s="1037"/>
      <c r="CX128" s="1037"/>
      <c r="CY128" s="1037"/>
      <c r="CZ128" s="1037"/>
      <c r="DA128" s="1037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7"/>
      <c r="DO128" s="1037"/>
      <c r="DP128" s="1037"/>
      <c r="DQ128" s="1037"/>
      <c r="DR128" s="1037"/>
      <c r="DS128" s="1037"/>
      <c r="DT128" s="1037"/>
      <c r="DU128" s="1037"/>
      <c r="DV128" s="1037"/>
      <c r="DW128" s="1037"/>
      <c r="DX128" s="1037"/>
      <c r="DY128" s="1037"/>
      <c r="DZ128" s="1037"/>
      <c r="EA128" s="1037"/>
      <c r="EB128" s="1037"/>
      <c r="EC128" s="1037"/>
      <c r="ED128" s="1037"/>
      <c r="EE128" s="1037"/>
      <c r="EF128" s="1037"/>
      <c r="EG128" s="1037"/>
      <c r="EH128" s="1037"/>
      <c r="EI128" s="1037"/>
      <c r="EJ128" s="1037"/>
      <c r="EK128" s="1037"/>
      <c r="EL128" s="1037"/>
      <c r="EM128" s="1037"/>
      <c r="EN128" s="1037"/>
      <c r="EO128" s="1037"/>
      <c r="EP128" s="1037"/>
      <c r="EQ128" s="1037"/>
      <c r="ER128" s="1037"/>
      <c r="ES128" s="1037"/>
      <c r="ET128" s="1037"/>
      <c r="EU128" s="1037"/>
      <c r="EV128" s="1037"/>
      <c r="EW128" s="1037"/>
      <c r="EX128" s="1037"/>
      <c r="EY128" s="1037"/>
      <c r="EZ128" s="1037"/>
      <c r="FA128" s="1037"/>
      <c r="FB128" s="1037"/>
      <c r="FC128" s="1037"/>
      <c r="FD128" s="1037"/>
      <c r="FE128" s="1037"/>
      <c r="FF128" s="1037"/>
      <c r="FG128" s="1037"/>
      <c r="FH128" s="1037"/>
      <c r="FI128" s="1037"/>
      <c r="FJ128" s="1037"/>
      <c r="FK128" s="1037"/>
      <c r="FL128" s="1037"/>
      <c r="FM128" s="1037"/>
      <c r="FN128" s="1037"/>
      <c r="FO128" s="1037"/>
      <c r="FP128" s="1037"/>
      <c r="FQ128" s="1037"/>
      <c r="FR128" s="1037"/>
      <c r="FS128" s="1037"/>
      <c r="FT128" s="1037"/>
      <c r="FU128" s="1037"/>
      <c r="FV128" s="1037"/>
      <c r="FW128" s="1037"/>
      <c r="FX128" s="1037"/>
      <c r="FY128" s="1037"/>
      <c r="FZ128" s="1037"/>
      <c r="GA128" s="1037"/>
      <c r="GB128" s="1037"/>
      <c r="GC128" s="1037"/>
      <c r="GD128" s="1037"/>
      <c r="GE128" s="1037"/>
      <c r="GF128" s="1037"/>
      <c r="GG128" s="1037"/>
      <c r="GH128" s="1037"/>
      <c r="GI128" s="1037"/>
      <c r="GJ128" s="1037"/>
      <c r="GK128" s="1037"/>
      <c r="GL128" s="1037"/>
      <c r="GM128" s="1037"/>
      <c r="GN128" s="1037"/>
      <c r="GO128" s="1037"/>
      <c r="GP128" s="1037"/>
      <c r="GQ128" s="1037"/>
      <c r="GR128" s="1037"/>
      <c r="GS128" s="1037"/>
      <c r="GT128" s="1037"/>
      <c r="GU128" s="1037"/>
      <c r="GV128" s="1037"/>
      <c r="GW128" s="1037"/>
      <c r="GX128" s="1037"/>
      <c r="GY128" s="1037"/>
      <c r="GZ128" s="1037"/>
      <c r="HA128" s="1037"/>
      <c r="HB128" s="1037"/>
      <c r="HC128" s="1037"/>
      <c r="HD128" s="1037"/>
      <c r="HE128" s="1037"/>
      <c r="HF128" s="1037"/>
      <c r="HG128" s="1037"/>
      <c r="HH128" s="1037"/>
      <c r="HI128" s="1037"/>
      <c r="HJ128" s="1037"/>
      <c r="HK128" s="1037"/>
      <c r="HL128" s="1037"/>
      <c r="HM128" s="1037"/>
      <c r="HN128" s="1037"/>
      <c r="HO128" s="1037"/>
      <c r="HP128" s="1037"/>
      <c r="HQ128" s="1037"/>
      <c r="HR128" s="1037"/>
      <c r="HS128" s="1037"/>
      <c r="HT128" s="1037"/>
      <c r="HU128" s="1037"/>
      <c r="HV128" s="1037"/>
      <c r="HW128" s="1037"/>
      <c r="HX128" s="1037"/>
      <c r="HY128" s="1037"/>
      <c r="HZ128" s="1037"/>
      <c r="IA128" s="1037"/>
      <c r="IB128" s="1037"/>
      <c r="IC128" s="1037"/>
      <c r="ID128" s="1037"/>
      <c r="IE128" s="1037"/>
      <c r="IF128" s="1037"/>
      <c r="IG128" s="1037"/>
      <c r="IH128" s="1037"/>
      <c r="II128" s="1037"/>
      <c r="IJ128" s="1037"/>
      <c r="IK128" s="1037"/>
      <c r="IL128" s="1037"/>
      <c r="IM128" s="1037"/>
      <c r="IN128" s="1037"/>
    </row>
    <row r="129" spans="1:248" ht="16.2">
      <c r="A129" s="701" t="s">
        <v>19</v>
      </c>
      <c r="B129" s="703">
        <v>3202.3</v>
      </c>
      <c r="C129" s="1038">
        <f t="shared" si="20"/>
        <v>38.375716031924838</v>
      </c>
      <c r="D129" s="704">
        <v>2893.4</v>
      </c>
      <c r="E129" s="1038">
        <f t="shared" si="21"/>
        <v>34.673920858998635</v>
      </c>
      <c r="F129" s="1038">
        <f t="shared" si="22"/>
        <v>308.90000000000009</v>
      </c>
      <c r="G129" s="1038">
        <f t="shared" si="23"/>
        <v>3.7017951729262046</v>
      </c>
      <c r="H129" s="26">
        <v>8344.6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7"/>
      <c r="AB129" s="1037"/>
      <c r="AC129" s="1037"/>
      <c r="AD129" s="1037"/>
      <c r="AE129" s="1037"/>
      <c r="AF129" s="1037"/>
      <c r="AG129" s="1037"/>
      <c r="AH129" s="1037"/>
      <c r="AI129" s="1037"/>
      <c r="AJ129" s="1037"/>
      <c r="AK129" s="1037"/>
      <c r="AL129" s="1037"/>
      <c r="AM129" s="1037"/>
      <c r="AN129" s="1037"/>
      <c r="AO129" s="1037"/>
      <c r="AP129" s="1037"/>
      <c r="AQ129" s="1037"/>
      <c r="AR129" s="1037"/>
      <c r="AS129" s="1037"/>
      <c r="AT129" s="1037"/>
      <c r="AU129" s="1037"/>
      <c r="AV129" s="1037"/>
      <c r="AW129" s="1037"/>
      <c r="AX129" s="1037"/>
      <c r="AY129" s="1037"/>
      <c r="AZ129" s="1037"/>
      <c r="BA129" s="1037"/>
      <c r="BB129" s="1037"/>
      <c r="BC129" s="1037"/>
      <c r="BD129" s="1037"/>
      <c r="BE129" s="1037"/>
      <c r="BF129" s="1037"/>
      <c r="BG129" s="1037"/>
      <c r="BH129" s="1037"/>
      <c r="BI129" s="1037"/>
      <c r="BJ129" s="1037"/>
      <c r="BK129" s="1037"/>
      <c r="BL129" s="1037"/>
      <c r="BM129" s="1037"/>
      <c r="BN129" s="1037"/>
      <c r="BO129" s="1037"/>
      <c r="BP129" s="1037"/>
      <c r="BQ129" s="1037"/>
      <c r="BR129" s="1037"/>
      <c r="BS129" s="1037"/>
      <c r="BT129" s="1037"/>
      <c r="BU129" s="1037"/>
      <c r="BV129" s="1037"/>
      <c r="BW129" s="1037"/>
      <c r="BX129" s="1037"/>
      <c r="BY129" s="1037"/>
      <c r="BZ129" s="1037"/>
      <c r="CA129" s="1037"/>
      <c r="CB129" s="1037"/>
      <c r="CC129" s="1037"/>
      <c r="CD129" s="1037"/>
      <c r="CE129" s="1037"/>
      <c r="CF129" s="1037"/>
      <c r="CG129" s="1037"/>
      <c r="CH129" s="1037"/>
      <c r="CI129" s="1037"/>
      <c r="CJ129" s="1037"/>
      <c r="CK129" s="1037"/>
      <c r="CL129" s="1037"/>
      <c r="CM129" s="1037"/>
      <c r="CN129" s="1037"/>
      <c r="CO129" s="1037"/>
      <c r="CP129" s="1037"/>
      <c r="CQ129" s="1037"/>
      <c r="CR129" s="1037"/>
      <c r="CS129" s="1037"/>
      <c r="CT129" s="1037"/>
      <c r="CU129" s="1037"/>
      <c r="CV129" s="1037"/>
      <c r="CW129" s="1037"/>
      <c r="CX129" s="1037"/>
      <c r="CY129" s="1037"/>
      <c r="CZ129" s="1037"/>
      <c r="DA129" s="1037"/>
      <c r="DB129" s="1037"/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7"/>
      <c r="DN129" s="1037"/>
      <c r="DO129" s="1037"/>
      <c r="DP129" s="1037"/>
      <c r="DQ129" s="1037"/>
      <c r="DR129" s="1037"/>
      <c r="DS129" s="1037"/>
      <c r="DT129" s="1037"/>
      <c r="DU129" s="1037"/>
      <c r="DV129" s="1037"/>
      <c r="DW129" s="1037"/>
      <c r="DX129" s="1037"/>
      <c r="DY129" s="1037"/>
      <c r="DZ129" s="1037"/>
      <c r="EA129" s="1037"/>
      <c r="EB129" s="1037"/>
      <c r="EC129" s="1037"/>
      <c r="ED129" s="1037"/>
      <c r="EE129" s="1037"/>
      <c r="EF129" s="1037"/>
      <c r="EG129" s="1037"/>
      <c r="EH129" s="1037"/>
      <c r="EI129" s="1037"/>
      <c r="EJ129" s="1037"/>
      <c r="EK129" s="1037"/>
      <c r="EL129" s="1037"/>
      <c r="EM129" s="1037"/>
      <c r="EN129" s="1037"/>
      <c r="EO129" s="1037"/>
      <c r="EP129" s="1037"/>
      <c r="EQ129" s="1037"/>
      <c r="ER129" s="1037"/>
      <c r="ES129" s="1037"/>
      <c r="ET129" s="1037"/>
      <c r="EU129" s="1037"/>
      <c r="EV129" s="1037"/>
      <c r="EW129" s="1037"/>
      <c r="EX129" s="1037"/>
      <c r="EY129" s="1037"/>
      <c r="EZ129" s="1037"/>
      <c r="FA129" s="1037"/>
      <c r="FB129" s="1037"/>
      <c r="FC129" s="1037"/>
      <c r="FD129" s="1037"/>
      <c r="FE129" s="1037"/>
      <c r="FF129" s="1037"/>
      <c r="FG129" s="1037"/>
      <c r="FH129" s="1037"/>
      <c r="FI129" s="1037"/>
      <c r="FJ129" s="1037"/>
      <c r="FK129" s="1037"/>
      <c r="FL129" s="1037"/>
      <c r="FM129" s="1037"/>
      <c r="FN129" s="1037"/>
      <c r="FO129" s="1037"/>
      <c r="FP129" s="1037"/>
      <c r="FQ129" s="1037"/>
      <c r="FR129" s="1037"/>
      <c r="FS129" s="1037"/>
      <c r="FT129" s="1037"/>
      <c r="FU129" s="1037"/>
      <c r="FV129" s="1037"/>
      <c r="FW129" s="1037"/>
      <c r="FX129" s="1037"/>
      <c r="FY129" s="1037"/>
      <c r="FZ129" s="1037"/>
      <c r="GA129" s="1037"/>
      <c r="GB129" s="1037"/>
      <c r="GC129" s="1037"/>
      <c r="GD129" s="1037"/>
      <c r="GE129" s="1037"/>
      <c r="GF129" s="1037"/>
      <c r="GG129" s="1037"/>
      <c r="GH129" s="1037"/>
      <c r="GI129" s="1037"/>
      <c r="GJ129" s="1037"/>
      <c r="GK129" s="1037"/>
      <c r="GL129" s="1037"/>
      <c r="GM129" s="1037"/>
      <c r="GN129" s="1037"/>
      <c r="GO129" s="1037"/>
      <c r="GP129" s="1037"/>
      <c r="GQ129" s="1037"/>
      <c r="GR129" s="1037"/>
      <c r="GS129" s="1037"/>
      <c r="GT129" s="1037"/>
      <c r="GU129" s="1037"/>
      <c r="GV129" s="1037"/>
      <c r="GW129" s="1037"/>
      <c r="GX129" s="1037"/>
      <c r="GY129" s="1037"/>
      <c r="GZ129" s="1037"/>
      <c r="HA129" s="1037"/>
      <c r="HB129" s="1037"/>
      <c r="HC129" s="1037"/>
      <c r="HD129" s="1037"/>
      <c r="HE129" s="1037"/>
      <c r="HF129" s="1037"/>
      <c r="HG129" s="1037"/>
      <c r="HH129" s="1037"/>
      <c r="HI129" s="1037"/>
      <c r="HJ129" s="1037"/>
      <c r="HK129" s="1037"/>
      <c r="HL129" s="1037"/>
      <c r="HM129" s="1037"/>
      <c r="HN129" s="1037"/>
      <c r="HO129" s="1037"/>
      <c r="HP129" s="1037"/>
      <c r="HQ129" s="1037"/>
      <c r="HR129" s="1037"/>
      <c r="HS129" s="1037"/>
      <c r="HT129" s="1037"/>
      <c r="HU129" s="1037"/>
      <c r="HV129" s="1037"/>
      <c r="HW129" s="1037"/>
      <c r="HX129" s="1037"/>
      <c r="HY129" s="1037"/>
      <c r="HZ129" s="1037"/>
      <c r="IA129" s="1037"/>
      <c r="IB129" s="1037"/>
      <c r="IC129" s="1037"/>
      <c r="ID129" s="1037"/>
      <c r="IE129" s="1037"/>
      <c r="IF129" s="1037"/>
      <c r="IG129" s="1037"/>
      <c r="IH129" s="1037"/>
      <c r="II129" s="1037"/>
      <c r="IJ129" s="1037"/>
      <c r="IK129" s="1037"/>
      <c r="IL129" s="1037"/>
      <c r="IM129" s="1037"/>
      <c r="IN129" s="1037"/>
    </row>
    <row r="130" spans="1:248" ht="16.2">
      <c r="A130" s="701" t="s">
        <v>20</v>
      </c>
      <c r="B130" s="703">
        <v>4669.3999999999996</v>
      </c>
      <c r="C130" s="1038">
        <f t="shared" si="20"/>
        <v>36.066612083481374</v>
      </c>
      <c r="D130" s="704">
        <v>4514.8</v>
      </c>
      <c r="E130" s="1038">
        <f t="shared" si="21"/>
        <v>34.872476171350009</v>
      </c>
      <c r="F130" s="1038">
        <f t="shared" si="22"/>
        <v>154.59999999999945</v>
      </c>
      <c r="G130" s="1038">
        <f t="shared" si="23"/>
        <v>1.1941359121313662</v>
      </c>
      <c r="H130" s="26">
        <v>12946.6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7"/>
      <c r="AB130" s="1037"/>
      <c r="AC130" s="1037"/>
      <c r="AD130" s="1037"/>
      <c r="AE130" s="1037"/>
      <c r="AF130" s="1037"/>
      <c r="AG130" s="1037"/>
      <c r="AH130" s="1037"/>
      <c r="AI130" s="1037"/>
      <c r="AJ130" s="1037"/>
      <c r="AK130" s="1037"/>
      <c r="AL130" s="1037"/>
      <c r="AM130" s="1037"/>
      <c r="AN130" s="1037"/>
      <c r="AO130" s="1037"/>
      <c r="AP130" s="1037"/>
      <c r="AQ130" s="1037"/>
      <c r="AR130" s="1037"/>
      <c r="AS130" s="1037"/>
      <c r="AT130" s="1037"/>
      <c r="AU130" s="1037"/>
      <c r="AV130" s="1037"/>
      <c r="AW130" s="1037"/>
      <c r="AX130" s="1037"/>
      <c r="AY130" s="1037"/>
      <c r="AZ130" s="1037"/>
      <c r="BA130" s="1037"/>
      <c r="BB130" s="1037"/>
      <c r="BC130" s="1037"/>
      <c r="BD130" s="1037"/>
      <c r="BE130" s="1037"/>
      <c r="BF130" s="1037"/>
      <c r="BG130" s="1037"/>
      <c r="BH130" s="1037"/>
      <c r="BI130" s="1037"/>
      <c r="BJ130" s="1037"/>
      <c r="BK130" s="1037"/>
      <c r="BL130" s="1037"/>
      <c r="BM130" s="1037"/>
      <c r="BN130" s="1037"/>
      <c r="BO130" s="1037"/>
      <c r="BP130" s="1037"/>
      <c r="BQ130" s="1037"/>
      <c r="BR130" s="1037"/>
      <c r="BS130" s="1037"/>
      <c r="BT130" s="1037"/>
      <c r="BU130" s="1037"/>
      <c r="BV130" s="1037"/>
      <c r="BW130" s="1037"/>
      <c r="BX130" s="1037"/>
      <c r="BY130" s="1037"/>
      <c r="BZ130" s="1037"/>
      <c r="CA130" s="1037"/>
      <c r="CB130" s="1037"/>
      <c r="CC130" s="1037"/>
      <c r="CD130" s="1037"/>
      <c r="CE130" s="1037"/>
      <c r="CF130" s="1037"/>
      <c r="CG130" s="1037"/>
      <c r="CH130" s="1037"/>
      <c r="CI130" s="1037"/>
      <c r="CJ130" s="1037"/>
      <c r="CK130" s="1037"/>
      <c r="CL130" s="1037"/>
      <c r="CM130" s="1037"/>
      <c r="CN130" s="1037"/>
      <c r="CO130" s="1037"/>
      <c r="CP130" s="1037"/>
      <c r="CQ130" s="1037"/>
      <c r="CR130" s="1037"/>
      <c r="CS130" s="1037"/>
      <c r="CT130" s="1037"/>
      <c r="CU130" s="1037"/>
      <c r="CV130" s="1037"/>
      <c r="CW130" s="1037"/>
      <c r="CX130" s="1037"/>
      <c r="CY130" s="1037"/>
      <c r="CZ130" s="1037"/>
      <c r="DA130" s="1037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7"/>
      <c r="DN130" s="1037"/>
      <c r="DO130" s="1037"/>
      <c r="DP130" s="1037"/>
      <c r="DQ130" s="1037"/>
      <c r="DR130" s="1037"/>
      <c r="DS130" s="1037"/>
      <c r="DT130" s="1037"/>
      <c r="DU130" s="1037"/>
      <c r="DV130" s="1037"/>
      <c r="DW130" s="1037"/>
      <c r="DX130" s="1037"/>
      <c r="DY130" s="1037"/>
      <c r="DZ130" s="1037"/>
      <c r="EA130" s="1037"/>
      <c r="EB130" s="1037"/>
      <c r="EC130" s="1037"/>
      <c r="ED130" s="1037"/>
      <c r="EE130" s="1037"/>
      <c r="EF130" s="1037"/>
      <c r="EG130" s="1037"/>
      <c r="EH130" s="1037"/>
      <c r="EI130" s="1037"/>
      <c r="EJ130" s="1037"/>
      <c r="EK130" s="1037"/>
      <c r="EL130" s="1037"/>
      <c r="EM130" s="1037"/>
      <c r="EN130" s="1037"/>
      <c r="EO130" s="1037"/>
      <c r="EP130" s="1037"/>
      <c r="EQ130" s="1037"/>
      <c r="ER130" s="1037"/>
      <c r="ES130" s="1037"/>
      <c r="ET130" s="1037"/>
      <c r="EU130" s="1037"/>
      <c r="EV130" s="1037"/>
      <c r="EW130" s="1037"/>
      <c r="EX130" s="1037"/>
      <c r="EY130" s="1037"/>
      <c r="EZ130" s="1037"/>
      <c r="FA130" s="1037"/>
      <c r="FB130" s="1037"/>
      <c r="FC130" s="1037"/>
      <c r="FD130" s="1037"/>
      <c r="FE130" s="1037"/>
      <c r="FF130" s="1037"/>
      <c r="FG130" s="1037"/>
      <c r="FH130" s="1037"/>
      <c r="FI130" s="1037"/>
      <c r="FJ130" s="1037"/>
      <c r="FK130" s="1037"/>
      <c r="FL130" s="1037"/>
      <c r="FM130" s="1037"/>
      <c r="FN130" s="1037"/>
      <c r="FO130" s="1037"/>
      <c r="FP130" s="1037"/>
      <c r="FQ130" s="1037"/>
      <c r="FR130" s="1037"/>
      <c r="FS130" s="1037"/>
      <c r="FT130" s="1037"/>
      <c r="FU130" s="1037"/>
      <c r="FV130" s="1037"/>
      <c r="FW130" s="1037"/>
      <c r="FX130" s="1037"/>
      <c r="FY130" s="1037"/>
      <c r="FZ130" s="1037"/>
      <c r="GA130" s="1037"/>
      <c r="GB130" s="1037"/>
      <c r="GC130" s="1037"/>
      <c r="GD130" s="1037"/>
      <c r="GE130" s="1037"/>
      <c r="GF130" s="1037"/>
      <c r="GG130" s="1037"/>
      <c r="GH130" s="1037"/>
      <c r="GI130" s="1037"/>
      <c r="GJ130" s="1037"/>
      <c r="GK130" s="1037"/>
      <c r="GL130" s="1037"/>
      <c r="GM130" s="1037"/>
      <c r="GN130" s="1037"/>
      <c r="GO130" s="1037"/>
      <c r="GP130" s="1037"/>
      <c r="GQ130" s="1037"/>
      <c r="GR130" s="1037"/>
      <c r="GS130" s="1037"/>
      <c r="GT130" s="1037"/>
      <c r="GU130" s="1037"/>
      <c r="GV130" s="1037"/>
      <c r="GW130" s="1037"/>
      <c r="GX130" s="1037"/>
      <c r="GY130" s="1037"/>
      <c r="GZ130" s="1037"/>
      <c r="HA130" s="1037"/>
      <c r="HB130" s="1037"/>
      <c r="HC130" s="1037"/>
      <c r="HD130" s="1037"/>
      <c r="HE130" s="1037"/>
      <c r="HF130" s="1037"/>
      <c r="HG130" s="1037"/>
      <c r="HH130" s="1037"/>
      <c r="HI130" s="1037"/>
      <c r="HJ130" s="1037"/>
      <c r="HK130" s="1037"/>
      <c r="HL130" s="1037"/>
      <c r="HM130" s="1037"/>
      <c r="HN130" s="1037"/>
      <c r="HO130" s="1037"/>
      <c r="HP130" s="1037"/>
      <c r="HQ130" s="1037"/>
      <c r="HR130" s="1037"/>
      <c r="HS130" s="1037"/>
      <c r="HT130" s="1037"/>
      <c r="HU130" s="1037"/>
      <c r="HV130" s="1037"/>
      <c r="HW130" s="1037"/>
      <c r="HX130" s="1037"/>
      <c r="HY130" s="1037"/>
      <c r="HZ130" s="1037"/>
      <c r="IA130" s="1037"/>
      <c r="IB130" s="1037"/>
      <c r="IC130" s="1037"/>
      <c r="ID130" s="1037"/>
      <c r="IE130" s="1037"/>
      <c r="IF130" s="1037"/>
      <c r="IG130" s="1037"/>
      <c r="IH130" s="1037"/>
      <c r="II130" s="1037"/>
      <c r="IJ130" s="1037"/>
      <c r="IK130" s="1037"/>
      <c r="IL130" s="1037"/>
      <c r="IM130" s="1037"/>
      <c r="IN130" s="1037"/>
    </row>
    <row r="131" spans="1:248" ht="16.2">
      <c r="A131" s="701" t="s">
        <v>21</v>
      </c>
      <c r="B131" s="703">
        <v>6653.9</v>
      </c>
      <c r="C131" s="1038">
        <f t="shared" si="20"/>
        <v>38.616987318998284</v>
      </c>
      <c r="D131" s="704">
        <v>6243.5</v>
      </c>
      <c r="E131" s="1038">
        <f t="shared" si="21"/>
        <v>36.235164388729288</v>
      </c>
      <c r="F131" s="1038">
        <f t="shared" si="22"/>
        <v>410.39999999999964</v>
      </c>
      <c r="G131" s="1038">
        <f t="shared" si="23"/>
        <v>2.3818229302689975</v>
      </c>
      <c r="H131" s="26">
        <v>17230.5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7"/>
      <c r="AB131" s="1037"/>
      <c r="AC131" s="1037"/>
      <c r="AD131" s="1037"/>
      <c r="AE131" s="1037"/>
      <c r="AF131" s="1037"/>
      <c r="AG131" s="1037"/>
      <c r="AH131" s="1037"/>
      <c r="AI131" s="1037"/>
      <c r="AJ131" s="1037"/>
      <c r="AK131" s="1037"/>
      <c r="AL131" s="1037"/>
      <c r="AM131" s="1037"/>
      <c r="AN131" s="1037"/>
      <c r="AO131" s="1037"/>
      <c r="AP131" s="1037"/>
      <c r="AQ131" s="1037"/>
      <c r="AR131" s="1037"/>
      <c r="AS131" s="1037"/>
      <c r="AT131" s="1037"/>
      <c r="AU131" s="1037"/>
      <c r="AV131" s="1037"/>
      <c r="AW131" s="1037"/>
      <c r="AX131" s="1037"/>
      <c r="AY131" s="1037"/>
      <c r="AZ131" s="1037"/>
      <c r="BA131" s="1037"/>
      <c r="BB131" s="1037"/>
      <c r="BC131" s="1037"/>
      <c r="BD131" s="1037"/>
      <c r="BE131" s="1037"/>
      <c r="BF131" s="1037"/>
      <c r="BG131" s="1037"/>
      <c r="BH131" s="1037"/>
      <c r="BI131" s="1037"/>
      <c r="BJ131" s="1037"/>
      <c r="BK131" s="1037"/>
      <c r="BL131" s="1037"/>
      <c r="BM131" s="1037"/>
      <c r="BN131" s="1037"/>
      <c r="BO131" s="1037"/>
      <c r="BP131" s="1037"/>
      <c r="BQ131" s="1037"/>
      <c r="BR131" s="1037"/>
      <c r="BS131" s="1037"/>
      <c r="BT131" s="1037"/>
      <c r="BU131" s="1037"/>
      <c r="BV131" s="1037"/>
      <c r="BW131" s="1037"/>
      <c r="BX131" s="1037"/>
      <c r="BY131" s="1037"/>
      <c r="BZ131" s="1037"/>
      <c r="CA131" s="1037"/>
      <c r="CB131" s="1037"/>
      <c r="CC131" s="1037"/>
      <c r="CD131" s="1037"/>
      <c r="CE131" s="1037"/>
      <c r="CF131" s="1037"/>
      <c r="CG131" s="1037"/>
      <c r="CH131" s="1037"/>
      <c r="CI131" s="1037"/>
      <c r="CJ131" s="1037"/>
      <c r="CK131" s="1037"/>
      <c r="CL131" s="1037"/>
      <c r="CM131" s="1037"/>
      <c r="CN131" s="1037"/>
      <c r="CO131" s="1037"/>
      <c r="CP131" s="1037"/>
      <c r="CQ131" s="1037"/>
      <c r="CR131" s="1037"/>
      <c r="CS131" s="1037"/>
      <c r="CT131" s="1037"/>
      <c r="CU131" s="1037"/>
      <c r="CV131" s="1037"/>
      <c r="CW131" s="1037"/>
      <c r="CX131" s="1037"/>
      <c r="CY131" s="1037"/>
      <c r="CZ131" s="1037"/>
      <c r="DA131" s="1037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7"/>
      <c r="DN131" s="1037"/>
      <c r="DO131" s="1037"/>
      <c r="DP131" s="1037"/>
      <c r="DQ131" s="1037"/>
      <c r="DR131" s="1037"/>
      <c r="DS131" s="1037"/>
      <c r="DT131" s="1037"/>
      <c r="DU131" s="1037"/>
      <c r="DV131" s="1037"/>
      <c r="DW131" s="1037"/>
      <c r="DX131" s="1037"/>
      <c r="DY131" s="1037"/>
      <c r="DZ131" s="1037"/>
      <c r="EA131" s="1037"/>
      <c r="EB131" s="1037"/>
      <c r="EC131" s="1037"/>
      <c r="ED131" s="1037"/>
      <c r="EE131" s="1037"/>
      <c r="EF131" s="1037"/>
      <c r="EG131" s="1037"/>
      <c r="EH131" s="1037"/>
      <c r="EI131" s="1037"/>
      <c r="EJ131" s="1037"/>
      <c r="EK131" s="1037"/>
      <c r="EL131" s="1037"/>
      <c r="EM131" s="1037"/>
      <c r="EN131" s="1037"/>
      <c r="EO131" s="1037"/>
      <c r="EP131" s="1037"/>
      <c r="EQ131" s="1037"/>
      <c r="ER131" s="1037"/>
      <c r="ES131" s="1037"/>
      <c r="ET131" s="1037"/>
      <c r="EU131" s="1037"/>
      <c r="EV131" s="1037"/>
      <c r="EW131" s="1037"/>
      <c r="EX131" s="1037"/>
      <c r="EY131" s="1037"/>
      <c r="EZ131" s="1037"/>
      <c r="FA131" s="1037"/>
      <c r="FB131" s="1037"/>
      <c r="FC131" s="1037"/>
      <c r="FD131" s="1037"/>
      <c r="FE131" s="1037"/>
      <c r="FF131" s="1037"/>
      <c r="FG131" s="1037"/>
      <c r="FH131" s="1037"/>
      <c r="FI131" s="1037"/>
      <c r="FJ131" s="1037"/>
      <c r="FK131" s="1037"/>
      <c r="FL131" s="1037"/>
      <c r="FM131" s="1037"/>
      <c r="FN131" s="1037"/>
      <c r="FO131" s="1037"/>
      <c r="FP131" s="1037"/>
      <c r="FQ131" s="1037"/>
      <c r="FR131" s="1037"/>
      <c r="FS131" s="1037"/>
      <c r="FT131" s="1037"/>
      <c r="FU131" s="1037"/>
      <c r="FV131" s="1037"/>
      <c r="FW131" s="1037"/>
      <c r="FX131" s="1037"/>
      <c r="FY131" s="1037"/>
      <c r="FZ131" s="1037"/>
      <c r="GA131" s="1037"/>
      <c r="GB131" s="1037"/>
      <c r="GC131" s="1037"/>
      <c r="GD131" s="1037"/>
      <c r="GE131" s="1037"/>
      <c r="GF131" s="1037"/>
      <c r="GG131" s="1037"/>
      <c r="GH131" s="1037"/>
      <c r="GI131" s="1037"/>
      <c r="GJ131" s="1037"/>
      <c r="GK131" s="1037"/>
      <c r="GL131" s="1037"/>
      <c r="GM131" s="1037"/>
      <c r="GN131" s="1037"/>
      <c r="GO131" s="1037"/>
      <c r="GP131" s="1037"/>
      <c r="GQ131" s="1037"/>
      <c r="GR131" s="1037"/>
      <c r="GS131" s="1037"/>
      <c r="GT131" s="1037"/>
      <c r="GU131" s="1037"/>
      <c r="GV131" s="1037"/>
      <c r="GW131" s="1037"/>
      <c r="GX131" s="1037"/>
      <c r="GY131" s="1037"/>
      <c r="GZ131" s="1037"/>
      <c r="HA131" s="1037"/>
      <c r="HB131" s="1037"/>
      <c r="HC131" s="1037"/>
      <c r="HD131" s="1037"/>
      <c r="HE131" s="1037"/>
      <c r="HF131" s="1037"/>
      <c r="HG131" s="1037"/>
      <c r="HH131" s="1037"/>
      <c r="HI131" s="1037"/>
      <c r="HJ131" s="1037"/>
      <c r="HK131" s="1037"/>
      <c r="HL131" s="1037"/>
      <c r="HM131" s="1037"/>
      <c r="HN131" s="1037"/>
      <c r="HO131" s="1037"/>
      <c r="HP131" s="1037"/>
      <c r="HQ131" s="1037"/>
      <c r="HR131" s="1037"/>
      <c r="HS131" s="1037"/>
      <c r="HT131" s="1037"/>
      <c r="HU131" s="1037"/>
      <c r="HV131" s="1037"/>
      <c r="HW131" s="1037"/>
      <c r="HX131" s="1037"/>
      <c r="HY131" s="1037"/>
      <c r="HZ131" s="1037"/>
      <c r="IA131" s="1037"/>
      <c r="IB131" s="1037"/>
      <c r="IC131" s="1037"/>
      <c r="ID131" s="1037"/>
      <c r="IE131" s="1037"/>
      <c r="IF131" s="1037"/>
      <c r="IG131" s="1037"/>
      <c r="IH131" s="1037"/>
      <c r="II131" s="1037"/>
      <c r="IJ131" s="1037"/>
      <c r="IK131" s="1037"/>
      <c r="IL131" s="1037"/>
      <c r="IM131" s="1037"/>
      <c r="IN131" s="1037"/>
    </row>
    <row r="132" spans="1:248" ht="16.2">
      <c r="A132" s="701" t="s">
        <v>22</v>
      </c>
      <c r="B132" s="703">
        <v>8249.4</v>
      </c>
      <c r="C132" s="1038">
        <f t="shared" si="20"/>
        <v>37.295031940432111</v>
      </c>
      <c r="D132" s="704">
        <v>7434.4</v>
      </c>
      <c r="E132" s="1038">
        <f t="shared" si="21"/>
        <v>33.610466877342411</v>
      </c>
      <c r="F132" s="1038">
        <f t="shared" si="22"/>
        <v>815</v>
      </c>
      <c r="G132" s="1038">
        <f t="shared" si="23"/>
        <v>3.6845650630897002</v>
      </c>
      <c r="H132" s="26">
        <v>22119.3</v>
      </c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7"/>
      <c r="AB132" s="1037"/>
      <c r="AC132" s="1037"/>
      <c r="AD132" s="1037"/>
      <c r="AE132" s="1037"/>
      <c r="AF132" s="1037"/>
      <c r="AG132" s="1037"/>
      <c r="AH132" s="1037"/>
      <c r="AI132" s="1037"/>
      <c r="AJ132" s="1037"/>
      <c r="AK132" s="1037"/>
      <c r="AL132" s="1037"/>
      <c r="AM132" s="1037"/>
      <c r="AN132" s="1037"/>
      <c r="AO132" s="1037"/>
      <c r="AP132" s="1037"/>
      <c r="AQ132" s="1037"/>
      <c r="AR132" s="1037"/>
      <c r="AS132" s="1037"/>
      <c r="AT132" s="1037"/>
      <c r="AU132" s="1037"/>
      <c r="AV132" s="1037"/>
      <c r="AW132" s="1037"/>
      <c r="AX132" s="1037"/>
      <c r="AY132" s="1037"/>
      <c r="AZ132" s="1037"/>
      <c r="BA132" s="1037"/>
      <c r="BB132" s="1037"/>
      <c r="BC132" s="1037"/>
      <c r="BD132" s="1037"/>
      <c r="BE132" s="1037"/>
      <c r="BF132" s="1037"/>
      <c r="BG132" s="1037"/>
      <c r="BH132" s="1037"/>
      <c r="BI132" s="1037"/>
      <c r="BJ132" s="1037"/>
      <c r="BK132" s="1037"/>
      <c r="BL132" s="1037"/>
      <c r="BM132" s="1037"/>
      <c r="BN132" s="1037"/>
      <c r="BO132" s="1037"/>
      <c r="BP132" s="1037"/>
      <c r="BQ132" s="1037"/>
      <c r="BR132" s="1037"/>
      <c r="BS132" s="1037"/>
      <c r="BT132" s="1037"/>
      <c r="BU132" s="1037"/>
      <c r="BV132" s="1037"/>
      <c r="BW132" s="1037"/>
      <c r="BX132" s="1037"/>
      <c r="BY132" s="1037"/>
      <c r="BZ132" s="1037"/>
      <c r="CA132" s="1037"/>
      <c r="CB132" s="1037"/>
      <c r="CC132" s="1037"/>
      <c r="CD132" s="1037"/>
      <c r="CE132" s="1037"/>
      <c r="CF132" s="1037"/>
      <c r="CG132" s="1037"/>
      <c r="CH132" s="1037"/>
      <c r="CI132" s="1037"/>
      <c r="CJ132" s="1037"/>
      <c r="CK132" s="1037"/>
      <c r="CL132" s="1037"/>
      <c r="CM132" s="1037"/>
      <c r="CN132" s="1037"/>
      <c r="CO132" s="1037"/>
      <c r="CP132" s="1037"/>
      <c r="CQ132" s="1037"/>
      <c r="CR132" s="1037"/>
      <c r="CS132" s="1037"/>
      <c r="CT132" s="1037"/>
      <c r="CU132" s="1037"/>
      <c r="CV132" s="1037"/>
      <c r="CW132" s="1037"/>
      <c r="CX132" s="1037"/>
      <c r="CY132" s="1037"/>
      <c r="CZ132" s="1037"/>
      <c r="DA132" s="1037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7"/>
      <c r="DN132" s="1037"/>
      <c r="DO132" s="1037"/>
      <c r="DP132" s="1037"/>
      <c r="DQ132" s="1037"/>
      <c r="DR132" s="1037"/>
      <c r="DS132" s="1037"/>
      <c r="DT132" s="1037"/>
      <c r="DU132" s="1037"/>
      <c r="DV132" s="1037"/>
      <c r="DW132" s="1037"/>
      <c r="DX132" s="1037"/>
      <c r="DY132" s="1037"/>
      <c r="DZ132" s="1037"/>
      <c r="EA132" s="1037"/>
      <c r="EB132" s="1037"/>
      <c r="EC132" s="1037"/>
      <c r="ED132" s="1037"/>
      <c r="EE132" s="1037"/>
      <c r="EF132" s="1037"/>
      <c r="EG132" s="1037"/>
      <c r="EH132" s="1037"/>
      <c r="EI132" s="1037"/>
      <c r="EJ132" s="1037"/>
      <c r="EK132" s="1037"/>
      <c r="EL132" s="1037"/>
      <c r="EM132" s="1037"/>
      <c r="EN132" s="1037"/>
      <c r="EO132" s="1037"/>
      <c r="EP132" s="1037"/>
      <c r="EQ132" s="1037"/>
      <c r="ER132" s="1037"/>
      <c r="ES132" s="1037"/>
      <c r="ET132" s="1037"/>
      <c r="EU132" s="1037"/>
      <c r="EV132" s="1037"/>
      <c r="EW132" s="1037"/>
      <c r="EX132" s="1037"/>
      <c r="EY132" s="1037"/>
      <c r="EZ132" s="1037"/>
      <c r="FA132" s="1037"/>
      <c r="FB132" s="1037"/>
      <c r="FC132" s="1037"/>
      <c r="FD132" s="1037"/>
      <c r="FE132" s="1037"/>
      <c r="FF132" s="1037"/>
      <c r="FG132" s="1037"/>
      <c r="FH132" s="1037"/>
      <c r="FI132" s="1037"/>
      <c r="FJ132" s="1037"/>
      <c r="FK132" s="1037"/>
      <c r="FL132" s="1037"/>
      <c r="FM132" s="1037"/>
      <c r="FN132" s="1037"/>
      <c r="FO132" s="1037"/>
      <c r="FP132" s="1037"/>
      <c r="FQ132" s="1037"/>
      <c r="FR132" s="1037"/>
      <c r="FS132" s="1037"/>
      <c r="FT132" s="1037"/>
      <c r="FU132" s="1037"/>
      <c r="FV132" s="1037"/>
      <c r="FW132" s="1037"/>
      <c r="FX132" s="1037"/>
      <c r="FY132" s="1037"/>
      <c r="FZ132" s="1037"/>
      <c r="GA132" s="1037"/>
      <c r="GB132" s="1037"/>
      <c r="GC132" s="1037"/>
      <c r="GD132" s="1037"/>
      <c r="GE132" s="1037"/>
      <c r="GF132" s="1037"/>
      <c r="GG132" s="1037"/>
      <c r="GH132" s="1037"/>
      <c r="GI132" s="1037"/>
      <c r="GJ132" s="1037"/>
      <c r="GK132" s="1037"/>
      <c r="GL132" s="1037"/>
      <c r="GM132" s="1037"/>
      <c r="GN132" s="1037"/>
      <c r="GO132" s="1037"/>
      <c r="GP132" s="1037"/>
      <c r="GQ132" s="1037"/>
      <c r="GR132" s="1037"/>
      <c r="GS132" s="1037"/>
      <c r="GT132" s="1037"/>
      <c r="GU132" s="1037"/>
      <c r="GV132" s="1037"/>
      <c r="GW132" s="1037"/>
      <c r="GX132" s="1037"/>
      <c r="GY132" s="1037"/>
      <c r="GZ132" s="1037"/>
      <c r="HA132" s="1037"/>
      <c r="HB132" s="1037"/>
      <c r="HC132" s="1037"/>
      <c r="HD132" s="1037"/>
      <c r="HE132" s="1037"/>
      <c r="HF132" s="1037"/>
      <c r="HG132" s="1037"/>
      <c r="HH132" s="1037"/>
      <c r="HI132" s="1037"/>
      <c r="HJ132" s="1037"/>
      <c r="HK132" s="1037"/>
      <c r="HL132" s="1037"/>
      <c r="HM132" s="1037"/>
      <c r="HN132" s="1037"/>
      <c r="HO132" s="1037"/>
      <c r="HP132" s="1037"/>
      <c r="HQ132" s="1037"/>
      <c r="HR132" s="1037"/>
      <c r="HS132" s="1037"/>
      <c r="HT132" s="1037"/>
      <c r="HU132" s="1037"/>
      <c r="HV132" s="1037"/>
      <c r="HW132" s="1037"/>
      <c r="HX132" s="1037"/>
      <c r="HY132" s="1037"/>
      <c r="HZ132" s="1037"/>
      <c r="IA132" s="1037"/>
      <c r="IB132" s="1037"/>
      <c r="IC132" s="1037"/>
      <c r="ID132" s="1037"/>
      <c r="IE132" s="1037"/>
      <c r="IF132" s="1037"/>
      <c r="IG132" s="1037"/>
      <c r="IH132" s="1037"/>
      <c r="II132" s="1037"/>
      <c r="IJ132" s="1037"/>
      <c r="IK132" s="1037"/>
      <c r="IL132" s="1037"/>
      <c r="IM132" s="1037"/>
      <c r="IN132" s="1037"/>
    </row>
    <row r="133" spans="1:248" ht="16.2">
      <c r="A133" s="701" t="s">
        <v>23</v>
      </c>
      <c r="B133" s="703">
        <v>9524.5</v>
      </c>
      <c r="C133" s="1038">
        <f t="shared" si="20"/>
        <v>35.013969561061685</v>
      </c>
      <c r="D133" s="704">
        <v>8730.2000000000007</v>
      </c>
      <c r="E133" s="1038">
        <f t="shared" si="21"/>
        <v>32.09396367914124</v>
      </c>
      <c r="F133" s="1038">
        <f t="shared" si="22"/>
        <v>794.29999999999927</v>
      </c>
      <c r="G133" s="1038">
        <f t="shared" si="23"/>
        <v>2.9200058819204444</v>
      </c>
      <c r="H133" s="26">
        <v>27202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7"/>
      <c r="AB133" s="1037"/>
      <c r="AC133" s="1037"/>
      <c r="AD133" s="1037"/>
      <c r="AE133" s="1037"/>
      <c r="AF133" s="1037"/>
      <c r="AG133" s="1037"/>
      <c r="AH133" s="1037"/>
      <c r="AI133" s="1037"/>
      <c r="AJ133" s="1037"/>
      <c r="AK133" s="1037"/>
      <c r="AL133" s="1037"/>
      <c r="AM133" s="1037"/>
      <c r="AN133" s="1037"/>
      <c r="AO133" s="1037"/>
      <c r="AP133" s="1037"/>
      <c r="AQ133" s="1037"/>
      <c r="AR133" s="1037"/>
      <c r="AS133" s="1037"/>
      <c r="AT133" s="1037"/>
      <c r="AU133" s="1037"/>
      <c r="AV133" s="1037"/>
      <c r="AW133" s="1037"/>
      <c r="AX133" s="1037"/>
      <c r="AY133" s="1037"/>
      <c r="AZ133" s="1037"/>
      <c r="BA133" s="1037"/>
      <c r="BB133" s="1037"/>
      <c r="BC133" s="1037"/>
      <c r="BD133" s="1037"/>
      <c r="BE133" s="1037"/>
      <c r="BF133" s="1037"/>
      <c r="BG133" s="1037"/>
      <c r="BH133" s="1037"/>
      <c r="BI133" s="1037"/>
      <c r="BJ133" s="1037"/>
      <c r="BK133" s="1037"/>
      <c r="BL133" s="1037"/>
      <c r="BM133" s="1037"/>
      <c r="BN133" s="1037"/>
      <c r="BO133" s="1037"/>
      <c r="BP133" s="1037"/>
      <c r="BQ133" s="1037"/>
      <c r="BR133" s="1037"/>
      <c r="BS133" s="1037"/>
      <c r="BT133" s="1037"/>
      <c r="BU133" s="1037"/>
      <c r="BV133" s="1037"/>
      <c r="BW133" s="1037"/>
      <c r="BX133" s="1037"/>
      <c r="BY133" s="1037"/>
      <c r="BZ133" s="1037"/>
      <c r="CA133" s="1037"/>
      <c r="CB133" s="1037"/>
      <c r="CC133" s="1037"/>
      <c r="CD133" s="1037"/>
      <c r="CE133" s="1037"/>
      <c r="CF133" s="1037"/>
      <c r="CG133" s="1037"/>
      <c r="CH133" s="1037"/>
      <c r="CI133" s="1037"/>
      <c r="CJ133" s="1037"/>
      <c r="CK133" s="1037"/>
      <c r="CL133" s="1037"/>
      <c r="CM133" s="1037"/>
      <c r="CN133" s="1037"/>
      <c r="CO133" s="1037"/>
      <c r="CP133" s="1037"/>
      <c r="CQ133" s="1037"/>
      <c r="CR133" s="1037"/>
      <c r="CS133" s="1037"/>
      <c r="CT133" s="1037"/>
      <c r="CU133" s="1037"/>
      <c r="CV133" s="1037"/>
      <c r="CW133" s="1037"/>
      <c r="CX133" s="1037"/>
      <c r="CY133" s="1037"/>
      <c r="CZ133" s="1037"/>
      <c r="DA133" s="1037"/>
      <c r="DB133" s="1037"/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7"/>
      <c r="DO133" s="1037"/>
      <c r="DP133" s="1037"/>
      <c r="DQ133" s="1037"/>
      <c r="DR133" s="1037"/>
      <c r="DS133" s="1037"/>
      <c r="DT133" s="1037"/>
      <c r="DU133" s="1037"/>
      <c r="DV133" s="1037"/>
      <c r="DW133" s="1037"/>
      <c r="DX133" s="1037"/>
      <c r="DY133" s="1037"/>
      <c r="DZ133" s="1037"/>
      <c r="EA133" s="1037"/>
      <c r="EB133" s="1037"/>
      <c r="EC133" s="1037"/>
      <c r="ED133" s="1037"/>
      <c r="EE133" s="1037"/>
      <c r="EF133" s="1037"/>
      <c r="EG133" s="1037"/>
      <c r="EH133" s="1037"/>
      <c r="EI133" s="1037"/>
      <c r="EJ133" s="1037"/>
      <c r="EK133" s="1037"/>
      <c r="EL133" s="1037"/>
      <c r="EM133" s="1037"/>
      <c r="EN133" s="1037"/>
      <c r="EO133" s="1037"/>
      <c r="EP133" s="1037"/>
      <c r="EQ133" s="1037"/>
      <c r="ER133" s="1037"/>
      <c r="ES133" s="1037"/>
      <c r="ET133" s="1037"/>
      <c r="EU133" s="1037"/>
      <c r="EV133" s="1037"/>
      <c r="EW133" s="1037"/>
      <c r="EX133" s="1037"/>
      <c r="EY133" s="1037"/>
      <c r="EZ133" s="1037"/>
      <c r="FA133" s="1037"/>
      <c r="FB133" s="1037"/>
      <c r="FC133" s="1037"/>
      <c r="FD133" s="1037"/>
      <c r="FE133" s="1037"/>
      <c r="FF133" s="1037"/>
      <c r="FG133" s="1037"/>
      <c r="FH133" s="1037"/>
      <c r="FI133" s="1037"/>
      <c r="FJ133" s="1037"/>
      <c r="FK133" s="1037"/>
      <c r="FL133" s="1037"/>
      <c r="FM133" s="1037"/>
      <c r="FN133" s="1037"/>
      <c r="FO133" s="1037"/>
      <c r="FP133" s="1037"/>
      <c r="FQ133" s="1037"/>
      <c r="FR133" s="1037"/>
      <c r="FS133" s="1037"/>
      <c r="FT133" s="1037"/>
      <c r="FU133" s="1037"/>
      <c r="FV133" s="1037"/>
      <c r="FW133" s="1037"/>
      <c r="FX133" s="1037"/>
      <c r="FY133" s="1037"/>
      <c r="FZ133" s="1037"/>
      <c r="GA133" s="1037"/>
      <c r="GB133" s="1037"/>
      <c r="GC133" s="1037"/>
      <c r="GD133" s="1037"/>
      <c r="GE133" s="1037"/>
      <c r="GF133" s="1037"/>
      <c r="GG133" s="1037"/>
      <c r="GH133" s="1037"/>
      <c r="GI133" s="1037"/>
      <c r="GJ133" s="1037"/>
      <c r="GK133" s="1037"/>
      <c r="GL133" s="1037"/>
      <c r="GM133" s="1037"/>
      <c r="GN133" s="1037"/>
      <c r="GO133" s="1037"/>
      <c r="GP133" s="1037"/>
      <c r="GQ133" s="1037"/>
      <c r="GR133" s="1037"/>
      <c r="GS133" s="1037"/>
      <c r="GT133" s="1037"/>
      <c r="GU133" s="1037"/>
      <c r="GV133" s="1037"/>
      <c r="GW133" s="1037"/>
      <c r="GX133" s="1037"/>
      <c r="GY133" s="1037"/>
      <c r="GZ133" s="1037"/>
      <c r="HA133" s="1037"/>
      <c r="HB133" s="1037"/>
      <c r="HC133" s="1037"/>
      <c r="HD133" s="1037"/>
      <c r="HE133" s="1037"/>
      <c r="HF133" s="1037"/>
      <c r="HG133" s="1037"/>
      <c r="HH133" s="1037"/>
      <c r="HI133" s="1037"/>
      <c r="HJ133" s="1037"/>
      <c r="HK133" s="1037"/>
      <c r="HL133" s="1037"/>
      <c r="HM133" s="1037"/>
      <c r="HN133" s="1037"/>
      <c r="HO133" s="1037"/>
      <c r="HP133" s="1037"/>
      <c r="HQ133" s="1037"/>
      <c r="HR133" s="1037"/>
      <c r="HS133" s="1037"/>
      <c r="HT133" s="1037"/>
      <c r="HU133" s="1037"/>
      <c r="HV133" s="1037"/>
      <c r="HW133" s="1037"/>
      <c r="HX133" s="1037"/>
      <c r="HY133" s="1037"/>
      <c r="HZ133" s="1037"/>
      <c r="IA133" s="1037"/>
      <c r="IB133" s="1037"/>
      <c r="IC133" s="1037"/>
      <c r="ID133" s="1037"/>
      <c r="IE133" s="1037"/>
      <c r="IF133" s="1037"/>
      <c r="IG133" s="1037"/>
      <c r="IH133" s="1037"/>
      <c r="II133" s="1037"/>
      <c r="IJ133" s="1037"/>
      <c r="IK133" s="1037"/>
      <c r="IL133" s="1037"/>
      <c r="IM133" s="1037"/>
      <c r="IN133" s="1037"/>
    </row>
    <row r="134" spans="1:248" ht="16.2">
      <c r="A134" s="701" t="s">
        <v>24</v>
      </c>
      <c r="B134" s="703">
        <v>11371.4</v>
      </c>
      <c r="C134" s="1038">
        <f t="shared" si="20"/>
        <v>35.209169977118407</v>
      </c>
      <c r="D134" s="704">
        <v>10224.200000000001</v>
      </c>
      <c r="E134" s="1038">
        <f t="shared" si="21"/>
        <v>31.657104286196425</v>
      </c>
      <c r="F134" s="1038">
        <f t="shared" si="22"/>
        <v>1147.1999999999989</v>
      </c>
      <c r="G134" s="1038">
        <f t="shared" si="23"/>
        <v>3.5520656909219794</v>
      </c>
      <c r="H134" s="26">
        <v>32296.7</v>
      </c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7"/>
      <c r="AB134" s="1037"/>
      <c r="AC134" s="1037"/>
      <c r="AD134" s="1037"/>
      <c r="AE134" s="1037"/>
      <c r="AF134" s="1037"/>
      <c r="AG134" s="1037"/>
      <c r="AH134" s="1037"/>
      <c r="AI134" s="1037"/>
      <c r="AJ134" s="1037"/>
      <c r="AK134" s="1037"/>
      <c r="AL134" s="1037"/>
      <c r="AM134" s="1037"/>
      <c r="AN134" s="1037"/>
      <c r="AO134" s="1037"/>
      <c r="AP134" s="1037"/>
      <c r="AQ134" s="1037"/>
      <c r="AR134" s="1037"/>
      <c r="AS134" s="1037"/>
      <c r="AT134" s="1037"/>
      <c r="AU134" s="1037"/>
      <c r="AV134" s="1037"/>
      <c r="AW134" s="1037"/>
      <c r="AX134" s="1037"/>
      <c r="AY134" s="1037"/>
      <c r="AZ134" s="1037"/>
      <c r="BA134" s="1037"/>
      <c r="BB134" s="1037"/>
      <c r="BC134" s="1037"/>
      <c r="BD134" s="1037"/>
      <c r="BE134" s="1037"/>
      <c r="BF134" s="1037"/>
      <c r="BG134" s="1037"/>
      <c r="BH134" s="1037"/>
      <c r="BI134" s="1037"/>
      <c r="BJ134" s="1037"/>
      <c r="BK134" s="1037"/>
      <c r="BL134" s="1037"/>
      <c r="BM134" s="1037"/>
      <c r="BN134" s="1037"/>
      <c r="BO134" s="1037"/>
      <c r="BP134" s="1037"/>
      <c r="BQ134" s="1037"/>
      <c r="BR134" s="1037"/>
      <c r="BS134" s="1037"/>
      <c r="BT134" s="1037"/>
      <c r="BU134" s="1037"/>
      <c r="BV134" s="1037"/>
      <c r="BW134" s="1037"/>
      <c r="BX134" s="1037"/>
      <c r="BY134" s="1037"/>
      <c r="BZ134" s="1037"/>
      <c r="CA134" s="1037"/>
      <c r="CB134" s="1037"/>
      <c r="CC134" s="1037"/>
      <c r="CD134" s="1037"/>
      <c r="CE134" s="1037"/>
      <c r="CF134" s="1037"/>
      <c r="CG134" s="1037"/>
      <c r="CH134" s="1037"/>
      <c r="CI134" s="1037"/>
      <c r="CJ134" s="1037"/>
      <c r="CK134" s="1037"/>
      <c r="CL134" s="1037"/>
      <c r="CM134" s="1037"/>
      <c r="CN134" s="1037"/>
      <c r="CO134" s="1037"/>
      <c r="CP134" s="1037"/>
      <c r="CQ134" s="1037"/>
      <c r="CR134" s="1037"/>
      <c r="CS134" s="1037"/>
      <c r="CT134" s="1037"/>
      <c r="CU134" s="1037"/>
      <c r="CV134" s="1037"/>
      <c r="CW134" s="1037"/>
      <c r="CX134" s="1037"/>
      <c r="CY134" s="1037"/>
      <c r="CZ134" s="1037"/>
      <c r="DA134" s="1037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7"/>
      <c r="DO134" s="1037"/>
      <c r="DP134" s="1037"/>
      <c r="DQ134" s="1037"/>
      <c r="DR134" s="1037"/>
      <c r="DS134" s="1037"/>
      <c r="DT134" s="1037"/>
      <c r="DU134" s="1037"/>
      <c r="DV134" s="1037"/>
      <c r="DW134" s="1037"/>
      <c r="DX134" s="1037"/>
      <c r="DY134" s="1037"/>
      <c r="DZ134" s="1037"/>
      <c r="EA134" s="1037"/>
      <c r="EB134" s="1037"/>
      <c r="EC134" s="1037"/>
      <c r="ED134" s="1037"/>
      <c r="EE134" s="1037"/>
      <c r="EF134" s="1037"/>
      <c r="EG134" s="1037"/>
      <c r="EH134" s="1037"/>
      <c r="EI134" s="1037"/>
      <c r="EJ134" s="1037"/>
      <c r="EK134" s="1037"/>
      <c r="EL134" s="1037"/>
      <c r="EM134" s="1037"/>
      <c r="EN134" s="1037"/>
      <c r="EO134" s="1037"/>
      <c r="EP134" s="1037"/>
      <c r="EQ134" s="1037"/>
      <c r="ER134" s="1037"/>
      <c r="ES134" s="1037"/>
      <c r="ET134" s="1037"/>
      <c r="EU134" s="1037"/>
      <c r="EV134" s="1037"/>
      <c r="EW134" s="1037"/>
      <c r="EX134" s="1037"/>
      <c r="EY134" s="1037"/>
      <c r="EZ134" s="1037"/>
      <c r="FA134" s="1037"/>
      <c r="FB134" s="1037"/>
      <c r="FC134" s="1037"/>
      <c r="FD134" s="1037"/>
      <c r="FE134" s="1037"/>
      <c r="FF134" s="1037"/>
      <c r="FG134" s="1037"/>
      <c r="FH134" s="1037"/>
      <c r="FI134" s="1037"/>
      <c r="FJ134" s="1037"/>
      <c r="FK134" s="1037"/>
      <c r="FL134" s="1037"/>
      <c r="FM134" s="1037"/>
      <c r="FN134" s="1037"/>
      <c r="FO134" s="1037"/>
      <c r="FP134" s="1037"/>
      <c r="FQ134" s="1037"/>
      <c r="FR134" s="1037"/>
      <c r="FS134" s="1037"/>
      <c r="FT134" s="1037"/>
      <c r="FU134" s="1037"/>
      <c r="FV134" s="1037"/>
      <c r="FW134" s="1037"/>
      <c r="FX134" s="1037"/>
      <c r="FY134" s="1037"/>
      <c r="FZ134" s="1037"/>
      <c r="GA134" s="1037"/>
      <c r="GB134" s="1037"/>
      <c r="GC134" s="1037"/>
      <c r="GD134" s="1037"/>
      <c r="GE134" s="1037"/>
      <c r="GF134" s="1037"/>
      <c r="GG134" s="1037"/>
      <c r="GH134" s="1037"/>
      <c r="GI134" s="1037"/>
      <c r="GJ134" s="1037"/>
      <c r="GK134" s="1037"/>
      <c r="GL134" s="1037"/>
      <c r="GM134" s="1037"/>
      <c r="GN134" s="1037"/>
      <c r="GO134" s="1037"/>
      <c r="GP134" s="1037"/>
      <c r="GQ134" s="1037"/>
      <c r="GR134" s="1037"/>
      <c r="GS134" s="1037"/>
      <c r="GT134" s="1037"/>
      <c r="GU134" s="1037"/>
      <c r="GV134" s="1037"/>
      <c r="GW134" s="1037"/>
      <c r="GX134" s="1037"/>
      <c r="GY134" s="1037"/>
      <c r="GZ134" s="1037"/>
      <c r="HA134" s="1037"/>
      <c r="HB134" s="1037"/>
      <c r="HC134" s="1037"/>
      <c r="HD134" s="1037"/>
      <c r="HE134" s="1037"/>
      <c r="HF134" s="1037"/>
      <c r="HG134" s="1037"/>
      <c r="HH134" s="1037"/>
      <c r="HI134" s="1037"/>
      <c r="HJ134" s="1037"/>
      <c r="HK134" s="1037"/>
      <c r="HL134" s="1037"/>
      <c r="HM134" s="1037"/>
      <c r="HN134" s="1037"/>
      <c r="HO134" s="1037"/>
      <c r="HP134" s="1037"/>
      <c r="HQ134" s="1037"/>
      <c r="HR134" s="1037"/>
      <c r="HS134" s="1037"/>
      <c r="HT134" s="1037"/>
      <c r="HU134" s="1037"/>
      <c r="HV134" s="1037"/>
      <c r="HW134" s="1037"/>
      <c r="HX134" s="1037"/>
      <c r="HY134" s="1037"/>
      <c r="HZ134" s="1037"/>
      <c r="IA134" s="1037"/>
      <c r="IB134" s="1037"/>
      <c r="IC134" s="1037"/>
      <c r="ID134" s="1037"/>
      <c r="IE134" s="1037"/>
      <c r="IF134" s="1037"/>
      <c r="IG134" s="1037"/>
      <c r="IH134" s="1037"/>
      <c r="II134" s="1037"/>
      <c r="IJ134" s="1037"/>
      <c r="IK134" s="1037"/>
      <c r="IL134" s="1037"/>
      <c r="IM134" s="1037"/>
      <c r="IN134" s="1037"/>
    </row>
    <row r="135" spans="1:248" ht="16.2">
      <c r="A135" s="701" t="s">
        <v>25</v>
      </c>
      <c r="B135" s="703">
        <v>12890.1</v>
      </c>
      <c r="C135" s="1038">
        <f t="shared" si="20"/>
        <v>34.447271230738806</v>
      </c>
      <c r="D135" s="704">
        <v>11623.2</v>
      </c>
      <c r="E135" s="1038">
        <f t="shared" si="21"/>
        <v>31.06163047370643</v>
      </c>
      <c r="F135" s="1038">
        <f t="shared" si="22"/>
        <v>1266.8999999999996</v>
      </c>
      <c r="G135" s="1038">
        <f t="shared" si="23"/>
        <v>3.3856407570323719</v>
      </c>
      <c r="H135" s="26">
        <v>37419.800000000003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7"/>
      <c r="T135" s="1037"/>
      <c r="U135" s="1037"/>
      <c r="V135" s="1037"/>
      <c r="W135" s="1037"/>
      <c r="X135" s="1037"/>
      <c r="Y135" s="1037"/>
      <c r="Z135" s="1037"/>
      <c r="AA135" s="1037"/>
      <c r="AB135" s="1037"/>
      <c r="AC135" s="1037"/>
      <c r="AD135" s="1037"/>
      <c r="AE135" s="1037"/>
      <c r="AF135" s="1037"/>
      <c r="AG135" s="1037"/>
      <c r="AH135" s="1037"/>
      <c r="AI135" s="1037"/>
      <c r="AJ135" s="1037"/>
      <c r="AK135" s="1037"/>
      <c r="AL135" s="1037"/>
      <c r="AM135" s="1037"/>
      <c r="AN135" s="1037"/>
      <c r="AO135" s="1037"/>
      <c r="AP135" s="1037"/>
      <c r="AQ135" s="1037"/>
      <c r="AR135" s="1037"/>
      <c r="AS135" s="1037"/>
      <c r="AT135" s="1037"/>
      <c r="AU135" s="1037"/>
      <c r="AV135" s="1037"/>
      <c r="AW135" s="1037"/>
      <c r="AX135" s="1037"/>
      <c r="AY135" s="1037"/>
      <c r="AZ135" s="1037"/>
      <c r="BA135" s="1037"/>
      <c r="BB135" s="1037"/>
      <c r="BC135" s="1037"/>
      <c r="BD135" s="1037"/>
      <c r="BE135" s="1037"/>
      <c r="BF135" s="1037"/>
      <c r="BG135" s="1037"/>
      <c r="BH135" s="1037"/>
      <c r="BI135" s="1037"/>
      <c r="BJ135" s="1037"/>
      <c r="BK135" s="1037"/>
      <c r="BL135" s="1037"/>
      <c r="BM135" s="1037"/>
      <c r="BN135" s="1037"/>
      <c r="BO135" s="1037"/>
      <c r="BP135" s="1037"/>
      <c r="BQ135" s="1037"/>
      <c r="BR135" s="1037"/>
      <c r="BS135" s="1037"/>
      <c r="BT135" s="1037"/>
      <c r="BU135" s="1037"/>
      <c r="BV135" s="1037"/>
      <c r="BW135" s="1037"/>
      <c r="BX135" s="1037"/>
      <c r="BY135" s="1037"/>
      <c r="BZ135" s="1037"/>
      <c r="CA135" s="1037"/>
      <c r="CB135" s="1037"/>
      <c r="CC135" s="1037"/>
      <c r="CD135" s="1037"/>
      <c r="CE135" s="1037"/>
      <c r="CF135" s="1037"/>
      <c r="CG135" s="1037"/>
      <c r="CH135" s="1037"/>
      <c r="CI135" s="1037"/>
      <c r="CJ135" s="1037"/>
      <c r="CK135" s="1037"/>
      <c r="CL135" s="1037"/>
      <c r="CM135" s="1037"/>
      <c r="CN135" s="1037"/>
      <c r="CO135" s="1037"/>
      <c r="CP135" s="1037"/>
      <c r="CQ135" s="1037"/>
      <c r="CR135" s="1037"/>
      <c r="CS135" s="1037"/>
      <c r="CT135" s="1037"/>
      <c r="CU135" s="1037"/>
      <c r="CV135" s="1037"/>
      <c r="CW135" s="1037"/>
      <c r="CX135" s="1037"/>
      <c r="CY135" s="1037"/>
      <c r="CZ135" s="1037"/>
      <c r="DA135" s="1037"/>
      <c r="DB135" s="1037"/>
      <c r="DC135" s="1037"/>
      <c r="DD135" s="1037"/>
      <c r="DE135" s="1037"/>
      <c r="DF135" s="1037"/>
      <c r="DG135" s="1037"/>
      <c r="DH135" s="1037"/>
      <c r="DI135" s="1037"/>
      <c r="DJ135" s="1037"/>
      <c r="DK135" s="1037"/>
      <c r="DL135" s="1037"/>
      <c r="DM135" s="1037"/>
      <c r="DN135" s="1037"/>
      <c r="DO135" s="1037"/>
      <c r="DP135" s="1037"/>
      <c r="DQ135" s="1037"/>
      <c r="DR135" s="1037"/>
      <c r="DS135" s="1037"/>
      <c r="DT135" s="1037"/>
      <c r="DU135" s="1037"/>
      <c r="DV135" s="1037"/>
      <c r="DW135" s="1037"/>
      <c r="DX135" s="1037"/>
      <c r="DY135" s="1037"/>
      <c r="DZ135" s="1037"/>
      <c r="EA135" s="1037"/>
      <c r="EB135" s="1037"/>
      <c r="EC135" s="1037"/>
      <c r="ED135" s="1037"/>
      <c r="EE135" s="1037"/>
      <c r="EF135" s="1037"/>
      <c r="EG135" s="1037"/>
      <c r="EH135" s="1037"/>
      <c r="EI135" s="1037"/>
      <c r="EJ135" s="1037"/>
      <c r="EK135" s="1037"/>
      <c r="EL135" s="1037"/>
      <c r="EM135" s="1037"/>
      <c r="EN135" s="1037"/>
      <c r="EO135" s="1037"/>
      <c r="EP135" s="1037"/>
      <c r="EQ135" s="1037"/>
      <c r="ER135" s="1037"/>
      <c r="ES135" s="1037"/>
      <c r="ET135" s="1037"/>
      <c r="EU135" s="1037"/>
      <c r="EV135" s="1037"/>
      <c r="EW135" s="1037"/>
      <c r="EX135" s="1037"/>
      <c r="EY135" s="1037"/>
      <c r="EZ135" s="1037"/>
      <c r="FA135" s="1037"/>
      <c r="FB135" s="1037"/>
      <c r="FC135" s="1037"/>
      <c r="FD135" s="1037"/>
      <c r="FE135" s="1037"/>
      <c r="FF135" s="1037"/>
      <c r="FG135" s="1037"/>
      <c r="FH135" s="1037"/>
      <c r="FI135" s="1037"/>
      <c r="FJ135" s="1037"/>
      <c r="FK135" s="1037"/>
      <c r="FL135" s="1037"/>
      <c r="FM135" s="1037"/>
      <c r="FN135" s="1037"/>
      <c r="FO135" s="1037"/>
      <c r="FP135" s="1037"/>
      <c r="FQ135" s="1037"/>
      <c r="FR135" s="1037"/>
      <c r="FS135" s="1037"/>
      <c r="FT135" s="1037"/>
      <c r="FU135" s="1037"/>
      <c r="FV135" s="1037"/>
      <c r="FW135" s="1037"/>
      <c r="FX135" s="1037"/>
      <c r="FY135" s="1037"/>
      <c r="FZ135" s="1037"/>
      <c r="GA135" s="1037"/>
      <c r="GB135" s="1037"/>
      <c r="GC135" s="1037"/>
      <c r="GD135" s="1037"/>
      <c r="GE135" s="1037"/>
      <c r="GF135" s="1037"/>
      <c r="GG135" s="1037"/>
      <c r="GH135" s="1037"/>
      <c r="GI135" s="1037"/>
      <c r="GJ135" s="1037"/>
      <c r="GK135" s="1037"/>
      <c r="GL135" s="1037"/>
      <c r="GM135" s="1037"/>
      <c r="GN135" s="1037"/>
      <c r="GO135" s="1037"/>
      <c r="GP135" s="1037"/>
      <c r="GQ135" s="1037"/>
      <c r="GR135" s="1037"/>
      <c r="GS135" s="1037"/>
      <c r="GT135" s="1037"/>
      <c r="GU135" s="1037"/>
      <c r="GV135" s="1037"/>
      <c r="GW135" s="1037"/>
      <c r="GX135" s="1037"/>
      <c r="GY135" s="1037"/>
      <c r="GZ135" s="1037"/>
      <c r="HA135" s="1037"/>
      <c r="HB135" s="1037"/>
      <c r="HC135" s="1037"/>
      <c r="HD135" s="1037"/>
      <c r="HE135" s="1037"/>
      <c r="HF135" s="1037"/>
      <c r="HG135" s="1037"/>
      <c r="HH135" s="1037"/>
      <c r="HI135" s="1037"/>
      <c r="HJ135" s="1037"/>
      <c r="HK135" s="1037"/>
      <c r="HL135" s="1037"/>
      <c r="HM135" s="1037"/>
      <c r="HN135" s="1037"/>
      <c r="HO135" s="1037"/>
      <c r="HP135" s="1037"/>
      <c r="HQ135" s="1037"/>
      <c r="HR135" s="1037"/>
      <c r="HS135" s="1037"/>
      <c r="HT135" s="1037"/>
      <c r="HU135" s="1037"/>
      <c r="HV135" s="1037"/>
      <c r="HW135" s="1037"/>
      <c r="HX135" s="1037"/>
      <c r="HY135" s="1037"/>
      <c r="HZ135" s="1037"/>
      <c r="IA135" s="1037"/>
      <c r="IB135" s="1037"/>
      <c r="IC135" s="1037"/>
      <c r="ID135" s="1037"/>
      <c r="IE135" s="1037"/>
      <c r="IF135" s="1037"/>
      <c r="IG135" s="1037"/>
      <c r="IH135" s="1037"/>
      <c r="II135" s="1037"/>
      <c r="IJ135" s="1037"/>
      <c r="IK135" s="1037"/>
      <c r="IL135" s="1037"/>
      <c r="IM135" s="1037"/>
      <c r="IN135" s="1037"/>
    </row>
    <row r="136" spans="1:248" ht="16.2">
      <c r="A136" s="701" t="s">
        <v>26</v>
      </c>
      <c r="B136" s="703">
        <v>14330.1</v>
      </c>
      <c r="C136" s="1038">
        <f t="shared" si="20"/>
        <v>33.522270047721534</v>
      </c>
      <c r="D136" s="704">
        <v>12719.7</v>
      </c>
      <c r="E136" s="1038">
        <f t="shared" si="21"/>
        <v>29.755076260877704</v>
      </c>
      <c r="F136" s="1038">
        <f t="shared" si="22"/>
        <v>1610.3999999999996</v>
      </c>
      <c r="G136" s="1038">
        <f t="shared" si="23"/>
        <v>3.7671937868438281</v>
      </c>
      <c r="H136" s="26">
        <v>42748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7"/>
      <c r="AB136" s="1037"/>
      <c r="AC136" s="1037"/>
      <c r="AD136" s="1037"/>
      <c r="AE136" s="1037"/>
      <c r="AF136" s="1037"/>
      <c r="AG136" s="1037"/>
      <c r="AH136" s="1037"/>
      <c r="AI136" s="1037"/>
      <c r="AJ136" s="1037"/>
      <c r="AK136" s="1037"/>
      <c r="AL136" s="1037"/>
      <c r="AM136" s="1037"/>
      <c r="AN136" s="1037"/>
      <c r="AO136" s="1037"/>
      <c r="AP136" s="1037"/>
      <c r="AQ136" s="1037"/>
      <c r="AR136" s="1037"/>
      <c r="AS136" s="1037"/>
      <c r="AT136" s="1037"/>
      <c r="AU136" s="1037"/>
      <c r="AV136" s="1037"/>
      <c r="AW136" s="1037"/>
      <c r="AX136" s="1037"/>
      <c r="AY136" s="1037"/>
      <c r="AZ136" s="1037"/>
      <c r="BA136" s="1037"/>
      <c r="BB136" s="1037"/>
      <c r="BC136" s="1037"/>
      <c r="BD136" s="1037"/>
      <c r="BE136" s="1037"/>
      <c r="BF136" s="1037"/>
      <c r="BG136" s="1037"/>
      <c r="BH136" s="1037"/>
      <c r="BI136" s="1037"/>
      <c r="BJ136" s="1037"/>
      <c r="BK136" s="1037"/>
      <c r="BL136" s="1037"/>
      <c r="BM136" s="1037"/>
      <c r="BN136" s="1037"/>
      <c r="BO136" s="1037"/>
      <c r="BP136" s="1037"/>
      <c r="BQ136" s="1037"/>
      <c r="BR136" s="1037"/>
      <c r="BS136" s="1037"/>
      <c r="BT136" s="1037"/>
      <c r="BU136" s="1037"/>
      <c r="BV136" s="1037"/>
      <c r="BW136" s="1037"/>
      <c r="BX136" s="1037"/>
      <c r="BY136" s="1037"/>
      <c r="BZ136" s="1037"/>
      <c r="CA136" s="1037"/>
      <c r="CB136" s="1037"/>
      <c r="CC136" s="1037"/>
      <c r="CD136" s="1037"/>
      <c r="CE136" s="1037"/>
      <c r="CF136" s="1037"/>
      <c r="CG136" s="1037"/>
      <c r="CH136" s="1037"/>
      <c r="CI136" s="1037"/>
      <c r="CJ136" s="1037"/>
      <c r="CK136" s="1037"/>
      <c r="CL136" s="1037"/>
      <c r="CM136" s="1037"/>
      <c r="CN136" s="1037"/>
      <c r="CO136" s="1037"/>
      <c r="CP136" s="1037"/>
      <c r="CQ136" s="1037"/>
      <c r="CR136" s="1037"/>
      <c r="CS136" s="1037"/>
      <c r="CT136" s="1037"/>
      <c r="CU136" s="1037"/>
      <c r="CV136" s="1037"/>
      <c r="CW136" s="1037"/>
      <c r="CX136" s="1037"/>
      <c r="CY136" s="1037"/>
      <c r="CZ136" s="1037"/>
      <c r="DA136" s="1037"/>
      <c r="DB136" s="1037"/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7"/>
      <c r="DN136" s="1037"/>
      <c r="DO136" s="1037"/>
      <c r="DP136" s="1037"/>
      <c r="DQ136" s="1037"/>
      <c r="DR136" s="1037"/>
      <c r="DS136" s="1037"/>
      <c r="DT136" s="1037"/>
      <c r="DU136" s="1037"/>
      <c r="DV136" s="1037"/>
      <c r="DW136" s="1037"/>
      <c r="DX136" s="1037"/>
      <c r="DY136" s="1037"/>
      <c r="DZ136" s="1037"/>
      <c r="EA136" s="1037"/>
      <c r="EB136" s="1037"/>
      <c r="EC136" s="1037"/>
      <c r="ED136" s="1037"/>
      <c r="EE136" s="1037"/>
      <c r="EF136" s="1037"/>
      <c r="EG136" s="1037"/>
      <c r="EH136" s="1037"/>
      <c r="EI136" s="1037"/>
      <c r="EJ136" s="1037"/>
      <c r="EK136" s="1037"/>
      <c r="EL136" s="1037"/>
      <c r="EM136" s="1037"/>
      <c r="EN136" s="1037"/>
      <c r="EO136" s="1037"/>
      <c r="EP136" s="1037"/>
      <c r="EQ136" s="1037"/>
      <c r="ER136" s="1037"/>
      <c r="ES136" s="1037"/>
      <c r="ET136" s="1037"/>
      <c r="EU136" s="1037"/>
      <c r="EV136" s="1037"/>
      <c r="EW136" s="1037"/>
      <c r="EX136" s="1037"/>
      <c r="EY136" s="1037"/>
      <c r="EZ136" s="1037"/>
      <c r="FA136" s="1037"/>
      <c r="FB136" s="1037"/>
      <c r="FC136" s="1037"/>
      <c r="FD136" s="1037"/>
      <c r="FE136" s="1037"/>
      <c r="FF136" s="1037"/>
      <c r="FG136" s="1037"/>
      <c r="FH136" s="1037"/>
      <c r="FI136" s="1037"/>
      <c r="FJ136" s="1037"/>
      <c r="FK136" s="1037"/>
      <c r="FL136" s="1037"/>
      <c r="FM136" s="1037"/>
      <c r="FN136" s="1037"/>
      <c r="FO136" s="1037"/>
      <c r="FP136" s="1037"/>
      <c r="FQ136" s="1037"/>
      <c r="FR136" s="1037"/>
      <c r="FS136" s="1037"/>
      <c r="FT136" s="1037"/>
      <c r="FU136" s="1037"/>
      <c r="FV136" s="1037"/>
      <c r="FW136" s="1037"/>
      <c r="FX136" s="1037"/>
      <c r="FY136" s="1037"/>
      <c r="FZ136" s="1037"/>
      <c r="GA136" s="1037"/>
      <c r="GB136" s="1037"/>
      <c r="GC136" s="1037"/>
      <c r="GD136" s="1037"/>
      <c r="GE136" s="1037"/>
      <c r="GF136" s="1037"/>
      <c r="GG136" s="1037"/>
      <c r="GH136" s="1037"/>
      <c r="GI136" s="1037"/>
      <c r="GJ136" s="1037"/>
      <c r="GK136" s="1037"/>
      <c r="GL136" s="1037"/>
      <c r="GM136" s="1037"/>
      <c r="GN136" s="1037"/>
      <c r="GO136" s="1037"/>
      <c r="GP136" s="1037"/>
      <c r="GQ136" s="1037"/>
      <c r="GR136" s="1037"/>
      <c r="GS136" s="1037"/>
      <c r="GT136" s="1037"/>
      <c r="GU136" s="1037"/>
      <c r="GV136" s="1037"/>
      <c r="GW136" s="1037"/>
      <c r="GX136" s="1037"/>
      <c r="GY136" s="1037"/>
      <c r="GZ136" s="1037"/>
      <c r="HA136" s="1037"/>
      <c r="HB136" s="1037"/>
      <c r="HC136" s="1037"/>
      <c r="HD136" s="1037"/>
      <c r="HE136" s="1037"/>
      <c r="HF136" s="1037"/>
      <c r="HG136" s="1037"/>
      <c r="HH136" s="1037"/>
      <c r="HI136" s="1037"/>
      <c r="HJ136" s="1037"/>
      <c r="HK136" s="1037"/>
      <c r="HL136" s="1037"/>
      <c r="HM136" s="1037"/>
      <c r="HN136" s="1037"/>
      <c r="HO136" s="1037"/>
      <c r="HP136" s="1037"/>
      <c r="HQ136" s="1037"/>
      <c r="HR136" s="1037"/>
      <c r="HS136" s="1037"/>
      <c r="HT136" s="1037"/>
      <c r="HU136" s="1037"/>
      <c r="HV136" s="1037"/>
      <c r="HW136" s="1037"/>
      <c r="HX136" s="1037"/>
      <c r="HY136" s="1037"/>
      <c r="HZ136" s="1037"/>
      <c r="IA136" s="1037"/>
      <c r="IB136" s="1037"/>
      <c r="IC136" s="1037"/>
      <c r="ID136" s="1037"/>
      <c r="IE136" s="1037"/>
      <c r="IF136" s="1037"/>
      <c r="IG136" s="1037"/>
      <c r="IH136" s="1037"/>
      <c r="II136" s="1037"/>
      <c r="IJ136" s="1037"/>
      <c r="IK136" s="1037"/>
      <c r="IL136" s="1037"/>
      <c r="IM136" s="1037"/>
      <c r="IN136" s="1037"/>
    </row>
    <row r="137" spans="1:248" ht="16.2">
      <c r="A137" s="701" t="s">
        <v>27</v>
      </c>
      <c r="B137" s="703">
        <v>16234.8</v>
      </c>
      <c r="C137" s="1038">
        <f t="shared" si="20"/>
        <v>34.132106650744461</v>
      </c>
      <c r="D137" s="704">
        <v>14020.7</v>
      </c>
      <c r="E137" s="1038">
        <f t="shared" si="21"/>
        <v>29.477174200981406</v>
      </c>
      <c r="F137" s="1038">
        <f t="shared" si="22"/>
        <v>2214.0999999999985</v>
      </c>
      <c r="G137" s="1038">
        <f t="shared" si="23"/>
        <v>4.6549324497630566</v>
      </c>
      <c r="H137" s="26">
        <v>47564.6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7"/>
      <c r="AB137" s="1037"/>
      <c r="AC137" s="1037"/>
      <c r="AD137" s="1037"/>
      <c r="AE137" s="1037"/>
      <c r="AF137" s="1037"/>
      <c r="AG137" s="1037"/>
      <c r="AH137" s="1037"/>
      <c r="AI137" s="1037"/>
      <c r="AJ137" s="1037"/>
      <c r="AK137" s="1037"/>
      <c r="AL137" s="1037"/>
      <c r="AM137" s="1037"/>
      <c r="AN137" s="1037"/>
      <c r="AO137" s="1037"/>
      <c r="AP137" s="1037"/>
      <c r="AQ137" s="1037"/>
      <c r="AR137" s="1037"/>
      <c r="AS137" s="1037"/>
      <c r="AT137" s="1037"/>
      <c r="AU137" s="1037"/>
      <c r="AV137" s="1037"/>
      <c r="AW137" s="1037"/>
      <c r="AX137" s="1037"/>
      <c r="AY137" s="1037"/>
      <c r="AZ137" s="1037"/>
      <c r="BA137" s="1037"/>
      <c r="BB137" s="1037"/>
      <c r="BC137" s="1037"/>
      <c r="BD137" s="1037"/>
      <c r="BE137" s="1037"/>
      <c r="BF137" s="1037"/>
      <c r="BG137" s="1037"/>
      <c r="BH137" s="1037"/>
      <c r="BI137" s="1037"/>
      <c r="BJ137" s="1037"/>
      <c r="BK137" s="1037"/>
      <c r="BL137" s="1037"/>
      <c r="BM137" s="1037"/>
      <c r="BN137" s="1037"/>
      <c r="BO137" s="1037"/>
      <c r="BP137" s="1037"/>
      <c r="BQ137" s="1037"/>
      <c r="BR137" s="1037"/>
      <c r="BS137" s="1037"/>
      <c r="BT137" s="1037"/>
      <c r="BU137" s="1037"/>
      <c r="BV137" s="1037"/>
      <c r="BW137" s="1037"/>
      <c r="BX137" s="1037"/>
      <c r="BY137" s="1037"/>
      <c r="BZ137" s="1037"/>
      <c r="CA137" s="1037"/>
      <c r="CB137" s="1037"/>
      <c r="CC137" s="1037"/>
      <c r="CD137" s="1037"/>
      <c r="CE137" s="1037"/>
      <c r="CF137" s="1037"/>
      <c r="CG137" s="1037"/>
      <c r="CH137" s="1037"/>
      <c r="CI137" s="1037"/>
      <c r="CJ137" s="1037"/>
      <c r="CK137" s="1037"/>
      <c r="CL137" s="1037"/>
      <c r="CM137" s="1037"/>
      <c r="CN137" s="1037"/>
      <c r="CO137" s="1037"/>
      <c r="CP137" s="1037"/>
      <c r="CQ137" s="1037"/>
      <c r="CR137" s="1037"/>
      <c r="CS137" s="1037"/>
      <c r="CT137" s="1037"/>
      <c r="CU137" s="1037"/>
      <c r="CV137" s="1037"/>
      <c r="CW137" s="1037"/>
      <c r="CX137" s="1037"/>
      <c r="CY137" s="1037"/>
      <c r="CZ137" s="1037"/>
      <c r="DA137" s="1037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7"/>
      <c r="DN137" s="1037"/>
      <c r="DO137" s="1037"/>
      <c r="DP137" s="1037"/>
      <c r="DQ137" s="1037"/>
      <c r="DR137" s="1037"/>
      <c r="DS137" s="1037"/>
      <c r="DT137" s="1037"/>
      <c r="DU137" s="1037"/>
      <c r="DV137" s="1037"/>
      <c r="DW137" s="1037"/>
      <c r="DX137" s="1037"/>
      <c r="DY137" s="1037"/>
      <c r="DZ137" s="1037"/>
      <c r="EA137" s="1037"/>
      <c r="EB137" s="1037"/>
      <c r="EC137" s="1037"/>
      <c r="ED137" s="1037"/>
      <c r="EE137" s="1037"/>
      <c r="EF137" s="1037"/>
      <c r="EG137" s="1037"/>
      <c r="EH137" s="1037"/>
      <c r="EI137" s="1037"/>
      <c r="EJ137" s="1037"/>
      <c r="EK137" s="1037"/>
      <c r="EL137" s="1037"/>
      <c r="EM137" s="1037"/>
      <c r="EN137" s="1037"/>
      <c r="EO137" s="1037"/>
      <c r="EP137" s="1037"/>
      <c r="EQ137" s="1037"/>
      <c r="ER137" s="1037"/>
      <c r="ES137" s="1037"/>
      <c r="ET137" s="1037"/>
      <c r="EU137" s="1037"/>
      <c r="EV137" s="1037"/>
      <c r="EW137" s="1037"/>
      <c r="EX137" s="1037"/>
      <c r="EY137" s="1037"/>
      <c r="EZ137" s="1037"/>
      <c r="FA137" s="1037"/>
      <c r="FB137" s="1037"/>
      <c r="FC137" s="1037"/>
      <c r="FD137" s="1037"/>
      <c r="FE137" s="1037"/>
      <c r="FF137" s="1037"/>
      <c r="FG137" s="1037"/>
      <c r="FH137" s="1037"/>
      <c r="FI137" s="1037"/>
      <c r="FJ137" s="1037"/>
      <c r="FK137" s="1037"/>
      <c r="FL137" s="1037"/>
      <c r="FM137" s="1037"/>
      <c r="FN137" s="1037"/>
      <c r="FO137" s="1037"/>
      <c r="FP137" s="1037"/>
      <c r="FQ137" s="1037"/>
      <c r="FR137" s="1037"/>
      <c r="FS137" s="1037"/>
      <c r="FT137" s="1037"/>
      <c r="FU137" s="1037"/>
      <c r="FV137" s="1037"/>
      <c r="FW137" s="1037"/>
      <c r="FX137" s="1037"/>
      <c r="FY137" s="1037"/>
      <c r="FZ137" s="1037"/>
      <c r="GA137" s="1037"/>
      <c r="GB137" s="1037"/>
      <c r="GC137" s="1037"/>
      <c r="GD137" s="1037"/>
      <c r="GE137" s="1037"/>
      <c r="GF137" s="1037"/>
      <c r="GG137" s="1037"/>
      <c r="GH137" s="1037"/>
      <c r="GI137" s="1037"/>
      <c r="GJ137" s="1037"/>
      <c r="GK137" s="1037"/>
      <c r="GL137" s="1037"/>
      <c r="GM137" s="1037"/>
      <c r="GN137" s="1037"/>
      <c r="GO137" s="1037"/>
      <c r="GP137" s="1037"/>
      <c r="GQ137" s="1037"/>
      <c r="GR137" s="1037"/>
      <c r="GS137" s="1037"/>
      <c r="GT137" s="1037"/>
      <c r="GU137" s="1037"/>
      <c r="GV137" s="1037"/>
      <c r="GW137" s="1037"/>
      <c r="GX137" s="1037"/>
      <c r="GY137" s="1037"/>
      <c r="GZ137" s="1037"/>
      <c r="HA137" s="1037"/>
      <c r="HB137" s="1037"/>
      <c r="HC137" s="1037"/>
      <c r="HD137" s="1037"/>
      <c r="HE137" s="1037"/>
      <c r="HF137" s="1037"/>
      <c r="HG137" s="1037"/>
      <c r="HH137" s="1037"/>
      <c r="HI137" s="1037"/>
      <c r="HJ137" s="1037"/>
      <c r="HK137" s="1037"/>
      <c r="HL137" s="1037"/>
      <c r="HM137" s="1037"/>
      <c r="HN137" s="1037"/>
      <c r="HO137" s="1037"/>
      <c r="HP137" s="1037"/>
      <c r="HQ137" s="1037"/>
      <c r="HR137" s="1037"/>
      <c r="HS137" s="1037"/>
      <c r="HT137" s="1037"/>
      <c r="HU137" s="1037"/>
      <c r="HV137" s="1037"/>
      <c r="HW137" s="1037"/>
      <c r="HX137" s="1037"/>
      <c r="HY137" s="1037"/>
      <c r="HZ137" s="1037"/>
      <c r="IA137" s="1037"/>
      <c r="IB137" s="1037"/>
      <c r="IC137" s="1037"/>
      <c r="ID137" s="1037"/>
      <c r="IE137" s="1037"/>
      <c r="IF137" s="1037"/>
      <c r="IG137" s="1037"/>
      <c r="IH137" s="1037"/>
      <c r="II137" s="1037"/>
      <c r="IJ137" s="1037"/>
      <c r="IK137" s="1037"/>
      <c r="IL137" s="1037"/>
      <c r="IM137" s="1037"/>
      <c r="IN137" s="1037"/>
    </row>
    <row r="138" spans="1:248" ht="16.2">
      <c r="A138" s="701" t="s">
        <v>29</v>
      </c>
      <c r="B138" s="703">
        <v>19496.3</v>
      </c>
      <c r="C138" s="1038">
        <v>33.781334368425973</v>
      </c>
      <c r="D138" s="704">
        <v>19143.5</v>
      </c>
      <c r="E138" s="1038">
        <v>33.172928630593226</v>
      </c>
      <c r="F138" s="1038">
        <v>352.79999999999927</v>
      </c>
      <c r="G138" s="1038">
        <f t="shared" si="23"/>
        <v>0.60637310508404541</v>
      </c>
      <c r="H138" s="26">
        <v>58182</v>
      </c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7"/>
      <c r="AB138" s="1037"/>
      <c r="AC138" s="1037"/>
      <c r="AD138" s="1037"/>
      <c r="AE138" s="1037"/>
      <c r="AF138" s="1037"/>
      <c r="AG138" s="1037"/>
      <c r="AH138" s="1037"/>
      <c r="AI138" s="1037"/>
      <c r="AJ138" s="1037"/>
      <c r="AK138" s="1037"/>
      <c r="AL138" s="1037"/>
      <c r="AM138" s="1037"/>
      <c r="AN138" s="1037"/>
      <c r="AO138" s="1037"/>
      <c r="AP138" s="1037"/>
      <c r="AQ138" s="1037"/>
      <c r="AR138" s="1037"/>
      <c r="AS138" s="1037"/>
      <c r="AT138" s="1037"/>
      <c r="AU138" s="1037"/>
      <c r="AV138" s="1037"/>
      <c r="AW138" s="1037"/>
      <c r="AX138" s="1037"/>
      <c r="AY138" s="1037"/>
      <c r="AZ138" s="1037"/>
      <c r="BA138" s="1037"/>
      <c r="BB138" s="1037"/>
      <c r="BC138" s="1037"/>
      <c r="BD138" s="1037"/>
      <c r="BE138" s="1037"/>
      <c r="BF138" s="1037"/>
      <c r="BG138" s="1037"/>
      <c r="BH138" s="1037"/>
      <c r="BI138" s="1037"/>
      <c r="BJ138" s="1037"/>
      <c r="BK138" s="1037"/>
      <c r="BL138" s="1037"/>
      <c r="BM138" s="1037"/>
      <c r="BN138" s="1037"/>
      <c r="BO138" s="1037"/>
      <c r="BP138" s="1037"/>
      <c r="BQ138" s="1037"/>
      <c r="BR138" s="1037"/>
      <c r="BS138" s="1037"/>
      <c r="BT138" s="1037"/>
      <c r="BU138" s="1037"/>
      <c r="BV138" s="1037"/>
      <c r="BW138" s="1037"/>
      <c r="BX138" s="1037"/>
      <c r="BY138" s="1037"/>
      <c r="BZ138" s="1037"/>
      <c r="CA138" s="1037"/>
      <c r="CB138" s="1037"/>
      <c r="CC138" s="1037"/>
      <c r="CD138" s="1037"/>
      <c r="CE138" s="1037"/>
      <c r="CF138" s="1037"/>
      <c r="CG138" s="1037"/>
      <c r="CH138" s="1037"/>
      <c r="CI138" s="1037"/>
      <c r="CJ138" s="1037"/>
      <c r="CK138" s="1037"/>
      <c r="CL138" s="1037"/>
      <c r="CM138" s="1037"/>
      <c r="CN138" s="1037"/>
      <c r="CO138" s="1037"/>
      <c r="CP138" s="1037"/>
      <c r="CQ138" s="1037"/>
      <c r="CR138" s="1037"/>
      <c r="CS138" s="1037"/>
      <c r="CT138" s="1037"/>
      <c r="CU138" s="1037"/>
      <c r="CV138" s="1037"/>
      <c r="CW138" s="1037"/>
      <c r="CX138" s="1037"/>
      <c r="CY138" s="1037"/>
      <c r="CZ138" s="1037"/>
      <c r="DA138" s="1037"/>
      <c r="DB138" s="1037"/>
      <c r="DC138" s="1037"/>
      <c r="DD138" s="1037"/>
      <c r="DE138" s="1037"/>
      <c r="DF138" s="1037"/>
      <c r="DG138" s="1037"/>
      <c r="DH138" s="1037"/>
      <c r="DI138" s="1037"/>
      <c r="DJ138" s="1037"/>
      <c r="DK138" s="1037"/>
      <c r="DL138" s="1037"/>
      <c r="DM138" s="1037"/>
      <c r="DN138" s="1037"/>
      <c r="DO138" s="1037"/>
      <c r="DP138" s="1037"/>
      <c r="DQ138" s="1037"/>
      <c r="DR138" s="1037"/>
      <c r="DS138" s="1037"/>
      <c r="DT138" s="1037"/>
      <c r="DU138" s="1037"/>
      <c r="DV138" s="1037"/>
      <c r="DW138" s="1037"/>
      <c r="DX138" s="1037"/>
      <c r="DY138" s="1037"/>
      <c r="DZ138" s="1037"/>
      <c r="EA138" s="1037"/>
      <c r="EB138" s="1037"/>
      <c r="EC138" s="1037"/>
      <c r="ED138" s="1037"/>
      <c r="EE138" s="1037"/>
      <c r="EF138" s="1037"/>
      <c r="EG138" s="1037"/>
      <c r="EH138" s="1037"/>
      <c r="EI138" s="1037"/>
      <c r="EJ138" s="1037"/>
      <c r="EK138" s="1037"/>
      <c r="EL138" s="1037"/>
      <c r="EM138" s="1037"/>
      <c r="EN138" s="1037"/>
      <c r="EO138" s="1037"/>
      <c r="EP138" s="1037"/>
      <c r="EQ138" s="1037"/>
      <c r="ER138" s="1037"/>
      <c r="ES138" s="1037"/>
      <c r="ET138" s="1037"/>
      <c r="EU138" s="1037"/>
      <c r="EV138" s="1037"/>
      <c r="EW138" s="1037"/>
      <c r="EX138" s="1037"/>
      <c r="EY138" s="1037"/>
      <c r="EZ138" s="1037"/>
      <c r="FA138" s="1037"/>
      <c r="FB138" s="1037"/>
      <c r="FC138" s="1037"/>
      <c r="FD138" s="1037"/>
      <c r="FE138" s="1037"/>
      <c r="FF138" s="1037"/>
      <c r="FG138" s="1037"/>
      <c r="FH138" s="1037"/>
      <c r="FI138" s="1037"/>
      <c r="FJ138" s="1037"/>
      <c r="FK138" s="1037"/>
      <c r="FL138" s="1037"/>
      <c r="FM138" s="1037"/>
      <c r="FN138" s="1037"/>
      <c r="FO138" s="1037"/>
      <c r="FP138" s="1037"/>
      <c r="FQ138" s="1037"/>
      <c r="FR138" s="1037"/>
      <c r="FS138" s="1037"/>
      <c r="FT138" s="1037"/>
      <c r="FU138" s="1037"/>
      <c r="FV138" s="1037"/>
      <c r="FW138" s="1037"/>
      <c r="FX138" s="1037"/>
      <c r="FY138" s="1037"/>
      <c r="FZ138" s="1037"/>
      <c r="GA138" s="1037"/>
      <c r="GB138" s="1037"/>
      <c r="GC138" s="1037"/>
      <c r="GD138" s="1037"/>
      <c r="GE138" s="1037"/>
      <c r="GF138" s="1037"/>
      <c r="GG138" s="1037"/>
      <c r="GH138" s="1037"/>
      <c r="GI138" s="1037"/>
      <c r="GJ138" s="1037"/>
      <c r="GK138" s="1037"/>
      <c r="GL138" s="1037"/>
      <c r="GM138" s="1037"/>
      <c r="GN138" s="1037"/>
      <c r="GO138" s="1037"/>
      <c r="GP138" s="1037"/>
      <c r="GQ138" s="1037"/>
      <c r="GR138" s="1037"/>
      <c r="GS138" s="1037"/>
      <c r="GT138" s="1037"/>
      <c r="GU138" s="1037"/>
      <c r="GV138" s="1037"/>
      <c r="GW138" s="1037"/>
      <c r="GX138" s="1037"/>
      <c r="GY138" s="1037"/>
      <c r="GZ138" s="1037"/>
      <c r="HA138" s="1037"/>
      <c r="HB138" s="1037"/>
      <c r="HC138" s="1037"/>
      <c r="HD138" s="1037"/>
      <c r="HE138" s="1037"/>
      <c r="HF138" s="1037"/>
      <c r="HG138" s="1037"/>
      <c r="HH138" s="1037"/>
      <c r="HI138" s="1037"/>
      <c r="HJ138" s="1037"/>
      <c r="HK138" s="1037"/>
      <c r="HL138" s="1037"/>
      <c r="HM138" s="1037"/>
      <c r="HN138" s="1037"/>
      <c r="HO138" s="1037"/>
      <c r="HP138" s="1037"/>
      <c r="HQ138" s="1037"/>
      <c r="HR138" s="1037"/>
      <c r="HS138" s="1037"/>
      <c r="HT138" s="1037"/>
      <c r="HU138" s="1037"/>
      <c r="HV138" s="1037"/>
      <c r="HW138" s="1037"/>
      <c r="HX138" s="1037"/>
      <c r="HY138" s="1037"/>
      <c r="HZ138" s="1037"/>
      <c r="IA138" s="1037"/>
      <c r="IB138" s="1037"/>
      <c r="IC138" s="1037"/>
      <c r="ID138" s="1037"/>
      <c r="IE138" s="1037"/>
      <c r="IF138" s="1037"/>
      <c r="IG138" s="1037"/>
      <c r="IH138" s="1037"/>
      <c r="II138" s="1037"/>
      <c r="IJ138" s="1037"/>
      <c r="IK138" s="1037"/>
      <c r="IL138" s="1037"/>
      <c r="IM138" s="1037"/>
      <c r="IN138" s="1037"/>
    </row>
    <row r="139" spans="1:248" ht="16.2">
      <c r="A139" s="696">
        <v>2014</v>
      </c>
      <c r="B139" s="698">
        <v>18400.599999999999</v>
      </c>
      <c r="C139" s="698">
        <v>31.199027430660347</v>
      </c>
      <c r="D139" s="699">
        <v>18709</v>
      </c>
      <c r="E139" s="698">
        <v>31.705658739390074</v>
      </c>
      <c r="F139" s="1039">
        <f>B139-D139</f>
        <v>-308.40000000000146</v>
      </c>
      <c r="G139" s="698">
        <v>-0.50631967614519113</v>
      </c>
      <c r="H139" s="26"/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7"/>
      <c r="CX139" s="1037"/>
      <c r="CY139" s="1037"/>
      <c r="CZ139" s="1037"/>
      <c r="DA139" s="1037"/>
      <c r="DB139" s="1037"/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7"/>
      <c r="DO139" s="1037"/>
      <c r="DP139" s="1037"/>
      <c r="DQ139" s="1037"/>
      <c r="DR139" s="1037"/>
      <c r="DS139" s="1037"/>
      <c r="DT139" s="1037"/>
      <c r="DU139" s="1037"/>
      <c r="DV139" s="1037"/>
      <c r="DW139" s="1037"/>
      <c r="DX139" s="1037"/>
      <c r="DY139" s="1037"/>
      <c r="DZ139" s="1037"/>
      <c r="EA139" s="1037"/>
      <c r="EB139" s="1037"/>
      <c r="EC139" s="1037"/>
      <c r="ED139" s="1037"/>
      <c r="EE139" s="1037"/>
      <c r="EF139" s="1037"/>
      <c r="EG139" s="1037"/>
      <c r="EH139" s="1037"/>
      <c r="EI139" s="1037"/>
      <c r="EJ139" s="1037"/>
      <c r="EK139" s="1037"/>
      <c r="EL139" s="1037"/>
      <c r="EM139" s="1037"/>
      <c r="EN139" s="1037"/>
      <c r="EO139" s="1037"/>
      <c r="EP139" s="1037"/>
      <c r="EQ139" s="1037"/>
      <c r="ER139" s="1037"/>
      <c r="ES139" s="1037"/>
      <c r="ET139" s="1037"/>
      <c r="EU139" s="1037"/>
      <c r="EV139" s="1037"/>
      <c r="EW139" s="1037"/>
      <c r="EX139" s="1037"/>
      <c r="EY139" s="1037"/>
      <c r="EZ139" s="1037"/>
      <c r="FA139" s="1037"/>
      <c r="FB139" s="1037"/>
      <c r="FC139" s="1037"/>
      <c r="FD139" s="1037"/>
      <c r="FE139" s="1037"/>
      <c r="FF139" s="1037"/>
      <c r="FG139" s="1037"/>
      <c r="FH139" s="1037"/>
      <c r="FI139" s="1037"/>
      <c r="FJ139" s="1037"/>
      <c r="FK139" s="1037"/>
      <c r="FL139" s="1037"/>
      <c r="FM139" s="1037"/>
      <c r="FN139" s="1037"/>
      <c r="FO139" s="1037"/>
      <c r="FP139" s="1037"/>
      <c r="FQ139" s="1037"/>
      <c r="FR139" s="1037"/>
      <c r="FS139" s="1037"/>
      <c r="FT139" s="1037"/>
      <c r="FU139" s="1037"/>
      <c r="FV139" s="1037"/>
      <c r="FW139" s="1037"/>
      <c r="FX139" s="1037"/>
      <c r="FY139" s="1037"/>
      <c r="FZ139" s="1037"/>
      <c r="GA139" s="1037"/>
      <c r="GB139" s="1037"/>
      <c r="GC139" s="1037"/>
      <c r="GD139" s="1037"/>
      <c r="GE139" s="1037"/>
      <c r="GF139" s="1037"/>
      <c r="GG139" s="1037"/>
      <c r="GH139" s="1037"/>
      <c r="GI139" s="1037"/>
      <c r="GJ139" s="1037"/>
      <c r="GK139" s="1037"/>
      <c r="GL139" s="1037"/>
      <c r="GM139" s="1037"/>
      <c r="GN139" s="1037"/>
      <c r="GO139" s="1037"/>
      <c r="GP139" s="1037"/>
      <c r="GQ139" s="1037"/>
      <c r="GR139" s="1037"/>
      <c r="GS139" s="1037"/>
      <c r="GT139" s="1037"/>
      <c r="GU139" s="1037"/>
      <c r="GV139" s="1037"/>
      <c r="GW139" s="1037"/>
      <c r="GX139" s="1037"/>
      <c r="GY139" s="1037"/>
      <c r="GZ139" s="1037"/>
      <c r="HA139" s="1037"/>
      <c r="HB139" s="1037"/>
      <c r="HC139" s="1037"/>
      <c r="HD139" s="1037"/>
      <c r="HE139" s="1037"/>
      <c r="HF139" s="1037"/>
      <c r="HG139" s="1037"/>
      <c r="HH139" s="1037"/>
      <c r="HI139" s="1037"/>
      <c r="HJ139" s="1037"/>
      <c r="HK139" s="1037"/>
      <c r="HL139" s="1037"/>
      <c r="HM139" s="1037"/>
      <c r="HN139" s="1037"/>
      <c r="HO139" s="1037"/>
      <c r="HP139" s="1037"/>
      <c r="HQ139" s="1037"/>
      <c r="HR139" s="1037"/>
      <c r="HS139" s="1037"/>
      <c r="HT139" s="1037"/>
      <c r="HU139" s="1037"/>
      <c r="HV139" s="1037"/>
      <c r="HW139" s="1037"/>
      <c r="HX139" s="1037"/>
      <c r="HY139" s="1037"/>
      <c r="HZ139" s="1037"/>
      <c r="IA139" s="1037"/>
      <c r="IB139" s="1037"/>
      <c r="IC139" s="1037"/>
      <c r="ID139" s="1037"/>
      <c r="IE139" s="1037"/>
      <c r="IF139" s="1037"/>
      <c r="IG139" s="1037"/>
      <c r="IH139" s="1037"/>
      <c r="II139" s="1037"/>
      <c r="IJ139" s="1037"/>
      <c r="IK139" s="1037"/>
      <c r="IL139" s="1037"/>
      <c r="IM139" s="1037"/>
      <c r="IN139" s="1037"/>
    </row>
    <row r="140" spans="1:248" ht="16.2">
      <c r="A140" s="701" t="s">
        <v>18</v>
      </c>
      <c r="B140" s="703">
        <v>1751.7</v>
      </c>
      <c r="C140" s="1038">
        <f t="shared" ref="C140:C146" si="24">+B140/H140*100</f>
        <v>40.185822436338611</v>
      </c>
      <c r="D140" s="704">
        <v>1726.8</v>
      </c>
      <c r="E140" s="1038">
        <f t="shared" ref="E140:E146" si="25">+D140/H140*100</f>
        <v>39.614590502408809</v>
      </c>
      <c r="F140" s="1038">
        <f t="shared" ref="F140:F146" si="26">+B140-D140</f>
        <v>24.900000000000091</v>
      </c>
      <c r="G140" s="1038">
        <f t="shared" ref="G140:G151" si="27">F140/H140*100</f>
        <v>0.57123193392980254</v>
      </c>
      <c r="H140" s="26">
        <v>4359</v>
      </c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7"/>
      <c r="AB140" s="1037"/>
      <c r="AC140" s="1037"/>
      <c r="AD140" s="1037"/>
      <c r="AE140" s="1037"/>
      <c r="AF140" s="1037"/>
      <c r="AG140" s="1037"/>
      <c r="AH140" s="1037"/>
      <c r="AI140" s="1037"/>
      <c r="AJ140" s="1037"/>
      <c r="AK140" s="1037"/>
      <c r="AL140" s="1037"/>
      <c r="AM140" s="1037"/>
      <c r="AN140" s="1037"/>
      <c r="AO140" s="1037"/>
      <c r="AP140" s="1037"/>
      <c r="AQ140" s="1037"/>
      <c r="AR140" s="1037"/>
      <c r="AS140" s="1037"/>
      <c r="AT140" s="1037"/>
      <c r="AU140" s="1037"/>
      <c r="AV140" s="1037"/>
      <c r="AW140" s="1037"/>
      <c r="AX140" s="1037"/>
      <c r="AY140" s="1037"/>
      <c r="AZ140" s="1037"/>
      <c r="BA140" s="1037"/>
      <c r="BB140" s="1037"/>
      <c r="BC140" s="1037"/>
      <c r="BD140" s="1037"/>
      <c r="BE140" s="1037"/>
      <c r="BF140" s="1037"/>
      <c r="BG140" s="1037"/>
      <c r="BH140" s="1037"/>
      <c r="BI140" s="1037"/>
      <c r="BJ140" s="1037"/>
      <c r="BK140" s="1037"/>
      <c r="BL140" s="1037"/>
      <c r="BM140" s="1037"/>
      <c r="BN140" s="1037"/>
      <c r="BO140" s="1037"/>
      <c r="BP140" s="1037"/>
      <c r="BQ140" s="1037"/>
      <c r="BR140" s="1037"/>
      <c r="BS140" s="1037"/>
      <c r="BT140" s="1037"/>
      <c r="BU140" s="1037"/>
      <c r="BV140" s="1037"/>
      <c r="BW140" s="1037"/>
      <c r="BX140" s="1037"/>
      <c r="BY140" s="1037"/>
      <c r="BZ140" s="1037"/>
      <c r="CA140" s="1037"/>
      <c r="CB140" s="1037"/>
      <c r="CC140" s="1037"/>
      <c r="CD140" s="1037"/>
      <c r="CE140" s="1037"/>
      <c r="CF140" s="1037"/>
      <c r="CG140" s="1037"/>
      <c r="CH140" s="1037"/>
      <c r="CI140" s="1037"/>
      <c r="CJ140" s="1037"/>
      <c r="CK140" s="1037"/>
      <c r="CL140" s="1037"/>
      <c r="CM140" s="1037"/>
      <c r="CN140" s="1037"/>
      <c r="CO140" s="1037"/>
      <c r="CP140" s="1037"/>
      <c r="CQ140" s="1037"/>
      <c r="CR140" s="1037"/>
      <c r="CS140" s="1037"/>
      <c r="CT140" s="1037"/>
      <c r="CU140" s="1037"/>
      <c r="CV140" s="1037"/>
      <c r="CW140" s="1037"/>
      <c r="CX140" s="1037"/>
      <c r="CY140" s="1037"/>
      <c r="CZ140" s="1037"/>
      <c r="DA140" s="1037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7"/>
      <c r="DO140" s="1037"/>
      <c r="DP140" s="1037"/>
      <c r="DQ140" s="1037"/>
      <c r="DR140" s="1037"/>
      <c r="DS140" s="1037"/>
      <c r="DT140" s="1037"/>
      <c r="DU140" s="1037"/>
      <c r="DV140" s="1037"/>
      <c r="DW140" s="1037"/>
      <c r="DX140" s="1037"/>
      <c r="DY140" s="1037"/>
      <c r="DZ140" s="1037"/>
      <c r="EA140" s="1037"/>
      <c r="EB140" s="1037"/>
      <c r="EC140" s="1037"/>
      <c r="ED140" s="1037"/>
      <c r="EE140" s="1037"/>
      <c r="EF140" s="1037"/>
      <c r="EG140" s="1037"/>
      <c r="EH140" s="1037"/>
      <c r="EI140" s="1037"/>
      <c r="EJ140" s="1037"/>
      <c r="EK140" s="1037"/>
      <c r="EL140" s="1037"/>
      <c r="EM140" s="1037"/>
      <c r="EN140" s="1037"/>
      <c r="EO140" s="1037"/>
      <c r="EP140" s="1037"/>
      <c r="EQ140" s="1037"/>
      <c r="ER140" s="1037"/>
      <c r="ES140" s="1037"/>
      <c r="ET140" s="1037"/>
      <c r="EU140" s="1037"/>
      <c r="EV140" s="1037"/>
      <c r="EW140" s="1037"/>
      <c r="EX140" s="1037"/>
      <c r="EY140" s="1037"/>
      <c r="EZ140" s="1037"/>
      <c r="FA140" s="1037"/>
      <c r="FB140" s="1037"/>
      <c r="FC140" s="1037"/>
      <c r="FD140" s="1037"/>
      <c r="FE140" s="1037"/>
      <c r="FF140" s="1037"/>
      <c r="FG140" s="1037"/>
      <c r="FH140" s="1037"/>
      <c r="FI140" s="1037"/>
      <c r="FJ140" s="1037"/>
      <c r="FK140" s="1037"/>
      <c r="FL140" s="1037"/>
      <c r="FM140" s="1037"/>
      <c r="FN140" s="1037"/>
      <c r="FO140" s="1037"/>
      <c r="FP140" s="1037"/>
      <c r="FQ140" s="1037"/>
      <c r="FR140" s="1037"/>
      <c r="FS140" s="1037"/>
      <c r="FT140" s="1037"/>
      <c r="FU140" s="1037"/>
      <c r="FV140" s="1037"/>
      <c r="FW140" s="1037"/>
      <c r="FX140" s="1037"/>
      <c r="FY140" s="1037"/>
      <c r="FZ140" s="1037"/>
      <c r="GA140" s="1037"/>
      <c r="GB140" s="1037"/>
      <c r="GC140" s="1037"/>
      <c r="GD140" s="1037"/>
      <c r="GE140" s="1037"/>
      <c r="GF140" s="1037"/>
      <c r="GG140" s="1037"/>
      <c r="GH140" s="1037"/>
      <c r="GI140" s="1037"/>
      <c r="GJ140" s="1037"/>
      <c r="GK140" s="1037"/>
      <c r="GL140" s="1037"/>
      <c r="GM140" s="1037"/>
      <c r="GN140" s="1037"/>
      <c r="GO140" s="1037"/>
      <c r="GP140" s="1037"/>
      <c r="GQ140" s="1037"/>
      <c r="GR140" s="1037"/>
      <c r="GS140" s="1037"/>
      <c r="GT140" s="1037"/>
      <c r="GU140" s="1037"/>
      <c r="GV140" s="1037"/>
      <c r="GW140" s="1037"/>
      <c r="GX140" s="1037"/>
      <c r="GY140" s="1037"/>
      <c r="GZ140" s="1037"/>
      <c r="HA140" s="1037"/>
      <c r="HB140" s="1037"/>
      <c r="HC140" s="1037"/>
      <c r="HD140" s="1037"/>
      <c r="HE140" s="1037"/>
      <c r="HF140" s="1037"/>
      <c r="HG140" s="1037"/>
      <c r="HH140" s="1037"/>
      <c r="HI140" s="1037"/>
      <c r="HJ140" s="1037"/>
      <c r="HK140" s="1037"/>
      <c r="HL140" s="1037"/>
      <c r="HM140" s="1037"/>
      <c r="HN140" s="1037"/>
      <c r="HO140" s="1037"/>
      <c r="HP140" s="1037"/>
      <c r="HQ140" s="1037"/>
      <c r="HR140" s="1037"/>
      <c r="HS140" s="1037"/>
      <c r="HT140" s="1037"/>
      <c r="HU140" s="1037"/>
      <c r="HV140" s="1037"/>
      <c r="HW140" s="1037"/>
      <c r="HX140" s="1037"/>
      <c r="HY140" s="1037"/>
      <c r="HZ140" s="1037"/>
      <c r="IA140" s="1037"/>
      <c r="IB140" s="1037"/>
      <c r="IC140" s="1037"/>
      <c r="ID140" s="1037"/>
      <c r="IE140" s="1037"/>
      <c r="IF140" s="1037"/>
      <c r="IG140" s="1037"/>
      <c r="IH140" s="1037"/>
      <c r="II140" s="1037"/>
      <c r="IJ140" s="1037"/>
      <c r="IK140" s="1037"/>
      <c r="IL140" s="1037"/>
      <c r="IM140" s="1037"/>
      <c r="IN140" s="1037"/>
    </row>
    <row r="141" spans="1:248" ht="16.2">
      <c r="A141" s="701" t="s">
        <v>19</v>
      </c>
      <c r="B141" s="703">
        <v>3112.1</v>
      </c>
      <c r="C141" s="1038">
        <f t="shared" si="24"/>
        <v>36.775619209680471</v>
      </c>
      <c r="D141" s="704">
        <v>3062.6</v>
      </c>
      <c r="E141" s="1038">
        <f t="shared" si="25"/>
        <v>36.190678767252784</v>
      </c>
      <c r="F141" s="1038">
        <f t="shared" si="26"/>
        <v>49.5</v>
      </c>
      <c r="G141" s="1038">
        <f t="shared" si="27"/>
        <v>0.58494044242768006</v>
      </c>
      <c r="H141" s="26">
        <v>8462.4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7"/>
      <c r="AB141" s="1037"/>
      <c r="AC141" s="1037"/>
      <c r="AD141" s="1037"/>
      <c r="AE141" s="1037"/>
      <c r="AF141" s="1037"/>
      <c r="AG141" s="1037"/>
      <c r="AH141" s="1037"/>
      <c r="AI141" s="1037"/>
      <c r="AJ141" s="1037"/>
      <c r="AK141" s="1037"/>
      <c r="AL141" s="1037"/>
      <c r="AM141" s="1037"/>
      <c r="AN141" s="1037"/>
      <c r="AO141" s="1037"/>
      <c r="AP141" s="1037"/>
      <c r="AQ141" s="1037"/>
      <c r="AR141" s="1037"/>
      <c r="AS141" s="1037"/>
      <c r="AT141" s="1037"/>
      <c r="AU141" s="1037"/>
      <c r="AV141" s="1037"/>
      <c r="AW141" s="1037"/>
      <c r="AX141" s="1037"/>
      <c r="AY141" s="1037"/>
      <c r="AZ141" s="1037"/>
      <c r="BA141" s="1037"/>
      <c r="BB141" s="1037"/>
      <c r="BC141" s="1037"/>
      <c r="BD141" s="1037"/>
      <c r="BE141" s="1037"/>
      <c r="BF141" s="1037"/>
      <c r="BG141" s="1037"/>
      <c r="BH141" s="1037"/>
      <c r="BI141" s="1037"/>
      <c r="BJ141" s="1037"/>
      <c r="BK141" s="1037"/>
      <c r="BL141" s="1037"/>
      <c r="BM141" s="1037"/>
      <c r="BN141" s="1037"/>
      <c r="BO141" s="1037"/>
      <c r="BP141" s="1037"/>
      <c r="BQ141" s="1037"/>
      <c r="BR141" s="1037"/>
      <c r="BS141" s="1037"/>
      <c r="BT141" s="1037"/>
      <c r="BU141" s="1037"/>
      <c r="BV141" s="1037"/>
      <c r="BW141" s="1037"/>
      <c r="BX141" s="1037"/>
      <c r="BY141" s="1037"/>
      <c r="BZ141" s="1037"/>
      <c r="CA141" s="1037"/>
      <c r="CB141" s="1037"/>
      <c r="CC141" s="1037"/>
      <c r="CD141" s="1037"/>
      <c r="CE141" s="1037"/>
      <c r="CF141" s="1037"/>
      <c r="CG141" s="1037"/>
      <c r="CH141" s="1037"/>
      <c r="CI141" s="1037"/>
      <c r="CJ141" s="1037"/>
      <c r="CK141" s="1037"/>
      <c r="CL141" s="1037"/>
      <c r="CM141" s="1037"/>
      <c r="CN141" s="1037"/>
      <c r="CO141" s="1037"/>
      <c r="CP141" s="1037"/>
      <c r="CQ141" s="1037"/>
      <c r="CR141" s="1037"/>
      <c r="CS141" s="1037"/>
      <c r="CT141" s="1037"/>
      <c r="CU141" s="1037"/>
      <c r="CV141" s="1037"/>
      <c r="CW141" s="1037"/>
      <c r="CX141" s="1037"/>
      <c r="CY141" s="1037"/>
      <c r="CZ141" s="1037"/>
      <c r="DA141" s="1037"/>
      <c r="DB141" s="1037"/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7"/>
      <c r="DN141" s="1037"/>
      <c r="DO141" s="1037"/>
      <c r="DP141" s="1037"/>
      <c r="DQ141" s="1037"/>
      <c r="DR141" s="1037"/>
      <c r="DS141" s="1037"/>
      <c r="DT141" s="1037"/>
      <c r="DU141" s="1037"/>
      <c r="DV141" s="1037"/>
      <c r="DW141" s="1037"/>
      <c r="DX141" s="1037"/>
      <c r="DY141" s="1037"/>
      <c r="DZ141" s="1037"/>
      <c r="EA141" s="1037"/>
      <c r="EB141" s="1037"/>
      <c r="EC141" s="1037"/>
      <c r="ED141" s="1037"/>
      <c r="EE141" s="1037"/>
      <c r="EF141" s="1037"/>
      <c r="EG141" s="1037"/>
      <c r="EH141" s="1037"/>
      <c r="EI141" s="1037"/>
      <c r="EJ141" s="1037"/>
      <c r="EK141" s="1037"/>
      <c r="EL141" s="1037"/>
      <c r="EM141" s="1037"/>
      <c r="EN141" s="1037"/>
      <c r="EO141" s="1037"/>
      <c r="EP141" s="1037"/>
      <c r="EQ141" s="1037"/>
      <c r="ER141" s="1037"/>
      <c r="ES141" s="1037"/>
      <c r="ET141" s="1037"/>
      <c r="EU141" s="1037"/>
      <c r="EV141" s="1037"/>
      <c r="EW141" s="1037"/>
      <c r="EX141" s="1037"/>
      <c r="EY141" s="1037"/>
      <c r="EZ141" s="1037"/>
      <c r="FA141" s="1037"/>
      <c r="FB141" s="1037"/>
      <c r="FC141" s="1037"/>
      <c r="FD141" s="1037"/>
      <c r="FE141" s="1037"/>
      <c r="FF141" s="1037"/>
      <c r="FG141" s="1037"/>
      <c r="FH141" s="1037"/>
      <c r="FI141" s="1037"/>
      <c r="FJ141" s="1037"/>
      <c r="FK141" s="1037"/>
      <c r="FL141" s="1037"/>
      <c r="FM141" s="1037"/>
      <c r="FN141" s="1037"/>
      <c r="FO141" s="1037"/>
      <c r="FP141" s="1037"/>
      <c r="FQ141" s="1037"/>
      <c r="FR141" s="1037"/>
      <c r="FS141" s="1037"/>
      <c r="FT141" s="1037"/>
      <c r="FU141" s="1037"/>
      <c r="FV141" s="1037"/>
      <c r="FW141" s="1037"/>
      <c r="FX141" s="1037"/>
      <c r="FY141" s="1037"/>
      <c r="FZ141" s="1037"/>
      <c r="GA141" s="1037"/>
      <c r="GB141" s="1037"/>
      <c r="GC141" s="1037"/>
      <c r="GD141" s="1037"/>
      <c r="GE141" s="1037"/>
      <c r="GF141" s="1037"/>
      <c r="GG141" s="1037"/>
      <c r="GH141" s="1037"/>
      <c r="GI141" s="1037"/>
      <c r="GJ141" s="1037"/>
      <c r="GK141" s="1037"/>
      <c r="GL141" s="1037"/>
      <c r="GM141" s="1037"/>
      <c r="GN141" s="1037"/>
      <c r="GO141" s="1037"/>
      <c r="GP141" s="1037"/>
      <c r="GQ141" s="1037"/>
      <c r="GR141" s="1037"/>
      <c r="GS141" s="1037"/>
      <c r="GT141" s="1037"/>
      <c r="GU141" s="1037"/>
      <c r="GV141" s="1037"/>
      <c r="GW141" s="1037"/>
      <c r="GX141" s="1037"/>
      <c r="GY141" s="1037"/>
      <c r="GZ141" s="1037"/>
      <c r="HA141" s="1037"/>
      <c r="HB141" s="1037"/>
      <c r="HC141" s="1037"/>
      <c r="HD141" s="1037"/>
      <c r="HE141" s="1037"/>
      <c r="HF141" s="1037"/>
      <c r="HG141" s="1037"/>
      <c r="HH141" s="1037"/>
      <c r="HI141" s="1037"/>
      <c r="HJ141" s="1037"/>
      <c r="HK141" s="1037"/>
      <c r="HL141" s="1037"/>
      <c r="HM141" s="1037"/>
      <c r="HN141" s="1037"/>
      <c r="HO141" s="1037"/>
      <c r="HP141" s="1037"/>
      <c r="HQ141" s="1037"/>
      <c r="HR141" s="1037"/>
      <c r="HS141" s="1037"/>
      <c r="HT141" s="1037"/>
      <c r="HU141" s="1037"/>
      <c r="HV141" s="1037"/>
      <c r="HW141" s="1037"/>
      <c r="HX141" s="1037"/>
      <c r="HY141" s="1037"/>
      <c r="HZ141" s="1037"/>
      <c r="IA141" s="1037"/>
      <c r="IB141" s="1037"/>
      <c r="IC141" s="1037"/>
      <c r="ID141" s="1037"/>
      <c r="IE141" s="1037"/>
      <c r="IF141" s="1037"/>
      <c r="IG141" s="1037"/>
      <c r="IH141" s="1037"/>
      <c r="II141" s="1037"/>
      <c r="IJ141" s="1037"/>
      <c r="IK141" s="1037"/>
      <c r="IL141" s="1037"/>
      <c r="IM141" s="1037"/>
      <c r="IN141" s="1037"/>
    </row>
    <row r="142" spans="1:248" ht="16.2">
      <c r="A142" s="701" t="s">
        <v>20</v>
      </c>
      <c r="B142" s="703">
        <v>4482.5</v>
      </c>
      <c r="C142" s="1038">
        <f t="shared" si="24"/>
        <v>34.085638026873092</v>
      </c>
      <c r="D142" s="704">
        <v>4374.3</v>
      </c>
      <c r="E142" s="1038">
        <f t="shared" si="25"/>
        <v>33.262868136296923</v>
      </c>
      <c r="F142" s="1038">
        <f t="shared" si="26"/>
        <v>108.19999999999982</v>
      </c>
      <c r="G142" s="1038">
        <f t="shared" si="27"/>
        <v>0.82276989057616567</v>
      </c>
      <c r="H142" s="26">
        <v>13150.7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7"/>
      <c r="AB142" s="1037"/>
      <c r="AC142" s="1037"/>
      <c r="AD142" s="1037"/>
      <c r="AE142" s="1037"/>
      <c r="AF142" s="1037"/>
      <c r="AG142" s="1037"/>
      <c r="AH142" s="1037"/>
      <c r="AI142" s="1037"/>
      <c r="AJ142" s="1037"/>
      <c r="AK142" s="1037"/>
      <c r="AL142" s="1037"/>
      <c r="AM142" s="1037"/>
      <c r="AN142" s="1037"/>
      <c r="AO142" s="1037"/>
      <c r="AP142" s="1037"/>
      <c r="AQ142" s="1037"/>
      <c r="AR142" s="1037"/>
      <c r="AS142" s="1037"/>
      <c r="AT142" s="1037"/>
      <c r="AU142" s="1037"/>
      <c r="AV142" s="1037"/>
      <c r="AW142" s="1037"/>
      <c r="AX142" s="1037"/>
      <c r="AY142" s="1037"/>
      <c r="AZ142" s="1037"/>
      <c r="BA142" s="1037"/>
      <c r="BB142" s="1037"/>
      <c r="BC142" s="1037"/>
      <c r="BD142" s="1037"/>
      <c r="BE142" s="1037"/>
      <c r="BF142" s="1037"/>
      <c r="BG142" s="1037"/>
      <c r="BH142" s="1037"/>
      <c r="BI142" s="1037"/>
      <c r="BJ142" s="1037"/>
      <c r="BK142" s="1037"/>
      <c r="BL142" s="1037"/>
      <c r="BM142" s="1037"/>
      <c r="BN142" s="1037"/>
      <c r="BO142" s="1037"/>
      <c r="BP142" s="1037"/>
      <c r="BQ142" s="1037"/>
      <c r="BR142" s="1037"/>
      <c r="BS142" s="1037"/>
      <c r="BT142" s="1037"/>
      <c r="BU142" s="1037"/>
      <c r="BV142" s="1037"/>
      <c r="BW142" s="1037"/>
      <c r="BX142" s="1037"/>
      <c r="BY142" s="1037"/>
      <c r="BZ142" s="1037"/>
      <c r="CA142" s="1037"/>
      <c r="CB142" s="1037"/>
      <c r="CC142" s="1037"/>
      <c r="CD142" s="1037"/>
      <c r="CE142" s="1037"/>
      <c r="CF142" s="1037"/>
      <c r="CG142" s="1037"/>
      <c r="CH142" s="1037"/>
      <c r="CI142" s="1037"/>
      <c r="CJ142" s="1037"/>
      <c r="CK142" s="1037"/>
      <c r="CL142" s="1037"/>
      <c r="CM142" s="1037"/>
      <c r="CN142" s="1037"/>
      <c r="CO142" s="1037"/>
      <c r="CP142" s="1037"/>
      <c r="CQ142" s="1037"/>
      <c r="CR142" s="1037"/>
      <c r="CS142" s="1037"/>
      <c r="CT142" s="1037"/>
      <c r="CU142" s="1037"/>
      <c r="CV142" s="1037"/>
      <c r="CW142" s="1037"/>
      <c r="CX142" s="1037"/>
      <c r="CY142" s="1037"/>
      <c r="CZ142" s="1037"/>
      <c r="DA142" s="1037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7"/>
      <c r="DN142" s="1037"/>
      <c r="DO142" s="1037"/>
      <c r="DP142" s="1037"/>
      <c r="DQ142" s="1037"/>
      <c r="DR142" s="1037"/>
      <c r="DS142" s="1037"/>
      <c r="DT142" s="1037"/>
      <c r="DU142" s="1037"/>
      <c r="DV142" s="1037"/>
      <c r="DW142" s="1037"/>
      <c r="DX142" s="1037"/>
      <c r="DY142" s="1037"/>
      <c r="DZ142" s="1037"/>
      <c r="EA142" s="1037"/>
      <c r="EB142" s="1037"/>
      <c r="EC142" s="1037"/>
      <c r="ED142" s="1037"/>
      <c r="EE142" s="1037"/>
      <c r="EF142" s="1037"/>
      <c r="EG142" s="1037"/>
      <c r="EH142" s="1037"/>
      <c r="EI142" s="1037"/>
      <c r="EJ142" s="1037"/>
      <c r="EK142" s="1037"/>
      <c r="EL142" s="1037"/>
      <c r="EM142" s="1037"/>
      <c r="EN142" s="1037"/>
      <c r="EO142" s="1037"/>
      <c r="EP142" s="1037"/>
      <c r="EQ142" s="1037"/>
      <c r="ER142" s="1037"/>
      <c r="ES142" s="1037"/>
      <c r="ET142" s="1037"/>
      <c r="EU142" s="1037"/>
      <c r="EV142" s="1037"/>
      <c r="EW142" s="1037"/>
      <c r="EX142" s="1037"/>
      <c r="EY142" s="1037"/>
      <c r="EZ142" s="1037"/>
      <c r="FA142" s="1037"/>
      <c r="FB142" s="1037"/>
      <c r="FC142" s="1037"/>
      <c r="FD142" s="1037"/>
      <c r="FE142" s="1037"/>
      <c r="FF142" s="1037"/>
      <c r="FG142" s="1037"/>
      <c r="FH142" s="1037"/>
      <c r="FI142" s="1037"/>
      <c r="FJ142" s="1037"/>
      <c r="FK142" s="1037"/>
      <c r="FL142" s="1037"/>
      <c r="FM142" s="1037"/>
      <c r="FN142" s="1037"/>
      <c r="FO142" s="1037"/>
      <c r="FP142" s="1037"/>
      <c r="FQ142" s="1037"/>
      <c r="FR142" s="1037"/>
      <c r="FS142" s="1037"/>
      <c r="FT142" s="1037"/>
      <c r="FU142" s="1037"/>
      <c r="FV142" s="1037"/>
      <c r="FW142" s="1037"/>
      <c r="FX142" s="1037"/>
      <c r="FY142" s="1037"/>
      <c r="FZ142" s="1037"/>
      <c r="GA142" s="1037"/>
      <c r="GB142" s="1037"/>
      <c r="GC142" s="1037"/>
      <c r="GD142" s="1037"/>
      <c r="GE142" s="1037"/>
      <c r="GF142" s="1037"/>
      <c r="GG142" s="1037"/>
      <c r="GH142" s="1037"/>
      <c r="GI142" s="1037"/>
      <c r="GJ142" s="1037"/>
      <c r="GK142" s="1037"/>
      <c r="GL142" s="1037"/>
      <c r="GM142" s="1037"/>
      <c r="GN142" s="1037"/>
      <c r="GO142" s="1037"/>
      <c r="GP142" s="1037"/>
      <c r="GQ142" s="1037"/>
      <c r="GR142" s="1037"/>
      <c r="GS142" s="1037"/>
      <c r="GT142" s="1037"/>
      <c r="GU142" s="1037"/>
      <c r="GV142" s="1037"/>
      <c r="GW142" s="1037"/>
      <c r="GX142" s="1037"/>
      <c r="GY142" s="1037"/>
      <c r="GZ142" s="1037"/>
      <c r="HA142" s="1037"/>
      <c r="HB142" s="1037"/>
      <c r="HC142" s="1037"/>
      <c r="HD142" s="1037"/>
      <c r="HE142" s="1037"/>
      <c r="HF142" s="1037"/>
      <c r="HG142" s="1037"/>
      <c r="HH142" s="1037"/>
      <c r="HI142" s="1037"/>
      <c r="HJ142" s="1037"/>
      <c r="HK142" s="1037"/>
      <c r="HL142" s="1037"/>
      <c r="HM142" s="1037"/>
      <c r="HN142" s="1037"/>
      <c r="HO142" s="1037"/>
      <c r="HP142" s="1037"/>
      <c r="HQ142" s="1037"/>
      <c r="HR142" s="1037"/>
      <c r="HS142" s="1037"/>
      <c r="HT142" s="1037"/>
      <c r="HU142" s="1037"/>
      <c r="HV142" s="1037"/>
      <c r="HW142" s="1037"/>
      <c r="HX142" s="1037"/>
      <c r="HY142" s="1037"/>
      <c r="HZ142" s="1037"/>
      <c r="IA142" s="1037"/>
      <c r="IB142" s="1037"/>
      <c r="IC142" s="1037"/>
      <c r="ID142" s="1037"/>
      <c r="IE142" s="1037"/>
      <c r="IF142" s="1037"/>
      <c r="IG142" s="1037"/>
      <c r="IH142" s="1037"/>
      <c r="II142" s="1037"/>
      <c r="IJ142" s="1037"/>
      <c r="IK142" s="1037"/>
      <c r="IL142" s="1037"/>
      <c r="IM142" s="1037"/>
      <c r="IN142" s="1037"/>
    </row>
    <row r="143" spans="1:248" ht="16.2">
      <c r="A143" s="701" t="s">
        <v>21</v>
      </c>
      <c r="B143" s="703">
        <v>6471.3</v>
      </c>
      <c r="C143" s="1038">
        <f t="shared" si="24"/>
        <v>35.544289614034703</v>
      </c>
      <c r="D143" s="704">
        <v>6068.7</v>
      </c>
      <c r="E143" s="1038">
        <f t="shared" si="25"/>
        <v>33.332967159719438</v>
      </c>
      <c r="F143" s="1038">
        <f t="shared" si="26"/>
        <v>402.60000000000036</v>
      </c>
      <c r="G143" s="1038">
        <f t="shared" si="27"/>
        <v>2.2113224543152668</v>
      </c>
      <c r="H143" s="232">
        <v>18206.3</v>
      </c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7"/>
      <c r="AB143" s="1037"/>
      <c r="AC143" s="1037"/>
      <c r="AD143" s="1037"/>
      <c r="AE143" s="1037"/>
      <c r="AF143" s="1037"/>
      <c r="AG143" s="1037"/>
      <c r="AH143" s="1037"/>
      <c r="AI143" s="1037"/>
      <c r="AJ143" s="1037"/>
      <c r="AK143" s="1037"/>
      <c r="AL143" s="1037"/>
      <c r="AM143" s="1037"/>
      <c r="AN143" s="1037"/>
      <c r="AO143" s="1037"/>
      <c r="AP143" s="1037"/>
      <c r="AQ143" s="1037"/>
      <c r="AR143" s="1037"/>
      <c r="AS143" s="1037"/>
      <c r="AT143" s="1037"/>
      <c r="AU143" s="1037"/>
      <c r="AV143" s="1037"/>
      <c r="AW143" s="1037"/>
      <c r="AX143" s="1037"/>
      <c r="AY143" s="1037"/>
      <c r="AZ143" s="1037"/>
      <c r="BA143" s="1037"/>
      <c r="BB143" s="1037"/>
      <c r="BC143" s="1037"/>
      <c r="BD143" s="1037"/>
      <c r="BE143" s="1037"/>
      <c r="BF143" s="1037"/>
      <c r="BG143" s="1037"/>
      <c r="BH143" s="1037"/>
      <c r="BI143" s="1037"/>
      <c r="BJ143" s="1037"/>
      <c r="BK143" s="1037"/>
      <c r="BL143" s="1037"/>
      <c r="BM143" s="1037"/>
      <c r="BN143" s="1037"/>
      <c r="BO143" s="1037"/>
      <c r="BP143" s="1037"/>
      <c r="BQ143" s="1037"/>
      <c r="BR143" s="1037"/>
      <c r="BS143" s="1037"/>
      <c r="BT143" s="1037"/>
      <c r="BU143" s="1037"/>
      <c r="BV143" s="1037"/>
      <c r="BW143" s="1037"/>
      <c r="BX143" s="1037"/>
      <c r="BY143" s="1037"/>
      <c r="BZ143" s="1037"/>
      <c r="CA143" s="1037"/>
      <c r="CB143" s="1037"/>
      <c r="CC143" s="1037"/>
      <c r="CD143" s="1037"/>
      <c r="CE143" s="1037"/>
      <c r="CF143" s="1037"/>
      <c r="CG143" s="1037"/>
      <c r="CH143" s="1037"/>
      <c r="CI143" s="1037"/>
      <c r="CJ143" s="1037"/>
      <c r="CK143" s="1037"/>
      <c r="CL143" s="1037"/>
      <c r="CM143" s="1037"/>
      <c r="CN143" s="1037"/>
      <c r="CO143" s="1037"/>
      <c r="CP143" s="1037"/>
      <c r="CQ143" s="1037"/>
      <c r="CR143" s="1037"/>
      <c r="CS143" s="1037"/>
      <c r="CT143" s="1037"/>
      <c r="CU143" s="1037"/>
      <c r="CV143" s="1037"/>
      <c r="CW143" s="1037"/>
      <c r="CX143" s="1037"/>
      <c r="CY143" s="1037"/>
      <c r="CZ143" s="1037"/>
      <c r="DA143" s="1037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7"/>
      <c r="DN143" s="1037"/>
      <c r="DO143" s="1037"/>
      <c r="DP143" s="1037"/>
      <c r="DQ143" s="1037"/>
      <c r="DR143" s="1037"/>
      <c r="DS143" s="1037"/>
      <c r="DT143" s="1037"/>
      <c r="DU143" s="1037"/>
      <c r="DV143" s="1037"/>
      <c r="DW143" s="1037"/>
      <c r="DX143" s="1037"/>
      <c r="DY143" s="1037"/>
      <c r="DZ143" s="1037"/>
      <c r="EA143" s="1037"/>
      <c r="EB143" s="1037"/>
      <c r="EC143" s="1037"/>
      <c r="ED143" s="1037"/>
      <c r="EE143" s="1037"/>
      <c r="EF143" s="1037"/>
      <c r="EG143" s="1037"/>
      <c r="EH143" s="1037"/>
      <c r="EI143" s="1037"/>
      <c r="EJ143" s="1037"/>
      <c r="EK143" s="1037"/>
      <c r="EL143" s="1037"/>
      <c r="EM143" s="1037"/>
      <c r="EN143" s="1037"/>
      <c r="EO143" s="1037"/>
      <c r="EP143" s="1037"/>
      <c r="EQ143" s="1037"/>
      <c r="ER143" s="1037"/>
      <c r="ES143" s="1037"/>
      <c r="ET143" s="1037"/>
      <c r="EU143" s="1037"/>
      <c r="EV143" s="1037"/>
      <c r="EW143" s="1037"/>
      <c r="EX143" s="1037"/>
      <c r="EY143" s="1037"/>
      <c r="EZ143" s="1037"/>
      <c r="FA143" s="1037"/>
      <c r="FB143" s="1037"/>
      <c r="FC143" s="1037"/>
      <c r="FD143" s="1037"/>
      <c r="FE143" s="1037"/>
      <c r="FF143" s="1037"/>
      <c r="FG143" s="1037"/>
      <c r="FH143" s="1037"/>
      <c r="FI143" s="1037"/>
      <c r="FJ143" s="1037"/>
      <c r="FK143" s="1037"/>
      <c r="FL143" s="1037"/>
      <c r="FM143" s="1037"/>
      <c r="FN143" s="1037"/>
      <c r="FO143" s="1037"/>
      <c r="FP143" s="1037"/>
      <c r="FQ143" s="1037"/>
      <c r="FR143" s="1037"/>
      <c r="FS143" s="1037"/>
      <c r="FT143" s="1037"/>
      <c r="FU143" s="1037"/>
      <c r="FV143" s="1037"/>
      <c r="FW143" s="1037"/>
      <c r="FX143" s="1037"/>
      <c r="FY143" s="1037"/>
      <c r="FZ143" s="1037"/>
      <c r="GA143" s="1037"/>
      <c r="GB143" s="1037"/>
      <c r="GC143" s="1037"/>
      <c r="GD143" s="1037"/>
      <c r="GE143" s="1037"/>
      <c r="GF143" s="1037"/>
      <c r="GG143" s="1037"/>
      <c r="GH143" s="1037"/>
      <c r="GI143" s="1037"/>
      <c r="GJ143" s="1037"/>
      <c r="GK143" s="1037"/>
      <c r="GL143" s="1037"/>
      <c r="GM143" s="1037"/>
      <c r="GN143" s="1037"/>
      <c r="GO143" s="1037"/>
      <c r="GP143" s="1037"/>
      <c r="GQ143" s="1037"/>
      <c r="GR143" s="1037"/>
      <c r="GS143" s="1037"/>
      <c r="GT143" s="1037"/>
      <c r="GU143" s="1037"/>
      <c r="GV143" s="1037"/>
      <c r="GW143" s="1037"/>
      <c r="GX143" s="1037"/>
      <c r="GY143" s="1037"/>
      <c r="GZ143" s="1037"/>
      <c r="HA143" s="1037"/>
      <c r="HB143" s="1037"/>
      <c r="HC143" s="1037"/>
      <c r="HD143" s="1037"/>
      <c r="HE143" s="1037"/>
      <c r="HF143" s="1037"/>
      <c r="HG143" s="1037"/>
      <c r="HH143" s="1037"/>
      <c r="HI143" s="1037"/>
      <c r="HJ143" s="1037"/>
      <c r="HK143" s="1037"/>
      <c r="HL143" s="1037"/>
      <c r="HM143" s="1037"/>
      <c r="HN143" s="1037"/>
      <c r="HO143" s="1037"/>
      <c r="HP143" s="1037"/>
      <c r="HQ143" s="1037"/>
      <c r="HR143" s="1037"/>
      <c r="HS143" s="1037"/>
      <c r="HT143" s="1037"/>
      <c r="HU143" s="1037"/>
      <c r="HV143" s="1037"/>
      <c r="HW143" s="1037"/>
      <c r="HX143" s="1037"/>
      <c r="HY143" s="1037"/>
      <c r="HZ143" s="1037"/>
      <c r="IA143" s="1037"/>
      <c r="IB143" s="1037"/>
      <c r="IC143" s="1037"/>
      <c r="ID143" s="1037"/>
      <c r="IE143" s="1037"/>
      <c r="IF143" s="1037"/>
      <c r="IG143" s="1037"/>
      <c r="IH143" s="1037"/>
      <c r="II143" s="1037"/>
      <c r="IJ143" s="1037"/>
      <c r="IK143" s="1037"/>
      <c r="IL143" s="1037"/>
      <c r="IM143" s="1037"/>
      <c r="IN143" s="1037"/>
    </row>
    <row r="144" spans="1:248" ht="16.2">
      <c r="A144" s="701" t="s">
        <v>22</v>
      </c>
      <c r="B144" s="703">
        <v>8023</v>
      </c>
      <c r="C144" s="1038">
        <f t="shared" si="24"/>
        <v>34.220808025660276</v>
      </c>
      <c r="D144" s="704">
        <v>7368.5</v>
      </c>
      <c r="E144" s="1038">
        <f t="shared" si="25"/>
        <v>31.429144202552379</v>
      </c>
      <c r="F144" s="1038">
        <f t="shared" si="26"/>
        <v>654.5</v>
      </c>
      <c r="G144" s="1038">
        <f t="shared" si="27"/>
        <v>2.7916638231078963</v>
      </c>
      <c r="H144" s="233">
        <v>23444.799999999999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7"/>
      <c r="AB144" s="1037"/>
      <c r="AC144" s="1037"/>
      <c r="AD144" s="1037"/>
      <c r="AE144" s="1037"/>
      <c r="AF144" s="1037"/>
      <c r="AG144" s="1037"/>
      <c r="AH144" s="1037"/>
      <c r="AI144" s="1037"/>
      <c r="AJ144" s="1037"/>
      <c r="AK144" s="1037"/>
      <c r="AL144" s="1037"/>
      <c r="AM144" s="1037"/>
      <c r="AN144" s="1037"/>
      <c r="AO144" s="1037"/>
      <c r="AP144" s="1037"/>
      <c r="AQ144" s="1037"/>
      <c r="AR144" s="1037"/>
      <c r="AS144" s="1037"/>
      <c r="AT144" s="1037"/>
      <c r="AU144" s="1037"/>
      <c r="AV144" s="1037"/>
      <c r="AW144" s="1037"/>
      <c r="AX144" s="1037"/>
      <c r="AY144" s="1037"/>
      <c r="AZ144" s="1037"/>
      <c r="BA144" s="1037"/>
      <c r="BB144" s="1037"/>
      <c r="BC144" s="1037"/>
      <c r="BD144" s="1037"/>
      <c r="BE144" s="1037"/>
      <c r="BF144" s="1037"/>
      <c r="BG144" s="1037"/>
      <c r="BH144" s="1037"/>
      <c r="BI144" s="1037"/>
      <c r="BJ144" s="1037"/>
      <c r="BK144" s="1037"/>
      <c r="BL144" s="1037"/>
      <c r="BM144" s="1037"/>
      <c r="BN144" s="1037"/>
      <c r="BO144" s="1037"/>
      <c r="BP144" s="1037"/>
      <c r="BQ144" s="1037"/>
      <c r="BR144" s="1037"/>
      <c r="BS144" s="1037"/>
      <c r="BT144" s="1037"/>
      <c r="BU144" s="1037"/>
      <c r="BV144" s="1037"/>
      <c r="BW144" s="1037"/>
      <c r="BX144" s="1037"/>
      <c r="BY144" s="1037"/>
      <c r="BZ144" s="1037"/>
      <c r="CA144" s="1037"/>
      <c r="CB144" s="1037"/>
      <c r="CC144" s="1037"/>
      <c r="CD144" s="1037"/>
      <c r="CE144" s="1037"/>
      <c r="CF144" s="1037"/>
      <c r="CG144" s="1037"/>
      <c r="CH144" s="1037"/>
      <c r="CI144" s="1037"/>
      <c r="CJ144" s="1037"/>
      <c r="CK144" s="1037"/>
      <c r="CL144" s="1037"/>
      <c r="CM144" s="1037"/>
      <c r="CN144" s="1037"/>
      <c r="CO144" s="1037"/>
      <c r="CP144" s="1037"/>
      <c r="CQ144" s="1037"/>
      <c r="CR144" s="1037"/>
      <c r="CS144" s="1037"/>
      <c r="CT144" s="1037"/>
      <c r="CU144" s="1037"/>
      <c r="CV144" s="1037"/>
      <c r="CW144" s="1037"/>
      <c r="CX144" s="1037"/>
      <c r="CY144" s="1037"/>
      <c r="CZ144" s="1037"/>
      <c r="DA144" s="1037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7"/>
      <c r="DN144" s="1037"/>
      <c r="DO144" s="1037"/>
      <c r="DP144" s="1037"/>
      <c r="DQ144" s="1037"/>
      <c r="DR144" s="1037"/>
      <c r="DS144" s="1037"/>
      <c r="DT144" s="1037"/>
      <c r="DU144" s="1037"/>
      <c r="DV144" s="1037"/>
      <c r="DW144" s="1037"/>
      <c r="DX144" s="1037"/>
      <c r="DY144" s="1037"/>
      <c r="DZ144" s="1037"/>
      <c r="EA144" s="1037"/>
      <c r="EB144" s="1037"/>
      <c r="EC144" s="1037"/>
      <c r="ED144" s="1037"/>
      <c r="EE144" s="1037"/>
      <c r="EF144" s="1037"/>
      <c r="EG144" s="1037"/>
      <c r="EH144" s="1037"/>
      <c r="EI144" s="1037"/>
      <c r="EJ144" s="1037"/>
      <c r="EK144" s="1037"/>
      <c r="EL144" s="1037"/>
      <c r="EM144" s="1037"/>
      <c r="EN144" s="1037"/>
      <c r="EO144" s="1037"/>
      <c r="EP144" s="1037"/>
      <c r="EQ144" s="1037"/>
      <c r="ER144" s="1037"/>
      <c r="ES144" s="1037"/>
      <c r="ET144" s="1037"/>
      <c r="EU144" s="1037"/>
      <c r="EV144" s="1037"/>
      <c r="EW144" s="1037"/>
      <c r="EX144" s="1037"/>
      <c r="EY144" s="1037"/>
      <c r="EZ144" s="1037"/>
      <c r="FA144" s="1037"/>
      <c r="FB144" s="1037"/>
      <c r="FC144" s="1037"/>
      <c r="FD144" s="1037"/>
      <c r="FE144" s="1037"/>
      <c r="FF144" s="1037"/>
      <c r="FG144" s="1037"/>
      <c r="FH144" s="1037"/>
      <c r="FI144" s="1037"/>
      <c r="FJ144" s="1037"/>
      <c r="FK144" s="1037"/>
      <c r="FL144" s="1037"/>
      <c r="FM144" s="1037"/>
      <c r="FN144" s="1037"/>
      <c r="FO144" s="1037"/>
      <c r="FP144" s="1037"/>
      <c r="FQ144" s="1037"/>
      <c r="FR144" s="1037"/>
      <c r="FS144" s="1037"/>
      <c r="FT144" s="1037"/>
      <c r="FU144" s="1037"/>
      <c r="FV144" s="1037"/>
      <c r="FW144" s="1037"/>
      <c r="FX144" s="1037"/>
      <c r="FY144" s="1037"/>
      <c r="FZ144" s="1037"/>
      <c r="GA144" s="1037"/>
      <c r="GB144" s="1037"/>
      <c r="GC144" s="1037"/>
      <c r="GD144" s="1037"/>
      <c r="GE144" s="1037"/>
      <c r="GF144" s="1037"/>
      <c r="GG144" s="1037"/>
      <c r="GH144" s="1037"/>
      <c r="GI144" s="1037"/>
      <c r="GJ144" s="1037"/>
      <c r="GK144" s="1037"/>
      <c r="GL144" s="1037"/>
      <c r="GM144" s="1037"/>
      <c r="GN144" s="1037"/>
      <c r="GO144" s="1037"/>
      <c r="GP144" s="1037"/>
      <c r="GQ144" s="1037"/>
      <c r="GR144" s="1037"/>
      <c r="GS144" s="1037"/>
      <c r="GT144" s="1037"/>
      <c r="GU144" s="1037"/>
      <c r="GV144" s="1037"/>
      <c r="GW144" s="1037"/>
      <c r="GX144" s="1037"/>
      <c r="GY144" s="1037"/>
      <c r="GZ144" s="1037"/>
      <c r="HA144" s="1037"/>
      <c r="HB144" s="1037"/>
      <c r="HC144" s="1037"/>
      <c r="HD144" s="1037"/>
      <c r="HE144" s="1037"/>
      <c r="HF144" s="1037"/>
      <c r="HG144" s="1037"/>
      <c r="HH144" s="1037"/>
      <c r="HI144" s="1037"/>
      <c r="HJ144" s="1037"/>
      <c r="HK144" s="1037"/>
      <c r="HL144" s="1037"/>
      <c r="HM144" s="1037"/>
      <c r="HN144" s="1037"/>
      <c r="HO144" s="1037"/>
      <c r="HP144" s="1037"/>
      <c r="HQ144" s="1037"/>
      <c r="HR144" s="1037"/>
      <c r="HS144" s="1037"/>
      <c r="HT144" s="1037"/>
      <c r="HU144" s="1037"/>
      <c r="HV144" s="1037"/>
      <c r="HW144" s="1037"/>
      <c r="HX144" s="1037"/>
      <c r="HY144" s="1037"/>
      <c r="HZ144" s="1037"/>
      <c r="IA144" s="1037"/>
      <c r="IB144" s="1037"/>
      <c r="IC144" s="1037"/>
      <c r="ID144" s="1037"/>
      <c r="IE144" s="1037"/>
      <c r="IF144" s="1037"/>
      <c r="IG144" s="1037"/>
      <c r="IH144" s="1037"/>
      <c r="II144" s="1037"/>
      <c r="IJ144" s="1037"/>
      <c r="IK144" s="1037"/>
      <c r="IL144" s="1037"/>
      <c r="IM144" s="1037"/>
      <c r="IN144" s="1037"/>
    </row>
    <row r="145" spans="1:248" ht="16.2">
      <c r="A145" s="701" t="s">
        <v>23</v>
      </c>
      <c r="B145" s="703">
        <v>9338.9</v>
      </c>
      <c r="C145" s="1038">
        <f t="shared" si="24"/>
        <v>32.491041297011449</v>
      </c>
      <c r="D145" s="704">
        <v>8723.9</v>
      </c>
      <c r="E145" s="1038">
        <f t="shared" si="25"/>
        <v>30.351389903628707</v>
      </c>
      <c r="F145" s="1038">
        <f t="shared" si="26"/>
        <v>615</v>
      </c>
      <c r="G145" s="1038">
        <f t="shared" si="27"/>
        <v>2.1396513933827364</v>
      </c>
      <c r="H145" s="234">
        <v>28743</v>
      </c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7"/>
      <c r="AB145" s="1037"/>
      <c r="AC145" s="1037"/>
      <c r="AD145" s="1037"/>
      <c r="AE145" s="1037"/>
      <c r="AF145" s="1037"/>
      <c r="AG145" s="1037"/>
      <c r="AH145" s="1037"/>
      <c r="AI145" s="1037"/>
      <c r="AJ145" s="1037"/>
      <c r="AK145" s="1037"/>
      <c r="AL145" s="1037"/>
      <c r="AM145" s="1037"/>
      <c r="AN145" s="1037"/>
      <c r="AO145" s="1037"/>
      <c r="AP145" s="1037"/>
      <c r="AQ145" s="1037"/>
      <c r="AR145" s="1037"/>
      <c r="AS145" s="1037"/>
      <c r="AT145" s="1037"/>
      <c r="AU145" s="1037"/>
      <c r="AV145" s="1037"/>
      <c r="AW145" s="1037"/>
      <c r="AX145" s="1037"/>
      <c r="AY145" s="1037"/>
      <c r="AZ145" s="1037"/>
      <c r="BA145" s="1037"/>
      <c r="BB145" s="1037"/>
      <c r="BC145" s="1037"/>
      <c r="BD145" s="1037"/>
      <c r="BE145" s="1037"/>
      <c r="BF145" s="1037"/>
      <c r="BG145" s="1037"/>
      <c r="BH145" s="1037"/>
      <c r="BI145" s="1037"/>
      <c r="BJ145" s="1037"/>
      <c r="BK145" s="1037"/>
      <c r="BL145" s="1037"/>
      <c r="BM145" s="1037"/>
      <c r="BN145" s="1037"/>
      <c r="BO145" s="1037"/>
      <c r="BP145" s="1037"/>
      <c r="BQ145" s="1037"/>
      <c r="BR145" s="1037"/>
      <c r="BS145" s="1037"/>
      <c r="BT145" s="1037"/>
      <c r="BU145" s="1037"/>
      <c r="BV145" s="1037"/>
      <c r="BW145" s="1037"/>
      <c r="BX145" s="1037"/>
      <c r="BY145" s="1037"/>
      <c r="BZ145" s="1037"/>
      <c r="CA145" s="1037"/>
      <c r="CB145" s="1037"/>
      <c r="CC145" s="1037"/>
      <c r="CD145" s="1037"/>
      <c r="CE145" s="1037"/>
      <c r="CF145" s="1037"/>
      <c r="CG145" s="1037"/>
      <c r="CH145" s="1037"/>
      <c r="CI145" s="1037"/>
      <c r="CJ145" s="1037"/>
      <c r="CK145" s="1037"/>
      <c r="CL145" s="1037"/>
      <c r="CM145" s="1037"/>
      <c r="CN145" s="1037"/>
      <c r="CO145" s="1037"/>
      <c r="CP145" s="1037"/>
      <c r="CQ145" s="1037"/>
      <c r="CR145" s="1037"/>
      <c r="CS145" s="1037"/>
      <c r="CT145" s="1037"/>
      <c r="CU145" s="1037"/>
      <c r="CV145" s="1037"/>
      <c r="CW145" s="1037"/>
      <c r="CX145" s="1037"/>
      <c r="CY145" s="1037"/>
      <c r="CZ145" s="1037"/>
      <c r="DA145" s="1037"/>
      <c r="DB145" s="1037"/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7"/>
      <c r="DO145" s="1037"/>
      <c r="DP145" s="1037"/>
      <c r="DQ145" s="1037"/>
      <c r="DR145" s="1037"/>
      <c r="DS145" s="1037"/>
      <c r="DT145" s="1037"/>
      <c r="DU145" s="1037"/>
      <c r="DV145" s="1037"/>
      <c r="DW145" s="1037"/>
      <c r="DX145" s="1037"/>
      <c r="DY145" s="1037"/>
      <c r="DZ145" s="1037"/>
      <c r="EA145" s="1037"/>
      <c r="EB145" s="1037"/>
      <c r="EC145" s="1037"/>
      <c r="ED145" s="1037"/>
      <c r="EE145" s="1037"/>
      <c r="EF145" s="1037"/>
      <c r="EG145" s="1037"/>
      <c r="EH145" s="1037"/>
      <c r="EI145" s="1037"/>
      <c r="EJ145" s="1037"/>
      <c r="EK145" s="1037"/>
      <c r="EL145" s="1037"/>
      <c r="EM145" s="1037"/>
      <c r="EN145" s="1037"/>
      <c r="EO145" s="1037"/>
      <c r="EP145" s="1037"/>
      <c r="EQ145" s="1037"/>
      <c r="ER145" s="1037"/>
      <c r="ES145" s="1037"/>
      <c r="ET145" s="1037"/>
      <c r="EU145" s="1037"/>
      <c r="EV145" s="1037"/>
      <c r="EW145" s="1037"/>
      <c r="EX145" s="1037"/>
      <c r="EY145" s="1037"/>
      <c r="EZ145" s="1037"/>
      <c r="FA145" s="1037"/>
      <c r="FB145" s="1037"/>
      <c r="FC145" s="1037"/>
      <c r="FD145" s="1037"/>
      <c r="FE145" s="1037"/>
      <c r="FF145" s="1037"/>
      <c r="FG145" s="1037"/>
      <c r="FH145" s="1037"/>
      <c r="FI145" s="1037"/>
      <c r="FJ145" s="1037"/>
      <c r="FK145" s="1037"/>
      <c r="FL145" s="1037"/>
      <c r="FM145" s="1037"/>
      <c r="FN145" s="1037"/>
      <c r="FO145" s="1037"/>
      <c r="FP145" s="1037"/>
      <c r="FQ145" s="1037"/>
      <c r="FR145" s="1037"/>
      <c r="FS145" s="1037"/>
      <c r="FT145" s="1037"/>
      <c r="FU145" s="1037"/>
      <c r="FV145" s="1037"/>
      <c r="FW145" s="1037"/>
      <c r="FX145" s="1037"/>
      <c r="FY145" s="1037"/>
      <c r="FZ145" s="1037"/>
      <c r="GA145" s="1037"/>
      <c r="GB145" s="1037"/>
      <c r="GC145" s="1037"/>
      <c r="GD145" s="1037"/>
      <c r="GE145" s="1037"/>
      <c r="GF145" s="1037"/>
      <c r="GG145" s="1037"/>
      <c r="GH145" s="1037"/>
      <c r="GI145" s="1037"/>
      <c r="GJ145" s="1037"/>
      <c r="GK145" s="1037"/>
      <c r="GL145" s="1037"/>
      <c r="GM145" s="1037"/>
      <c r="GN145" s="1037"/>
      <c r="GO145" s="1037"/>
      <c r="GP145" s="1037"/>
      <c r="GQ145" s="1037"/>
      <c r="GR145" s="1037"/>
      <c r="GS145" s="1037"/>
      <c r="GT145" s="1037"/>
      <c r="GU145" s="1037"/>
      <c r="GV145" s="1037"/>
      <c r="GW145" s="1037"/>
      <c r="GX145" s="1037"/>
      <c r="GY145" s="1037"/>
      <c r="GZ145" s="1037"/>
      <c r="HA145" s="1037"/>
      <c r="HB145" s="1037"/>
      <c r="HC145" s="1037"/>
      <c r="HD145" s="1037"/>
      <c r="HE145" s="1037"/>
      <c r="HF145" s="1037"/>
      <c r="HG145" s="1037"/>
      <c r="HH145" s="1037"/>
      <c r="HI145" s="1037"/>
      <c r="HJ145" s="1037"/>
      <c r="HK145" s="1037"/>
      <c r="HL145" s="1037"/>
      <c r="HM145" s="1037"/>
      <c r="HN145" s="1037"/>
      <c r="HO145" s="1037"/>
      <c r="HP145" s="1037"/>
      <c r="HQ145" s="1037"/>
      <c r="HR145" s="1037"/>
      <c r="HS145" s="1037"/>
      <c r="HT145" s="1037"/>
      <c r="HU145" s="1037"/>
      <c r="HV145" s="1037"/>
      <c r="HW145" s="1037"/>
      <c r="HX145" s="1037"/>
      <c r="HY145" s="1037"/>
      <c r="HZ145" s="1037"/>
      <c r="IA145" s="1037"/>
      <c r="IB145" s="1037"/>
      <c r="IC145" s="1037"/>
      <c r="ID145" s="1037"/>
      <c r="IE145" s="1037"/>
      <c r="IF145" s="1037"/>
      <c r="IG145" s="1037"/>
      <c r="IH145" s="1037"/>
      <c r="II145" s="1037"/>
      <c r="IJ145" s="1037"/>
      <c r="IK145" s="1037"/>
      <c r="IL145" s="1037"/>
      <c r="IM145" s="1037"/>
      <c r="IN145" s="1037"/>
    </row>
    <row r="146" spans="1:248" ht="16.2">
      <c r="A146" s="701" t="s">
        <v>24</v>
      </c>
      <c r="B146" s="703">
        <v>11087.2</v>
      </c>
      <c r="C146" s="1038">
        <f t="shared" si="24"/>
        <v>32.614399849388732</v>
      </c>
      <c r="D146" s="704">
        <v>10313.200000000001</v>
      </c>
      <c r="E146" s="1038">
        <f t="shared" si="25"/>
        <v>30.337581041806395</v>
      </c>
      <c r="F146" s="1038">
        <f t="shared" si="26"/>
        <v>774</v>
      </c>
      <c r="G146" s="1038">
        <f t="shared" si="27"/>
        <v>2.2768188075823361</v>
      </c>
      <c r="H146" s="234">
        <v>33994.800000000003</v>
      </c>
      <c r="I146" s="1037"/>
      <c r="J146" s="1037"/>
      <c r="K146" s="1037"/>
      <c r="L146" s="1037"/>
      <c r="M146" s="1037"/>
      <c r="N146" s="1037"/>
      <c r="O146" s="1037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7"/>
      <c r="AB146" s="1037"/>
      <c r="AC146" s="1037"/>
      <c r="AD146" s="1037"/>
      <c r="AE146" s="1037"/>
      <c r="AF146" s="1037"/>
      <c r="AG146" s="1037"/>
      <c r="AH146" s="1037"/>
      <c r="AI146" s="1037"/>
      <c r="AJ146" s="1037"/>
      <c r="AK146" s="1037"/>
      <c r="AL146" s="1037"/>
      <c r="AM146" s="1037"/>
      <c r="AN146" s="1037"/>
      <c r="AO146" s="1037"/>
      <c r="AP146" s="1037"/>
      <c r="AQ146" s="1037"/>
      <c r="AR146" s="1037"/>
      <c r="AS146" s="1037"/>
      <c r="AT146" s="1037"/>
      <c r="AU146" s="1037"/>
      <c r="AV146" s="1037"/>
      <c r="AW146" s="1037"/>
      <c r="AX146" s="1037"/>
      <c r="AY146" s="1037"/>
      <c r="AZ146" s="1037"/>
      <c r="BA146" s="1037"/>
      <c r="BB146" s="1037"/>
      <c r="BC146" s="1037"/>
      <c r="BD146" s="1037"/>
      <c r="BE146" s="1037"/>
      <c r="BF146" s="1037"/>
      <c r="BG146" s="1037"/>
      <c r="BH146" s="1037"/>
      <c r="BI146" s="1037"/>
      <c r="BJ146" s="1037"/>
      <c r="BK146" s="1037"/>
      <c r="BL146" s="1037"/>
      <c r="BM146" s="1037"/>
      <c r="BN146" s="1037"/>
      <c r="BO146" s="1037"/>
      <c r="BP146" s="1037"/>
      <c r="BQ146" s="1037"/>
      <c r="BR146" s="1037"/>
      <c r="BS146" s="1037"/>
      <c r="BT146" s="1037"/>
      <c r="BU146" s="1037"/>
      <c r="BV146" s="1037"/>
      <c r="BW146" s="1037"/>
      <c r="BX146" s="1037"/>
      <c r="BY146" s="1037"/>
      <c r="BZ146" s="1037"/>
      <c r="CA146" s="1037"/>
      <c r="CB146" s="1037"/>
      <c r="CC146" s="1037"/>
      <c r="CD146" s="1037"/>
      <c r="CE146" s="1037"/>
      <c r="CF146" s="1037"/>
      <c r="CG146" s="1037"/>
      <c r="CH146" s="1037"/>
      <c r="CI146" s="1037"/>
      <c r="CJ146" s="1037"/>
      <c r="CK146" s="1037"/>
      <c r="CL146" s="1037"/>
      <c r="CM146" s="1037"/>
      <c r="CN146" s="1037"/>
      <c r="CO146" s="1037"/>
      <c r="CP146" s="1037"/>
      <c r="CQ146" s="1037"/>
      <c r="CR146" s="1037"/>
      <c r="CS146" s="1037"/>
      <c r="CT146" s="1037"/>
      <c r="CU146" s="1037"/>
      <c r="CV146" s="1037"/>
      <c r="CW146" s="1037"/>
      <c r="CX146" s="1037"/>
      <c r="CY146" s="1037"/>
      <c r="CZ146" s="1037"/>
      <c r="DA146" s="1037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7"/>
      <c r="DO146" s="1037"/>
      <c r="DP146" s="1037"/>
      <c r="DQ146" s="1037"/>
      <c r="DR146" s="1037"/>
      <c r="DS146" s="1037"/>
      <c r="DT146" s="1037"/>
      <c r="DU146" s="1037"/>
      <c r="DV146" s="1037"/>
      <c r="DW146" s="1037"/>
      <c r="DX146" s="1037"/>
      <c r="DY146" s="1037"/>
      <c r="DZ146" s="1037"/>
      <c r="EA146" s="1037"/>
      <c r="EB146" s="1037"/>
      <c r="EC146" s="1037"/>
      <c r="ED146" s="1037"/>
      <c r="EE146" s="1037"/>
      <c r="EF146" s="1037"/>
      <c r="EG146" s="1037"/>
      <c r="EH146" s="1037"/>
      <c r="EI146" s="1037"/>
      <c r="EJ146" s="1037"/>
      <c r="EK146" s="1037"/>
      <c r="EL146" s="1037"/>
      <c r="EM146" s="1037"/>
      <c r="EN146" s="1037"/>
      <c r="EO146" s="1037"/>
      <c r="EP146" s="1037"/>
      <c r="EQ146" s="1037"/>
      <c r="ER146" s="1037"/>
      <c r="ES146" s="1037"/>
      <c r="ET146" s="1037"/>
      <c r="EU146" s="1037"/>
      <c r="EV146" s="1037"/>
      <c r="EW146" s="1037"/>
      <c r="EX146" s="1037"/>
      <c r="EY146" s="1037"/>
      <c r="EZ146" s="1037"/>
      <c r="FA146" s="1037"/>
      <c r="FB146" s="1037"/>
      <c r="FC146" s="1037"/>
      <c r="FD146" s="1037"/>
      <c r="FE146" s="1037"/>
      <c r="FF146" s="1037"/>
      <c r="FG146" s="1037"/>
      <c r="FH146" s="1037"/>
      <c r="FI146" s="1037"/>
      <c r="FJ146" s="1037"/>
      <c r="FK146" s="1037"/>
      <c r="FL146" s="1037"/>
      <c r="FM146" s="1037"/>
      <c r="FN146" s="1037"/>
      <c r="FO146" s="1037"/>
      <c r="FP146" s="1037"/>
      <c r="FQ146" s="1037"/>
      <c r="FR146" s="1037"/>
      <c r="FS146" s="1037"/>
      <c r="FT146" s="1037"/>
      <c r="FU146" s="1037"/>
      <c r="FV146" s="1037"/>
      <c r="FW146" s="1037"/>
      <c r="FX146" s="1037"/>
      <c r="FY146" s="1037"/>
      <c r="FZ146" s="1037"/>
      <c r="GA146" s="1037"/>
      <c r="GB146" s="1037"/>
      <c r="GC146" s="1037"/>
      <c r="GD146" s="1037"/>
      <c r="GE146" s="1037"/>
      <c r="GF146" s="1037"/>
      <c r="GG146" s="1037"/>
      <c r="GH146" s="1037"/>
      <c r="GI146" s="1037"/>
      <c r="GJ146" s="1037"/>
      <c r="GK146" s="1037"/>
      <c r="GL146" s="1037"/>
      <c r="GM146" s="1037"/>
      <c r="GN146" s="1037"/>
      <c r="GO146" s="1037"/>
      <c r="GP146" s="1037"/>
      <c r="GQ146" s="1037"/>
      <c r="GR146" s="1037"/>
      <c r="GS146" s="1037"/>
      <c r="GT146" s="1037"/>
      <c r="GU146" s="1037"/>
      <c r="GV146" s="1037"/>
      <c r="GW146" s="1037"/>
      <c r="GX146" s="1037"/>
      <c r="GY146" s="1037"/>
      <c r="GZ146" s="1037"/>
      <c r="HA146" s="1037"/>
      <c r="HB146" s="1037"/>
      <c r="HC146" s="1037"/>
      <c r="HD146" s="1037"/>
      <c r="HE146" s="1037"/>
      <c r="HF146" s="1037"/>
      <c r="HG146" s="1037"/>
      <c r="HH146" s="1037"/>
      <c r="HI146" s="1037"/>
      <c r="HJ146" s="1037"/>
      <c r="HK146" s="1037"/>
      <c r="HL146" s="1037"/>
      <c r="HM146" s="1037"/>
      <c r="HN146" s="1037"/>
      <c r="HO146" s="1037"/>
      <c r="HP146" s="1037"/>
      <c r="HQ146" s="1037"/>
      <c r="HR146" s="1037"/>
      <c r="HS146" s="1037"/>
      <c r="HT146" s="1037"/>
      <c r="HU146" s="1037"/>
      <c r="HV146" s="1037"/>
      <c r="HW146" s="1037"/>
      <c r="HX146" s="1037"/>
      <c r="HY146" s="1037"/>
      <c r="HZ146" s="1037"/>
      <c r="IA146" s="1037"/>
      <c r="IB146" s="1037"/>
      <c r="IC146" s="1037"/>
      <c r="ID146" s="1037"/>
      <c r="IE146" s="1037"/>
      <c r="IF146" s="1037"/>
      <c r="IG146" s="1037"/>
      <c r="IH146" s="1037"/>
      <c r="II146" s="1037"/>
      <c r="IJ146" s="1037"/>
      <c r="IK146" s="1037"/>
      <c r="IL146" s="1037"/>
      <c r="IM146" s="1037"/>
      <c r="IN146" s="1037"/>
    </row>
    <row r="147" spans="1:248" ht="16.2">
      <c r="A147" s="701" t="s">
        <v>25</v>
      </c>
      <c r="B147" s="703">
        <v>12407.3</v>
      </c>
      <c r="C147" s="1038">
        <v>31.674223161678356</v>
      </c>
      <c r="D147" s="704">
        <v>11468.9</v>
      </c>
      <c r="E147" s="1038">
        <v>29.278610013377037</v>
      </c>
      <c r="F147" s="1038">
        <v>938.39999999999964</v>
      </c>
      <c r="G147" s="1038">
        <f t="shared" si="27"/>
        <v>2.3956131483013192</v>
      </c>
      <c r="H147" s="234">
        <v>39171.599999999999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7"/>
      <c r="AB147" s="1037"/>
      <c r="AC147" s="1037"/>
      <c r="AD147" s="1037"/>
      <c r="AE147" s="1037"/>
      <c r="AF147" s="1037"/>
      <c r="AG147" s="1037"/>
      <c r="AH147" s="1037"/>
      <c r="AI147" s="1037"/>
      <c r="AJ147" s="1037"/>
      <c r="AK147" s="1037"/>
      <c r="AL147" s="1037"/>
      <c r="AM147" s="1037"/>
      <c r="AN147" s="1037"/>
      <c r="AO147" s="1037"/>
      <c r="AP147" s="1037"/>
      <c r="AQ147" s="1037"/>
      <c r="AR147" s="1037"/>
      <c r="AS147" s="1037"/>
      <c r="AT147" s="1037"/>
      <c r="AU147" s="1037"/>
      <c r="AV147" s="1037"/>
      <c r="AW147" s="1037"/>
      <c r="AX147" s="1037"/>
      <c r="AY147" s="1037"/>
      <c r="AZ147" s="1037"/>
      <c r="BA147" s="1037"/>
      <c r="BB147" s="1037"/>
      <c r="BC147" s="1037"/>
      <c r="BD147" s="1037"/>
      <c r="BE147" s="1037"/>
      <c r="BF147" s="1037"/>
      <c r="BG147" s="1037"/>
      <c r="BH147" s="1037"/>
      <c r="BI147" s="1037"/>
      <c r="BJ147" s="1037"/>
      <c r="BK147" s="1037"/>
      <c r="BL147" s="1037"/>
      <c r="BM147" s="1037"/>
      <c r="BN147" s="1037"/>
      <c r="BO147" s="1037"/>
      <c r="BP147" s="1037"/>
      <c r="BQ147" s="1037"/>
      <c r="BR147" s="1037"/>
      <c r="BS147" s="1037"/>
      <c r="BT147" s="1037"/>
      <c r="BU147" s="1037"/>
      <c r="BV147" s="1037"/>
      <c r="BW147" s="1037"/>
      <c r="BX147" s="1037"/>
      <c r="BY147" s="1037"/>
      <c r="BZ147" s="1037"/>
      <c r="CA147" s="1037"/>
      <c r="CB147" s="1037"/>
      <c r="CC147" s="1037"/>
      <c r="CD147" s="1037"/>
      <c r="CE147" s="1037"/>
      <c r="CF147" s="1037"/>
      <c r="CG147" s="1037"/>
      <c r="CH147" s="1037"/>
      <c r="CI147" s="1037"/>
      <c r="CJ147" s="1037"/>
      <c r="CK147" s="1037"/>
      <c r="CL147" s="1037"/>
      <c r="CM147" s="1037"/>
      <c r="CN147" s="1037"/>
      <c r="CO147" s="1037"/>
      <c r="CP147" s="1037"/>
      <c r="CQ147" s="1037"/>
      <c r="CR147" s="1037"/>
      <c r="CS147" s="1037"/>
      <c r="CT147" s="1037"/>
      <c r="CU147" s="1037"/>
      <c r="CV147" s="1037"/>
      <c r="CW147" s="1037"/>
      <c r="CX147" s="1037"/>
      <c r="CY147" s="1037"/>
      <c r="CZ147" s="1037"/>
      <c r="DA147" s="1037"/>
      <c r="DB147" s="1037"/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7"/>
      <c r="DN147" s="1037"/>
      <c r="DO147" s="1037"/>
      <c r="DP147" s="1037"/>
      <c r="DQ147" s="1037"/>
      <c r="DR147" s="1037"/>
      <c r="DS147" s="1037"/>
      <c r="DT147" s="1037"/>
      <c r="DU147" s="1037"/>
      <c r="DV147" s="1037"/>
      <c r="DW147" s="1037"/>
      <c r="DX147" s="1037"/>
      <c r="DY147" s="1037"/>
      <c r="DZ147" s="1037"/>
      <c r="EA147" s="1037"/>
      <c r="EB147" s="1037"/>
      <c r="EC147" s="1037"/>
      <c r="ED147" s="1037"/>
      <c r="EE147" s="1037"/>
      <c r="EF147" s="1037"/>
      <c r="EG147" s="1037"/>
      <c r="EH147" s="1037"/>
      <c r="EI147" s="1037"/>
      <c r="EJ147" s="1037"/>
      <c r="EK147" s="1037"/>
      <c r="EL147" s="1037"/>
      <c r="EM147" s="1037"/>
      <c r="EN147" s="1037"/>
      <c r="EO147" s="1037"/>
      <c r="EP147" s="1037"/>
      <c r="EQ147" s="1037"/>
      <c r="ER147" s="1037"/>
      <c r="ES147" s="1037"/>
      <c r="ET147" s="1037"/>
      <c r="EU147" s="1037"/>
      <c r="EV147" s="1037"/>
      <c r="EW147" s="1037"/>
      <c r="EX147" s="1037"/>
      <c r="EY147" s="1037"/>
      <c r="EZ147" s="1037"/>
      <c r="FA147" s="1037"/>
      <c r="FB147" s="1037"/>
      <c r="FC147" s="1037"/>
      <c r="FD147" s="1037"/>
      <c r="FE147" s="1037"/>
      <c r="FF147" s="1037"/>
      <c r="FG147" s="1037"/>
      <c r="FH147" s="1037"/>
      <c r="FI147" s="1037"/>
      <c r="FJ147" s="1037"/>
      <c r="FK147" s="1037"/>
      <c r="FL147" s="1037"/>
      <c r="FM147" s="1037"/>
      <c r="FN147" s="1037"/>
      <c r="FO147" s="1037"/>
      <c r="FP147" s="1037"/>
      <c r="FQ147" s="1037"/>
      <c r="FR147" s="1037"/>
      <c r="FS147" s="1037"/>
      <c r="FT147" s="1037"/>
      <c r="FU147" s="1037"/>
      <c r="FV147" s="1037"/>
      <c r="FW147" s="1037"/>
      <c r="FX147" s="1037"/>
      <c r="FY147" s="1037"/>
      <c r="FZ147" s="1037"/>
      <c r="GA147" s="1037"/>
      <c r="GB147" s="1037"/>
      <c r="GC147" s="1037"/>
      <c r="GD147" s="1037"/>
      <c r="GE147" s="1037"/>
      <c r="GF147" s="1037"/>
      <c r="GG147" s="1037"/>
      <c r="GH147" s="1037"/>
      <c r="GI147" s="1037"/>
      <c r="GJ147" s="1037"/>
      <c r="GK147" s="1037"/>
      <c r="GL147" s="1037"/>
      <c r="GM147" s="1037"/>
      <c r="GN147" s="1037"/>
      <c r="GO147" s="1037"/>
      <c r="GP147" s="1037"/>
      <c r="GQ147" s="1037"/>
      <c r="GR147" s="1037"/>
      <c r="GS147" s="1037"/>
      <c r="GT147" s="1037"/>
      <c r="GU147" s="1037"/>
      <c r="GV147" s="1037"/>
      <c r="GW147" s="1037"/>
      <c r="GX147" s="1037"/>
      <c r="GY147" s="1037"/>
      <c r="GZ147" s="1037"/>
      <c r="HA147" s="1037"/>
      <c r="HB147" s="1037"/>
      <c r="HC147" s="1037"/>
      <c r="HD147" s="1037"/>
      <c r="HE147" s="1037"/>
      <c r="HF147" s="1037"/>
      <c r="HG147" s="1037"/>
      <c r="HH147" s="1037"/>
      <c r="HI147" s="1037"/>
      <c r="HJ147" s="1037"/>
      <c r="HK147" s="1037"/>
      <c r="HL147" s="1037"/>
      <c r="HM147" s="1037"/>
      <c r="HN147" s="1037"/>
      <c r="HO147" s="1037"/>
      <c r="HP147" s="1037"/>
      <c r="HQ147" s="1037"/>
      <c r="HR147" s="1037"/>
      <c r="HS147" s="1037"/>
      <c r="HT147" s="1037"/>
      <c r="HU147" s="1037"/>
      <c r="HV147" s="1037"/>
      <c r="HW147" s="1037"/>
      <c r="HX147" s="1037"/>
      <c r="HY147" s="1037"/>
      <c r="HZ147" s="1037"/>
      <c r="IA147" s="1037"/>
      <c r="IB147" s="1037"/>
      <c r="IC147" s="1037"/>
      <c r="ID147" s="1037"/>
      <c r="IE147" s="1037"/>
      <c r="IF147" s="1037"/>
      <c r="IG147" s="1037"/>
      <c r="IH147" s="1037"/>
      <c r="II147" s="1037"/>
      <c r="IJ147" s="1037"/>
      <c r="IK147" s="1037"/>
      <c r="IL147" s="1037"/>
      <c r="IM147" s="1037"/>
      <c r="IN147" s="1037"/>
    </row>
    <row r="148" spans="1:248" ht="16.2">
      <c r="A148" s="701" t="s">
        <v>26</v>
      </c>
      <c r="B148" s="703">
        <v>14070.6</v>
      </c>
      <c r="C148" s="1038">
        <v>31.873309563397317</v>
      </c>
      <c r="D148" s="704">
        <v>12693.5</v>
      </c>
      <c r="E148" s="1038">
        <v>28.753845247749481</v>
      </c>
      <c r="F148" s="1038">
        <v>1377.1000000000004</v>
      </c>
      <c r="G148" s="1038">
        <f t="shared" si="27"/>
        <v>3.1194643156478374</v>
      </c>
      <c r="H148" s="234">
        <v>44145.4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7"/>
      <c r="AB148" s="1037"/>
      <c r="AC148" s="1037"/>
      <c r="AD148" s="1037"/>
      <c r="AE148" s="1037"/>
      <c r="AF148" s="1037"/>
      <c r="AG148" s="1037"/>
      <c r="AH148" s="1037"/>
      <c r="AI148" s="1037"/>
      <c r="AJ148" s="1037"/>
      <c r="AK148" s="1037"/>
      <c r="AL148" s="1037"/>
      <c r="AM148" s="1037"/>
      <c r="AN148" s="1037"/>
      <c r="AO148" s="1037"/>
      <c r="AP148" s="1037"/>
      <c r="AQ148" s="1037"/>
      <c r="AR148" s="1037"/>
      <c r="AS148" s="1037"/>
      <c r="AT148" s="1037"/>
      <c r="AU148" s="1037"/>
      <c r="AV148" s="1037"/>
      <c r="AW148" s="1037"/>
      <c r="AX148" s="1037"/>
      <c r="AY148" s="1037"/>
      <c r="AZ148" s="1037"/>
      <c r="BA148" s="1037"/>
      <c r="BB148" s="1037"/>
      <c r="BC148" s="1037"/>
      <c r="BD148" s="1037"/>
      <c r="BE148" s="1037"/>
      <c r="BF148" s="1037"/>
      <c r="BG148" s="1037"/>
      <c r="BH148" s="1037"/>
      <c r="BI148" s="1037"/>
      <c r="BJ148" s="1037"/>
      <c r="BK148" s="1037"/>
      <c r="BL148" s="1037"/>
      <c r="BM148" s="1037"/>
      <c r="BN148" s="1037"/>
      <c r="BO148" s="1037"/>
      <c r="BP148" s="1037"/>
      <c r="BQ148" s="1037"/>
      <c r="BR148" s="1037"/>
      <c r="BS148" s="1037"/>
      <c r="BT148" s="1037"/>
      <c r="BU148" s="1037"/>
      <c r="BV148" s="1037"/>
      <c r="BW148" s="1037"/>
      <c r="BX148" s="1037"/>
      <c r="BY148" s="1037"/>
      <c r="BZ148" s="1037"/>
      <c r="CA148" s="1037"/>
      <c r="CB148" s="1037"/>
      <c r="CC148" s="1037"/>
      <c r="CD148" s="1037"/>
      <c r="CE148" s="1037"/>
      <c r="CF148" s="1037"/>
      <c r="CG148" s="1037"/>
      <c r="CH148" s="1037"/>
      <c r="CI148" s="1037"/>
      <c r="CJ148" s="1037"/>
      <c r="CK148" s="1037"/>
      <c r="CL148" s="1037"/>
      <c r="CM148" s="1037"/>
      <c r="CN148" s="1037"/>
      <c r="CO148" s="1037"/>
      <c r="CP148" s="1037"/>
      <c r="CQ148" s="1037"/>
      <c r="CR148" s="1037"/>
      <c r="CS148" s="1037"/>
      <c r="CT148" s="1037"/>
      <c r="CU148" s="1037"/>
      <c r="CV148" s="1037"/>
      <c r="CW148" s="1037"/>
      <c r="CX148" s="1037"/>
      <c r="CY148" s="1037"/>
      <c r="CZ148" s="1037"/>
      <c r="DA148" s="1037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7"/>
      <c r="DN148" s="1037"/>
      <c r="DO148" s="1037"/>
      <c r="DP148" s="1037"/>
      <c r="DQ148" s="1037"/>
      <c r="DR148" s="1037"/>
      <c r="DS148" s="1037"/>
      <c r="DT148" s="1037"/>
      <c r="DU148" s="1037"/>
      <c r="DV148" s="1037"/>
      <c r="DW148" s="1037"/>
      <c r="DX148" s="1037"/>
      <c r="DY148" s="1037"/>
      <c r="DZ148" s="1037"/>
      <c r="EA148" s="1037"/>
      <c r="EB148" s="1037"/>
      <c r="EC148" s="1037"/>
      <c r="ED148" s="1037"/>
      <c r="EE148" s="1037"/>
      <c r="EF148" s="1037"/>
      <c r="EG148" s="1037"/>
      <c r="EH148" s="1037"/>
      <c r="EI148" s="1037"/>
      <c r="EJ148" s="1037"/>
      <c r="EK148" s="1037"/>
      <c r="EL148" s="1037"/>
      <c r="EM148" s="1037"/>
      <c r="EN148" s="1037"/>
      <c r="EO148" s="1037"/>
      <c r="EP148" s="1037"/>
      <c r="EQ148" s="1037"/>
      <c r="ER148" s="1037"/>
      <c r="ES148" s="1037"/>
      <c r="ET148" s="1037"/>
      <c r="EU148" s="1037"/>
      <c r="EV148" s="1037"/>
      <c r="EW148" s="1037"/>
      <c r="EX148" s="1037"/>
      <c r="EY148" s="1037"/>
      <c r="EZ148" s="1037"/>
      <c r="FA148" s="1037"/>
      <c r="FB148" s="1037"/>
      <c r="FC148" s="1037"/>
      <c r="FD148" s="1037"/>
      <c r="FE148" s="1037"/>
      <c r="FF148" s="1037"/>
      <c r="FG148" s="1037"/>
      <c r="FH148" s="1037"/>
      <c r="FI148" s="1037"/>
      <c r="FJ148" s="1037"/>
      <c r="FK148" s="1037"/>
      <c r="FL148" s="1037"/>
      <c r="FM148" s="1037"/>
      <c r="FN148" s="1037"/>
      <c r="FO148" s="1037"/>
      <c r="FP148" s="1037"/>
      <c r="FQ148" s="1037"/>
      <c r="FR148" s="1037"/>
      <c r="FS148" s="1037"/>
      <c r="FT148" s="1037"/>
      <c r="FU148" s="1037"/>
      <c r="FV148" s="1037"/>
      <c r="FW148" s="1037"/>
      <c r="FX148" s="1037"/>
      <c r="FY148" s="1037"/>
      <c r="FZ148" s="1037"/>
      <c r="GA148" s="1037"/>
      <c r="GB148" s="1037"/>
      <c r="GC148" s="1037"/>
      <c r="GD148" s="1037"/>
      <c r="GE148" s="1037"/>
      <c r="GF148" s="1037"/>
      <c r="GG148" s="1037"/>
      <c r="GH148" s="1037"/>
      <c r="GI148" s="1037"/>
      <c r="GJ148" s="1037"/>
      <c r="GK148" s="1037"/>
      <c r="GL148" s="1037"/>
      <c r="GM148" s="1037"/>
      <c r="GN148" s="1037"/>
      <c r="GO148" s="1037"/>
      <c r="GP148" s="1037"/>
      <c r="GQ148" s="1037"/>
      <c r="GR148" s="1037"/>
      <c r="GS148" s="1037"/>
      <c r="GT148" s="1037"/>
      <c r="GU148" s="1037"/>
      <c r="GV148" s="1037"/>
      <c r="GW148" s="1037"/>
      <c r="GX148" s="1037"/>
      <c r="GY148" s="1037"/>
      <c r="GZ148" s="1037"/>
      <c r="HA148" s="1037"/>
      <c r="HB148" s="1037"/>
      <c r="HC148" s="1037"/>
      <c r="HD148" s="1037"/>
      <c r="HE148" s="1037"/>
      <c r="HF148" s="1037"/>
      <c r="HG148" s="1037"/>
      <c r="HH148" s="1037"/>
      <c r="HI148" s="1037"/>
      <c r="HJ148" s="1037"/>
      <c r="HK148" s="1037"/>
      <c r="HL148" s="1037"/>
      <c r="HM148" s="1037"/>
      <c r="HN148" s="1037"/>
      <c r="HO148" s="1037"/>
      <c r="HP148" s="1037"/>
      <c r="HQ148" s="1037"/>
      <c r="HR148" s="1037"/>
      <c r="HS148" s="1037"/>
      <c r="HT148" s="1037"/>
      <c r="HU148" s="1037"/>
      <c r="HV148" s="1037"/>
      <c r="HW148" s="1037"/>
      <c r="HX148" s="1037"/>
      <c r="HY148" s="1037"/>
      <c r="HZ148" s="1037"/>
      <c r="IA148" s="1037"/>
      <c r="IB148" s="1037"/>
      <c r="IC148" s="1037"/>
      <c r="ID148" s="1037"/>
      <c r="IE148" s="1037"/>
      <c r="IF148" s="1037"/>
      <c r="IG148" s="1037"/>
      <c r="IH148" s="1037"/>
      <c r="II148" s="1037"/>
      <c r="IJ148" s="1037"/>
      <c r="IK148" s="1037"/>
      <c r="IL148" s="1037"/>
      <c r="IM148" s="1037"/>
      <c r="IN148" s="1037"/>
    </row>
    <row r="149" spans="1:248" ht="16.2">
      <c r="A149" s="701" t="s">
        <v>27</v>
      </c>
      <c r="B149" s="703">
        <v>15786.7</v>
      </c>
      <c r="C149" s="1038">
        <v>32.253195517742952</v>
      </c>
      <c r="D149" s="704">
        <v>13860.8</v>
      </c>
      <c r="E149" s="1038">
        <v>28.157935366438331</v>
      </c>
      <c r="F149" s="1038">
        <v>1925.9000000000015</v>
      </c>
      <c r="G149" s="1038">
        <f t="shared" si="27"/>
        <v>3.9124269683007924</v>
      </c>
      <c r="H149" s="237">
        <v>49225.2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7"/>
      <c r="AB149" s="1037"/>
      <c r="AC149" s="1037"/>
      <c r="AD149" s="1037"/>
      <c r="AE149" s="1037"/>
      <c r="AF149" s="1037"/>
      <c r="AG149" s="1037"/>
      <c r="AH149" s="1037"/>
      <c r="AI149" s="1037"/>
      <c r="AJ149" s="1037"/>
      <c r="AK149" s="1037"/>
      <c r="AL149" s="1037"/>
      <c r="AM149" s="1037"/>
      <c r="AN149" s="1037"/>
      <c r="AO149" s="1037"/>
      <c r="AP149" s="1037"/>
      <c r="AQ149" s="1037"/>
      <c r="AR149" s="1037"/>
      <c r="AS149" s="1037"/>
      <c r="AT149" s="1037"/>
      <c r="AU149" s="1037"/>
      <c r="AV149" s="1037"/>
      <c r="AW149" s="1037"/>
      <c r="AX149" s="1037"/>
      <c r="AY149" s="1037"/>
      <c r="AZ149" s="1037"/>
      <c r="BA149" s="1037"/>
      <c r="BB149" s="1037"/>
      <c r="BC149" s="1037"/>
      <c r="BD149" s="1037"/>
      <c r="BE149" s="1037"/>
      <c r="BF149" s="1037"/>
      <c r="BG149" s="1037"/>
      <c r="BH149" s="1037"/>
      <c r="BI149" s="1037"/>
      <c r="BJ149" s="1037"/>
      <c r="BK149" s="1037"/>
      <c r="BL149" s="1037"/>
      <c r="BM149" s="1037"/>
      <c r="BN149" s="1037"/>
      <c r="BO149" s="1037"/>
      <c r="BP149" s="1037"/>
      <c r="BQ149" s="1037"/>
      <c r="BR149" s="1037"/>
      <c r="BS149" s="1037"/>
      <c r="BT149" s="1037"/>
      <c r="BU149" s="1037"/>
      <c r="BV149" s="1037"/>
      <c r="BW149" s="1037"/>
      <c r="BX149" s="1037"/>
      <c r="BY149" s="1037"/>
      <c r="BZ149" s="1037"/>
      <c r="CA149" s="1037"/>
      <c r="CB149" s="1037"/>
      <c r="CC149" s="1037"/>
      <c r="CD149" s="1037"/>
      <c r="CE149" s="1037"/>
      <c r="CF149" s="1037"/>
      <c r="CG149" s="1037"/>
      <c r="CH149" s="1037"/>
      <c r="CI149" s="1037"/>
      <c r="CJ149" s="1037"/>
      <c r="CK149" s="1037"/>
      <c r="CL149" s="1037"/>
      <c r="CM149" s="1037"/>
      <c r="CN149" s="1037"/>
      <c r="CO149" s="1037"/>
      <c r="CP149" s="1037"/>
      <c r="CQ149" s="1037"/>
      <c r="CR149" s="1037"/>
      <c r="CS149" s="1037"/>
      <c r="CT149" s="1037"/>
      <c r="CU149" s="1037"/>
      <c r="CV149" s="1037"/>
      <c r="CW149" s="1037"/>
      <c r="CX149" s="1037"/>
      <c r="CY149" s="1037"/>
      <c r="CZ149" s="1037"/>
      <c r="DA149" s="1037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7"/>
      <c r="DN149" s="1037"/>
      <c r="DO149" s="1037"/>
      <c r="DP149" s="1037"/>
      <c r="DQ149" s="1037"/>
      <c r="DR149" s="1037"/>
      <c r="DS149" s="1037"/>
      <c r="DT149" s="1037"/>
      <c r="DU149" s="1037"/>
      <c r="DV149" s="1037"/>
      <c r="DW149" s="1037"/>
      <c r="DX149" s="1037"/>
      <c r="DY149" s="1037"/>
      <c r="DZ149" s="1037"/>
      <c r="EA149" s="1037"/>
      <c r="EB149" s="1037"/>
      <c r="EC149" s="1037"/>
      <c r="ED149" s="1037"/>
      <c r="EE149" s="1037"/>
      <c r="EF149" s="1037"/>
      <c r="EG149" s="1037"/>
      <c r="EH149" s="1037"/>
      <c r="EI149" s="1037"/>
      <c r="EJ149" s="1037"/>
      <c r="EK149" s="1037"/>
      <c r="EL149" s="1037"/>
      <c r="EM149" s="1037"/>
      <c r="EN149" s="1037"/>
      <c r="EO149" s="1037"/>
      <c r="EP149" s="1037"/>
      <c r="EQ149" s="1037"/>
      <c r="ER149" s="1037"/>
      <c r="ES149" s="1037"/>
      <c r="ET149" s="1037"/>
      <c r="EU149" s="1037"/>
      <c r="EV149" s="1037"/>
      <c r="EW149" s="1037"/>
      <c r="EX149" s="1037"/>
      <c r="EY149" s="1037"/>
      <c r="EZ149" s="1037"/>
      <c r="FA149" s="1037"/>
      <c r="FB149" s="1037"/>
      <c r="FC149" s="1037"/>
      <c r="FD149" s="1037"/>
      <c r="FE149" s="1037"/>
      <c r="FF149" s="1037"/>
      <c r="FG149" s="1037"/>
      <c r="FH149" s="1037"/>
      <c r="FI149" s="1037"/>
      <c r="FJ149" s="1037"/>
      <c r="FK149" s="1037"/>
      <c r="FL149" s="1037"/>
      <c r="FM149" s="1037"/>
      <c r="FN149" s="1037"/>
      <c r="FO149" s="1037"/>
      <c r="FP149" s="1037"/>
      <c r="FQ149" s="1037"/>
      <c r="FR149" s="1037"/>
      <c r="FS149" s="1037"/>
      <c r="FT149" s="1037"/>
      <c r="FU149" s="1037"/>
      <c r="FV149" s="1037"/>
      <c r="FW149" s="1037"/>
      <c r="FX149" s="1037"/>
      <c r="FY149" s="1037"/>
      <c r="FZ149" s="1037"/>
      <c r="GA149" s="1037"/>
      <c r="GB149" s="1037"/>
      <c r="GC149" s="1037"/>
      <c r="GD149" s="1037"/>
      <c r="GE149" s="1037"/>
      <c r="GF149" s="1037"/>
      <c r="GG149" s="1037"/>
      <c r="GH149" s="1037"/>
      <c r="GI149" s="1037"/>
      <c r="GJ149" s="1037"/>
      <c r="GK149" s="1037"/>
      <c r="GL149" s="1037"/>
      <c r="GM149" s="1037"/>
      <c r="GN149" s="1037"/>
      <c r="GO149" s="1037"/>
      <c r="GP149" s="1037"/>
      <c r="GQ149" s="1037"/>
      <c r="GR149" s="1037"/>
      <c r="GS149" s="1037"/>
      <c r="GT149" s="1037"/>
      <c r="GU149" s="1037"/>
      <c r="GV149" s="1037"/>
      <c r="GW149" s="1037"/>
      <c r="GX149" s="1037"/>
      <c r="GY149" s="1037"/>
      <c r="GZ149" s="1037"/>
      <c r="HA149" s="1037"/>
      <c r="HB149" s="1037"/>
      <c r="HC149" s="1037"/>
      <c r="HD149" s="1037"/>
      <c r="HE149" s="1037"/>
      <c r="HF149" s="1037"/>
      <c r="HG149" s="1037"/>
      <c r="HH149" s="1037"/>
      <c r="HI149" s="1037"/>
      <c r="HJ149" s="1037"/>
      <c r="HK149" s="1037"/>
      <c r="HL149" s="1037"/>
      <c r="HM149" s="1037"/>
      <c r="HN149" s="1037"/>
      <c r="HO149" s="1037"/>
      <c r="HP149" s="1037"/>
      <c r="HQ149" s="1037"/>
      <c r="HR149" s="1037"/>
      <c r="HS149" s="1037"/>
      <c r="HT149" s="1037"/>
      <c r="HU149" s="1037"/>
      <c r="HV149" s="1037"/>
      <c r="HW149" s="1037"/>
      <c r="HX149" s="1037"/>
      <c r="HY149" s="1037"/>
      <c r="HZ149" s="1037"/>
      <c r="IA149" s="1037"/>
      <c r="IB149" s="1037"/>
      <c r="IC149" s="1037"/>
      <c r="ID149" s="1037"/>
      <c r="IE149" s="1037"/>
      <c r="IF149" s="1037"/>
      <c r="IG149" s="1037"/>
      <c r="IH149" s="1037"/>
      <c r="II149" s="1037"/>
      <c r="IJ149" s="1037"/>
      <c r="IK149" s="1037"/>
      <c r="IL149" s="1037"/>
      <c r="IM149" s="1037"/>
      <c r="IN149" s="1037"/>
    </row>
    <row r="150" spans="1:248">
      <c r="A150" s="701" t="s">
        <v>28</v>
      </c>
      <c r="B150" s="703">
        <v>17168.900000000001</v>
      </c>
      <c r="C150" s="1038">
        <f>15876.7/53743.6*100</f>
        <v>29.541564018785493</v>
      </c>
      <c r="D150" s="704">
        <v>15096.9</v>
      </c>
      <c r="E150" s="1038">
        <f>D150/53743.6*100</f>
        <v>28.0906005552289</v>
      </c>
      <c r="F150" s="1038">
        <f>+B150-D150</f>
        <v>2072.0000000000018</v>
      </c>
      <c r="G150" s="1038">
        <f t="shared" si="27"/>
        <v>3.8553427756979475</v>
      </c>
      <c r="H150" s="27">
        <v>53743.6</v>
      </c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7"/>
      <c r="AB150" s="1037"/>
      <c r="AC150" s="1037"/>
      <c r="AD150" s="1037"/>
      <c r="AE150" s="1037"/>
      <c r="AF150" s="1037"/>
      <c r="AG150" s="1037"/>
      <c r="AH150" s="1037"/>
      <c r="AI150" s="1037"/>
      <c r="AJ150" s="1037"/>
      <c r="AK150" s="1037"/>
      <c r="AL150" s="1037"/>
      <c r="AM150" s="1037"/>
      <c r="AN150" s="1037"/>
      <c r="AO150" s="1037"/>
      <c r="AP150" s="1037"/>
      <c r="AQ150" s="1037"/>
      <c r="AR150" s="1037"/>
      <c r="AS150" s="1037"/>
      <c r="AT150" s="1037"/>
      <c r="AU150" s="1037"/>
      <c r="AV150" s="1037"/>
      <c r="AW150" s="1037"/>
      <c r="AX150" s="1037"/>
      <c r="AY150" s="1037"/>
      <c r="AZ150" s="1037"/>
      <c r="BA150" s="1037"/>
      <c r="BB150" s="1037"/>
      <c r="BC150" s="1037"/>
      <c r="BD150" s="1037"/>
      <c r="BE150" s="1037"/>
      <c r="BF150" s="1037"/>
      <c r="BG150" s="1037"/>
      <c r="BH150" s="1037"/>
      <c r="BI150" s="1037"/>
      <c r="BJ150" s="1037"/>
      <c r="BK150" s="1037"/>
      <c r="BL150" s="1037"/>
      <c r="BM150" s="1037"/>
      <c r="BN150" s="1037"/>
      <c r="BO150" s="1037"/>
      <c r="BP150" s="1037"/>
      <c r="BQ150" s="1037"/>
      <c r="BR150" s="1037"/>
      <c r="BS150" s="1037"/>
      <c r="BT150" s="1037"/>
      <c r="BU150" s="1037"/>
      <c r="BV150" s="1037"/>
      <c r="BW150" s="1037"/>
      <c r="BX150" s="1037"/>
      <c r="BY150" s="1037"/>
      <c r="BZ150" s="1037"/>
      <c r="CA150" s="1037"/>
      <c r="CB150" s="1037"/>
      <c r="CC150" s="1037"/>
      <c r="CD150" s="1037"/>
      <c r="CE150" s="1037"/>
      <c r="CF150" s="1037"/>
      <c r="CG150" s="1037"/>
      <c r="CH150" s="1037"/>
      <c r="CI150" s="1037"/>
      <c r="CJ150" s="1037"/>
      <c r="CK150" s="1037"/>
      <c r="CL150" s="1037"/>
      <c r="CM150" s="1037"/>
      <c r="CN150" s="1037"/>
      <c r="CO150" s="1037"/>
      <c r="CP150" s="1037"/>
      <c r="CQ150" s="1037"/>
      <c r="CR150" s="1037"/>
      <c r="CS150" s="1037"/>
      <c r="CT150" s="1037"/>
      <c r="CU150" s="1037"/>
      <c r="CV150" s="1037"/>
      <c r="CW150" s="1037"/>
      <c r="CX150" s="1037"/>
      <c r="CY150" s="1037"/>
      <c r="CZ150" s="1037"/>
      <c r="DA150" s="1037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7"/>
      <c r="DN150" s="1037"/>
      <c r="DO150" s="1037"/>
      <c r="DP150" s="1037"/>
      <c r="DQ150" s="1037"/>
      <c r="DR150" s="1037"/>
      <c r="DS150" s="1037"/>
      <c r="DT150" s="1037"/>
      <c r="DU150" s="1037"/>
      <c r="DV150" s="1037"/>
      <c r="DW150" s="1037"/>
      <c r="DX150" s="1037"/>
      <c r="DY150" s="1037"/>
      <c r="DZ150" s="1037"/>
      <c r="EA150" s="1037"/>
      <c r="EB150" s="1037"/>
      <c r="EC150" s="1037"/>
      <c r="ED150" s="1037"/>
      <c r="EE150" s="1037"/>
      <c r="EF150" s="1037"/>
      <c r="EG150" s="1037"/>
      <c r="EH150" s="1037"/>
      <c r="EI150" s="1037"/>
      <c r="EJ150" s="1037"/>
      <c r="EK150" s="1037"/>
      <c r="EL150" s="1037"/>
      <c r="EM150" s="1037"/>
      <c r="EN150" s="1037"/>
      <c r="EO150" s="1037"/>
      <c r="EP150" s="1037"/>
      <c r="EQ150" s="1037"/>
      <c r="ER150" s="1037"/>
      <c r="ES150" s="1037"/>
      <c r="ET150" s="1037"/>
      <c r="EU150" s="1037"/>
      <c r="EV150" s="1037"/>
      <c r="EW150" s="1037"/>
      <c r="EX150" s="1037"/>
      <c r="EY150" s="1037"/>
      <c r="EZ150" s="1037"/>
      <c r="FA150" s="1037"/>
      <c r="FB150" s="1037"/>
      <c r="FC150" s="1037"/>
      <c r="FD150" s="1037"/>
      <c r="FE150" s="1037"/>
      <c r="FF150" s="1037"/>
      <c r="FG150" s="1037"/>
      <c r="FH150" s="1037"/>
      <c r="FI150" s="1037"/>
      <c r="FJ150" s="1037"/>
      <c r="FK150" s="1037"/>
      <c r="FL150" s="1037"/>
      <c r="FM150" s="1037"/>
      <c r="FN150" s="1037"/>
      <c r="FO150" s="1037"/>
      <c r="FP150" s="1037"/>
      <c r="FQ150" s="1037"/>
      <c r="FR150" s="1037"/>
      <c r="FS150" s="1037"/>
      <c r="FT150" s="1037"/>
      <c r="FU150" s="1037"/>
      <c r="FV150" s="1037"/>
      <c r="FW150" s="1037"/>
      <c r="FX150" s="1037"/>
      <c r="FY150" s="1037"/>
      <c r="FZ150" s="1037"/>
      <c r="GA150" s="1037"/>
      <c r="GB150" s="1037"/>
      <c r="GC150" s="1037"/>
      <c r="GD150" s="1037"/>
      <c r="GE150" s="1037"/>
      <c r="GF150" s="1037"/>
      <c r="GG150" s="1037"/>
      <c r="GH150" s="1037"/>
      <c r="GI150" s="1037"/>
      <c r="GJ150" s="1037"/>
      <c r="GK150" s="1037"/>
      <c r="GL150" s="1037"/>
      <c r="GM150" s="1037"/>
      <c r="GN150" s="1037"/>
      <c r="GO150" s="1037"/>
      <c r="GP150" s="1037"/>
      <c r="GQ150" s="1037"/>
      <c r="GR150" s="1037"/>
      <c r="GS150" s="1037"/>
      <c r="GT150" s="1037"/>
      <c r="GU150" s="1037"/>
      <c r="GV150" s="1037"/>
      <c r="GW150" s="1037"/>
      <c r="GX150" s="1037"/>
      <c r="GY150" s="1037"/>
      <c r="GZ150" s="1037"/>
      <c r="HA150" s="1037"/>
      <c r="HB150" s="1037"/>
      <c r="HC150" s="1037"/>
      <c r="HD150" s="1037"/>
      <c r="HE150" s="1037"/>
      <c r="HF150" s="1037"/>
      <c r="HG150" s="1037"/>
      <c r="HH150" s="1037"/>
      <c r="HI150" s="1037"/>
      <c r="HJ150" s="1037"/>
      <c r="HK150" s="1037"/>
      <c r="HL150" s="1037"/>
      <c r="HM150" s="1037"/>
      <c r="HN150" s="1037"/>
      <c r="HO150" s="1037"/>
      <c r="HP150" s="1037"/>
      <c r="HQ150" s="1037"/>
      <c r="HR150" s="1037"/>
      <c r="HS150" s="1037"/>
      <c r="HT150" s="1037"/>
      <c r="HU150" s="1037"/>
      <c r="HV150" s="1037"/>
      <c r="HW150" s="1037"/>
      <c r="HX150" s="1037"/>
      <c r="HY150" s="1037"/>
      <c r="HZ150" s="1037"/>
      <c r="IA150" s="1037"/>
      <c r="IB150" s="1037"/>
      <c r="IC150" s="1037"/>
      <c r="ID150" s="1037"/>
      <c r="IE150" s="1037"/>
      <c r="IF150" s="1037"/>
      <c r="IG150" s="1037"/>
      <c r="IH150" s="1037"/>
      <c r="II150" s="1037"/>
      <c r="IJ150" s="1037"/>
      <c r="IK150" s="1037"/>
      <c r="IL150" s="1037"/>
      <c r="IM150" s="1037"/>
      <c r="IN150" s="1037"/>
    </row>
    <row r="151" spans="1:248">
      <c r="A151" s="701" t="s">
        <v>29</v>
      </c>
      <c r="B151" s="703">
        <v>18400.599999999999</v>
      </c>
      <c r="C151" s="1038">
        <v>31.199027430660347</v>
      </c>
      <c r="D151" s="704">
        <v>18709</v>
      </c>
      <c r="E151" s="1038">
        <v>31.705658739390074</v>
      </c>
      <c r="F151" s="1038">
        <v>-308.40000000000146</v>
      </c>
      <c r="G151" s="1038">
        <f t="shared" si="27"/>
        <v>-0.52258697497716888</v>
      </c>
      <c r="H151" s="27">
        <v>59014.1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7"/>
      <c r="AB151" s="1037"/>
      <c r="AC151" s="1037"/>
      <c r="AD151" s="1037"/>
      <c r="AE151" s="1037"/>
      <c r="AF151" s="1037"/>
      <c r="AG151" s="1037"/>
      <c r="AH151" s="1037"/>
      <c r="AI151" s="1037"/>
      <c r="AJ151" s="1037"/>
      <c r="AK151" s="1037"/>
      <c r="AL151" s="1037"/>
      <c r="AM151" s="1037"/>
      <c r="AN151" s="1037"/>
      <c r="AO151" s="1037"/>
      <c r="AP151" s="1037"/>
      <c r="AQ151" s="1037"/>
      <c r="AR151" s="1037"/>
      <c r="AS151" s="1037"/>
      <c r="AT151" s="1037"/>
      <c r="AU151" s="1037"/>
      <c r="AV151" s="1037"/>
      <c r="AW151" s="1037"/>
      <c r="AX151" s="1037"/>
      <c r="AY151" s="1037"/>
      <c r="AZ151" s="1037"/>
      <c r="BA151" s="1037"/>
      <c r="BB151" s="1037"/>
      <c r="BC151" s="1037"/>
      <c r="BD151" s="1037"/>
      <c r="BE151" s="1037"/>
      <c r="BF151" s="1037"/>
      <c r="BG151" s="1037"/>
      <c r="BH151" s="1037"/>
      <c r="BI151" s="1037"/>
      <c r="BJ151" s="1037"/>
      <c r="BK151" s="1037"/>
      <c r="BL151" s="1037"/>
      <c r="BM151" s="1037"/>
      <c r="BN151" s="1037"/>
      <c r="BO151" s="1037"/>
      <c r="BP151" s="1037"/>
      <c r="BQ151" s="1037"/>
      <c r="BR151" s="1037"/>
      <c r="BS151" s="1037"/>
      <c r="BT151" s="1037"/>
      <c r="BU151" s="1037"/>
      <c r="BV151" s="1037"/>
      <c r="BW151" s="1037"/>
      <c r="BX151" s="1037"/>
      <c r="BY151" s="1037"/>
      <c r="BZ151" s="1037"/>
      <c r="CA151" s="1037"/>
      <c r="CB151" s="1037"/>
      <c r="CC151" s="1037"/>
      <c r="CD151" s="1037"/>
      <c r="CE151" s="1037"/>
      <c r="CF151" s="1037"/>
      <c r="CG151" s="1037"/>
      <c r="CH151" s="1037"/>
      <c r="CI151" s="1037"/>
      <c r="CJ151" s="1037"/>
      <c r="CK151" s="1037"/>
      <c r="CL151" s="1037"/>
      <c r="CM151" s="1037"/>
      <c r="CN151" s="1037"/>
      <c r="CO151" s="1037"/>
      <c r="CP151" s="1037"/>
      <c r="CQ151" s="1037"/>
      <c r="CR151" s="1037"/>
      <c r="CS151" s="1037"/>
      <c r="CT151" s="1037"/>
      <c r="CU151" s="1037"/>
      <c r="CV151" s="1037"/>
      <c r="CW151" s="1037"/>
      <c r="CX151" s="1037"/>
      <c r="CY151" s="1037"/>
      <c r="CZ151" s="1037"/>
      <c r="DA151" s="1037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7"/>
      <c r="DO151" s="1037"/>
      <c r="DP151" s="1037"/>
      <c r="DQ151" s="1037"/>
      <c r="DR151" s="1037"/>
      <c r="DS151" s="1037"/>
      <c r="DT151" s="1037"/>
      <c r="DU151" s="1037"/>
      <c r="DV151" s="1037"/>
      <c r="DW151" s="1037"/>
      <c r="DX151" s="1037"/>
      <c r="DY151" s="1037"/>
      <c r="DZ151" s="1037"/>
      <c r="EA151" s="1037"/>
      <c r="EB151" s="1037"/>
      <c r="EC151" s="1037"/>
      <c r="ED151" s="1037"/>
      <c r="EE151" s="1037"/>
      <c r="EF151" s="1037"/>
      <c r="EG151" s="1037"/>
      <c r="EH151" s="1037"/>
      <c r="EI151" s="1037"/>
      <c r="EJ151" s="1037"/>
      <c r="EK151" s="1037"/>
      <c r="EL151" s="1037"/>
      <c r="EM151" s="1037"/>
      <c r="EN151" s="1037"/>
      <c r="EO151" s="1037"/>
      <c r="EP151" s="1037"/>
      <c r="EQ151" s="1037"/>
      <c r="ER151" s="1037"/>
      <c r="ES151" s="1037"/>
      <c r="ET151" s="1037"/>
      <c r="EU151" s="1037"/>
      <c r="EV151" s="1037"/>
      <c r="EW151" s="1037"/>
      <c r="EX151" s="1037"/>
      <c r="EY151" s="1037"/>
      <c r="EZ151" s="1037"/>
      <c r="FA151" s="1037"/>
      <c r="FB151" s="1037"/>
      <c r="FC151" s="1037"/>
      <c r="FD151" s="1037"/>
      <c r="FE151" s="1037"/>
      <c r="FF151" s="1037"/>
      <c r="FG151" s="1037"/>
      <c r="FH151" s="1037"/>
      <c r="FI151" s="1037"/>
      <c r="FJ151" s="1037"/>
      <c r="FK151" s="1037"/>
      <c r="FL151" s="1037"/>
      <c r="FM151" s="1037"/>
      <c r="FN151" s="1037"/>
      <c r="FO151" s="1037"/>
      <c r="FP151" s="1037"/>
      <c r="FQ151" s="1037"/>
      <c r="FR151" s="1037"/>
      <c r="FS151" s="1037"/>
      <c r="FT151" s="1037"/>
      <c r="FU151" s="1037"/>
      <c r="FV151" s="1037"/>
      <c r="FW151" s="1037"/>
      <c r="FX151" s="1037"/>
      <c r="FY151" s="1037"/>
      <c r="FZ151" s="1037"/>
      <c r="GA151" s="1037"/>
      <c r="GB151" s="1037"/>
      <c r="GC151" s="1037"/>
      <c r="GD151" s="1037"/>
      <c r="GE151" s="1037"/>
      <c r="GF151" s="1037"/>
      <c r="GG151" s="1037"/>
      <c r="GH151" s="1037"/>
      <c r="GI151" s="1037"/>
      <c r="GJ151" s="1037"/>
      <c r="GK151" s="1037"/>
      <c r="GL151" s="1037"/>
      <c r="GM151" s="1037"/>
      <c r="GN151" s="1037"/>
      <c r="GO151" s="1037"/>
      <c r="GP151" s="1037"/>
      <c r="GQ151" s="1037"/>
      <c r="GR151" s="1037"/>
      <c r="GS151" s="1037"/>
      <c r="GT151" s="1037"/>
      <c r="GU151" s="1037"/>
      <c r="GV151" s="1037"/>
      <c r="GW151" s="1037"/>
      <c r="GX151" s="1037"/>
      <c r="GY151" s="1037"/>
      <c r="GZ151" s="1037"/>
      <c r="HA151" s="1037"/>
      <c r="HB151" s="1037"/>
      <c r="HC151" s="1037"/>
      <c r="HD151" s="1037"/>
      <c r="HE151" s="1037"/>
      <c r="HF151" s="1037"/>
      <c r="HG151" s="1037"/>
      <c r="HH151" s="1037"/>
      <c r="HI151" s="1037"/>
      <c r="HJ151" s="1037"/>
      <c r="HK151" s="1037"/>
      <c r="HL151" s="1037"/>
      <c r="HM151" s="1037"/>
      <c r="HN151" s="1037"/>
      <c r="HO151" s="1037"/>
      <c r="HP151" s="1037"/>
      <c r="HQ151" s="1037"/>
      <c r="HR151" s="1037"/>
      <c r="HS151" s="1037"/>
      <c r="HT151" s="1037"/>
      <c r="HU151" s="1037"/>
      <c r="HV151" s="1037"/>
      <c r="HW151" s="1037"/>
      <c r="HX151" s="1037"/>
      <c r="HY151" s="1037"/>
      <c r="HZ151" s="1037"/>
      <c r="IA151" s="1037"/>
      <c r="IB151" s="1037"/>
      <c r="IC151" s="1037"/>
      <c r="ID151" s="1037"/>
      <c r="IE151" s="1037"/>
      <c r="IF151" s="1037"/>
      <c r="IG151" s="1037"/>
      <c r="IH151" s="1037"/>
      <c r="II151" s="1037"/>
      <c r="IJ151" s="1037"/>
      <c r="IK151" s="1037"/>
      <c r="IL151" s="1037"/>
      <c r="IM151" s="1037"/>
      <c r="IN151" s="1037"/>
    </row>
    <row r="152" spans="1:248">
      <c r="A152" s="701" t="s">
        <v>1855</v>
      </c>
      <c r="B152" s="698">
        <v>17498</v>
      </c>
      <c r="C152" s="1039">
        <v>31.559406168298924</v>
      </c>
      <c r="D152" s="699">
        <v>17784.5</v>
      </c>
      <c r="E152" s="1039">
        <v>32.725138495108745</v>
      </c>
      <c r="F152" s="1039">
        <f>B152-D152</f>
        <v>-286.5</v>
      </c>
      <c r="G152" s="1039">
        <v>-0.52684810592129461</v>
      </c>
      <c r="H152" s="2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7"/>
      <c r="AB152" s="1037"/>
      <c r="AC152" s="1037"/>
      <c r="AD152" s="1037"/>
      <c r="AE152" s="1037"/>
      <c r="AF152" s="1037"/>
      <c r="AG152" s="1037"/>
      <c r="AH152" s="1037"/>
      <c r="AI152" s="1037"/>
      <c r="AJ152" s="1037"/>
      <c r="AK152" s="1037"/>
      <c r="AL152" s="1037"/>
      <c r="AM152" s="1037"/>
      <c r="AN152" s="1037"/>
      <c r="AO152" s="1037"/>
      <c r="AP152" s="1037"/>
      <c r="AQ152" s="1037"/>
      <c r="AR152" s="1037"/>
      <c r="AS152" s="1037"/>
      <c r="AT152" s="1037"/>
      <c r="AU152" s="1037"/>
      <c r="AV152" s="1037"/>
      <c r="AW152" s="1037"/>
      <c r="AX152" s="1037"/>
      <c r="AY152" s="1037"/>
      <c r="AZ152" s="1037"/>
      <c r="BA152" s="1037"/>
      <c r="BB152" s="1037"/>
      <c r="BC152" s="1037"/>
      <c r="BD152" s="1037"/>
      <c r="BE152" s="1037"/>
      <c r="BF152" s="1037"/>
      <c r="BG152" s="1037"/>
      <c r="BH152" s="1037"/>
      <c r="BI152" s="1037"/>
      <c r="BJ152" s="1037"/>
      <c r="BK152" s="1037"/>
      <c r="BL152" s="1037"/>
      <c r="BM152" s="1037"/>
      <c r="BN152" s="1037"/>
      <c r="BO152" s="1037"/>
      <c r="BP152" s="1037"/>
      <c r="BQ152" s="1037"/>
      <c r="BR152" s="1037"/>
      <c r="BS152" s="1037"/>
      <c r="BT152" s="1037"/>
      <c r="BU152" s="1037"/>
      <c r="BV152" s="1037"/>
      <c r="BW152" s="1037"/>
      <c r="BX152" s="1037"/>
      <c r="BY152" s="1037"/>
      <c r="BZ152" s="1037"/>
      <c r="CA152" s="1037"/>
      <c r="CB152" s="1037"/>
      <c r="CC152" s="1037"/>
      <c r="CD152" s="1037"/>
      <c r="CE152" s="1037"/>
      <c r="CF152" s="1037"/>
      <c r="CG152" s="1037"/>
      <c r="CH152" s="1037"/>
      <c r="CI152" s="1037"/>
      <c r="CJ152" s="1037"/>
      <c r="CK152" s="1037"/>
      <c r="CL152" s="1037"/>
      <c r="CM152" s="1037"/>
      <c r="CN152" s="1037"/>
      <c r="CO152" s="1037"/>
      <c r="CP152" s="1037"/>
      <c r="CQ152" s="1037"/>
      <c r="CR152" s="1037"/>
      <c r="CS152" s="1037"/>
      <c r="CT152" s="1037"/>
      <c r="CU152" s="1037"/>
      <c r="CV152" s="1037"/>
      <c r="CW152" s="1037"/>
      <c r="CX152" s="1037"/>
      <c r="CY152" s="1037"/>
      <c r="CZ152" s="1037"/>
      <c r="DA152" s="1037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7"/>
      <c r="DO152" s="1037"/>
      <c r="DP152" s="1037"/>
      <c r="DQ152" s="1037"/>
      <c r="DR152" s="1037"/>
      <c r="DS152" s="1037"/>
      <c r="DT152" s="1037"/>
      <c r="DU152" s="1037"/>
      <c r="DV152" s="1037"/>
      <c r="DW152" s="1037"/>
      <c r="DX152" s="1037"/>
      <c r="DY152" s="1037"/>
      <c r="DZ152" s="1037"/>
      <c r="EA152" s="1037"/>
      <c r="EB152" s="1037"/>
      <c r="EC152" s="1037"/>
      <c r="ED152" s="1037"/>
      <c r="EE152" s="1037"/>
      <c r="EF152" s="1037"/>
      <c r="EG152" s="1037"/>
      <c r="EH152" s="1037"/>
      <c r="EI152" s="1037"/>
      <c r="EJ152" s="1037"/>
      <c r="EK152" s="1037"/>
      <c r="EL152" s="1037"/>
      <c r="EM152" s="1037"/>
      <c r="EN152" s="1037"/>
      <c r="EO152" s="1037"/>
      <c r="EP152" s="1037"/>
      <c r="EQ152" s="1037"/>
      <c r="ER152" s="1037"/>
      <c r="ES152" s="1037"/>
      <c r="ET152" s="1037"/>
      <c r="EU152" s="1037"/>
      <c r="EV152" s="1037"/>
      <c r="EW152" s="1037"/>
      <c r="EX152" s="1037"/>
      <c r="EY152" s="1037"/>
      <c r="EZ152" s="1037"/>
      <c r="FA152" s="1037"/>
      <c r="FB152" s="1037"/>
      <c r="FC152" s="1037"/>
      <c r="FD152" s="1037"/>
      <c r="FE152" s="1037"/>
      <c r="FF152" s="1037"/>
      <c r="FG152" s="1037"/>
      <c r="FH152" s="1037"/>
      <c r="FI152" s="1037"/>
      <c r="FJ152" s="1037"/>
      <c r="FK152" s="1037"/>
      <c r="FL152" s="1037"/>
      <c r="FM152" s="1037"/>
      <c r="FN152" s="1037"/>
      <c r="FO152" s="1037"/>
      <c r="FP152" s="1037"/>
      <c r="FQ152" s="1037"/>
      <c r="FR152" s="1037"/>
      <c r="FS152" s="1037"/>
      <c r="FT152" s="1037"/>
      <c r="FU152" s="1037"/>
      <c r="FV152" s="1037"/>
      <c r="FW152" s="1037"/>
      <c r="FX152" s="1037"/>
      <c r="FY152" s="1037"/>
      <c r="FZ152" s="1037"/>
      <c r="GA152" s="1037"/>
      <c r="GB152" s="1037"/>
      <c r="GC152" s="1037"/>
      <c r="GD152" s="1037"/>
      <c r="GE152" s="1037"/>
      <c r="GF152" s="1037"/>
      <c r="GG152" s="1037"/>
      <c r="GH152" s="1037"/>
      <c r="GI152" s="1037"/>
      <c r="GJ152" s="1037"/>
      <c r="GK152" s="1037"/>
      <c r="GL152" s="1037"/>
      <c r="GM152" s="1037"/>
      <c r="GN152" s="1037"/>
      <c r="GO152" s="1037"/>
      <c r="GP152" s="1037"/>
      <c r="GQ152" s="1037"/>
      <c r="GR152" s="1037"/>
      <c r="GS152" s="1037"/>
      <c r="GT152" s="1037"/>
      <c r="GU152" s="1037"/>
      <c r="GV152" s="1037"/>
      <c r="GW152" s="1037"/>
      <c r="GX152" s="1037"/>
      <c r="GY152" s="1037"/>
      <c r="GZ152" s="1037"/>
      <c r="HA152" s="1037"/>
      <c r="HB152" s="1037"/>
      <c r="HC152" s="1037"/>
      <c r="HD152" s="1037"/>
      <c r="HE152" s="1037"/>
      <c r="HF152" s="1037"/>
      <c r="HG152" s="1037"/>
      <c r="HH152" s="1037"/>
      <c r="HI152" s="1037"/>
      <c r="HJ152" s="1037"/>
      <c r="HK152" s="1037"/>
      <c r="HL152" s="1037"/>
      <c r="HM152" s="1037"/>
      <c r="HN152" s="1037"/>
      <c r="HO152" s="1037"/>
      <c r="HP152" s="1037"/>
      <c r="HQ152" s="1037"/>
      <c r="HR152" s="1037"/>
      <c r="HS152" s="1037"/>
      <c r="HT152" s="1037"/>
      <c r="HU152" s="1037"/>
      <c r="HV152" s="1037"/>
      <c r="HW152" s="1037"/>
      <c r="HX152" s="1037"/>
      <c r="HY152" s="1037"/>
      <c r="HZ152" s="1037"/>
      <c r="IA152" s="1037"/>
      <c r="IB152" s="1037"/>
      <c r="IC152" s="1037"/>
      <c r="ID152" s="1037"/>
      <c r="IE152" s="1037"/>
      <c r="IF152" s="1037"/>
      <c r="IG152" s="1037"/>
      <c r="IH152" s="1037"/>
      <c r="II152" s="1037"/>
      <c r="IJ152" s="1037"/>
      <c r="IK152" s="1037"/>
      <c r="IL152" s="1037"/>
      <c r="IM152" s="1037"/>
      <c r="IN152" s="1037"/>
    </row>
    <row r="153" spans="1:248">
      <c r="A153" s="701" t="s">
        <v>18</v>
      </c>
      <c r="B153" s="703">
        <v>1684.8</v>
      </c>
      <c r="C153" s="1038">
        <v>46.39149709502437</v>
      </c>
      <c r="D153" s="704">
        <v>1263.2</v>
      </c>
      <c r="E153" s="1038">
        <v>34.782608695652179</v>
      </c>
      <c r="F153" s="1038">
        <v>421.6</v>
      </c>
      <c r="G153" s="1038">
        <f t="shared" ref="G153:G219" si="28">F153/H153*100</f>
        <v>11.608888399372196</v>
      </c>
      <c r="H153" s="27">
        <v>3631.7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7"/>
      <c r="AB153" s="1037"/>
      <c r="AC153" s="1037"/>
      <c r="AD153" s="1037"/>
      <c r="AE153" s="1037"/>
      <c r="AF153" s="1037"/>
      <c r="AG153" s="1037"/>
      <c r="AH153" s="1037"/>
      <c r="AI153" s="1037"/>
      <c r="AJ153" s="1037"/>
      <c r="AK153" s="1037"/>
      <c r="AL153" s="1037"/>
      <c r="AM153" s="1037"/>
      <c r="AN153" s="1037"/>
      <c r="AO153" s="1037"/>
      <c r="AP153" s="1037"/>
      <c r="AQ153" s="1037"/>
      <c r="AR153" s="1037"/>
      <c r="AS153" s="1037"/>
      <c r="AT153" s="1037"/>
      <c r="AU153" s="1037"/>
      <c r="AV153" s="1037"/>
      <c r="AW153" s="1037"/>
      <c r="AX153" s="1037"/>
      <c r="AY153" s="1037"/>
      <c r="AZ153" s="1037"/>
      <c r="BA153" s="1037"/>
      <c r="BB153" s="1037"/>
      <c r="BC153" s="1037"/>
      <c r="BD153" s="1037"/>
      <c r="BE153" s="1037"/>
      <c r="BF153" s="1037"/>
      <c r="BG153" s="1037"/>
      <c r="BH153" s="1037"/>
      <c r="BI153" s="1037"/>
      <c r="BJ153" s="1037"/>
      <c r="BK153" s="1037"/>
      <c r="BL153" s="1037"/>
      <c r="BM153" s="1037"/>
      <c r="BN153" s="1037"/>
      <c r="BO153" s="1037"/>
      <c r="BP153" s="1037"/>
      <c r="BQ153" s="1037"/>
      <c r="BR153" s="1037"/>
      <c r="BS153" s="1037"/>
      <c r="BT153" s="1037"/>
      <c r="BU153" s="1037"/>
      <c r="BV153" s="1037"/>
      <c r="BW153" s="1037"/>
      <c r="BX153" s="1037"/>
      <c r="BY153" s="1037"/>
      <c r="BZ153" s="1037"/>
      <c r="CA153" s="1037"/>
      <c r="CB153" s="1037"/>
      <c r="CC153" s="1037"/>
      <c r="CD153" s="1037"/>
      <c r="CE153" s="1037"/>
      <c r="CF153" s="1037"/>
      <c r="CG153" s="1037"/>
      <c r="CH153" s="1037"/>
      <c r="CI153" s="1037"/>
      <c r="CJ153" s="1037"/>
      <c r="CK153" s="1037"/>
      <c r="CL153" s="1037"/>
      <c r="CM153" s="1037"/>
      <c r="CN153" s="1037"/>
      <c r="CO153" s="1037"/>
      <c r="CP153" s="1037"/>
      <c r="CQ153" s="1037"/>
      <c r="CR153" s="1037"/>
      <c r="CS153" s="1037"/>
      <c r="CT153" s="1037"/>
      <c r="CU153" s="1037"/>
      <c r="CV153" s="1037"/>
      <c r="CW153" s="1037"/>
      <c r="CX153" s="1037"/>
      <c r="CY153" s="1037"/>
      <c r="CZ153" s="1037"/>
      <c r="DA153" s="1037"/>
      <c r="DB153" s="1037"/>
      <c r="DC153" s="1037"/>
      <c r="DD153" s="1037"/>
      <c r="DE153" s="1037"/>
      <c r="DF153" s="1037"/>
      <c r="DG153" s="1037"/>
      <c r="DH153" s="1037"/>
      <c r="DI153" s="1037"/>
      <c r="DJ153" s="1037"/>
      <c r="DK153" s="1037"/>
      <c r="DL153" s="1037"/>
      <c r="DM153" s="1037"/>
      <c r="DN153" s="1037"/>
      <c r="DO153" s="1037"/>
      <c r="DP153" s="1037"/>
      <c r="DQ153" s="1037"/>
      <c r="DR153" s="1037"/>
      <c r="DS153" s="1037"/>
      <c r="DT153" s="1037"/>
      <c r="DU153" s="1037"/>
      <c r="DV153" s="1037"/>
      <c r="DW153" s="1037"/>
      <c r="DX153" s="1037"/>
      <c r="DY153" s="1037"/>
      <c r="DZ153" s="1037"/>
      <c r="EA153" s="1037"/>
      <c r="EB153" s="1037"/>
      <c r="EC153" s="1037"/>
      <c r="ED153" s="1037"/>
      <c r="EE153" s="1037"/>
      <c r="EF153" s="1037"/>
      <c r="EG153" s="1037"/>
      <c r="EH153" s="1037"/>
      <c r="EI153" s="1037"/>
      <c r="EJ153" s="1037"/>
      <c r="EK153" s="1037"/>
      <c r="EL153" s="1037"/>
      <c r="EM153" s="1037"/>
      <c r="EN153" s="1037"/>
      <c r="EO153" s="1037"/>
      <c r="EP153" s="1037"/>
      <c r="EQ153" s="1037"/>
      <c r="ER153" s="1037"/>
      <c r="ES153" s="1037"/>
      <c r="ET153" s="1037"/>
      <c r="EU153" s="1037"/>
      <c r="EV153" s="1037"/>
      <c r="EW153" s="1037"/>
      <c r="EX153" s="1037"/>
      <c r="EY153" s="1037"/>
      <c r="EZ153" s="1037"/>
      <c r="FA153" s="1037"/>
      <c r="FB153" s="1037"/>
      <c r="FC153" s="1037"/>
      <c r="FD153" s="1037"/>
      <c r="FE153" s="1037"/>
      <c r="FF153" s="1037"/>
      <c r="FG153" s="1037"/>
      <c r="FH153" s="1037"/>
      <c r="FI153" s="1037"/>
      <c r="FJ153" s="1037"/>
      <c r="FK153" s="1037"/>
      <c r="FL153" s="1037"/>
      <c r="FM153" s="1037"/>
      <c r="FN153" s="1037"/>
      <c r="FO153" s="1037"/>
      <c r="FP153" s="1037"/>
      <c r="FQ153" s="1037"/>
      <c r="FR153" s="1037"/>
      <c r="FS153" s="1037"/>
      <c r="FT153" s="1037"/>
      <c r="FU153" s="1037"/>
      <c r="FV153" s="1037"/>
      <c r="FW153" s="1037"/>
      <c r="FX153" s="1037"/>
      <c r="FY153" s="1037"/>
      <c r="FZ153" s="1037"/>
      <c r="GA153" s="1037"/>
      <c r="GB153" s="1037"/>
      <c r="GC153" s="1037"/>
      <c r="GD153" s="1037"/>
      <c r="GE153" s="1037"/>
      <c r="GF153" s="1037"/>
      <c r="GG153" s="1037"/>
      <c r="GH153" s="1037"/>
      <c r="GI153" s="1037"/>
      <c r="GJ153" s="1037"/>
      <c r="GK153" s="1037"/>
      <c r="GL153" s="1037"/>
      <c r="GM153" s="1037"/>
      <c r="GN153" s="1037"/>
      <c r="GO153" s="1037"/>
      <c r="GP153" s="1037"/>
      <c r="GQ153" s="1037"/>
      <c r="GR153" s="1037"/>
      <c r="GS153" s="1037"/>
      <c r="GT153" s="1037"/>
      <c r="GU153" s="1037"/>
      <c r="GV153" s="1037"/>
      <c r="GW153" s="1037"/>
      <c r="GX153" s="1037"/>
      <c r="GY153" s="1037"/>
      <c r="GZ153" s="1037"/>
      <c r="HA153" s="1037"/>
      <c r="HB153" s="1037"/>
      <c r="HC153" s="1037"/>
      <c r="HD153" s="1037"/>
      <c r="HE153" s="1037"/>
      <c r="HF153" s="1037"/>
      <c r="HG153" s="1037"/>
      <c r="HH153" s="1037"/>
      <c r="HI153" s="1037"/>
      <c r="HJ153" s="1037"/>
      <c r="HK153" s="1037"/>
      <c r="HL153" s="1037"/>
      <c r="HM153" s="1037"/>
      <c r="HN153" s="1037"/>
      <c r="HO153" s="1037"/>
      <c r="HP153" s="1037"/>
      <c r="HQ153" s="1037"/>
      <c r="HR153" s="1037"/>
      <c r="HS153" s="1037"/>
      <c r="HT153" s="1037"/>
      <c r="HU153" s="1037"/>
      <c r="HV153" s="1037"/>
      <c r="HW153" s="1037"/>
      <c r="HX153" s="1037"/>
      <c r="HY153" s="1037"/>
      <c r="HZ153" s="1037"/>
      <c r="IA153" s="1037"/>
      <c r="IB153" s="1037"/>
      <c r="IC153" s="1037"/>
      <c r="ID153" s="1037"/>
      <c r="IE153" s="1037"/>
      <c r="IF153" s="1037"/>
      <c r="IG153" s="1037"/>
      <c r="IH153" s="1037"/>
      <c r="II153" s="1037"/>
      <c r="IJ153" s="1037"/>
      <c r="IK153" s="1037"/>
      <c r="IL153" s="1037"/>
      <c r="IM153" s="1037"/>
      <c r="IN153" s="1037"/>
    </row>
    <row r="154" spans="1:248">
      <c r="A154" s="701" t="s">
        <v>19</v>
      </c>
      <c r="B154" s="703">
        <v>2762</v>
      </c>
      <c r="C154" s="1038">
        <v>38.827035537561848</v>
      </c>
      <c r="D154" s="704">
        <v>2682</v>
      </c>
      <c r="E154" s="1038">
        <v>37.702429149797567</v>
      </c>
      <c r="F154" s="1038">
        <v>80</v>
      </c>
      <c r="G154" s="1038">
        <f t="shared" si="28"/>
        <v>1.1246063877642825</v>
      </c>
      <c r="H154" s="27">
        <v>7113.6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7"/>
      <c r="AB154" s="1037"/>
      <c r="AC154" s="1037"/>
      <c r="AD154" s="1037"/>
      <c r="AE154" s="1037"/>
      <c r="AF154" s="1037"/>
      <c r="AG154" s="1037"/>
      <c r="AH154" s="1037"/>
      <c r="AI154" s="1037"/>
      <c r="AJ154" s="1037"/>
      <c r="AK154" s="1037"/>
      <c r="AL154" s="1037"/>
      <c r="AM154" s="1037"/>
      <c r="AN154" s="1037"/>
      <c r="AO154" s="1037"/>
      <c r="AP154" s="1037"/>
      <c r="AQ154" s="1037"/>
      <c r="AR154" s="1037"/>
      <c r="AS154" s="1037"/>
      <c r="AT154" s="1037"/>
      <c r="AU154" s="1037"/>
      <c r="AV154" s="1037"/>
      <c r="AW154" s="1037"/>
      <c r="AX154" s="1037"/>
      <c r="AY154" s="1037"/>
      <c r="AZ154" s="1037"/>
      <c r="BA154" s="1037"/>
      <c r="BB154" s="1037"/>
      <c r="BC154" s="1037"/>
      <c r="BD154" s="1037"/>
      <c r="BE154" s="1037"/>
      <c r="BF154" s="1037"/>
      <c r="BG154" s="1037"/>
      <c r="BH154" s="1037"/>
      <c r="BI154" s="1037"/>
      <c r="BJ154" s="1037"/>
      <c r="BK154" s="1037"/>
      <c r="BL154" s="1037"/>
      <c r="BM154" s="1037"/>
      <c r="BN154" s="1037"/>
      <c r="BO154" s="1037"/>
      <c r="BP154" s="1037"/>
      <c r="BQ154" s="1037"/>
      <c r="BR154" s="1037"/>
      <c r="BS154" s="1037"/>
      <c r="BT154" s="1037"/>
      <c r="BU154" s="1037"/>
      <c r="BV154" s="1037"/>
      <c r="BW154" s="1037"/>
      <c r="BX154" s="1037"/>
      <c r="BY154" s="1037"/>
      <c r="BZ154" s="1037"/>
      <c r="CA154" s="1037"/>
      <c r="CB154" s="1037"/>
      <c r="CC154" s="1037"/>
      <c r="CD154" s="1037"/>
      <c r="CE154" s="1037"/>
      <c r="CF154" s="1037"/>
      <c r="CG154" s="1037"/>
      <c r="CH154" s="1037"/>
      <c r="CI154" s="1037"/>
      <c r="CJ154" s="1037"/>
      <c r="CK154" s="1037"/>
      <c r="CL154" s="1037"/>
      <c r="CM154" s="1037"/>
      <c r="CN154" s="1037"/>
      <c r="CO154" s="1037"/>
      <c r="CP154" s="1037"/>
      <c r="CQ154" s="1037"/>
      <c r="CR154" s="1037"/>
      <c r="CS154" s="1037"/>
      <c r="CT154" s="1037"/>
      <c r="CU154" s="1037"/>
      <c r="CV154" s="1037"/>
      <c r="CW154" s="1037"/>
      <c r="CX154" s="1037"/>
      <c r="CY154" s="1037"/>
      <c r="CZ154" s="1037"/>
      <c r="DA154" s="1037"/>
      <c r="DB154" s="1037"/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7"/>
      <c r="DN154" s="1037"/>
      <c r="DO154" s="1037"/>
      <c r="DP154" s="1037"/>
      <c r="DQ154" s="1037"/>
      <c r="DR154" s="1037"/>
      <c r="DS154" s="1037"/>
      <c r="DT154" s="1037"/>
      <c r="DU154" s="1037"/>
      <c r="DV154" s="1037"/>
      <c r="DW154" s="1037"/>
      <c r="DX154" s="1037"/>
      <c r="DY154" s="1037"/>
      <c r="DZ154" s="1037"/>
      <c r="EA154" s="1037"/>
      <c r="EB154" s="1037"/>
      <c r="EC154" s="1037"/>
      <c r="ED154" s="1037"/>
      <c r="EE154" s="1037"/>
      <c r="EF154" s="1037"/>
      <c r="EG154" s="1037"/>
      <c r="EH154" s="1037"/>
      <c r="EI154" s="1037"/>
      <c r="EJ154" s="1037"/>
      <c r="EK154" s="1037"/>
      <c r="EL154" s="1037"/>
      <c r="EM154" s="1037"/>
      <c r="EN154" s="1037"/>
      <c r="EO154" s="1037"/>
      <c r="EP154" s="1037"/>
      <c r="EQ154" s="1037"/>
      <c r="ER154" s="1037"/>
      <c r="ES154" s="1037"/>
      <c r="ET154" s="1037"/>
      <c r="EU154" s="1037"/>
      <c r="EV154" s="1037"/>
      <c r="EW154" s="1037"/>
      <c r="EX154" s="1037"/>
      <c r="EY154" s="1037"/>
      <c r="EZ154" s="1037"/>
      <c r="FA154" s="1037"/>
      <c r="FB154" s="1037"/>
      <c r="FC154" s="1037"/>
      <c r="FD154" s="1037"/>
      <c r="FE154" s="1037"/>
      <c r="FF154" s="1037"/>
      <c r="FG154" s="1037"/>
      <c r="FH154" s="1037"/>
      <c r="FI154" s="1037"/>
      <c r="FJ154" s="1037"/>
      <c r="FK154" s="1037"/>
      <c r="FL154" s="1037"/>
      <c r="FM154" s="1037"/>
      <c r="FN154" s="1037"/>
      <c r="FO154" s="1037"/>
      <c r="FP154" s="1037"/>
      <c r="FQ154" s="1037"/>
      <c r="FR154" s="1037"/>
      <c r="FS154" s="1037"/>
      <c r="FT154" s="1037"/>
      <c r="FU154" s="1037"/>
      <c r="FV154" s="1037"/>
      <c r="FW154" s="1037"/>
      <c r="FX154" s="1037"/>
      <c r="FY154" s="1037"/>
      <c r="FZ154" s="1037"/>
      <c r="GA154" s="1037"/>
      <c r="GB154" s="1037"/>
      <c r="GC154" s="1037"/>
      <c r="GD154" s="1037"/>
      <c r="GE154" s="1037"/>
      <c r="GF154" s="1037"/>
      <c r="GG154" s="1037"/>
      <c r="GH154" s="1037"/>
      <c r="GI154" s="1037"/>
      <c r="GJ154" s="1037"/>
      <c r="GK154" s="1037"/>
      <c r="GL154" s="1037"/>
      <c r="GM154" s="1037"/>
      <c r="GN154" s="1037"/>
      <c r="GO154" s="1037"/>
      <c r="GP154" s="1037"/>
      <c r="GQ154" s="1037"/>
      <c r="GR154" s="1037"/>
      <c r="GS154" s="1037"/>
      <c r="GT154" s="1037"/>
      <c r="GU154" s="1037"/>
      <c r="GV154" s="1037"/>
      <c r="GW154" s="1037"/>
      <c r="GX154" s="1037"/>
      <c r="GY154" s="1037"/>
      <c r="GZ154" s="1037"/>
      <c r="HA154" s="1037"/>
      <c r="HB154" s="1037"/>
      <c r="HC154" s="1037"/>
      <c r="HD154" s="1037"/>
      <c r="HE154" s="1037"/>
      <c r="HF154" s="1037"/>
      <c r="HG154" s="1037"/>
      <c r="HH154" s="1037"/>
      <c r="HI154" s="1037"/>
      <c r="HJ154" s="1037"/>
      <c r="HK154" s="1037"/>
      <c r="HL154" s="1037"/>
      <c r="HM154" s="1037"/>
      <c r="HN154" s="1037"/>
      <c r="HO154" s="1037"/>
      <c r="HP154" s="1037"/>
      <c r="HQ154" s="1037"/>
      <c r="HR154" s="1037"/>
      <c r="HS154" s="1037"/>
      <c r="HT154" s="1037"/>
      <c r="HU154" s="1037"/>
      <c r="HV154" s="1037"/>
      <c r="HW154" s="1037"/>
      <c r="HX154" s="1037"/>
      <c r="HY154" s="1037"/>
      <c r="HZ154" s="1037"/>
      <c r="IA154" s="1037"/>
      <c r="IB154" s="1037"/>
      <c r="IC154" s="1037"/>
      <c r="ID154" s="1037"/>
      <c r="IE154" s="1037"/>
      <c r="IF154" s="1037"/>
      <c r="IG154" s="1037"/>
      <c r="IH154" s="1037"/>
      <c r="II154" s="1037"/>
      <c r="IJ154" s="1037"/>
      <c r="IK154" s="1037"/>
      <c r="IL154" s="1037"/>
      <c r="IM154" s="1037"/>
      <c r="IN154" s="1037"/>
    </row>
    <row r="155" spans="1:248">
      <c r="A155" s="701" t="s">
        <v>20</v>
      </c>
      <c r="B155" s="703">
        <v>3938</v>
      </c>
      <c r="C155" s="1038">
        <v>34.169197396963128</v>
      </c>
      <c r="D155" s="704">
        <v>4189.8</v>
      </c>
      <c r="E155" s="1038">
        <v>36.354013015184385</v>
      </c>
      <c r="F155" s="1038">
        <v>-251</v>
      </c>
      <c r="G155" s="1038">
        <f t="shared" si="28"/>
        <v>-2.1778741865509761</v>
      </c>
      <c r="H155" s="27">
        <v>11525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7"/>
      <c r="AB155" s="1037"/>
      <c r="AC155" s="1037"/>
      <c r="AD155" s="1037"/>
      <c r="AE155" s="1037"/>
      <c r="AF155" s="1037"/>
      <c r="AG155" s="1037"/>
      <c r="AH155" s="1037"/>
      <c r="AI155" s="1037"/>
      <c r="AJ155" s="1037"/>
      <c r="AK155" s="1037"/>
      <c r="AL155" s="1037"/>
      <c r="AM155" s="1037"/>
      <c r="AN155" s="1037"/>
      <c r="AO155" s="1037"/>
      <c r="AP155" s="1037"/>
      <c r="AQ155" s="1037"/>
      <c r="AR155" s="1037"/>
      <c r="AS155" s="1037"/>
      <c r="AT155" s="1037"/>
      <c r="AU155" s="1037"/>
      <c r="AV155" s="1037"/>
      <c r="AW155" s="1037"/>
      <c r="AX155" s="1037"/>
      <c r="AY155" s="1037"/>
      <c r="AZ155" s="1037"/>
      <c r="BA155" s="1037"/>
      <c r="BB155" s="1037"/>
      <c r="BC155" s="1037"/>
      <c r="BD155" s="1037"/>
      <c r="BE155" s="1037"/>
      <c r="BF155" s="1037"/>
      <c r="BG155" s="1037"/>
      <c r="BH155" s="1037"/>
      <c r="BI155" s="1037"/>
      <c r="BJ155" s="1037"/>
      <c r="BK155" s="1037"/>
      <c r="BL155" s="1037"/>
      <c r="BM155" s="1037"/>
      <c r="BN155" s="1037"/>
      <c r="BO155" s="1037"/>
      <c r="BP155" s="1037"/>
      <c r="BQ155" s="1037"/>
      <c r="BR155" s="1037"/>
      <c r="BS155" s="1037"/>
      <c r="BT155" s="1037"/>
      <c r="BU155" s="1037"/>
      <c r="BV155" s="1037"/>
      <c r="BW155" s="1037"/>
      <c r="BX155" s="1037"/>
      <c r="BY155" s="1037"/>
      <c r="BZ155" s="1037"/>
      <c r="CA155" s="1037"/>
      <c r="CB155" s="1037"/>
      <c r="CC155" s="1037"/>
      <c r="CD155" s="1037"/>
      <c r="CE155" s="1037"/>
      <c r="CF155" s="1037"/>
      <c r="CG155" s="1037"/>
      <c r="CH155" s="1037"/>
      <c r="CI155" s="1037"/>
      <c r="CJ155" s="1037"/>
      <c r="CK155" s="1037"/>
      <c r="CL155" s="1037"/>
      <c r="CM155" s="1037"/>
      <c r="CN155" s="1037"/>
      <c r="CO155" s="1037"/>
      <c r="CP155" s="1037"/>
      <c r="CQ155" s="1037"/>
      <c r="CR155" s="1037"/>
      <c r="CS155" s="1037"/>
      <c r="CT155" s="1037"/>
      <c r="CU155" s="1037"/>
      <c r="CV155" s="1037"/>
      <c r="CW155" s="1037"/>
      <c r="CX155" s="1037"/>
      <c r="CY155" s="1037"/>
      <c r="CZ155" s="1037"/>
      <c r="DA155" s="1037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7"/>
      <c r="DN155" s="1037"/>
      <c r="DO155" s="1037"/>
      <c r="DP155" s="1037"/>
      <c r="DQ155" s="1037"/>
      <c r="DR155" s="1037"/>
      <c r="DS155" s="1037"/>
      <c r="DT155" s="1037"/>
      <c r="DU155" s="1037"/>
      <c r="DV155" s="1037"/>
      <c r="DW155" s="1037"/>
      <c r="DX155" s="1037"/>
      <c r="DY155" s="1037"/>
      <c r="DZ155" s="1037"/>
      <c r="EA155" s="1037"/>
      <c r="EB155" s="1037"/>
      <c r="EC155" s="1037"/>
      <c r="ED155" s="1037"/>
      <c r="EE155" s="1037"/>
      <c r="EF155" s="1037"/>
      <c r="EG155" s="1037"/>
      <c r="EH155" s="1037"/>
      <c r="EI155" s="1037"/>
      <c r="EJ155" s="1037"/>
      <c r="EK155" s="1037"/>
      <c r="EL155" s="1037"/>
      <c r="EM155" s="1037"/>
      <c r="EN155" s="1037"/>
      <c r="EO155" s="1037"/>
      <c r="EP155" s="1037"/>
      <c r="EQ155" s="1037"/>
      <c r="ER155" s="1037"/>
      <c r="ES155" s="1037"/>
      <c r="ET155" s="1037"/>
      <c r="EU155" s="1037"/>
      <c r="EV155" s="1037"/>
      <c r="EW155" s="1037"/>
      <c r="EX155" s="1037"/>
      <c r="EY155" s="1037"/>
      <c r="EZ155" s="1037"/>
      <c r="FA155" s="1037"/>
      <c r="FB155" s="1037"/>
      <c r="FC155" s="1037"/>
      <c r="FD155" s="1037"/>
      <c r="FE155" s="1037"/>
      <c r="FF155" s="1037"/>
      <c r="FG155" s="1037"/>
      <c r="FH155" s="1037"/>
      <c r="FI155" s="1037"/>
      <c r="FJ155" s="1037"/>
      <c r="FK155" s="1037"/>
      <c r="FL155" s="1037"/>
      <c r="FM155" s="1037"/>
      <c r="FN155" s="1037"/>
      <c r="FO155" s="1037"/>
      <c r="FP155" s="1037"/>
      <c r="FQ155" s="1037"/>
      <c r="FR155" s="1037"/>
      <c r="FS155" s="1037"/>
      <c r="FT155" s="1037"/>
      <c r="FU155" s="1037"/>
      <c r="FV155" s="1037"/>
      <c r="FW155" s="1037"/>
      <c r="FX155" s="1037"/>
      <c r="FY155" s="1037"/>
      <c r="FZ155" s="1037"/>
      <c r="GA155" s="1037"/>
      <c r="GB155" s="1037"/>
      <c r="GC155" s="1037"/>
      <c r="GD155" s="1037"/>
      <c r="GE155" s="1037"/>
      <c r="GF155" s="1037"/>
      <c r="GG155" s="1037"/>
      <c r="GH155" s="1037"/>
      <c r="GI155" s="1037"/>
      <c r="GJ155" s="1037"/>
      <c r="GK155" s="1037"/>
      <c r="GL155" s="1037"/>
      <c r="GM155" s="1037"/>
      <c r="GN155" s="1037"/>
      <c r="GO155" s="1037"/>
      <c r="GP155" s="1037"/>
      <c r="GQ155" s="1037"/>
      <c r="GR155" s="1037"/>
      <c r="GS155" s="1037"/>
      <c r="GT155" s="1037"/>
      <c r="GU155" s="1037"/>
      <c r="GV155" s="1037"/>
      <c r="GW155" s="1037"/>
      <c r="GX155" s="1037"/>
      <c r="GY155" s="1037"/>
      <c r="GZ155" s="1037"/>
      <c r="HA155" s="1037"/>
      <c r="HB155" s="1037"/>
      <c r="HC155" s="1037"/>
      <c r="HD155" s="1037"/>
      <c r="HE155" s="1037"/>
      <c r="HF155" s="1037"/>
      <c r="HG155" s="1037"/>
      <c r="HH155" s="1037"/>
      <c r="HI155" s="1037"/>
      <c r="HJ155" s="1037"/>
      <c r="HK155" s="1037"/>
      <c r="HL155" s="1037"/>
      <c r="HM155" s="1037"/>
      <c r="HN155" s="1037"/>
      <c r="HO155" s="1037"/>
      <c r="HP155" s="1037"/>
      <c r="HQ155" s="1037"/>
      <c r="HR155" s="1037"/>
      <c r="HS155" s="1037"/>
      <c r="HT155" s="1037"/>
      <c r="HU155" s="1037"/>
      <c r="HV155" s="1037"/>
      <c r="HW155" s="1037"/>
      <c r="HX155" s="1037"/>
      <c r="HY155" s="1037"/>
      <c r="HZ155" s="1037"/>
      <c r="IA155" s="1037"/>
      <c r="IB155" s="1037"/>
      <c r="IC155" s="1037"/>
      <c r="ID155" s="1037"/>
      <c r="IE155" s="1037"/>
      <c r="IF155" s="1037"/>
      <c r="IG155" s="1037"/>
      <c r="IH155" s="1037"/>
      <c r="II155" s="1037"/>
      <c r="IJ155" s="1037"/>
      <c r="IK155" s="1037"/>
      <c r="IL155" s="1037"/>
      <c r="IM155" s="1037"/>
      <c r="IN155" s="1037"/>
    </row>
    <row r="156" spans="1:248">
      <c r="A156" s="701" t="s">
        <v>21</v>
      </c>
      <c r="B156" s="703">
        <v>5356.2</v>
      </c>
      <c r="C156" s="1038">
        <v>32.190636456517815</v>
      </c>
      <c r="D156" s="704">
        <v>6178.7</v>
      </c>
      <c r="E156" s="1038">
        <v>37.133842178015506</v>
      </c>
      <c r="F156" s="1038">
        <v>-822.5</v>
      </c>
      <c r="G156" s="1038">
        <f t="shared" si="28"/>
        <v>-4.9432057214976863</v>
      </c>
      <c r="H156" s="27">
        <v>16639</v>
      </c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7"/>
      <c r="AB156" s="1037"/>
      <c r="AC156" s="1037"/>
      <c r="AD156" s="1037"/>
      <c r="AE156" s="1037"/>
      <c r="AF156" s="1037"/>
      <c r="AG156" s="1037"/>
      <c r="AH156" s="1037"/>
      <c r="AI156" s="1037"/>
      <c r="AJ156" s="1037"/>
      <c r="AK156" s="1037"/>
      <c r="AL156" s="1037"/>
      <c r="AM156" s="1037"/>
      <c r="AN156" s="1037"/>
      <c r="AO156" s="1037"/>
      <c r="AP156" s="1037"/>
      <c r="AQ156" s="1037"/>
      <c r="AR156" s="1037"/>
      <c r="AS156" s="1037"/>
      <c r="AT156" s="1037"/>
      <c r="AU156" s="1037"/>
      <c r="AV156" s="1037"/>
      <c r="AW156" s="1037"/>
      <c r="AX156" s="1037"/>
      <c r="AY156" s="1037"/>
      <c r="AZ156" s="1037"/>
      <c r="BA156" s="1037"/>
      <c r="BB156" s="1037"/>
      <c r="BC156" s="1037"/>
      <c r="BD156" s="1037"/>
      <c r="BE156" s="1037"/>
      <c r="BF156" s="1037"/>
      <c r="BG156" s="1037"/>
      <c r="BH156" s="1037"/>
      <c r="BI156" s="1037"/>
      <c r="BJ156" s="1037"/>
      <c r="BK156" s="1037"/>
      <c r="BL156" s="1037"/>
      <c r="BM156" s="1037"/>
      <c r="BN156" s="1037"/>
      <c r="BO156" s="1037"/>
      <c r="BP156" s="1037"/>
      <c r="BQ156" s="1037"/>
      <c r="BR156" s="1037"/>
      <c r="BS156" s="1037"/>
      <c r="BT156" s="1037"/>
      <c r="BU156" s="1037"/>
      <c r="BV156" s="1037"/>
      <c r="BW156" s="1037"/>
      <c r="BX156" s="1037"/>
      <c r="BY156" s="1037"/>
      <c r="BZ156" s="1037"/>
      <c r="CA156" s="1037"/>
      <c r="CB156" s="1037"/>
      <c r="CC156" s="1037"/>
      <c r="CD156" s="1037"/>
      <c r="CE156" s="1037"/>
      <c r="CF156" s="1037"/>
      <c r="CG156" s="1037"/>
      <c r="CH156" s="1037"/>
      <c r="CI156" s="1037"/>
      <c r="CJ156" s="1037"/>
      <c r="CK156" s="1037"/>
      <c r="CL156" s="1037"/>
      <c r="CM156" s="1037"/>
      <c r="CN156" s="1037"/>
      <c r="CO156" s="1037"/>
      <c r="CP156" s="1037"/>
      <c r="CQ156" s="1037"/>
      <c r="CR156" s="1037"/>
      <c r="CS156" s="1037"/>
      <c r="CT156" s="1037"/>
      <c r="CU156" s="1037"/>
      <c r="CV156" s="1037"/>
      <c r="CW156" s="1037"/>
      <c r="CX156" s="1037"/>
      <c r="CY156" s="1037"/>
      <c r="CZ156" s="1037"/>
      <c r="DA156" s="1037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7"/>
      <c r="DN156" s="1037"/>
      <c r="DO156" s="1037"/>
      <c r="DP156" s="1037"/>
      <c r="DQ156" s="1037"/>
      <c r="DR156" s="1037"/>
      <c r="DS156" s="1037"/>
      <c r="DT156" s="1037"/>
      <c r="DU156" s="1037"/>
      <c r="DV156" s="1037"/>
      <c r="DW156" s="1037"/>
      <c r="DX156" s="1037"/>
      <c r="DY156" s="1037"/>
      <c r="DZ156" s="1037"/>
      <c r="EA156" s="1037"/>
      <c r="EB156" s="1037"/>
      <c r="EC156" s="1037"/>
      <c r="ED156" s="1037"/>
      <c r="EE156" s="1037"/>
      <c r="EF156" s="1037"/>
      <c r="EG156" s="1037"/>
      <c r="EH156" s="1037"/>
      <c r="EI156" s="1037"/>
      <c r="EJ156" s="1037"/>
      <c r="EK156" s="1037"/>
      <c r="EL156" s="1037"/>
      <c r="EM156" s="1037"/>
      <c r="EN156" s="1037"/>
      <c r="EO156" s="1037"/>
      <c r="EP156" s="1037"/>
      <c r="EQ156" s="1037"/>
      <c r="ER156" s="1037"/>
      <c r="ES156" s="1037"/>
      <c r="ET156" s="1037"/>
      <c r="EU156" s="1037"/>
      <c r="EV156" s="1037"/>
      <c r="EW156" s="1037"/>
      <c r="EX156" s="1037"/>
      <c r="EY156" s="1037"/>
      <c r="EZ156" s="1037"/>
      <c r="FA156" s="1037"/>
      <c r="FB156" s="1037"/>
      <c r="FC156" s="1037"/>
      <c r="FD156" s="1037"/>
      <c r="FE156" s="1037"/>
      <c r="FF156" s="1037"/>
      <c r="FG156" s="1037"/>
      <c r="FH156" s="1037"/>
      <c r="FI156" s="1037"/>
      <c r="FJ156" s="1037"/>
      <c r="FK156" s="1037"/>
      <c r="FL156" s="1037"/>
      <c r="FM156" s="1037"/>
      <c r="FN156" s="1037"/>
      <c r="FO156" s="1037"/>
      <c r="FP156" s="1037"/>
      <c r="FQ156" s="1037"/>
      <c r="FR156" s="1037"/>
      <c r="FS156" s="1037"/>
      <c r="FT156" s="1037"/>
      <c r="FU156" s="1037"/>
      <c r="FV156" s="1037"/>
      <c r="FW156" s="1037"/>
      <c r="FX156" s="1037"/>
      <c r="FY156" s="1037"/>
      <c r="FZ156" s="1037"/>
      <c r="GA156" s="1037"/>
      <c r="GB156" s="1037"/>
      <c r="GC156" s="1037"/>
      <c r="GD156" s="1037"/>
      <c r="GE156" s="1037"/>
      <c r="GF156" s="1037"/>
      <c r="GG156" s="1037"/>
      <c r="GH156" s="1037"/>
      <c r="GI156" s="1037"/>
      <c r="GJ156" s="1037"/>
      <c r="GK156" s="1037"/>
      <c r="GL156" s="1037"/>
      <c r="GM156" s="1037"/>
      <c r="GN156" s="1037"/>
      <c r="GO156" s="1037"/>
      <c r="GP156" s="1037"/>
      <c r="GQ156" s="1037"/>
      <c r="GR156" s="1037"/>
      <c r="GS156" s="1037"/>
      <c r="GT156" s="1037"/>
      <c r="GU156" s="1037"/>
      <c r="GV156" s="1037"/>
      <c r="GW156" s="1037"/>
      <c r="GX156" s="1037"/>
      <c r="GY156" s="1037"/>
      <c r="GZ156" s="1037"/>
      <c r="HA156" s="1037"/>
      <c r="HB156" s="1037"/>
      <c r="HC156" s="1037"/>
      <c r="HD156" s="1037"/>
      <c r="HE156" s="1037"/>
      <c r="HF156" s="1037"/>
      <c r="HG156" s="1037"/>
      <c r="HH156" s="1037"/>
      <c r="HI156" s="1037"/>
      <c r="HJ156" s="1037"/>
      <c r="HK156" s="1037"/>
      <c r="HL156" s="1037"/>
      <c r="HM156" s="1037"/>
      <c r="HN156" s="1037"/>
      <c r="HO156" s="1037"/>
      <c r="HP156" s="1037"/>
      <c r="HQ156" s="1037"/>
      <c r="HR156" s="1037"/>
      <c r="HS156" s="1037"/>
      <c r="HT156" s="1037"/>
      <c r="HU156" s="1037"/>
      <c r="HV156" s="1037"/>
      <c r="HW156" s="1037"/>
      <c r="HX156" s="1037"/>
      <c r="HY156" s="1037"/>
      <c r="HZ156" s="1037"/>
      <c r="IA156" s="1037"/>
      <c r="IB156" s="1037"/>
      <c r="IC156" s="1037"/>
      <c r="ID156" s="1037"/>
      <c r="IE156" s="1037"/>
      <c r="IF156" s="1037"/>
      <c r="IG156" s="1037"/>
      <c r="IH156" s="1037"/>
      <c r="II156" s="1037"/>
      <c r="IJ156" s="1037"/>
      <c r="IK156" s="1037"/>
      <c r="IL156" s="1037"/>
      <c r="IM156" s="1037"/>
      <c r="IN156" s="1037"/>
    </row>
    <row r="157" spans="1:248">
      <c r="A157" s="701" t="s">
        <v>22</v>
      </c>
      <c r="B157" s="703">
        <v>6424.4</v>
      </c>
      <c r="C157" s="1038">
        <v>30.09890228304512</v>
      </c>
      <c r="D157" s="704">
        <v>7330.2</v>
      </c>
      <c r="E157" s="1038">
        <v>34.34265822725505</v>
      </c>
      <c r="F157" s="1038">
        <v>-906.1</v>
      </c>
      <c r="G157" s="1038">
        <f t="shared" si="28"/>
        <v>-4.2451614716809649</v>
      </c>
      <c r="H157" s="27">
        <v>21344.3</v>
      </c>
      <c r="I157" s="1037"/>
      <c r="J157" s="1037"/>
      <c r="K157" s="1037"/>
      <c r="L157" s="1037"/>
      <c r="M157" s="1037"/>
      <c r="N157" s="1037"/>
      <c r="O157" s="1037"/>
      <c r="P157" s="1037"/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7"/>
      <c r="AB157" s="1037"/>
      <c r="AC157" s="1037"/>
      <c r="AD157" s="1037"/>
      <c r="AE157" s="1037"/>
      <c r="AF157" s="1037"/>
      <c r="AG157" s="1037"/>
      <c r="AH157" s="1037"/>
      <c r="AI157" s="1037"/>
      <c r="AJ157" s="1037"/>
      <c r="AK157" s="1037"/>
      <c r="AL157" s="1037"/>
      <c r="AM157" s="1037"/>
      <c r="AN157" s="1037"/>
      <c r="AO157" s="1037"/>
      <c r="AP157" s="1037"/>
      <c r="AQ157" s="1037"/>
      <c r="AR157" s="1037"/>
      <c r="AS157" s="1037"/>
      <c r="AT157" s="1037"/>
      <c r="AU157" s="1037"/>
      <c r="AV157" s="1037"/>
      <c r="AW157" s="1037"/>
      <c r="AX157" s="1037"/>
      <c r="AY157" s="1037"/>
      <c r="AZ157" s="1037"/>
      <c r="BA157" s="1037"/>
      <c r="BB157" s="1037"/>
      <c r="BC157" s="1037"/>
      <c r="BD157" s="1037"/>
      <c r="BE157" s="1037"/>
      <c r="BF157" s="1037"/>
      <c r="BG157" s="1037"/>
      <c r="BH157" s="1037"/>
      <c r="BI157" s="1037"/>
      <c r="BJ157" s="1037"/>
      <c r="BK157" s="1037"/>
      <c r="BL157" s="1037"/>
      <c r="BM157" s="1037"/>
      <c r="BN157" s="1037"/>
      <c r="BO157" s="1037"/>
      <c r="BP157" s="1037"/>
      <c r="BQ157" s="1037"/>
      <c r="BR157" s="1037"/>
      <c r="BS157" s="1037"/>
      <c r="BT157" s="1037"/>
      <c r="BU157" s="1037"/>
      <c r="BV157" s="1037"/>
      <c r="BW157" s="1037"/>
      <c r="BX157" s="1037"/>
      <c r="BY157" s="1037"/>
      <c r="BZ157" s="1037"/>
      <c r="CA157" s="1037"/>
      <c r="CB157" s="1037"/>
      <c r="CC157" s="1037"/>
      <c r="CD157" s="1037"/>
      <c r="CE157" s="1037"/>
      <c r="CF157" s="1037"/>
      <c r="CG157" s="1037"/>
      <c r="CH157" s="1037"/>
      <c r="CI157" s="1037"/>
      <c r="CJ157" s="1037"/>
      <c r="CK157" s="1037"/>
      <c r="CL157" s="1037"/>
      <c r="CM157" s="1037"/>
      <c r="CN157" s="1037"/>
      <c r="CO157" s="1037"/>
      <c r="CP157" s="1037"/>
      <c r="CQ157" s="1037"/>
      <c r="CR157" s="1037"/>
      <c r="CS157" s="1037"/>
      <c r="CT157" s="1037"/>
      <c r="CU157" s="1037"/>
      <c r="CV157" s="1037"/>
      <c r="CW157" s="1037"/>
      <c r="CX157" s="1037"/>
      <c r="CY157" s="1037"/>
      <c r="CZ157" s="1037"/>
      <c r="DA157" s="1037"/>
      <c r="DB157" s="1037"/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7"/>
      <c r="DO157" s="1037"/>
      <c r="DP157" s="1037"/>
      <c r="DQ157" s="1037"/>
      <c r="DR157" s="1037"/>
      <c r="DS157" s="1037"/>
      <c r="DT157" s="1037"/>
      <c r="DU157" s="1037"/>
      <c r="DV157" s="1037"/>
      <c r="DW157" s="1037"/>
      <c r="DX157" s="1037"/>
      <c r="DY157" s="1037"/>
      <c r="DZ157" s="1037"/>
      <c r="EA157" s="1037"/>
      <c r="EB157" s="1037"/>
      <c r="EC157" s="1037"/>
      <c r="ED157" s="1037"/>
      <c r="EE157" s="1037"/>
      <c r="EF157" s="1037"/>
      <c r="EG157" s="1037"/>
      <c r="EH157" s="1037"/>
      <c r="EI157" s="1037"/>
      <c r="EJ157" s="1037"/>
      <c r="EK157" s="1037"/>
      <c r="EL157" s="1037"/>
      <c r="EM157" s="1037"/>
      <c r="EN157" s="1037"/>
      <c r="EO157" s="1037"/>
      <c r="EP157" s="1037"/>
      <c r="EQ157" s="1037"/>
      <c r="ER157" s="1037"/>
      <c r="ES157" s="1037"/>
      <c r="ET157" s="1037"/>
      <c r="EU157" s="1037"/>
      <c r="EV157" s="1037"/>
      <c r="EW157" s="1037"/>
      <c r="EX157" s="1037"/>
      <c r="EY157" s="1037"/>
      <c r="EZ157" s="1037"/>
      <c r="FA157" s="1037"/>
      <c r="FB157" s="1037"/>
      <c r="FC157" s="1037"/>
      <c r="FD157" s="1037"/>
      <c r="FE157" s="1037"/>
      <c r="FF157" s="1037"/>
      <c r="FG157" s="1037"/>
      <c r="FH157" s="1037"/>
      <c r="FI157" s="1037"/>
      <c r="FJ157" s="1037"/>
      <c r="FK157" s="1037"/>
      <c r="FL157" s="1037"/>
      <c r="FM157" s="1037"/>
      <c r="FN157" s="1037"/>
      <c r="FO157" s="1037"/>
      <c r="FP157" s="1037"/>
      <c r="FQ157" s="1037"/>
      <c r="FR157" s="1037"/>
      <c r="FS157" s="1037"/>
      <c r="FT157" s="1037"/>
      <c r="FU157" s="1037"/>
      <c r="FV157" s="1037"/>
      <c r="FW157" s="1037"/>
      <c r="FX157" s="1037"/>
      <c r="FY157" s="1037"/>
      <c r="FZ157" s="1037"/>
      <c r="GA157" s="1037"/>
      <c r="GB157" s="1037"/>
      <c r="GC157" s="1037"/>
      <c r="GD157" s="1037"/>
      <c r="GE157" s="1037"/>
      <c r="GF157" s="1037"/>
      <c r="GG157" s="1037"/>
      <c r="GH157" s="1037"/>
      <c r="GI157" s="1037"/>
      <c r="GJ157" s="1037"/>
      <c r="GK157" s="1037"/>
      <c r="GL157" s="1037"/>
      <c r="GM157" s="1037"/>
      <c r="GN157" s="1037"/>
      <c r="GO157" s="1037"/>
      <c r="GP157" s="1037"/>
      <c r="GQ157" s="1037"/>
      <c r="GR157" s="1037"/>
      <c r="GS157" s="1037"/>
      <c r="GT157" s="1037"/>
      <c r="GU157" s="1037"/>
      <c r="GV157" s="1037"/>
      <c r="GW157" s="1037"/>
      <c r="GX157" s="1037"/>
      <c r="GY157" s="1037"/>
      <c r="GZ157" s="1037"/>
      <c r="HA157" s="1037"/>
      <c r="HB157" s="1037"/>
      <c r="HC157" s="1037"/>
      <c r="HD157" s="1037"/>
      <c r="HE157" s="1037"/>
      <c r="HF157" s="1037"/>
      <c r="HG157" s="1037"/>
      <c r="HH157" s="1037"/>
      <c r="HI157" s="1037"/>
      <c r="HJ157" s="1037"/>
      <c r="HK157" s="1037"/>
      <c r="HL157" s="1037"/>
      <c r="HM157" s="1037"/>
      <c r="HN157" s="1037"/>
      <c r="HO157" s="1037"/>
      <c r="HP157" s="1037"/>
      <c r="HQ157" s="1037"/>
      <c r="HR157" s="1037"/>
      <c r="HS157" s="1037"/>
      <c r="HT157" s="1037"/>
      <c r="HU157" s="1037"/>
      <c r="HV157" s="1037"/>
      <c r="HW157" s="1037"/>
      <c r="HX157" s="1037"/>
      <c r="HY157" s="1037"/>
      <c r="HZ157" s="1037"/>
      <c r="IA157" s="1037"/>
      <c r="IB157" s="1037"/>
      <c r="IC157" s="1037"/>
      <c r="ID157" s="1037"/>
      <c r="IE157" s="1037"/>
      <c r="IF157" s="1037"/>
      <c r="IG157" s="1037"/>
      <c r="IH157" s="1037"/>
      <c r="II157" s="1037"/>
      <c r="IJ157" s="1037"/>
      <c r="IK157" s="1037"/>
      <c r="IL157" s="1037"/>
      <c r="IM157" s="1037"/>
      <c r="IN157" s="1037"/>
    </row>
    <row r="158" spans="1:248">
      <c r="A158" s="701" t="s">
        <v>23</v>
      </c>
      <c r="B158" s="703">
        <v>7806.9</v>
      </c>
      <c r="C158" s="1038">
        <v>29.723473354375194</v>
      </c>
      <c r="D158" s="704">
        <v>8577.7999999999993</v>
      </c>
      <c r="E158" s="1038">
        <v>32.658546893025346</v>
      </c>
      <c r="F158" s="1038">
        <v>-770.9</v>
      </c>
      <c r="G158" s="1038">
        <f t="shared" si="28"/>
        <v>-2.9350735386501481</v>
      </c>
      <c r="H158" s="27">
        <v>26265.1</v>
      </c>
      <c r="I158" s="1037"/>
      <c r="J158" s="1037"/>
      <c r="K158" s="1037"/>
      <c r="L158" s="1037"/>
      <c r="M158" s="1037"/>
      <c r="N158" s="1037"/>
      <c r="O158" s="1037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7"/>
      <c r="AB158" s="1037"/>
      <c r="AC158" s="1037"/>
      <c r="AD158" s="1037"/>
      <c r="AE158" s="1037"/>
      <c r="AF158" s="1037"/>
      <c r="AG158" s="1037"/>
      <c r="AH158" s="1037"/>
      <c r="AI158" s="1037"/>
      <c r="AJ158" s="1037"/>
      <c r="AK158" s="1037"/>
      <c r="AL158" s="1037"/>
      <c r="AM158" s="1037"/>
      <c r="AN158" s="1037"/>
      <c r="AO158" s="1037"/>
      <c r="AP158" s="1037"/>
      <c r="AQ158" s="1037"/>
      <c r="AR158" s="1037"/>
      <c r="AS158" s="1037"/>
      <c r="AT158" s="1037"/>
      <c r="AU158" s="1037"/>
      <c r="AV158" s="1037"/>
      <c r="AW158" s="1037"/>
      <c r="AX158" s="1037"/>
      <c r="AY158" s="1037"/>
      <c r="AZ158" s="1037"/>
      <c r="BA158" s="1037"/>
      <c r="BB158" s="1037"/>
      <c r="BC158" s="1037"/>
      <c r="BD158" s="1037"/>
      <c r="BE158" s="1037"/>
      <c r="BF158" s="1037"/>
      <c r="BG158" s="1037"/>
      <c r="BH158" s="1037"/>
      <c r="BI158" s="1037"/>
      <c r="BJ158" s="1037"/>
      <c r="BK158" s="1037"/>
      <c r="BL158" s="1037"/>
      <c r="BM158" s="1037"/>
      <c r="BN158" s="1037"/>
      <c r="BO158" s="1037"/>
      <c r="BP158" s="1037"/>
      <c r="BQ158" s="1037"/>
      <c r="BR158" s="1037"/>
      <c r="BS158" s="1037"/>
      <c r="BT158" s="1037"/>
      <c r="BU158" s="1037"/>
      <c r="BV158" s="1037"/>
      <c r="BW158" s="1037"/>
      <c r="BX158" s="1037"/>
      <c r="BY158" s="1037"/>
      <c r="BZ158" s="1037"/>
      <c r="CA158" s="1037"/>
      <c r="CB158" s="1037"/>
      <c r="CC158" s="1037"/>
      <c r="CD158" s="1037"/>
      <c r="CE158" s="1037"/>
      <c r="CF158" s="1037"/>
      <c r="CG158" s="1037"/>
      <c r="CH158" s="1037"/>
      <c r="CI158" s="1037"/>
      <c r="CJ158" s="1037"/>
      <c r="CK158" s="1037"/>
      <c r="CL158" s="1037"/>
      <c r="CM158" s="1037"/>
      <c r="CN158" s="1037"/>
      <c r="CO158" s="1037"/>
      <c r="CP158" s="1037"/>
      <c r="CQ158" s="1037"/>
      <c r="CR158" s="1037"/>
      <c r="CS158" s="1037"/>
      <c r="CT158" s="1037"/>
      <c r="CU158" s="1037"/>
      <c r="CV158" s="1037"/>
      <c r="CW158" s="1037"/>
      <c r="CX158" s="1037"/>
      <c r="CY158" s="1037"/>
      <c r="CZ158" s="1037"/>
      <c r="DA158" s="1037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7"/>
      <c r="DO158" s="1037"/>
      <c r="DP158" s="1037"/>
      <c r="DQ158" s="1037"/>
      <c r="DR158" s="1037"/>
      <c r="DS158" s="1037"/>
      <c r="DT158" s="1037"/>
      <c r="DU158" s="1037"/>
      <c r="DV158" s="1037"/>
      <c r="DW158" s="1037"/>
      <c r="DX158" s="1037"/>
      <c r="DY158" s="1037"/>
      <c r="DZ158" s="1037"/>
      <c r="EA158" s="1037"/>
      <c r="EB158" s="1037"/>
      <c r="EC158" s="1037"/>
      <c r="ED158" s="1037"/>
      <c r="EE158" s="1037"/>
      <c r="EF158" s="1037"/>
      <c r="EG158" s="1037"/>
      <c r="EH158" s="1037"/>
      <c r="EI158" s="1037"/>
      <c r="EJ158" s="1037"/>
      <c r="EK158" s="1037"/>
      <c r="EL158" s="1037"/>
      <c r="EM158" s="1037"/>
      <c r="EN158" s="1037"/>
      <c r="EO158" s="1037"/>
      <c r="EP158" s="1037"/>
      <c r="EQ158" s="1037"/>
      <c r="ER158" s="1037"/>
      <c r="ES158" s="1037"/>
      <c r="ET158" s="1037"/>
      <c r="EU158" s="1037"/>
      <c r="EV158" s="1037"/>
      <c r="EW158" s="1037"/>
      <c r="EX158" s="1037"/>
      <c r="EY158" s="1037"/>
      <c r="EZ158" s="1037"/>
      <c r="FA158" s="1037"/>
      <c r="FB158" s="1037"/>
      <c r="FC158" s="1037"/>
      <c r="FD158" s="1037"/>
      <c r="FE158" s="1037"/>
      <c r="FF158" s="1037"/>
      <c r="FG158" s="1037"/>
      <c r="FH158" s="1037"/>
      <c r="FI158" s="1037"/>
      <c r="FJ158" s="1037"/>
      <c r="FK158" s="1037"/>
      <c r="FL158" s="1037"/>
      <c r="FM158" s="1037"/>
      <c r="FN158" s="1037"/>
      <c r="FO158" s="1037"/>
      <c r="FP158" s="1037"/>
      <c r="FQ158" s="1037"/>
      <c r="FR158" s="1037"/>
      <c r="FS158" s="1037"/>
      <c r="FT158" s="1037"/>
      <c r="FU158" s="1037"/>
      <c r="FV158" s="1037"/>
      <c r="FW158" s="1037"/>
      <c r="FX158" s="1037"/>
      <c r="FY158" s="1037"/>
      <c r="FZ158" s="1037"/>
      <c r="GA158" s="1037"/>
      <c r="GB158" s="1037"/>
      <c r="GC158" s="1037"/>
      <c r="GD158" s="1037"/>
      <c r="GE158" s="1037"/>
      <c r="GF158" s="1037"/>
      <c r="GG158" s="1037"/>
      <c r="GH158" s="1037"/>
      <c r="GI158" s="1037"/>
      <c r="GJ158" s="1037"/>
      <c r="GK158" s="1037"/>
      <c r="GL158" s="1037"/>
      <c r="GM158" s="1037"/>
      <c r="GN158" s="1037"/>
      <c r="GO158" s="1037"/>
      <c r="GP158" s="1037"/>
      <c r="GQ158" s="1037"/>
      <c r="GR158" s="1037"/>
      <c r="GS158" s="1037"/>
      <c r="GT158" s="1037"/>
      <c r="GU158" s="1037"/>
      <c r="GV158" s="1037"/>
      <c r="GW158" s="1037"/>
      <c r="GX158" s="1037"/>
      <c r="GY158" s="1037"/>
      <c r="GZ158" s="1037"/>
      <c r="HA158" s="1037"/>
      <c r="HB158" s="1037"/>
      <c r="HC158" s="1037"/>
      <c r="HD158" s="1037"/>
      <c r="HE158" s="1037"/>
      <c r="HF158" s="1037"/>
      <c r="HG158" s="1037"/>
      <c r="HH158" s="1037"/>
      <c r="HI158" s="1037"/>
      <c r="HJ158" s="1037"/>
      <c r="HK158" s="1037"/>
      <c r="HL158" s="1037"/>
      <c r="HM158" s="1037"/>
      <c r="HN158" s="1037"/>
      <c r="HO158" s="1037"/>
      <c r="HP158" s="1037"/>
      <c r="HQ158" s="1037"/>
      <c r="HR158" s="1037"/>
      <c r="HS158" s="1037"/>
      <c r="HT158" s="1037"/>
      <c r="HU158" s="1037"/>
      <c r="HV158" s="1037"/>
      <c r="HW158" s="1037"/>
      <c r="HX158" s="1037"/>
      <c r="HY158" s="1037"/>
      <c r="HZ158" s="1037"/>
      <c r="IA158" s="1037"/>
      <c r="IB158" s="1037"/>
      <c r="IC158" s="1037"/>
      <c r="ID158" s="1037"/>
      <c r="IE158" s="1037"/>
      <c r="IF158" s="1037"/>
      <c r="IG158" s="1037"/>
      <c r="IH158" s="1037"/>
      <c r="II158" s="1037"/>
      <c r="IJ158" s="1037"/>
      <c r="IK158" s="1037"/>
      <c r="IL158" s="1037"/>
      <c r="IM158" s="1037"/>
      <c r="IN158" s="1037"/>
    </row>
    <row r="159" spans="1:248">
      <c r="A159" s="701" t="s">
        <v>24</v>
      </c>
      <c r="B159" s="703">
        <v>9377.2000000000007</v>
      </c>
      <c r="C159" s="1038">
        <v>29.251189269281763</v>
      </c>
      <c r="D159" s="704">
        <v>9972.9</v>
      </c>
      <c r="E159" s="1038">
        <v>31.109412773921857</v>
      </c>
      <c r="F159" s="1038">
        <v>-595.69999999999891</v>
      </c>
      <c r="G159" s="1038">
        <f t="shared" si="28"/>
        <v>-1.8582235046400966</v>
      </c>
      <c r="H159" s="27">
        <v>32057.5</v>
      </c>
      <c r="I159" s="1037"/>
      <c r="J159" s="1037"/>
      <c r="K159" s="1037"/>
      <c r="L159" s="1037"/>
      <c r="M159" s="1037"/>
      <c r="N159" s="1037"/>
      <c r="O159" s="1037"/>
      <c r="P159" s="1037"/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7"/>
      <c r="AB159" s="1037"/>
      <c r="AC159" s="1037"/>
      <c r="AD159" s="1037"/>
      <c r="AE159" s="1037"/>
      <c r="AF159" s="1037"/>
      <c r="AG159" s="1037"/>
      <c r="AH159" s="1037"/>
      <c r="AI159" s="1037"/>
      <c r="AJ159" s="1037"/>
      <c r="AK159" s="1037"/>
      <c r="AL159" s="1037"/>
      <c r="AM159" s="1037"/>
      <c r="AN159" s="1037"/>
      <c r="AO159" s="1037"/>
      <c r="AP159" s="1037"/>
      <c r="AQ159" s="1037"/>
      <c r="AR159" s="1037"/>
      <c r="AS159" s="1037"/>
      <c r="AT159" s="1037"/>
      <c r="AU159" s="1037"/>
      <c r="AV159" s="1037"/>
      <c r="AW159" s="1037"/>
      <c r="AX159" s="1037"/>
      <c r="AY159" s="1037"/>
      <c r="AZ159" s="1037"/>
      <c r="BA159" s="1037"/>
      <c r="BB159" s="1037"/>
      <c r="BC159" s="1037"/>
      <c r="BD159" s="1037"/>
      <c r="BE159" s="1037"/>
      <c r="BF159" s="1037"/>
      <c r="BG159" s="1037"/>
      <c r="BH159" s="1037"/>
      <c r="BI159" s="1037"/>
      <c r="BJ159" s="1037"/>
      <c r="BK159" s="1037"/>
      <c r="BL159" s="1037"/>
      <c r="BM159" s="1037"/>
      <c r="BN159" s="1037"/>
      <c r="BO159" s="1037"/>
      <c r="BP159" s="1037"/>
      <c r="BQ159" s="1037"/>
      <c r="BR159" s="1037"/>
      <c r="BS159" s="1037"/>
      <c r="BT159" s="1037"/>
      <c r="BU159" s="1037"/>
      <c r="BV159" s="1037"/>
      <c r="BW159" s="1037"/>
      <c r="BX159" s="1037"/>
      <c r="BY159" s="1037"/>
      <c r="BZ159" s="1037"/>
      <c r="CA159" s="1037"/>
      <c r="CB159" s="1037"/>
      <c r="CC159" s="1037"/>
      <c r="CD159" s="1037"/>
      <c r="CE159" s="1037"/>
      <c r="CF159" s="1037"/>
      <c r="CG159" s="1037"/>
      <c r="CH159" s="1037"/>
      <c r="CI159" s="1037"/>
      <c r="CJ159" s="1037"/>
      <c r="CK159" s="1037"/>
      <c r="CL159" s="1037"/>
      <c r="CM159" s="1037"/>
      <c r="CN159" s="1037"/>
      <c r="CO159" s="1037"/>
      <c r="CP159" s="1037"/>
      <c r="CQ159" s="1037"/>
      <c r="CR159" s="1037"/>
      <c r="CS159" s="1037"/>
      <c r="CT159" s="1037"/>
      <c r="CU159" s="1037"/>
      <c r="CV159" s="1037"/>
      <c r="CW159" s="1037"/>
      <c r="CX159" s="1037"/>
      <c r="CY159" s="1037"/>
      <c r="CZ159" s="1037"/>
      <c r="DA159" s="1037"/>
      <c r="DB159" s="1037"/>
      <c r="DC159" s="1037"/>
      <c r="DD159" s="1037"/>
      <c r="DE159" s="1037"/>
      <c r="DF159" s="1037"/>
      <c r="DG159" s="1037"/>
      <c r="DH159" s="1037"/>
      <c r="DI159" s="1037"/>
      <c r="DJ159" s="1037"/>
      <c r="DK159" s="1037"/>
      <c r="DL159" s="1037"/>
      <c r="DM159" s="1037"/>
      <c r="DN159" s="1037"/>
      <c r="DO159" s="1037"/>
      <c r="DP159" s="1037"/>
      <c r="DQ159" s="1037"/>
      <c r="DR159" s="1037"/>
      <c r="DS159" s="1037"/>
      <c r="DT159" s="1037"/>
      <c r="DU159" s="1037"/>
      <c r="DV159" s="1037"/>
      <c r="DW159" s="1037"/>
      <c r="DX159" s="1037"/>
      <c r="DY159" s="1037"/>
      <c r="DZ159" s="1037"/>
      <c r="EA159" s="1037"/>
      <c r="EB159" s="1037"/>
      <c r="EC159" s="1037"/>
      <c r="ED159" s="1037"/>
      <c r="EE159" s="1037"/>
      <c r="EF159" s="1037"/>
      <c r="EG159" s="1037"/>
      <c r="EH159" s="1037"/>
      <c r="EI159" s="1037"/>
      <c r="EJ159" s="1037"/>
      <c r="EK159" s="1037"/>
      <c r="EL159" s="1037"/>
      <c r="EM159" s="1037"/>
      <c r="EN159" s="1037"/>
      <c r="EO159" s="1037"/>
      <c r="EP159" s="1037"/>
      <c r="EQ159" s="1037"/>
      <c r="ER159" s="1037"/>
      <c r="ES159" s="1037"/>
      <c r="ET159" s="1037"/>
      <c r="EU159" s="1037"/>
      <c r="EV159" s="1037"/>
      <c r="EW159" s="1037"/>
      <c r="EX159" s="1037"/>
      <c r="EY159" s="1037"/>
      <c r="EZ159" s="1037"/>
      <c r="FA159" s="1037"/>
      <c r="FB159" s="1037"/>
      <c r="FC159" s="1037"/>
      <c r="FD159" s="1037"/>
      <c r="FE159" s="1037"/>
      <c r="FF159" s="1037"/>
      <c r="FG159" s="1037"/>
      <c r="FH159" s="1037"/>
      <c r="FI159" s="1037"/>
      <c r="FJ159" s="1037"/>
      <c r="FK159" s="1037"/>
      <c r="FL159" s="1037"/>
      <c r="FM159" s="1037"/>
      <c r="FN159" s="1037"/>
      <c r="FO159" s="1037"/>
      <c r="FP159" s="1037"/>
      <c r="FQ159" s="1037"/>
      <c r="FR159" s="1037"/>
      <c r="FS159" s="1037"/>
      <c r="FT159" s="1037"/>
      <c r="FU159" s="1037"/>
      <c r="FV159" s="1037"/>
      <c r="FW159" s="1037"/>
      <c r="FX159" s="1037"/>
      <c r="FY159" s="1037"/>
      <c r="FZ159" s="1037"/>
      <c r="GA159" s="1037"/>
      <c r="GB159" s="1037"/>
      <c r="GC159" s="1037"/>
      <c r="GD159" s="1037"/>
      <c r="GE159" s="1037"/>
      <c r="GF159" s="1037"/>
      <c r="GG159" s="1037"/>
      <c r="GH159" s="1037"/>
      <c r="GI159" s="1037"/>
      <c r="GJ159" s="1037"/>
      <c r="GK159" s="1037"/>
      <c r="GL159" s="1037"/>
      <c r="GM159" s="1037"/>
      <c r="GN159" s="1037"/>
      <c r="GO159" s="1037"/>
      <c r="GP159" s="1037"/>
      <c r="GQ159" s="1037"/>
      <c r="GR159" s="1037"/>
      <c r="GS159" s="1037"/>
      <c r="GT159" s="1037"/>
      <c r="GU159" s="1037"/>
      <c r="GV159" s="1037"/>
      <c r="GW159" s="1037"/>
      <c r="GX159" s="1037"/>
      <c r="GY159" s="1037"/>
      <c r="GZ159" s="1037"/>
      <c r="HA159" s="1037"/>
      <c r="HB159" s="1037"/>
      <c r="HC159" s="1037"/>
      <c r="HD159" s="1037"/>
      <c r="HE159" s="1037"/>
      <c r="HF159" s="1037"/>
      <c r="HG159" s="1037"/>
      <c r="HH159" s="1037"/>
      <c r="HI159" s="1037"/>
      <c r="HJ159" s="1037"/>
      <c r="HK159" s="1037"/>
      <c r="HL159" s="1037"/>
      <c r="HM159" s="1037"/>
      <c r="HN159" s="1037"/>
      <c r="HO159" s="1037"/>
      <c r="HP159" s="1037"/>
      <c r="HQ159" s="1037"/>
      <c r="HR159" s="1037"/>
      <c r="HS159" s="1037"/>
      <c r="HT159" s="1037"/>
      <c r="HU159" s="1037"/>
      <c r="HV159" s="1037"/>
      <c r="HW159" s="1037"/>
      <c r="HX159" s="1037"/>
      <c r="HY159" s="1037"/>
      <c r="HZ159" s="1037"/>
      <c r="IA159" s="1037"/>
      <c r="IB159" s="1037"/>
      <c r="IC159" s="1037"/>
      <c r="ID159" s="1037"/>
      <c r="IE159" s="1037"/>
      <c r="IF159" s="1037"/>
      <c r="IG159" s="1037"/>
      <c r="IH159" s="1037"/>
      <c r="II159" s="1037"/>
      <c r="IJ159" s="1037"/>
      <c r="IK159" s="1037"/>
      <c r="IL159" s="1037"/>
      <c r="IM159" s="1037"/>
      <c r="IN159" s="1037"/>
    </row>
    <row r="160" spans="1:248">
      <c r="A160" s="701" t="s">
        <v>25</v>
      </c>
      <c r="B160" s="703">
        <v>10667</v>
      </c>
      <c r="C160" s="1038">
        <v>29.607856199136219</v>
      </c>
      <c r="D160" s="704">
        <v>10794</v>
      </c>
      <c r="E160" s="1038">
        <v>29.960363721147122</v>
      </c>
      <c r="F160" s="1038">
        <v>-127</v>
      </c>
      <c r="G160" s="1038">
        <f t="shared" si="28"/>
        <v>-0.3525075220109028</v>
      </c>
      <c r="H160" s="27">
        <v>36027.599999999999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7"/>
      <c r="AB160" s="1037"/>
      <c r="AC160" s="1037"/>
      <c r="AD160" s="1037"/>
      <c r="AE160" s="1037"/>
      <c r="AF160" s="1037"/>
      <c r="AG160" s="1037"/>
      <c r="AH160" s="1037"/>
      <c r="AI160" s="1037"/>
      <c r="AJ160" s="1037"/>
      <c r="AK160" s="1037"/>
      <c r="AL160" s="1037"/>
      <c r="AM160" s="1037"/>
      <c r="AN160" s="1037"/>
      <c r="AO160" s="1037"/>
      <c r="AP160" s="1037"/>
      <c r="AQ160" s="1037"/>
      <c r="AR160" s="1037"/>
      <c r="AS160" s="1037"/>
      <c r="AT160" s="1037"/>
      <c r="AU160" s="1037"/>
      <c r="AV160" s="1037"/>
      <c r="AW160" s="1037"/>
      <c r="AX160" s="1037"/>
      <c r="AY160" s="1037"/>
      <c r="AZ160" s="1037"/>
      <c r="BA160" s="1037"/>
      <c r="BB160" s="1037"/>
      <c r="BC160" s="1037"/>
      <c r="BD160" s="1037"/>
      <c r="BE160" s="1037"/>
      <c r="BF160" s="1037"/>
      <c r="BG160" s="1037"/>
      <c r="BH160" s="1037"/>
      <c r="BI160" s="1037"/>
      <c r="BJ160" s="1037"/>
      <c r="BK160" s="1037"/>
      <c r="BL160" s="1037"/>
      <c r="BM160" s="1037"/>
      <c r="BN160" s="1037"/>
      <c r="BO160" s="1037"/>
      <c r="BP160" s="1037"/>
      <c r="BQ160" s="1037"/>
      <c r="BR160" s="1037"/>
      <c r="BS160" s="1037"/>
      <c r="BT160" s="1037"/>
      <c r="BU160" s="1037"/>
      <c r="BV160" s="1037"/>
      <c r="BW160" s="1037"/>
      <c r="BX160" s="1037"/>
      <c r="BY160" s="1037"/>
      <c r="BZ160" s="1037"/>
      <c r="CA160" s="1037"/>
      <c r="CB160" s="1037"/>
      <c r="CC160" s="1037"/>
      <c r="CD160" s="1037"/>
      <c r="CE160" s="1037"/>
      <c r="CF160" s="1037"/>
      <c r="CG160" s="1037"/>
      <c r="CH160" s="1037"/>
      <c r="CI160" s="1037"/>
      <c r="CJ160" s="1037"/>
      <c r="CK160" s="1037"/>
      <c r="CL160" s="1037"/>
      <c r="CM160" s="1037"/>
      <c r="CN160" s="1037"/>
      <c r="CO160" s="1037"/>
      <c r="CP160" s="1037"/>
      <c r="CQ160" s="1037"/>
      <c r="CR160" s="1037"/>
      <c r="CS160" s="1037"/>
      <c r="CT160" s="1037"/>
      <c r="CU160" s="1037"/>
      <c r="CV160" s="1037"/>
      <c r="CW160" s="1037"/>
      <c r="CX160" s="1037"/>
      <c r="CY160" s="1037"/>
      <c r="CZ160" s="1037"/>
      <c r="DA160" s="1037"/>
      <c r="DB160" s="1037"/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7"/>
      <c r="DN160" s="1037"/>
      <c r="DO160" s="1037"/>
      <c r="DP160" s="1037"/>
      <c r="DQ160" s="1037"/>
      <c r="DR160" s="1037"/>
      <c r="DS160" s="1037"/>
      <c r="DT160" s="1037"/>
      <c r="DU160" s="1037"/>
      <c r="DV160" s="1037"/>
      <c r="DW160" s="1037"/>
      <c r="DX160" s="1037"/>
      <c r="DY160" s="1037"/>
      <c r="DZ160" s="1037"/>
      <c r="EA160" s="1037"/>
      <c r="EB160" s="1037"/>
      <c r="EC160" s="1037"/>
      <c r="ED160" s="1037"/>
      <c r="EE160" s="1037"/>
      <c r="EF160" s="1037"/>
      <c r="EG160" s="1037"/>
      <c r="EH160" s="1037"/>
      <c r="EI160" s="1037"/>
      <c r="EJ160" s="1037"/>
      <c r="EK160" s="1037"/>
      <c r="EL160" s="1037"/>
      <c r="EM160" s="1037"/>
      <c r="EN160" s="1037"/>
      <c r="EO160" s="1037"/>
      <c r="EP160" s="1037"/>
      <c r="EQ160" s="1037"/>
      <c r="ER160" s="1037"/>
      <c r="ES160" s="1037"/>
      <c r="ET160" s="1037"/>
      <c r="EU160" s="1037"/>
      <c r="EV160" s="1037"/>
      <c r="EW160" s="1037"/>
      <c r="EX160" s="1037"/>
      <c r="EY160" s="1037"/>
      <c r="EZ160" s="1037"/>
      <c r="FA160" s="1037"/>
      <c r="FB160" s="1037"/>
      <c r="FC160" s="1037"/>
      <c r="FD160" s="1037"/>
      <c r="FE160" s="1037"/>
      <c r="FF160" s="1037"/>
      <c r="FG160" s="1037"/>
      <c r="FH160" s="1037"/>
      <c r="FI160" s="1037"/>
      <c r="FJ160" s="1037"/>
      <c r="FK160" s="1037"/>
      <c r="FL160" s="1037"/>
      <c r="FM160" s="1037"/>
      <c r="FN160" s="1037"/>
      <c r="FO160" s="1037"/>
      <c r="FP160" s="1037"/>
      <c r="FQ160" s="1037"/>
      <c r="FR160" s="1037"/>
      <c r="FS160" s="1037"/>
      <c r="FT160" s="1037"/>
      <c r="FU160" s="1037"/>
      <c r="FV160" s="1037"/>
      <c r="FW160" s="1037"/>
      <c r="FX160" s="1037"/>
      <c r="FY160" s="1037"/>
      <c r="FZ160" s="1037"/>
      <c r="GA160" s="1037"/>
      <c r="GB160" s="1037"/>
      <c r="GC160" s="1037"/>
      <c r="GD160" s="1037"/>
      <c r="GE160" s="1037"/>
      <c r="GF160" s="1037"/>
      <c r="GG160" s="1037"/>
      <c r="GH160" s="1037"/>
      <c r="GI160" s="1037"/>
      <c r="GJ160" s="1037"/>
      <c r="GK160" s="1037"/>
      <c r="GL160" s="1037"/>
      <c r="GM160" s="1037"/>
      <c r="GN160" s="1037"/>
      <c r="GO160" s="1037"/>
      <c r="GP160" s="1037"/>
      <c r="GQ160" s="1037"/>
      <c r="GR160" s="1037"/>
      <c r="GS160" s="1037"/>
      <c r="GT160" s="1037"/>
      <c r="GU160" s="1037"/>
      <c r="GV160" s="1037"/>
      <c r="GW160" s="1037"/>
      <c r="GX160" s="1037"/>
      <c r="GY160" s="1037"/>
      <c r="GZ160" s="1037"/>
      <c r="HA160" s="1037"/>
      <c r="HB160" s="1037"/>
      <c r="HC160" s="1037"/>
      <c r="HD160" s="1037"/>
      <c r="HE160" s="1037"/>
      <c r="HF160" s="1037"/>
      <c r="HG160" s="1037"/>
      <c r="HH160" s="1037"/>
      <c r="HI160" s="1037"/>
      <c r="HJ160" s="1037"/>
      <c r="HK160" s="1037"/>
      <c r="HL160" s="1037"/>
      <c r="HM160" s="1037"/>
      <c r="HN160" s="1037"/>
      <c r="HO160" s="1037"/>
      <c r="HP160" s="1037"/>
      <c r="HQ160" s="1037"/>
      <c r="HR160" s="1037"/>
      <c r="HS160" s="1037"/>
      <c r="HT160" s="1037"/>
      <c r="HU160" s="1037"/>
      <c r="HV160" s="1037"/>
      <c r="HW160" s="1037"/>
      <c r="HX160" s="1037"/>
      <c r="HY160" s="1037"/>
      <c r="HZ160" s="1037"/>
      <c r="IA160" s="1037"/>
      <c r="IB160" s="1037"/>
      <c r="IC160" s="1037"/>
      <c r="ID160" s="1037"/>
      <c r="IE160" s="1037"/>
      <c r="IF160" s="1037"/>
      <c r="IG160" s="1037"/>
      <c r="IH160" s="1037"/>
      <c r="II160" s="1037"/>
      <c r="IJ160" s="1037"/>
      <c r="IK160" s="1037"/>
      <c r="IL160" s="1037"/>
      <c r="IM160" s="1037"/>
      <c r="IN160" s="1037"/>
    </row>
    <row r="161" spans="1:248">
      <c r="A161" s="701" t="s">
        <v>26</v>
      </c>
      <c r="B161" s="703">
        <v>12066.3</v>
      </c>
      <c r="C161" s="1038">
        <v>29.662671098174947</v>
      </c>
      <c r="D161" s="704">
        <v>12158.4</v>
      </c>
      <c r="E161" s="1038">
        <v>29.889081183134042</v>
      </c>
      <c r="F161" s="1038">
        <v>-92.100000000000364</v>
      </c>
      <c r="G161" s="1038">
        <f t="shared" si="28"/>
        <v>-0.22641008495909465</v>
      </c>
      <c r="H161" s="27">
        <v>40678.400000000001</v>
      </c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1037"/>
      <c r="AI161" s="1037"/>
      <c r="AJ161" s="1037"/>
      <c r="AK161" s="1037"/>
      <c r="AL161" s="1037"/>
      <c r="AM161" s="1037"/>
      <c r="AN161" s="1037"/>
      <c r="AO161" s="1037"/>
      <c r="AP161" s="1037"/>
      <c r="AQ161" s="1037"/>
      <c r="AR161" s="1037"/>
      <c r="AS161" s="1037"/>
      <c r="AT161" s="1037"/>
      <c r="AU161" s="1037"/>
      <c r="AV161" s="1037"/>
      <c r="AW161" s="1037"/>
      <c r="AX161" s="1037"/>
      <c r="AY161" s="1037"/>
      <c r="AZ161" s="1037"/>
      <c r="BA161" s="1037"/>
      <c r="BB161" s="1037"/>
      <c r="BC161" s="1037"/>
      <c r="BD161" s="1037"/>
      <c r="BE161" s="1037"/>
      <c r="BF161" s="1037"/>
      <c r="BG161" s="1037"/>
      <c r="BH161" s="1037"/>
      <c r="BI161" s="1037"/>
      <c r="BJ161" s="1037"/>
      <c r="BK161" s="1037"/>
      <c r="BL161" s="1037"/>
      <c r="BM161" s="1037"/>
      <c r="BN161" s="1037"/>
      <c r="BO161" s="1037"/>
      <c r="BP161" s="1037"/>
      <c r="BQ161" s="1037"/>
      <c r="BR161" s="1037"/>
      <c r="BS161" s="1037"/>
      <c r="BT161" s="1037"/>
      <c r="BU161" s="1037"/>
      <c r="BV161" s="1037"/>
      <c r="BW161" s="1037"/>
      <c r="BX161" s="1037"/>
      <c r="BY161" s="1037"/>
      <c r="BZ161" s="1037"/>
      <c r="CA161" s="1037"/>
      <c r="CB161" s="1037"/>
      <c r="CC161" s="1037"/>
      <c r="CD161" s="1037"/>
      <c r="CE161" s="1037"/>
      <c r="CF161" s="1037"/>
      <c r="CG161" s="1037"/>
      <c r="CH161" s="1037"/>
      <c r="CI161" s="1037"/>
      <c r="CJ161" s="1037"/>
      <c r="CK161" s="1037"/>
      <c r="CL161" s="1037"/>
      <c r="CM161" s="1037"/>
      <c r="CN161" s="1037"/>
      <c r="CO161" s="1037"/>
      <c r="CP161" s="1037"/>
      <c r="CQ161" s="1037"/>
      <c r="CR161" s="1037"/>
      <c r="CS161" s="1037"/>
      <c r="CT161" s="1037"/>
      <c r="CU161" s="1037"/>
      <c r="CV161" s="1037"/>
      <c r="CW161" s="1037"/>
      <c r="CX161" s="1037"/>
      <c r="CY161" s="1037"/>
      <c r="CZ161" s="1037"/>
      <c r="DA161" s="1037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7"/>
      <c r="DN161" s="1037"/>
      <c r="DO161" s="1037"/>
      <c r="DP161" s="1037"/>
      <c r="DQ161" s="1037"/>
      <c r="DR161" s="1037"/>
      <c r="DS161" s="1037"/>
      <c r="DT161" s="1037"/>
      <c r="DU161" s="1037"/>
      <c r="DV161" s="1037"/>
      <c r="DW161" s="1037"/>
      <c r="DX161" s="1037"/>
      <c r="DY161" s="1037"/>
      <c r="DZ161" s="1037"/>
      <c r="EA161" s="1037"/>
      <c r="EB161" s="1037"/>
      <c r="EC161" s="1037"/>
      <c r="ED161" s="1037"/>
      <c r="EE161" s="1037"/>
      <c r="EF161" s="1037"/>
      <c r="EG161" s="1037"/>
      <c r="EH161" s="1037"/>
      <c r="EI161" s="1037"/>
      <c r="EJ161" s="1037"/>
      <c r="EK161" s="1037"/>
      <c r="EL161" s="1037"/>
      <c r="EM161" s="1037"/>
      <c r="EN161" s="1037"/>
      <c r="EO161" s="1037"/>
      <c r="EP161" s="1037"/>
      <c r="EQ161" s="1037"/>
      <c r="ER161" s="1037"/>
      <c r="ES161" s="1037"/>
      <c r="ET161" s="1037"/>
      <c r="EU161" s="1037"/>
      <c r="EV161" s="1037"/>
      <c r="EW161" s="1037"/>
      <c r="EX161" s="1037"/>
      <c r="EY161" s="1037"/>
      <c r="EZ161" s="1037"/>
      <c r="FA161" s="1037"/>
      <c r="FB161" s="1037"/>
      <c r="FC161" s="1037"/>
      <c r="FD161" s="1037"/>
      <c r="FE161" s="1037"/>
      <c r="FF161" s="1037"/>
      <c r="FG161" s="1037"/>
      <c r="FH161" s="1037"/>
      <c r="FI161" s="1037"/>
      <c r="FJ161" s="1037"/>
      <c r="FK161" s="1037"/>
      <c r="FL161" s="1037"/>
      <c r="FM161" s="1037"/>
      <c r="FN161" s="1037"/>
      <c r="FO161" s="1037"/>
      <c r="FP161" s="1037"/>
      <c r="FQ161" s="1037"/>
      <c r="FR161" s="1037"/>
      <c r="FS161" s="1037"/>
      <c r="FT161" s="1037"/>
      <c r="FU161" s="1037"/>
      <c r="FV161" s="1037"/>
      <c r="FW161" s="1037"/>
      <c r="FX161" s="1037"/>
      <c r="FY161" s="1037"/>
      <c r="FZ161" s="1037"/>
      <c r="GA161" s="1037"/>
      <c r="GB161" s="1037"/>
      <c r="GC161" s="1037"/>
      <c r="GD161" s="1037"/>
      <c r="GE161" s="1037"/>
      <c r="GF161" s="1037"/>
      <c r="GG161" s="1037"/>
      <c r="GH161" s="1037"/>
      <c r="GI161" s="1037"/>
      <c r="GJ161" s="1037"/>
      <c r="GK161" s="1037"/>
      <c r="GL161" s="1037"/>
      <c r="GM161" s="1037"/>
      <c r="GN161" s="1037"/>
      <c r="GO161" s="1037"/>
      <c r="GP161" s="1037"/>
      <c r="GQ161" s="1037"/>
      <c r="GR161" s="1037"/>
      <c r="GS161" s="1037"/>
      <c r="GT161" s="1037"/>
      <c r="GU161" s="1037"/>
      <c r="GV161" s="1037"/>
      <c r="GW161" s="1037"/>
      <c r="GX161" s="1037"/>
      <c r="GY161" s="1037"/>
      <c r="GZ161" s="1037"/>
      <c r="HA161" s="1037"/>
      <c r="HB161" s="1037"/>
      <c r="HC161" s="1037"/>
      <c r="HD161" s="1037"/>
      <c r="HE161" s="1037"/>
      <c r="HF161" s="1037"/>
      <c r="HG161" s="1037"/>
      <c r="HH161" s="1037"/>
      <c r="HI161" s="1037"/>
      <c r="HJ161" s="1037"/>
      <c r="HK161" s="1037"/>
      <c r="HL161" s="1037"/>
      <c r="HM161" s="1037"/>
      <c r="HN161" s="1037"/>
      <c r="HO161" s="1037"/>
      <c r="HP161" s="1037"/>
      <c r="HQ161" s="1037"/>
      <c r="HR161" s="1037"/>
      <c r="HS161" s="1037"/>
      <c r="HT161" s="1037"/>
      <c r="HU161" s="1037"/>
      <c r="HV161" s="1037"/>
      <c r="HW161" s="1037"/>
      <c r="HX161" s="1037"/>
      <c r="HY161" s="1037"/>
      <c r="HZ161" s="1037"/>
      <c r="IA161" s="1037"/>
      <c r="IB161" s="1037"/>
      <c r="IC161" s="1037"/>
      <c r="ID161" s="1037"/>
      <c r="IE161" s="1037"/>
      <c r="IF161" s="1037"/>
      <c r="IG161" s="1037"/>
      <c r="IH161" s="1037"/>
      <c r="II161" s="1037"/>
      <c r="IJ161" s="1037"/>
      <c r="IK161" s="1037"/>
      <c r="IL161" s="1037"/>
      <c r="IM161" s="1037"/>
      <c r="IN161" s="1037"/>
    </row>
    <row r="162" spans="1:248">
      <c r="A162" s="701" t="s">
        <v>27</v>
      </c>
      <c r="B162" s="703">
        <v>13874.1</v>
      </c>
      <c r="C162" s="1038">
        <v>30.203897698476972</v>
      </c>
      <c r="D162" s="704">
        <v>13925.3</v>
      </c>
      <c r="E162" s="1038">
        <v>30.315360032045419</v>
      </c>
      <c r="F162" s="1038">
        <v>-51.199999999998909</v>
      </c>
      <c r="G162" s="1038">
        <f t="shared" si="28"/>
        <v>-0.11146233356844681</v>
      </c>
      <c r="H162" s="27">
        <v>45934.8</v>
      </c>
      <c r="I162" s="1037"/>
      <c r="J162" s="1037"/>
      <c r="K162" s="1037"/>
      <c r="L162" s="1037"/>
      <c r="M162" s="1037"/>
      <c r="N162" s="1037"/>
      <c r="O162" s="1037"/>
      <c r="P162" s="1037"/>
      <c r="Q162" s="1037"/>
      <c r="R162" s="1037"/>
      <c r="S162" s="1037"/>
      <c r="T162" s="1037"/>
      <c r="U162" s="1037"/>
      <c r="V162" s="1037"/>
      <c r="W162" s="1037"/>
      <c r="X162" s="1037"/>
      <c r="Y162" s="1037"/>
      <c r="Z162" s="1037"/>
      <c r="AA162" s="1037"/>
      <c r="AB162" s="1037"/>
      <c r="AC162" s="1037"/>
      <c r="AD162" s="1037"/>
      <c r="AE162" s="1037"/>
      <c r="AF162" s="1037"/>
      <c r="AG162" s="1037"/>
      <c r="AH162" s="1037"/>
      <c r="AI162" s="1037"/>
      <c r="AJ162" s="1037"/>
      <c r="AK162" s="1037"/>
      <c r="AL162" s="1037"/>
      <c r="AM162" s="1037"/>
      <c r="AN162" s="1037"/>
      <c r="AO162" s="1037"/>
      <c r="AP162" s="1037"/>
      <c r="AQ162" s="1037"/>
      <c r="AR162" s="1037"/>
      <c r="AS162" s="1037"/>
      <c r="AT162" s="1037"/>
      <c r="AU162" s="1037"/>
      <c r="AV162" s="1037"/>
      <c r="AW162" s="1037"/>
      <c r="AX162" s="1037"/>
      <c r="AY162" s="1037"/>
      <c r="AZ162" s="1037"/>
      <c r="BA162" s="1037"/>
      <c r="BB162" s="1037"/>
      <c r="BC162" s="1037"/>
      <c r="BD162" s="1037"/>
      <c r="BE162" s="1037"/>
      <c r="BF162" s="1037"/>
      <c r="BG162" s="1037"/>
      <c r="BH162" s="1037"/>
      <c r="BI162" s="1037"/>
      <c r="BJ162" s="1037"/>
      <c r="BK162" s="1037"/>
      <c r="BL162" s="1037"/>
      <c r="BM162" s="1037"/>
      <c r="BN162" s="1037"/>
      <c r="BO162" s="1037"/>
      <c r="BP162" s="1037"/>
      <c r="BQ162" s="1037"/>
      <c r="BR162" s="1037"/>
      <c r="BS162" s="1037"/>
      <c r="BT162" s="1037"/>
      <c r="BU162" s="1037"/>
      <c r="BV162" s="1037"/>
      <c r="BW162" s="1037"/>
      <c r="BX162" s="1037"/>
      <c r="BY162" s="1037"/>
      <c r="BZ162" s="1037"/>
      <c r="CA162" s="1037"/>
      <c r="CB162" s="1037"/>
      <c r="CC162" s="1037"/>
      <c r="CD162" s="1037"/>
      <c r="CE162" s="1037"/>
      <c r="CF162" s="1037"/>
      <c r="CG162" s="1037"/>
      <c r="CH162" s="1037"/>
      <c r="CI162" s="1037"/>
      <c r="CJ162" s="1037"/>
      <c r="CK162" s="1037"/>
      <c r="CL162" s="1037"/>
      <c r="CM162" s="1037"/>
      <c r="CN162" s="1037"/>
      <c r="CO162" s="1037"/>
      <c r="CP162" s="1037"/>
      <c r="CQ162" s="1037"/>
      <c r="CR162" s="1037"/>
      <c r="CS162" s="1037"/>
      <c r="CT162" s="1037"/>
      <c r="CU162" s="1037"/>
      <c r="CV162" s="1037"/>
      <c r="CW162" s="1037"/>
      <c r="CX162" s="1037"/>
      <c r="CY162" s="1037"/>
      <c r="CZ162" s="1037"/>
      <c r="DA162" s="1037"/>
      <c r="DB162" s="1037"/>
      <c r="DC162" s="1037"/>
      <c r="DD162" s="1037"/>
      <c r="DE162" s="1037"/>
      <c r="DF162" s="1037"/>
      <c r="DG162" s="1037"/>
      <c r="DH162" s="1037"/>
      <c r="DI162" s="1037"/>
      <c r="DJ162" s="1037"/>
      <c r="DK162" s="1037"/>
      <c r="DL162" s="1037"/>
      <c r="DM162" s="1037"/>
      <c r="DN162" s="1037"/>
      <c r="DO162" s="1037"/>
      <c r="DP162" s="1037"/>
      <c r="DQ162" s="1037"/>
      <c r="DR162" s="1037"/>
      <c r="DS162" s="1037"/>
      <c r="DT162" s="1037"/>
      <c r="DU162" s="1037"/>
      <c r="DV162" s="1037"/>
      <c r="DW162" s="1037"/>
      <c r="DX162" s="1037"/>
      <c r="DY162" s="1037"/>
      <c r="DZ162" s="1037"/>
      <c r="EA162" s="1037"/>
      <c r="EB162" s="1037"/>
      <c r="EC162" s="1037"/>
      <c r="ED162" s="1037"/>
      <c r="EE162" s="1037"/>
      <c r="EF162" s="1037"/>
      <c r="EG162" s="1037"/>
      <c r="EH162" s="1037"/>
      <c r="EI162" s="1037"/>
      <c r="EJ162" s="1037"/>
      <c r="EK162" s="1037"/>
      <c r="EL162" s="1037"/>
      <c r="EM162" s="1037"/>
      <c r="EN162" s="1037"/>
      <c r="EO162" s="1037"/>
      <c r="EP162" s="1037"/>
      <c r="EQ162" s="1037"/>
      <c r="ER162" s="1037"/>
      <c r="ES162" s="1037"/>
      <c r="ET162" s="1037"/>
      <c r="EU162" s="1037"/>
      <c r="EV162" s="1037"/>
      <c r="EW162" s="1037"/>
      <c r="EX162" s="1037"/>
      <c r="EY162" s="1037"/>
      <c r="EZ162" s="1037"/>
      <c r="FA162" s="1037"/>
      <c r="FB162" s="1037"/>
      <c r="FC162" s="1037"/>
      <c r="FD162" s="1037"/>
      <c r="FE162" s="1037"/>
      <c r="FF162" s="1037"/>
      <c r="FG162" s="1037"/>
      <c r="FH162" s="1037"/>
      <c r="FI162" s="1037"/>
      <c r="FJ162" s="1037"/>
      <c r="FK162" s="1037"/>
      <c r="FL162" s="1037"/>
      <c r="FM162" s="1037"/>
      <c r="FN162" s="1037"/>
      <c r="FO162" s="1037"/>
      <c r="FP162" s="1037"/>
      <c r="FQ162" s="1037"/>
      <c r="FR162" s="1037"/>
      <c r="FS162" s="1037"/>
      <c r="FT162" s="1037"/>
      <c r="FU162" s="1037"/>
      <c r="FV162" s="1037"/>
      <c r="FW162" s="1037"/>
      <c r="FX162" s="1037"/>
      <c r="FY162" s="1037"/>
      <c r="FZ162" s="1037"/>
      <c r="GA162" s="1037"/>
      <c r="GB162" s="1037"/>
      <c r="GC162" s="1037"/>
      <c r="GD162" s="1037"/>
      <c r="GE162" s="1037"/>
      <c r="GF162" s="1037"/>
      <c r="GG162" s="1037"/>
      <c r="GH162" s="1037"/>
      <c r="GI162" s="1037"/>
      <c r="GJ162" s="1037"/>
      <c r="GK162" s="1037"/>
      <c r="GL162" s="1037"/>
      <c r="GM162" s="1037"/>
      <c r="GN162" s="1037"/>
      <c r="GO162" s="1037"/>
      <c r="GP162" s="1037"/>
      <c r="GQ162" s="1037"/>
      <c r="GR162" s="1037"/>
      <c r="GS162" s="1037"/>
      <c r="GT162" s="1037"/>
      <c r="GU162" s="1037"/>
      <c r="GV162" s="1037"/>
      <c r="GW162" s="1037"/>
      <c r="GX162" s="1037"/>
      <c r="GY162" s="1037"/>
      <c r="GZ162" s="1037"/>
      <c r="HA162" s="1037"/>
      <c r="HB162" s="1037"/>
      <c r="HC162" s="1037"/>
      <c r="HD162" s="1037"/>
      <c r="HE162" s="1037"/>
      <c r="HF162" s="1037"/>
      <c r="HG162" s="1037"/>
      <c r="HH162" s="1037"/>
      <c r="HI162" s="1037"/>
      <c r="HJ162" s="1037"/>
      <c r="HK162" s="1037"/>
      <c r="HL162" s="1037"/>
      <c r="HM162" s="1037"/>
      <c r="HN162" s="1037"/>
      <c r="HO162" s="1037"/>
      <c r="HP162" s="1037"/>
      <c r="HQ162" s="1037"/>
      <c r="HR162" s="1037"/>
      <c r="HS162" s="1037"/>
      <c r="HT162" s="1037"/>
      <c r="HU162" s="1037"/>
      <c r="HV162" s="1037"/>
      <c r="HW162" s="1037"/>
      <c r="HX162" s="1037"/>
      <c r="HY162" s="1037"/>
      <c r="HZ162" s="1037"/>
      <c r="IA162" s="1037"/>
      <c r="IB162" s="1037"/>
      <c r="IC162" s="1037"/>
      <c r="ID162" s="1037"/>
      <c r="IE162" s="1037"/>
      <c r="IF162" s="1037"/>
      <c r="IG162" s="1037"/>
      <c r="IH162" s="1037"/>
      <c r="II162" s="1037"/>
      <c r="IJ162" s="1037"/>
      <c r="IK162" s="1037"/>
      <c r="IL162" s="1037"/>
      <c r="IM162" s="1037"/>
      <c r="IN162" s="1037"/>
    </row>
    <row r="163" spans="1:248">
      <c r="A163" s="701" t="s">
        <v>28</v>
      </c>
      <c r="B163" s="703">
        <v>15455.3</v>
      </c>
      <c r="C163" s="1038">
        <v>30.875093642311342</v>
      </c>
      <c r="D163" s="704">
        <v>15469.2</v>
      </c>
      <c r="E163" s="1038">
        <v>30.902861709034614</v>
      </c>
      <c r="F163" s="1038">
        <v>-13.900000000001455</v>
      </c>
      <c r="G163" s="1038">
        <f t="shared" si="28"/>
        <v>-2.7768066723271149E-2</v>
      </c>
      <c r="H163" s="27">
        <v>50057.5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7"/>
      <c r="AB163" s="1037"/>
      <c r="AC163" s="1037"/>
      <c r="AD163" s="1037"/>
      <c r="AE163" s="1037"/>
      <c r="AF163" s="1037"/>
      <c r="AG163" s="1037"/>
      <c r="AH163" s="1037"/>
      <c r="AI163" s="1037"/>
      <c r="AJ163" s="1037"/>
      <c r="AK163" s="1037"/>
      <c r="AL163" s="1037"/>
      <c r="AM163" s="1037"/>
      <c r="AN163" s="1037"/>
      <c r="AO163" s="1037"/>
      <c r="AP163" s="1037"/>
      <c r="AQ163" s="1037"/>
      <c r="AR163" s="1037"/>
      <c r="AS163" s="1037"/>
      <c r="AT163" s="1037"/>
      <c r="AU163" s="1037"/>
      <c r="AV163" s="1037"/>
      <c r="AW163" s="1037"/>
      <c r="AX163" s="1037"/>
      <c r="AY163" s="1037"/>
      <c r="AZ163" s="1037"/>
      <c r="BA163" s="1037"/>
      <c r="BB163" s="1037"/>
      <c r="BC163" s="1037"/>
      <c r="BD163" s="1037"/>
      <c r="BE163" s="1037"/>
      <c r="BF163" s="1037"/>
      <c r="BG163" s="1037"/>
      <c r="BH163" s="1037"/>
      <c r="BI163" s="1037"/>
      <c r="BJ163" s="1037"/>
      <c r="BK163" s="1037"/>
      <c r="BL163" s="1037"/>
      <c r="BM163" s="1037"/>
      <c r="BN163" s="1037"/>
      <c r="BO163" s="1037"/>
      <c r="BP163" s="1037"/>
      <c r="BQ163" s="1037"/>
      <c r="BR163" s="1037"/>
      <c r="BS163" s="1037"/>
      <c r="BT163" s="1037"/>
      <c r="BU163" s="1037"/>
      <c r="BV163" s="1037"/>
      <c r="BW163" s="1037"/>
      <c r="BX163" s="1037"/>
      <c r="BY163" s="1037"/>
      <c r="BZ163" s="1037"/>
      <c r="CA163" s="1037"/>
      <c r="CB163" s="1037"/>
      <c r="CC163" s="1037"/>
      <c r="CD163" s="1037"/>
      <c r="CE163" s="1037"/>
      <c r="CF163" s="1037"/>
      <c r="CG163" s="1037"/>
      <c r="CH163" s="1037"/>
      <c r="CI163" s="1037"/>
      <c r="CJ163" s="1037"/>
      <c r="CK163" s="1037"/>
      <c r="CL163" s="1037"/>
      <c r="CM163" s="1037"/>
      <c r="CN163" s="1037"/>
      <c r="CO163" s="1037"/>
      <c r="CP163" s="1037"/>
      <c r="CQ163" s="1037"/>
      <c r="CR163" s="1037"/>
      <c r="CS163" s="1037"/>
      <c r="CT163" s="1037"/>
      <c r="CU163" s="1037"/>
      <c r="CV163" s="1037"/>
      <c r="CW163" s="1037"/>
      <c r="CX163" s="1037"/>
      <c r="CY163" s="1037"/>
      <c r="CZ163" s="1037"/>
      <c r="DA163" s="1037"/>
      <c r="DB163" s="1037"/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7"/>
      <c r="DO163" s="1037"/>
      <c r="DP163" s="1037"/>
      <c r="DQ163" s="1037"/>
      <c r="DR163" s="1037"/>
      <c r="DS163" s="1037"/>
      <c r="DT163" s="1037"/>
      <c r="DU163" s="1037"/>
      <c r="DV163" s="1037"/>
      <c r="DW163" s="1037"/>
      <c r="DX163" s="1037"/>
      <c r="DY163" s="1037"/>
      <c r="DZ163" s="1037"/>
      <c r="EA163" s="1037"/>
      <c r="EB163" s="1037"/>
      <c r="EC163" s="1037"/>
      <c r="ED163" s="1037"/>
      <c r="EE163" s="1037"/>
      <c r="EF163" s="1037"/>
      <c r="EG163" s="1037"/>
      <c r="EH163" s="1037"/>
      <c r="EI163" s="1037"/>
      <c r="EJ163" s="1037"/>
      <c r="EK163" s="1037"/>
      <c r="EL163" s="1037"/>
      <c r="EM163" s="1037"/>
      <c r="EN163" s="1037"/>
      <c r="EO163" s="1037"/>
      <c r="EP163" s="1037"/>
      <c r="EQ163" s="1037"/>
      <c r="ER163" s="1037"/>
      <c r="ES163" s="1037"/>
      <c r="ET163" s="1037"/>
      <c r="EU163" s="1037"/>
      <c r="EV163" s="1037"/>
      <c r="EW163" s="1037"/>
      <c r="EX163" s="1037"/>
      <c r="EY163" s="1037"/>
      <c r="EZ163" s="1037"/>
      <c r="FA163" s="1037"/>
      <c r="FB163" s="1037"/>
      <c r="FC163" s="1037"/>
      <c r="FD163" s="1037"/>
      <c r="FE163" s="1037"/>
      <c r="FF163" s="1037"/>
      <c r="FG163" s="1037"/>
      <c r="FH163" s="1037"/>
      <c r="FI163" s="1037"/>
      <c r="FJ163" s="1037"/>
      <c r="FK163" s="1037"/>
      <c r="FL163" s="1037"/>
      <c r="FM163" s="1037"/>
      <c r="FN163" s="1037"/>
      <c r="FO163" s="1037"/>
      <c r="FP163" s="1037"/>
      <c r="FQ163" s="1037"/>
      <c r="FR163" s="1037"/>
      <c r="FS163" s="1037"/>
      <c r="FT163" s="1037"/>
      <c r="FU163" s="1037"/>
      <c r="FV163" s="1037"/>
      <c r="FW163" s="1037"/>
      <c r="FX163" s="1037"/>
      <c r="FY163" s="1037"/>
      <c r="FZ163" s="1037"/>
      <c r="GA163" s="1037"/>
      <c r="GB163" s="1037"/>
      <c r="GC163" s="1037"/>
      <c r="GD163" s="1037"/>
      <c r="GE163" s="1037"/>
      <c r="GF163" s="1037"/>
      <c r="GG163" s="1037"/>
      <c r="GH163" s="1037"/>
      <c r="GI163" s="1037"/>
      <c r="GJ163" s="1037"/>
      <c r="GK163" s="1037"/>
      <c r="GL163" s="1037"/>
      <c r="GM163" s="1037"/>
      <c r="GN163" s="1037"/>
      <c r="GO163" s="1037"/>
      <c r="GP163" s="1037"/>
      <c r="GQ163" s="1037"/>
      <c r="GR163" s="1037"/>
      <c r="GS163" s="1037"/>
      <c r="GT163" s="1037"/>
      <c r="GU163" s="1037"/>
      <c r="GV163" s="1037"/>
      <c r="GW163" s="1037"/>
      <c r="GX163" s="1037"/>
      <c r="GY163" s="1037"/>
      <c r="GZ163" s="1037"/>
      <c r="HA163" s="1037"/>
      <c r="HB163" s="1037"/>
      <c r="HC163" s="1037"/>
      <c r="HD163" s="1037"/>
      <c r="HE163" s="1037"/>
      <c r="HF163" s="1037"/>
      <c r="HG163" s="1037"/>
      <c r="HH163" s="1037"/>
      <c r="HI163" s="1037"/>
      <c r="HJ163" s="1037"/>
      <c r="HK163" s="1037"/>
      <c r="HL163" s="1037"/>
      <c r="HM163" s="1037"/>
      <c r="HN163" s="1037"/>
      <c r="HO163" s="1037"/>
      <c r="HP163" s="1037"/>
      <c r="HQ163" s="1037"/>
      <c r="HR163" s="1037"/>
      <c r="HS163" s="1037"/>
      <c r="HT163" s="1037"/>
      <c r="HU163" s="1037"/>
      <c r="HV163" s="1037"/>
      <c r="HW163" s="1037"/>
      <c r="HX163" s="1037"/>
      <c r="HY163" s="1037"/>
      <c r="HZ163" s="1037"/>
      <c r="IA163" s="1037"/>
      <c r="IB163" s="1037"/>
      <c r="IC163" s="1037"/>
      <c r="ID163" s="1037"/>
      <c r="IE163" s="1037"/>
      <c r="IF163" s="1037"/>
      <c r="IG163" s="1037"/>
      <c r="IH163" s="1037"/>
      <c r="II163" s="1037"/>
      <c r="IJ163" s="1037"/>
      <c r="IK163" s="1037"/>
      <c r="IL163" s="1037"/>
      <c r="IM163" s="1037"/>
      <c r="IN163" s="1037"/>
    </row>
    <row r="164" spans="1:248">
      <c r="A164" s="701" t="s">
        <v>29</v>
      </c>
      <c r="B164" s="703">
        <v>17498</v>
      </c>
      <c r="C164" s="703">
        <f>+B164/H164*100</f>
        <v>32.177271055535122</v>
      </c>
      <c r="D164" s="704">
        <v>17784.5</v>
      </c>
      <c r="E164" s="703">
        <v>32.725138495108702</v>
      </c>
      <c r="F164" s="1038">
        <v>-286.5</v>
      </c>
      <c r="G164" s="1038">
        <f t="shared" si="28"/>
        <v>-0.52684810592129461</v>
      </c>
      <c r="H164" s="27">
        <v>54380</v>
      </c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7"/>
      <c r="AB164" s="1037"/>
      <c r="AC164" s="1037"/>
      <c r="AD164" s="1037"/>
      <c r="AE164" s="1037"/>
      <c r="AF164" s="1037"/>
      <c r="AG164" s="1037"/>
      <c r="AH164" s="1037"/>
      <c r="AI164" s="1037"/>
      <c r="AJ164" s="1037"/>
      <c r="AK164" s="1037"/>
      <c r="AL164" s="1037"/>
      <c r="AM164" s="1037"/>
      <c r="AN164" s="1037"/>
      <c r="AO164" s="1037"/>
      <c r="AP164" s="1037"/>
      <c r="AQ164" s="1037"/>
      <c r="AR164" s="1037"/>
      <c r="AS164" s="1037"/>
      <c r="AT164" s="1037"/>
      <c r="AU164" s="1037"/>
      <c r="AV164" s="1037"/>
      <c r="AW164" s="1037"/>
      <c r="AX164" s="1037"/>
      <c r="AY164" s="1037"/>
      <c r="AZ164" s="1037"/>
      <c r="BA164" s="1037"/>
      <c r="BB164" s="1037"/>
      <c r="BC164" s="1037"/>
      <c r="BD164" s="1037"/>
      <c r="BE164" s="1037"/>
      <c r="BF164" s="1037"/>
      <c r="BG164" s="1037"/>
      <c r="BH164" s="1037"/>
      <c r="BI164" s="1037"/>
      <c r="BJ164" s="1037"/>
      <c r="BK164" s="1037"/>
      <c r="BL164" s="1037"/>
      <c r="BM164" s="1037"/>
      <c r="BN164" s="1037"/>
      <c r="BO164" s="1037"/>
      <c r="BP164" s="1037"/>
      <c r="BQ164" s="1037"/>
      <c r="BR164" s="1037"/>
      <c r="BS164" s="1037"/>
      <c r="BT164" s="1037"/>
      <c r="BU164" s="1037"/>
      <c r="BV164" s="1037"/>
      <c r="BW164" s="1037"/>
      <c r="BX164" s="1037"/>
      <c r="BY164" s="1037"/>
      <c r="BZ164" s="1037"/>
      <c r="CA164" s="1037"/>
      <c r="CB164" s="1037"/>
      <c r="CC164" s="1037"/>
      <c r="CD164" s="1037"/>
      <c r="CE164" s="1037"/>
      <c r="CF164" s="1037"/>
      <c r="CG164" s="1037"/>
      <c r="CH164" s="1037"/>
      <c r="CI164" s="1037"/>
      <c r="CJ164" s="1037"/>
      <c r="CK164" s="1037"/>
      <c r="CL164" s="1037"/>
      <c r="CM164" s="1037"/>
      <c r="CN164" s="1037"/>
      <c r="CO164" s="1037"/>
      <c r="CP164" s="1037"/>
      <c r="CQ164" s="1037"/>
      <c r="CR164" s="1037"/>
      <c r="CS164" s="1037"/>
      <c r="CT164" s="1037"/>
      <c r="CU164" s="1037"/>
      <c r="CV164" s="1037"/>
      <c r="CW164" s="1037"/>
      <c r="CX164" s="1037"/>
      <c r="CY164" s="1037"/>
      <c r="CZ164" s="1037"/>
      <c r="DA164" s="1037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7"/>
      <c r="DO164" s="1037"/>
      <c r="DP164" s="1037"/>
      <c r="DQ164" s="1037"/>
      <c r="DR164" s="1037"/>
      <c r="DS164" s="1037"/>
      <c r="DT164" s="1037"/>
      <c r="DU164" s="1037"/>
      <c r="DV164" s="1037"/>
      <c r="DW164" s="1037"/>
      <c r="DX164" s="1037"/>
      <c r="DY164" s="1037"/>
      <c r="DZ164" s="1037"/>
      <c r="EA164" s="1037"/>
      <c r="EB164" s="1037"/>
      <c r="EC164" s="1037"/>
      <c r="ED164" s="1037"/>
      <c r="EE164" s="1037"/>
      <c r="EF164" s="1037"/>
      <c r="EG164" s="1037"/>
      <c r="EH164" s="1037"/>
      <c r="EI164" s="1037"/>
      <c r="EJ164" s="1037"/>
      <c r="EK164" s="1037"/>
      <c r="EL164" s="1037"/>
      <c r="EM164" s="1037"/>
      <c r="EN164" s="1037"/>
      <c r="EO164" s="1037"/>
      <c r="EP164" s="1037"/>
      <c r="EQ164" s="1037"/>
      <c r="ER164" s="1037"/>
      <c r="ES164" s="1037"/>
      <c r="ET164" s="1037"/>
      <c r="EU164" s="1037"/>
      <c r="EV164" s="1037"/>
      <c r="EW164" s="1037"/>
      <c r="EX164" s="1037"/>
      <c r="EY164" s="1037"/>
      <c r="EZ164" s="1037"/>
      <c r="FA164" s="1037"/>
      <c r="FB164" s="1037"/>
      <c r="FC164" s="1037"/>
      <c r="FD164" s="1037"/>
      <c r="FE164" s="1037"/>
      <c r="FF164" s="1037"/>
      <c r="FG164" s="1037"/>
      <c r="FH164" s="1037"/>
      <c r="FI164" s="1037"/>
      <c r="FJ164" s="1037"/>
      <c r="FK164" s="1037"/>
      <c r="FL164" s="1037"/>
      <c r="FM164" s="1037"/>
      <c r="FN164" s="1037"/>
      <c r="FO164" s="1037"/>
      <c r="FP164" s="1037"/>
      <c r="FQ164" s="1037"/>
      <c r="FR164" s="1037"/>
      <c r="FS164" s="1037"/>
      <c r="FT164" s="1037"/>
      <c r="FU164" s="1037"/>
      <c r="FV164" s="1037"/>
      <c r="FW164" s="1037"/>
      <c r="FX164" s="1037"/>
      <c r="FY164" s="1037"/>
      <c r="FZ164" s="1037"/>
      <c r="GA164" s="1037"/>
      <c r="GB164" s="1037"/>
      <c r="GC164" s="1037"/>
      <c r="GD164" s="1037"/>
      <c r="GE164" s="1037"/>
      <c r="GF164" s="1037"/>
      <c r="GG164" s="1037"/>
      <c r="GH164" s="1037"/>
      <c r="GI164" s="1037"/>
      <c r="GJ164" s="1037"/>
      <c r="GK164" s="1037"/>
      <c r="GL164" s="1037"/>
      <c r="GM164" s="1037"/>
      <c r="GN164" s="1037"/>
      <c r="GO164" s="1037"/>
      <c r="GP164" s="1037"/>
      <c r="GQ164" s="1037"/>
      <c r="GR164" s="1037"/>
      <c r="GS164" s="1037"/>
      <c r="GT164" s="1037"/>
      <c r="GU164" s="1037"/>
      <c r="GV164" s="1037"/>
      <c r="GW164" s="1037"/>
      <c r="GX164" s="1037"/>
      <c r="GY164" s="1037"/>
      <c r="GZ164" s="1037"/>
      <c r="HA164" s="1037"/>
      <c r="HB164" s="1037"/>
      <c r="HC164" s="1037"/>
      <c r="HD164" s="1037"/>
      <c r="HE164" s="1037"/>
      <c r="HF164" s="1037"/>
      <c r="HG164" s="1037"/>
      <c r="HH164" s="1037"/>
      <c r="HI164" s="1037"/>
      <c r="HJ164" s="1037"/>
      <c r="HK164" s="1037"/>
      <c r="HL164" s="1037"/>
      <c r="HM164" s="1037"/>
      <c r="HN164" s="1037"/>
      <c r="HO164" s="1037"/>
      <c r="HP164" s="1037"/>
      <c r="HQ164" s="1037"/>
      <c r="HR164" s="1037"/>
      <c r="HS164" s="1037"/>
      <c r="HT164" s="1037"/>
      <c r="HU164" s="1037"/>
      <c r="HV164" s="1037"/>
      <c r="HW164" s="1037"/>
      <c r="HX164" s="1037"/>
      <c r="HY164" s="1037"/>
      <c r="HZ164" s="1037"/>
      <c r="IA164" s="1037"/>
      <c r="IB164" s="1037"/>
      <c r="IC164" s="1037"/>
      <c r="ID164" s="1037"/>
      <c r="IE164" s="1037"/>
      <c r="IF164" s="1037"/>
      <c r="IG164" s="1037"/>
      <c r="IH164" s="1037"/>
      <c r="II164" s="1037"/>
      <c r="IJ164" s="1037"/>
      <c r="IK164" s="1037"/>
      <c r="IL164" s="1037"/>
      <c r="IM164" s="1037"/>
      <c r="IN164" s="1037"/>
    </row>
    <row r="165" spans="1:248">
      <c r="A165" s="701" t="s">
        <v>1879</v>
      </c>
      <c r="B165" s="698">
        <v>17506</v>
      </c>
      <c r="C165" s="1039">
        <v>28.963412615928458</v>
      </c>
      <c r="D165" s="699">
        <v>17751</v>
      </c>
      <c r="E165" s="698">
        <v>29.576729896295411</v>
      </c>
      <c r="F165" s="1039">
        <f>B165-D165</f>
        <v>-245</v>
      </c>
      <c r="G165" s="1039">
        <v>-0.40208242689751522</v>
      </c>
      <c r="H165" s="27"/>
      <c r="I165" s="1037"/>
      <c r="J165" s="1037"/>
      <c r="K165" s="1037"/>
      <c r="L165" s="1037"/>
      <c r="M165" s="1037"/>
      <c r="N165" s="1037"/>
      <c r="O165" s="1037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7"/>
      <c r="AB165" s="1037"/>
      <c r="AC165" s="1037"/>
      <c r="AD165" s="1037"/>
      <c r="AE165" s="1037"/>
      <c r="AF165" s="1037"/>
      <c r="AG165" s="1037"/>
      <c r="AH165" s="1037"/>
      <c r="AI165" s="1037"/>
      <c r="AJ165" s="1037"/>
      <c r="AK165" s="1037"/>
      <c r="AL165" s="1037"/>
      <c r="AM165" s="1037"/>
      <c r="AN165" s="1037"/>
      <c r="AO165" s="1037"/>
      <c r="AP165" s="1037"/>
      <c r="AQ165" s="1037"/>
      <c r="AR165" s="1037"/>
      <c r="AS165" s="1037"/>
      <c r="AT165" s="1037"/>
      <c r="AU165" s="1037"/>
      <c r="AV165" s="1037"/>
      <c r="AW165" s="1037"/>
      <c r="AX165" s="1037"/>
      <c r="AY165" s="1037"/>
      <c r="AZ165" s="1037"/>
      <c r="BA165" s="1037"/>
      <c r="BB165" s="1037"/>
      <c r="BC165" s="1037"/>
      <c r="BD165" s="1037"/>
      <c r="BE165" s="1037"/>
      <c r="BF165" s="1037"/>
      <c r="BG165" s="1037"/>
      <c r="BH165" s="1037"/>
      <c r="BI165" s="1037"/>
      <c r="BJ165" s="1037"/>
      <c r="BK165" s="1037"/>
      <c r="BL165" s="1037"/>
      <c r="BM165" s="1037"/>
      <c r="BN165" s="1037"/>
      <c r="BO165" s="1037"/>
      <c r="BP165" s="1037"/>
      <c r="BQ165" s="1037"/>
      <c r="BR165" s="1037"/>
      <c r="BS165" s="1037"/>
      <c r="BT165" s="1037"/>
      <c r="BU165" s="1037"/>
      <c r="BV165" s="1037"/>
      <c r="BW165" s="1037"/>
      <c r="BX165" s="1037"/>
      <c r="BY165" s="1037"/>
      <c r="BZ165" s="1037"/>
      <c r="CA165" s="1037"/>
      <c r="CB165" s="1037"/>
      <c r="CC165" s="1037"/>
      <c r="CD165" s="1037"/>
      <c r="CE165" s="1037"/>
      <c r="CF165" s="1037"/>
      <c r="CG165" s="1037"/>
      <c r="CH165" s="1037"/>
      <c r="CI165" s="1037"/>
      <c r="CJ165" s="1037"/>
      <c r="CK165" s="1037"/>
      <c r="CL165" s="1037"/>
      <c r="CM165" s="1037"/>
      <c r="CN165" s="1037"/>
      <c r="CO165" s="1037"/>
      <c r="CP165" s="1037"/>
      <c r="CQ165" s="1037"/>
      <c r="CR165" s="1037"/>
      <c r="CS165" s="1037"/>
      <c r="CT165" s="1037"/>
      <c r="CU165" s="1037"/>
      <c r="CV165" s="1037"/>
      <c r="CW165" s="1037"/>
      <c r="CX165" s="1037"/>
      <c r="CY165" s="1037"/>
      <c r="CZ165" s="1037"/>
      <c r="DA165" s="1037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7"/>
      <c r="DN165" s="1037"/>
      <c r="DO165" s="1037"/>
      <c r="DP165" s="1037"/>
      <c r="DQ165" s="1037"/>
      <c r="DR165" s="1037"/>
      <c r="DS165" s="1037"/>
      <c r="DT165" s="1037"/>
      <c r="DU165" s="1037"/>
      <c r="DV165" s="1037"/>
      <c r="DW165" s="1037"/>
      <c r="DX165" s="1037"/>
      <c r="DY165" s="1037"/>
      <c r="DZ165" s="1037"/>
      <c r="EA165" s="1037"/>
      <c r="EB165" s="1037"/>
      <c r="EC165" s="1037"/>
      <c r="ED165" s="1037"/>
      <c r="EE165" s="1037"/>
      <c r="EF165" s="1037"/>
      <c r="EG165" s="1037"/>
      <c r="EH165" s="1037"/>
      <c r="EI165" s="1037"/>
      <c r="EJ165" s="1037"/>
      <c r="EK165" s="1037"/>
      <c r="EL165" s="1037"/>
      <c r="EM165" s="1037"/>
      <c r="EN165" s="1037"/>
      <c r="EO165" s="1037"/>
      <c r="EP165" s="1037"/>
      <c r="EQ165" s="1037"/>
      <c r="ER165" s="1037"/>
      <c r="ES165" s="1037"/>
      <c r="ET165" s="1037"/>
      <c r="EU165" s="1037"/>
      <c r="EV165" s="1037"/>
      <c r="EW165" s="1037"/>
      <c r="EX165" s="1037"/>
      <c r="EY165" s="1037"/>
      <c r="EZ165" s="1037"/>
      <c r="FA165" s="1037"/>
      <c r="FB165" s="1037"/>
      <c r="FC165" s="1037"/>
      <c r="FD165" s="1037"/>
      <c r="FE165" s="1037"/>
      <c r="FF165" s="1037"/>
      <c r="FG165" s="1037"/>
      <c r="FH165" s="1037"/>
      <c r="FI165" s="1037"/>
      <c r="FJ165" s="1037"/>
      <c r="FK165" s="1037"/>
      <c r="FL165" s="1037"/>
      <c r="FM165" s="1037"/>
      <c r="FN165" s="1037"/>
      <c r="FO165" s="1037"/>
      <c r="FP165" s="1037"/>
      <c r="FQ165" s="1037"/>
      <c r="FR165" s="1037"/>
      <c r="FS165" s="1037"/>
      <c r="FT165" s="1037"/>
      <c r="FU165" s="1037"/>
      <c r="FV165" s="1037"/>
      <c r="FW165" s="1037"/>
      <c r="FX165" s="1037"/>
      <c r="FY165" s="1037"/>
      <c r="FZ165" s="1037"/>
      <c r="GA165" s="1037"/>
      <c r="GB165" s="1037"/>
      <c r="GC165" s="1037"/>
      <c r="GD165" s="1037"/>
      <c r="GE165" s="1037"/>
      <c r="GF165" s="1037"/>
      <c r="GG165" s="1037"/>
      <c r="GH165" s="1037"/>
      <c r="GI165" s="1037"/>
      <c r="GJ165" s="1037"/>
      <c r="GK165" s="1037"/>
      <c r="GL165" s="1037"/>
      <c r="GM165" s="1037"/>
      <c r="GN165" s="1037"/>
      <c r="GO165" s="1037"/>
      <c r="GP165" s="1037"/>
      <c r="GQ165" s="1037"/>
      <c r="GR165" s="1037"/>
      <c r="GS165" s="1037"/>
      <c r="GT165" s="1037"/>
      <c r="GU165" s="1037"/>
      <c r="GV165" s="1037"/>
      <c r="GW165" s="1037"/>
      <c r="GX165" s="1037"/>
      <c r="GY165" s="1037"/>
      <c r="GZ165" s="1037"/>
      <c r="HA165" s="1037"/>
      <c r="HB165" s="1037"/>
      <c r="HC165" s="1037"/>
      <c r="HD165" s="1037"/>
      <c r="HE165" s="1037"/>
      <c r="HF165" s="1037"/>
      <c r="HG165" s="1037"/>
      <c r="HH165" s="1037"/>
      <c r="HI165" s="1037"/>
      <c r="HJ165" s="1037"/>
      <c r="HK165" s="1037"/>
      <c r="HL165" s="1037"/>
      <c r="HM165" s="1037"/>
      <c r="HN165" s="1037"/>
      <c r="HO165" s="1037"/>
      <c r="HP165" s="1037"/>
      <c r="HQ165" s="1037"/>
      <c r="HR165" s="1037"/>
      <c r="HS165" s="1037"/>
      <c r="HT165" s="1037"/>
      <c r="HU165" s="1037"/>
      <c r="HV165" s="1037"/>
      <c r="HW165" s="1037"/>
      <c r="HX165" s="1037"/>
      <c r="HY165" s="1037"/>
      <c r="HZ165" s="1037"/>
      <c r="IA165" s="1037"/>
      <c r="IB165" s="1037"/>
      <c r="IC165" s="1037"/>
      <c r="ID165" s="1037"/>
      <c r="IE165" s="1037"/>
      <c r="IF165" s="1037"/>
      <c r="IG165" s="1037"/>
      <c r="IH165" s="1037"/>
      <c r="II165" s="1037"/>
      <c r="IJ165" s="1037"/>
      <c r="IK165" s="1037"/>
      <c r="IL165" s="1037"/>
      <c r="IM165" s="1037"/>
      <c r="IN165" s="1037"/>
    </row>
    <row r="166" spans="1:248">
      <c r="A166" s="701" t="s">
        <v>18</v>
      </c>
      <c r="B166" s="703">
        <v>1349.6</v>
      </c>
      <c r="C166" s="1038">
        <v>33.645791783007581</v>
      </c>
      <c r="D166" s="704">
        <v>516.4</v>
      </c>
      <c r="E166" s="1038">
        <v>12.873952931790985</v>
      </c>
      <c r="F166" s="1038">
        <v>833.19999999999993</v>
      </c>
      <c r="G166" s="1038">
        <f t="shared" si="28"/>
        <v>20.771838851216593</v>
      </c>
      <c r="H166" s="27">
        <v>4011.2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7"/>
      <c r="AB166" s="1037"/>
      <c r="AC166" s="1037"/>
      <c r="AD166" s="1037"/>
      <c r="AE166" s="1037"/>
      <c r="AF166" s="1037"/>
      <c r="AG166" s="1037"/>
      <c r="AH166" s="1037"/>
      <c r="AI166" s="1037"/>
      <c r="AJ166" s="1037"/>
      <c r="AK166" s="1037"/>
      <c r="AL166" s="1037"/>
      <c r="AM166" s="1037"/>
      <c r="AN166" s="1037"/>
      <c r="AO166" s="1037"/>
      <c r="AP166" s="1037"/>
      <c r="AQ166" s="1037"/>
      <c r="AR166" s="1037"/>
      <c r="AS166" s="1037"/>
      <c r="AT166" s="1037"/>
      <c r="AU166" s="1037"/>
      <c r="AV166" s="1037"/>
      <c r="AW166" s="1037"/>
      <c r="AX166" s="1037"/>
      <c r="AY166" s="1037"/>
      <c r="AZ166" s="1037"/>
      <c r="BA166" s="1037"/>
      <c r="BB166" s="1037"/>
      <c r="BC166" s="1037"/>
      <c r="BD166" s="1037"/>
      <c r="BE166" s="1037"/>
      <c r="BF166" s="1037"/>
      <c r="BG166" s="1037"/>
      <c r="BH166" s="1037"/>
      <c r="BI166" s="1037"/>
      <c r="BJ166" s="1037"/>
      <c r="BK166" s="1037"/>
      <c r="BL166" s="1037"/>
      <c r="BM166" s="1037"/>
      <c r="BN166" s="1037"/>
      <c r="BO166" s="1037"/>
      <c r="BP166" s="1037"/>
      <c r="BQ166" s="1037"/>
      <c r="BR166" s="1037"/>
      <c r="BS166" s="1037"/>
      <c r="BT166" s="1037"/>
      <c r="BU166" s="1037"/>
      <c r="BV166" s="1037"/>
      <c r="BW166" s="1037"/>
      <c r="BX166" s="1037"/>
      <c r="BY166" s="1037"/>
      <c r="BZ166" s="1037"/>
      <c r="CA166" s="1037"/>
      <c r="CB166" s="1037"/>
      <c r="CC166" s="1037"/>
      <c r="CD166" s="1037"/>
      <c r="CE166" s="1037"/>
      <c r="CF166" s="1037"/>
      <c r="CG166" s="1037"/>
      <c r="CH166" s="1037"/>
      <c r="CI166" s="1037"/>
      <c r="CJ166" s="1037"/>
      <c r="CK166" s="1037"/>
      <c r="CL166" s="1037"/>
      <c r="CM166" s="1037"/>
      <c r="CN166" s="1037"/>
      <c r="CO166" s="1037"/>
      <c r="CP166" s="1037"/>
      <c r="CQ166" s="1037"/>
      <c r="CR166" s="1037"/>
      <c r="CS166" s="1037"/>
      <c r="CT166" s="1037"/>
      <c r="CU166" s="1037"/>
      <c r="CV166" s="1037"/>
      <c r="CW166" s="1037"/>
      <c r="CX166" s="1037"/>
      <c r="CY166" s="1037"/>
      <c r="CZ166" s="1037"/>
      <c r="DA166" s="1037"/>
      <c r="DB166" s="1037"/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7"/>
      <c r="DN166" s="1037"/>
      <c r="DO166" s="1037"/>
      <c r="DP166" s="1037"/>
      <c r="DQ166" s="1037"/>
      <c r="DR166" s="1037"/>
      <c r="DS166" s="1037"/>
      <c r="DT166" s="1037"/>
      <c r="DU166" s="1037"/>
      <c r="DV166" s="1037"/>
      <c r="DW166" s="1037"/>
      <c r="DX166" s="1037"/>
      <c r="DY166" s="1037"/>
      <c r="DZ166" s="1037"/>
      <c r="EA166" s="1037"/>
      <c r="EB166" s="1037"/>
      <c r="EC166" s="1037"/>
      <c r="ED166" s="1037"/>
      <c r="EE166" s="1037"/>
      <c r="EF166" s="1037"/>
      <c r="EG166" s="1037"/>
      <c r="EH166" s="1037"/>
      <c r="EI166" s="1037"/>
      <c r="EJ166" s="1037"/>
      <c r="EK166" s="1037"/>
      <c r="EL166" s="1037"/>
      <c r="EM166" s="1037"/>
      <c r="EN166" s="1037"/>
      <c r="EO166" s="1037"/>
      <c r="EP166" s="1037"/>
      <c r="EQ166" s="1037"/>
      <c r="ER166" s="1037"/>
      <c r="ES166" s="1037"/>
      <c r="ET166" s="1037"/>
      <c r="EU166" s="1037"/>
      <c r="EV166" s="1037"/>
      <c r="EW166" s="1037"/>
      <c r="EX166" s="1037"/>
      <c r="EY166" s="1037"/>
      <c r="EZ166" s="1037"/>
      <c r="FA166" s="1037"/>
      <c r="FB166" s="1037"/>
      <c r="FC166" s="1037"/>
      <c r="FD166" s="1037"/>
      <c r="FE166" s="1037"/>
      <c r="FF166" s="1037"/>
      <c r="FG166" s="1037"/>
      <c r="FH166" s="1037"/>
      <c r="FI166" s="1037"/>
      <c r="FJ166" s="1037"/>
      <c r="FK166" s="1037"/>
      <c r="FL166" s="1037"/>
      <c r="FM166" s="1037"/>
      <c r="FN166" s="1037"/>
      <c r="FO166" s="1037"/>
      <c r="FP166" s="1037"/>
      <c r="FQ166" s="1037"/>
      <c r="FR166" s="1037"/>
      <c r="FS166" s="1037"/>
      <c r="FT166" s="1037"/>
      <c r="FU166" s="1037"/>
      <c r="FV166" s="1037"/>
      <c r="FW166" s="1037"/>
      <c r="FX166" s="1037"/>
      <c r="FY166" s="1037"/>
      <c r="FZ166" s="1037"/>
      <c r="GA166" s="1037"/>
      <c r="GB166" s="1037"/>
      <c r="GC166" s="1037"/>
      <c r="GD166" s="1037"/>
      <c r="GE166" s="1037"/>
      <c r="GF166" s="1037"/>
      <c r="GG166" s="1037"/>
      <c r="GH166" s="1037"/>
      <c r="GI166" s="1037"/>
      <c r="GJ166" s="1037"/>
      <c r="GK166" s="1037"/>
      <c r="GL166" s="1037"/>
      <c r="GM166" s="1037"/>
      <c r="GN166" s="1037"/>
      <c r="GO166" s="1037"/>
      <c r="GP166" s="1037"/>
      <c r="GQ166" s="1037"/>
      <c r="GR166" s="1037"/>
      <c r="GS166" s="1037"/>
      <c r="GT166" s="1037"/>
      <c r="GU166" s="1037"/>
      <c r="GV166" s="1037"/>
      <c r="GW166" s="1037"/>
      <c r="GX166" s="1037"/>
      <c r="GY166" s="1037"/>
      <c r="GZ166" s="1037"/>
      <c r="HA166" s="1037"/>
      <c r="HB166" s="1037"/>
      <c r="HC166" s="1037"/>
      <c r="HD166" s="1037"/>
      <c r="HE166" s="1037"/>
      <c r="HF166" s="1037"/>
      <c r="HG166" s="1037"/>
      <c r="HH166" s="1037"/>
      <c r="HI166" s="1037"/>
      <c r="HJ166" s="1037"/>
      <c r="HK166" s="1037"/>
      <c r="HL166" s="1037"/>
      <c r="HM166" s="1037"/>
      <c r="HN166" s="1037"/>
      <c r="HO166" s="1037"/>
      <c r="HP166" s="1037"/>
      <c r="HQ166" s="1037"/>
      <c r="HR166" s="1037"/>
      <c r="HS166" s="1037"/>
      <c r="HT166" s="1037"/>
      <c r="HU166" s="1037"/>
      <c r="HV166" s="1037"/>
      <c r="HW166" s="1037"/>
      <c r="HX166" s="1037"/>
      <c r="HY166" s="1037"/>
      <c r="HZ166" s="1037"/>
      <c r="IA166" s="1037"/>
      <c r="IB166" s="1037"/>
      <c r="IC166" s="1037"/>
      <c r="ID166" s="1037"/>
      <c r="IE166" s="1037"/>
      <c r="IF166" s="1037"/>
      <c r="IG166" s="1037"/>
      <c r="IH166" s="1037"/>
      <c r="II166" s="1037"/>
      <c r="IJ166" s="1037"/>
      <c r="IK166" s="1037"/>
      <c r="IL166" s="1037"/>
      <c r="IM166" s="1037"/>
      <c r="IN166" s="1037"/>
    </row>
    <row r="167" spans="1:248">
      <c r="A167" s="701" t="s">
        <v>19</v>
      </c>
      <c r="B167" s="703">
        <v>2382.5</v>
      </c>
      <c r="C167" s="1038">
        <v>30.201427358119844</v>
      </c>
      <c r="D167" s="704">
        <v>1345.9</v>
      </c>
      <c r="E167" s="1038">
        <f>D167/H167*100</f>
        <v>17.061112730868206</v>
      </c>
      <c r="F167" s="1038">
        <f>B167-D167</f>
        <v>1036.5999999999999</v>
      </c>
      <c r="G167" s="1038">
        <f t="shared" si="28"/>
        <v>13.140314627251637</v>
      </c>
      <c r="H167" s="27">
        <v>7888.7</v>
      </c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7"/>
      <c r="AB167" s="1037"/>
      <c r="AC167" s="1037"/>
      <c r="AD167" s="1037"/>
      <c r="AE167" s="1037"/>
      <c r="AF167" s="1037"/>
      <c r="AG167" s="1037"/>
      <c r="AH167" s="1037"/>
      <c r="AI167" s="1037"/>
      <c r="AJ167" s="1037"/>
      <c r="AK167" s="1037"/>
      <c r="AL167" s="1037"/>
      <c r="AM167" s="1037"/>
      <c r="AN167" s="1037"/>
      <c r="AO167" s="1037"/>
      <c r="AP167" s="1037"/>
      <c r="AQ167" s="1037"/>
      <c r="AR167" s="1037"/>
      <c r="AS167" s="1037"/>
      <c r="AT167" s="1037"/>
      <c r="AU167" s="1037"/>
      <c r="AV167" s="1037"/>
      <c r="AW167" s="1037"/>
      <c r="AX167" s="1037"/>
      <c r="AY167" s="1037"/>
      <c r="AZ167" s="1037"/>
      <c r="BA167" s="1037"/>
      <c r="BB167" s="1037"/>
      <c r="BC167" s="1037"/>
      <c r="BD167" s="1037"/>
      <c r="BE167" s="1037"/>
      <c r="BF167" s="1037"/>
      <c r="BG167" s="1037"/>
      <c r="BH167" s="1037"/>
      <c r="BI167" s="1037"/>
      <c r="BJ167" s="1037"/>
      <c r="BK167" s="1037"/>
      <c r="BL167" s="1037"/>
      <c r="BM167" s="1037"/>
      <c r="BN167" s="1037"/>
      <c r="BO167" s="1037"/>
      <c r="BP167" s="1037"/>
      <c r="BQ167" s="1037"/>
      <c r="BR167" s="1037"/>
      <c r="BS167" s="1037"/>
      <c r="BT167" s="1037"/>
      <c r="BU167" s="1037"/>
      <c r="BV167" s="1037"/>
      <c r="BW167" s="1037"/>
      <c r="BX167" s="1037"/>
      <c r="BY167" s="1037"/>
      <c r="BZ167" s="1037"/>
      <c r="CA167" s="1037"/>
      <c r="CB167" s="1037"/>
      <c r="CC167" s="1037"/>
      <c r="CD167" s="1037"/>
      <c r="CE167" s="1037"/>
      <c r="CF167" s="1037"/>
      <c r="CG167" s="1037"/>
      <c r="CH167" s="1037"/>
      <c r="CI167" s="1037"/>
      <c r="CJ167" s="1037"/>
      <c r="CK167" s="1037"/>
      <c r="CL167" s="1037"/>
      <c r="CM167" s="1037"/>
      <c r="CN167" s="1037"/>
      <c r="CO167" s="1037"/>
      <c r="CP167" s="1037"/>
      <c r="CQ167" s="1037"/>
      <c r="CR167" s="1037"/>
      <c r="CS167" s="1037"/>
      <c r="CT167" s="1037"/>
      <c r="CU167" s="1037"/>
      <c r="CV167" s="1037"/>
      <c r="CW167" s="1037"/>
      <c r="CX167" s="1037"/>
      <c r="CY167" s="1037"/>
      <c r="CZ167" s="1037"/>
      <c r="DA167" s="1037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7"/>
      <c r="DN167" s="1037"/>
      <c r="DO167" s="1037"/>
      <c r="DP167" s="1037"/>
      <c r="DQ167" s="1037"/>
      <c r="DR167" s="1037"/>
      <c r="DS167" s="1037"/>
      <c r="DT167" s="1037"/>
      <c r="DU167" s="1037"/>
      <c r="DV167" s="1037"/>
      <c r="DW167" s="1037"/>
      <c r="DX167" s="1037"/>
      <c r="DY167" s="1037"/>
      <c r="DZ167" s="1037"/>
      <c r="EA167" s="1037"/>
      <c r="EB167" s="1037"/>
      <c r="EC167" s="1037"/>
      <c r="ED167" s="1037"/>
      <c r="EE167" s="1037"/>
      <c r="EF167" s="1037"/>
      <c r="EG167" s="1037"/>
      <c r="EH167" s="1037"/>
      <c r="EI167" s="1037"/>
      <c r="EJ167" s="1037"/>
      <c r="EK167" s="1037"/>
      <c r="EL167" s="1037"/>
      <c r="EM167" s="1037"/>
      <c r="EN167" s="1037"/>
      <c r="EO167" s="1037"/>
      <c r="EP167" s="1037"/>
      <c r="EQ167" s="1037"/>
      <c r="ER167" s="1037"/>
      <c r="ES167" s="1037"/>
      <c r="ET167" s="1037"/>
      <c r="EU167" s="1037"/>
      <c r="EV167" s="1037"/>
      <c r="EW167" s="1037"/>
      <c r="EX167" s="1037"/>
      <c r="EY167" s="1037"/>
      <c r="EZ167" s="1037"/>
      <c r="FA167" s="1037"/>
      <c r="FB167" s="1037"/>
      <c r="FC167" s="1037"/>
      <c r="FD167" s="1037"/>
      <c r="FE167" s="1037"/>
      <c r="FF167" s="1037"/>
      <c r="FG167" s="1037"/>
      <c r="FH167" s="1037"/>
      <c r="FI167" s="1037"/>
      <c r="FJ167" s="1037"/>
      <c r="FK167" s="1037"/>
      <c r="FL167" s="1037"/>
      <c r="FM167" s="1037"/>
      <c r="FN167" s="1037"/>
      <c r="FO167" s="1037"/>
      <c r="FP167" s="1037"/>
      <c r="FQ167" s="1037"/>
      <c r="FR167" s="1037"/>
      <c r="FS167" s="1037"/>
      <c r="FT167" s="1037"/>
      <c r="FU167" s="1037"/>
      <c r="FV167" s="1037"/>
      <c r="FW167" s="1037"/>
      <c r="FX167" s="1037"/>
      <c r="FY167" s="1037"/>
      <c r="FZ167" s="1037"/>
      <c r="GA167" s="1037"/>
      <c r="GB167" s="1037"/>
      <c r="GC167" s="1037"/>
      <c r="GD167" s="1037"/>
      <c r="GE167" s="1037"/>
      <c r="GF167" s="1037"/>
      <c r="GG167" s="1037"/>
      <c r="GH167" s="1037"/>
      <c r="GI167" s="1037"/>
      <c r="GJ167" s="1037"/>
      <c r="GK167" s="1037"/>
      <c r="GL167" s="1037"/>
      <c r="GM167" s="1037"/>
      <c r="GN167" s="1037"/>
      <c r="GO167" s="1037"/>
      <c r="GP167" s="1037"/>
      <c r="GQ167" s="1037"/>
      <c r="GR167" s="1037"/>
      <c r="GS167" s="1037"/>
      <c r="GT167" s="1037"/>
      <c r="GU167" s="1037"/>
      <c r="GV167" s="1037"/>
      <c r="GW167" s="1037"/>
      <c r="GX167" s="1037"/>
      <c r="GY167" s="1037"/>
      <c r="GZ167" s="1037"/>
      <c r="HA167" s="1037"/>
      <c r="HB167" s="1037"/>
      <c r="HC167" s="1037"/>
      <c r="HD167" s="1037"/>
      <c r="HE167" s="1037"/>
      <c r="HF167" s="1037"/>
      <c r="HG167" s="1037"/>
      <c r="HH167" s="1037"/>
      <c r="HI167" s="1037"/>
      <c r="HJ167" s="1037"/>
      <c r="HK167" s="1037"/>
      <c r="HL167" s="1037"/>
      <c r="HM167" s="1037"/>
      <c r="HN167" s="1037"/>
      <c r="HO167" s="1037"/>
      <c r="HP167" s="1037"/>
      <c r="HQ167" s="1037"/>
      <c r="HR167" s="1037"/>
      <c r="HS167" s="1037"/>
      <c r="HT167" s="1037"/>
      <c r="HU167" s="1037"/>
      <c r="HV167" s="1037"/>
      <c r="HW167" s="1037"/>
      <c r="HX167" s="1037"/>
      <c r="HY167" s="1037"/>
      <c r="HZ167" s="1037"/>
      <c r="IA167" s="1037"/>
      <c r="IB167" s="1037"/>
      <c r="IC167" s="1037"/>
      <c r="ID167" s="1037"/>
      <c r="IE167" s="1037"/>
      <c r="IF167" s="1037"/>
      <c r="IG167" s="1037"/>
      <c r="IH167" s="1037"/>
      <c r="II167" s="1037"/>
      <c r="IJ167" s="1037"/>
      <c r="IK167" s="1037"/>
      <c r="IL167" s="1037"/>
      <c r="IM167" s="1037"/>
      <c r="IN167" s="1037"/>
    </row>
    <row r="168" spans="1:248">
      <c r="A168" s="701" t="s">
        <v>20</v>
      </c>
      <c r="B168" s="703">
        <v>3678.5</v>
      </c>
      <c r="C168" s="1038">
        <f>B168/H168*100</f>
        <v>29.220650265714486</v>
      </c>
      <c r="D168" s="704">
        <v>2623.4</v>
      </c>
      <c r="E168" s="1038">
        <f>D168/H168*100</f>
        <v>20.839324155790511</v>
      </c>
      <c r="F168" s="1038">
        <f>B168-D168</f>
        <v>1055.0999999999999</v>
      </c>
      <c r="G168" s="1038">
        <f t="shared" si="28"/>
        <v>8.3813261099239789</v>
      </c>
      <c r="H168" s="27">
        <v>12588.7</v>
      </c>
      <c r="I168" s="1037"/>
      <c r="J168" s="1037"/>
      <c r="K168" s="1037"/>
      <c r="L168" s="1037"/>
      <c r="M168" s="1037"/>
      <c r="N168" s="1037"/>
      <c r="O168" s="1037"/>
      <c r="P168" s="1037"/>
      <c r="Q168" s="1037"/>
      <c r="R168" s="1037"/>
      <c r="S168" s="1037"/>
      <c r="T168" s="1037"/>
      <c r="U168" s="1037"/>
      <c r="V168" s="1037"/>
      <c r="W168" s="1037"/>
      <c r="X168" s="1037"/>
      <c r="Y168" s="1037"/>
      <c r="Z168" s="1037"/>
      <c r="AA168" s="1037"/>
      <c r="AB168" s="1037"/>
      <c r="AC168" s="1037"/>
      <c r="AD168" s="1037"/>
      <c r="AE168" s="1037"/>
      <c r="AF168" s="1037"/>
      <c r="AG168" s="1037"/>
      <c r="AH168" s="1037"/>
      <c r="AI168" s="1037"/>
      <c r="AJ168" s="1037"/>
      <c r="AK168" s="1037"/>
      <c r="AL168" s="1037"/>
      <c r="AM168" s="1037"/>
      <c r="AN168" s="1037"/>
      <c r="AO168" s="1037"/>
      <c r="AP168" s="1037"/>
      <c r="AQ168" s="1037"/>
      <c r="AR168" s="1037"/>
      <c r="AS168" s="1037"/>
      <c r="AT168" s="1037"/>
      <c r="AU168" s="1037"/>
      <c r="AV168" s="1037"/>
      <c r="AW168" s="1037"/>
      <c r="AX168" s="1037"/>
      <c r="AY168" s="1037"/>
      <c r="AZ168" s="1037"/>
      <c r="BA168" s="1037"/>
      <c r="BB168" s="1037"/>
      <c r="BC168" s="1037"/>
      <c r="BD168" s="1037"/>
      <c r="BE168" s="1037"/>
      <c r="BF168" s="1037"/>
      <c r="BG168" s="1037"/>
      <c r="BH168" s="1037"/>
      <c r="BI168" s="1037"/>
      <c r="BJ168" s="1037"/>
      <c r="BK168" s="1037"/>
      <c r="BL168" s="1037"/>
      <c r="BM168" s="1037"/>
      <c r="BN168" s="1037"/>
      <c r="BO168" s="1037"/>
      <c r="BP168" s="1037"/>
      <c r="BQ168" s="1037"/>
      <c r="BR168" s="1037"/>
      <c r="BS168" s="1037"/>
      <c r="BT168" s="1037"/>
      <c r="BU168" s="1037"/>
      <c r="BV168" s="1037"/>
      <c r="BW168" s="1037"/>
      <c r="BX168" s="1037"/>
      <c r="BY168" s="1037"/>
      <c r="BZ168" s="1037"/>
      <c r="CA168" s="1037"/>
      <c r="CB168" s="1037"/>
      <c r="CC168" s="1037"/>
      <c r="CD168" s="1037"/>
      <c r="CE168" s="1037"/>
      <c r="CF168" s="1037"/>
      <c r="CG168" s="1037"/>
      <c r="CH168" s="1037"/>
      <c r="CI168" s="1037"/>
      <c r="CJ168" s="1037"/>
      <c r="CK168" s="1037"/>
      <c r="CL168" s="1037"/>
      <c r="CM168" s="1037"/>
      <c r="CN168" s="1037"/>
      <c r="CO168" s="1037"/>
      <c r="CP168" s="1037"/>
      <c r="CQ168" s="1037"/>
      <c r="CR168" s="1037"/>
      <c r="CS168" s="1037"/>
      <c r="CT168" s="1037"/>
      <c r="CU168" s="1037"/>
      <c r="CV168" s="1037"/>
      <c r="CW168" s="1037"/>
      <c r="CX168" s="1037"/>
      <c r="CY168" s="1037"/>
      <c r="CZ168" s="1037"/>
      <c r="DA168" s="1037"/>
      <c r="DB168" s="1037"/>
      <c r="DC168" s="1037"/>
      <c r="DD168" s="1037"/>
      <c r="DE168" s="1037"/>
      <c r="DF168" s="1037"/>
      <c r="DG168" s="1037"/>
      <c r="DH168" s="1037"/>
      <c r="DI168" s="1037"/>
      <c r="DJ168" s="1037"/>
      <c r="DK168" s="1037"/>
      <c r="DL168" s="1037"/>
      <c r="DM168" s="1037"/>
      <c r="DN168" s="1037"/>
      <c r="DO168" s="1037"/>
      <c r="DP168" s="1037"/>
      <c r="DQ168" s="1037"/>
      <c r="DR168" s="1037"/>
      <c r="DS168" s="1037"/>
      <c r="DT168" s="1037"/>
      <c r="DU168" s="1037"/>
      <c r="DV168" s="1037"/>
      <c r="DW168" s="1037"/>
      <c r="DX168" s="1037"/>
      <c r="DY168" s="1037"/>
      <c r="DZ168" s="1037"/>
      <c r="EA168" s="1037"/>
      <c r="EB168" s="1037"/>
      <c r="EC168" s="1037"/>
      <c r="ED168" s="1037"/>
      <c r="EE168" s="1037"/>
      <c r="EF168" s="1037"/>
      <c r="EG168" s="1037"/>
      <c r="EH168" s="1037"/>
      <c r="EI168" s="1037"/>
      <c r="EJ168" s="1037"/>
      <c r="EK168" s="1037"/>
      <c r="EL168" s="1037"/>
      <c r="EM168" s="1037"/>
      <c r="EN168" s="1037"/>
      <c r="EO168" s="1037"/>
      <c r="EP168" s="1037"/>
      <c r="EQ168" s="1037"/>
      <c r="ER168" s="1037"/>
      <c r="ES168" s="1037"/>
      <c r="ET168" s="1037"/>
      <c r="EU168" s="1037"/>
      <c r="EV168" s="1037"/>
      <c r="EW168" s="1037"/>
      <c r="EX168" s="1037"/>
      <c r="EY168" s="1037"/>
      <c r="EZ168" s="1037"/>
      <c r="FA168" s="1037"/>
      <c r="FB168" s="1037"/>
      <c r="FC168" s="1037"/>
      <c r="FD168" s="1037"/>
      <c r="FE168" s="1037"/>
      <c r="FF168" s="1037"/>
      <c r="FG168" s="1037"/>
      <c r="FH168" s="1037"/>
      <c r="FI168" s="1037"/>
      <c r="FJ168" s="1037"/>
      <c r="FK168" s="1037"/>
      <c r="FL168" s="1037"/>
      <c r="FM168" s="1037"/>
      <c r="FN168" s="1037"/>
      <c r="FO168" s="1037"/>
      <c r="FP168" s="1037"/>
      <c r="FQ168" s="1037"/>
      <c r="FR168" s="1037"/>
      <c r="FS168" s="1037"/>
      <c r="FT168" s="1037"/>
      <c r="FU168" s="1037"/>
      <c r="FV168" s="1037"/>
      <c r="FW168" s="1037"/>
      <c r="FX168" s="1037"/>
      <c r="FY168" s="1037"/>
      <c r="FZ168" s="1037"/>
      <c r="GA168" s="1037"/>
      <c r="GB168" s="1037"/>
      <c r="GC168" s="1037"/>
      <c r="GD168" s="1037"/>
      <c r="GE168" s="1037"/>
      <c r="GF168" s="1037"/>
      <c r="GG168" s="1037"/>
      <c r="GH168" s="1037"/>
      <c r="GI168" s="1037"/>
      <c r="GJ168" s="1037"/>
      <c r="GK168" s="1037"/>
      <c r="GL168" s="1037"/>
      <c r="GM168" s="1037"/>
      <c r="GN168" s="1037"/>
      <c r="GO168" s="1037"/>
      <c r="GP168" s="1037"/>
      <c r="GQ168" s="1037"/>
      <c r="GR168" s="1037"/>
      <c r="GS168" s="1037"/>
      <c r="GT168" s="1037"/>
      <c r="GU168" s="1037"/>
      <c r="GV168" s="1037"/>
      <c r="GW168" s="1037"/>
      <c r="GX168" s="1037"/>
      <c r="GY168" s="1037"/>
      <c r="GZ168" s="1037"/>
      <c r="HA168" s="1037"/>
      <c r="HB168" s="1037"/>
      <c r="HC168" s="1037"/>
      <c r="HD168" s="1037"/>
      <c r="HE168" s="1037"/>
      <c r="HF168" s="1037"/>
      <c r="HG168" s="1037"/>
      <c r="HH168" s="1037"/>
      <c r="HI168" s="1037"/>
      <c r="HJ168" s="1037"/>
      <c r="HK168" s="1037"/>
      <c r="HL168" s="1037"/>
      <c r="HM168" s="1037"/>
      <c r="HN168" s="1037"/>
      <c r="HO168" s="1037"/>
      <c r="HP168" s="1037"/>
      <c r="HQ168" s="1037"/>
      <c r="HR168" s="1037"/>
      <c r="HS168" s="1037"/>
      <c r="HT168" s="1037"/>
      <c r="HU168" s="1037"/>
      <c r="HV168" s="1037"/>
      <c r="HW168" s="1037"/>
      <c r="HX168" s="1037"/>
      <c r="HY168" s="1037"/>
      <c r="HZ168" s="1037"/>
      <c r="IA168" s="1037"/>
      <c r="IB168" s="1037"/>
      <c r="IC168" s="1037"/>
      <c r="ID168" s="1037"/>
      <c r="IE168" s="1037"/>
      <c r="IF168" s="1037"/>
      <c r="IG168" s="1037"/>
      <c r="IH168" s="1037"/>
      <c r="II168" s="1037"/>
      <c r="IJ168" s="1037"/>
      <c r="IK168" s="1037"/>
      <c r="IL168" s="1037"/>
      <c r="IM168" s="1037"/>
      <c r="IN168" s="1037"/>
    </row>
    <row r="169" spans="1:248">
      <c r="A169" s="701" t="s">
        <v>21</v>
      </c>
      <c r="B169" s="703">
        <v>4713.6000000000004</v>
      </c>
      <c r="C169" s="1038">
        <v>27.944201708570716</v>
      </c>
      <c r="D169" s="704">
        <v>3999.8</v>
      </c>
      <c r="E169" s="1038">
        <v>23.712495331369048</v>
      </c>
      <c r="F169" s="1038">
        <v>713.80000000000018</v>
      </c>
      <c r="G169" s="1038">
        <f t="shared" si="28"/>
        <v>4.2317063772016672</v>
      </c>
      <c r="H169" s="27">
        <v>16867.900000000001</v>
      </c>
      <c r="I169" s="1037"/>
      <c r="J169" s="1037"/>
      <c r="K169" s="1037"/>
      <c r="L169" s="1037"/>
      <c r="M169" s="1037"/>
      <c r="N169" s="1037"/>
      <c r="O169" s="1037"/>
      <c r="P169" s="1037"/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7"/>
      <c r="AB169" s="1037"/>
      <c r="AC169" s="1037"/>
      <c r="AD169" s="1037"/>
      <c r="AE169" s="1037"/>
      <c r="AF169" s="1037"/>
      <c r="AG169" s="1037"/>
      <c r="AH169" s="1037"/>
      <c r="AI169" s="1037"/>
      <c r="AJ169" s="1037"/>
      <c r="AK169" s="1037"/>
      <c r="AL169" s="1037"/>
      <c r="AM169" s="1037"/>
      <c r="AN169" s="1037"/>
      <c r="AO169" s="1037"/>
      <c r="AP169" s="1037"/>
      <c r="AQ169" s="1037"/>
      <c r="AR169" s="1037"/>
      <c r="AS169" s="1037"/>
      <c r="AT169" s="1037"/>
      <c r="AU169" s="1037"/>
      <c r="AV169" s="1037"/>
      <c r="AW169" s="1037"/>
      <c r="AX169" s="1037"/>
      <c r="AY169" s="1037"/>
      <c r="AZ169" s="1037"/>
      <c r="BA169" s="1037"/>
      <c r="BB169" s="1037"/>
      <c r="BC169" s="1037"/>
      <c r="BD169" s="1037"/>
      <c r="BE169" s="1037"/>
      <c r="BF169" s="1037"/>
      <c r="BG169" s="1037"/>
      <c r="BH169" s="1037"/>
      <c r="BI169" s="1037"/>
      <c r="BJ169" s="1037"/>
      <c r="BK169" s="1037"/>
      <c r="BL169" s="1037"/>
      <c r="BM169" s="1037"/>
      <c r="BN169" s="1037"/>
      <c r="BO169" s="1037"/>
      <c r="BP169" s="1037"/>
      <c r="BQ169" s="1037"/>
      <c r="BR169" s="1037"/>
      <c r="BS169" s="1037"/>
      <c r="BT169" s="1037"/>
      <c r="BU169" s="1037"/>
      <c r="BV169" s="1037"/>
      <c r="BW169" s="1037"/>
      <c r="BX169" s="1037"/>
      <c r="BY169" s="1037"/>
      <c r="BZ169" s="1037"/>
      <c r="CA169" s="1037"/>
      <c r="CB169" s="1037"/>
      <c r="CC169" s="1037"/>
      <c r="CD169" s="1037"/>
      <c r="CE169" s="1037"/>
      <c r="CF169" s="1037"/>
      <c r="CG169" s="1037"/>
      <c r="CH169" s="1037"/>
      <c r="CI169" s="1037"/>
      <c r="CJ169" s="1037"/>
      <c r="CK169" s="1037"/>
      <c r="CL169" s="1037"/>
      <c r="CM169" s="1037"/>
      <c r="CN169" s="1037"/>
      <c r="CO169" s="1037"/>
      <c r="CP169" s="1037"/>
      <c r="CQ169" s="1037"/>
      <c r="CR169" s="1037"/>
      <c r="CS169" s="1037"/>
      <c r="CT169" s="1037"/>
      <c r="CU169" s="1037"/>
      <c r="CV169" s="1037"/>
      <c r="CW169" s="1037"/>
      <c r="CX169" s="1037"/>
      <c r="CY169" s="1037"/>
      <c r="CZ169" s="1037"/>
      <c r="DA169" s="1037"/>
      <c r="DB169" s="1037"/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7"/>
      <c r="DO169" s="1037"/>
      <c r="DP169" s="1037"/>
      <c r="DQ169" s="1037"/>
      <c r="DR169" s="1037"/>
      <c r="DS169" s="1037"/>
      <c r="DT169" s="1037"/>
      <c r="DU169" s="1037"/>
      <c r="DV169" s="1037"/>
      <c r="DW169" s="1037"/>
      <c r="DX169" s="1037"/>
      <c r="DY169" s="1037"/>
      <c r="DZ169" s="1037"/>
      <c r="EA169" s="1037"/>
      <c r="EB169" s="1037"/>
      <c r="EC169" s="1037"/>
      <c r="ED169" s="1037"/>
      <c r="EE169" s="1037"/>
      <c r="EF169" s="1037"/>
      <c r="EG169" s="1037"/>
      <c r="EH169" s="1037"/>
      <c r="EI169" s="1037"/>
      <c r="EJ169" s="1037"/>
      <c r="EK169" s="1037"/>
      <c r="EL169" s="1037"/>
      <c r="EM169" s="1037"/>
      <c r="EN169" s="1037"/>
      <c r="EO169" s="1037"/>
      <c r="EP169" s="1037"/>
      <c r="EQ169" s="1037"/>
      <c r="ER169" s="1037"/>
      <c r="ES169" s="1037"/>
      <c r="ET169" s="1037"/>
      <c r="EU169" s="1037"/>
      <c r="EV169" s="1037"/>
      <c r="EW169" s="1037"/>
      <c r="EX169" s="1037"/>
      <c r="EY169" s="1037"/>
      <c r="EZ169" s="1037"/>
      <c r="FA169" s="1037"/>
      <c r="FB169" s="1037"/>
      <c r="FC169" s="1037"/>
      <c r="FD169" s="1037"/>
      <c r="FE169" s="1037"/>
      <c r="FF169" s="1037"/>
      <c r="FG169" s="1037"/>
      <c r="FH169" s="1037"/>
      <c r="FI169" s="1037"/>
      <c r="FJ169" s="1037"/>
      <c r="FK169" s="1037"/>
      <c r="FL169" s="1037"/>
      <c r="FM169" s="1037"/>
      <c r="FN169" s="1037"/>
      <c r="FO169" s="1037"/>
      <c r="FP169" s="1037"/>
      <c r="FQ169" s="1037"/>
      <c r="FR169" s="1037"/>
      <c r="FS169" s="1037"/>
      <c r="FT169" s="1037"/>
      <c r="FU169" s="1037"/>
      <c r="FV169" s="1037"/>
      <c r="FW169" s="1037"/>
      <c r="FX169" s="1037"/>
      <c r="FY169" s="1037"/>
      <c r="FZ169" s="1037"/>
      <c r="GA169" s="1037"/>
      <c r="GB169" s="1037"/>
      <c r="GC169" s="1037"/>
      <c r="GD169" s="1037"/>
      <c r="GE169" s="1037"/>
      <c r="GF169" s="1037"/>
      <c r="GG169" s="1037"/>
      <c r="GH169" s="1037"/>
      <c r="GI169" s="1037"/>
      <c r="GJ169" s="1037"/>
      <c r="GK169" s="1037"/>
      <c r="GL169" s="1037"/>
      <c r="GM169" s="1037"/>
      <c r="GN169" s="1037"/>
      <c r="GO169" s="1037"/>
      <c r="GP169" s="1037"/>
      <c r="GQ169" s="1037"/>
      <c r="GR169" s="1037"/>
      <c r="GS169" s="1037"/>
      <c r="GT169" s="1037"/>
      <c r="GU169" s="1037"/>
      <c r="GV169" s="1037"/>
      <c r="GW169" s="1037"/>
      <c r="GX169" s="1037"/>
      <c r="GY169" s="1037"/>
      <c r="GZ169" s="1037"/>
      <c r="HA169" s="1037"/>
      <c r="HB169" s="1037"/>
      <c r="HC169" s="1037"/>
      <c r="HD169" s="1037"/>
      <c r="HE169" s="1037"/>
      <c r="HF169" s="1037"/>
      <c r="HG169" s="1037"/>
      <c r="HH169" s="1037"/>
      <c r="HI169" s="1037"/>
      <c r="HJ169" s="1037"/>
      <c r="HK169" s="1037"/>
      <c r="HL169" s="1037"/>
      <c r="HM169" s="1037"/>
      <c r="HN169" s="1037"/>
      <c r="HO169" s="1037"/>
      <c r="HP169" s="1037"/>
      <c r="HQ169" s="1037"/>
      <c r="HR169" s="1037"/>
      <c r="HS169" s="1037"/>
      <c r="HT169" s="1037"/>
      <c r="HU169" s="1037"/>
      <c r="HV169" s="1037"/>
      <c r="HW169" s="1037"/>
      <c r="HX169" s="1037"/>
      <c r="HY169" s="1037"/>
      <c r="HZ169" s="1037"/>
      <c r="IA169" s="1037"/>
      <c r="IB169" s="1037"/>
      <c r="IC169" s="1037"/>
      <c r="ID169" s="1037"/>
      <c r="IE169" s="1037"/>
      <c r="IF169" s="1037"/>
      <c r="IG169" s="1037"/>
      <c r="IH169" s="1037"/>
      <c r="II169" s="1037"/>
      <c r="IJ169" s="1037"/>
      <c r="IK169" s="1037"/>
      <c r="IL169" s="1037"/>
      <c r="IM169" s="1037"/>
      <c r="IN169" s="1037"/>
    </row>
    <row r="170" spans="1:248">
      <c r="A170" s="701" t="s">
        <v>22</v>
      </c>
      <c r="B170" s="703">
        <v>5453.9</v>
      </c>
      <c r="C170" s="1038">
        <v>25.351883529805509</v>
      </c>
      <c r="D170" s="704">
        <v>5316.1</v>
      </c>
      <c r="E170" s="1038">
        <v>24.711334647279763</v>
      </c>
      <c r="F170" s="1038">
        <v>137.79999999999927</v>
      </c>
      <c r="G170" s="1038">
        <f t="shared" si="28"/>
        <v>0.64054888252574871</v>
      </c>
      <c r="H170" s="27">
        <v>21512.799999999999</v>
      </c>
      <c r="I170" s="1037"/>
      <c r="J170" s="1037"/>
      <c r="K170" s="1037"/>
      <c r="L170" s="1037"/>
      <c r="M170" s="1037"/>
      <c r="N170" s="1037"/>
      <c r="O170" s="1037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7"/>
      <c r="AB170" s="1037"/>
      <c r="AC170" s="1037"/>
      <c r="AD170" s="1037"/>
      <c r="AE170" s="1037"/>
      <c r="AF170" s="1037"/>
      <c r="AG170" s="1037"/>
      <c r="AH170" s="1037"/>
      <c r="AI170" s="1037"/>
      <c r="AJ170" s="1037"/>
      <c r="AK170" s="1037"/>
      <c r="AL170" s="1037"/>
      <c r="AM170" s="1037"/>
      <c r="AN170" s="1037"/>
      <c r="AO170" s="1037"/>
      <c r="AP170" s="1037"/>
      <c r="AQ170" s="1037"/>
      <c r="AR170" s="1037"/>
      <c r="AS170" s="1037"/>
      <c r="AT170" s="1037"/>
      <c r="AU170" s="1037"/>
      <c r="AV170" s="1037"/>
      <c r="AW170" s="1037"/>
      <c r="AX170" s="1037"/>
      <c r="AY170" s="1037"/>
      <c r="AZ170" s="1037"/>
      <c r="BA170" s="1037"/>
      <c r="BB170" s="1037"/>
      <c r="BC170" s="1037"/>
      <c r="BD170" s="1037"/>
      <c r="BE170" s="1037"/>
      <c r="BF170" s="1037"/>
      <c r="BG170" s="1037"/>
      <c r="BH170" s="1037"/>
      <c r="BI170" s="1037"/>
      <c r="BJ170" s="1037"/>
      <c r="BK170" s="1037"/>
      <c r="BL170" s="1037"/>
      <c r="BM170" s="1037"/>
      <c r="BN170" s="1037"/>
      <c r="BO170" s="1037"/>
      <c r="BP170" s="1037"/>
      <c r="BQ170" s="1037"/>
      <c r="BR170" s="1037"/>
      <c r="BS170" s="1037"/>
      <c r="BT170" s="1037"/>
      <c r="BU170" s="1037"/>
      <c r="BV170" s="1037"/>
      <c r="BW170" s="1037"/>
      <c r="BX170" s="1037"/>
      <c r="BY170" s="1037"/>
      <c r="BZ170" s="1037"/>
      <c r="CA170" s="1037"/>
      <c r="CB170" s="1037"/>
      <c r="CC170" s="1037"/>
      <c r="CD170" s="1037"/>
      <c r="CE170" s="1037"/>
      <c r="CF170" s="1037"/>
      <c r="CG170" s="1037"/>
      <c r="CH170" s="1037"/>
      <c r="CI170" s="1037"/>
      <c r="CJ170" s="1037"/>
      <c r="CK170" s="1037"/>
      <c r="CL170" s="1037"/>
      <c r="CM170" s="1037"/>
      <c r="CN170" s="1037"/>
      <c r="CO170" s="1037"/>
      <c r="CP170" s="1037"/>
      <c r="CQ170" s="1037"/>
      <c r="CR170" s="1037"/>
      <c r="CS170" s="1037"/>
      <c r="CT170" s="1037"/>
      <c r="CU170" s="1037"/>
      <c r="CV170" s="1037"/>
      <c r="CW170" s="1037"/>
      <c r="CX170" s="1037"/>
      <c r="CY170" s="1037"/>
      <c r="CZ170" s="1037"/>
      <c r="DA170" s="1037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7"/>
      <c r="DO170" s="1037"/>
      <c r="DP170" s="1037"/>
      <c r="DQ170" s="1037"/>
      <c r="DR170" s="1037"/>
      <c r="DS170" s="1037"/>
      <c r="DT170" s="1037"/>
      <c r="DU170" s="1037"/>
      <c r="DV170" s="1037"/>
      <c r="DW170" s="1037"/>
      <c r="DX170" s="1037"/>
      <c r="DY170" s="1037"/>
      <c r="DZ170" s="1037"/>
      <c r="EA170" s="1037"/>
      <c r="EB170" s="1037"/>
      <c r="EC170" s="1037"/>
      <c r="ED170" s="1037"/>
      <c r="EE170" s="1037"/>
      <c r="EF170" s="1037"/>
      <c r="EG170" s="1037"/>
      <c r="EH170" s="1037"/>
      <c r="EI170" s="1037"/>
      <c r="EJ170" s="1037"/>
      <c r="EK170" s="1037"/>
      <c r="EL170" s="1037"/>
      <c r="EM170" s="1037"/>
      <c r="EN170" s="1037"/>
      <c r="EO170" s="1037"/>
      <c r="EP170" s="1037"/>
      <c r="EQ170" s="1037"/>
      <c r="ER170" s="1037"/>
      <c r="ES170" s="1037"/>
      <c r="ET170" s="1037"/>
      <c r="EU170" s="1037"/>
      <c r="EV170" s="1037"/>
      <c r="EW170" s="1037"/>
      <c r="EX170" s="1037"/>
      <c r="EY170" s="1037"/>
      <c r="EZ170" s="1037"/>
      <c r="FA170" s="1037"/>
      <c r="FB170" s="1037"/>
      <c r="FC170" s="1037"/>
      <c r="FD170" s="1037"/>
      <c r="FE170" s="1037"/>
      <c r="FF170" s="1037"/>
      <c r="FG170" s="1037"/>
      <c r="FH170" s="1037"/>
      <c r="FI170" s="1037"/>
      <c r="FJ170" s="1037"/>
      <c r="FK170" s="1037"/>
      <c r="FL170" s="1037"/>
      <c r="FM170" s="1037"/>
      <c r="FN170" s="1037"/>
      <c r="FO170" s="1037"/>
      <c r="FP170" s="1037"/>
      <c r="FQ170" s="1037"/>
      <c r="FR170" s="1037"/>
      <c r="FS170" s="1037"/>
      <c r="FT170" s="1037"/>
      <c r="FU170" s="1037"/>
      <c r="FV170" s="1037"/>
      <c r="FW170" s="1037"/>
      <c r="FX170" s="1037"/>
      <c r="FY170" s="1037"/>
      <c r="FZ170" s="1037"/>
      <c r="GA170" s="1037"/>
      <c r="GB170" s="1037"/>
      <c r="GC170" s="1037"/>
      <c r="GD170" s="1037"/>
      <c r="GE170" s="1037"/>
      <c r="GF170" s="1037"/>
      <c r="GG170" s="1037"/>
      <c r="GH170" s="1037"/>
      <c r="GI170" s="1037"/>
      <c r="GJ170" s="1037"/>
      <c r="GK170" s="1037"/>
      <c r="GL170" s="1037"/>
      <c r="GM170" s="1037"/>
      <c r="GN170" s="1037"/>
      <c r="GO170" s="1037"/>
      <c r="GP170" s="1037"/>
      <c r="GQ170" s="1037"/>
      <c r="GR170" s="1037"/>
      <c r="GS170" s="1037"/>
      <c r="GT170" s="1037"/>
      <c r="GU170" s="1037"/>
      <c r="GV170" s="1037"/>
      <c r="GW170" s="1037"/>
      <c r="GX170" s="1037"/>
      <c r="GY170" s="1037"/>
      <c r="GZ170" s="1037"/>
      <c r="HA170" s="1037"/>
      <c r="HB170" s="1037"/>
      <c r="HC170" s="1037"/>
      <c r="HD170" s="1037"/>
      <c r="HE170" s="1037"/>
      <c r="HF170" s="1037"/>
      <c r="HG170" s="1037"/>
      <c r="HH170" s="1037"/>
      <c r="HI170" s="1037"/>
      <c r="HJ170" s="1037"/>
      <c r="HK170" s="1037"/>
      <c r="HL170" s="1037"/>
      <c r="HM170" s="1037"/>
      <c r="HN170" s="1037"/>
      <c r="HO170" s="1037"/>
      <c r="HP170" s="1037"/>
      <c r="HQ170" s="1037"/>
      <c r="HR170" s="1037"/>
      <c r="HS170" s="1037"/>
      <c r="HT170" s="1037"/>
      <c r="HU170" s="1037"/>
      <c r="HV170" s="1037"/>
      <c r="HW170" s="1037"/>
      <c r="HX170" s="1037"/>
      <c r="HY170" s="1037"/>
      <c r="HZ170" s="1037"/>
      <c r="IA170" s="1037"/>
      <c r="IB170" s="1037"/>
      <c r="IC170" s="1037"/>
      <c r="ID170" s="1037"/>
      <c r="IE170" s="1037"/>
      <c r="IF170" s="1037"/>
      <c r="IG170" s="1037"/>
      <c r="IH170" s="1037"/>
      <c r="II170" s="1037"/>
      <c r="IJ170" s="1037"/>
      <c r="IK170" s="1037"/>
      <c r="IL170" s="1037"/>
      <c r="IM170" s="1037"/>
      <c r="IN170" s="1037"/>
    </row>
    <row r="171" spans="1:248">
      <c r="A171" s="701" t="s">
        <v>23</v>
      </c>
      <c r="B171" s="703">
        <v>6133.8</v>
      </c>
      <c r="C171" s="1038">
        <v>22.715842724508654</v>
      </c>
      <c r="D171" s="704">
        <v>6821.5</v>
      </c>
      <c r="E171" s="1038">
        <v>25.262662810205054</v>
      </c>
      <c r="F171" s="1038">
        <v>-687.69999999999982</v>
      </c>
      <c r="G171" s="1038">
        <f t="shared" si="28"/>
        <v>-2.5468200856964032</v>
      </c>
      <c r="H171" s="27">
        <v>27002.3</v>
      </c>
      <c r="I171" s="1037"/>
      <c r="J171" s="1037"/>
      <c r="K171" s="1037"/>
      <c r="L171" s="1037"/>
      <c r="M171" s="1037"/>
      <c r="N171" s="1037"/>
      <c r="O171" s="1037"/>
      <c r="P171" s="1037"/>
      <c r="Q171" s="1037"/>
      <c r="R171" s="1037"/>
      <c r="S171" s="1037"/>
      <c r="T171" s="1037"/>
      <c r="U171" s="1037"/>
      <c r="V171" s="1037"/>
      <c r="W171" s="1037"/>
      <c r="X171" s="1037"/>
      <c r="Y171" s="1037"/>
      <c r="Z171" s="1037"/>
      <c r="AA171" s="1037"/>
      <c r="AB171" s="1037"/>
      <c r="AC171" s="1037"/>
      <c r="AD171" s="1037"/>
      <c r="AE171" s="1037"/>
      <c r="AF171" s="1037"/>
      <c r="AG171" s="1037"/>
      <c r="AH171" s="1037"/>
      <c r="AI171" s="1037"/>
      <c r="AJ171" s="1037"/>
      <c r="AK171" s="1037"/>
      <c r="AL171" s="1037"/>
      <c r="AM171" s="1037"/>
      <c r="AN171" s="1037"/>
      <c r="AO171" s="1037"/>
      <c r="AP171" s="1037"/>
      <c r="AQ171" s="1037"/>
      <c r="AR171" s="1037"/>
      <c r="AS171" s="1037"/>
      <c r="AT171" s="1037"/>
      <c r="AU171" s="1037"/>
      <c r="AV171" s="1037"/>
      <c r="AW171" s="1037"/>
      <c r="AX171" s="1037"/>
      <c r="AY171" s="1037"/>
      <c r="AZ171" s="1037"/>
      <c r="BA171" s="1037"/>
      <c r="BB171" s="1037"/>
      <c r="BC171" s="1037"/>
      <c r="BD171" s="1037"/>
      <c r="BE171" s="1037"/>
      <c r="BF171" s="1037"/>
      <c r="BG171" s="1037"/>
      <c r="BH171" s="1037"/>
      <c r="BI171" s="1037"/>
      <c r="BJ171" s="1037"/>
      <c r="BK171" s="1037"/>
      <c r="BL171" s="1037"/>
      <c r="BM171" s="1037"/>
      <c r="BN171" s="1037"/>
      <c r="BO171" s="1037"/>
      <c r="BP171" s="1037"/>
      <c r="BQ171" s="1037"/>
      <c r="BR171" s="1037"/>
      <c r="BS171" s="1037"/>
      <c r="BT171" s="1037"/>
      <c r="BU171" s="1037"/>
      <c r="BV171" s="1037"/>
      <c r="BW171" s="1037"/>
      <c r="BX171" s="1037"/>
      <c r="BY171" s="1037"/>
      <c r="BZ171" s="1037"/>
      <c r="CA171" s="1037"/>
      <c r="CB171" s="1037"/>
      <c r="CC171" s="1037"/>
      <c r="CD171" s="1037"/>
      <c r="CE171" s="1037"/>
      <c r="CF171" s="1037"/>
      <c r="CG171" s="1037"/>
      <c r="CH171" s="1037"/>
      <c r="CI171" s="1037"/>
      <c r="CJ171" s="1037"/>
      <c r="CK171" s="1037"/>
      <c r="CL171" s="1037"/>
      <c r="CM171" s="1037"/>
      <c r="CN171" s="1037"/>
      <c r="CO171" s="1037"/>
      <c r="CP171" s="1037"/>
      <c r="CQ171" s="1037"/>
      <c r="CR171" s="1037"/>
      <c r="CS171" s="1037"/>
      <c r="CT171" s="1037"/>
      <c r="CU171" s="1037"/>
      <c r="CV171" s="1037"/>
      <c r="CW171" s="1037"/>
      <c r="CX171" s="1037"/>
      <c r="CY171" s="1037"/>
      <c r="CZ171" s="1037"/>
      <c r="DA171" s="1037"/>
      <c r="DB171" s="1037"/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7"/>
      <c r="DN171" s="1037"/>
      <c r="DO171" s="1037"/>
      <c r="DP171" s="1037"/>
      <c r="DQ171" s="1037"/>
      <c r="DR171" s="1037"/>
      <c r="DS171" s="1037"/>
      <c r="DT171" s="1037"/>
      <c r="DU171" s="1037"/>
      <c r="DV171" s="1037"/>
      <c r="DW171" s="1037"/>
      <c r="DX171" s="1037"/>
      <c r="DY171" s="1037"/>
      <c r="DZ171" s="1037"/>
      <c r="EA171" s="1037"/>
      <c r="EB171" s="1037"/>
      <c r="EC171" s="1037"/>
      <c r="ED171" s="1037"/>
      <c r="EE171" s="1037"/>
      <c r="EF171" s="1037"/>
      <c r="EG171" s="1037"/>
      <c r="EH171" s="1037"/>
      <c r="EI171" s="1037"/>
      <c r="EJ171" s="1037"/>
      <c r="EK171" s="1037"/>
      <c r="EL171" s="1037"/>
      <c r="EM171" s="1037"/>
      <c r="EN171" s="1037"/>
      <c r="EO171" s="1037"/>
      <c r="EP171" s="1037"/>
      <c r="EQ171" s="1037"/>
      <c r="ER171" s="1037"/>
      <c r="ES171" s="1037"/>
      <c r="ET171" s="1037"/>
      <c r="EU171" s="1037"/>
      <c r="EV171" s="1037"/>
      <c r="EW171" s="1037"/>
      <c r="EX171" s="1037"/>
      <c r="EY171" s="1037"/>
      <c r="EZ171" s="1037"/>
      <c r="FA171" s="1037"/>
      <c r="FB171" s="1037"/>
      <c r="FC171" s="1037"/>
      <c r="FD171" s="1037"/>
      <c r="FE171" s="1037"/>
      <c r="FF171" s="1037"/>
      <c r="FG171" s="1037"/>
      <c r="FH171" s="1037"/>
      <c r="FI171" s="1037"/>
      <c r="FJ171" s="1037"/>
      <c r="FK171" s="1037"/>
      <c r="FL171" s="1037"/>
      <c r="FM171" s="1037"/>
      <c r="FN171" s="1037"/>
      <c r="FO171" s="1037"/>
      <c r="FP171" s="1037"/>
      <c r="FQ171" s="1037"/>
      <c r="FR171" s="1037"/>
      <c r="FS171" s="1037"/>
      <c r="FT171" s="1037"/>
      <c r="FU171" s="1037"/>
      <c r="FV171" s="1037"/>
      <c r="FW171" s="1037"/>
      <c r="FX171" s="1037"/>
      <c r="FY171" s="1037"/>
      <c r="FZ171" s="1037"/>
      <c r="GA171" s="1037"/>
      <c r="GB171" s="1037"/>
      <c r="GC171" s="1037"/>
      <c r="GD171" s="1037"/>
      <c r="GE171" s="1037"/>
      <c r="GF171" s="1037"/>
      <c r="GG171" s="1037"/>
      <c r="GH171" s="1037"/>
      <c r="GI171" s="1037"/>
      <c r="GJ171" s="1037"/>
      <c r="GK171" s="1037"/>
      <c r="GL171" s="1037"/>
      <c r="GM171" s="1037"/>
      <c r="GN171" s="1037"/>
      <c r="GO171" s="1037"/>
      <c r="GP171" s="1037"/>
      <c r="GQ171" s="1037"/>
      <c r="GR171" s="1037"/>
      <c r="GS171" s="1037"/>
      <c r="GT171" s="1037"/>
      <c r="GU171" s="1037"/>
      <c r="GV171" s="1037"/>
      <c r="GW171" s="1037"/>
      <c r="GX171" s="1037"/>
      <c r="GY171" s="1037"/>
      <c r="GZ171" s="1037"/>
      <c r="HA171" s="1037"/>
      <c r="HB171" s="1037"/>
      <c r="HC171" s="1037"/>
      <c r="HD171" s="1037"/>
      <c r="HE171" s="1037"/>
      <c r="HF171" s="1037"/>
      <c r="HG171" s="1037"/>
      <c r="HH171" s="1037"/>
      <c r="HI171" s="1037"/>
      <c r="HJ171" s="1037"/>
      <c r="HK171" s="1037"/>
      <c r="HL171" s="1037"/>
      <c r="HM171" s="1037"/>
      <c r="HN171" s="1037"/>
      <c r="HO171" s="1037"/>
      <c r="HP171" s="1037"/>
      <c r="HQ171" s="1037"/>
      <c r="HR171" s="1037"/>
      <c r="HS171" s="1037"/>
      <c r="HT171" s="1037"/>
      <c r="HU171" s="1037"/>
      <c r="HV171" s="1037"/>
      <c r="HW171" s="1037"/>
      <c r="HX171" s="1037"/>
      <c r="HY171" s="1037"/>
      <c r="HZ171" s="1037"/>
      <c r="IA171" s="1037"/>
      <c r="IB171" s="1037"/>
      <c r="IC171" s="1037"/>
      <c r="ID171" s="1037"/>
      <c r="IE171" s="1037"/>
      <c r="IF171" s="1037"/>
      <c r="IG171" s="1037"/>
      <c r="IH171" s="1037"/>
      <c r="II171" s="1037"/>
      <c r="IJ171" s="1037"/>
      <c r="IK171" s="1037"/>
      <c r="IL171" s="1037"/>
      <c r="IM171" s="1037"/>
      <c r="IN171" s="1037"/>
    </row>
    <row r="172" spans="1:248">
      <c r="A172" s="701" t="s">
        <v>24</v>
      </c>
      <c r="B172" s="703">
        <v>7007.5</v>
      </c>
      <c r="C172" s="1038">
        <v>21.81485932022937</v>
      </c>
      <c r="D172" s="704">
        <v>8193.5</v>
      </c>
      <c r="E172" s="1038">
        <v>25.506963944388065</v>
      </c>
      <c r="F172" s="1038">
        <v>-1186</v>
      </c>
      <c r="G172" s="1038">
        <f t="shared" si="28"/>
        <v>-3.6921046241586923</v>
      </c>
      <c r="H172" s="27">
        <v>32122.6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7"/>
      <c r="AB172" s="1037"/>
      <c r="AC172" s="1037"/>
      <c r="AD172" s="1037"/>
      <c r="AE172" s="1037"/>
      <c r="AF172" s="1037"/>
      <c r="AG172" s="1037"/>
      <c r="AH172" s="1037"/>
      <c r="AI172" s="1037"/>
      <c r="AJ172" s="1037"/>
      <c r="AK172" s="1037"/>
      <c r="AL172" s="1037"/>
      <c r="AM172" s="1037"/>
      <c r="AN172" s="1037"/>
      <c r="AO172" s="1037"/>
      <c r="AP172" s="1037"/>
      <c r="AQ172" s="1037"/>
      <c r="AR172" s="1037"/>
      <c r="AS172" s="1037"/>
      <c r="AT172" s="1037"/>
      <c r="AU172" s="1037"/>
      <c r="AV172" s="1037"/>
      <c r="AW172" s="1037"/>
      <c r="AX172" s="1037"/>
      <c r="AY172" s="1037"/>
      <c r="AZ172" s="1037"/>
      <c r="BA172" s="1037"/>
      <c r="BB172" s="1037"/>
      <c r="BC172" s="1037"/>
      <c r="BD172" s="1037"/>
      <c r="BE172" s="1037"/>
      <c r="BF172" s="1037"/>
      <c r="BG172" s="1037"/>
      <c r="BH172" s="1037"/>
      <c r="BI172" s="1037"/>
      <c r="BJ172" s="1037"/>
      <c r="BK172" s="1037"/>
      <c r="BL172" s="1037"/>
      <c r="BM172" s="1037"/>
      <c r="BN172" s="1037"/>
      <c r="BO172" s="1037"/>
      <c r="BP172" s="1037"/>
      <c r="BQ172" s="1037"/>
      <c r="BR172" s="1037"/>
      <c r="BS172" s="1037"/>
      <c r="BT172" s="1037"/>
      <c r="BU172" s="1037"/>
      <c r="BV172" s="1037"/>
      <c r="BW172" s="1037"/>
      <c r="BX172" s="1037"/>
      <c r="BY172" s="1037"/>
      <c r="BZ172" s="1037"/>
      <c r="CA172" s="1037"/>
      <c r="CB172" s="1037"/>
      <c r="CC172" s="1037"/>
      <c r="CD172" s="1037"/>
      <c r="CE172" s="1037"/>
      <c r="CF172" s="1037"/>
      <c r="CG172" s="1037"/>
      <c r="CH172" s="1037"/>
      <c r="CI172" s="1037"/>
      <c r="CJ172" s="1037"/>
      <c r="CK172" s="1037"/>
      <c r="CL172" s="1037"/>
      <c r="CM172" s="1037"/>
      <c r="CN172" s="1037"/>
      <c r="CO172" s="1037"/>
      <c r="CP172" s="1037"/>
      <c r="CQ172" s="1037"/>
      <c r="CR172" s="1037"/>
      <c r="CS172" s="1037"/>
      <c r="CT172" s="1037"/>
      <c r="CU172" s="1037"/>
      <c r="CV172" s="1037"/>
      <c r="CW172" s="1037"/>
      <c r="CX172" s="1037"/>
      <c r="CY172" s="1037"/>
      <c r="CZ172" s="1037"/>
      <c r="DA172" s="1037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7"/>
      <c r="DN172" s="1037"/>
      <c r="DO172" s="1037"/>
      <c r="DP172" s="1037"/>
      <c r="DQ172" s="1037"/>
      <c r="DR172" s="1037"/>
      <c r="DS172" s="1037"/>
      <c r="DT172" s="1037"/>
      <c r="DU172" s="1037"/>
      <c r="DV172" s="1037"/>
      <c r="DW172" s="1037"/>
      <c r="DX172" s="1037"/>
      <c r="DY172" s="1037"/>
      <c r="DZ172" s="1037"/>
      <c r="EA172" s="1037"/>
      <c r="EB172" s="1037"/>
      <c r="EC172" s="1037"/>
      <c r="ED172" s="1037"/>
      <c r="EE172" s="1037"/>
      <c r="EF172" s="1037"/>
      <c r="EG172" s="1037"/>
      <c r="EH172" s="1037"/>
      <c r="EI172" s="1037"/>
      <c r="EJ172" s="1037"/>
      <c r="EK172" s="1037"/>
      <c r="EL172" s="1037"/>
      <c r="EM172" s="1037"/>
      <c r="EN172" s="1037"/>
      <c r="EO172" s="1037"/>
      <c r="EP172" s="1037"/>
      <c r="EQ172" s="1037"/>
      <c r="ER172" s="1037"/>
      <c r="ES172" s="1037"/>
      <c r="ET172" s="1037"/>
      <c r="EU172" s="1037"/>
      <c r="EV172" s="1037"/>
      <c r="EW172" s="1037"/>
      <c r="EX172" s="1037"/>
      <c r="EY172" s="1037"/>
      <c r="EZ172" s="1037"/>
      <c r="FA172" s="1037"/>
      <c r="FB172" s="1037"/>
      <c r="FC172" s="1037"/>
      <c r="FD172" s="1037"/>
      <c r="FE172" s="1037"/>
      <c r="FF172" s="1037"/>
      <c r="FG172" s="1037"/>
      <c r="FH172" s="1037"/>
      <c r="FI172" s="1037"/>
      <c r="FJ172" s="1037"/>
      <c r="FK172" s="1037"/>
      <c r="FL172" s="1037"/>
      <c r="FM172" s="1037"/>
      <c r="FN172" s="1037"/>
      <c r="FO172" s="1037"/>
      <c r="FP172" s="1037"/>
      <c r="FQ172" s="1037"/>
      <c r="FR172" s="1037"/>
      <c r="FS172" s="1037"/>
      <c r="FT172" s="1037"/>
      <c r="FU172" s="1037"/>
      <c r="FV172" s="1037"/>
      <c r="FW172" s="1037"/>
      <c r="FX172" s="1037"/>
      <c r="FY172" s="1037"/>
      <c r="FZ172" s="1037"/>
      <c r="GA172" s="1037"/>
      <c r="GB172" s="1037"/>
      <c r="GC172" s="1037"/>
      <c r="GD172" s="1037"/>
      <c r="GE172" s="1037"/>
      <c r="GF172" s="1037"/>
      <c r="GG172" s="1037"/>
      <c r="GH172" s="1037"/>
      <c r="GI172" s="1037"/>
      <c r="GJ172" s="1037"/>
      <c r="GK172" s="1037"/>
      <c r="GL172" s="1037"/>
      <c r="GM172" s="1037"/>
      <c r="GN172" s="1037"/>
      <c r="GO172" s="1037"/>
      <c r="GP172" s="1037"/>
      <c r="GQ172" s="1037"/>
      <c r="GR172" s="1037"/>
      <c r="GS172" s="1037"/>
      <c r="GT172" s="1037"/>
      <c r="GU172" s="1037"/>
      <c r="GV172" s="1037"/>
      <c r="GW172" s="1037"/>
      <c r="GX172" s="1037"/>
      <c r="GY172" s="1037"/>
      <c r="GZ172" s="1037"/>
      <c r="HA172" s="1037"/>
      <c r="HB172" s="1037"/>
      <c r="HC172" s="1037"/>
      <c r="HD172" s="1037"/>
      <c r="HE172" s="1037"/>
      <c r="HF172" s="1037"/>
      <c r="HG172" s="1037"/>
      <c r="HH172" s="1037"/>
      <c r="HI172" s="1037"/>
      <c r="HJ172" s="1037"/>
      <c r="HK172" s="1037"/>
      <c r="HL172" s="1037"/>
      <c r="HM172" s="1037"/>
      <c r="HN172" s="1037"/>
      <c r="HO172" s="1037"/>
      <c r="HP172" s="1037"/>
      <c r="HQ172" s="1037"/>
      <c r="HR172" s="1037"/>
      <c r="HS172" s="1037"/>
      <c r="HT172" s="1037"/>
      <c r="HU172" s="1037"/>
      <c r="HV172" s="1037"/>
      <c r="HW172" s="1037"/>
      <c r="HX172" s="1037"/>
      <c r="HY172" s="1037"/>
      <c r="HZ172" s="1037"/>
      <c r="IA172" s="1037"/>
      <c r="IB172" s="1037"/>
      <c r="IC172" s="1037"/>
      <c r="ID172" s="1037"/>
      <c r="IE172" s="1037"/>
      <c r="IF172" s="1037"/>
      <c r="IG172" s="1037"/>
      <c r="IH172" s="1037"/>
      <c r="II172" s="1037"/>
      <c r="IJ172" s="1037"/>
      <c r="IK172" s="1037"/>
      <c r="IL172" s="1037"/>
      <c r="IM172" s="1037"/>
      <c r="IN172" s="1037"/>
    </row>
    <row r="173" spans="1:248">
      <c r="A173" s="701" t="s">
        <v>25</v>
      </c>
      <c r="B173" s="703">
        <v>8281.5</v>
      </c>
      <c r="C173" s="1038">
        <v>21.777489100079414</v>
      </c>
      <c r="D173" s="704">
        <v>9348.5</v>
      </c>
      <c r="E173" s="1038">
        <v>24.583331141954044</v>
      </c>
      <c r="F173" s="1038">
        <v>-1067</v>
      </c>
      <c r="G173" s="1038">
        <f t="shared" si="28"/>
        <v>-2.8058420418746284</v>
      </c>
      <c r="H173" s="27">
        <v>38027.800000000003</v>
      </c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7"/>
      <c r="AB173" s="1037"/>
      <c r="AC173" s="1037"/>
      <c r="AD173" s="1037"/>
      <c r="AE173" s="1037"/>
      <c r="AF173" s="1037"/>
      <c r="AG173" s="1037"/>
      <c r="AH173" s="1037"/>
      <c r="AI173" s="1037"/>
      <c r="AJ173" s="1037"/>
      <c r="AK173" s="1037"/>
      <c r="AL173" s="1037"/>
      <c r="AM173" s="1037"/>
      <c r="AN173" s="1037"/>
      <c r="AO173" s="1037"/>
      <c r="AP173" s="1037"/>
      <c r="AQ173" s="1037"/>
      <c r="AR173" s="1037"/>
      <c r="AS173" s="1037"/>
      <c r="AT173" s="1037"/>
      <c r="AU173" s="1037"/>
      <c r="AV173" s="1037"/>
      <c r="AW173" s="1037"/>
      <c r="AX173" s="1037"/>
      <c r="AY173" s="1037"/>
      <c r="AZ173" s="1037"/>
      <c r="BA173" s="1037"/>
      <c r="BB173" s="1037"/>
      <c r="BC173" s="1037"/>
      <c r="BD173" s="1037"/>
      <c r="BE173" s="1037"/>
      <c r="BF173" s="1037"/>
      <c r="BG173" s="1037"/>
      <c r="BH173" s="1037"/>
      <c r="BI173" s="1037"/>
      <c r="BJ173" s="1037"/>
      <c r="BK173" s="1037"/>
      <c r="BL173" s="1037"/>
      <c r="BM173" s="1037"/>
      <c r="BN173" s="1037"/>
      <c r="BO173" s="1037"/>
      <c r="BP173" s="1037"/>
      <c r="BQ173" s="1037"/>
      <c r="BR173" s="1037"/>
      <c r="BS173" s="1037"/>
      <c r="BT173" s="1037"/>
      <c r="BU173" s="1037"/>
      <c r="BV173" s="1037"/>
      <c r="BW173" s="1037"/>
      <c r="BX173" s="1037"/>
      <c r="BY173" s="1037"/>
      <c r="BZ173" s="1037"/>
      <c r="CA173" s="1037"/>
      <c r="CB173" s="1037"/>
      <c r="CC173" s="1037"/>
      <c r="CD173" s="1037"/>
      <c r="CE173" s="1037"/>
      <c r="CF173" s="1037"/>
      <c r="CG173" s="1037"/>
      <c r="CH173" s="1037"/>
      <c r="CI173" s="1037"/>
      <c r="CJ173" s="1037"/>
      <c r="CK173" s="1037"/>
      <c r="CL173" s="1037"/>
      <c r="CM173" s="1037"/>
      <c r="CN173" s="1037"/>
      <c r="CO173" s="1037"/>
      <c r="CP173" s="1037"/>
      <c r="CQ173" s="1037"/>
      <c r="CR173" s="1037"/>
      <c r="CS173" s="1037"/>
      <c r="CT173" s="1037"/>
      <c r="CU173" s="1037"/>
      <c r="CV173" s="1037"/>
      <c r="CW173" s="1037"/>
      <c r="CX173" s="1037"/>
      <c r="CY173" s="1037"/>
      <c r="CZ173" s="1037"/>
      <c r="DA173" s="1037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7"/>
      <c r="DN173" s="1037"/>
      <c r="DO173" s="1037"/>
      <c r="DP173" s="1037"/>
      <c r="DQ173" s="1037"/>
      <c r="DR173" s="1037"/>
      <c r="DS173" s="1037"/>
      <c r="DT173" s="1037"/>
      <c r="DU173" s="1037"/>
      <c r="DV173" s="1037"/>
      <c r="DW173" s="1037"/>
      <c r="DX173" s="1037"/>
      <c r="DY173" s="1037"/>
      <c r="DZ173" s="1037"/>
      <c r="EA173" s="1037"/>
      <c r="EB173" s="1037"/>
      <c r="EC173" s="1037"/>
      <c r="ED173" s="1037"/>
      <c r="EE173" s="1037"/>
      <c r="EF173" s="1037"/>
      <c r="EG173" s="1037"/>
      <c r="EH173" s="1037"/>
      <c r="EI173" s="1037"/>
      <c r="EJ173" s="1037"/>
      <c r="EK173" s="1037"/>
      <c r="EL173" s="1037"/>
      <c r="EM173" s="1037"/>
      <c r="EN173" s="1037"/>
      <c r="EO173" s="1037"/>
      <c r="EP173" s="1037"/>
      <c r="EQ173" s="1037"/>
      <c r="ER173" s="1037"/>
      <c r="ES173" s="1037"/>
      <c r="ET173" s="1037"/>
      <c r="EU173" s="1037"/>
      <c r="EV173" s="1037"/>
      <c r="EW173" s="1037"/>
      <c r="EX173" s="1037"/>
      <c r="EY173" s="1037"/>
      <c r="EZ173" s="1037"/>
      <c r="FA173" s="1037"/>
      <c r="FB173" s="1037"/>
      <c r="FC173" s="1037"/>
      <c r="FD173" s="1037"/>
      <c r="FE173" s="1037"/>
      <c r="FF173" s="1037"/>
      <c r="FG173" s="1037"/>
      <c r="FH173" s="1037"/>
      <c r="FI173" s="1037"/>
      <c r="FJ173" s="1037"/>
      <c r="FK173" s="1037"/>
      <c r="FL173" s="1037"/>
      <c r="FM173" s="1037"/>
      <c r="FN173" s="1037"/>
      <c r="FO173" s="1037"/>
      <c r="FP173" s="1037"/>
      <c r="FQ173" s="1037"/>
      <c r="FR173" s="1037"/>
      <c r="FS173" s="1037"/>
      <c r="FT173" s="1037"/>
      <c r="FU173" s="1037"/>
      <c r="FV173" s="1037"/>
      <c r="FW173" s="1037"/>
      <c r="FX173" s="1037"/>
      <c r="FY173" s="1037"/>
      <c r="FZ173" s="1037"/>
      <c r="GA173" s="1037"/>
      <c r="GB173" s="1037"/>
      <c r="GC173" s="1037"/>
      <c r="GD173" s="1037"/>
      <c r="GE173" s="1037"/>
      <c r="GF173" s="1037"/>
      <c r="GG173" s="1037"/>
      <c r="GH173" s="1037"/>
      <c r="GI173" s="1037"/>
      <c r="GJ173" s="1037"/>
      <c r="GK173" s="1037"/>
      <c r="GL173" s="1037"/>
      <c r="GM173" s="1037"/>
      <c r="GN173" s="1037"/>
      <c r="GO173" s="1037"/>
      <c r="GP173" s="1037"/>
      <c r="GQ173" s="1037"/>
      <c r="GR173" s="1037"/>
      <c r="GS173" s="1037"/>
      <c r="GT173" s="1037"/>
      <c r="GU173" s="1037"/>
      <c r="GV173" s="1037"/>
      <c r="GW173" s="1037"/>
      <c r="GX173" s="1037"/>
      <c r="GY173" s="1037"/>
      <c r="GZ173" s="1037"/>
      <c r="HA173" s="1037"/>
      <c r="HB173" s="1037"/>
      <c r="HC173" s="1037"/>
      <c r="HD173" s="1037"/>
      <c r="HE173" s="1037"/>
      <c r="HF173" s="1037"/>
      <c r="HG173" s="1037"/>
      <c r="HH173" s="1037"/>
      <c r="HI173" s="1037"/>
      <c r="HJ173" s="1037"/>
      <c r="HK173" s="1037"/>
      <c r="HL173" s="1037"/>
      <c r="HM173" s="1037"/>
      <c r="HN173" s="1037"/>
      <c r="HO173" s="1037"/>
      <c r="HP173" s="1037"/>
      <c r="HQ173" s="1037"/>
      <c r="HR173" s="1037"/>
      <c r="HS173" s="1037"/>
      <c r="HT173" s="1037"/>
      <c r="HU173" s="1037"/>
      <c r="HV173" s="1037"/>
      <c r="HW173" s="1037"/>
      <c r="HX173" s="1037"/>
      <c r="HY173" s="1037"/>
      <c r="HZ173" s="1037"/>
      <c r="IA173" s="1037"/>
      <c r="IB173" s="1037"/>
      <c r="IC173" s="1037"/>
      <c r="ID173" s="1037"/>
      <c r="IE173" s="1037"/>
      <c r="IF173" s="1037"/>
      <c r="IG173" s="1037"/>
      <c r="IH173" s="1037"/>
      <c r="II173" s="1037"/>
      <c r="IJ173" s="1037"/>
      <c r="IK173" s="1037"/>
      <c r="IL173" s="1037"/>
      <c r="IM173" s="1037"/>
      <c r="IN173" s="1037"/>
    </row>
    <row r="174" spans="1:248">
      <c r="A174" s="701" t="s">
        <v>26</v>
      </c>
      <c r="B174" s="703">
        <v>10103.1</v>
      </c>
      <c r="C174" s="1038">
        <v>23.259577818552685</v>
      </c>
      <c r="D174" s="704">
        <v>10622.2</v>
      </c>
      <c r="E174" s="1038">
        <v>24.454661193517865</v>
      </c>
      <c r="F174" s="1038">
        <v>-519.10000000000036</v>
      </c>
      <c r="G174" s="1038">
        <f t="shared" si="28"/>
        <v>-1.1950833749651797</v>
      </c>
      <c r="H174" s="27">
        <v>43436.3</v>
      </c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1037"/>
      <c r="S174" s="1037"/>
      <c r="T174" s="1037"/>
      <c r="U174" s="1037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1037"/>
      <c r="AI174" s="1037"/>
      <c r="AJ174" s="1037"/>
      <c r="AK174" s="1037"/>
      <c r="AL174" s="1037"/>
      <c r="AM174" s="1037"/>
      <c r="AN174" s="1037"/>
      <c r="AO174" s="1037"/>
      <c r="AP174" s="1037"/>
      <c r="AQ174" s="1037"/>
      <c r="AR174" s="1037"/>
      <c r="AS174" s="1037"/>
      <c r="AT174" s="1037"/>
      <c r="AU174" s="1037"/>
      <c r="AV174" s="1037"/>
      <c r="AW174" s="1037"/>
      <c r="AX174" s="1037"/>
      <c r="AY174" s="1037"/>
      <c r="AZ174" s="1037"/>
      <c r="BA174" s="1037"/>
      <c r="BB174" s="1037"/>
      <c r="BC174" s="1037"/>
      <c r="BD174" s="1037"/>
      <c r="BE174" s="1037"/>
      <c r="BF174" s="1037"/>
      <c r="BG174" s="1037"/>
      <c r="BH174" s="1037"/>
      <c r="BI174" s="1037"/>
      <c r="BJ174" s="1037"/>
      <c r="BK174" s="1037"/>
      <c r="BL174" s="1037"/>
      <c r="BM174" s="1037"/>
      <c r="BN174" s="1037"/>
      <c r="BO174" s="1037"/>
      <c r="BP174" s="1037"/>
      <c r="BQ174" s="1037"/>
      <c r="BR174" s="1037"/>
      <c r="BS174" s="1037"/>
      <c r="BT174" s="1037"/>
      <c r="BU174" s="1037"/>
      <c r="BV174" s="1037"/>
      <c r="BW174" s="1037"/>
      <c r="BX174" s="1037"/>
      <c r="BY174" s="1037"/>
      <c r="BZ174" s="1037"/>
      <c r="CA174" s="1037"/>
      <c r="CB174" s="1037"/>
      <c r="CC174" s="1037"/>
      <c r="CD174" s="1037"/>
      <c r="CE174" s="1037"/>
      <c r="CF174" s="1037"/>
      <c r="CG174" s="1037"/>
      <c r="CH174" s="1037"/>
      <c r="CI174" s="1037"/>
      <c r="CJ174" s="1037"/>
      <c r="CK174" s="1037"/>
      <c r="CL174" s="1037"/>
      <c r="CM174" s="1037"/>
      <c r="CN174" s="1037"/>
      <c r="CO174" s="1037"/>
      <c r="CP174" s="1037"/>
      <c r="CQ174" s="1037"/>
      <c r="CR174" s="1037"/>
      <c r="CS174" s="1037"/>
      <c r="CT174" s="1037"/>
      <c r="CU174" s="1037"/>
      <c r="CV174" s="1037"/>
      <c r="CW174" s="1037"/>
      <c r="CX174" s="1037"/>
      <c r="CY174" s="1037"/>
      <c r="CZ174" s="1037"/>
      <c r="DA174" s="1037"/>
      <c r="DB174" s="1037"/>
      <c r="DC174" s="1037"/>
      <c r="DD174" s="1037"/>
      <c r="DE174" s="1037"/>
      <c r="DF174" s="1037"/>
      <c r="DG174" s="1037"/>
      <c r="DH174" s="1037"/>
      <c r="DI174" s="1037"/>
      <c r="DJ174" s="1037"/>
      <c r="DK174" s="1037"/>
      <c r="DL174" s="1037"/>
      <c r="DM174" s="1037"/>
      <c r="DN174" s="1037"/>
      <c r="DO174" s="1037"/>
      <c r="DP174" s="1037"/>
      <c r="DQ174" s="1037"/>
      <c r="DR174" s="1037"/>
      <c r="DS174" s="1037"/>
      <c r="DT174" s="1037"/>
      <c r="DU174" s="1037"/>
      <c r="DV174" s="1037"/>
      <c r="DW174" s="1037"/>
      <c r="DX174" s="1037"/>
      <c r="DY174" s="1037"/>
      <c r="DZ174" s="1037"/>
      <c r="EA174" s="1037"/>
      <c r="EB174" s="1037"/>
      <c r="EC174" s="1037"/>
      <c r="ED174" s="1037"/>
      <c r="EE174" s="1037"/>
      <c r="EF174" s="1037"/>
      <c r="EG174" s="1037"/>
      <c r="EH174" s="1037"/>
      <c r="EI174" s="1037"/>
      <c r="EJ174" s="1037"/>
      <c r="EK174" s="1037"/>
      <c r="EL174" s="1037"/>
      <c r="EM174" s="1037"/>
      <c r="EN174" s="1037"/>
      <c r="EO174" s="1037"/>
      <c r="EP174" s="1037"/>
      <c r="EQ174" s="1037"/>
      <c r="ER174" s="1037"/>
      <c r="ES174" s="1037"/>
      <c r="ET174" s="1037"/>
      <c r="EU174" s="1037"/>
      <c r="EV174" s="1037"/>
      <c r="EW174" s="1037"/>
      <c r="EX174" s="1037"/>
      <c r="EY174" s="1037"/>
      <c r="EZ174" s="1037"/>
      <c r="FA174" s="1037"/>
      <c r="FB174" s="1037"/>
      <c r="FC174" s="1037"/>
      <c r="FD174" s="1037"/>
      <c r="FE174" s="1037"/>
      <c r="FF174" s="1037"/>
      <c r="FG174" s="1037"/>
      <c r="FH174" s="1037"/>
      <c r="FI174" s="1037"/>
      <c r="FJ174" s="1037"/>
      <c r="FK174" s="1037"/>
      <c r="FL174" s="1037"/>
      <c r="FM174" s="1037"/>
      <c r="FN174" s="1037"/>
      <c r="FO174" s="1037"/>
      <c r="FP174" s="1037"/>
      <c r="FQ174" s="1037"/>
      <c r="FR174" s="1037"/>
      <c r="FS174" s="1037"/>
      <c r="FT174" s="1037"/>
      <c r="FU174" s="1037"/>
      <c r="FV174" s="1037"/>
      <c r="FW174" s="1037"/>
      <c r="FX174" s="1037"/>
      <c r="FY174" s="1037"/>
      <c r="FZ174" s="1037"/>
      <c r="GA174" s="1037"/>
      <c r="GB174" s="1037"/>
      <c r="GC174" s="1037"/>
      <c r="GD174" s="1037"/>
      <c r="GE174" s="1037"/>
      <c r="GF174" s="1037"/>
      <c r="GG174" s="1037"/>
      <c r="GH174" s="1037"/>
      <c r="GI174" s="1037"/>
      <c r="GJ174" s="1037"/>
      <c r="GK174" s="1037"/>
      <c r="GL174" s="1037"/>
      <c r="GM174" s="1037"/>
      <c r="GN174" s="1037"/>
      <c r="GO174" s="1037"/>
      <c r="GP174" s="1037"/>
      <c r="GQ174" s="1037"/>
      <c r="GR174" s="1037"/>
      <c r="GS174" s="1037"/>
      <c r="GT174" s="1037"/>
      <c r="GU174" s="1037"/>
      <c r="GV174" s="1037"/>
      <c r="GW174" s="1037"/>
      <c r="GX174" s="1037"/>
      <c r="GY174" s="1037"/>
      <c r="GZ174" s="1037"/>
      <c r="HA174" s="1037"/>
      <c r="HB174" s="1037"/>
      <c r="HC174" s="1037"/>
      <c r="HD174" s="1037"/>
      <c r="HE174" s="1037"/>
      <c r="HF174" s="1037"/>
      <c r="HG174" s="1037"/>
      <c r="HH174" s="1037"/>
      <c r="HI174" s="1037"/>
      <c r="HJ174" s="1037"/>
      <c r="HK174" s="1037"/>
      <c r="HL174" s="1037"/>
      <c r="HM174" s="1037"/>
      <c r="HN174" s="1037"/>
      <c r="HO174" s="1037"/>
      <c r="HP174" s="1037"/>
      <c r="HQ174" s="1037"/>
      <c r="HR174" s="1037"/>
      <c r="HS174" s="1037"/>
      <c r="HT174" s="1037"/>
      <c r="HU174" s="1037"/>
      <c r="HV174" s="1037"/>
      <c r="HW174" s="1037"/>
      <c r="HX174" s="1037"/>
      <c r="HY174" s="1037"/>
      <c r="HZ174" s="1037"/>
      <c r="IA174" s="1037"/>
      <c r="IB174" s="1037"/>
      <c r="IC174" s="1037"/>
      <c r="ID174" s="1037"/>
      <c r="IE174" s="1037"/>
      <c r="IF174" s="1037"/>
      <c r="IG174" s="1037"/>
      <c r="IH174" s="1037"/>
      <c r="II174" s="1037"/>
      <c r="IJ174" s="1037"/>
      <c r="IK174" s="1037"/>
      <c r="IL174" s="1037"/>
      <c r="IM174" s="1037"/>
      <c r="IN174" s="1037"/>
    </row>
    <row r="175" spans="1:248">
      <c r="A175" s="701" t="s">
        <v>27</v>
      </c>
      <c r="B175" s="703">
        <v>12103.9</v>
      </c>
      <c r="C175" s="1038">
        <v>24.589727649857586</v>
      </c>
      <c r="D175" s="704">
        <v>12468.2</v>
      </c>
      <c r="E175" s="1038">
        <v>25.329822807851549</v>
      </c>
      <c r="F175" s="1038">
        <v>-364.30000000000109</v>
      </c>
      <c r="G175" s="1038">
        <f t="shared" si="28"/>
        <v>-0.74009515799396441</v>
      </c>
      <c r="H175" s="27">
        <v>49223.4</v>
      </c>
      <c r="I175" s="1037"/>
      <c r="J175" s="1037"/>
      <c r="K175" s="1037"/>
      <c r="L175" s="1037"/>
      <c r="M175" s="1037"/>
      <c r="N175" s="1037"/>
      <c r="O175" s="1037"/>
      <c r="P175" s="1037"/>
      <c r="Q175" s="1037"/>
      <c r="R175" s="1037"/>
      <c r="S175" s="1037"/>
      <c r="T175" s="1037"/>
      <c r="U175" s="1037"/>
      <c r="V175" s="1037"/>
      <c r="W175" s="1037"/>
      <c r="X175" s="1037"/>
      <c r="Y175" s="1037"/>
      <c r="Z175" s="1037"/>
      <c r="AA175" s="1037"/>
      <c r="AB175" s="1037"/>
      <c r="AC175" s="1037"/>
      <c r="AD175" s="1037"/>
      <c r="AE175" s="1037"/>
      <c r="AF175" s="1037"/>
      <c r="AG175" s="1037"/>
      <c r="AH175" s="1037"/>
      <c r="AI175" s="1037"/>
      <c r="AJ175" s="1037"/>
      <c r="AK175" s="1037"/>
      <c r="AL175" s="1037"/>
      <c r="AM175" s="1037"/>
      <c r="AN175" s="1037"/>
      <c r="AO175" s="1037"/>
      <c r="AP175" s="1037"/>
      <c r="AQ175" s="1037"/>
      <c r="AR175" s="1037"/>
      <c r="AS175" s="1037"/>
      <c r="AT175" s="1037"/>
      <c r="AU175" s="1037"/>
      <c r="AV175" s="1037"/>
      <c r="AW175" s="1037"/>
      <c r="AX175" s="1037"/>
      <c r="AY175" s="1037"/>
      <c r="AZ175" s="1037"/>
      <c r="BA175" s="1037"/>
      <c r="BB175" s="1037"/>
      <c r="BC175" s="1037"/>
      <c r="BD175" s="1037"/>
      <c r="BE175" s="1037"/>
      <c r="BF175" s="1037"/>
      <c r="BG175" s="1037"/>
      <c r="BH175" s="1037"/>
      <c r="BI175" s="1037"/>
      <c r="BJ175" s="1037"/>
      <c r="BK175" s="1037"/>
      <c r="BL175" s="1037"/>
      <c r="BM175" s="1037"/>
      <c r="BN175" s="1037"/>
      <c r="BO175" s="1037"/>
      <c r="BP175" s="1037"/>
      <c r="BQ175" s="1037"/>
      <c r="BR175" s="1037"/>
      <c r="BS175" s="1037"/>
      <c r="BT175" s="1037"/>
      <c r="BU175" s="1037"/>
      <c r="BV175" s="1037"/>
      <c r="BW175" s="1037"/>
      <c r="BX175" s="1037"/>
      <c r="BY175" s="1037"/>
      <c r="BZ175" s="1037"/>
      <c r="CA175" s="1037"/>
      <c r="CB175" s="1037"/>
      <c r="CC175" s="1037"/>
      <c r="CD175" s="1037"/>
      <c r="CE175" s="1037"/>
      <c r="CF175" s="1037"/>
      <c r="CG175" s="1037"/>
      <c r="CH175" s="1037"/>
      <c r="CI175" s="1037"/>
      <c r="CJ175" s="1037"/>
      <c r="CK175" s="1037"/>
      <c r="CL175" s="1037"/>
      <c r="CM175" s="1037"/>
      <c r="CN175" s="1037"/>
      <c r="CO175" s="1037"/>
      <c r="CP175" s="1037"/>
      <c r="CQ175" s="1037"/>
      <c r="CR175" s="1037"/>
      <c r="CS175" s="1037"/>
      <c r="CT175" s="1037"/>
      <c r="CU175" s="1037"/>
      <c r="CV175" s="1037"/>
      <c r="CW175" s="1037"/>
      <c r="CX175" s="1037"/>
      <c r="CY175" s="1037"/>
      <c r="CZ175" s="1037"/>
      <c r="DA175" s="1037"/>
      <c r="DB175" s="1037"/>
      <c r="DC175" s="1037"/>
      <c r="DD175" s="1037"/>
      <c r="DE175" s="1037"/>
      <c r="DF175" s="1037"/>
      <c r="DG175" s="1037"/>
      <c r="DH175" s="1037"/>
      <c r="DI175" s="1037"/>
      <c r="DJ175" s="1037"/>
      <c r="DK175" s="1037"/>
      <c r="DL175" s="1037"/>
      <c r="DM175" s="1037"/>
      <c r="DN175" s="1037"/>
      <c r="DO175" s="1037"/>
      <c r="DP175" s="1037"/>
      <c r="DQ175" s="1037"/>
      <c r="DR175" s="1037"/>
      <c r="DS175" s="1037"/>
      <c r="DT175" s="1037"/>
      <c r="DU175" s="1037"/>
      <c r="DV175" s="1037"/>
      <c r="DW175" s="1037"/>
      <c r="DX175" s="1037"/>
      <c r="DY175" s="1037"/>
      <c r="DZ175" s="1037"/>
      <c r="EA175" s="1037"/>
      <c r="EB175" s="1037"/>
      <c r="EC175" s="1037"/>
      <c r="ED175" s="1037"/>
      <c r="EE175" s="1037"/>
      <c r="EF175" s="1037"/>
      <c r="EG175" s="1037"/>
      <c r="EH175" s="1037"/>
      <c r="EI175" s="1037"/>
      <c r="EJ175" s="1037"/>
      <c r="EK175" s="1037"/>
      <c r="EL175" s="1037"/>
      <c r="EM175" s="1037"/>
      <c r="EN175" s="1037"/>
      <c r="EO175" s="1037"/>
      <c r="EP175" s="1037"/>
      <c r="EQ175" s="1037"/>
      <c r="ER175" s="1037"/>
      <c r="ES175" s="1037"/>
      <c r="ET175" s="1037"/>
      <c r="EU175" s="1037"/>
      <c r="EV175" s="1037"/>
      <c r="EW175" s="1037"/>
      <c r="EX175" s="1037"/>
      <c r="EY175" s="1037"/>
      <c r="EZ175" s="1037"/>
      <c r="FA175" s="1037"/>
      <c r="FB175" s="1037"/>
      <c r="FC175" s="1037"/>
      <c r="FD175" s="1037"/>
      <c r="FE175" s="1037"/>
      <c r="FF175" s="1037"/>
      <c r="FG175" s="1037"/>
      <c r="FH175" s="1037"/>
      <c r="FI175" s="1037"/>
      <c r="FJ175" s="1037"/>
      <c r="FK175" s="1037"/>
      <c r="FL175" s="1037"/>
      <c r="FM175" s="1037"/>
      <c r="FN175" s="1037"/>
      <c r="FO175" s="1037"/>
      <c r="FP175" s="1037"/>
      <c r="FQ175" s="1037"/>
      <c r="FR175" s="1037"/>
      <c r="FS175" s="1037"/>
      <c r="FT175" s="1037"/>
      <c r="FU175" s="1037"/>
      <c r="FV175" s="1037"/>
      <c r="FW175" s="1037"/>
      <c r="FX175" s="1037"/>
      <c r="FY175" s="1037"/>
      <c r="FZ175" s="1037"/>
      <c r="GA175" s="1037"/>
      <c r="GB175" s="1037"/>
      <c r="GC175" s="1037"/>
      <c r="GD175" s="1037"/>
      <c r="GE175" s="1037"/>
      <c r="GF175" s="1037"/>
      <c r="GG175" s="1037"/>
      <c r="GH175" s="1037"/>
      <c r="GI175" s="1037"/>
      <c r="GJ175" s="1037"/>
      <c r="GK175" s="1037"/>
      <c r="GL175" s="1037"/>
      <c r="GM175" s="1037"/>
      <c r="GN175" s="1037"/>
      <c r="GO175" s="1037"/>
      <c r="GP175" s="1037"/>
      <c r="GQ175" s="1037"/>
      <c r="GR175" s="1037"/>
      <c r="GS175" s="1037"/>
      <c r="GT175" s="1037"/>
      <c r="GU175" s="1037"/>
      <c r="GV175" s="1037"/>
      <c r="GW175" s="1037"/>
      <c r="GX175" s="1037"/>
      <c r="GY175" s="1037"/>
      <c r="GZ175" s="1037"/>
      <c r="HA175" s="1037"/>
      <c r="HB175" s="1037"/>
      <c r="HC175" s="1037"/>
      <c r="HD175" s="1037"/>
      <c r="HE175" s="1037"/>
      <c r="HF175" s="1037"/>
      <c r="HG175" s="1037"/>
      <c r="HH175" s="1037"/>
      <c r="HI175" s="1037"/>
      <c r="HJ175" s="1037"/>
      <c r="HK175" s="1037"/>
      <c r="HL175" s="1037"/>
      <c r="HM175" s="1037"/>
      <c r="HN175" s="1037"/>
      <c r="HO175" s="1037"/>
      <c r="HP175" s="1037"/>
      <c r="HQ175" s="1037"/>
      <c r="HR175" s="1037"/>
      <c r="HS175" s="1037"/>
      <c r="HT175" s="1037"/>
      <c r="HU175" s="1037"/>
      <c r="HV175" s="1037"/>
      <c r="HW175" s="1037"/>
      <c r="HX175" s="1037"/>
      <c r="HY175" s="1037"/>
      <c r="HZ175" s="1037"/>
      <c r="IA175" s="1037"/>
      <c r="IB175" s="1037"/>
      <c r="IC175" s="1037"/>
      <c r="ID175" s="1037"/>
      <c r="IE175" s="1037"/>
      <c r="IF175" s="1037"/>
      <c r="IG175" s="1037"/>
      <c r="IH175" s="1037"/>
      <c r="II175" s="1037"/>
      <c r="IJ175" s="1037"/>
      <c r="IK175" s="1037"/>
      <c r="IL175" s="1037"/>
      <c r="IM175" s="1037"/>
      <c r="IN175" s="1037"/>
    </row>
    <row r="176" spans="1:248">
      <c r="A176" s="701" t="s">
        <v>28</v>
      </c>
      <c r="B176" s="703">
        <v>12965.5</v>
      </c>
      <c r="C176" s="1038">
        <v>23.819146805895677</v>
      </c>
      <c r="D176" s="704">
        <v>13927.4</v>
      </c>
      <c r="E176" s="1038">
        <v>25.586270118732902</v>
      </c>
      <c r="F176" s="1038">
        <v>-961.89999999999964</v>
      </c>
      <c r="G176" s="1038">
        <f t="shared" si="28"/>
        <v>-1.7671233128372252</v>
      </c>
      <c r="H176" s="27">
        <v>54433.1</v>
      </c>
      <c r="I176" s="1037"/>
      <c r="J176" s="1037"/>
      <c r="K176" s="1037"/>
      <c r="L176" s="1037"/>
      <c r="M176" s="1037"/>
      <c r="N176" s="1037"/>
      <c r="O176" s="1037"/>
      <c r="P176" s="1037"/>
      <c r="Q176" s="1037"/>
      <c r="R176" s="1037"/>
      <c r="S176" s="1037"/>
      <c r="T176" s="1037"/>
      <c r="U176" s="1037"/>
      <c r="V176" s="1037"/>
      <c r="W176" s="1037"/>
      <c r="X176" s="1037"/>
      <c r="Y176" s="1037"/>
      <c r="Z176" s="1037"/>
      <c r="AA176" s="1037"/>
      <c r="AB176" s="1037"/>
      <c r="AC176" s="1037"/>
      <c r="AD176" s="1037"/>
      <c r="AE176" s="1037"/>
      <c r="AF176" s="1037"/>
      <c r="AG176" s="1037"/>
      <c r="AH176" s="1037"/>
      <c r="AI176" s="1037"/>
      <c r="AJ176" s="1037"/>
      <c r="AK176" s="1037"/>
      <c r="AL176" s="1037"/>
      <c r="AM176" s="1037"/>
      <c r="AN176" s="1037"/>
      <c r="AO176" s="1037"/>
      <c r="AP176" s="1037"/>
      <c r="AQ176" s="1037"/>
      <c r="AR176" s="1037"/>
      <c r="AS176" s="1037"/>
      <c r="AT176" s="1037"/>
      <c r="AU176" s="1037"/>
      <c r="AV176" s="1037"/>
      <c r="AW176" s="1037"/>
      <c r="AX176" s="1037"/>
      <c r="AY176" s="1037"/>
      <c r="AZ176" s="1037"/>
      <c r="BA176" s="1037"/>
      <c r="BB176" s="1037"/>
      <c r="BC176" s="1037"/>
      <c r="BD176" s="1037"/>
      <c r="BE176" s="1037"/>
      <c r="BF176" s="1037"/>
      <c r="BG176" s="1037"/>
      <c r="BH176" s="1037"/>
      <c r="BI176" s="1037"/>
      <c r="BJ176" s="1037"/>
      <c r="BK176" s="1037"/>
      <c r="BL176" s="1037"/>
      <c r="BM176" s="1037"/>
      <c r="BN176" s="1037"/>
      <c r="BO176" s="1037"/>
      <c r="BP176" s="1037"/>
      <c r="BQ176" s="1037"/>
      <c r="BR176" s="1037"/>
      <c r="BS176" s="1037"/>
      <c r="BT176" s="1037"/>
      <c r="BU176" s="1037"/>
      <c r="BV176" s="1037"/>
      <c r="BW176" s="1037"/>
      <c r="BX176" s="1037"/>
      <c r="BY176" s="1037"/>
      <c r="BZ176" s="1037"/>
      <c r="CA176" s="1037"/>
      <c r="CB176" s="1037"/>
      <c r="CC176" s="1037"/>
      <c r="CD176" s="1037"/>
      <c r="CE176" s="1037"/>
      <c r="CF176" s="1037"/>
      <c r="CG176" s="1037"/>
      <c r="CH176" s="1037"/>
      <c r="CI176" s="1037"/>
      <c r="CJ176" s="1037"/>
      <c r="CK176" s="1037"/>
      <c r="CL176" s="1037"/>
      <c r="CM176" s="1037"/>
      <c r="CN176" s="1037"/>
      <c r="CO176" s="1037"/>
      <c r="CP176" s="1037"/>
      <c r="CQ176" s="1037"/>
      <c r="CR176" s="1037"/>
      <c r="CS176" s="1037"/>
      <c r="CT176" s="1037"/>
      <c r="CU176" s="1037"/>
      <c r="CV176" s="1037"/>
      <c r="CW176" s="1037"/>
      <c r="CX176" s="1037"/>
      <c r="CY176" s="1037"/>
      <c r="CZ176" s="1037"/>
      <c r="DA176" s="1037"/>
      <c r="DB176" s="1037"/>
      <c r="DC176" s="1037"/>
      <c r="DD176" s="1037"/>
      <c r="DE176" s="1037"/>
      <c r="DF176" s="1037"/>
      <c r="DG176" s="1037"/>
      <c r="DH176" s="1037"/>
      <c r="DI176" s="1037"/>
      <c r="DJ176" s="1037"/>
      <c r="DK176" s="1037"/>
      <c r="DL176" s="1037"/>
      <c r="DM176" s="1037"/>
      <c r="DN176" s="1037"/>
      <c r="DO176" s="1037"/>
      <c r="DP176" s="1037"/>
      <c r="DQ176" s="1037"/>
      <c r="DR176" s="1037"/>
      <c r="DS176" s="1037"/>
      <c r="DT176" s="1037"/>
      <c r="DU176" s="1037"/>
      <c r="DV176" s="1037"/>
      <c r="DW176" s="1037"/>
      <c r="DX176" s="1037"/>
      <c r="DY176" s="1037"/>
      <c r="DZ176" s="1037"/>
      <c r="EA176" s="1037"/>
      <c r="EB176" s="1037"/>
      <c r="EC176" s="1037"/>
      <c r="ED176" s="1037"/>
      <c r="EE176" s="1037"/>
      <c r="EF176" s="1037"/>
      <c r="EG176" s="1037"/>
      <c r="EH176" s="1037"/>
      <c r="EI176" s="1037"/>
      <c r="EJ176" s="1037"/>
      <c r="EK176" s="1037"/>
      <c r="EL176" s="1037"/>
      <c r="EM176" s="1037"/>
      <c r="EN176" s="1037"/>
      <c r="EO176" s="1037"/>
      <c r="EP176" s="1037"/>
      <c r="EQ176" s="1037"/>
      <c r="ER176" s="1037"/>
      <c r="ES176" s="1037"/>
      <c r="ET176" s="1037"/>
      <c r="EU176" s="1037"/>
      <c r="EV176" s="1037"/>
      <c r="EW176" s="1037"/>
      <c r="EX176" s="1037"/>
      <c r="EY176" s="1037"/>
      <c r="EZ176" s="1037"/>
      <c r="FA176" s="1037"/>
      <c r="FB176" s="1037"/>
      <c r="FC176" s="1037"/>
      <c r="FD176" s="1037"/>
      <c r="FE176" s="1037"/>
      <c r="FF176" s="1037"/>
      <c r="FG176" s="1037"/>
      <c r="FH176" s="1037"/>
      <c r="FI176" s="1037"/>
      <c r="FJ176" s="1037"/>
      <c r="FK176" s="1037"/>
      <c r="FL176" s="1037"/>
      <c r="FM176" s="1037"/>
      <c r="FN176" s="1037"/>
      <c r="FO176" s="1037"/>
      <c r="FP176" s="1037"/>
      <c r="FQ176" s="1037"/>
      <c r="FR176" s="1037"/>
      <c r="FS176" s="1037"/>
      <c r="FT176" s="1037"/>
      <c r="FU176" s="1037"/>
      <c r="FV176" s="1037"/>
      <c r="FW176" s="1037"/>
      <c r="FX176" s="1037"/>
      <c r="FY176" s="1037"/>
      <c r="FZ176" s="1037"/>
      <c r="GA176" s="1037"/>
      <c r="GB176" s="1037"/>
      <c r="GC176" s="1037"/>
      <c r="GD176" s="1037"/>
      <c r="GE176" s="1037"/>
      <c r="GF176" s="1037"/>
      <c r="GG176" s="1037"/>
      <c r="GH176" s="1037"/>
      <c r="GI176" s="1037"/>
      <c r="GJ176" s="1037"/>
      <c r="GK176" s="1037"/>
      <c r="GL176" s="1037"/>
      <c r="GM176" s="1037"/>
      <c r="GN176" s="1037"/>
      <c r="GO176" s="1037"/>
      <c r="GP176" s="1037"/>
      <c r="GQ176" s="1037"/>
      <c r="GR176" s="1037"/>
      <c r="GS176" s="1037"/>
      <c r="GT176" s="1037"/>
      <c r="GU176" s="1037"/>
      <c r="GV176" s="1037"/>
      <c r="GW176" s="1037"/>
      <c r="GX176" s="1037"/>
      <c r="GY176" s="1037"/>
      <c r="GZ176" s="1037"/>
      <c r="HA176" s="1037"/>
      <c r="HB176" s="1037"/>
      <c r="HC176" s="1037"/>
      <c r="HD176" s="1037"/>
      <c r="HE176" s="1037"/>
      <c r="HF176" s="1037"/>
      <c r="HG176" s="1037"/>
      <c r="HH176" s="1037"/>
      <c r="HI176" s="1037"/>
      <c r="HJ176" s="1037"/>
      <c r="HK176" s="1037"/>
      <c r="HL176" s="1037"/>
      <c r="HM176" s="1037"/>
      <c r="HN176" s="1037"/>
      <c r="HO176" s="1037"/>
      <c r="HP176" s="1037"/>
      <c r="HQ176" s="1037"/>
      <c r="HR176" s="1037"/>
      <c r="HS176" s="1037"/>
      <c r="HT176" s="1037"/>
      <c r="HU176" s="1037"/>
      <c r="HV176" s="1037"/>
      <c r="HW176" s="1037"/>
      <c r="HX176" s="1037"/>
      <c r="HY176" s="1037"/>
      <c r="HZ176" s="1037"/>
      <c r="IA176" s="1037"/>
      <c r="IB176" s="1037"/>
      <c r="IC176" s="1037"/>
      <c r="ID176" s="1037"/>
      <c r="IE176" s="1037"/>
      <c r="IF176" s="1037"/>
      <c r="IG176" s="1037"/>
      <c r="IH176" s="1037"/>
      <c r="II176" s="1037"/>
      <c r="IJ176" s="1037"/>
      <c r="IK176" s="1037"/>
      <c r="IL176" s="1037"/>
      <c r="IM176" s="1037"/>
      <c r="IN176" s="1037"/>
    </row>
    <row r="177" spans="1:248">
      <c r="A177" s="701" t="s">
        <v>29</v>
      </c>
      <c r="B177" s="703">
        <v>17506</v>
      </c>
      <c r="C177" s="703">
        <v>28.963412615928458</v>
      </c>
      <c r="D177" s="704">
        <v>17751</v>
      </c>
      <c r="E177" s="1038">
        <v>29.576729896295411</v>
      </c>
      <c r="F177" s="1038">
        <v>-245</v>
      </c>
      <c r="G177" s="1038">
        <f t="shared" si="28"/>
        <v>-0.40545997365337644</v>
      </c>
      <c r="H177" s="27">
        <v>60425.2</v>
      </c>
      <c r="I177" s="1037"/>
      <c r="J177" s="1037"/>
      <c r="K177" s="1037"/>
      <c r="L177" s="1037"/>
      <c r="M177" s="1037"/>
      <c r="N177" s="1037"/>
      <c r="O177" s="1037"/>
      <c r="P177" s="1037"/>
      <c r="Q177" s="1037"/>
      <c r="R177" s="1037"/>
      <c r="S177" s="1037"/>
      <c r="T177" s="1037"/>
      <c r="U177" s="1037"/>
      <c r="V177" s="1037"/>
      <c r="W177" s="1037"/>
      <c r="X177" s="1037"/>
      <c r="Y177" s="1037"/>
      <c r="Z177" s="1037"/>
      <c r="AA177" s="1037"/>
      <c r="AB177" s="1037"/>
      <c r="AC177" s="1037"/>
      <c r="AD177" s="1037"/>
      <c r="AE177" s="1037"/>
      <c r="AF177" s="1037"/>
      <c r="AG177" s="1037"/>
      <c r="AH177" s="1037"/>
      <c r="AI177" s="1037"/>
      <c r="AJ177" s="1037"/>
      <c r="AK177" s="1037"/>
      <c r="AL177" s="1037"/>
      <c r="AM177" s="1037"/>
      <c r="AN177" s="1037"/>
      <c r="AO177" s="1037"/>
      <c r="AP177" s="1037"/>
      <c r="AQ177" s="1037"/>
      <c r="AR177" s="1037"/>
      <c r="AS177" s="1037"/>
      <c r="AT177" s="1037"/>
      <c r="AU177" s="1037"/>
      <c r="AV177" s="1037"/>
      <c r="AW177" s="1037"/>
      <c r="AX177" s="1037"/>
      <c r="AY177" s="1037"/>
      <c r="AZ177" s="1037"/>
      <c r="BA177" s="1037"/>
      <c r="BB177" s="1037"/>
      <c r="BC177" s="1037"/>
      <c r="BD177" s="1037"/>
      <c r="BE177" s="1037"/>
      <c r="BF177" s="1037"/>
      <c r="BG177" s="1037"/>
      <c r="BH177" s="1037"/>
      <c r="BI177" s="1037"/>
      <c r="BJ177" s="1037"/>
      <c r="BK177" s="1037"/>
      <c r="BL177" s="1037"/>
      <c r="BM177" s="1037"/>
      <c r="BN177" s="1037"/>
      <c r="BO177" s="1037"/>
      <c r="BP177" s="1037"/>
      <c r="BQ177" s="1037"/>
      <c r="BR177" s="1037"/>
      <c r="BS177" s="1037"/>
      <c r="BT177" s="1037"/>
      <c r="BU177" s="1037"/>
      <c r="BV177" s="1037"/>
      <c r="BW177" s="1037"/>
      <c r="BX177" s="1037"/>
      <c r="BY177" s="1037"/>
      <c r="BZ177" s="1037"/>
      <c r="CA177" s="1037"/>
      <c r="CB177" s="1037"/>
      <c r="CC177" s="1037"/>
      <c r="CD177" s="1037"/>
      <c r="CE177" s="1037"/>
      <c r="CF177" s="1037"/>
      <c r="CG177" s="1037"/>
      <c r="CH177" s="1037"/>
      <c r="CI177" s="1037"/>
      <c r="CJ177" s="1037"/>
      <c r="CK177" s="1037"/>
      <c r="CL177" s="1037"/>
      <c r="CM177" s="1037"/>
      <c r="CN177" s="1037"/>
      <c r="CO177" s="1037"/>
      <c r="CP177" s="1037"/>
      <c r="CQ177" s="1037"/>
      <c r="CR177" s="1037"/>
      <c r="CS177" s="1037"/>
      <c r="CT177" s="1037"/>
      <c r="CU177" s="1037"/>
      <c r="CV177" s="1037"/>
      <c r="CW177" s="1037"/>
      <c r="CX177" s="1037"/>
      <c r="CY177" s="1037"/>
      <c r="CZ177" s="1037"/>
      <c r="DA177" s="1037"/>
      <c r="DB177" s="1037"/>
      <c r="DC177" s="1037"/>
      <c r="DD177" s="1037"/>
      <c r="DE177" s="1037"/>
      <c r="DF177" s="1037"/>
      <c r="DG177" s="1037"/>
      <c r="DH177" s="1037"/>
      <c r="DI177" s="1037"/>
      <c r="DJ177" s="1037"/>
      <c r="DK177" s="1037"/>
      <c r="DL177" s="1037"/>
      <c r="DM177" s="1037"/>
      <c r="DN177" s="1037"/>
      <c r="DO177" s="1037"/>
      <c r="DP177" s="1037"/>
      <c r="DQ177" s="1037"/>
      <c r="DR177" s="1037"/>
      <c r="DS177" s="1037"/>
      <c r="DT177" s="1037"/>
      <c r="DU177" s="1037"/>
      <c r="DV177" s="1037"/>
      <c r="DW177" s="1037"/>
      <c r="DX177" s="1037"/>
      <c r="DY177" s="1037"/>
      <c r="DZ177" s="1037"/>
      <c r="EA177" s="1037"/>
      <c r="EB177" s="1037"/>
      <c r="EC177" s="1037"/>
      <c r="ED177" s="1037"/>
      <c r="EE177" s="1037"/>
      <c r="EF177" s="1037"/>
      <c r="EG177" s="1037"/>
      <c r="EH177" s="1037"/>
      <c r="EI177" s="1037"/>
      <c r="EJ177" s="1037"/>
      <c r="EK177" s="1037"/>
      <c r="EL177" s="1037"/>
      <c r="EM177" s="1037"/>
      <c r="EN177" s="1037"/>
      <c r="EO177" s="1037"/>
      <c r="EP177" s="1037"/>
      <c r="EQ177" s="1037"/>
      <c r="ER177" s="1037"/>
      <c r="ES177" s="1037"/>
      <c r="ET177" s="1037"/>
      <c r="EU177" s="1037"/>
      <c r="EV177" s="1037"/>
      <c r="EW177" s="1037"/>
      <c r="EX177" s="1037"/>
      <c r="EY177" s="1037"/>
      <c r="EZ177" s="1037"/>
      <c r="FA177" s="1037"/>
      <c r="FB177" s="1037"/>
      <c r="FC177" s="1037"/>
      <c r="FD177" s="1037"/>
      <c r="FE177" s="1037"/>
      <c r="FF177" s="1037"/>
      <c r="FG177" s="1037"/>
      <c r="FH177" s="1037"/>
      <c r="FI177" s="1037"/>
      <c r="FJ177" s="1037"/>
      <c r="FK177" s="1037"/>
      <c r="FL177" s="1037"/>
      <c r="FM177" s="1037"/>
      <c r="FN177" s="1037"/>
      <c r="FO177" s="1037"/>
      <c r="FP177" s="1037"/>
      <c r="FQ177" s="1037"/>
      <c r="FR177" s="1037"/>
      <c r="FS177" s="1037"/>
      <c r="FT177" s="1037"/>
      <c r="FU177" s="1037"/>
      <c r="FV177" s="1037"/>
      <c r="FW177" s="1037"/>
      <c r="FX177" s="1037"/>
      <c r="FY177" s="1037"/>
      <c r="FZ177" s="1037"/>
      <c r="GA177" s="1037"/>
      <c r="GB177" s="1037"/>
      <c r="GC177" s="1037"/>
      <c r="GD177" s="1037"/>
      <c r="GE177" s="1037"/>
      <c r="GF177" s="1037"/>
      <c r="GG177" s="1037"/>
      <c r="GH177" s="1037"/>
      <c r="GI177" s="1037"/>
      <c r="GJ177" s="1037"/>
      <c r="GK177" s="1037"/>
      <c r="GL177" s="1037"/>
      <c r="GM177" s="1037"/>
      <c r="GN177" s="1037"/>
      <c r="GO177" s="1037"/>
      <c r="GP177" s="1037"/>
      <c r="GQ177" s="1037"/>
      <c r="GR177" s="1037"/>
      <c r="GS177" s="1037"/>
      <c r="GT177" s="1037"/>
      <c r="GU177" s="1037"/>
      <c r="GV177" s="1037"/>
      <c r="GW177" s="1037"/>
      <c r="GX177" s="1037"/>
      <c r="GY177" s="1037"/>
      <c r="GZ177" s="1037"/>
      <c r="HA177" s="1037"/>
      <c r="HB177" s="1037"/>
      <c r="HC177" s="1037"/>
      <c r="HD177" s="1037"/>
      <c r="HE177" s="1037"/>
      <c r="HF177" s="1037"/>
      <c r="HG177" s="1037"/>
      <c r="HH177" s="1037"/>
      <c r="HI177" s="1037"/>
      <c r="HJ177" s="1037"/>
      <c r="HK177" s="1037"/>
      <c r="HL177" s="1037"/>
      <c r="HM177" s="1037"/>
      <c r="HN177" s="1037"/>
      <c r="HO177" s="1037"/>
      <c r="HP177" s="1037"/>
      <c r="HQ177" s="1037"/>
      <c r="HR177" s="1037"/>
      <c r="HS177" s="1037"/>
      <c r="HT177" s="1037"/>
      <c r="HU177" s="1037"/>
      <c r="HV177" s="1037"/>
      <c r="HW177" s="1037"/>
      <c r="HX177" s="1037"/>
      <c r="HY177" s="1037"/>
      <c r="HZ177" s="1037"/>
      <c r="IA177" s="1037"/>
      <c r="IB177" s="1037"/>
      <c r="IC177" s="1037"/>
      <c r="ID177" s="1037"/>
      <c r="IE177" s="1037"/>
      <c r="IF177" s="1037"/>
      <c r="IG177" s="1037"/>
      <c r="IH177" s="1037"/>
      <c r="II177" s="1037"/>
      <c r="IJ177" s="1037"/>
      <c r="IK177" s="1037"/>
      <c r="IL177" s="1037"/>
      <c r="IM177" s="1037"/>
      <c r="IN177" s="1037"/>
    </row>
    <row r="178" spans="1:248">
      <c r="A178" s="701" t="s">
        <v>1942</v>
      </c>
      <c r="B178" s="698">
        <v>16516.683993999995</v>
      </c>
      <c r="C178" s="1039">
        <v>23.450312325782669</v>
      </c>
      <c r="D178" s="699">
        <v>17594.477983999997</v>
      </c>
      <c r="E178" s="1039">
        <v>25.077885395472453</v>
      </c>
      <c r="F178" s="1039">
        <f>B178-D178</f>
        <v>-1077.7939900000019</v>
      </c>
      <c r="G178" s="1039">
        <v>-1.6275730696897843</v>
      </c>
      <c r="H178" s="27"/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7"/>
      <c r="AB178" s="1037"/>
      <c r="AC178" s="1037"/>
      <c r="AD178" s="1037"/>
      <c r="AE178" s="1037"/>
      <c r="AF178" s="1037"/>
      <c r="AG178" s="1037"/>
      <c r="AH178" s="1037"/>
      <c r="AI178" s="1037"/>
      <c r="AJ178" s="1037"/>
      <c r="AK178" s="1037"/>
      <c r="AL178" s="1037"/>
      <c r="AM178" s="1037"/>
      <c r="AN178" s="1037"/>
      <c r="AO178" s="1037"/>
      <c r="AP178" s="1037"/>
      <c r="AQ178" s="1037"/>
      <c r="AR178" s="1037"/>
      <c r="AS178" s="1037"/>
      <c r="AT178" s="1037"/>
      <c r="AU178" s="1037"/>
      <c r="AV178" s="1037"/>
      <c r="AW178" s="1037"/>
      <c r="AX178" s="1037"/>
      <c r="AY178" s="1037"/>
      <c r="AZ178" s="1037"/>
      <c r="BA178" s="1037"/>
      <c r="BB178" s="1037"/>
      <c r="BC178" s="1037"/>
      <c r="BD178" s="1037"/>
      <c r="BE178" s="1037"/>
      <c r="BF178" s="1037"/>
      <c r="BG178" s="1037"/>
      <c r="BH178" s="1037"/>
      <c r="BI178" s="1037"/>
      <c r="BJ178" s="1037"/>
      <c r="BK178" s="1037"/>
      <c r="BL178" s="1037"/>
      <c r="BM178" s="1037"/>
      <c r="BN178" s="1037"/>
      <c r="BO178" s="1037"/>
      <c r="BP178" s="1037"/>
      <c r="BQ178" s="1037"/>
      <c r="BR178" s="1037"/>
      <c r="BS178" s="1037"/>
      <c r="BT178" s="1037"/>
      <c r="BU178" s="1037"/>
      <c r="BV178" s="1037"/>
      <c r="BW178" s="1037"/>
      <c r="BX178" s="1037"/>
      <c r="BY178" s="1037"/>
      <c r="BZ178" s="1037"/>
      <c r="CA178" s="1037"/>
      <c r="CB178" s="1037"/>
      <c r="CC178" s="1037"/>
      <c r="CD178" s="1037"/>
      <c r="CE178" s="1037"/>
      <c r="CF178" s="1037"/>
      <c r="CG178" s="1037"/>
      <c r="CH178" s="1037"/>
      <c r="CI178" s="1037"/>
      <c r="CJ178" s="1037"/>
      <c r="CK178" s="1037"/>
      <c r="CL178" s="1037"/>
      <c r="CM178" s="1037"/>
      <c r="CN178" s="1037"/>
      <c r="CO178" s="1037"/>
      <c r="CP178" s="1037"/>
      <c r="CQ178" s="1037"/>
      <c r="CR178" s="1037"/>
      <c r="CS178" s="1037"/>
      <c r="CT178" s="1037"/>
      <c r="CU178" s="1037"/>
      <c r="CV178" s="1037"/>
      <c r="CW178" s="1037"/>
      <c r="CX178" s="1037"/>
      <c r="CY178" s="1037"/>
      <c r="CZ178" s="1037"/>
      <c r="DA178" s="1037"/>
      <c r="DB178" s="1037"/>
      <c r="DC178" s="1037"/>
      <c r="DD178" s="1037"/>
      <c r="DE178" s="1037"/>
      <c r="DF178" s="1037"/>
      <c r="DG178" s="1037"/>
      <c r="DH178" s="1037"/>
      <c r="DI178" s="1037"/>
      <c r="DJ178" s="1037"/>
      <c r="DK178" s="1037"/>
      <c r="DL178" s="1037"/>
      <c r="DM178" s="1037"/>
      <c r="DN178" s="1037"/>
      <c r="DO178" s="1037"/>
      <c r="DP178" s="1037"/>
      <c r="DQ178" s="1037"/>
      <c r="DR178" s="1037"/>
      <c r="DS178" s="1037"/>
      <c r="DT178" s="1037"/>
      <c r="DU178" s="1037"/>
      <c r="DV178" s="1037"/>
      <c r="DW178" s="1037"/>
      <c r="DX178" s="1037"/>
      <c r="DY178" s="1037"/>
      <c r="DZ178" s="1037"/>
      <c r="EA178" s="1037"/>
      <c r="EB178" s="1037"/>
      <c r="EC178" s="1037"/>
      <c r="ED178" s="1037"/>
      <c r="EE178" s="1037"/>
      <c r="EF178" s="1037"/>
      <c r="EG178" s="1037"/>
      <c r="EH178" s="1037"/>
      <c r="EI178" s="1037"/>
      <c r="EJ178" s="1037"/>
      <c r="EK178" s="1037"/>
      <c r="EL178" s="1037"/>
      <c r="EM178" s="1037"/>
      <c r="EN178" s="1037"/>
      <c r="EO178" s="1037"/>
      <c r="EP178" s="1037"/>
      <c r="EQ178" s="1037"/>
      <c r="ER178" s="1037"/>
      <c r="ES178" s="1037"/>
      <c r="ET178" s="1037"/>
      <c r="EU178" s="1037"/>
      <c r="EV178" s="1037"/>
      <c r="EW178" s="1037"/>
      <c r="EX178" s="1037"/>
      <c r="EY178" s="1037"/>
      <c r="EZ178" s="1037"/>
      <c r="FA178" s="1037"/>
      <c r="FB178" s="1037"/>
      <c r="FC178" s="1037"/>
      <c r="FD178" s="1037"/>
      <c r="FE178" s="1037"/>
      <c r="FF178" s="1037"/>
      <c r="FG178" s="1037"/>
      <c r="FH178" s="1037"/>
      <c r="FI178" s="1037"/>
      <c r="FJ178" s="1037"/>
      <c r="FK178" s="1037"/>
      <c r="FL178" s="1037"/>
      <c r="FM178" s="1037"/>
      <c r="FN178" s="1037"/>
      <c r="FO178" s="1037"/>
      <c r="FP178" s="1037"/>
      <c r="FQ178" s="1037"/>
      <c r="FR178" s="1037"/>
      <c r="FS178" s="1037"/>
      <c r="FT178" s="1037"/>
      <c r="FU178" s="1037"/>
      <c r="FV178" s="1037"/>
      <c r="FW178" s="1037"/>
      <c r="FX178" s="1037"/>
      <c r="FY178" s="1037"/>
      <c r="FZ178" s="1037"/>
      <c r="GA178" s="1037"/>
      <c r="GB178" s="1037"/>
      <c r="GC178" s="1037"/>
      <c r="GD178" s="1037"/>
      <c r="GE178" s="1037"/>
      <c r="GF178" s="1037"/>
      <c r="GG178" s="1037"/>
      <c r="GH178" s="1037"/>
      <c r="GI178" s="1037"/>
      <c r="GJ178" s="1037"/>
      <c r="GK178" s="1037"/>
      <c r="GL178" s="1037"/>
      <c r="GM178" s="1037"/>
      <c r="GN178" s="1037"/>
      <c r="GO178" s="1037"/>
      <c r="GP178" s="1037"/>
      <c r="GQ178" s="1037"/>
      <c r="GR178" s="1037"/>
      <c r="GS178" s="1037"/>
      <c r="GT178" s="1037"/>
      <c r="GU178" s="1037"/>
      <c r="GV178" s="1037"/>
      <c r="GW178" s="1037"/>
      <c r="GX178" s="1037"/>
      <c r="GY178" s="1037"/>
      <c r="GZ178" s="1037"/>
      <c r="HA178" s="1037"/>
      <c r="HB178" s="1037"/>
      <c r="HC178" s="1037"/>
      <c r="HD178" s="1037"/>
      <c r="HE178" s="1037"/>
      <c r="HF178" s="1037"/>
      <c r="HG178" s="1037"/>
      <c r="HH178" s="1037"/>
      <c r="HI178" s="1037"/>
      <c r="HJ178" s="1037"/>
      <c r="HK178" s="1037"/>
      <c r="HL178" s="1037"/>
      <c r="HM178" s="1037"/>
      <c r="HN178" s="1037"/>
      <c r="HO178" s="1037"/>
      <c r="HP178" s="1037"/>
      <c r="HQ178" s="1037"/>
      <c r="HR178" s="1037"/>
      <c r="HS178" s="1037"/>
      <c r="HT178" s="1037"/>
      <c r="HU178" s="1037"/>
      <c r="HV178" s="1037"/>
      <c r="HW178" s="1037"/>
      <c r="HX178" s="1037"/>
      <c r="HY178" s="1037"/>
      <c r="HZ178" s="1037"/>
      <c r="IA178" s="1037"/>
      <c r="IB178" s="1037"/>
      <c r="IC178" s="1037"/>
      <c r="ID178" s="1037"/>
      <c r="IE178" s="1037"/>
      <c r="IF178" s="1037"/>
      <c r="IG178" s="1037"/>
      <c r="IH178" s="1037"/>
      <c r="II178" s="1037"/>
      <c r="IJ178" s="1037"/>
      <c r="IK178" s="1037"/>
      <c r="IL178" s="1037"/>
      <c r="IM178" s="1037"/>
      <c r="IN178" s="1037"/>
    </row>
    <row r="179" spans="1:248">
      <c r="A179" s="701" t="s">
        <v>18</v>
      </c>
      <c r="B179" s="703">
        <v>1243.5999999999999</v>
      </c>
      <c r="C179" s="1038">
        <v>23.764116871452863</v>
      </c>
      <c r="D179" s="704">
        <v>924.9</v>
      </c>
      <c r="E179" s="1038">
        <v>17.674036422006075</v>
      </c>
      <c r="F179" s="1038">
        <v>318.69999999999993</v>
      </c>
      <c r="G179" s="1038">
        <f t="shared" si="28"/>
        <v>6.0900804494467886</v>
      </c>
      <c r="H179" s="27">
        <v>5233.1000000000004</v>
      </c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7"/>
      <c r="AB179" s="1037"/>
      <c r="AC179" s="1037"/>
      <c r="AD179" s="1037"/>
      <c r="AE179" s="1037"/>
      <c r="AF179" s="1037"/>
      <c r="AG179" s="1037"/>
      <c r="AH179" s="1037"/>
      <c r="AI179" s="1037"/>
      <c r="AJ179" s="1037"/>
      <c r="AK179" s="1037"/>
      <c r="AL179" s="1037"/>
      <c r="AM179" s="1037"/>
      <c r="AN179" s="1037"/>
      <c r="AO179" s="1037"/>
      <c r="AP179" s="1037"/>
      <c r="AQ179" s="1037"/>
      <c r="AR179" s="1037"/>
      <c r="AS179" s="1037"/>
      <c r="AT179" s="1037"/>
      <c r="AU179" s="1037"/>
      <c r="AV179" s="1037"/>
      <c r="AW179" s="1037"/>
      <c r="AX179" s="1037"/>
      <c r="AY179" s="1037"/>
      <c r="AZ179" s="1037"/>
      <c r="BA179" s="1037"/>
      <c r="BB179" s="1037"/>
      <c r="BC179" s="1037"/>
      <c r="BD179" s="1037"/>
      <c r="BE179" s="1037"/>
      <c r="BF179" s="1037"/>
      <c r="BG179" s="1037"/>
      <c r="BH179" s="1037"/>
      <c r="BI179" s="1037"/>
      <c r="BJ179" s="1037"/>
      <c r="BK179" s="1037"/>
      <c r="BL179" s="1037"/>
      <c r="BM179" s="1037"/>
      <c r="BN179" s="1037"/>
      <c r="BO179" s="1037"/>
      <c r="BP179" s="1037"/>
      <c r="BQ179" s="1037"/>
      <c r="BR179" s="1037"/>
      <c r="BS179" s="1037"/>
      <c r="BT179" s="1037"/>
      <c r="BU179" s="1037"/>
      <c r="BV179" s="1037"/>
      <c r="BW179" s="1037"/>
      <c r="BX179" s="1037"/>
      <c r="BY179" s="1037"/>
      <c r="BZ179" s="1037"/>
      <c r="CA179" s="1037"/>
      <c r="CB179" s="1037"/>
      <c r="CC179" s="1037"/>
      <c r="CD179" s="1037"/>
      <c r="CE179" s="1037"/>
      <c r="CF179" s="1037"/>
      <c r="CG179" s="1037"/>
      <c r="CH179" s="1037"/>
      <c r="CI179" s="1037"/>
      <c r="CJ179" s="1037"/>
      <c r="CK179" s="1037"/>
      <c r="CL179" s="1037"/>
      <c r="CM179" s="1037"/>
      <c r="CN179" s="1037"/>
      <c r="CO179" s="1037"/>
      <c r="CP179" s="1037"/>
      <c r="CQ179" s="1037"/>
      <c r="CR179" s="1037"/>
      <c r="CS179" s="1037"/>
      <c r="CT179" s="1037"/>
      <c r="CU179" s="1037"/>
      <c r="CV179" s="1037"/>
      <c r="CW179" s="1037"/>
      <c r="CX179" s="1037"/>
      <c r="CY179" s="1037"/>
      <c r="CZ179" s="1037"/>
      <c r="DA179" s="1037"/>
      <c r="DB179" s="1037"/>
      <c r="DC179" s="1037"/>
      <c r="DD179" s="1037"/>
      <c r="DE179" s="1037"/>
      <c r="DF179" s="1037"/>
      <c r="DG179" s="1037"/>
      <c r="DH179" s="1037"/>
      <c r="DI179" s="1037"/>
      <c r="DJ179" s="1037"/>
      <c r="DK179" s="1037"/>
      <c r="DL179" s="1037"/>
      <c r="DM179" s="1037"/>
      <c r="DN179" s="1037"/>
      <c r="DO179" s="1037"/>
      <c r="DP179" s="1037"/>
      <c r="DQ179" s="1037"/>
      <c r="DR179" s="1037"/>
      <c r="DS179" s="1037"/>
      <c r="DT179" s="1037"/>
      <c r="DU179" s="1037"/>
      <c r="DV179" s="1037"/>
      <c r="DW179" s="1037"/>
      <c r="DX179" s="1037"/>
      <c r="DY179" s="1037"/>
      <c r="DZ179" s="1037"/>
      <c r="EA179" s="1037"/>
      <c r="EB179" s="1037"/>
      <c r="EC179" s="1037"/>
      <c r="ED179" s="1037"/>
      <c r="EE179" s="1037"/>
      <c r="EF179" s="1037"/>
      <c r="EG179" s="1037"/>
      <c r="EH179" s="1037"/>
      <c r="EI179" s="1037"/>
      <c r="EJ179" s="1037"/>
      <c r="EK179" s="1037"/>
      <c r="EL179" s="1037"/>
      <c r="EM179" s="1037"/>
      <c r="EN179" s="1037"/>
      <c r="EO179" s="1037"/>
      <c r="EP179" s="1037"/>
      <c r="EQ179" s="1037"/>
      <c r="ER179" s="1037"/>
      <c r="ES179" s="1037"/>
      <c r="ET179" s="1037"/>
      <c r="EU179" s="1037"/>
      <c r="EV179" s="1037"/>
      <c r="EW179" s="1037"/>
      <c r="EX179" s="1037"/>
      <c r="EY179" s="1037"/>
      <c r="EZ179" s="1037"/>
      <c r="FA179" s="1037"/>
      <c r="FB179" s="1037"/>
      <c r="FC179" s="1037"/>
      <c r="FD179" s="1037"/>
      <c r="FE179" s="1037"/>
      <c r="FF179" s="1037"/>
      <c r="FG179" s="1037"/>
      <c r="FH179" s="1037"/>
      <c r="FI179" s="1037"/>
      <c r="FJ179" s="1037"/>
      <c r="FK179" s="1037"/>
      <c r="FL179" s="1037"/>
      <c r="FM179" s="1037"/>
      <c r="FN179" s="1037"/>
      <c r="FO179" s="1037"/>
      <c r="FP179" s="1037"/>
      <c r="FQ179" s="1037"/>
      <c r="FR179" s="1037"/>
      <c r="FS179" s="1037"/>
      <c r="FT179" s="1037"/>
      <c r="FU179" s="1037"/>
      <c r="FV179" s="1037"/>
      <c r="FW179" s="1037"/>
      <c r="FX179" s="1037"/>
      <c r="FY179" s="1037"/>
      <c r="FZ179" s="1037"/>
      <c r="GA179" s="1037"/>
      <c r="GB179" s="1037"/>
      <c r="GC179" s="1037"/>
      <c r="GD179" s="1037"/>
      <c r="GE179" s="1037"/>
      <c r="GF179" s="1037"/>
      <c r="GG179" s="1037"/>
      <c r="GH179" s="1037"/>
      <c r="GI179" s="1037"/>
      <c r="GJ179" s="1037"/>
      <c r="GK179" s="1037"/>
      <c r="GL179" s="1037"/>
      <c r="GM179" s="1037"/>
      <c r="GN179" s="1037"/>
      <c r="GO179" s="1037"/>
      <c r="GP179" s="1037"/>
      <c r="GQ179" s="1037"/>
      <c r="GR179" s="1037"/>
      <c r="GS179" s="1037"/>
      <c r="GT179" s="1037"/>
      <c r="GU179" s="1037"/>
      <c r="GV179" s="1037"/>
      <c r="GW179" s="1037"/>
      <c r="GX179" s="1037"/>
      <c r="GY179" s="1037"/>
      <c r="GZ179" s="1037"/>
      <c r="HA179" s="1037"/>
      <c r="HB179" s="1037"/>
      <c r="HC179" s="1037"/>
      <c r="HD179" s="1037"/>
      <c r="HE179" s="1037"/>
      <c r="HF179" s="1037"/>
      <c r="HG179" s="1037"/>
      <c r="HH179" s="1037"/>
      <c r="HI179" s="1037"/>
      <c r="HJ179" s="1037"/>
      <c r="HK179" s="1037"/>
      <c r="HL179" s="1037"/>
      <c r="HM179" s="1037"/>
      <c r="HN179" s="1037"/>
      <c r="HO179" s="1037"/>
      <c r="HP179" s="1037"/>
      <c r="HQ179" s="1037"/>
      <c r="HR179" s="1037"/>
      <c r="HS179" s="1037"/>
      <c r="HT179" s="1037"/>
      <c r="HU179" s="1037"/>
      <c r="HV179" s="1037"/>
      <c r="HW179" s="1037"/>
      <c r="HX179" s="1037"/>
      <c r="HY179" s="1037"/>
      <c r="HZ179" s="1037"/>
      <c r="IA179" s="1037"/>
      <c r="IB179" s="1037"/>
      <c r="IC179" s="1037"/>
      <c r="ID179" s="1037"/>
      <c r="IE179" s="1037"/>
      <c r="IF179" s="1037"/>
      <c r="IG179" s="1037"/>
      <c r="IH179" s="1037"/>
      <c r="II179" s="1037"/>
      <c r="IJ179" s="1037"/>
      <c r="IK179" s="1037"/>
      <c r="IL179" s="1037"/>
      <c r="IM179" s="1037"/>
      <c r="IN179" s="1037"/>
    </row>
    <row r="180" spans="1:248">
      <c r="A180" s="701" t="s">
        <v>19</v>
      </c>
      <c r="B180" s="703">
        <v>2370.5</v>
      </c>
      <c r="C180" s="1038">
        <v>23.604445064027242</v>
      </c>
      <c r="D180" s="704">
        <v>2191.6999999999998</v>
      </c>
      <c r="E180" s="1038">
        <v>21.824029633760176</v>
      </c>
      <c r="F180" s="1038">
        <v>178.80000000000018</v>
      </c>
      <c r="G180" s="1038">
        <f t="shared" si="28"/>
        <v>1.7804154302670641</v>
      </c>
      <c r="H180" s="27">
        <v>10042.6</v>
      </c>
      <c r="I180" s="1037"/>
      <c r="J180" s="1037"/>
      <c r="K180" s="1037"/>
      <c r="L180" s="1037"/>
      <c r="M180" s="1037"/>
      <c r="N180" s="1037"/>
      <c r="O180" s="1037"/>
      <c r="P180" s="1037"/>
      <c r="Q180" s="1037"/>
      <c r="R180" s="1037"/>
      <c r="S180" s="1037"/>
      <c r="T180" s="1037"/>
      <c r="U180" s="1037"/>
      <c r="V180" s="1037"/>
      <c r="W180" s="1037"/>
      <c r="X180" s="1037"/>
      <c r="Y180" s="1037"/>
      <c r="Z180" s="1037"/>
      <c r="AA180" s="1037"/>
      <c r="AB180" s="1037"/>
      <c r="AC180" s="1037"/>
      <c r="AD180" s="1037"/>
      <c r="AE180" s="1037"/>
      <c r="AF180" s="1037"/>
      <c r="AG180" s="1037"/>
      <c r="AH180" s="1037"/>
      <c r="AI180" s="1037"/>
      <c r="AJ180" s="1037"/>
      <c r="AK180" s="1037"/>
      <c r="AL180" s="1037"/>
      <c r="AM180" s="1037"/>
      <c r="AN180" s="1037"/>
      <c r="AO180" s="1037"/>
      <c r="AP180" s="1037"/>
      <c r="AQ180" s="1037"/>
      <c r="AR180" s="1037"/>
      <c r="AS180" s="1037"/>
      <c r="AT180" s="1037"/>
      <c r="AU180" s="1037"/>
      <c r="AV180" s="1037"/>
      <c r="AW180" s="1037"/>
      <c r="AX180" s="1037"/>
      <c r="AY180" s="1037"/>
      <c r="AZ180" s="1037"/>
      <c r="BA180" s="1037"/>
      <c r="BB180" s="1037"/>
      <c r="BC180" s="1037"/>
      <c r="BD180" s="1037"/>
      <c r="BE180" s="1037"/>
      <c r="BF180" s="1037"/>
      <c r="BG180" s="1037"/>
      <c r="BH180" s="1037"/>
      <c r="BI180" s="1037"/>
      <c r="BJ180" s="1037"/>
      <c r="BK180" s="1037"/>
      <c r="BL180" s="1037"/>
      <c r="BM180" s="1037"/>
      <c r="BN180" s="1037"/>
      <c r="BO180" s="1037"/>
      <c r="BP180" s="1037"/>
      <c r="BQ180" s="1037"/>
      <c r="BR180" s="1037"/>
      <c r="BS180" s="1037"/>
      <c r="BT180" s="1037"/>
      <c r="BU180" s="1037"/>
      <c r="BV180" s="1037"/>
      <c r="BW180" s="1037"/>
      <c r="BX180" s="1037"/>
      <c r="BY180" s="1037"/>
      <c r="BZ180" s="1037"/>
      <c r="CA180" s="1037"/>
      <c r="CB180" s="1037"/>
      <c r="CC180" s="1037"/>
      <c r="CD180" s="1037"/>
      <c r="CE180" s="1037"/>
      <c r="CF180" s="1037"/>
      <c r="CG180" s="1037"/>
      <c r="CH180" s="1037"/>
      <c r="CI180" s="1037"/>
      <c r="CJ180" s="1037"/>
      <c r="CK180" s="1037"/>
      <c r="CL180" s="1037"/>
      <c r="CM180" s="1037"/>
      <c r="CN180" s="1037"/>
      <c r="CO180" s="1037"/>
      <c r="CP180" s="1037"/>
      <c r="CQ180" s="1037"/>
      <c r="CR180" s="1037"/>
      <c r="CS180" s="1037"/>
      <c r="CT180" s="1037"/>
      <c r="CU180" s="1037"/>
      <c r="CV180" s="1037"/>
      <c r="CW180" s="1037"/>
      <c r="CX180" s="1037"/>
      <c r="CY180" s="1037"/>
      <c r="CZ180" s="1037"/>
      <c r="DA180" s="1037"/>
      <c r="DB180" s="1037"/>
      <c r="DC180" s="1037"/>
      <c r="DD180" s="1037"/>
      <c r="DE180" s="1037"/>
      <c r="DF180" s="1037"/>
      <c r="DG180" s="1037"/>
      <c r="DH180" s="1037"/>
      <c r="DI180" s="1037"/>
      <c r="DJ180" s="1037"/>
      <c r="DK180" s="1037"/>
      <c r="DL180" s="1037"/>
      <c r="DM180" s="1037"/>
      <c r="DN180" s="1037"/>
      <c r="DO180" s="1037"/>
      <c r="DP180" s="1037"/>
      <c r="DQ180" s="1037"/>
      <c r="DR180" s="1037"/>
      <c r="DS180" s="1037"/>
      <c r="DT180" s="1037"/>
      <c r="DU180" s="1037"/>
      <c r="DV180" s="1037"/>
      <c r="DW180" s="1037"/>
      <c r="DX180" s="1037"/>
      <c r="DY180" s="1037"/>
      <c r="DZ180" s="1037"/>
      <c r="EA180" s="1037"/>
      <c r="EB180" s="1037"/>
      <c r="EC180" s="1037"/>
      <c r="ED180" s="1037"/>
      <c r="EE180" s="1037"/>
      <c r="EF180" s="1037"/>
      <c r="EG180" s="1037"/>
      <c r="EH180" s="1037"/>
      <c r="EI180" s="1037"/>
      <c r="EJ180" s="1037"/>
      <c r="EK180" s="1037"/>
      <c r="EL180" s="1037"/>
      <c r="EM180" s="1037"/>
      <c r="EN180" s="1037"/>
      <c r="EO180" s="1037"/>
      <c r="EP180" s="1037"/>
      <c r="EQ180" s="1037"/>
      <c r="ER180" s="1037"/>
      <c r="ES180" s="1037"/>
      <c r="ET180" s="1037"/>
      <c r="EU180" s="1037"/>
      <c r="EV180" s="1037"/>
      <c r="EW180" s="1037"/>
      <c r="EX180" s="1037"/>
      <c r="EY180" s="1037"/>
      <c r="EZ180" s="1037"/>
      <c r="FA180" s="1037"/>
      <c r="FB180" s="1037"/>
      <c r="FC180" s="1037"/>
      <c r="FD180" s="1037"/>
      <c r="FE180" s="1037"/>
      <c r="FF180" s="1037"/>
      <c r="FG180" s="1037"/>
      <c r="FH180" s="1037"/>
      <c r="FI180" s="1037"/>
      <c r="FJ180" s="1037"/>
      <c r="FK180" s="1037"/>
      <c r="FL180" s="1037"/>
      <c r="FM180" s="1037"/>
      <c r="FN180" s="1037"/>
      <c r="FO180" s="1037"/>
      <c r="FP180" s="1037"/>
      <c r="FQ180" s="1037"/>
      <c r="FR180" s="1037"/>
      <c r="FS180" s="1037"/>
      <c r="FT180" s="1037"/>
      <c r="FU180" s="1037"/>
      <c r="FV180" s="1037"/>
      <c r="FW180" s="1037"/>
      <c r="FX180" s="1037"/>
      <c r="FY180" s="1037"/>
      <c r="FZ180" s="1037"/>
      <c r="GA180" s="1037"/>
      <c r="GB180" s="1037"/>
      <c r="GC180" s="1037"/>
      <c r="GD180" s="1037"/>
      <c r="GE180" s="1037"/>
      <c r="GF180" s="1037"/>
      <c r="GG180" s="1037"/>
      <c r="GH180" s="1037"/>
      <c r="GI180" s="1037"/>
      <c r="GJ180" s="1037"/>
      <c r="GK180" s="1037"/>
      <c r="GL180" s="1037"/>
      <c r="GM180" s="1037"/>
      <c r="GN180" s="1037"/>
      <c r="GO180" s="1037"/>
      <c r="GP180" s="1037"/>
      <c r="GQ180" s="1037"/>
      <c r="GR180" s="1037"/>
      <c r="GS180" s="1037"/>
      <c r="GT180" s="1037"/>
      <c r="GU180" s="1037"/>
      <c r="GV180" s="1037"/>
      <c r="GW180" s="1037"/>
      <c r="GX180" s="1037"/>
      <c r="GY180" s="1037"/>
      <c r="GZ180" s="1037"/>
      <c r="HA180" s="1037"/>
      <c r="HB180" s="1037"/>
      <c r="HC180" s="1037"/>
      <c r="HD180" s="1037"/>
      <c r="HE180" s="1037"/>
      <c r="HF180" s="1037"/>
      <c r="HG180" s="1037"/>
      <c r="HH180" s="1037"/>
      <c r="HI180" s="1037"/>
      <c r="HJ180" s="1037"/>
      <c r="HK180" s="1037"/>
      <c r="HL180" s="1037"/>
      <c r="HM180" s="1037"/>
      <c r="HN180" s="1037"/>
      <c r="HO180" s="1037"/>
      <c r="HP180" s="1037"/>
      <c r="HQ180" s="1037"/>
      <c r="HR180" s="1037"/>
      <c r="HS180" s="1037"/>
      <c r="HT180" s="1037"/>
      <c r="HU180" s="1037"/>
      <c r="HV180" s="1037"/>
      <c r="HW180" s="1037"/>
      <c r="HX180" s="1037"/>
      <c r="HY180" s="1037"/>
      <c r="HZ180" s="1037"/>
      <c r="IA180" s="1037"/>
      <c r="IB180" s="1037"/>
      <c r="IC180" s="1037"/>
      <c r="ID180" s="1037"/>
      <c r="IE180" s="1037"/>
      <c r="IF180" s="1037"/>
      <c r="IG180" s="1037"/>
      <c r="IH180" s="1037"/>
      <c r="II180" s="1037"/>
      <c r="IJ180" s="1037"/>
      <c r="IK180" s="1037"/>
      <c r="IL180" s="1037"/>
      <c r="IM180" s="1037"/>
      <c r="IN180" s="1037"/>
    </row>
    <row r="181" spans="1:248">
      <c r="A181" s="701" t="s">
        <v>20</v>
      </c>
      <c r="B181" s="703">
        <v>3591.5</v>
      </c>
      <c r="C181" s="1038">
        <v>23.582211074413809</v>
      </c>
      <c r="D181" s="704">
        <v>3912.7</v>
      </c>
      <c r="E181" s="1038">
        <v>25.691248021957097</v>
      </c>
      <c r="F181" s="1038">
        <v>-321.19999999999982</v>
      </c>
      <c r="G181" s="1038">
        <f t="shared" si="28"/>
        <v>-2.1090369475432857</v>
      </c>
      <c r="H181" s="27">
        <v>15229.7</v>
      </c>
      <c r="I181" s="1037"/>
      <c r="J181" s="1037"/>
      <c r="K181" s="1037"/>
      <c r="L181" s="1037"/>
      <c r="M181" s="1037"/>
      <c r="N181" s="1037"/>
      <c r="O181" s="1037"/>
      <c r="P181" s="1037"/>
      <c r="Q181" s="1037"/>
      <c r="R181" s="1037"/>
      <c r="S181" s="1037"/>
      <c r="T181" s="1037"/>
      <c r="U181" s="1037"/>
      <c r="V181" s="1037"/>
      <c r="W181" s="1037"/>
      <c r="X181" s="1037"/>
      <c r="Y181" s="1037"/>
      <c r="Z181" s="1037"/>
      <c r="AA181" s="1037"/>
      <c r="AB181" s="1037"/>
      <c r="AC181" s="1037"/>
      <c r="AD181" s="1037"/>
      <c r="AE181" s="1037"/>
      <c r="AF181" s="1037"/>
      <c r="AG181" s="1037"/>
      <c r="AH181" s="1037"/>
      <c r="AI181" s="1037"/>
      <c r="AJ181" s="1037"/>
      <c r="AK181" s="1037"/>
      <c r="AL181" s="1037"/>
      <c r="AM181" s="1037"/>
      <c r="AN181" s="1037"/>
      <c r="AO181" s="1037"/>
      <c r="AP181" s="1037"/>
      <c r="AQ181" s="1037"/>
      <c r="AR181" s="1037"/>
      <c r="AS181" s="1037"/>
      <c r="AT181" s="1037"/>
      <c r="AU181" s="1037"/>
      <c r="AV181" s="1037"/>
      <c r="AW181" s="1037"/>
      <c r="AX181" s="1037"/>
      <c r="AY181" s="1037"/>
      <c r="AZ181" s="1037"/>
      <c r="BA181" s="1037"/>
      <c r="BB181" s="1037"/>
      <c r="BC181" s="1037"/>
      <c r="BD181" s="1037"/>
      <c r="BE181" s="1037"/>
      <c r="BF181" s="1037"/>
      <c r="BG181" s="1037"/>
      <c r="BH181" s="1037"/>
      <c r="BI181" s="1037"/>
      <c r="BJ181" s="1037"/>
      <c r="BK181" s="1037"/>
      <c r="BL181" s="1037"/>
      <c r="BM181" s="1037"/>
      <c r="BN181" s="1037"/>
      <c r="BO181" s="1037"/>
      <c r="BP181" s="1037"/>
      <c r="BQ181" s="1037"/>
      <c r="BR181" s="1037"/>
      <c r="BS181" s="1037"/>
      <c r="BT181" s="1037"/>
      <c r="BU181" s="1037"/>
      <c r="BV181" s="1037"/>
      <c r="BW181" s="1037"/>
      <c r="BX181" s="1037"/>
      <c r="BY181" s="1037"/>
      <c r="BZ181" s="1037"/>
      <c r="CA181" s="1037"/>
      <c r="CB181" s="1037"/>
      <c r="CC181" s="1037"/>
      <c r="CD181" s="1037"/>
      <c r="CE181" s="1037"/>
      <c r="CF181" s="1037"/>
      <c r="CG181" s="1037"/>
      <c r="CH181" s="1037"/>
      <c r="CI181" s="1037"/>
      <c r="CJ181" s="1037"/>
      <c r="CK181" s="1037"/>
      <c r="CL181" s="1037"/>
      <c r="CM181" s="1037"/>
      <c r="CN181" s="1037"/>
      <c r="CO181" s="1037"/>
      <c r="CP181" s="1037"/>
      <c r="CQ181" s="1037"/>
      <c r="CR181" s="1037"/>
      <c r="CS181" s="1037"/>
      <c r="CT181" s="1037"/>
      <c r="CU181" s="1037"/>
      <c r="CV181" s="1037"/>
      <c r="CW181" s="1037"/>
      <c r="CX181" s="1037"/>
      <c r="CY181" s="1037"/>
      <c r="CZ181" s="1037"/>
      <c r="DA181" s="1037"/>
      <c r="DB181" s="1037"/>
      <c r="DC181" s="1037"/>
      <c r="DD181" s="1037"/>
      <c r="DE181" s="1037"/>
      <c r="DF181" s="1037"/>
      <c r="DG181" s="1037"/>
      <c r="DH181" s="1037"/>
      <c r="DI181" s="1037"/>
      <c r="DJ181" s="1037"/>
      <c r="DK181" s="1037"/>
      <c r="DL181" s="1037"/>
      <c r="DM181" s="1037"/>
      <c r="DN181" s="1037"/>
      <c r="DO181" s="1037"/>
      <c r="DP181" s="1037"/>
      <c r="DQ181" s="1037"/>
      <c r="DR181" s="1037"/>
      <c r="DS181" s="1037"/>
      <c r="DT181" s="1037"/>
      <c r="DU181" s="1037"/>
      <c r="DV181" s="1037"/>
      <c r="DW181" s="1037"/>
      <c r="DX181" s="1037"/>
      <c r="DY181" s="1037"/>
      <c r="DZ181" s="1037"/>
      <c r="EA181" s="1037"/>
      <c r="EB181" s="1037"/>
      <c r="EC181" s="1037"/>
      <c r="ED181" s="1037"/>
      <c r="EE181" s="1037"/>
      <c r="EF181" s="1037"/>
      <c r="EG181" s="1037"/>
      <c r="EH181" s="1037"/>
      <c r="EI181" s="1037"/>
      <c r="EJ181" s="1037"/>
      <c r="EK181" s="1037"/>
      <c r="EL181" s="1037"/>
      <c r="EM181" s="1037"/>
      <c r="EN181" s="1037"/>
      <c r="EO181" s="1037"/>
      <c r="EP181" s="1037"/>
      <c r="EQ181" s="1037"/>
      <c r="ER181" s="1037"/>
      <c r="ES181" s="1037"/>
      <c r="ET181" s="1037"/>
      <c r="EU181" s="1037"/>
      <c r="EV181" s="1037"/>
      <c r="EW181" s="1037"/>
      <c r="EX181" s="1037"/>
      <c r="EY181" s="1037"/>
      <c r="EZ181" s="1037"/>
      <c r="FA181" s="1037"/>
      <c r="FB181" s="1037"/>
      <c r="FC181" s="1037"/>
      <c r="FD181" s="1037"/>
      <c r="FE181" s="1037"/>
      <c r="FF181" s="1037"/>
      <c r="FG181" s="1037"/>
      <c r="FH181" s="1037"/>
      <c r="FI181" s="1037"/>
      <c r="FJ181" s="1037"/>
      <c r="FK181" s="1037"/>
      <c r="FL181" s="1037"/>
      <c r="FM181" s="1037"/>
      <c r="FN181" s="1037"/>
      <c r="FO181" s="1037"/>
      <c r="FP181" s="1037"/>
      <c r="FQ181" s="1037"/>
      <c r="FR181" s="1037"/>
      <c r="FS181" s="1037"/>
      <c r="FT181" s="1037"/>
      <c r="FU181" s="1037"/>
      <c r="FV181" s="1037"/>
      <c r="FW181" s="1037"/>
      <c r="FX181" s="1037"/>
      <c r="FY181" s="1037"/>
      <c r="FZ181" s="1037"/>
      <c r="GA181" s="1037"/>
      <c r="GB181" s="1037"/>
      <c r="GC181" s="1037"/>
      <c r="GD181" s="1037"/>
      <c r="GE181" s="1037"/>
      <c r="GF181" s="1037"/>
      <c r="GG181" s="1037"/>
      <c r="GH181" s="1037"/>
      <c r="GI181" s="1037"/>
      <c r="GJ181" s="1037"/>
      <c r="GK181" s="1037"/>
      <c r="GL181" s="1037"/>
      <c r="GM181" s="1037"/>
      <c r="GN181" s="1037"/>
      <c r="GO181" s="1037"/>
      <c r="GP181" s="1037"/>
      <c r="GQ181" s="1037"/>
      <c r="GR181" s="1037"/>
      <c r="GS181" s="1037"/>
      <c r="GT181" s="1037"/>
      <c r="GU181" s="1037"/>
      <c r="GV181" s="1037"/>
      <c r="GW181" s="1037"/>
      <c r="GX181" s="1037"/>
      <c r="GY181" s="1037"/>
      <c r="GZ181" s="1037"/>
      <c r="HA181" s="1037"/>
      <c r="HB181" s="1037"/>
      <c r="HC181" s="1037"/>
      <c r="HD181" s="1037"/>
      <c r="HE181" s="1037"/>
      <c r="HF181" s="1037"/>
      <c r="HG181" s="1037"/>
      <c r="HH181" s="1037"/>
      <c r="HI181" s="1037"/>
      <c r="HJ181" s="1037"/>
      <c r="HK181" s="1037"/>
      <c r="HL181" s="1037"/>
      <c r="HM181" s="1037"/>
      <c r="HN181" s="1037"/>
      <c r="HO181" s="1037"/>
      <c r="HP181" s="1037"/>
      <c r="HQ181" s="1037"/>
      <c r="HR181" s="1037"/>
      <c r="HS181" s="1037"/>
      <c r="HT181" s="1037"/>
      <c r="HU181" s="1037"/>
      <c r="HV181" s="1037"/>
      <c r="HW181" s="1037"/>
      <c r="HX181" s="1037"/>
      <c r="HY181" s="1037"/>
      <c r="HZ181" s="1037"/>
      <c r="IA181" s="1037"/>
      <c r="IB181" s="1037"/>
      <c r="IC181" s="1037"/>
      <c r="ID181" s="1037"/>
      <c r="IE181" s="1037"/>
      <c r="IF181" s="1037"/>
      <c r="IG181" s="1037"/>
      <c r="IH181" s="1037"/>
      <c r="II181" s="1037"/>
      <c r="IJ181" s="1037"/>
      <c r="IK181" s="1037"/>
      <c r="IL181" s="1037"/>
      <c r="IM181" s="1037"/>
      <c r="IN181" s="1037"/>
    </row>
    <row r="182" spans="1:248">
      <c r="A182" s="701" t="s">
        <v>21</v>
      </c>
      <c r="B182" s="703">
        <v>5021.8999999999996</v>
      </c>
      <c r="C182" s="1038">
        <v>24.935202931508755</v>
      </c>
      <c r="D182" s="704">
        <v>5390</v>
      </c>
      <c r="E182" s="1038">
        <v>26.762927139296323</v>
      </c>
      <c r="F182" s="1038">
        <v>-368.10000000000036</v>
      </c>
      <c r="G182" s="1038">
        <f t="shared" si="28"/>
        <v>-1.806067326421771</v>
      </c>
      <c r="H182" s="27">
        <v>20381.3</v>
      </c>
      <c r="I182" s="1037"/>
      <c r="J182" s="1037"/>
      <c r="K182" s="1037"/>
      <c r="L182" s="1037"/>
      <c r="M182" s="1037"/>
      <c r="N182" s="1037"/>
      <c r="O182" s="1037"/>
      <c r="P182" s="1037"/>
      <c r="Q182" s="1037"/>
      <c r="R182" s="1037"/>
      <c r="S182" s="1037"/>
      <c r="T182" s="1037"/>
      <c r="U182" s="1037"/>
      <c r="V182" s="1037"/>
      <c r="W182" s="1037"/>
      <c r="X182" s="1037"/>
      <c r="Y182" s="1037"/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1037"/>
      <c r="AQ182" s="1037"/>
      <c r="AR182" s="1037"/>
      <c r="AS182" s="1037"/>
      <c r="AT182" s="1037"/>
      <c r="AU182" s="1037"/>
      <c r="AV182" s="1037"/>
      <c r="AW182" s="1037"/>
      <c r="AX182" s="1037"/>
      <c r="AY182" s="1037"/>
      <c r="AZ182" s="1037"/>
      <c r="BA182" s="1037"/>
      <c r="BB182" s="1037"/>
      <c r="BC182" s="1037"/>
      <c r="BD182" s="1037"/>
      <c r="BE182" s="1037"/>
      <c r="BF182" s="1037"/>
      <c r="BG182" s="1037"/>
      <c r="BH182" s="1037"/>
      <c r="BI182" s="1037"/>
      <c r="BJ182" s="1037"/>
      <c r="BK182" s="1037"/>
      <c r="BL182" s="1037"/>
      <c r="BM182" s="1037"/>
      <c r="BN182" s="1037"/>
      <c r="BO182" s="1037"/>
      <c r="BP182" s="1037"/>
      <c r="BQ182" s="1037"/>
      <c r="BR182" s="1037"/>
      <c r="BS182" s="1037"/>
      <c r="BT182" s="1037"/>
      <c r="BU182" s="1037"/>
      <c r="BV182" s="1037"/>
      <c r="BW182" s="1037"/>
      <c r="BX182" s="1037"/>
      <c r="BY182" s="1037"/>
      <c r="BZ182" s="1037"/>
      <c r="CA182" s="1037"/>
      <c r="CB182" s="1037"/>
      <c r="CC182" s="1037"/>
      <c r="CD182" s="1037"/>
      <c r="CE182" s="1037"/>
      <c r="CF182" s="1037"/>
      <c r="CG182" s="1037"/>
      <c r="CH182" s="1037"/>
      <c r="CI182" s="1037"/>
      <c r="CJ182" s="1037"/>
      <c r="CK182" s="1037"/>
      <c r="CL182" s="1037"/>
      <c r="CM182" s="1037"/>
      <c r="CN182" s="1037"/>
      <c r="CO182" s="1037"/>
      <c r="CP182" s="1037"/>
      <c r="CQ182" s="1037"/>
      <c r="CR182" s="1037"/>
      <c r="CS182" s="1037"/>
      <c r="CT182" s="1037"/>
      <c r="CU182" s="1037"/>
      <c r="CV182" s="1037"/>
      <c r="CW182" s="1037"/>
      <c r="CX182" s="1037"/>
      <c r="CY182" s="1037"/>
      <c r="CZ182" s="1037"/>
      <c r="DA182" s="1037"/>
      <c r="DB182" s="1037"/>
      <c r="DC182" s="1037"/>
      <c r="DD182" s="1037"/>
      <c r="DE182" s="1037"/>
      <c r="DF182" s="1037"/>
      <c r="DG182" s="1037"/>
      <c r="DH182" s="1037"/>
      <c r="DI182" s="1037"/>
      <c r="DJ182" s="1037"/>
      <c r="DK182" s="1037"/>
      <c r="DL182" s="1037"/>
      <c r="DM182" s="1037"/>
      <c r="DN182" s="1037"/>
      <c r="DO182" s="1037"/>
      <c r="DP182" s="1037"/>
      <c r="DQ182" s="1037"/>
      <c r="DR182" s="1037"/>
      <c r="DS182" s="1037"/>
      <c r="DT182" s="1037"/>
      <c r="DU182" s="1037"/>
      <c r="DV182" s="1037"/>
      <c r="DW182" s="1037"/>
      <c r="DX182" s="1037"/>
      <c r="DY182" s="1037"/>
      <c r="DZ182" s="1037"/>
      <c r="EA182" s="1037"/>
      <c r="EB182" s="1037"/>
      <c r="EC182" s="1037"/>
      <c r="ED182" s="1037"/>
      <c r="EE182" s="1037"/>
      <c r="EF182" s="1037"/>
      <c r="EG182" s="1037"/>
      <c r="EH182" s="1037"/>
      <c r="EI182" s="1037"/>
      <c r="EJ182" s="1037"/>
      <c r="EK182" s="1037"/>
      <c r="EL182" s="1037"/>
      <c r="EM182" s="1037"/>
      <c r="EN182" s="1037"/>
      <c r="EO182" s="1037"/>
      <c r="EP182" s="1037"/>
      <c r="EQ182" s="1037"/>
      <c r="ER182" s="1037"/>
      <c r="ES182" s="1037"/>
      <c r="ET182" s="1037"/>
      <c r="EU182" s="1037"/>
      <c r="EV182" s="1037"/>
      <c r="EW182" s="1037"/>
      <c r="EX182" s="1037"/>
      <c r="EY182" s="1037"/>
      <c r="EZ182" s="1037"/>
      <c r="FA182" s="1037"/>
      <c r="FB182" s="1037"/>
      <c r="FC182" s="1037"/>
      <c r="FD182" s="1037"/>
      <c r="FE182" s="1037"/>
      <c r="FF182" s="1037"/>
      <c r="FG182" s="1037"/>
      <c r="FH182" s="1037"/>
      <c r="FI182" s="1037"/>
      <c r="FJ182" s="1037"/>
      <c r="FK182" s="1037"/>
      <c r="FL182" s="1037"/>
      <c r="FM182" s="1037"/>
      <c r="FN182" s="1037"/>
      <c r="FO182" s="1037"/>
      <c r="FP182" s="1037"/>
      <c r="FQ182" s="1037"/>
      <c r="FR182" s="1037"/>
      <c r="FS182" s="1037"/>
      <c r="FT182" s="1037"/>
      <c r="FU182" s="1037"/>
      <c r="FV182" s="1037"/>
      <c r="FW182" s="1037"/>
      <c r="FX182" s="1037"/>
      <c r="FY182" s="1037"/>
      <c r="FZ182" s="1037"/>
      <c r="GA182" s="1037"/>
      <c r="GB182" s="1037"/>
      <c r="GC182" s="1037"/>
      <c r="GD182" s="1037"/>
      <c r="GE182" s="1037"/>
      <c r="GF182" s="1037"/>
      <c r="GG182" s="1037"/>
      <c r="GH182" s="1037"/>
      <c r="GI182" s="1037"/>
      <c r="GJ182" s="1037"/>
      <c r="GK182" s="1037"/>
      <c r="GL182" s="1037"/>
      <c r="GM182" s="1037"/>
      <c r="GN182" s="1037"/>
      <c r="GO182" s="1037"/>
      <c r="GP182" s="1037"/>
      <c r="GQ182" s="1037"/>
      <c r="GR182" s="1037"/>
      <c r="GS182" s="1037"/>
      <c r="GT182" s="1037"/>
      <c r="GU182" s="1037"/>
      <c r="GV182" s="1037"/>
      <c r="GW182" s="1037"/>
      <c r="GX182" s="1037"/>
      <c r="GY182" s="1037"/>
      <c r="GZ182" s="1037"/>
      <c r="HA182" s="1037"/>
      <c r="HB182" s="1037"/>
      <c r="HC182" s="1037"/>
      <c r="HD182" s="1037"/>
      <c r="HE182" s="1037"/>
      <c r="HF182" s="1037"/>
      <c r="HG182" s="1037"/>
      <c r="HH182" s="1037"/>
      <c r="HI182" s="1037"/>
      <c r="HJ182" s="1037"/>
      <c r="HK182" s="1037"/>
      <c r="HL182" s="1037"/>
      <c r="HM182" s="1037"/>
      <c r="HN182" s="1037"/>
      <c r="HO182" s="1037"/>
      <c r="HP182" s="1037"/>
      <c r="HQ182" s="1037"/>
      <c r="HR182" s="1037"/>
      <c r="HS182" s="1037"/>
      <c r="HT182" s="1037"/>
      <c r="HU182" s="1037"/>
      <c r="HV182" s="1037"/>
      <c r="HW182" s="1037"/>
      <c r="HX182" s="1037"/>
      <c r="HY182" s="1037"/>
      <c r="HZ182" s="1037"/>
      <c r="IA182" s="1037"/>
      <c r="IB182" s="1037"/>
      <c r="IC182" s="1037"/>
      <c r="ID182" s="1037"/>
      <c r="IE182" s="1037"/>
      <c r="IF182" s="1037"/>
      <c r="IG182" s="1037"/>
      <c r="IH182" s="1037"/>
      <c r="II182" s="1037"/>
      <c r="IJ182" s="1037"/>
      <c r="IK182" s="1037"/>
      <c r="IL182" s="1037"/>
      <c r="IM182" s="1037"/>
      <c r="IN182" s="1037"/>
    </row>
    <row r="183" spans="1:248">
      <c r="A183" s="701" t="s">
        <v>22</v>
      </c>
      <c r="B183" s="703">
        <v>6335.7</v>
      </c>
      <c r="C183" s="1038">
        <v>25.004045195688807</v>
      </c>
      <c r="D183" s="704">
        <v>6724.1</v>
      </c>
      <c r="E183" s="1038">
        <v>26.536878371818602</v>
      </c>
      <c r="F183" s="1038">
        <v>-388.40000000000055</v>
      </c>
      <c r="G183" s="1038">
        <f t="shared" si="28"/>
        <v>-1.5328331761297955</v>
      </c>
      <c r="H183" s="27">
        <v>25338.7</v>
      </c>
      <c r="I183" s="1037"/>
      <c r="J183" s="1037"/>
      <c r="K183" s="1037"/>
      <c r="L183" s="1037"/>
      <c r="M183" s="1037"/>
      <c r="N183" s="1037"/>
      <c r="O183" s="1037"/>
      <c r="P183" s="1037"/>
      <c r="Q183" s="1037"/>
      <c r="R183" s="1037"/>
      <c r="S183" s="1037"/>
      <c r="T183" s="1037"/>
      <c r="U183" s="1037"/>
      <c r="V183" s="1037"/>
      <c r="W183" s="1037"/>
      <c r="X183" s="1037"/>
      <c r="Y183" s="1037"/>
      <c r="Z183" s="1037"/>
      <c r="AA183" s="1037"/>
      <c r="AB183" s="1037"/>
      <c r="AC183" s="1037"/>
      <c r="AD183" s="1037"/>
      <c r="AE183" s="1037"/>
      <c r="AF183" s="1037"/>
      <c r="AG183" s="1037"/>
      <c r="AH183" s="1037"/>
      <c r="AI183" s="1037"/>
      <c r="AJ183" s="1037"/>
      <c r="AK183" s="1037"/>
      <c r="AL183" s="1037"/>
      <c r="AM183" s="1037"/>
      <c r="AN183" s="1037"/>
      <c r="AO183" s="1037"/>
      <c r="AP183" s="1037"/>
      <c r="AQ183" s="1037"/>
      <c r="AR183" s="1037"/>
      <c r="AS183" s="1037"/>
      <c r="AT183" s="1037"/>
      <c r="AU183" s="1037"/>
      <c r="AV183" s="1037"/>
      <c r="AW183" s="1037"/>
      <c r="AX183" s="1037"/>
      <c r="AY183" s="1037"/>
      <c r="AZ183" s="1037"/>
      <c r="BA183" s="1037"/>
      <c r="BB183" s="1037"/>
      <c r="BC183" s="1037"/>
      <c r="BD183" s="1037"/>
      <c r="BE183" s="1037"/>
      <c r="BF183" s="1037"/>
      <c r="BG183" s="1037"/>
      <c r="BH183" s="1037"/>
      <c r="BI183" s="1037"/>
      <c r="BJ183" s="1037"/>
      <c r="BK183" s="1037"/>
      <c r="BL183" s="1037"/>
      <c r="BM183" s="1037"/>
      <c r="BN183" s="1037"/>
      <c r="BO183" s="1037"/>
      <c r="BP183" s="1037"/>
      <c r="BQ183" s="1037"/>
      <c r="BR183" s="1037"/>
      <c r="BS183" s="1037"/>
      <c r="BT183" s="1037"/>
      <c r="BU183" s="1037"/>
      <c r="BV183" s="1037"/>
      <c r="BW183" s="1037"/>
      <c r="BX183" s="1037"/>
      <c r="BY183" s="1037"/>
      <c r="BZ183" s="1037"/>
      <c r="CA183" s="1037"/>
      <c r="CB183" s="1037"/>
      <c r="CC183" s="1037"/>
      <c r="CD183" s="1037"/>
      <c r="CE183" s="1037"/>
      <c r="CF183" s="1037"/>
      <c r="CG183" s="1037"/>
      <c r="CH183" s="1037"/>
      <c r="CI183" s="1037"/>
      <c r="CJ183" s="1037"/>
      <c r="CK183" s="1037"/>
      <c r="CL183" s="1037"/>
      <c r="CM183" s="1037"/>
      <c r="CN183" s="1037"/>
      <c r="CO183" s="1037"/>
      <c r="CP183" s="1037"/>
      <c r="CQ183" s="1037"/>
      <c r="CR183" s="1037"/>
      <c r="CS183" s="1037"/>
      <c r="CT183" s="1037"/>
      <c r="CU183" s="1037"/>
      <c r="CV183" s="1037"/>
      <c r="CW183" s="1037"/>
      <c r="CX183" s="1037"/>
      <c r="CY183" s="1037"/>
      <c r="CZ183" s="1037"/>
      <c r="DA183" s="1037"/>
      <c r="DB183" s="1037"/>
      <c r="DC183" s="1037"/>
      <c r="DD183" s="1037"/>
      <c r="DE183" s="1037"/>
      <c r="DF183" s="1037"/>
      <c r="DG183" s="1037"/>
      <c r="DH183" s="1037"/>
      <c r="DI183" s="1037"/>
      <c r="DJ183" s="1037"/>
      <c r="DK183" s="1037"/>
      <c r="DL183" s="1037"/>
      <c r="DM183" s="1037"/>
      <c r="DN183" s="1037"/>
      <c r="DO183" s="1037"/>
      <c r="DP183" s="1037"/>
      <c r="DQ183" s="1037"/>
      <c r="DR183" s="1037"/>
      <c r="DS183" s="1037"/>
      <c r="DT183" s="1037"/>
      <c r="DU183" s="1037"/>
      <c r="DV183" s="1037"/>
      <c r="DW183" s="1037"/>
      <c r="DX183" s="1037"/>
      <c r="DY183" s="1037"/>
      <c r="DZ183" s="1037"/>
      <c r="EA183" s="1037"/>
      <c r="EB183" s="1037"/>
      <c r="EC183" s="1037"/>
      <c r="ED183" s="1037"/>
      <c r="EE183" s="1037"/>
      <c r="EF183" s="1037"/>
      <c r="EG183" s="1037"/>
      <c r="EH183" s="1037"/>
      <c r="EI183" s="1037"/>
      <c r="EJ183" s="1037"/>
      <c r="EK183" s="1037"/>
      <c r="EL183" s="1037"/>
      <c r="EM183" s="1037"/>
      <c r="EN183" s="1037"/>
      <c r="EO183" s="1037"/>
      <c r="EP183" s="1037"/>
      <c r="EQ183" s="1037"/>
      <c r="ER183" s="1037"/>
      <c r="ES183" s="1037"/>
      <c r="ET183" s="1037"/>
      <c r="EU183" s="1037"/>
      <c r="EV183" s="1037"/>
      <c r="EW183" s="1037"/>
      <c r="EX183" s="1037"/>
      <c r="EY183" s="1037"/>
      <c r="EZ183" s="1037"/>
      <c r="FA183" s="1037"/>
      <c r="FB183" s="1037"/>
      <c r="FC183" s="1037"/>
      <c r="FD183" s="1037"/>
      <c r="FE183" s="1037"/>
      <c r="FF183" s="1037"/>
      <c r="FG183" s="1037"/>
      <c r="FH183" s="1037"/>
      <c r="FI183" s="1037"/>
      <c r="FJ183" s="1037"/>
      <c r="FK183" s="1037"/>
      <c r="FL183" s="1037"/>
      <c r="FM183" s="1037"/>
      <c r="FN183" s="1037"/>
      <c r="FO183" s="1037"/>
      <c r="FP183" s="1037"/>
      <c r="FQ183" s="1037"/>
      <c r="FR183" s="1037"/>
      <c r="FS183" s="1037"/>
      <c r="FT183" s="1037"/>
      <c r="FU183" s="1037"/>
      <c r="FV183" s="1037"/>
      <c r="FW183" s="1037"/>
      <c r="FX183" s="1037"/>
      <c r="FY183" s="1037"/>
      <c r="FZ183" s="1037"/>
      <c r="GA183" s="1037"/>
      <c r="GB183" s="1037"/>
      <c r="GC183" s="1037"/>
      <c r="GD183" s="1037"/>
      <c r="GE183" s="1037"/>
      <c r="GF183" s="1037"/>
      <c r="GG183" s="1037"/>
      <c r="GH183" s="1037"/>
      <c r="GI183" s="1037"/>
      <c r="GJ183" s="1037"/>
      <c r="GK183" s="1037"/>
      <c r="GL183" s="1037"/>
      <c r="GM183" s="1037"/>
      <c r="GN183" s="1037"/>
      <c r="GO183" s="1037"/>
      <c r="GP183" s="1037"/>
      <c r="GQ183" s="1037"/>
      <c r="GR183" s="1037"/>
      <c r="GS183" s="1037"/>
      <c r="GT183" s="1037"/>
      <c r="GU183" s="1037"/>
      <c r="GV183" s="1037"/>
      <c r="GW183" s="1037"/>
      <c r="GX183" s="1037"/>
      <c r="GY183" s="1037"/>
      <c r="GZ183" s="1037"/>
      <c r="HA183" s="1037"/>
      <c r="HB183" s="1037"/>
      <c r="HC183" s="1037"/>
      <c r="HD183" s="1037"/>
      <c r="HE183" s="1037"/>
      <c r="HF183" s="1037"/>
      <c r="HG183" s="1037"/>
      <c r="HH183" s="1037"/>
      <c r="HI183" s="1037"/>
      <c r="HJ183" s="1037"/>
      <c r="HK183" s="1037"/>
      <c r="HL183" s="1037"/>
      <c r="HM183" s="1037"/>
      <c r="HN183" s="1037"/>
      <c r="HO183" s="1037"/>
      <c r="HP183" s="1037"/>
      <c r="HQ183" s="1037"/>
      <c r="HR183" s="1037"/>
      <c r="HS183" s="1037"/>
      <c r="HT183" s="1037"/>
      <c r="HU183" s="1037"/>
      <c r="HV183" s="1037"/>
      <c r="HW183" s="1037"/>
      <c r="HX183" s="1037"/>
      <c r="HY183" s="1037"/>
      <c r="HZ183" s="1037"/>
      <c r="IA183" s="1037"/>
      <c r="IB183" s="1037"/>
      <c r="IC183" s="1037"/>
      <c r="ID183" s="1037"/>
      <c r="IE183" s="1037"/>
      <c r="IF183" s="1037"/>
      <c r="IG183" s="1037"/>
      <c r="IH183" s="1037"/>
      <c r="II183" s="1037"/>
      <c r="IJ183" s="1037"/>
      <c r="IK183" s="1037"/>
      <c r="IL183" s="1037"/>
      <c r="IM183" s="1037"/>
      <c r="IN183" s="1037"/>
    </row>
    <row r="184" spans="1:248">
      <c r="A184" s="701" t="s">
        <v>23</v>
      </c>
      <c r="B184" s="703">
        <v>7722.8</v>
      </c>
      <c r="C184" s="1038">
        <v>24.665129381104165</v>
      </c>
      <c r="D184" s="704">
        <v>8193.9</v>
      </c>
      <c r="E184" s="1038">
        <v>26.169731656371965</v>
      </c>
      <c r="F184" s="1038">
        <v>-471.09999999999945</v>
      </c>
      <c r="G184" s="1038">
        <f t="shared" si="28"/>
        <v>-1.504602275267799</v>
      </c>
      <c r="H184" s="27">
        <v>31310.6</v>
      </c>
      <c r="I184" s="1037"/>
      <c r="J184" s="1037"/>
      <c r="K184" s="1037"/>
      <c r="L184" s="1037"/>
      <c r="M184" s="1037"/>
      <c r="N184" s="1037"/>
      <c r="O184" s="1037"/>
      <c r="P184" s="1037"/>
      <c r="Q184" s="1037"/>
      <c r="R184" s="1037"/>
      <c r="S184" s="1037"/>
      <c r="T184" s="1037"/>
      <c r="U184" s="1037"/>
      <c r="V184" s="1037"/>
      <c r="W184" s="1037"/>
      <c r="X184" s="1037"/>
      <c r="Y184" s="1037"/>
      <c r="Z184" s="1037"/>
      <c r="AA184" s="1037"/>
      <c r="AB184" s="1037"/>
      <c r="AC184" s="1037"/>
      <c r="AD184" s="1037"/>
      <c r="AE184" s="1037"/>
      <c r="AF184" s="1037"/>
      <c r="AG184" s="1037"/>
      <c r="AH184" s="1037"/>
      <c r="AI184" s="1037"/>
      <c r="AJ184" s="1037"/>
      <c r="AK184" s="1037"/>
      <c r="AL184" s="1037"/>
      <c r="AM184" s="1037"/>
      <c r="AN184" s="1037"/>
      <c r="AO184" s="1037"/>
      <c r="AP184" s="1037"/>
      <c r="AQ184" s="1037"/>
      <c r="AR184" s="1037"/>
      <c r="AS184" s="1037"/>
      <c r="AT184" s="1037"/>
      <c r="AU184" s="1037"/>
      <c r="AV184" s="1037"/>
      <c r="AW184" s="1037"/>
      <c r="AX184" s="1037"/>
      <c r="AY184" s="1037"/>
      <c r="AZ184" s="1037"/>
      <c r="BA184" s="1037"/>
      <c r="BB184" s="1037"/>
      <c r="BC184" s="1037"/>
      <c r="BD184" s="1037"/>
      <c r="BE184" s="1037"/>
      <c r="BF184" s="1037"/>
      <c r="BG184" s="1037"/>
      <c r="BH184" s="1037"/>
      <c r="BI184" s="1037"/>
      <c r="BJ184" s="1037"/>
      <c r="BK184" s="1037"/>
      <c r="BL184" s="1037"/>
      <c r="BM184" s="1037"/>
      <c r="BN184" s="1037"/>
      <c r="BO184" s="1037"/>
      <c r="BP184" s="1037"/>
      <c r="BQ184" s="1037"/>
      <c r="BR184" s="1037"/>
      <c r="BS184" s="1037"/>
      <c r="BT184" s="1037"/>
      <c r="BU184" s="1037"/>
      <c r="BV184" s="1037"/>
      <c r="BW184" s="1037"/>
      <c r="BX184" s="1037"/>
      <c r="BY184" s="1037"/>
      <c r="BZ184" s="1037"/>
      <c r="CA184" s="1037"/>
      <c r="CB184" s="1037"/>
      <c r="CC184" s="1037"/>
      <c r="CD184" s="1037"/>
      <c r="CE184" s="1037"/>
      <c r="CF184" s="1037"/>
      <c r="CG184" s="1037"/>
      <c r="CH184" s="1037"/>
      <c r="CI184" s="1037"/>
      <c r="CJ184" s="1037"/>
      <c r="CK184" s="1037"/>
      <c r="CL184" s="1037"/>
      <c r="CM184" s="1037"/>
      <c r="CN184" s="1037"/>
      <c r="CO184" s="1037"/>
      <c r="CP184" s="1037"/>
      <c r="CQ184" s="1037"/>
      <c r="CR184" s="1037"/>
      <c r="CS184" s="1037"/>
      <c r="CT184" s="1037"/>
      <c r="CU184" s="1037"/>
      <c r="CV184" s="1037"/>
      <c r="CW184" s="1037"/>
      <c r="CX184" s="1037"/>
      <c r="CY184" s="1037"/>
      <c r="CZ184" s="1037"/>
      <c r="DA184" s="1037"/>
      <c r="DB184" s="1037"/>
      <c r="DC184" s="1037"/>
      <c r="DD184" s="1037"/>
      <c r="DE184" s="1037"/>
      <c r="DF184" s="1037"/>
      <c r="DG184" s="1037"/>
      <c r="DH184" s="1037"/>
      <c r="DI184" s="1037"/>
      <c r="DJ184" s="1037"/>
      <c r="DK184" s="1037"/>
      <c r="DL184" s="1037"/>
      <c r="DM184" s="1037"/>
      <c r="DN184" s="1037"/>
      <c r="DO184" s="1037"/>
      <c r="DP184" s="1037"/>
      <c r="DQ184" s="1037"/>
      <c r="DR184" s="1037"/>
      <c r="DS184" s="1037"/>
      <c r="DT184" s="1037"/>
      <c r="DU184" s="1037"/>
      <c r="DV184" s="1037"/>
      <c r="DW184" s="1037"/>
      <c r="DX184" s="1037"/>
      <c r="DY184" s="1037"/>
      <c r="DZ184" s="1037"/>
      <c r="EA184" s="1037"/>
      <c r="EB184" s="1037"/>
      <c r="EC184" s="1037"/>
      <c r="ED184" s="1037"/>
      <c r="EE184" s="1037"/>
      <c r="EF184" s="1037"/>
      <c r="EG184" s="1037"/>
      <c r="EH184" s="1037"/>
      <c r="EI184" s="1037"/>
      <c r="EJ184" s="1037"/>
      <c r="EK184" s="1037"/>
      <c r="EL184" s="1037"/>
      <c r="EM184" s="1037"/>
      <c r="EN184" s="1037"/>
      <c r="EO184" s="1037"/>
      <c r="EP184" s="1037"/>
      <c r="EQ184" s="1037"/>
      <c r="ER184" s="1037"/>
      <c r="ES184" s="1037"/>
      <c r="ET184" s="1037"/>
      <c r="EU184" s="1037"/>
      <c r="EV184" s="1037"/>
      <c r="EW184" s="1037"/>
      <c r="EX184" s="1037"/>
      <c r="EY184" s="1037"/>
      <c r="EZ184" s="1037"/>
      <c r="FA184" s="1037"/>
      <c r="FB184" s="1037"/>
      <c r="FC184" s="1037"/>
      <c r="FD184" s="1037"/>
      <c r="FE184" s="1037"/>
      <c r="FF184" s="1037"/>
      <c r="FG184" s="1037"/>
      <c r="FH184" s="1037"/>
      <c r="FI184" s="1037"/>
      <c r="FJ184" s="1037"/>
      <c r="FK184" s="1037"/>
      <c r="FL184" s="1037"/>
      <c r="FM184" s="1037"/>
      <c r="FN184" s="1037"/>
      <c r="FO184" s="1037"/>
      <c r="FP184" s="1037"/>
      <c r="FQ184" s="1037"/>
      <c r="FR184" s="1037"/>
      <c r="FS184" s="1037"/>
      <c r="FT184" s="1037"/>
      <c r="FU184" s="1037"/>
      <c r="FV184" s="1037"/>
      <c r="FW184" s="1037"/>
      <c r="FX184" s="1037"/>
      <c r="FY184" s="1037"/>
      <c r="FZ184" s="1037"/>
      <c r="GA184" s="1037"/>
      <c r="GB184" s="1037"/>
      <c r="GC184" s="1037"/>
      <c r="GD184" s="1037"/>
      <c r="GE184" s="1037"/>
      <c r="GF184" s="1037"/>
      <c r="GG184" s="1037"/>
      <c r="GH184" s="1037"/>
      <c r="GI184" s="1037"/>
      <c r="GJ184" s="1037"/>
      <c r="GK184" s="1037"/>
      <c r="GL184" s="1037"/>
      <c r="GM184" s="1037"/>
      <c r="GN184" s="1037"/>
      <c r="GO184" s="1037"/>
      <c r="GP184" s="1037"/>
      <c r="GQ184" s="1037"/>
      <c r="GR184" s="1037"/>
      <c r="GS184" s="1037"/>
      <c r="GT184" s="1037"/>
      <c r="GU184" s="1037"/>
      <c r="GV184" s="1037"/>
      <c r="GW184" s="1037"/>
      <c r="GX184" s="1037"/>
      <c r="GY184" s="1037"/>
      <c r="GZ184" s="1037"/>
      <c r="HA184" s="1037"/>
      <c r="HB184" s="1037"/>
      <c r="HC184" s="1037"/>
      <c r="HD184" s="1037"/>
      <c r="HE184" s="1037"/>
      <c r="HF184" s="1037"/>
      <c r="HG184" s="1037"/>
      <c r="HH184" s="1037"/>
      <c r="HI184" s="1037"/>
      <c r="HJ184" s="1037"/>
      <c r="HK184" s="1037"/>
      <c r="HL184" s="1037"/>
      <c r="HM184" s="1037"/>
      <c r="HN184" s="1037"/>
      <c r="HO184" s="1037"/>
      <c r="HP184" s="1037"/>
      <c r="HQ184" s="1037"/>
      <c r="HR184" s="1037"/>
      <c r="HS184" s="1037"/>
      <c r="HT184" s="1037"/>
      <c r="HU184" s="1037"/>
      <c r="HV184" s="1037"/>
      <c r="HW184" s="1037"/>
      <c r="HX184" s="1037"/>
      <c r="HY184" s="1037"/>
      <c r="HZ184" s="1037"/>
      <c r="IA184" s="1037"/>
      <c r="IB184" s="1037"/>
      <c r="IC184" s="1037"/>
      <c r="ID184" s="1037"/>
      <c r="IE184" s="1037"/>
      <c r="IF184" s="1037"/>
      <c r="IG184" s="1037"/>
      <c r="IH184" s="1037"/>
      <c r="II184" s="1037"/>
      <c r="IJ184" s="1037"/>
      <c r="IK184" s="1037"/>
      <c r="IL184" s="1037"/>
      <c r="IM184" s="1037"/>
      <c r="IN184" s="1037"/>
    </row>
    <row r="185" spans="1:248">
      <c r="A185" s="701" t="s">
        <v>24</v>
      </c>
      <c r="B185" s="703">
        <v>9410.7000000000007</v>
      </c>
      <c r="C185" s="1038">
        <v>24.99827336141999</v>
      </c>
      <c r="D185" s="704">
        <v>9765.6</v>
      </c>
      <c r="E185" s="1038">
        <v>25.941018026106775</v>
      </c>
      <c r="F185" s="1038">
        <v>-354.89999999999964</v>
      </c>
      <c r="G185" s="1038">
        <f t="shared" si="28"/>
        <v>-0.94274466468678675</v>
      </c>
      <c r="H185" s="27">
        <v>37645.4</v>
      </c>
      <c r="I185" s="1037"/>
      <c r="J185" s="1037"/>
      <c r="K185" s="1037"/>
      <c r="L185" s="1037"/>
      <c r="M185" s="1037"/>
      <c r="N185" s="1037"/>
      <c r="O185" s="1037"/>
      <c r="P185" s="1037"/>
      <c r="Q185" s="1037"/>
      <c r="R185" s="1037"/>
      <c r="S185" s="1037"/>
      <c r="T185" s="1037"/>
      <c r="U185" s="1037"/>
      <c r="V185" s="1037"/>
      <c r="W185" s="1037"/>
      <c r="X185" s="1037"/>
      <c r="Y185" s="1037"/>
      <c r="Z185" s="1037"/>
      <c r="AA185" s="1037"/>
      <c r="AB185" s="1037"/>
      <c r="AC185" s="1037"/>
      <c r="AD185" s="1037"/>
      <c r="AE185" s="1037"/>
      <c r="AF185" s="1037"/>
      <c r="AG185" s="1037"/>
      <c r="AH185" s="1037"/>
      <c r="AI185" s="1037"/>
      <c r="AJ185" s="1037"/>
      <c r="AK185" s="1037"/>
      <c r="AL185" s="1037"/>
      <c r="AM185" s="1037"/>
      <c r="AN185" s="1037"/>
      <c r="AO185" s="1037"/>
      <c r="AP185" s="1037"/>
      <c r="AQ185" s="1037"/>
      <c r="AR185" s="1037"/>
      <c r="AS185" s="1037"/>
      <c r="AT185" s="1037"/>
      <c r="AU185" s="1037"/>
      <c r="AV185" s="1037"/>
      <c r="AW185" s="1037"/>
      <c r="AX185" s="1037"/>
      <c r="AY185" s="1037"/>
      <c r="AZ185" s="1037"/>
      <c r="BA185" s="1037"/>
      <c r="BB185" s="1037"/>
      <c r="BC185" s="1037"/>
      <c r="BD185" s="1037"/>
      <c r="BE185" s="1037"/>
      <c r="BF185" s="1037"/>
      <c r="BG185" s="1037"/>
      <c r="BH185" s="1037"/>
      <c r="BI185" s="1037"/>
      <c r="BJ185" s="1037"/>
      <c r="BK185" s="1037"/>
      <c r="BL185" s="1037"/>
      <c r="BM185" s="1037"/>
      <c r="BN185" s="1037"/>
      <c r="BO185" s="1037"/>
      <c r="BP185" s="1037"/>
      <c r="BQ185" s="1037"/>
      <c r="BR185" s="1037"/>
      <c r="BS185" s="1037"/>
      <c r="BT185" s="1037"/>
      <c r="BU185" s="1037"/>
      <c r="BV185" s="1037"/>
      <c r="BW185" s="1037"/>
      <c r="BX185" s="1037"/>
      <c r="BY185" s="1037"/>
      <c r="BZ185" s="1037"/>
      <c r="CA185" s="1037"/>
      <c r="CB185" s="1037"/>
      <c r="CC185" s="1037"/>
      <c r="CD185" s="1037"/>
      <c r="CE185" s="1037"/>
      <c r="CF185" s="1037"/>
      <c r="CG185" s="1037"/>
      <c r="CH185" s="1037"/>
      <c r="CI185" s="1037"/>
      <c r="CJ185" s="1037"/>
      <c r="CK185" s="1037"/>
      <c r="CL185" s="1037"/>
      <c r="CM185" s="1037"/>
      <c r="CN185" s="1037"/>
      <c r="CO185" s="1037"/>
      <c r="CP185" s="1037"/>
      <c r="CQ185" s="1037"/>
      <c r="CR185" s="1037"/>
      <c r="CS185" s="1037"/>
      <c r="CT185" s="1037"/>
      <c r="CU185" s="1037"/>
      <c r="CV185" s="1037"/>
      <c r="CW185" s="1037"/>
      <c r="CX185" s="1037"/>
      <c r="CY185" s="1037"/>
      <c r="CZ185" s="1037"/>
      <c r="DA185" s="1037"/>
      <c r="DB185" s="1037"/>
      <c r="DC185" s="1037"/>
      <c r="DD185" s="1037"/>
      <c r="DE185" s="1037"/>
      <c r="DF185" s="1037"/>
      <c r="DG185" s="1037"/>
      <c r="DH185" s="1037"/>
      <c r="DI185" s="1037"/>
      <c r="DJ185" s="1037"/>
      <c r="DK185" s="1037"/>
      <c r="DL185" s="1037"/>
      <c r="DM185" s="1037"/>
      <c r="DN185" s="1037"/>
      <c r="DO185" s="1037"/>
      <c r="DP185" s="1037"/>
      <c r="DQ185" s="1037"/>
      <c r="DR185" s="1037"/>
      <c r="DS185" s="1037"/>
      <c r="DT185" s="1037"/>
      <c r="DU185" s="1037"/>
      <c r="DV185" s="1037"/>
      <c r="DW185" s="1037"/>
      <c r="DX185" s="1037"/>
      <c r="DY185" s="1037"/>
      <c r="DZ185" s="1037"/>
      <c r="EA185" s="1037"/>
      <c r="EB185" s="1037"/>
      <c r="EC185" s="1037"/>
      <c r="ED185" s="1037"/>
      <c r="EE185" s="1037"/>
      <c r="EF185" s="1037"/>
      <c r="EG185" s="1037"/>
      <c r="EH185" s="1037"/>
      <c r="EI185" s="1037"/>
      <c r="EJ185" s="1037"/>
      <c r="EK185" s="1037"/>
      <c r="EL185" s="1037"/>
      <c r="EM185" s="1037"/>
      <c r="EN185" s="1037"/>
      <c r="EO185" s="1037"/>
      <c r="EP185" s="1037"/>
      <c r="EQ185" s="1037"/>
      <c r="ER185" s="1037"/>
      <c r="ES185" s="1037"/>
      <c r="ET185" s="1037"/>
      <c r="EU185" s="1037"/>
      <c r="EV185" s="1037"/>
      <c r="EW185" s="1037"/>
      <c r="EX185" s="1037"/>
      <c r="EY185" s="1037"/>
      <c r="EZ185" s="1037"/>
      <c r="FA185" s="1037"/>
      <c r="FB185" s="1037"/>
      <c r="FC185" s="1037"/>
      <c r="FD185" s="1037"/>
      <c r="FE185" s="1037"/>
      <c r="FF185" s="1037"/>
      <c r="FG185" s="1037"/>
      <c r="FH185" s="1037"/>
      <c r="FI185" s="1037"/>
      <c r="FJ185" s="1037"/>
      <c r="FK185" s="1037"/>
      <c r="FL185" s="1037"/>
      <c r="FM185" s="1037"/>
      <c r="FN185" s="1037"/>
      <c r="FO185" s="1037"/>
      <c r="FP185" s="1037"/>
      <c r="FQ185" s="1037"/>
      <c r="FR185" s="1037"/>
      <c r="FS185" s="1037"/>
      <c r="FT185" s="1037"/>
      <c r="FU185" s="1037"/>
      <c r="FV185" s="1037"/>
      <c r="FW185" s="1037"/>
      <c r="FX185" s="1037"/>
      <c r="FY185" s="1037"/>
      <c r="FZ185" s="1037"/>
      <c r="GA185" s="1037"/>
      <c r="GB185" s="1037"/>
      <c r="GC185" s="1037"/>
      <c r="GD185" s="1037"/>
      <c r="GE185" s="1037"/>
      <c r="GF185" s="1037"/>
      <c r="GG185" s="1037"/>
      <c r="GH185" s="1037"/>
      <c r="GI185" s="1037"/>
      <c r="GJ185" s="1037"/>
      <c r="GK185" s="1037"/>
      <c r="GL185" s="1037"/>
      <c r="GM185" s="1037"/>
      <c r="GN185" s="1037"/>
      <c r="GO185" s="1037"/>
      <c r="GP185" s="1037"/>
      <c r="GQ185" s="1037"/>
      <c r="GR185" s="1037"/>
      <c r="GS185" s="1037"/>
      <c r="GT185" s="1037"/>
      <c r="GU185" s="1037"/>
      <c r="GV185" s="1037"/>
      <c r="GW185" s="1037"/>
      <c r="GX185" s="1037"/>
      <c r="GY185" s="1037"/>
      <c r="GZ185" s="1037"/>
      <c r="HA185" s="1037"/>
      <c r="HB185" s="1037"/>
      <c r="HC185" s="1037"/>
      <c r="HD185" s="1037"/>
      <c r="HE185" s="1037"/>
      <c r="HF185" s="1037"/>
      <c r="HG185" s="1037"/>
      <c r="HH185" s="1037"/>
      <c r="HI185" s="1037"/>
      <c r="HJ185" s="1037"/>
      <c r="HK185" s="1037"/>
      <c r="HL185" s="1037"/>
      <c r="HM185" s="1037"/>
      <c r="HN185" s="1037"/>
      <c r="HO185" s="1037"/>
      <c r="HP185" s="1037"/>
      <c r="HQ185" s="1037"/>
      <c r="HR185" s="1037"/>
      <c r="HS185" s="1037"/>
      <c r="HT185" s="1037"/>
      <c r="HU185" s="1037"/>
      <c r="HV185" s="1037"/>
      <c r="HW185" s="1037"/>
      <c r="HX185" s="1037"/>
      <c r="HY185" s="1037"/>
      <c r="HZ185" s="1037"/>
      <c r="IA185" s="1037"/>
      <c r="IB185" s="1037"/>
      <c r="IC185" s="1037"/>
      <c r="ID185" s="1037"/>
      <c r="IE185" s="1037"/>
      <c r="IF185" s="1037"/>
      <c r="IG185" s="1037"/>
      <c r="IH185" s="1037"/>
      <c r="II185" s="1037"/>
      <c r="IJ185" s="1037"/>
      <c r="IK185" s="1037"/>
      <c r="IL185" s="1037"/>
      <c r="IM185" s="1037"/>
      <c r="IN185" s="1037"/>
    </row>
    <row r="186" spans="1:248">
      <c r="A186" s="701" t="s">
        <v>25</v>
      </c>
      <c r="B186" s="703">
        <v>10788.8</v>
      </c>
      <c r="C186" s="1038">
        <v>24.680874426946552</v>
      </c>
      <c r="D186" s="704">
        <v>11327.5</v>
      </c>
      <c r="E186" s="1038">
        <v>25.913225295791666</v>
      </c>
      <c r="F186" s="1038">
        <v>-538.70000000000073</v>
      </c>
      <c r="G186" s="1038">
        <f t="shared" si="28"/>
        <v>-1.2323508688451104</v>
      </c>
      <c r="H186" s="27">
        <v>43713.2</v>
      </c>
      <c r="I186" s="1037"/>
      <c r="J186" s="1037"/>
      <c r="K186" s="1037"/>
      <c r="L186" s="1037"/>
      <c r="M186" s="1037"/>
      <c r="N186" s="1037"/>
      <c r="O186" s="1037"/>
      <c r="P186" s="1037"/>
      <c r="Q186" s="1037"/>
      <c r="R186" s="1037"/>
      <c r="S186" s="1037"/>
      <c r="T186" s="1037"/>
      <c r="U186" s="1037"/>
      <c r="V186" s="1037"/>
      <c r="W186" s="1037"/>
      <c r="X186" s="1037"/>
      <c r="Y186" s="1037"/>
      <c r="Z186" s="1037"/>
      <c r="AA186" s="1037"/>
      <c r="AB186" s="1037"/>
      <c r="AC186" s="1037"/>
      <c r="AD186" s="1037"/>
      <c r="AE186" s="1037"/>
      <c r="AF186" s="1037"/>
      <c r="AG186" s="1037"/>
      <c r="AH186" s="1037"/>
      <c r="AI186" s="1037"/>
      <c r="AJ186" s="1037"/>
      <c r="AK186" s="1037"/>
      <c r="AL186" s="1037"/>
      <c r="AM186" s="1037"/>
      <c r="AN186" s="1037"/>
      <c r="AO186" s="1037"/>
      <c r="AP186" s="1037"/>
      <c r="AQ186" s="1037"/>
      <c r="AR186" s="1037"/>
      <c r="AS186" s="1037"/>
      <c r="AT186" s="1037"/>
      <c r="AU186" s="1037"/>
      <c r="AV186" s="1037"/>
      <c r="AW186" s="1037"/>
      <c r="AX186" s="1037"/>
      <c r="AY186" s="1037"/>
      <c r="AZ186" s="1037"/>
      <c r="BA186" s="1037"/>
      <c r="BB186" s="1037"/>
      <c r="BC186" s="1037"/>
      <c r="BD186" s="1037"/>
      <c r="BE186" s="1037"/>
      <c r="BF186" s="1037"/>
      <c r="BG186" s="1037"/>
      <c r="BH186" s="1037"/>
      <c r="BI186" s="1037"/>
      <c r="BJ186" s="1037"/>
      <c r="BK186" s="1037"/>
      <c r="BL186" s="1037"/>
      <c r="BM186" s="1037"/>
      <c r="BN186" s="1037"/>
      <c r="BO186" s="1037"/>
      <c r="BP186" s="1037"/>
      <c r="BQ186" s="1037"/>
      <c r="BR186" s="1037"/>
      <c r="BS186" s="1037"/>
      <c r="BT186" s="1037"/>
      <c r="BU186" s="1037"/>
      <c r="BV186" s="1037"/>
      <c r="BW186" s="1037"/>
      <c r="BX186" s="1037"/>
      <c r="BY186" s="1037"/>
      <c r="BZ186" s="1037"/>
      <c r="CA186" s="1037"/>
      <c r="CB186" s="1037"/>
      <c r="CC186" s="1037"/>
      <c r="CD186" s="1037"/>
      <c r="CE186" s="1037"/>
      <c r="CF186" s="1037"/>
      <c r="CG186" s="1037"/>
      <c r="CH186" s="1037"/>
      <c r="CI186" s="1037"/>
      <c r="CJ186" s="1037"/>
      <c r="CK186" s="1037"/>
      <c r="CL186" s="1037"/>
      <c r="CM186" s="1037"/>
      <c r="CN186" s="1037"/>
      <c r="CO186" s="1037"/>
      <c r="CP186" s="1037"/>
      <c r="CQ186" s="1037"/>
      <c r="CR186" s="1037"/>
      <c r="CS186" s="1037"/>
      <c r="CT186" s="1037"/>
      <c r="CU186" s="1037"/>
      <c r="CV186" s="1037"/>
      <c r="CW186" s="1037"/>
      <c r="CX186" s="1037"/>
      <c r="CY186" s="1037"/>
      <c r="CZ186" s="1037"/>
      <c r="DA186" s="1037"/>
      <c r="DB186" s="1037"/>
      <c r="DC186" s="1037"/>
      <c r="DD186" s="1037"/>
      <c r="DE186" s="1037"/>
      <c r="DF186" s="1037"/>
      <c r="DG186" s="1037"/>
      <c r="DH186" s="1037"/>
      <c r="DI186" s="1037"/>
      <c r="DJ186" s="1037"/>
      <c r="DK186" s="1037"/>
      <c r="DL186" s="1037"/>
      <c r="DM186" s="1037"/>
      <c r="DN186" s="1037"/>
      <c r="DO186" s="1037"/>
      <c r="DP186" s="1037"/>
      <c r="DQ186" s="1037"/>
      <c r="DR186" s="1037"/>
      <c r="DS186" s="1037"/>
      <c r="DT186" s="1037"/>
      <c r="DU186" s="1037"/>
      <c r="DV186" s="1037"/>
      <c r="DW186" s="1037"/>
      <c r="DX186" s="1037"/>
      <c r="DY186" s="1037"/>
      <c r="DZ186" s="1037"/>
      <c r="EA186" s="1037"/>
      <c r="EB186" s="1037"/>
      <c r="EC186" s="1037"/>
      <c r="ED186" s="1037"/>
      <c r="EE186" s="1037"/>
      <c r="EF186" s="1037"/>
      <c r="EG186" s="1037"/>
      <c r="EH186" s="1037"/>
      <c r="EI186" s="1037"/>
      <c r="EJ186" s="1037"/>
      <c r="EK186" s="1037"/>
      <c r="EL186" s="1037"/>
      <c r="EM186" s="1037"/>
      <c r="EN186" s="1037"/>
      <c r="EO186" s="1037"/>
      <c r="EP186" s="1037"/>
      <c r="EQ186" s="1037"/>
      <c r="ER186" s="1037"/>
      <c r="ES186" s="1037"/>
      <c r="ET186" s="1037"/>
      <c r="EU186" s="1037"/>
      <c r="EV186" s="1037"/>
      <c r="EW186" s="1037"/>
      <c r="EX186" s="1037"/>
      <c r="EY186" s="1037"/>
      <c r="EZ186" s="1037"/>
      <c r="FA186" s="1037"/>
      <c r="FB186" s="1037"/>
      <c r="FC186" s="1037"/>
      <c r="FD186" s="1037"/>
      <c r="FE186" s="1037"/>
      <c r="FF186" s="1037"/>
      <c r="FG186" s="1037"/>
      <c r="FH186" s="1037"/>
      <c r="FI186" s="1037"/>
      <c r="FJ186" s="1037"/>
      <c r="FK186" s="1037"/>
      <c r="FL186" s="1037"/>
      <c r="FM186" s="1037"/>
      <c r="FN186" s="1037"/>
      <c r="FO186" s="1037"/>
      <c r="FP186" s="1037"/>
      <c r="FQ186" s="1037"/>
      <c r="FR186" s="1037"/>
      <c r="FS186" s="1037"/>
      <c r="FT186" s="1037"/>
      <c r="FU186" s="1037"/>
      <c r="FV186" s="1037"/>
      <c r="FW186" s="1037"/>
      <c r="FX186" s="1037"/>
      <c r="FY186" s="1037"/>
      <c r="FZ186" s="1037"/>
      <c r="GA186" s="1037"/>
      <c r="GB186" s="1037"/>
      <c r="GC186" s="1037"/>
      <c r="GD186" s="1037"/>
      <c r="GE186" s="1037"/>
      <c r="GF186" s="1037"/>
      <c r="GG186" s="1037"/>
      <c r="GH186" s="1037"/>
      <c r="GI186" s="1037"/>
      <c r="GJ186" s="1037"/>
      <c r="GK186" s="1037"/>
      <c r="GL186" s="1037"/>
      <c r="GM186" s="1037"/>
      <c r="GN186" s="1037"/>
      <c r="GO186" s="1037"/>
      <c r="GP186" s="1037"/>
      <c r="GQ186" s="1037"/>
      <c r="GR186" s="1037"/>
      <c r="GS186" s="1037"/>
      <c r="GT186" s="1037"/>
      <c r="GU186" s="1037"/>
      <c r="GV186" s="1037"/>
      <c r="GW186" s="1037"/>
      <c r="GX186" s="1037"/>
      <c r="GY186" s="1037"/>
      <c r="GZ186" s="1037"/>
      <c r="HA186" s="1037"/>
      <c r="HB186" s="1037"/>
      <c r="HC186" s="1037"/>
      <c r="HD186" s="1037"/>
      <c r="HE186" s="1037"/>
      <c r="HF186" s="1037"/>
      <c r="HG186" s="1037"/>
      <c r="HH186" s="1037"/>
      <c r="HI186" s="1037"/>
      <c r="HJ186" s="1037"/>
      <c r="HK186" s="1037"/>
      <c r="HL186" s="1037"/>
      <c r="HM186" s="1037"/>
      <c r="HN186" s="1037"/>
      <c r="HO186" s="1037"/>
      <c r="HP186" s="1037"/>
      <c r="HQ186" s="1037"/>
      <c r="HR186" s="1037"/>
      <c r="HS186" s="1037"/>
      <c r="HT186" s="1037"/>
      <c r="HU186" s="1037"/>
      <c r="HV186" s="1037"/>
      <c r="HW186" s="1037"/>
      <c r="HX186" s="1037"/>
      <c r="HY186" s="1037"/>
      <c r="HZ186" s="1037"/>
      <c r="IA186" s="1037"/>
      <c r="IB186" s="1037"/>
      <c r="IC186" s="1037"/>
      <c r="ID186" s="1037"/>
      <c r="IE186" s="1037"/>
      <c r="IF186" s="1037"/>
      <c r="IG186" s="1037"/>
      <c r="IH186" s="1037"/>
      <c r="II186" s="1037"/>
      <c r="IJ186" s="1037"/>
      <c r="IK186" s="1037"/>
      <c r="IL186" s="1037"/>
      <c r="IM186" s="1037"/>
      <c r="IN186" s="1037"/>
    </row>
    <row r="187" spans="1:248">
      <c r="A187" s="701" t="s">
        <v>26</v>
      </c>
      <c r="B187" s="703">
        <v>12045.1</v>
      </c>
      <c r="C187" s="1038">
        <v>24.057818176734116</v>
      </c>
      <c r="D187" s="704">
        <v>12783.7</v>
      </c>
      <c r="E187" s="1038">
        <v>25.533032538203575</v>
      </c>
      <c r="F187" s="1038">
        <v>-738.60000000000036</v>
      </c>
      <c r="G187" s="1038">
        <f t="shared" si="28"/>
        <v>-1.4752143614694628</v>
      </c>
      <c r="H187" s="27">
        <v>50067.3</v>
      </c>
      <c r="I187" s="1037"/>
      <c r="J187" s="1037"/>
      <c r="K187" s="1037"/>
      <c r="L187" s="1037"/>
      <c r="M187" s="1037"/>
      <c r="N187" s="1037"/>
      <c r="O187" s="1037"/>
      <c r="P187" s="1037"/>
      <c r="Q187" s="1037"/>
      <c r="R187" s="1037"/>
      <c r="S187" s="1037"/>
      <c r="T187" s="1037"/>
      <c r="U187" s="1037"/>
      <c r="V187" s="1037"/>
      <c r="W187" s="1037"/>
      <c r="X187" s="1037"/>
      <c r="Y187" s="1037"/>
      <c r="Z187" s="1037"/>
      <c r="AA187" s="1037"/>
      <c r="AB187" s="1037"/>
      <c r="AC187" s="1037"/>
      <c r="AD187" s="1037"/>
      <c r="AE187" s="1037"/>
      <c r="AF187" s="1037"/>
      <c r="AG187" s="1037"/>
      <c r="AH187" s="1037"/>
      <c r="AI187" s="1037"/>
      <c r="AJ187" s="1037"/>
      <c r="AK187" s="1037"/>
      <c r="AL187" s="1037"/>
      <c r="AM187" s="1037"/>
      <c r="AN187" s="1037"/>
      <c r="AO187" s="1037"/>
      <c r="AP187" s="1037"/>
      <c r="AQ187" s="1037"/>
      <c r="AR187" s="1037"/>
      <c r="AS187" s="1037"/>
      <c r="AT187" s="1037"/>
      <c r="AU187" s="1037"/>
      <c r="AV187" s="1037"/>
      <c r="AW187" s="1037"/>
      <c r="AX187" s="1037"/>
      <c r="AY187" s="1037"/>
      <c r="AZ187" s="1037"/>
      <c r="BA187" s="1037"/>
      <c r="BB187" s="1037"/>
      <c r="BC187" s="1037"/>
      <c r="BD187" s="1037"/>
      <c r="BE187" s="1037"/>
      <c r="BF187" s="1037"/>
      <c r="BG187" s="1037"/>
      <c r="BH187" s="1037"/>
      <c r="BI187" s="1037"/>
      <c r="BJ187" s="1037"/>
      <c r="BK187" s="1037"/>
      <c r="BL187" s="1037"/>
      <c r="BM187" s="1037"/>
      <c r="BN187" s="1037"/>
      <c r="BO187" s="1037"/>
      <c r="BP187" s="1037"/>
      <c r="BQ187" s="1037"/>
      <c r="BR187" s="1037"/>
      <c r="BS187" s="1037"/>
      <c r="BT187" s="1037"/>
      <c r="BU187" s="1037"/>
      <c r="BV187" s="1037"/>
      <c r="BW187" s="1037"/>
      <c r="BX187" s="1037"/>
      <c r="BY187" s="1037"/>
      <c r="BZ187" s="1037"/>
      <c r="CA187" s="1037"/>
      <c r="CB187" s="1037"/>
      <c r="CC187" s="1037"/>
      <c r="CD187" s="1037"/>
      <c r="CE187" s="1037"/>
      <c r="CF187" s="1037"/>
      <c r="CG187" s="1037"/>
      <c r="CH187" s="1037"/>
      <c r="CI187" s="1037"/>
      <c r="CJ187" s="1037"/>
      <c r="CK187" s="1037"/>
      <c r="CL187" s="1037"/>
      <c r="CM187" s="1037"/>
      <c r="CN187" s="1037"/>
      <c r="CO187" s="1037"/>
      <c r="CP187" s="1037"/>
      <c r="CQ187" s="1037"/>
      <c r="CR187" s="1037"/>
      <c r="CS187" s="1037"/>
      <c r="CT187" s="1037"/>
      <c r="CU187" s="1037"/>
      <c r="CV187" s="1037"/>
      <c r="CW187" s="1037"/>
      <c r="CX187" s="1037"/>
      <c r="CY187" s="1037"/>
      <c r="CZ187" s="1037"/>
      <c r="DA187" s="1037"/>
      <c r="DB187" s="1037"/>
      <c r="DC187" s="1037"/>
      <c r="DD187" s="1037"/>
      <c r="DE187" s="1037"/>
      <c r="DF187" s="1037"/>
      <c r="DG187" s="1037"/>
      <c r="DH187" s="1037"/>
      <c r="DI187" s="1037"/>
      <c r="DJ187" s="1037"/>
      <c r="DK187" s="1037"/>
      <c r="DL187" s="1037"/>
      <c r="DM187" s="1037"/>
      <c r="DN187" s="1037"/>
      <c r="DO187" s="1037"/>
      <c r="DP187" s="1037"/>
      <c r="DQ187" s="1037"/>
      <c r="DR187" s="1037"/>
      <c r="DS187" s="1037"/>
      <c r="DT187" s="1037"/>
      <c r="DU187" s="1037"/>
      <c r="DV187" s="1037"/>
      <c r="DW187" s="1037"/>
      <c r="DX187" s="1037"/>
      <c r="DY187" s="1037"/>
      <c r="DZ187" s="1037"/>
      <c r="EA187" s="1037"/>
      <c r="EB187" s="1037"/>
      <c r="EC187" s="1037"/>
      <c r="ED187" s="1037"/>
      <c r="EE187" s="1037"/>
      <c r="EF187" s="1037"/>
      <c r="EG187" s="1037"/>
      <c r="EH187" s="1037"/>
      <c r="EI187" s="1037"/>
      <c r="EJ187" s="1037"/>
      <c r="EK187" s="1037"/>
      <c r="EL187" s="1037"/>
      <c r="EM187" s="1037"/>
      <c r="EN187" s="1037"/>
      <c r="EO187" s="1037"/>
      <c r="EP187" s="1037"/>
      <c r="EQ187" s="1037"/>
      <c r="ER187" s="1037"/>
      <c r="ES187" s="1037"/>
      <c r="ET187" s="1037"/>
      <c r="EU187" s="1037"/>
      <c r="EV187" s="1037"/>
      <c r="EW187" s="1037"/>
      <c r="EX187" s="1037"/>
      <c r="EY187" s="1037"/>
      <c r="EZ187" s="1037"/>
      <c r="FA187" s="1037"/>
      <c r="FB187" s="1037"/>
      <c r="FC187" s="1037"/>
      <c r="FD187" s="1037"/>
      <c r="FE187" s="1037"/>
      <c r="FF187" s="1037"/>
      <c r="FG187" s="1037"/>
      <c r="FH187" s="1037"/>
      <c r="FI187" s="1037"/>
      <c r="FJ187" s="1037"/>
      <c r="FK187" s="1037"/>
      <c r="FL187" s="1037"/>
      <c r="FM187" s="1037"/>
      <c r="FN187" s="1037"/>
      <c r="FO187" s="1037"/>
      <c r="FP187" s="1037"/>
      <c r="FQ187" s="1037"/>
      <c r="FR187" s="1037"/>
      <c r="FS187" s="1037"/>
      <c r="FT187" s="1037"/>
      <c r="FU187" s="1037"/>
      <c r="FV187" s="1037"/>
      <c r="FW187" s="1037"/>
      <c r="FX187" s="1037"/>
      <c r="FY187" s="1037"/>
      <c r="FZ187" s="1037"/>
      <c r="GA187" s="1037"/>
      <c r="GB187" s="1037"/>
      <c r="GC187" s="1037"/>
      <c r="GD187" s="1037"/>
      <c r="GE187" s="1037"/>
      <c r="GF187" s="1037"/>
      <c r="GG187" s="1037"/>
      <c r="GH187" s="1037"/>
      <c r="GI187" s="1037"/>
      <c r="GJ187" s="1037"/>
      <c r="GK187" s="1037"/>
      <c r="GL187" s="1037"/>
      <c r="GM187" s="1037"/>
      <c r="GN187" s="1037"/>
      <c r="GO187" s="1037"/>
      <c r="GP187" s="1037"/>
      <c r="GQ187" s="1037"/>
      <c r="GR187" s="1037"/>
      <c r="GS187" s="1037"/>
      <c r="GT187" s="1037"/>
      <c r="GU187" s="1037"/>
      <c r="GV187" s="1037"/>
      <c r="GW187" s="1037"/>
      <c r="GX187" s="1037"/>
      <c r="GY187" s="1037"/>
      <c r="GZ187" s="1037"/>
      <c r="HA187" s="1037"/>
      <c r="HB187" s="1037"/>
      <c r="HC187" s="1037"/>
      <c r="HD187" s="1037"/>
      <c r="HE187" s="1037"/>
      <c r="HF187" s="1037"/>
      <c r="HG187" s="1037"/>
      <c r="HH187" s="1037"/>
      <c r="HI187" s="1037"/>
      <c r="HJ187" s="1037"/>
      <c r="HK187" s="1037"/>
      <c r="HL187" s="1037"/>
      <c r="HM187" s="1037"/>
      <c r="HN187" s="1037"/>
      <c r="HO187" s="1037"/>
      <c r="HP187" s="1037"/>
      <c r="HQ187" s="1037"/>
      <c r="HR187" s="1037"/>
      <c r="HS187" s="1037"/>
      <c r="HT187" s="1037"/>
      <c r="HU187" s="1037"/>
      <c r="HV187" s="1037"/>
      <c r="HW187" s="1037"/>
      <c r="HX187" s="1037"/>
      <c r="HY187" s="1037"/>
      <c r="HZ187" s="1037"/>
      <c r="IA187" s="1037"/>
      <c r="IB187" s="1037"/>
      <c r="IC187" s="1037"/>
      <c r="ID187" s="1037"/>
      <c r="IE187" s="1037"/>
      <c r="IF187" s="1037"/>
      <c r="IG187" s="1037"/>
      <c r="IH187" s="1037"/>
      <c r="II187" s="1037"/>
      <c r="IJ187" s="1037"/>
      <c r="IK187" s="1037"/>
      <c r="IL187" s="1037"/>
      <c r="IM187" s="1037"/>
      <c r="IN187" s="1037"/>
    </row>
    <row r="188" spans="1:248">
      <c r="A188" s="701" t="s">
        <v>27</v>
      </c>
      <c r="B188" s="703">
        <v>13557.2</v>
      </c>
      <c r="C188" s="1038">
        <v>24.002903605605379</v>
      </c>
      <c r="D188" s="704">
        <v>14150.2</v>
      </c>
      <c r="E188" s="1038">
        <v>25.052804900719707</v>
      </c>
      <c r="F188" s="1038">
        <v>-593</v>
      </c>
      <c r="G188" s="1038">
        <f t="shared" si="28"/>
        <v>-1.0499012951143294</v>
      </c>
      <c r="H188" s="27">
        <v>56481.5</v>
      </c>
      <c r="I188" s="1037"/>
      <c r="J188" s="1037"/>
      <c r="K188" s="1037"/>
      <c r="L188" s="1037"/>
      <c r="M188" s="1037"/>
      <c r="N188" s="1037"/>
      <c r="O188" s="1037"/>
      <c r="P188" s="1037"/>
      <c r="Q188" s="1037"/>
      <c r="R188" s="1037"/>
      <c r="S188" s="1037"/>
      <c r="T188" s="1037"/>
      <c r="U188" s="1037"/>
      <c r="V188" s="1037"/>
      <c r="W188" s="1037"/>
      <c r="X188" s="1037"/>
      <c r="Y188" s="1037"/>
      <c r="Z188" s="1037"/>
      <c r="AA188" s="1037"/>
      <c r="AB188" s="1037"/>
      <c r="AC188" s="1037"/>
      <c r="AD188" s="1037"/>
      <c r="AE188" s="1037"/>
      <c r="AF188" s="1037"/>
      <c r="AG188" s="1037"/>
      <c r="AH188" s="1037"/>
      <c r="AI188" s="1037"/>
      <c r="AJ188" s="1037"/>
      <c r="AK188" s="1037"/>
      <c r="AL188" s="1037"/>
      <c r="AM188" s="1037"/>
      <c r="AN188" s="1037"/>
      <c r="AO188" s="1037"/>
      <c r="AP188" s="1037"/>
      <c r="AQ188" s="1037"/>
      <c r="AR188" s="1037"/>
      <c r="AS188" s="1037"/>
      <c r="AT188" s="1037"/>
      <c r="AU188" s="1037"/>
      <c r="AV188" s="1037"/>
      <c r="AW188" s="1037"/>
      <c r="AX188" s="1037"/>
      <c r="AY188" s="1037"/>
      <c r="AZ188" s="1037"/>
      <c r="BA188" s="1037"/>
      <c r="BB188" s="1037"/>
      <c r="BC188" s="1037"/>
      <c r="BD188" s="1037"/>
      <c r="BE188" s="1037"/>
      <c r="BF188" s="1037"/>
      <c r="BG188" s="1037"/>
      <c r="BH188" s="1037"/>
      <c r="BI188" s="1037"/>
      <c r="BJ188" s="1037"/>
      <c r="BK188" s="1037"/>
      <c r="BL188" s="1037"/>
      <c r="BM188" s="1037"/>
      <c r="BN188" s="1037"/>
      <c r="BO188" s="1037"/>
      <c r="BP188" s="1037"/>
      <c r="BQ188" s="1037"/>
      <c r="BR188" s="1037"/>
      <c r="BS188" s="1037"/>
      <c r="BT188" s="1037"/>
      <c r="BU188" s="1037"/>
      <c r="BV188" s="1037"/>
      <c r="BW188" s="1037"/>
      <c r="BX188" s="1037"/>
      <c r="BY188" s="1037"/>
      <c r="BZ188" s="1037"/>
      <c r="CA188" s="1037"/>
      <c r="CB188" s="1037"/>
      <c r="CC188" s="1037"/>
      <c r="CD188" s="1037"/>
      <c r="CE188" s="1037"/>
      <c r="CF188" s="1037"/>
      <c r="CG188" s="1037"/>
      <c r="CH188" s="1037"/>
      <c r="CI188" s="1037"/>
      <c r="CJ188" s="1037"/>
      <c r="CK188" s="1037"/>
      <c r="CL188" s="1037"/>
      <c r="CM188" s="1037"/>
      <c r="CN188" s="1037"/>
      <c r="CO188" s="1037"/>
      <c r="CP188" s="1037"/>
      <c r="CQ188" s="1037"/>
      <c r="CR188" s="1037"/>
      <c r="CS188" s="1037"/>
      <c r="CT188" s="1037"/>
      <c r="CU188" s="1037"/>
      <c r="CV188" s="1037"/>
      <c r="CW188" s="1037"/>
      <c r="CX188" s="1037"/>
      <c r="CY188" s="1037"/>
      <c r="CZ188" s="1037"/>
      <c r="DA188" s="1037"/>
      <c r="DB188" s="1037"/>
      <c r="DC188" s="1037"/>
      <c r="DD188" s="1037"/>
      <c r="DE188" s="1037"/>
      <c r="DF188" s="1037"/>
      <c r="DG188" s="1037"/>
      <c r="DH188" s="1037"/>
      <c r="DI188" s="1037"/>
      <c r="DJ188" s="1037"/>
      <c r="DK188" s="1037"/>
      <c r="DL188" s="1037"/>
      <c r="DM188" s="1037"/>
      <c r="DN188" s="1037"/>
      <c r="DO188" s="1037"/>
      <c r="DP188" s="1037"/>
      <c r="DQ188" s="1037"/>
      <c r="DR188" s="1037"/>
      <c r="DS188" s="1037"/>
      <c r="DT188" s="1037"/>
      <c r="DU188" s="1037"/>
      <c r="DV188" s="1037"/>
      <c r="DW188" s="1037"/>
      <c r="DX188" s="1037"/>
      <c r="DY188" s="1037"/>
      <c r="DZ188" s="1037"/>
      <c r="EA188" s="1037"/>
      <c r="EB188" s="1037"/>
      <c r="EC188" s="1037"/>
      <c r="ED188" s="1037"/>
      <c r="EE188" s="1037"/>
      <c r="EF188" s="1037"/>
      <c r="EG188" s="1037"/>
      <c r="EH188" s="1037"/>
      <c r="EI188" s="1037"/>
      <c r="EJ188" s="1037"/>
      <c r="EK188" s="1037"/>
      <c r="EL188" s="1037"/>
      <c r="EM188" s="1037"/>
      <c r="EN188" s="1037"/>
      <c r="EO188" s="1037"/>
      <c r="EP188" s="1037"/>
      <c r="EQ188" s="1037"/>
      <c r="ER188" s="1037"/>
      <c r="ES188" s="1037"/>
      <c r="ET188" s="1037"/>
      <c r="EU188" s="1037"/>
      <c r="EV188" s="1037"/>
      <c r="EW188" s="1037"/>
      <c r="EX188" s="1037"/>
      <c r="EY188" s="1037"/>
      <c r="EZ188" s="1037"/>
      <c r="FA188" s="1037"/>
      <c r="FB188" s="1037"/>
      <c r="FC188" s="1037"/>
      <c r="FD188" s="1037"/>
      <c r="FE188" s="1037"/>
      <c r="FF188" s="1037"/>
      <c r="FG188" s="1037"/>
      <c r="FH188" s="1037"/>
      <c r="FI188" s="1037"/>
      <c r="FJ188" s="1037"/>
      <c r="FK188" s="1037"/>
      <c r="FL188" s="1037"/>
      <c r="FM188" s="1037"/>
      <c r="FN188" s="1037"/>
      <c r="FO188" s="1037"/>
      <c r="FP188" s="1037"/>
      <c r="FQ188" s="1037"/>
      <c r="FR188" s="1037"/>
      <c r="FS188" s="1037"/>
      <c r="FT188" s="1037"/>
      <c r="FU188" s="1037"/>
      <c r="FV188" s="1037"/>
      <c r="FW188" s="1037"/>
      <c r="FX188" s="1037"/>
      <c r="FY188" s="1037"/>
      <c r="FZ188" s="1037"/>
      <c r="GA188" s="1037"/>
      <c r="GB188" s="1037"/>
      <c r="GC188" s="1037"/>
      <c r="GD188" s="1037"/>
      <c r="GE188" s="1037"/>
      <c r="GF188" s="1037"/>
      <c r="GG188" s="1037"/>
      <c r="GH188" s="1037"/>
      <c r="GI188" s="1037"/>
      <c r="GJ188" s="1037"/>
      <c r="GK188" s="1037"/>
      <c r="GL188" s="1037"/>
      <c r="GM188" s="1037"/>
      <c r="GN188" s="1037"/>
      <c r="GO188" s="1037"/>
      <c r="GP188" s="1037"/>
      <c r="GQ188" s="1037"/>
      <c r="GR188" s="1037"/>
      <c r="GS188" s="1037"/>
      <c r="GT188" s="1037"/>
      <c r="GU188" s="1037"/>
      <c r="GV188" s="1037"/>
      <c r="GW188" s="1037"/>
      <c r="GX188" s="1037"/>
      <c r="GY188" s="1037"/>
      <c r="GZ188" s="1037"/>
      <c r="HA188" s="1037"/>
      <c r="HB188" s="1037"/>
      <c r="HC188" s="1037"/>
      <c r="HD188" s="1037"/>
      <c r="HE188" s="1037"/>
      <c r="HF188" s="1037"/>
      <c r="HG188" s="1037"/>
      <c r="HH188" s="1037"/>
      <c r="HI188" s="1037"/>
      <c r="HJ188" s="1037"/>
      <c r="HK188" s="1037"/>
      <c r="HL188" s="1037"/>
      <c r="HM188" s="1037"/>
      <c r="HN188" s="1037"/>
      <c r="HO188" s="1037"/>
      <c r="HP188" s="1037"/>
      <c r="HQ188" s="1037"/>
      <c r="HR188" s="1037"/>
      <c r="HS188" s="1037"/>
      <c r="HT188" s="1037"/>
      <c r="HU188" s="1037"/>
      <c r="HV188" s="1037"/>
      <c r="HW188" s="1037"/>
      <c r="HX188" s="1037"/>
      <c r="HY188" s="1037"/>
      <c r="HZ188" s="1037"/>
      <c r="IA188" s="1037"/>
      <c r="IB188" s="1037"/>
      <c r="IC188" s="1037"/>
      <c r="ID188" s="1037"/>
      <c r="IE188" s="1037"/>
      <c r="IF188" s="1037"/>
      <c r="IG188" s="1037"/>
      <c r="IH188" s="1037"/>
      <c r="II188" s="1037"/>
      <c r="IJ188" s="1037"/>
      <c r="IK188" s="1037"/>
      <c r="IL188" s="1037"/>
      <c r="IM188" s="1037"/>
      <c r="IN188" s="1037"/>
    </row>
    <row r="189" spans="1:248">
      <c r="A189" s="701" t="s">
        <v>28</v>
      </c>
      <c r="B189" s="703">
        <v>14749.3</v>
      </c>
      <c r="C189" s="1038">
        <v>23.385121283372943</v>
      </c>
      <c r="D189" s="704">
        <v>15463.1</v>
      </c>
      <c r="E189" s="1038">
        <v>24.516856319752407</v>
      </c>
      <c r="F189" s="1038">
        <v>-713.80000000000109</v>
      </c>
      <c r="G189" s="1038">
        <f t="shared" si="28"/>
        <v>-1.1317350363794643</v>
      </c>
      <c r="H189" s="27">
        <v>63071.3</v>
      </c>
      <c r="I189" s="1037"/>
      <c r="J189" s="1037"/>
      <c r="K189" s="1037"/>
      <c r="L189" s="1037"/>
      <c r="M189" s="1037"/>
      <c r="N189" s="1037"/>
      <c r="O189" s="1037"/>
      <c r="P189" s="1037"/>
      <c r="Q189" s="1037"/>
      <c r="R189" s="1037"/>
      <c r="S189" s="1037"/>
      <c r="T189" s="1037"/>
      <c r="U189" s="1037"/>
      <c r="V189" s="1037"/>
      <c r="W189" s="1037"/>
      <c r="X189" s="1037"/>
      <c r="Y189" s="1037"/>
      <c r="Z189" s="1037"/>
      <c r="AA189" s="1037"/>
      <c r="AB189" s="1037"/>
      <c r="AC189" s="1037"/>
      <c r="AD189" s="1037"/>
      <c r="AE189" s="1037"/>
      <c r="AF189" s="1037"/>
      <c r="AG189" s="1037"/>
      <c r="AH189" s="1037"/>
      <c r="AI189" s="1037"/>
      <c r="AJ189" s="1037"/>
      <c r="AK189" s="1037"/>
      <c r="AL189" s="1037"/>
      <c r="AM189" s="1037"/>
      <c r="AN189" s="1037"/>
      <c r="AO189" s="1037"/>
      <c r="AP189" s="1037"/>
      <c r="AQ189" s="1037"/>
      <c r="AR189" s="1037"/>
      <c r="AS189" s="1037"/>
      <c r="AT189" s="1037"/>
      <c r="AU189" s="1037"/>
      <c r="AV189" s="1037"/>
      <c r="AW189" s="1037"/>
      <c r="AX189" s="1037"/>
      <c r="AY189" s="1037"/>
      <c r="AZ189" s="1037"/>
      <c r="BA189" s="1037"/>
      <c r="BB189" s="1037"/>
      <c r="BC189" s="1037"/>
      <c r="BD189" s="1037"/>
      <c r="BE189" s="1037"/>
      <c r="BF189" s="1037"/>
      <c r="BG189" s="1037"/>
      <c r="BH189" s="1037"/>
      <c r="BI189" s="1037"/>
      <c r="BJ189" s="1037"/>
      <c r="BK189" s="1037"/>
      <c r="BL189" s="1037"/>
      <c r="BM189" s="1037"/>
      <c r="BN189" s="1037"/>
      <c r="BO189" s="1037"/>
      <c r="BP189" s="1037"/>
      <c r="BQ189" s="1037"/>
      <c r="BR189" s="1037"/>
      <c r="BS189" s="1037"/>
      <c r="BT189" s="1037"/>
      <c r="BU189" s="1037"/>
      <c r="BV189" s="1037"/>
      <c r="BW189" s="1037"/>
      <c r="BX189" s="1037"/>
      <c r="BY189" s="1037"/>
      <c r="BZ189" s="1037"/>
      <c r="CA189" s="1037"/>
      <c r="CB189" s="1037"/>
      <c r="CC189" s="1037"/>
      <c r="CD189" s="1037"/>
      <c r="CE189" s="1037"/>
      <c r="CF189" s="1037"/>
      <c r="CG189" s="1037"/>
      <c r="CH189" s="1037"/>
      <c r="CI189" s="1037"/>
      <c r="CJ189" s="1037"/>
      <c r="CK189" s="1037"/>
      <c r="CL189" s="1037"/>
      <c r="CM189" s="1037"/>
      <c r="CN189" s="1037"/>
      <c r="CO189" s="1037"/>
      <c r="CP189" s="1037"/>
      <c r="CQ189" s="1037"/>
      <c r="CR189" s="1037"/>
      <c r="CS189" s="1037"/>
      <c r="CT189" s="1037"/>
      <c r="CU189" s="1037"/>
      <c r="CV189" s="1037"/>
      <c r="CW189" s="1037"/>
      <c r="CX189" s="1037"/>
      <c r="CY189" s="1037"/>
      <c r="CZ189" s="1037"/>
      <c r="DA189" s="1037"/>
      <c r="DB189" s="1037"/>
      <c r="DC189" s="1037"/>
      <c r="DD189" s="1037"/>
      <c r="DE189" s="1037"/>
      <c r="DF189" s="1037"/>
      <c r="DG189" s="1037"/>
      <c r="DH189" s="1037"/>
      <c r="DI189" s="1037"/>
      <c r="DJ189" s="1037"/>
      <c r="DK189" s="1037"/>
      <c r="DL189" s="1037"/>
      <c r="DM189" s="1037"/>
      <c r="DN189" s="1037"/>
      <c r="DO189" s="1037"/>
      <c r="DP189" s="1037"/>
      <c r="DQ189" s="1037"/>
      <c r="DR189" s="1037"/>
      <c r="DS189" s="1037"/>
      <c r="DT189" s="1037"/>
      <c r="DU189" s="1037"/>
      <c r="DV189" s="1037"/>
      <c r="DW189" s="1037"/>
      <c r="DX189" s="1037"/>
      <c r="DY189" s="1037"/>
      <c r="DZ189" s="1037"/>
      <c r="EA189" s="1037"/>
      <c r="EB189" s="1037"/>
      <c r="EC189" s="1037"/>
      <c r="ED189" s="1037"/>
      <c r="EE189" s="1037"/>
      <c r="EF189" s="1037"/>
      <c r="EG189" s="1037"/>
      <c r="EH189" s="1037"/>
      <c r="EI189" s="1037"/>
      <c r="EJ189" s="1037"/>
      <c r="EK189" s="1037"/>
      <c r="EL189" s="1037"/>
      <c r="EM189" s="1037"/>
      <c r="EN189" s="1037"/>
      <c r="EO189" s="1037"/>
      <c r="EP189" s="1037"/>
      <c r="EQ189" s="1037"/>
      <c r="ER189" s="1037"/>
      <c r="ES189" s="1037"/>
      <c r="ET189" s="1037"/>
      <c r="EU189" s="1037"/>
      <c r="EV189" s="1037"/>
      <c r="EW189" s="1037"/>
      <c r="EX189" s="1037"/>
      <c r="EY189" s="1037"/>
      <c r="EZ189" s="1037"/>
      <c r="FA189" s="1037"/>
      <c r="FB189" s="1037"/>
      <c r="FC189" s="1037"/>
      <c r="FD189" s="1037"/>
      <c r="FE189" s="1037"/>
      <c r="FF189" s="1037"/>
      <c r="FG189" s="1037"/>
      <c r="FH189" s="1037"/>
      <c r="FI189" s="1037"/>
      <c r="FJ189" s="1037"/>
      <c r="FK189" s="1037"/>
      <c r="FL189" s="1037"/>
      <c r="FM189" s="1037"/>
      <c r="FN189" s="1037"/>
      <c r="FO189" s="1037"/>
      <c r="FP189" s="1037"/>
      <c r="FQ189" s="1037"/>
      <c r="FR189" s="1037"/>
      <c r="FS189" s="1037"/>
      <c r="FT189" s="1037"/>
      <c r="FU189" s="1037"/>
      <c r="FV189" s="1037"/>
      <c r="FW189" s="1037"/>
      <c r="FX189" s="1037"/>
      <c r="FY189" s="1037"/>
      <c r="FZ189" s="1037"/>
      <c r="GA189" s="1037"/>
      <c r="GB189" s="1037"/>
      <c r="GC189" s="1037"/>
      <c r="GD189" s="1037"/>
      <c r="GE189" s="1037"/>
      <c r="GF189" s="1037"/>
      <c r="GG189" s="1037"/>
      <c r="GH189" s="1037"/>
      <c r="GI189" s="1037"/>
      <c r="GJ189" s="1037"/>
      <c r="GK189" s="1037"/>
      <c r="GL189" s="1037"/>
      <c r="GM189" s="1037"/>
      <c r="GN189" s="1037"/>
      <c r="GO189" s="1037"/>
      <c r="GP189" s="1037"/>
      <c r="GQ189" s="1037"/>
      <c r="GR189" s="1037"/>
      <c r="GS189" s="1037"/>
      <c r="GT189" s="1037"/>
      <c r="GU189" s="1037"/>
      <c r="GV189" s="1037"/>
      <c r="GW189" s="1037"/>
      <c r="GX189" s="1037"/>
      <c r="GY189" s="1037"/>
      <c r="GZ189" s="1037"/>
      <c r="HA189" s="1037"/>
      <c r="HB189" s="1037"/>
      <c r="HC189" s="1037"/>
      <c r="HD189" s="1037"/>
      <c r="HE189" s="1037"/>
      <c r="HF189" s="1037"/>
      <c r="HG189" s="1037"/>
      <c r="HH189" s="1037"/>
      <c r="HI189" s="1037"/>
      <c r="HJ189" s="1037"/>
      <c r="HK189" s="1037"/>
      <c r="HL189" s="1037"/>
      <c r="HM189" s="1037"/>
      <c r="HN189" s="1037"/>
      <c r="HO189" s="1037"/>
      <c r="HP189" s="1037"/>
      <c r="HQ189" s="1037"/>
      <c r="HR189" s="1037"/>
      <c r="HS189" s="1037"/>
      <c r="HT189" s="1037"/>
      <c r="HU189" s="1037"/>
      <c r="HV189" s="1037"/>
      <c r="HW189" s="1037"/>
      <c r="HX189" s="1037"/>
      <c r="HY189" s="1037"/>
      <c r="HZ189" s="1037"/>
      <c r="IA189" s="1037"/>
      <c r="IB189" s="1037"/>
      <c r="IC189" s="1037"/>
      <c r="ID189" s="1037"/>
      <c r="IE189" s="1037"/>
      <c r="IF189" s="1037"/>
      <c r="IG189" s="1037"/>
      <c r="IH189" s="1037"/>
      <c r="II189" s="1037"/>
      <c r="IJ189" s="1037"/>
      <c r="IK189" s="1037"/>
      <c r="IL189" s="1037"/>
      <c r="IM189" s="1037"/>
      <c r="IN189" s="1037"/>
    </row>
    <row r="190" spans="1:248">
      <c r="A190" s="701" t="s">
        <v>29</v>
      </c>
      <c r="B190" s="703">
        <v>16516.683993999995</v>
      </c>
      <c r="C190" s="1038">
        <v>23.450312325782669</v>
      </c>
      <c r="D190" s="704">
        <v>17594.477983999997</v>
      </c>
      <c r="E190" s="1038">
        <v>25.077885395472453</v>
      </c>
      <c r="F190" s="1038">
        <v>-1077.7939900000019</v>
      </c>
      <c r="G190" s="1038">
        <f t="shared" si="28"/>
        <v>-1.5367397922010546</v>
      </c>
      <c r="H190" s="27">
        <v>70135.100000000006</v>
      </c>
      <c r="I190" s="1037"/>
      <c r="J190" s="1037"/>
      <c r="K190" s="1037"/>
      <c r="L190" s="1037"/>
      <c r="M190" s="1037"/>
      <c r="N190" s="1037"/>
      <c r="O190" s="1037"/>
      <c r="P190" s="1037"/>
      <c r="Q190" s="1037"/>
      <c r="R190" s="1037"/>
      <c r="S190" s="1037"/>
      <c r="T190" s="1037"/>
      <c r="U190" s="1037"/>
      <c r="V190" s="1037"/>
      <c r="W190" s="1037"/>
      <c r="X190" s="1037"/>
      <c r="Y190" s="1037"/>
      <c r="Z190" s="1037"/>
      <c r="AA190" s="1037"/>
      <c r="AB190" s="1037"/>
      <c r="AC190" s="1037"/>
      <c r="AD190" s="1037"/>
      <c r="AE190" s="1037"/>
      <c r="AF190" s="1037"/>
      <c r="AG190" s="1037"/>
      <c r="AH190" s="1037"/>
      <c r="AI190" s="1037"/>
      <c r="AJ190" s="1037"/>
      <c r="AK190" s="1037"/>
      <c r="AL190" s="1037"/>
      <c r="AM190" s="1037"/>
      <c r="AN190" s="1037"/>
      <c r="AO190" s="1037"/>
      <c r="AP190" s="1037"/>
      <c r="AQ190" s="1037"/>
      <c r="AR190" s="1037"/>
      <c r="AS190" s="1037"/>
      <c r="AT190" s="1037"/>
      <c r="AU190" s="1037"/>
      <c r="AV190" s="1037"/>
      <c r="AW190" s="1037"/>
      <c r="AX190" s="1037"/>
      <c r="AY190" s="1037"/>
      <c r="AZ190" s="1037"/>
      <c r="BA190" s="1037"/>
      <c r="BB190" s="1037"/>
      <c r="BC190" s="1037"/>
      <c r="BD190" s="1037"/>
      <c r="BE190" s="1037"/>
      <c r="BF190" s="1037"/>
      <c r="BG190" s="1037"/>
      <c r="BH190" s="1037"/>
      <c r="BI190" s="1037"/>
      <c r="BJ190" s="1037"/>
      <c r="BK190" s="1037"/>
      <c r="BL190" s="1037"/>
      <c r="BM190" s="1037"/>
      <c r="BN190" s="1037"/>
      <c r="BO190" s="1037"/>
      <c r="BP190" s="1037"/>
      <c r="BQ190" s="1037"/>
      <c r="BR190" s="1037"/>
      <c r="BS190" s="1037"/>
      <c r="BT190" s="1037"/>
      <c r="BU190" s="1037"/>
      <c r="BV190" s="1037"/>
      <c r="BW190" s="1037"/>
      <c r="BX190" s="1037"/>
      <c r="BY190" s="1037"/>
      <c r="BZ190" s="1037"/>
      <c r="CA190" s="1037"/>
      <c r="CB190" s="1037"/>
      <c r="CC190" s="1037"/>
      <c r="CD190" s="1037"/>
      <c r="CE190" s="1037"/>
      <c r="CF190" s="1037"/>
      <c r="CG190" s="1037"/>
      <c r="CH190" s="1037"/>
      <c r="CI190" s="1037"/>
      <c r="CJ190" s="1037"/>
      <c r="CK190" s="1037"/>
      <c r="CL190" s="1037"/>
      <c r="CM190" s="1037"/>
      <c r="CN190" s="1037"/>
      <c r="CO190" s="1037"/>
      <c r="CP190" s="1037"/>
      <c r="CQ190" s="1037"/>
      <c r="CR190" s="1037"/>
      <c r="CS190" s="1037"/>
      <c r="CT190" s="1037"/>
      <c r="CU190" s="1037"/>
      <c r="CV190" s="1037"/>
      <c r="CW190" s="1037"/>
      <c r="CX190" s="1037"/>
      <c r="CY190" s="1037"/>
      <c r="CZ190" s="1037"/>
      <c r="DA190" s="1037"/>
      <c r="DB190" s="1037"/>
      <c r="DC190" s="1037"/>
      <c r="DD190" s="1037"/>
      <c r="DE190" s="1037"/>
      <c r="DF190" s="1037"/>
      <c r="DG190" s="1037"/>
      <c r="DH190" s="1037"/>
      <c r="DI190" s="1037"/>
      <c r="DJ190" s="1037"/>
      <c r="DK190" s="1037"/>
      <c r="DL190" s="1037"/>
      <c r="DM190" s="1037"/>
      <c r="DN190" s="1037"/>
      <c r="DO190" s="1037"/>
      <c r="DP190" s="1037"/>
      <c r="DQ190" s="1037"/>
      <c r="DR190" s="1037"/>
      <c r="DS190" s="1037"/>
      <c r="DT190" s="1037"/>
      <c r="DU190" s="1037"/>
      <c r="DV190" s="1037"/>
      <c r="DW190" s="1037"/>
      <c r="DX190" s="1037"/>
      <c r="DY190" s="1037"/>
      <c r="DZ190" s="1037"/>
      <c r="EA190" s="1037"/>
      <c r="EB190" s="1037"/>
      <c r="EC190" s="1037"/>
      <c r="ED190" s="1037"/>
      <c r="EE190" s="1037"/>
      <c r="EF190" s="1037"/>
      <c r="EG190" s="1037"/>
      <c r="EH190" s="1037"/>
      <c r="EI190" s="1037"/>
      <c r="EJ190" s="1037"/>
      <c r="EK190" s="1037"/>
      <c r="EL190" s="1037"/>
      <c r="EM190" s="1037"/>
      <c r="EN190" s="1037"/>
      <c r="EO190" s="1037"/>
      <c r="EP190" s="1037"/>
      <c r="EQ190" s="1037"/>
      <c r="ER190" s="1037"/>
      <c r="ES190" s="1037"/>
      <c r="ET190" s="1037"/>
      <c r="EU190" s="1037"/>
      <c r="EV190" s="1037"/>
      <c r="EW190" s="1037"/>
      <c r="EX190" s="1037"/>
      <c r="EY190" s="1037"/>
      <c r="EZ190" s="1037"/>
      <c r="FA190" s="1037"/>
      <c r="FB190" s="1037"/>
      <c r="FC190" s="1037"/>
      <c r="FD190" s="1037"/>
      <c r="FE190" s="1037"/>
      <c r="FF190" s="1037"/>
      <c r="FG190" s="1037"/>
      <c r="FH190" s="1037"/>
      <c r="FI190" s="1037"/>
      <c r="FJ190" s="1037"/>
      <c r="FK190" s="1037"/>
      <c r="FL190" s="1037"/>
      <c r="FM190" s="1037"/>
      <c r="FN190" s="1037"/>
      <c r="FO190" s="1037"/>
      <c r="FP190" s="1037"/>
      <c r="FQ190" s="1037"/>
      <c r="FR190" s="1037"/>
      <c r="FS190" s="1037"/>
      <c r="FT190" s="1037"/>
      <c r="FU190" s="1037"/>
      <c r="FV190" s="1037"/>
      <c r="FW190" s="1037"/>
      <c r="FX190" s="1037"/>
      <c r="FY190" s="1037"/>
      <c r="FZ190" s="1037"/>
      <c r="GA190" s="1037"/>
      <c r="GB190" s="1037"/>
      <c r="GC190" s="1037"/>
      <c r="GD190" s="1037"/>
      <c r="GE190" s="1037"/>
      <c r="GF190" s="1037"/>
      <c r="GG190" s="1037"/>
      <c r="GH190" s="1037"/>
      <c r="GI190" s="1037"/>
      <c r="GJ190" s="1037"/>
      <c r="GK190" s="1037"/>
      <c r="GL190" s="1037"/>
      <c r="GM190" s="1037"/>
      <c r="GN190" s="1037"/>
      <c r="GO190" s="1037"/>
      <c r="GP190" s="1037"/>
      <c r="GQ190" s="1037"/>
      <c r="GR190" s="1037"/>
      <c r="GS190" s="1037"/>
      <c r="GT190" s="1037"/>
      <c r="GU190" s="1037"/>
      <c r="GV190" s="1037"/>
      <c r="GW190" s="1037"/>
      <c r="GX190" s="1037"/>
      <c r="GY190" s="1037"/>
      <c r="GZ190" s="1037"/>
      <c r="HA190" s="1037"/>
      <c r="HB190" s="1037"/>
      <c r="HC190" s="1037"/>
      <c r="HD190" s="1037"/>
      <c r="HE190" s="1037"/>
      <c r="HF190" s="1037"/>
      <c r="HG190" s="1037"/>
      <c r="HH190" s="1037"/>
      <c r="HI190" s="1037"/>
      <c r="HJ190" s="1037"/>
      <c r="HK190" s="1037"/>
      <c r="HL190" s="1037"/>
      <c r="HM190" s="1037"/>
      <c r="HN190" s="1037"/>
      <c r="HO190" s="1037"/>
      <c r="HP190" s="1037"/>
      <c r="HQ190" s="1037"/>
      <c r="HR190" s="1037"/>
      <c r="HS190" s="1037"/>
      <c r="HT190" s="1037"/>
      <c r="HU190" s="1037"/>
      <c r="HV190" s="1037"/>
      <c r="HW190" s="1037"/>
      <c r="HX190" s="1037"/>
      <c r="HY190" s="1037"/>
      <c r="HZ190" s="1037"/>
      <c r="IA190" s="1037"/>
      <c r="IB190" s="1037"/>
      <c r="IC190" s="1037"/>
      <c r="ID190" s="1037"/>
      <c r="IE190" s="1037"/>
      <c r="IF190" s="1037"/>
      <c r="IG190" s="1037"/>
      <c r="IH190" s="1037"/>
      <c r="II190" s="1037"/>
      <c r="IJ190" s="1037"/>
      <c r="IK190" s="1037"/>
      <c r="IL190" s="1037"/>
      <c r="IM190" s="1037"/>
      <c r="IN190" s="1037"/>
    </row>
    <row r="191" spans="1:248">
      <c r="A191" s="701" t="s">
        <v>2078</v>
      </c>
      <c r="B191" s="698">
        <v>22508.86967</v>
      </c>
      <c r="C191" s="1039">
        <v>28.085160776116485</v>
      </c>
      <c r="D191" s="699">
        <v>22731.643760000003</v>
      </c>
      <c r="E191" s="1039">
        <v>28.470762795232417</v>
      </c>
      <c r="F191" s="1039">
        <f>B191-D191</f>
        <v>-222.77409000000262</v>
      </c>
      <c r="G191" s="1039">
        <v>-0.27814774259601788</v>
      </c>
      <c r="H191" s="27"/>
      <c r="I191" s="1037"/>
      <c r="J191" s="1037"/>
      <c r="K191" s="1037"/>
      <c r="L191" s="1037"/>
      <c r="M191" s="1037"/>
      <c r="N191" s="1037"/>
      <c r="O191" s="1037"/>
      <c r="P191" s="1037"/>
      <c r="Q191" s="1037"/>
      <c r="R191" s="1037"/>
      <c r="S191" s="1037"/>
      <c r="T191" s="1037"/>
      <c r="U191" s="1037"/>
      <c r="V191" s="1037"/>
      <c r="W191" s="1037"/>
      <c r="X191" s="1037"/>
      <c r="Y191" s="1037"/>
      <c r="Z191" s="1037"/>
      <c r="AA191" s="1037"/>
      <c r="AB191" s="1037"/>
      <c r="AC191" s="1037"/>
      <c r="AD191" s="1037"/>
      <c r="AE191" s="1037"/>
      <c r="AF191" s="1037"/>
      <c r="AG191" s="1037"/>
      <c r="AH191" s="1037"/>
      <c r="AI191" s="1037"/>
      <c r="AJ191" s="1037"/>
      <c r="AK191" s="1037"/>
      <c r="AL191" s="1037"/>
      <c r="AM191" s="1037"/>
      <c r="AN191" s="1037"/>
      <c r="AO191" s="1037"/>
      <c r="AP191" s="1037"/>
      <c r="AQ191" s="1037"/>
      <c r="AR191" s="1037"/>
      <c r="AS191" s="1037"/>
      <c r="AT191" s="1037"/>
      <c r="AU191" s="1037"/>
      <c r="AV191" s="1037"/>
      <c r="AW191" s="1037"/>
      <c r="AX191" s="1037"/>
      <c r="AY191" s="1037"/>
      <c r="AZ191" s="1037"/>
      <c r="BA191" s="1037"/>
      <c r="BB191" s="1037"/>
      <c r="BC191" s="1037"/>
      <c r="BD191" s="1037"/>
      <c r="BE191" s="1037"/>
      <c r="BF191" s="1037"/>
      <c r="BG191" s="1037"/>
      <c r="BH191" s="1037"/>
      <c r="BI191" s="1037"/>
      <c r="BJ191" s="1037"/>
      <c r="BK191" s="1037"/>
      <c r="BL191" s="1037"/>
      <c r="BM191" s="1037"/>
      <c r="BN191" s="1037"/>
      <c r="BO191" s="1037"/>
      <c r="BP191" s="1037"/>
      <c r="BQ191" s="1037"/>
      <c r="BR191" s="1037"/>
      <c r="BS191" s="1037"/>
      <c r="BT191" s="1037"/>
      <c r="BU191" s="1037"/>
      <c r="BV191" s="1037"/>
      <c r="BW191" s="1037"/>
      <c r="BX191" s="1037"/>
      <c r="BY191" s="1037"/>
      <c r="BZ191" s="1037"/>
      <c r="CA191" s="1037"/>
      <c r="CB191" s="1037"/>
      <c r="CC191" s="1037"/>
      <c r="CD191" s="1037"/>
      <c r="CE191" s="1037"/>
      <c r="CF191" s="1037"/>
      <c r="CG191" s="1037"/>
      <c r="CH191" s="1037"/>
      <c r="CI191" s="1037"/>
      <c r="CJ191" s="1037"/>
      <c r="CK191" s="1037"/>
      <c r="CL191" s="1037"/>
      <c r="CM191" s="1037"/>
      <c r="CN191" s="1037"/>
      <c r="CO191" s="1037"/>
      <c r="CP191" s="1037"/>
      <c r="CQ191" s="1037"/>
      <c r="CR191" s="1037"/>
      <c r="CS191" s="1037"/>
      <c r="CT191" s="1037"/>
      <c r="CU191" s="1037"/>
      <c r="CV191" s="1037"/>
      <c r="CW191" s="1037"/>
      <c r="CX191" s="1037"/>
      <c r="CY191" s="1037"/>
      <c r="CZ191" s="1037"/>
      <c r="DA191" s="1037"/>
      <c r="DB191" s="1037"/>
      <c r="DC191" s="1037"/>
      <c r="DD191" s="1037"/>
      <c r="DE191" s="1037"/>
      <c r="DF191" s="1037"/>
      <c r="DG191" s="1037"/>
      <c r="DH191" s="1037"/>
      <c r="DI191" s="1037"/>
      <c r="DJ191" s="1037"/>
      <c r="DK191" s="1037"/>
      <c r="DL191" s="1037"/>
      <c r="DM191" s="1037"/>
      <c r="DN191" s="1037"/>
      <c r="DO191" s="1037"/>
      <c r="DP191" s="1037"/>
      <c r="DQ191" s="1037"/>
      <c r="DR191" s="1037"/>
      <c r="DS191" s="1037"/>
      <c r="DT191" s="1037"/>
      <c r="DU191" s="1037"/>
      <c r="DV191" s="1037"/>
      <c r="DW191" s="1037"/>
      <c r="DX191" s="1037"/>
      <c r="DY191" s="1037"/>
      <c r="DZ191" s="1037"/>
      <c r="EA191" s="1037"/>
      <c r="EB191" s="1037"/>
      <c r="EC191" s="1037"/>
      <c r="ED191" s="1037"/>
      <c r="EE191" s="1037"/>
      <c r="EF191" s="1037"/>
      <c r="EG191" s="1037"/>
      <c r="EH191" s="1037"/>
      <c r="EI191" s="1037"/>
      <c r="EJ191" s="1037"/>
      <c r="EK191" s="1037"/>
      <c r="EL191" s="1037"/>
      <c r="EM191" s="1037"/>
      <c r="EN191" s="1037"/>
      <c r="EO191" s="1037"/>
      <c r="EP191" s="1037"/>
      <c r="EQ191" s="1037"/>
      <c r="ER191" s="1037"/>
      <c r="ES191" s="1037"/>
      <c r="ET191" s="1037"/>
      <c r="EU191" s="1037"/>
      <c r="EV191" s="1037"/>
      <c r="EW191" s="1037"/>
      <c r="EX191" s="1037"/>
      <c r="EY191" s="1037"/>
      <c r="EZ191" s="1037"/>
      <c r="FA191" s="1037"/>
      <c r="FB191" s="1037"/>
      <c r="FC191" s="1037"/>
      <c r="FD191" s="1037"/>
      <c r="FE191" s="1037"/>
      <c r="FF191" s="1037"/>
      <c r="FG191" s="1037"/>
      <c r="FH191" s="1037"/>
      <c r="FI191" s="1037"/>
      <c r="FJ191" s="1037"/>
      <c r="FK191" s="1037"/>
      <c r="FL191" s="1037"/>
      <c r="FM191" s="1037"/>
      <c r="FN191" s="1037"/>
      <c r="FO191" s="1037"/>
      <c r="FP191" s="1037"/>
      <c r="FQ191" s="1037"/>
      <c r="FR191" s="1037"/>
      <c r="FS191" s="1037"/>
      <c r="FT191" s="1037"/>
      <c r="FU191" s="1037"/>
      <c r="FV191" s="1037"/>
      <c r="FW191" s="1037"/>
      <c r="FX191" s="1037"/>
      <c r="FY191" s="1037"/>
      <c r="FZ191" s="1037"/>
      <c r="GA191" s="1037"/>
      <c r="GB191" s="1037"/>
      <c r="GC191" s="1037"/>
      <c r="GD191" s="1037"/>
      <c r="GE191" s="1037"/>
      <c r="GF191" s="1037"/>
      <c r="GG191" s="1037"/>
      <c r="GH191" s="1037"/>
      <c r="GI191" s="1037"/>
      <c r="GJ191" s="1037"/>
      <c r="GK191" s="1037"/>
      <c r="GL191" s="1037"/>
      <c r="GM191" s="1037"/>
      <c r="GN191" s="1037"/>
      <c r="GO191" s="1037"/>
      <c r="GP191" s="1037"/>
      <c r="GQ191" s="1037"/>
      <c r="GR191" s="1037"/>
      <c r="GS191" s="1037"/>
      <c r="GT191" s="1037"/>
      <c r="GU191" s="1037"/>
      <c r="GV191" s="1037"/>
      <c r="GW191" s="1037"/>
      <c r="GX191" s="1037"/>
      <c r="GY191" s="1037"/>
      <c r="GZ191" s="1037"/>
      <c r="HA191" s="1037"/>
      <c r="HB191" s="1037"/>
      <c r="HC191" s="1037"/>
      <c r="HD191" s="1037"/>
      <c r="HE191" s="1037"/>
      <c r="HF191" s="1037"/>
      <c r="HG191" s="1037"/>
      <c r="HH191" s="1037"/>
      <c r="HI191" s="1037"/>
      <c r="HJ191" s="1037"/>
      <c r="HK191" s="1037"/>
      <c r="HL191" s="1037"/>
      <c r="HM191" s="1037"/>
      <c r="HN191" s="1037"/>
      <c r="HO191" s="1037"/>
      <c r="HP191" s="1037"/>
      <c r="HQ191" s="1037"/>
      <c r="HR191" s="1037"/>
      <c r="HS191" s="1037"/>
      <c r="HT191" s="1037"/>
      <c r="HU191" s="1037"/>
      <c r="HV191" s="1037"/>
      <c r="HW191" s="1037"/>
      <c r="HX191" s="1037"/>
      <c r="HY191" s="1037"/>
      <c r="HZ191" s="1037"/>
      <c r="IA191" s="1037"/>
      <c r="IB191" s="1037"/>
      <c r="IC191" s="1037"/>
      <c r="ID191" s="1037"/>
      <c r="IE191" s="1037"/>
      <c r="IF191" s="1037"/>
      <c r="IG191" s="1037"/>
      <c r="IH191" s="1037"/>
      <c r="II191" s="1037"/>
      <c r="IJ191" s="1037"/>
      <c r="IK191" s="1037"/>
      <c r="IL191" s="1037"/>
      <c r="IM191" s="1037"/>
      <c r="IN191" s="1037"/>
    </row>
    <row r="192" spans="1:248">
      <c r="A192" s="701" t="s">
        <v>18</v>
      </c>
      <c r="B192" s="703">
        <v>1393.1</v>
      </c>
      <c r="C192" s="1038">
        <v>23.028349450367795</v>
      </c>
      <c r="D192" s="704">
        <v>976.5</v>
      </c>
      <c r="E192" s="1038">
        <v>16.141829903297793</v>
      </c>
      <c r="F192" s="1038">
        <v>416.59999999999991</v>
      </c>
      <c r="G192" s="1038">
        <f t="shared" si="28"/>
        <v>7.161890353968607</v>
      </c>
      <c r="H192" s="390">
        <v>5816.9</v>
      </c>
      <c r="I192" s="1037"/>
      <c r="J192" s="1037"/>
      <c r="K192" s="1037"/>
      <c r="L192" s="1037"/>
      <c r="M192" s="1037"/>
      <c r="N192" s="1037"/>
      <c r="O192" s="1037"/>
      <c r="P192" s="1037"/>
      <c r="Q192" s="1037"/>
      <c r="R192" s="1037"/>
      <c r="S192" s="1037"/>
      <c r="T192" s="1037"/>
      <c r="U192" s="1037"/>
      <c r="V192" s="1037"/>
      <c r="W192" s="1037"/>
      <c r="X192" s="1037"/>
      <c r="Y192" s="1037"/>
      <c r="Z192" s="1037"/>
      <c r="AA192" s="1037"/>
      <c r="AB192" s="1037"/>
      <c r="AC192" s="1037"/>
      <c r="AD192" s="1037"/>
      <c r="AE192" s="1037"/>
      <c r="AF192" s="1037"/>
      <c r="AG192" s="1037"/>
      <c r="AH192" s="1037"/>
      <c r="AI192" s="1037"/>
      <c r="AJ192" s="1037"/>
      <c r="AK192" s="1037"/>
      <c r="AL192" s="1037"/>
      <c r="AM192" s="1037"/>
      <c r="AN192" s="1037"/>
      <c r="AO192" s="1037"/>
      <c r="AP192" s="1037"/>
      <c r="AQ192" s="1037"/>
      <c r="AR192" s="1037"/>
      <c r="AS192" s="1037"/>
      <c r="AT192" s="1037"/>
      <c r="AU192" s="1037"/>
      <c r="AV192" s="1037"/>
      <c r="AW192" s="1037"/>
      <c r="AX192" s="1037"/>
      <c r="AY192" s="1037"/>
      <c r="AZ192" s="1037"/>
      <c r="BA192" s="1037"/>
      <c r="BB192" s="1037"/>
      <c r="BC192" s="1037"/>
      <c r="BD192" s="1037"/>
      <c r="BE192" s="1037"/>
      <c r="BF192" s="1037"/>
      <c r="BG192" s="1037"/>
      <c r="BH192" s="1037"/>
      <c r="BI192" s="1037"/>
      <c r="BJ192" s="1037"/>
      <c r="BK192" s="1037"/>
      <c r="BL192" s="1037"/>
      <c r="BM192" s="1037"/>
      <c r="BN192" s="1037"/>
      <c r="BO192" s="1037"/>
      <c r="BP192" s="1037"/>
      <c r="BQ192" s="1037"/>
      <c r="BR192" s="1037"/>
      <c r="BS192" s="1037"/>
      <c r="BT192" s="1037"/>
      <c r="BU192" s="1037"/>
      <c r="BV192" s="1037"/>
      <c r="BW192" s="1037"/>
      <c r="BX192" s="1037"/>
      <c r="BY192" s="1037"/>
      <c r="BZ192" s="1037"/>
      <c r="CA192" s="1037"/>
      <c r="CB192" s="1037"/>
      <c r="CC192" s="1037"/>
      <c r="CD192" s="1037"/>
      <c r="CE192" s="1037"/>
      <c r="CF192" s="1037"/>
      <c r="CG192" s="1037"/>
      <c r="CH192" s="1037"/>
      <c r="CI192" s="1037"/>
      <c r="CJ192" s="1037"/>
      <c r="CK192" s="1037"/>
      <c r="CL192" s="1037"/>
      <c r="CM192" s="1037"/>
      <c r="CN192" s="1037"/>
      <c r="CO192" s="1037"/>
      <c r="CP192" s="1037"/>
      <c r="CQ192" s="1037"/>
      <c r="CR192" s="1037"/>
      <c r="CS192" s="1037"/>
      <c r="CT192" s="1037"/>
      <c r="CU192" s="1037"/>
      <c r="CV192" s="1037"/>
      <c r="CW192" s="1037"/>
      <c r="CX192" s="1037"/>
      <c r="CY192" s="1037"/>
      <c r="CZ192" s="1037"/>
      <c r="DA192" s="1037"/>
      <c r="DB192" s="1037"/>
      <c r="DC192" s="1037"/>
      <c r="DD192" s="1037"/>
      <c r="DE192" s="1037"/>
      <c r="DF192" s="1037"/>
      <c r="DG192" s="1037"/>
      <c r="DH192" s="1037"/>
      <c r="DI192" s="1037"/>
      <c r="DJ192" s="1037"/>
      <c r="DK192" s="1037"/>
      <c r="DL192" s="1037"/>
      <c r="DM192" s="1037"/>
      <c r="DN192" s="1037"/>
      <c r="DO192" s="1037"/>
      <c r="DP192" s="1037"/>
      <c r="DQ192" s="1037"/>
      <c r="DR192" s="1037"/>
      <c r="DS192" s="1037"/>
      <c r="DT192" s="1037"/>
      <c r="DU192" s="1037"/>
      <c r="DV192" s="1037"/>
      <c r="DW192" s="1037"/>
      <c r="DX192" s="1037"/>
      <c r="DY192" s="1037"/>
      <c r="DZ192" s="1037"/>
      <c r="EA192" s="1037"/>
      <c r="EB192" s="1037"/>
      <c r="EC192" s="1037"/>
      <c r="ED192" s="1037"/>
      <c r="EE192" s="1037"/>
      <c r="EF192" s="1037"/>
      <c r="EG192" s="1037"/>
      <c r="EH192" s="1037"/>
      <c r="EI192" s="1037"/>
      <c r="EJ192" s="1037"/>
      <c r="EK192" s="1037"/>
      <c r="EL192" s="1037"/>
      <c r="EM192" s="1037"/>
      <c r="EN192" s="1037"/>
      <c r="EO192" s="1037"/>
      <c r="EP192" s="1037"/>
      <c r="EQ192" s="1037"/>
      <c r="ER192" s="1037"/>
      <c r="ES192" s="1037"/>
      <c r="ET192" s="1037"/>
      <c r="EU192" s="1037"/>
      <c r="EV192" s="1037"/>
      <c r="EW192" s="1037"/>
      <c r="EX192" s="1037"/>
      <c r="EY192" s="1037"/>
      <c r="EZ192" s="1037"/>
      <c r="FA192" s="1037"/>
      <c r="FB192" s="1037"/>
      <c r="FC192" s="1037"/>
      <c r="FD192" s="1037"/>
      <c r="FE192" s="1037"/>
      <c r="FF192" s="1037"/>
      <c r="FG192" s="1037"/>
      <c r="FH192" s="1037"/>
      <c r="FI192" s="1037"/>
      <c r="FJ192" s="1037"/>
      <c r="FK192" s="1037"/>
      <c r="FL192" s="1037"/>
      <c r="FM192" s="1037"/>
      <c r="FN192" s="1037"/>
      <c r="FO192" s="1037"/>
      <c r="FP192" s="1037"/>
      <c r="FQ192" s="1037"/>
      <c r="FR192" s="1037"/>
      <c r="FS192" s="1037"/>
      <c r="FT192" s="1037"/>
      <c r="FU192" s="1037"/>
      <c r="FV192" s="1037"/>
      <c r="FW192" s="1037"/>
      <c r="FX192" s="1037"/>
      <c r="FY192" s="1037"/>
      <c r="FZ192" s="1037"/>
      <c r="GA192" s="1037"/>
      <c r="GB192" s="1037"/>
      <c r="GC192" s="1037"/>
      <c r="GD192" s="1037"/>
      <c r="GE192" s="1037"/>
      <c r="GF192" s="1037"/>
      <c r="GG192" s="1037"/>
      <c r="GH192" s="1037"/>
      <c r="GI192" s="1037"/>
      <c r="GJ192" s="1037"/>
      <c r="GK192" s="1037"/>
      <c r="GL192" s="1037"/>
      <c r="GM192" s="1037"/>
      <c r="GN192" s="1037"/>
      <c r="GO192" s="1037"/>
      <c r="GP192" s="1037"/>
      <c r="GQ192" s="1037"/>
      <c r="GR192" s="1037"/>
      <c r="GS192" s="1037"/>
      <c r="GT192" s="1037"/>
      <c r="GU192" s="1037"/>
      <c r="GV192" s="1037"/>
      <c r="GW192" s="1037"/>
      <c r="GX192" s="1037"/>
      <c r="GY192" s="1037"/>
      <c r="GZ192" s="1037"/>
      <c r="HA192" s="1037"/>
      <c r="HB192" s="1037"/>
      <c r="HC192" s="1037"/>
      <c r="HD192" s="1037"/>
      <c r="HE192" s="1037"/>
      <c r="HF192" s="1037"/>
      <c r="HG192" s="1037"/>
      <c r="HH192" s="1037"/>
      <c r="HI192" s="1037"/>
      <c r="HJ192" s="1037"/>
      <c r="HK192" s="1037"/>
      <c r="HL192" s="1037"/>
      <c r="HM192" s="1037"/>
      <c r="HN192" s="1037"/>
      <c r="HO192" s="1037"/>
      <c r="HP192" s="1037"/>
      <c r="HQ192" s="1037"/>
      <c r="HR192" s="1037"/>
      <c r="HS192" s="1037"/>
      <c r="HT192" s="1037"/>
      <c r="HU192" s="1037"/>
      <c r="HV192" s="1037"/>
      <c r="HW192" s="1037"/>
      <c r="HX192" s="1037"/>
      <c r="HY192" s="1037"/>
      <c r="HZ192" s="1037"/>
      <c r="IA192" s="1037"/>
      <c r="IB192" s="1037"/>
      <c r="IC192" s="1037"/>
      <c r="ID192" s="1037"/>
      <c r="IE192" s="1037"/>
      <c r="IF192" s="1037"/>
      <c r="IG192" s="1037"/>
      <c r="IH192" s="1037"/>
      <c r="II192" s="1037"/>
      <c r="IJ192" s="1037"/>
      <c r="IK192" s="1037"/>
      <c r="IL192" s="1037"/>
      <c r="IM192" s="1037"/>
      <c r="IN192" s="1037"/>
    </row>
    <row r="193" spans="1:248">
      <c r="A193" s="701" t="s">
        <v>19</v>
      </c>
      <c r="B193" s="703">
        <v>2609.5</v>
      </c>
      <c r="C193" s="1038">
        <v>22.609712775635749</v>
      </c>
      <c r="D193" s="704">
        <v>2469.6</v>
      </c>
      <c r="E193" s="1038">
        <v>21.397565307802278</v>
      </c>
      <c r="F193" s="1038">
        <v>139.90000000000009</v>
      </c>
      <c r="G193" s="1038">
        <f t="shared" si="28"/>
        <v>1.2368162810640695</v>
      </c>
      <c r="H193" s="390">
        <v>11311.3</v>
      </c>
      <c r="I193" s="1037"/>
      <c r="J193" s="1037"/>
      <c r="K193" s="1037"/>
      <c r="L193" s="1037"/>
      <c r="M193" s="1037"/>
      <c r="N193" s="1037"/>
      <c r="O193" s="1037"/>
      <c r="P193" s="1037"/>
      <c r="Q193" s="1037"/>
      <c r="R193" s="1037"/>
      <c r="S193" s="1037"/>
      <c r="T193" s="1037"/>
      <c r="U193" s="1037"/>
      <c r="V193" s="1037"/>
      <c r="W193" s="1037"/>
      <c r="X193" s="1037"/>
      <c r="Y193" s="1037"/>
      <c r="Z193" s="1037"/>
      <c r="AA193" s="1037"/>
      <c r="AB193" s="1037"/>
      <c r="AC193" s="1037"/>
      <c r="AD193" s="1037"/>
      <c r="AE193" s="1037"/>
      <c r="AF193" s="1037"/>
      <c r="AG193" s="1037"/>
      <c r="AH193" s="1037"/>
      <c r="AI193" s="1037"/>
      <c r="AJ193" s="1037"/>
      <c r="AK193" s="1037"/>
      <c r="AL193" s="1037"/>
      <c r="AM193" s="1037"/>
      <c r="AN193" s="1037"/>
      <c r="AO193" s="1037"/>
      <c r="AP193" s="1037"/>
      <c r="AQ193" s="1037"/>
      <c r="AR193" s="1037"/>
      <c r="AS193" s="1037"/>
      <c r="AT193" s="1037"/>
      <c r="AU193" s="1037"/>
      <c r="AV193" s="1037"/>
      <c r="AW193" s="1037"/>
      <c r="AX193" s="1037"/>
      <c r="AY193" s="1037"/>
      <c r="AZ193" s="1037"/>
      <c r="BA193" s="1037"/>
      <c r="BB193" s="1037"/>
      <c r="BC193" s="1037"/>
      <c r="BD193" s="1037"/>
      <c r="BE193" s="1037"/>
      <c r="BF193" s="1037"/>
      <c r="BG193" s="1037"/>
      <c r="BH193" s="1037"/>
      <c r="BI193" s="1037"/>
      <c r="BJ193" s="1037"/>
      <c r="BK193" s="1037"/>
      <c r="BL193" s="1037"/>
      <c r="BM193" s="1037"/>
      <c r="BN193" s="1037"/>
      <c r="BO193" s="1037"/>
      <c r="BP193" s="1037"/>
      <c r="BQ193" s="1037"/>
      <c r="BR193" s="1037"/>
      <c r="BS193" s="1037"/>
      <c r="BT193" s="1037"/>
      <c r="BU193" s="1037"/>
      <c r="BV193" s="1037"/>
      <c r="BW193" s="1037"/>
      <c r="BX193" s="1037"/>
      <c r="BY193" s="1037"/>
      <c r="BZ193" s="1037"/>
      <c r="CA193" s="1037"/>
      <c r="CB193" s="1037"/>
      <c r="CC193" s="1037"/>
      <c r="CD193" s="1037"/>
      <c r="CE193" s="1037"/>
      <c r="CF193" s="1037"/>
      <c r="CG193" s="1037"/>
      <c r="CH193" s="1037"/>
      <c r="CI193" s="1037"/>
      <c r="CJ193" s="1037"/>
      <c r="CK193" s="1037"/>
      <c r="CL193" s="1037"/>
      <c r="CM193" s="1037"/>
      <c r="CN193" s="1037"/>
      <c r="CO193" s="1037"/>
      <c r="CP193" s="1037"/>
      <c r="CQ193" s="1037"/>
      <c r="CR193" s="1037"/>
      <c r="CS193" s="1037"/>
      <c r="CT193" s="1037"/>
      <c r="CU193" s="1037"/>
      <c r="CV193" s="1037"/>
      <c r="CW193" s="1037"/>
      <c r="CX193" s="1037"/>
      <c r="CY193" s="1037"/>
      <c r="CZ193" s="1037"/>
      <c r="DA193" s="1037"/>
      <c r="DB193" s="1037"/>
      <c r="DC193" s="1037"/>
      <c r="DD193" s="1037"/>
      <c r="DE193" s="1037"/>
      <c r="DF193" s="1037"/>
      <c r="DG193" s="1037"/>
      <c r="DH193" s="1037"/>
      <c r="DI193" s="1037"/>
      <c r="DJ193" s="1037"/>
      <c r="DK193" s="1037"/>
      <c r="DL193" s="1037"/>
      <c r="DM193" s="1037"/>
      <c r="DN193" s="1037"/>
      <c r="DO193" s="1037"/>
      <c r="DP193" s="1037"/>
      <c r="DQ193" s="1037"/>
      <c r="DR193" s="1037"/>
      <c r="DS193" s="1037"/>
      <c r="DT193" s="1037"/>
      <c r="DU193" s="1037"/>
      <c r="DV193" s="1037"/>
      <c r="DW193" s="1037"/>
      <c r="DX193" s="1037"/>
      <c r="DY193" s="1037"/>
      <c r="DZ193" s="1037"/>
      <c r="EA193" s="1037"/>
      <c r="EB193" s="1037"/>
      <c r="EC193" s="1037"/>
      <c r="ED193" s="1037"/>
      <c r="EE193" s="1037"/>
      <c r="EF193" s="1037"/>
      <c r="EG193" s="1037"/>
      <c r="EH193" s="1037"/>
      <c r="EI193" s="1037"/>
      <c r="EJ193" s="1037"/>
      <c r="EK193" s="1037"/>
      <c r="EL193" s="1037"/>
      <c r="EM193" s="1037"/>
      <c r="EN193" s="1037"/>
      <c r="EO193" s="1037"/>
      <c r="EP193" s="1037"/>
      <c r="EQ193" s="1037"/>
      <c r="ER193" s="1037"/>
      <c r="ES193" s="1037"/>
      <c r="ET193" s="1037"/>
      <c r="EU193" s="1037"/>
      <c r="EV193" s="1037"/>
      <c r="EW193" s="1037"/>
      <c r="EX193" s="1037"/>
      <c r="EY193" s="1037"/>
      <c r="EZ193" s="1037"/>
      <c r="FA193" s="1037"/>
      <c r="FB193" s="1037"/>
      <c r="FC193" s="1037"/>
      <c r="FD193" s="1037"/>
      <c r="FE193" s="1037"/>
      <c r="FF193" s="1037"/>
      <c r="FG193" s="1037"/>
      <c r="FH193" s="1037"/>
      <c r="FI193" s="1037"/>
      <c r="FJ193" s="1037"/>
      <c r="FK193" s="1037"/>
      <c r="FL193" s="1037"/>
      <c r="FM193" s="1037"/>
      <c r="FN193" s="1037"/>
      <c r="FO193" s="1037"/>
      <c r="FP193" s="1037"/>
      <c r="FQ193" s="1037"/>
      <c r="FR193" s="1037"/>
      <c r="FS193" s="1037"/>
      <c r="FT193" s="1037"/>
      <c r="FU193" s="1037"/>
      <c r="FV193" s="1037"/>
      <c r="FW193" s="1037"/>
      <c r="FX193" s="1037"/>
      <c r="FY193" s="1037"/>
      <c r="FZ193" s="1037"/>
      <c r="GA193" s="1037"/>
      <c r="GB193" s="1037"/>
      <c r="GC193" s="1037"/>
      <c r="GD193" s="1037"/>
      <c r="GE193" s="1037"/>
      <c r="GF193" s="1037"/>
      <c r="GG193" s="1037"/>
      <c r="GH193" s="1037"/>
      <c r="GI193" s="1037"/>
      <c r="GJ193" s="1037"/>
      <c r="GK193" s="1037"/>
      <c r="GL193" s="1037"/>
      <c r="GM193" s="1037"/>
      <c r="GN193" s="1037"/>
      <c r="GO193" s="1037"/>
      <c r="GP193" s="1037"/>
      <c r="GQ193" s="1037"/>
      <c r="GR193" s="1037"/>
      <c r="GS193" s="1037"/>
      <c r="GT193" s="1037"/>
      <c r="GU193" s="1037"/>
      <c r="GV193" s="1037"/>
      <c r="GW193" s="1037"/>
      <c r="GX193" s="1037"/>
      <c r="GY193" s="1037"/>
      <c r="GZ193" s="1037"/>
      <c r="HA193" s="1037"/>
      <c r="HB193" s="1037"/>
      <c r="HC193" s="1037"/>
      <c r="HD193" s="1037"/>
      <c r="HE193" s="1037"/>
      <c r="HF193" s="1037"/>
      <c r="HG193" s="1037"/>
      <c r="HH193" s="1037"/>
      <c r="HI193" s="1037"/>
      <c r="HJ193" s="1037"/>
      <c r="HK193" s="1037"/>
      <c r="HL193" s="1037"/>
      <c r="HM193" s="1037"/>
      <c r="HN193" s="1037"/>
      <c r="HO193" s="1037"/>
      <c r="HP193" s="1037"/>
      <c r="HQ193" s="1037"/>
      <c r="HR193" s="1037"/>
      <c r="HS193" s="1037"/>
      <c r="HT193" s="1037"/>
      <c r="HU193" s="1037"/>
      <c r="HV193" s="1037"/>
      <c r="HW193" s="1037"/>
      <c r="HX193" s="1037"/>
      <c r="HY193" s="1037"/>
      <c r="HZ193" s="1037"/>
      <c r="IA193" s="1037"/>
      <c r="IB193" s="1037"/>
      <c r="IC193" s="1037"/>
      <c r="ID193" s="1037"/>
      <c r="IE193" s="1037"/>
      <c r="IF193" s="1037"/>
      <c r="IG193" s="1037"/>
      <c r="IH193" s="1037"/>
      <c r="II193" s="1037"/>
      <c r="IJ193" s="1037"/>
      <c r="IK193" s="1037"/>
      <c r="IL193" s="1037"/>
      <c r="IM193" s="1037"/>
      <c r="IN193" s="1037"/>
    </row>
    <row r="194" spans="1:248">
      <c r="A194" s="701" t="s">
        <v>20</v>
      </c>
      <c r="B194" s="703">
        <v>4563</v>
      </c>
      <c r="C194" s="1038">
        <v>26.552071271042944</v>
      </c>
      <c r="D194" s="704">
        <v>4408</v>
      </c>
      <c r="E194" s="1038">
        <v>25.650127145026797</v>
      </c>
      <c r="F194" s="1038">
        <v>155</v>
      </c>
      <c r="G194" s="1038">
        <f t="shared" si="28"/>
        <v>0.87798799139005324</v>
      </c>
      <c r="H194" s="390">
        <v>17654</v>
      </c>
      <c r="I194" s="1037"/>
      <c r="J194" s="1037"/>
      <c r="K194" s="1037"/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7"/>
      <c r="Y194" s="1037"/>
      <c r="Z194" s="1037"/>
      <c r="AA194" s="1037"/>
      <c r="AB194" s="1037"/>
      <c r="AC194" s="1037"/>
      <c r="AD194" s="1037"/>
      <c r="AE194" s="1037"/>
      <c r="AF194" s="1037"/>
      <c r="AG194" s="1037"/>
      <c r="AH194" s="1037"/>
      <c r="AI194" s="1037"/>
      <c r="AJ194" s="1037"/>
      <c r="AK194" s="1037"/>
      <c r="AL194" s="1037"/>
      <c r="AM194" s="1037"/>
      <c r="AN194" s="1037"/>
      <c r="AO194" s="1037"/>
      <c r="AP194" s="1037"/>
      <c r="AQ194" s="1037"/>
      <c r="AR194" s="1037"/>
      <c r="AS194" s="1037"/>
      <c r="AT194" s="1037"/>
      <c r="AU194" s="1037"/>
      <c r="AV194" s="1037"/>
      <c r="AW194" s="1037"/>
      <c r="AX194" s="1037"/>
      <c r="AY194" s="1037"/>
      <c r="AZ194" s="1037"/>
      <c r="BA194" s="1037"/>
      <c r="BB194" s="1037"/>
      <c r="BC194" s="1037"/>
      <c r="BD194" s="1037"/>
      <c r="BE194" s="1037"/>
      <c r="BF194" s="1037"/>
      <c r="BG194" s="1037"/>
      <c r="BH194" s="1037"/>
      <c r="BI194" s="1037"/>
      <c r="BJ194" s="1037"/>
      <c r="BK194" s="1037"/>
      <c r="BL194" s="1037"/>
      <c r="BM194" s="1037"/>
      <c r="BN194" s="1037"/>
      <c r="BO194" s="1037"/>
      <c r="BP194" s="1037"/>
      <c r="BQ194" s="1037"/>
      <c r="BR194" s="1037"/>
      <c r="BS194" s="1037"/>
      <c r="BT194" s="1037"/>
      <c r="BU194" s="1037"/>
      <c r="BV194" s="1037"/>
      <c r="BW194" s="1037"/>
      <c r="BX194" s="1037"/>
      <c r="BY194" s="1037"/>
      <c r="BZ194" s="1037"/>
      <c r="CA194" s="1037"/>
      <c r="CB194" s="1037"/>
      <c r="CC194" s="1037"/>
      <c r="CD194" s="1037"/>
      <c r="CE194" s="1037"/>
      <c r="CF194" s="1037"/>
      <c r="CG194" s="1037"/>
      <c r="CH194" s="1037"/>
      <c r="CI194" s="1037"/>
      <c r="CJ194" s="1037"/>
      <c r="CK194" s="1037"/>
      <c r="CL194" s="1037"/>
      <c r="CM194" s="1037"/>
      <c r="CN194" s="1037"/>
      <c r="CO194" s="1037"/>
      <c r="CP194" s="1037"/>
      <c r="CQ194" s="1037"/>
      <c r="CR194" s="1037"/>
      <c r="CS194" s="1037"/>
      <c r="CT194" s="1037"/>
      <c r="CU194" s="1037"/>
      <c r="CV194" s="1037"/>
      <c r="CW194" s="1037"/>
      <c r="CX194" s="1037"/>
      <c r="CY194" s="1037"/>
      <c r="CZ194" s="1037"/>
      <c r="DA194" s="1037"/>
      <c r="DB194" s="1037"/>
      <c r="DC194" s="1037"/>
      <c r="DD194" s="1037"/>
      <c r="DE194" s="1037"/>
      <c r="DF194" s="1037"/>
      <c r="DG194" s="1037"/>
      <c r="DH194" s="1037"/>
      <c r="DI194" s="1037"/>
      <c r="DJ194" s="1037"/>
      <c r="DK194" s="1037"/>
      <c r="DL194" s="1037"/>
      <c r="DM194" s="1037"/>
      <c r="DN194" s="1037"/>
      <c r="DO194" s="1037"/>
      <c r="DP194" s="1037"/>
      <c r="DQ194" s="1037"/>
      <c r="DR194" s="1037"/>
      <c r="DS194" s="1037"/>
      <c r="DT194" s="1037"/>
      <c r="DU194" s="1037"/>
      <c r="DV194" s="1037"/>
      <c r="DW194" s="1037"/>
      <c r="DX194" s="1037"/>
      <c r="DY194" s="1037"/>
      <c r="DZ194" s="1037"/>
      <c r="EA194" s="1037"/>
      <c r="EB194" s="1037"/>
      <c r="EC194" s="1037"/>
      <c r="ED194" s="1037"/>
      <c r="EE194" s="1037"/>
      <c r="EF194" s="1037"/>
      <c r="EG194" s="1037"/>
      <c r="EH194" s="1037"/>
      <c r="EI194" s="1037"/>
      <c r="EJ194" s="1037"/>
      <c r="EK194" s="1037"/>
      <c r="EL194" s="1037"/>
      <c r="EM194" s="1037"/>
      <c r="EN194" s="1037"/>
      <c r="EO194" s="1037"/>
      <c r="EP194" s="1037"/>
      <c r="EQ194" s="1037"/>
      <c r="ER194" s="1037"/>
      <c r="ES194" s="1037"/>
      <c r="ET194" s="1037"/>
      <c r="EU194" s="1037"/>
      <c r="EV194" s="1037"/>
      <c r="EW194" s="1037"/>
      <c r="EX194" s="1037"/>
      <c r="EY194" s="1037"/>
      <c r="EZ194" s="1037"/>
      <c r="FA194" s="1037"/>
      <c r="FB194" s="1037"/>
      <c r="FC194" s="1037"/>
      <c r="FD194" s="1037"/>
      <c r="FE194" s="1037"/>
      <c r="FF194" s="1037"/>
      <c r="FG194" s="1037"/>
      <c r="FH194" s="1037"/>
      <c r="FI194" s="1037"/>
      <c r="FJ194" s="1037"/>
      <c r="FK194" s="1037"/>
      <c r="FL194" s="1037"/>
      <c r="FM194" s="1037"/>
      <c r="FN194" s="1037"/>
      <c r="FO194" s="1037"/>
      <c r="FP194" s="1037"/>
      <c r="FQ194" s="1037"/>
      <c r="FR194" s="1037"/>
      <c r="FS194" s="1037"/>
      <c r="FT194" s="1037"/>
      <c r="FU194" s="1037"/>
      <c r="FV194" s="1037"/>
      <c r="FW194" s="1037"/>
      <c r="FX194" s="1037"/>
      <c r="FY194" s="1037"/>
      <c r="FZ194" s="1037"/>
      <c r="GA194" s="1037"/>
      <c r="GB194" s="1037"/>
      <c r="GC194" s="1037"/>
      <c r="GD194" s="1037"/>
      <c r="GE194" s="1037"/>
      <c r="GF194" s="1037"/>
      <c r="GG194" s="1037"/>
      <c r="GH194" s="1037"/>
      <c r="GI194" s="1037"/>
      <c r="GJ194" s="1037"/>
      <c r="GK194" s="1037"/>
      <c r="GL194" s="1037"/>
      <c r="GM194" s="1037"/>
      <c r="GN194" s="1037"/>
      <c r="GO194" s="1037"/>
      <c r="GP194" s="1037"/>
      <c r="GQ194" s="1037"/>
      <c r="GR194" s="1037"/>
      <c r="GS194" s="1037"/>
      <c r="GT194" s="1037"/>
      <c r="GU194" s="1037"/>
      <c r="GV194" s="1037"/>
      <c r="GW194" s="1037"/>
      <c r="GX194" s="1037"/>
      <c r="GY194" s="1037"/>
      <c r="GZ194" s="1037"/>
      <c r="HA194" s="1037"/>
      <c r="HB194" s="1037"/>
      <c r="HC194" s="1037"/>
      <c r="HD194" s="1037"/>
      <c r="HE194" s="1037"/>
      <c r="HF194" s="1037"/>
      <c r="HG194" s="1037"/>
      <c r="HH194" s="1037"/>
      <c r="HI194" s="1037"/>
      <c r="HJ194" s="1037"/>
      <c r="HK194" s="1037"/>
      <c r="HL194" s="1037"/>
      <c r="HM194" s="1037"/>
      <c r="HN194" s="1037"/>
      <c r="HO194" s="1037"/>
      <c r="HP194" s="1037"/>
      <c r="HQ194" s="1037"/>
      <c r="HR194" s="1037"/>
      <c r="HS194" s="1037"/>
      <c r="HT194" s="1037"/>
      <c r="HU194" s="1037"/>
      <c r="HV194" s="1037"/>
      <c r="HW194" s="1037"/>
      <c r="HX194" s="1037"/>
      <c r="HY194" s="1037"/>
      <c r="HZ194" s="1037"/>
      <c r="IA194" s="1037"/>
      <c r="IB194" s="1037"/>
      <c r="IC194" s="1037"/>
      <c r="ID194" s="1037"/>
      <c r="IE194" s="1037"/>
      <c r="IF194" s="1037"/>
      <c r="IG194" s="1037"/>
      <c r="IH194" s="1037"/>
      <c r="II194" s="1037"/>
      <c r="IJ194" s="1037"/>
      <c r="IK194" s="1037"/>
      <c r="IL194" s="1037"/>
      <c r="IM194" s="1037"/>
      <c r="IN194" s="1037"/>
    </row>
    <row r="195" spans="1:248">
      <c r="A195" s="701" t="s">
        <v>21</v>
      </c>
      <c r="B195" s="703">
        <v>6619.9</v>
      </c>
      <c r="C195" s="1038">
        <v>28.821019635160432</v>
      </c>
      <c r="D195" s="704">
        <v>5966</v>
      </c>
      <c r="E195" s="1038">
        <v>25.974139056989852</v>
      </c>
      <c r="F195" s="1038">
        <v>653.89999999999964</v>
      </c>
      <c r="G195" s="1038">
        <f t="shared" si="28"/>
        <v>2.8327593302575416</v>
      </c>
      <c r="H195" s="390">
        <v>23083.5</v>
      </c>
      <c r="I195" s="1037"/>
      <c r="J195" s="1037"/>
      <c r="K195" s="1037"/>
      <c r="L195" s="1037"/>
      <c r="M195" s="1037"/>
      <c r="N195" s="1037"/>
      <c r="O195" s="1037"/>
      <c r="P195" s="1037"/>
      <c r="Q195" s="1037"/>
      <c r="R195" s="1037"/>
      <c r="S195" s="1037"/>
      <c r="T195" s="1037"/>
      <c r="U195" s="1037"/>
      <c r="V195" s="1037"/>
      <c r="W195" s="1037"/>
      <c r="X195" s="1037"/>
      <c r="Y195" s="1037"/>
      <c r="Z195" s="1037"/>
      <c r="AA195" s="1037"/>
      <c r="AB195" s="1037"/>
      <c r="AC195" s="1037"/>
      <c r="AD195" s="1037"/>
      <c r="AE195" s="1037"/>
      <c r="AF195" s="1037"/>
      <c r="AG195" s="1037"/>
      <c r="AH195" s="1037"/>
      <c r="AI195" s="1037"/>
      <c r="AJ195" s="1037"/>
      <c r="AK195" s="1037"/>
      <c r="AL195" s="1037"/>
      <c r="AM195" s="1037"/>
      <c r="AN195" s="1037"/>
      <c r="AO195" s="1037"/>
      <c r="AP195" s="1037"/>
      <c r="AQ195" s="1037"/>
      <c r="AR195" s="1037"/>
      <c r="AS195" s="1037"/>
      <c r="AT195" s="1037"/>
      <c r="AU195" s="1037"/>
      <c r="AV195" s="1037"/>
      <c r="AW195" s="1037"/>
      <c r="AX195" s="1037"/>
      <c r="AY195" s="1037"/>
      <c r="AZ195" s="1037"/>
      <c r="BA195" s="1037"/>
      <c r="BB195" s="1037"/>
      <c r="BC195" s="1037"/>
      <c r="BD195" s="1037"/>
      <c r="BE195" s="1037"/>
      <c r="BF195" s="1037"/>
      <c r="BG195" s="1037"/>
      <c r="BH195" s="1037"/>
      <c r="BI195" s="1037"/>
      <c r="BJ195" s="1037"/>
      <c r="BK195" s="1037"/>
      <c r="BL195" s="1037"/>
      <c r="BM195" s="1037"/>
      <c r="BN195" s="1037"/>
      <c r="BO195" s="1037"/>
      <c r="BP195" s="1037"/>
      <c r="BQ195" s="1037"/>
      <c r="BR195" s="1037"/>
      <c r="BS195" s="1037"/>
      <c r="BT195" s="1037"/>
      <c r="BU195" s="1037"/>
      <c r="BV195" s="1037"/>
      <c r="BW195" s="1037"/>
      <c r="BX195" s="1037"/>
      <c r="BY195" s="1037"/>
      <c r="BZ195" s="1037"/>
      <c r="CA195" s="1037"/>
      <c r="CB195" s="1037"/>
      <c r="CC195" s="1037"/>
      <c r="CD195" s="1037"/>
      <c r="CE195" s="1037"/>
      <c r="CF195" s="1037"/>
      <c r="CG195" s="1037"/>
      <c r="CH195" s="1037"/>
      <c r="CI195" s="1037"/>
      <c r="CJ195" s="1037"/>
      <c r="CK195" s="1037"/>
      <c r="CL195" s="1037"/>
      <c r="CM195" s="1037"/>
      <c r="CN195" s="1037"/>
      <c r="CO195" s="1037"/>
      <c r="CP195" s="1037"/>
      <c r="CQ195" s="1037"/>
      <c r="CR195" s="1037"/>
      <c r="CS195" s="1037"/>
      <c r="CT195" s="1037"/>
      <c r="CU195" s="1037"/>
      <c r="CV195" s="1037"/>
      <c r="CW195" s="1037"/>
      <c r="CX195" s="1037"/>
      <c r="CY195" s="1037"/>
      <c r="CZ195" s="1037"/>
      <c r="DA195" s="1037"/>
      <c r="DB195" s="1037"/>
      <c r="DC195" s="1037"/>
      <c r="DD195" s="1037"/>
      <c r="DE195" s="1037"/>
      <c r="DF195" s="1037"/>
      <c r="DG195" s="1037"/>
      <c r="DH195" s="1037"/>
      <c r="DI195" s="1037"/>
      <c r="DJ195" s="1037"/>
      <c r="DK195" s="1037"/>
      <c r="DL195" s="1037"/>
      <c r="DM195" s="1037"/>
      <c r="DN195" s="1037"/>
      <c r="DO195" s="1037"/>
      <c r="DP195" s="1037"/>
      <c r="DQ195" s="1037"/>
      <c r="DR195" s="1037"/>
      <c r="DS195" s="1037"/>
      <c r="DT195" s="1037"/>
      <c r="DU195" s="1037"/>
      <c r="DV195" s="1037"/>
      <c r="DW195" s="1037"/>
      <c r="DX195" s="1037"/>
      <c r="DY195" s="1037"/>
      <c r="DZ195" s="1037"/>
      <c r="EA195" s="1037"/>
      <c r="EB195" s="1037"/>
      <c r="EC195" s="1037"/>
      <c r="ED195" s="1037"/>
      <c r="EE195" s="1037"/>
      <c r="EF195" s="1037"/>
      <c r="EG195" s="1037"/>
      <c r="EH195" s="1037"/>
      <c r="EI195" s="1037"/>
      <c r="EJ195" s="1037"/>
      <c r="EK195" s="1037"/>
      <c r="EL195" s="1037"/>
      <c r="EM195" s="1037"/>
      <c r="EN195" s="1037"/>
      <c r="EO195" s="1037"/>
      <c r="EP195" s="1037"/>
      <c r="EQ195" s="1037"/>
      <c r="ER195" s="1037"/>
      <c r="ES195" s="1037"/>
      <c r="ET195" s="1037"/>
      <c r="EU195" s="1037"/>
      <c r="EV195" s="1037"/>
      <c r="EW195" s="1037"/>
      <c r="EX195" s="1037"/>
      <c r="EY195" s="1037"/>
      <c r="EZ195" s="1037"/>
      <c r="FA195" s="1037"/>
      <c r="FB195" s="1037"/>
      <c r="FC195" s="1037"/>
      <c r="FD195" s="1037"/>
      <c r="FE195" s="1037"/>
      <c r="FF195" s="1037"/>
      <c r="FG195" s="1037"/>
      <c r="FH195" s="1037"/>
      <c r="FI195" s="1037"/>
      <c r="FJ195" s="1037"/>
      <c r="FK195" s="1037"/>
      <c r="FL195" s="1037"/>
      <c r="FM195" s="1037"/>
      <c r="FN195" s="1037"/>
      <c r="FO195" s="1037"/>
      <c r="FP195" s="1037"/>
      <c r="FQ195" s="1037"/>
      <c r="FR195" s="1037"/>
      <c r="FS195" s="1037"/>
      <c r="FT195" s="1037"/>
      <c r="FU195" s="1037"/>
      <c r="FV195" s="1037"/>
      <c r="FW195" s="1037"/>
      <c r="FX195" s="1037"/>
      <c r="FY195" s="1037"/>
      <c r="FZ195" s="1037"/>
      <c r="GA195" s="1037"/>
      <c r="GB195" s="1037"/>
      <c r="GC195" s="1037"/>
      <c r="GD195" s="1037"/>
      <c r="GE195" s="1037"/>
      <c r="GF195" s="1037"/>
      <c r="GG195" s="1037"/>
      <c r="GH195" s="1037"/>
      <c r="GI195" s="1037"/>
      <c r="GJ195" s="1037"/>
      <c r="GK195" s="1037"/>
      <c r="GL195" s="1037"/>
      <c r="GM195" s="1037"/>
      <c r="GN195" s="1037"/>
      <c r="GO195" s="1037"/>
      <c r="GP195" s="1037"/>
      <c r="GQ195" s="1037"/>
      <c r="GR195" s="1037"/>
      <c r="GS195" s="1037"/>
      <c r="GT195" s="1037"/>
      <c r="GU195" s="1037"/>
      <c r="GV195" s="1037"/>
      <c r="GW195" s="1037"/>
      <c r="GX195" s="1037"/>
      <c r="GY195" s="1037"/>
      <c r="GZ195" s="1037"/>
      <c r="HA195" s="1037"/>
      <c r="HB195" s="1037"/>
      <c r="HC195" s="1037"/>
      <c r="HD195" s="1037"/>
      <c r="HE195" s="1037"/>
      <c r="HF195" s="1037"/>
      <c r="HG195" s="1037"/>
      <c r="HH195" s="1037"/>
      <c r="HI195" s="1037"/>
      <c r="HJ195" s="1037"/>
      <c r="HK195" s="1037"/>
      <c r="HL195" s="1037"/>
      <c r="HM195" s="1037"/>
      <c r="HN195" s="1037"/>
      <c r="HO195" s="1037"/>
      <c r="HP195" s="1037"/>
      <c r="HQ195" s="1037"/>
      <c r="HR195" s="1037"/>
      <c r="HS195" s="1037"/>
      <c r="HT195" s="1037"/>
      <c r="HU195" s="1037"/>
      <c r="HV195" s="1037"/>
      <c r="HW195" s="1037"/>
      <c r="HX195" s="1037"/>
      <c r="HY195" s="1037"/>
      <c r="HZ195" s="1037"/>
      <c r="IA195" s="1037"/>
      <c r="IB195" s="1037"/>
      <c r="IC195" s="1037"/>
      <c r="ID195" s="1037"/>
      <c r="IE195" s="1037"/>
      <c r="IF195" s="1037"/>
      <c r="IG195" s="1037"/>
      <c r="IH195" s="1037"/>
      <c r="II195" s="1037"/>
      <c r="IJ195" s="1037"/>
      <c r="IK195" s="1037"/>
      <c r="IL195" s="1037"/>
      <c r="IM195" s="1037"/>
      <c r="IN195" s="1037"/>
    </row>
    <row r="196" spans="1:248">
      <c r="A196" s="701" t="s">
        <v>22</v>
      </c>
      <c r="B196" s="703">
        <v>8245.2000000000007</v>
      </c>
      <c r="C196" s="1038">
        <v>28.146378097904012</v>
      </c>
      <c r="D196" s="704">
        <v>7594.4</v>
      </c>
      <c r="E196" s="1038">
        <v>25.924762750051205</v>
      </c>
      <c r="F196" s="1038">
        <v>650.80000000000109</v>
      </c>
      <c r="G196" s="1038">
        <f t="shared" si="28"/>
        <v>2.1866148795984297</v>
      </c>
      <c r="H196" s="390">
        <v>29762.9</v>
      </c>
      <c r="I196" s="1037"/>
      <c r="J196" s="1037"/>
      <c r="K196" s="1037"/>
      <c r="L196" s="1037"/>
      <c r="M196" s="1037"/>
      <c r="N196" s="1037"/>
      <c r="O196" s="1037"/>
      <c r="P196" s="1037"/>
      <c r="Q196" s="1037"/>
      <c r="R196" s="1037"/>
      <c r="S196" s="1037"/>
      <c r="T196" s="1037"/>
      <c r="U196" s="1037"/>
      <c r="V196" s="1037"/>
      <c r="W196" s="1037"/>
      <c r="X196" s="1037"/>
      <c r="Y196" s="1037"/>
      <c r="Z196" s="1037"/>
      <c r="AA196" s="1037"/>
      <c r="AB196" s="1037"/>
      <c r="AC196" s="1037"/>
      <c r="AD196" s="1037"/>
      <c r="AE196" s="1037"/>
      <c r="AF196" s="1037"/>
      <c r="AG196" s="1037"/>
      <c r="AH196" s="1037"/>
      <c r="AI196" s="1037"/>
      <c r="AJ196" s="1037"/>
      <c r="AK196" s="1037"/>
      <c r="AL196" s="1037"/>
      <c r="AM196" s="1037"/>
      <c r="AN196" s="1037"/>
      <c r="AO196" s="1037"/>
      <c r="AP196" s="1037"/>
      <c r="AQ196" s="1037"/>
      <c r="AR196" s="1037"/>
      <c r="AS196" s="1037"/>
      <c r="AT196" s="1037"/>
      <c r="AU196" s="1037"/>
      <c r="AV196" s="1037"/>
      <c r="AW196" s="1037"/>
      <c r="AX196" s="1037"/>
      <c r="AY196" s="1037"/>
      <c r="AZ196" s="1037"/>
      <c r="BA196" s="1037"/>
      <c r="BB196" s="1037"/>
      <c r="BC196" s="1037"/>
      <c r="BD196" s="1037"/>
      <c r="BE196" s="1037"/>
      <c r="BF196" s="1037"/>
      <c r="BG196" s="1037"/>
      <c r="BH196" s="1037"/>
      <c r="BI196" s="1037"/>
      <c r="BJ196" s="1037"/>
      <c r="BK196" s="1037"/>
      <c r="BL196" s="1037"/>
      <c r="BM196" s="1037"/>
      <c r="BN196" s="1037"/>
      <c r="BO196" s="1037"/>
      <c r="BP196" s="1037"/>
      <c r="BQ196" s="1037"/>
      <c r="BR196" s="1037"/>
      <c r="BS196" s="1037"/>
      <c r="BT196" s="1037"/>
      <c r="BU196" s="1037"/>
      <c r="BV196" s="1037"/>
      <c r="BW196" s="1037"/>
      <c r="BX196" s="1037"/>
      <c r="BY196" s="1037"/>
      <c r="BZ196" s="1037"/>
      <c r="CA196" s="1037"/>
      <c r="CB196" s="1037"/>
      <c r="CC196" s="1037"/>
      <c r="CD196" s="1037"/>
      <c r="CE196" s="1037"/>
      <c r="CF196" s="1037"/>
      <c r="CG196" s="1037"/>
      <c r="CH196" s="1037"/>
      <c r="CI196" s="1037"/>
      <c r="CJ196" s="1037"/>
      <c r="CK196" s="1037"/>
      <c r="CL196" s="1037"/>
      <c r="CM196" s="1037"/>
      <c r="CN196" s="1037"/>
      <c r="CO196" s="1037"/>
      <c r="CP196" s="1037"/>
      <c r="CQ196" s="1037"/>
      <c r="CR196" s="1037"/>
      <c r="CS196" s="1037"/>
      <c r="CT196" s="1037"/>
      <c r="CU196" s="1037"/>
      <c r="CV196" s="1037"/>
      <c r="CW196" s="1037"/>
      <c r="CX196" s="1037"/>
      <c r="CY196" s="1037"/>
      <c r="CZ196" s="1037"/>
      <c r="DA196" s="1037"/>
      <c r="DB196" s="1037"/>
      <c r="DC196" s="1037"/>
      <c r="DD196" s="1037"/>
      <c r="DE196" s="1037"/>
      <c r="DF196" s="1037"/>
      <c r="DG196" s="1037"/>
      <c r="DH196" s="1037"/>
      <c r="DI196" s="1037"/>
      <c r="DJ196" s="1037"/>
      <c r="DK196" s="1037"/>
      <c r="DL196" s="1037"/>
      <c r="DM196" s="1037"/>
      <c r="DN196" s="1037"/>
      <c r="DO196" s="1037"/>
      <c r="DP196" s="1037"/>
      <c r="DQ196" s="1037"/>
      <c r="DR196" s="1037"/>
      <c r="DS196" s="1037"/>
      <c r="DT196" s="1037"/>
      <c r="DU196" s="1037"/>
      <c r="DV196" s="1037"/>
      <c r="DW196" s="1037"/>
      <c r="DX196" s="1037"/>
      <c r="DY196" s="1037"/>
      <c r="DZ196" s="1037"/>
      <c r="EA196" s="1037"/>
      <c r="EB196" s="1037"/>
      <c r="EC196" s="1037"/>
      <c r="ED196" s="1037"/>
      <c r="EE196" s="1037"/>
      <c r="EF196" s="1037"/>
      <c r="EG196" s="1037"/>
      <c r="EH196" s="1037"/>
      <c r="EI196" s="1037"/>
      <c r="EJ196" s="1037"/>
      <c r="EK196" s="1037"/>
      <c r="EL196" s="1037"/>
      <c r="EM196" s="1037"/>
      <c r="EN196" s="1037"/>
      <c r="EO196" s="1037"/>
      <c r="EP196" s="1037"/>
      <c r="EQ196" s="1037"/>
      <c r="ER196" s="1037"/>
      <c r="ES196" s="1037"/>
      <c r="ET196" s="1037"/>
      <c r="EU196" s="1037"/>
      <c r="EV196" s="1037"/>
      <c r="EW196" s="1037"/>
      <c r="EX196" s="1037"/>
      <c r="EY196" s="1037"/>
      <c r="EZ196" s="1037"/>
      <c r="FA196" s="1037"/>
      <c r="FB196" s="1037"/>
      <c r="FC196" s="1037"/>
      <c r="FD196" s="1037"/>
      <c r="FE196" s="1037"/>
      <c r="FF196" s="1037"/>
      <c r="FG196" s="1037"/>
      <c r="FH196" s="1037"/>
      <c r="FI196" s="1037"/>
      <c r="FJ196" s="1037"/>
      <c r="FK196" s="1037"/>
      <c r="FL196" s="1037"/>
      <c r="FM196" s="1037"/>
      <c r="FN196" s="1037"/>
      <c r="FO196" s="1037"/>
      <c r="FP196" s="1037"/>
      <c r="FQ196" s="1037"/>
      <c r="FR196" s="1037"/>
      <c r="FS196" s="1037"/>
      <c r="FT196" s="1037"/>
      <c r="FU196" s="1037"/>
      <c r="FV196" s="1037"/>
      <c r="FW196" s="1037"/>
      <c r="FX196" s="1037"/>
      <c r="FY196" s="1037"/>
      <c r="FZ196" s="1037"/>
      <c r="GA196" s="1037"/>
      <c r="GB196" s="1037"/>
      <c r="GC196" s="1037"/>
      <c r="GD196" s="1037"/>
      <c r="GE196" s="1037"/>
      <c r="GF196" s="1037"/>
      <c r="GG196" s="1037"/>
      <c r="GH196" s="1037"/>
      <c r="GI196" s="1037"/>
      <c r="GJ196" s="1037"/>
      <c r="GK196" s="1037"/>
      <c r="GL196" s="1037"/>
      <c r="GM196" s="1037"/>
      <c r="GN196" s="1037"/>
      <c r="GO196" s="1037"/>
      <c r="GP196" s="1037"/>
      <c r="GQ196" s="1037"/>
      <c r="GR196" s="1037"/>
      <c r="GS196" s="1037"/>
      <c r="GT196" s="1037"/>
      <c r="GU196" s="1037"/>
      <c r="GV196" s="1037"/>
      <c r="GW196" s="1037"/>
      <c r="GX196" s="1037"/>
      <c r="GY196" s="1037"/>
      <c r="GZ196" s="1037"/>
      <c r="HA196" s="1037"/>
      <c r="HB196" s="1037"/>
      <c r="HC196" s="1037"/>
      <c r="HD196" s="1037"/>
      <c r="HE196" s="1037"/>
      <c r="HF196" s="1037"/>
      <c r="HG196" s="1037"/>
      <c r="HH196" s="1037"/>
      <c r="HI196" s="1037"/>
      <c r="HJ196" s="1037"/>
      <c r="HK196" s="1037"/>
      <c r="HL196" s="1037"/>
      <c r="HM196" s="1037"/>
      <c r="HN196" s="1037"/>
      <c r="HO196" s="1037"/>
      <c r="HP196" s="1037"/>
      <c r="HQ196" s="1037"/>
      <c r="HR196" s="1037"/>
      <c r="HS196" s="1037"/>
      <c r="HT196" s="1037"/>
      <c r="HU196" s="1037"/>
      <c r="HV196" s="1037"/>
      <c r="HW196" s="1037"/>
      <c r="HX196" s="1037"/>
      <c r="HY196" s="1037"/>
      <c r="HZ196" s="1037"/>
      <c r="IA196" s="1037"/>
      <c r="IB196" s="1037"/>
      <c r="IC196" s="1037"/>
      <c r="ID196" s="1037"/>
      <c r="IE196" s="1037"/>
      <c r="IF196" s="1037"/>
      <c r="IG196" s="1037"/>
      <c r="IH196" s="1037"/>
      <c r="II196" s="1037"/>
      <c r="IJ196" s="1037"/>
      <c r="IK196" s="1037"/>
      <c r="IL196" s="1037"/>
      <c r="IM196" s="1037"/>
      <c r="IN196" s="1037"/>
    </row>
    <row r="197" spans="1:248">
      <c r="A197" s="701" t="s">
        <v>23</v>
      </c>
      <c r="B197" s="703">
        <v>9821.6</v>
      </c>
      <c r="C197" s="1038">
        <v>26.53819445382647</v>
      </c>
      <c r="D197" s="704">
        <v>9524.2999999999993</v>
      </c>
      <c r="E197" s="1038">
        <v>25.734882853769186</v>
      </c>
      <c r="F197" s="1038">
        <v>297.30000000000109</v>
      </c>
      <c r="G197" s="1038">
        <f t="shared" si="28"/>
        <v>0.8057456467240357</v>
      </c>
      <c r="H197" s="390">
        <v>36897.5</v>
      </c>
      <c r="I197" s="1037"/>
      <c r="J197" s="1037"/>
      <c r="K197" s="1037"/>
      <c r="L197" s="1037"/>
      <c r="M197" s="1037"/>
      <c r="N197" s="1037"/>
      <c r="O197" s="1037"/>
      <c r="P197" s="1037"/>
      <c r="Q197" s="1037"/>
      <c r="R197" s="1037"/>
      <c r="S197" s="1037"/>
      <c r="T197" s="1037"/>
      <c r="U197" s="1037"/>
      <c r="V197" s="1037"/>
      <c r="W197" s="1037"/>
      <c r="X197" s="1037"/>
      <c r="Y197" s="1037"/>
      <c r="Z197" s="1037"/>
      <c r="AA197" s="1037"/>
      <c r="AB197" s="1037"/>
      <c r="AC197" s="1037"/>
      <c r="AD197" s="1037"/>
      <c r="AE197" s="1037"/>
      <c r="AF197" s="1037"/>
      <c r="AG197" s="1037"/>
      <c r="AH197" s="1037"/>
      <c r="AI197" s="1037"/>
      <c r="AJ197" s="1037"/>
      <c r="AK197" s="1037"/>
      <c r="AL197" s="1037"/>
      <c r="AM197" s="1037"/>
      <c r="AN197" s="1037"/>
      <c r="AO197" s="1037"/>
      <c r="AP197" s="1037"/>
      <c r="AQ197" s="1037"/>
      <c r="AR197" s="1037"/>
      <c r="AS197" s="1037"/>
      <c r="AT197" s="1037"/>
      <c r="AU197" s="1037"/>
      <c r="AV197" s="1037"/>
      <c r="AW197" s="1037"/>
      <c r="AX197" s="1037"/>
      <c r="AY197" s="1037"/>
      <c r="AZ197" s="1037"/>
      <c r="BA197" s="1037"/>
      <c r="BB197" s="1037"/>
      <c r="BC197" s="1037"/>
      <c r="BD197" s="1037"/>
      <c r="BE197" s="1037"/>
      <c r="BF197" s="1037"/>
      <c r="BG197" s="1037"/>
      <c r="BH197" s="1037"/>
      <c r="BI197" s="1037"/>
      <c r="BJ197" s="1037"/>
      <c r="BK197" s="1037"/>
      <c r="BL197" s="1037"/>
      <c r="BM197" s="1037"/>
      <c r="BN197" s="1037"/>
      <c r="BO197" s="1037"/>
      <c r="BP197" s="1037"/>
      <c r="BQ197" s="1037"/>
      <c r="BR197" s="1037"/>
      <c r="BS197" s="1037"/>
      <c r="BT197" s="1037"/>
      <c r="BU197" s="1037"/>
      <c r="BV197" s="1037"/>
      <c r="BW197" s="1037"/>
      <c r="BX197" s="1037"/>
      <c r="BY197" s="1037"/>
      <c r="BZ197" s="1037"/>
      <c r="CA197" s="1037"/>
      <c r="CB197" s="1037"/>
      <c r="CC197" s="1037"/>
      <c r="CD197" s="1037"/>
      <c r="CE197" s="1037"/>
      <c r="CF197" s="1037"/>
      <c r="CG197" s="1037"/>
      <c r="CH197" s="1037"/>
      <c r="CI197" s="1037"/>
      <c r="CJ197" s="1037"/>
      <c r="CK197" s="1037"/>
      <c r="CL197" s="1037"/>
      <c r="CM197" s="1037"/>
      <c r="CN197" s="1037"/>
      <c r="CO197" s="1037"/>
      <c r="CP197" s="1037"/>
      <c r="CQ197" s="1037"/>
      <c r="CR197" s="1037"/>
      <c r="CS197" s="1037"/>
      <c r="CT197" s="1037"/>
      <c r="CU197" s="1037"/>
      <c r="CV197" s="1037"/>
      <c r="CW197" s="1037"/>
      <c r="CX197" s="1037"/>
      <c r="CY197" s="1037"/>
      <c r="CZ197" s="1037"/>
      <c r="DA197" s="1037"/>
      <c r="DB197" s="1037"/>
      <c r="DC197" s="1037"/>
      <c r="DD197" s="1037"/>
      <c r="DE197" s="1037"/>
      <c r="DF197" s="1037"/>
      <c r="DG197" s="1037"/>
      <c r="DH197" s="1037"/>
      <c r="DI197" s="1037"/>
      <c r="DJ197" s="1037"/>
      <c r="DK197" s="1037"/>
      <c r="DL197" s="1037"/>
      <c r="DM197" s="1037"/>
      <c r="DN197" s="1037"/>
      <c r="DO197" s="1037"/>
      <c r="DP197" s="1037"/>
      <c r="DQ197" s="1037"/>
      <c r="DR197" s="1037"/>
      <c r="DS197" s="1037"/>
      <c r="DT197" s="1037"/>
      <c r="DU197" s="1037"/>
      <c r="DV197" s="1037"/>
      <c r="DW197" s="1037"/>
      <c r="DX197" s="1037"/>
      <c r="DY197" s="1037"/>
      <c r="DZ197" s="1037"/>
      <c r="EA197" s="1037"/>
      <c r="EB197" s="1037"/>
      <c r="EC197" s="1037"/>
      <c r="ED197" s="1037"/>
      <c r="EE197" s="1037"/>
      <c r="EF197" s="1037"/>
      <c r="EG197" s="1037"/>
      <c r="EH197" s="1037"/>
      <c r="EI197" s="1037"/>
      <c r="EJ197" s="1037"/>
      <c r="EK197" s="1037"/>
      <c r="EL197" s="1037"/>
      <c r="EM197" s="1037"/>
      <c r="EN197" s="1037"/>
      <c r="EO197" s="1037"/>
      <c r="EP197" s="1037"/>
      <c r="EQ197" s="1037"/>
      <c r="ER197" s="1037"/>
      <c r="ES197" s="1037"/>
      <c r="ET197" s="1037"/>
      <c r="EU197" s="1037"/>
      <c r="EV197" s="1037"/>
      <c r="EW197" s="1037"/>
      <c r="EX197" s="1037"/>
      <c r="EY197" s="1037"/>
      <c r="EZ197" s="1037"/>
      <c r="FA197" s="1037"/>
      <c r="FB197" s="1037"/>
      <c r="FC197" s="1037"/>
      <c r="FD197" s="1037"/>
      <c r="FE197" s="1037"/>
      <c r="FF197" s="1037"/>
      <c r="FG197" s="1037"/>
      <c r="FH197" s="1037"/>
      <c r="FI197" s="1037"/>
      <c r="FJ197" s="1037"/>
      <c r="FK197" s="1037"/>
      <c r="FL197" s="1037"/>
      <c r="FM197" s="1037"/>
      <c r="FN197" s="1037"/>
      <c r="FO197" s="1037"/>
      <c r="FP197" s="1037"/>
      <c r="FQ197" s="1037"/>
      <c r="FR197" s="1037"/>
      <c r="FS197" s="1037"/>
      <c r="FT197" s="1037"/>
      <c r="FU197" s="1037"/>
      <c r="FV197" s="1037"/>
      <c r="FW197" s="1037"/>
      <c r="FX197" s="1037"/>
      <c r="FY197" s="1037"/>
      <c r="FZ197" s="1037"/>
      <c r="GA197" s="1037"/>
      <c r="GB197" s="1037"/>
      <c r="GC197" s="1037"/>
      <c r="GD197" s="1037"/>
      <c r="GE197" s="1037"/>
      <c r="GF197" s="1037"/>
      <c r="GG197" s="1037"/>
      <c r="GH197" s="1037"/>
      <c r="GI197" s="1037"/>
      <c r="GJ197" s="1037"/>
      <c r="GK197" s="1037"/>
      <c r="GL197" s="1037"/>
      <c r="GM197" s="1037"/>
      <c r="GN197" s="1037"/>
      <c r="GO197" s="1037"/>
      <c r="GP197" s="1037"/>
      <c r="GQ197" s="1037"/>
      <c r="GR197" s="1037"/>
      <c r="GS197" s="1037"/>
      <c r="GT197" s="1037"/>
      <c r="GU197" s="1037"/>
      <c r="GV197" s="1037"/>
      <c r="GW197" s="1037"/>
      <c r="GX197" s="1037"/>
      <c r="GY197" s="1037"/>
      <c r="GZ197" s="1037"/>
      <c r="HA197" s="1037"/>
      <c r="HB197" s="1037"/>
      <c r="HC197" s="1037"/>
      <c r="HD197" s="1037"/>
      <c r="HE197" s="1037"/>
      <c r="HF197" s="1037"/>
      <c r="HG197" s="1037"/>
      <c r="HH197" s="1037"/>
      <c r="HI197" s="1037"/>
      <c r="HJ197" s="1037"/>
      <c r="HK197" s="1037"/>
      <c r="HL197" s="1037"/>
      <c r="HM197" s="1037"/>
      <c r="HN197" s="1037"/>
      <c r="HO197" s="1037"/>
      <c r="HP197" s="1037"/>
      <c r="HQ197" s="1037"/>
      <c r="HR197" s="1037"/>
      <c r="HS197" s="1037"/>
      <c r="HT197" s="1037"/>
      <c r="HU197" s="1037"/>
      <c r="HV197" s="1037"/>
      <c r="HW197" s="1037"/>
      <c r="HX197" s="1037"/>
      <c r="HY197" s="1037"/>
      <c r="HZ197" s="1037"/>
      <c r="IA197" s="1037"/>
      <c r="IB197" s="1037"/>
      <c r="IC197" s="1037"/>
      <c r="ID197" s="1037"/>
      <c r="IE197" s="1037"/>
      <c r="IF197" s="1037"/>
      <c r="IG197" s="1037"/>
      <c r="IH197" s="1037"/>
      <c r="II197" s="1037"/>
      <c r="IJ197" s="1037"/>
      <c r="IK197" s="1037"/>
      <c r="IL197" s="1037"/>
      <c r="IM197" s="1037"/>
      <c r="IN197" s="1037"/>
    </row>
    <row r="198" spans="1:248">
      <c r="A198" s="701" t="s">
        <v>24</v>
      </c>
      <c r="B198" s="703">
        <v>12078.1</v>
      </c>
      <c r="C198" s="1038">
        <f>B198/H198*100</f>
        <v>27.658989784258004</v>
      </c>
      <c r="D198" s="704">
        <v>11649.3</v>
      </c>
      <c r="E198" s="1038">
        <v>26.169731656371965</v>
      </c>
      <c r="F198" s="1038">
        <v>428.80000000000109</v>
      </c>
      <c r="G198" s="1038">
        <f t="shared" si="28"/>
        <v>0.98195699816112314</v>
      </c>
      <c r="H198" s="390">
        <v>43667.9</v>
      </c>
      <c r="I198" s="1037"/>
      <c r="J198" s="1037"/>
      <c r="K198" s="1037"/>
      <c r="L198" s="1037"/>
      <c r="M198" s="1037"/>
      <c r="N198" s="1037"/>
      <c r="O198" s="1037"/>
      <c r="P198" s="1037"/>
      <c r="Q198" s="1037"/>
      <c r="R198" s="1037"/>
      <c r="S198" s="1037"/>
      <c r="T198" s="1037"/>
      <c r="U198" s="1037"/>
      <c r="V198" s="1037"/>
      <c r="W198" s="1037"/>
      <c r="X198" s="1037"/>
      <c r="Y198" s="1037"/>
      <c r="Z198" s="1037"/>
      <c r="AA198" s="1037"/>
      <c r="AB198" s="1037"/>
      <c r="AC198" s="1037"/>
      <c r="AD198" s="1037"/>
      <c r="AE198" s="1037"/>
      <c r="AF198" s="1037"/>
      <c r="AG198" s="1037"/>
      <c r="AH198" s="1037"/>
      <c r="AI198" s="1037"/>
      <c r="AJ198" s="1037"/>
      <c r="AK198" s="1037"/>
      <c r="AL198" s="1037"/>
      <c r="AM198" s="1037"/>
      <c r="AN198" s="1037"/>
      <c r="AO198" s="1037"/>
      <c r="AP198" s="1037"/>
      <c r="AQ198" s="1037"/>
      <c r="AR198" s="1037"/>
      <c r="AS198" s="1037"/>
      <c r="AT198" s="1037"/>
      <c r="AU198" s="1037"/>
      <c r="AV198" s="1037"/>
      <c r="AW198" s="1037"/>
      <c r="AX198" s="1037"/>
      <c r="AY198" s="1037"/>
      <c r="AZ198" s="1037"/>
      <c r="BA198" s="1037"/>
      <c r="BB198" s="1037"/>
      <c r="BC198" s="1037"/>
      <c r="BD198" s="1037"/>
      <c r="BE198" s="1037"/>
      <c r="BF198" s="1037"/>
      <c r="BG198" s="1037"/>
      <c r="BH198" s="1037"/>
      <c r="BI198" s="1037"/>
      <c r="BJ198" s="1037"/>
      <c r="BK198" s="1037"/>
      <c r="BL198" s="1037"/>
      <c r="BM198" s="1037"/>
      <c r="BN198" s="1037"/>
      <c r="BO198" s="1037"/>
      <c r="BP198" s="1037"/>
      <c r="BQ198" s="1037"/>
      <c r="BR198" s="1037"/>
      <c r="BS198" s="1037"/>
      <c r="BT198" s="1037"/>
      <c r="BU198" s="1037"/>
      <c r="BV198" s="1037"/>
      <c r="BW198" s="1037"/>
      <c r="BX198" s="1037"/>
      <c r="BY198" s="1037"/>
      <c r="BZ198" s="1037"/>
      <c r="CA198" s="1037"/>
      <c r="CB198" s="1037"/>
      <c r="CC198" s="1037"/>
      <c r="CD198" s="1037"/>
      <c r="CE198" s="1037"/>
      <c r="CF198" s="1037"/>
      <c r="CG198" s="1037"/>
      <c r="CH198" s="1037"/>
      <c r="CI198" s="1037"/>
      <c r="CJ198" s="1037"/>
      <c r="CK198" s="1037"/>
      <c r="CL198" s="1037"/>
      <c r="CM198" s="1037"/>
      <c r="CN198" s="1037"/>
      <c r="CO198" s="1037"/>
      <c r="CP198" s="1037"/>
      <c r="CQ198" s="1037"/>
      <c r="CR198" s="1037"/>
      <c r="CS198" s="1037"/>
      <c r="CT198" s="1037"/>
      <c r="CU198" s="1037"/>
      <c r="CV198" s="1037"/>
      <c r="CW198" s="1037"/>
      <c r="CX198" s="1037"/>
      <c r="CY198" s="1037"/>
      <c r="CZ198" s="1037"/>
      <c r="DA198" s="1037"/>
      <c r="DB198" s="1037"/>
      <c r="DC198" s="1037"/>
      <c r="DD198" s="1037"/>
      <c r="DE198" s="1037"/>
      <c r="DF198" s="1037"/>
      <c r="DG198" s="1037"/>
      <c r="DH198" s="1037"/>
      <c r="DI198" s="1037"/>
      <c r="DJ198" s="1037"/>
      <c r="DK198" s="1037"/>
      <c r="DL198" s="1037"/>
      <c r="DM198" s="1037"/>
      <c r="DN198" s="1037"/>
      <c r="DO198" s="1037"/>
      <c r="DP198" s="1037"/>
      <c r="DQ198" s="1037"/>
      <c r="DR198" s="1037"/>
      <c r="DS198" s="1037"/>
      <c r="DT198" s="1037"/>
      <c r="DU198" s="1037"/>
      <c r="DV198" s="1037"/>
      <c r="DW198" s="1037"/>
      <c r="DX198" s="1037"/>
      <c r="DY198" s="1037"/>
      <c r="DZ198" s="1037"/>
      <c r="EA198" s="1037"/>
      <c r="EB198" s="1037"/>
      <c r="EC198" s="1037"/>
      <c r="ED198" s="1037"/>
      <c r="EE198" s="1037"/>
      <c r="EF198" s="1037"/>
      <c r="EG198" s="1037"/>
      <c r="EH198" s="1037"/>
      <c r="EI198" s="1037"/>
      <c r="EJ198" s="1037"/>
      <c r="EK198" s="1037"/>
      <c r="EL198" s="1037"/>
      <c r="EM198" s="1037"/>
      <c r="EN198" s="1037"/>
      <c r="EO198" s="1037"/>
      <c r="EP198" s="1037"/>
      <c r="EQ198" s="1037"/>
      <c r="ER198" s="1037"/>
      <c r="ES198" s="1037"/>
      <c r="ET198" s="1037"/>
      <c r="EU198" s="1037"/>
      <c r="EV198" s="1037"/>
      <c r="EW198" s="1037"/>
      <c r="EX198" s="1037"/>
      <c r="EY198" s="1037"/>
      <c r="EZ198" s="1037"/>
      <c r="FA198" s="1037"/>
      <c r="FB198" s="1037"/>
      <c r="FC198" s="1037"/>
      <c r="FD198" s="1037"/>
      <c r="FE198" s="1037"/>
      <c r="FF198" s="1037"/>
      <c r="FG198" s="1037"/>
      <c r="FH198" s="1037"/>
      <c r="FI198" s="1037"/>
      <c r="FJ198" s="1037"/>
      <c r="FK198" s="1037"/>
      <c r="FL198" s="1037"/>
      <c r="FM198" s="1037"/>
      <c r="FN198" s="1037"/>
      <c r="FO198" s="1037"/>
      <c r="FP198" s="1037"/>
      <c r="FQ198" s="1037"/>
      <c r="FR198" s="1037"/>
      <c r="FS198" s="1037"/>
      <c r="FT198" s="1037"/>
      <c r="FU198" s="1037"/>
      <c r="FV198" s="1037"/>
      <c r="FW198" s="1037"/>
      <c r="FX198" s="1037"/>
      <c r="FY198" s="1037"/>
      <c r="FZ198" s="1037"/>
      <c r="GA198" s="1037"/>
      <c r="GB198" s="1037"/>
      <c r="GC198" s="1037"/>
      <c r="GD198" s="1037"/>
      <c r="GE198" s="1037"/>
      <c r="GF198" s="1037"/>
      <c r="GG198" s="1037"/>
      <c r="GH198" s="1037"/>
      <c r="GI198" s="1037"/>
      <c r="GJ198" s="1037"/>
      <c r="GK198" s="1037"/>
      <c r="GL198" s="1037"/>
      <c r="GM198" s="1037"/>
      <c r="GN198" s="1037"/>
      <c r="GO198" s="1037"/>
      <c r="GP198" s="1037"/>
      <c r="GQ198" s="1037"/>
      <c r="GR198" s="1037"/>
      <c r="GS198" s="1037"/>
      <c r="GT198" s="1037"/>
      <c r="GU198" s="1037"/>
      <c r="GV198" s="1037"/>
      <c r="GW198" s="1037"/>
      <c r="GX198" s="1037"/>
      <c r="GY198" s="1037"/>
      <c r="GZ198" s="1037"/>
      <c r="HA198" s="1037"/>
      <c r="HB198" s="1037"/>
      <c r="HC198" s="1037"/>
      <c r="HD198" s="1037"/>
      <c r="HE198" s="1037"/>
      <c r="HF198" s="1037"/>
      <c r="HG198" s="1037"/>
      <c r="HH198" s="1037"/>
      <c r="HI198" s="1037"/>
      <c r="HJ198" s="1037"/>
      <c r="HK198" s="1037"/>
      <c r="HL198" s="1037"/>
      <c r="HM198" s="1037"/>
      <c r="HN198" s="1037"/>
      <c r="HO198" s="1037"/>
      <c r="HP198" s="1037"/>
      <c r="HQ198" s="1037"/>
      <c r="HR198" s="1037"/>
      <c r="HS198" s="1037"/>
      <c r="HT198" s="1037"/>
      <c r="HU198" s="1037"/>
      <c r="HV198" s="1037"/>
      <c r="HW198" s="1037"/>
      <c r="HX198" s="1037"/>
      <c r="HY198" s="1037"/>
      <c r="HZ198" s="1037"/>
      <c r="IA198" s="1037"/>
      <c r="IB198" s="1037"/>
      <c r="IC198" s="1037"/>
      <c r="ID198" s="1037"/>
      <c r="IE198" s="1037"/>
      <c r="IF198" s="1037"/>
      <c r="IG198" s="1037"/>
      <c r="IH198" s="1037"/>
      <c r="II198" s="1037"/>
      <c r="IJ198" s="1037"/>
      <c r="IK198" s="1037"/>
      <c r="IL198" s="1037"/>
      <c r="IM198" s="1037"/>
      <c r="IN198" s="1037"/>
    </row>
    <row r="199" spans="1:248">
      <c r="A199" s="701" t="s">
        <v>25</v>
      </c>
      <c r="B199" s="703">
        <v>14029.7</v>
      </c>
      <c r="C199" s="1038">
        <v>27.769541525556246</v>
      </c>
      <c r="D199" s="704">
        <v>13485.7</v>
      </c>
      <c r="E199" s="1038">
        <v>26.692780754484691</v>
      </c>
      <c r="F199" s="1038">
        <v>544</v>
      </c>
      <c r="G199" s="1038">
        <f t="shared" si="28"/>
        <v>1.0805270747510218</v>
      </c>
      <c r="H199" s="390">
        <v>50345.8</v>
      </c>
      <c r="I199" s="1037"/>
      <c r="J199" s="1037"/>
      <c r="K199" s="1037"/>
      <c r="L199" s="1037"/>
      <c r="M199" s="1037"/>
      <c r="N199" s="1037"/>
      <c r="O199" s="1037"/>
      <c r="P199" s="1037"/>
      <c r="Q199" s="1037"/>
      <c r="R199" s="1037"/>
      <c r="S199" s="1037"/>
      <c r="T199" s="1037"/>
      <c r="U199" s="1037"/>
      <c r="V199" s="1037"/>
      <c r="W199" s="1037"/>
      <c r="X199" s="1037"/>
      <c r="Y199" s="1037"/>
      <c r="Z199" s="1037"/>
      <c r="AA199" s="1037"/>
      <c r="AB199" s="1037"/>
      <c r="AC199" s="1037"/>
      <c r="AD199" s="1037"/>
      <c r="AE199" s="1037"/>
      <c r="AF199" s="1037"/>
      <c r="AG199" s="1037"/>
      <c r="AH199" s="1037"/>
      <c r="AI199" s="1037"/>
      <c r="AJ199" s="1037"/>
      <c r="AK199" s="1037"/>
      <c r="AL199" s="1037"/>
      <c r="AM199" s="1037"/>
      <c r="AN199" s="1037"/>
      <c r="AO199" s="1037"/>
      <c r="AP199" s="1037"/>
      <c r="AQ199" s="1037"/>
      <c r="AR199" s="1037"/>
      <c r="AS199" s="1037"/>
      <c r="AT199" s="1037"/>
      <c r="AU199" s="1037"/>
      <c r="AV199" s="1037"/>
      <c r="AW199" s="1037"/>
      <c r="AX199" s="1037"/>
      <c r="AY199" s="1037"/>
      <c r="AZ199" s="1037"/>
      <c r="BA199" s="1037"/>
      <c r="BB199" s="1037"/>
      <c r="BC199" s="1037"/>
      <c r="BD199" s="1037"/>
      <c r="BE199" s="1037"/>
      <c r="BF199" s="1037"/>
      <c r="BG199" s="1037"/>
      <c r="BH199" s="1037"/>
      <c r="BI199" s="1037"/>
      <c r="BJ199" s="1037"/>
      <c r="BK199" s="1037"/>
      <c r="BL199" s="1037"/>
      <c r="BM199" s="1037"/>
      <c r="BN199" s="1037"/>
      <c r="BO199" s="1037"/>
      <c r="BP199" s="1037"/>
      <c r="BQ199" s="1037"/>
      <c r="BR199" s="1037"/>
      <c r="BS199" s="1037"/>
      <c r="BT199" s="1037"/>
      <c r="BU199" s="1037"/>
      <c r="BV199" s="1037"/>
      <c r="BW199" s="1037"/>
      <c r="BX199" s="1037"/>
      <c r="BY199" s="1037"/>
      <c r="BZ199" s="1037"/>
      <c r="CA199" s="1037"/>
      <c r="CB199" s="1037"/>
      <c r="CC199" s="1037"/>
      <c r="CD199" s="1037"/>
      <c r="CE199" s="1037"/>
      <c r="CF199" s="1037"/>
      <c r="CG199" s="1037"/>
      <c r="CH199" s="1037"/>
      <c r="CI199" s="1037"/>
      <c r="CJ199" s="1037"/>
      <c r="CK199" s="1037"/>
      <c r="CL199" s="1037"/>
      <c r="CM199" s="1037"/>
      <c r="CN199" s="1037"/>
      <c r="CO199" s="1037"/>
      <c r="CP199" s="1037"/>
      <c r="CQ199" s="1037"/>
      <c r="CR199" s="1037"/>
      <c r="CS199" s="1037"/>
      <c r="CT199" s="1037"/>
      <c r="CU199" s="1037"/>
      <c r="CV199" s="1037"/>
      <c r="CW199" s="1037"/>
      <c r="CX199" s="1037"/>
      <c r="CY199" s="1037"/>
      <c r="CZ199" s="1037"/>
      <c r="DA199" s="1037"/>
      <c r="DB199" s="1037"/>
      <c r="DC199" s="1037"/>
      <c r="DD199" s="1037"/>
      <c r="DE199" s="1037"/>
      <c r="DF199" s="1037"/>
      <c r="DG199" s="1037"/>
      <c r="DH199" s="1037"/>
      <c r="DI199" s="1037"/>
      <c r="DJ199" s="1037"/>
      <c r="DK199" s="1037"/>
      <c r="DL199" s="1037"/>
      <c r="DM199" s="1037"/>
      <c r="DN199" s="1037"/>
      <c r="DO199" s="1037"/>
      <c r="DP199" s="1037"/>
      <c r="DQ199" s="1037"/>
      <c r="DR199" s="1037"/>
      <c r="DS199" s="1037"/>
      <c r="DT199" s="1037"/>
      <c r="DU199" s="1037"/>
      <c r="DV199" s="1037"/>
      <c r="DW199" s="1037"/>
      <c r="DX199" s="1037"/>
      <c r="DY199" s="1037"/>
      <c r="DZ199" s="1037"/>
      <c r="EA199" s="1037"/>
      <c r="EB199" s="1037"/>
      <c r="EC199" s="1037"/>
      <c r="ED199" s="1037"/>
      <c r="EE199" s="1037"/>
      <c r="EF199" s="1037"/>
      <c r="EG199" s="1037"/>
      <c r="EH199" s="1037"/>
      <c r="EI199" s="1037"/>
      <c r="EJ199" s="1037"/>
      <c r="EK199" s="1037"/>
      <c r="EL199" s="1037"/>
      <c r="EM199" s="1037"/>
      <c r="EN199" s="1037"/>
      <c r="EO199" s="1037"/>
      <c r="EP199" s="1037"/>
      <c r="EQ199" s="1037"/>
      <c r="ER199" s="1037"/>
      <c r="ES199" s="1037"/>
      <c r="ET199" s="1037"/>
      <c r="EU199" s="1037"/>
      <c r="EV199" s="1037"/>
      <c r="EW199" s="1037"/>
      <c r="EX199" s="1037"/>
      <c r="EY199" s="1037"/>
      <c r="EZ199" s="1037"/>
      <c r="FA199" s="1037"/>
      <c r="FB199" s="1037"/>
      <c r="FC199" s="1037"/>
      <c r="FD199" s="1037"/>
      <c r="FE199" s="1037"/>
      <c r="FF199" s="1037"/>
      <c r="FG199" s="1037"/>
      <c r="FH199" s="1037"/>
      <c r="FI199" s="1037"/>
      <c r="FJ199" s="1037"/>
      <c r="FK199" s="1037"/>
      <c r="FL199" s="1037"/>
      <c r="FM199" s="1037"/>
      <c r="FN199" s="1037"/>
      <c r="FO199" s="1037"/>
      <c r="FP199" s="1037"/>
      <c r="FQ199" s="1037"/>
      <c r="FR199" s="1037"/>
      <c r="FS199" s="1037"/>
      <c r="FT199" s="1037"/>
      <c r="FU199" s="1037"/>
      <c r="FV199" s="1037"/>
      <c r="FW199" s="1037"/>
      <c r="FX199" s="1037"/>
      <c r="FY199" s="1037"/>
      <c r="FZ199" s="1037"/>
      <c r="GA199" s="1037"/>
      <c r="GB199" s="1037"/>
      <c r="GC199" s="1037"/>
      <c r="GD199" s="1037"/>
      <c r="GE199" s="1037"/>
      <c r="GF199" s="1037"/>
      <c r="GG199" s="1037"/>
      <c r="GH199" s="1037"/>
      <c r="GI199" s="1037"/>
      <c r="GJ199" s="1037"/>
      <c r="GK199" s="1037"/>
      <c r="GL199" s="1037"/>
      <c r="GM199" s="1037"/>
      <c r="GN199" s="1037"/>
      <c r="GO199" s="1037"/>
      <c r="GP199" s="1037"/>
      <c r="GQ199" s="1037"/>
      <c r="GR199" s="1037"/>
      <c r="GS199" s="1037"/>
      <c r="GT199" s="1037"/>
      <c r="GU199" s="1037"/>
      <c r="GV199" s="1037"/>
      <c r="GW199" s="1037"/>
      <c r="GX199" s="1037"/>
      <c r="GY199" s="1037"/>
      <c r="GZ199" s="1037"/>
      <c r="HA199" s="1037"/>
      <c r="HB199" s="1037"/>
      <c r="HC199" s="1037"/>
      <c r="HD199" s="1037"/>
      <c r="HE199" s="1037"/>
      <c r="HF199" s="1037"/>
      <c r="HG199" s="1037"/>
      <c r="HH199" s="1037"/>
      <c r="HI199" s="1037"/>
      <c r="HJ199" s="1037"/>
      <c r="HK199" s="1037"/>
      <c r="HL199" s="1037"/>
      <c r="HM199" s="1037"/>
      <c r="HN199" s="1037"/>
      <c r="HO199" s="1037"/>
      <c r="HP199" s="1037"/>
      <c r="HQ199" s="1037"/>
      <c r="HR199" s="1037"/>
      <c r="HS199" s="1037"/>
      <c r="HT199" s="1037"/>
      <c r="HU199" s="1037"/>
      <c r="HV199" s="1037"/>
      <c r="HW199" s="1037"/>
      <c r="HX199" s="1037"/>
      <c r="HY199" s="1037"/>
      <c r="HZ199" s="1037"/>
      <c r="IA199" s="1037"/>
      <c r="IB199" s="1037"/>
      <c r="IC199" s="1037"/>
      <c r="ID199" s="1037"/>
      <c r="IE199" s="1037"/>
      <c r="IF199" s="1037"/>
      <c r="IG199" s="1037"/>
      <c r="IH199" s="1037"/>
      <c r="II199" s="1037"/>
      <c r="IJ199" s="1037"/>
      <c r="IK199" s="1037"/>
      <c r="IL199" s="1037"/>
      <c r="IM199" s="1037"/>
      <c r="IN199" s="1037"/>
    </row>
    <row r="200" spans="1:248">
      <c r="A200" s="701" t="s">
        <v>26</v>
      </c>
      <c r="B200" s="703">
        <v>16089.7</v>
      </c>
      <c r="C200" s="1038">
        <v>27.855212518978771</v>
      </c>
      <c r="D200" s="704">
        <v>15666</v>
      </c>
      <c r="E200" s="1038">
        <v>27.121684016626872</v>
      </c>
      <c r="F200" s="1038">
        <v>423.70000000000073</v>
      </c>
      <c r="G200" s="1038">
        <f t="shared" si="28"/>
        <v>0.73347389996226298</v>
      </c>
      <c r="H200" s="390">
        <v>57766.2</v>
      </c>
      <c r="I200" s="1037"/>
      <c r="J200" s="1037"/>
      <c r="K200" s="1037"/>
      <c r="L200" s="1037"/>
      <c r="M200" s="1037"/>
      <c r="N200" s="1037"/>
      <c r="O200" s="1037"/>
      <c r="P200" s="1037"/>
      <c r="Q200" s="1037"/>
      <c r="R200" s="1037"/>
      <c r="S200" s="1037"/>
      <c r="T200" s="1037"/>
      <c r="U200" s="1037"/>
      <c r="V200" s="1037"/>
      <c r="W200" s="1037"/>
      <c r="X200" s="1037"/>
      <c r="Y200" s="1037"/>
      <c r="Z200" s="1037"/>
      <c r="AA200" s="1037"/>
      <c r="AB200" s="1037"/>
      <c r="AC200" s="1037"/>
      <c r="AD200" s="1037"/>
      <c r="AE200" s="1037"/>
      <c r="AF200" s="1037"/>
      <c r="AG200" s="1037"/>
      <c r="AH200" s="1037"/>
      <c r="AI200" s="1037"/>
      <c r="AJ200" s="1037"/>
      <c r="AK200" s="1037"/>
      <c r="AL200" s="1037"/>
      <c r="AM200" s="1037"/>
      <c r="AN200" s="1037"/>
      <c r="AO200" s="1037"/>
      <c r="AP200" s="1037"/>
      <c r="AQ200" s="1037"/>
      <c r="AR200" s="1037"/>
      <c r="AS200" s="1037"/>
      <c r="AT200" s="1037"/>
      <c r="AU200" s="1037"/>
      <c r="AV200" s="1037"/>
      <c r="AW200" s="1037"/>
      <c r="AX200" s="1037"/>
      <c r="AY200" s="1037"/>
      <c r="AZ200" s="1037"/>
      <c r="BA200" s="1037"/>
      <c r="BB200" s="1037"/>
      <c r="BC200" s="1037"/>
      <c r="BD200" s="1037"/>
      <c r="BE200" s="1037"/>
      <c r="BF200" s="1037"/>
      <c r="BG200" s="1037"/>
      <c r="BH200" s="1037"/>
      <c r="BI200" s="1037"/>
      <c r="BJ200" s="1037"/>
      <c r="BK200" s="1037"/>
      <c r="BL200" s="1037"/>
      <c r="BM200" s="1037"/>
      <c r="BN200" s="1037"/>
      <c r="BO200" s="1037"/>
      <c r="BP200" s="1037"/>
      <c r="BQ200" s="1037"/>
      <c r="BR200" s="1037"/>
      <c r="BS200" s="1037"/>
      <c r="BT200" s="1037"/>
      <c r="BU200" s="1037"/>
      <c r="BV200" s="1037"/>
      <c r="BW200" s="1037"/>
      <c r="BX200" s="1037"/>
      <c r="BY200" s="1037"/>
      <c r="BZ200" s="1037"/>
      <c r="CA200" s="1037"/>
      <c r="CB200" s="1037"/>
      <c r="CC200" s="1037"/>
      <c r="CD200" s="1037"/>
      <c r="CE200" s="1037"/>
      <c r="CF200" s="1037"/>
      <c r="CG200" s="1037"/>
      <c r="CH200" s="1037"/>
      <c r="CI200" s="1037"/>
      <c r="CJ200" s="1037"/>
      <c r="CK200" s="1037"/>
      <c r="CL200" s="1037"/>
      <c r="CM200" s="1037"/>
      <c r="CN200" s="1037"/>
      <c r="CO200" s="1037"/>
      <c r="CP200" s="1037"/>
      <c r="CQ200" s="1037"/>
      <c r="CR200" s="1037"/>
      <c r="CS200" s="1037"/>
      <c r="CT200" s="1037"/>
      <c r="CU200" s="1037"/>
      <c r="CV200" s="1037"/>
      <c r="CW200" s="1037"/>
      <c r="CX200" s="1037"/>
      <c r="CY200" s="1037"/>
      <c r="CZ200" s="1037"/>
      <c r="DA200" s="1037"/>
      <c r="DB200" s="1037"/>
      <c r="DC200" s="1037"/>
      <c r="DD200" s="1037"/>
      <c r="DE200" s="1037"/>
      <c r="DF200" s="1037"/>
      <c r="DG200" s="1037"/>
      <c r="DH200" s="1037"/>
      <c r="DI200" s="1037"/>
      <c r="DJ200" s="1037"/>
      <c r="DK200" s="1037"/>
      <c r="DL200" s="1037"/>
      <c r="DM200" s="1037"/>
      <c r="DN200" s="1037"/>
      <c r="DO200" s="1037"/>
      <c r="DP200" s="1037"/>
      <c r="DQ200" s="1037"/>
      <c r="DR200" s="1037"/>
      <c r="DS200" s="1037"/>
      <c r="DT200" s="1037"/>
      <c r="DU200" s="1037"/>
      <c r="DV200" s="1037"/>
      <c r="DW200" s="1037"/>
      <c r="DX200" s="1037"/>
      <c r="DY200" s="1037"/>
      <c r="DZ200" s="1037"/>
      <c r="EA200" s="1037"/>
      <c r="EB200" s="1037"/>
      <c r="EC200" s="1037"/>
      <c r="ED200" s="1037"/>
      <c r="EE200" s="1037"/>
      <c r="EF200" s="1037"/>
      <c r="EG200" s="1037"/>
      <c r="EH200" s="1037"/>
      <c r="EI200" s="1037"/>
      <c r="EJ200" s="1037"/>
      <c r="EK200" s="1037"/>
      <c r="EL200" s="1037"/>
      <c r="EM200" s="1037"/>
      <c r="EN200" s="1037"/>
      <c r="EO200" s="1037"/>
      <c r="EP200" s="1037"/>
      <c r="EQ200" s="1037"/>
      <c r="ER200" s="1037"/>
      <c r="ES200" s="1037"/>
      <c r="ET200" s="1037"/>
      <c r="EU200" s="1037"/>
      <c r="EV200" s="1037"/>
      <c r="EW200" s="1037"/>
      <c r="EX200" s="1037"/>
      <c r="EY200" s="1037"/>
      <c r="EZ200" s="1037"/>
      <c r="FA200" s="1037"/>
      <c r="FB200" s="1037"/>
      <c r="FC200" s="1037"/>
      <c r="FD200" s="1037"/>
      <c r="FE200" s="1037"/>
      <c r="FF200" s="1037"/>
      <c r="FG200" s="1037"/>
      <c r="FH200" s="1037"/>
      <c r="FI200" s="1037"/>
      <c r="FJ200" s="1037"/>
      <c r="FK200" s="1037"/>
      <c r="FL200" s="1037"/>
      <c r="FM200" s="1037"/>
      <c r="FN200" s="1037"/>
      <c r="FO200" s="1037"/>
      <c r="FP200" s="1037"/>
      <c r="FQ200" s="1037"/>
      <c r="FR200" s="1037"/>
      <c r="FS200" s="1037"/>
      <c r="FT200" s="1037"/>
      <c r="FU200" s="1037"/>
      <c r="FV200" s="1037"/>
      <c r="FW200" s="1037"/>
      <c r="FX200" s="1037"/>
      <c r="FY200" s="1037"/>
      <c r="FZ200" s="1037"/>
      <c r="GA200" s="1037"/>
      <c r="GB200" s="1037"/>
      <c r="GC200" s="1037"/>
      <c r="GD200" s="1037"/>
      <c r="GE200" s="1037"/>
      <c r="GF200" s="1037"/>
      <c r="GG200" s="1037"/>
      <c r="GH200" s="1037"/>
      <c r="GI200" s="1037"/>
      <c r="GJ200" s="1037"/>
      <c r="GK200" s="1037"/>
      <c r="GL200" s="1037"/>
      <c r="GM200" s="1037"/>
      <c r="GN200" s="1037"/>
      <c r="GO200" s="1037"/>
      <c r="GP200" s="1037"/>
      <c r="GQ200" s="1037"/>
      <c r="GR200" s="1037"/>
      <c r="GS200" s="1037"/>
      <c r="GT200" s="1037"/>
      <c r="GU200" s="1037"/>
      <c r="GV200" s="1037"/>
      <c r="GW200" s="1037"/>
      <c r="GX200" s="1037"/>
      <c r="GY200" s="1037"/>
      <c r="GZ200" s="1037"/>
      <c r="HA200" s="1037"/>
      <c r="HB200" s="1037"/>
      <c r="HC200" s="1037"/>
      <c r="HD200" s="1037"/>
      <c r="HE200" s="1037"/>
      <c r="HF200" s="1037"/>
      <c r="HG200" s="1037"/>
      <c r="HH200" s="1037"/>
      <c r="HI200" s="1037"/>
      <c r="HJ200" s="1037"/>
      <c r="HK200" s="1037"/>
      <c r="HL200" s="1037"/>
      <c r="HM200" s="1037"/>
      <c r="HN200" s="1037"/>
      <c r="HO200" s="1037"/>
      <c r="HP200" s="1037"/>
      <c r="HQ200" s="1037"/>
      <c r="HR200" s="1037"/>
      <c r="HS200" s="1037"/>
      <c r="HT200" s="1037"/>
      <c r="HU200" s="1037"/>
      <c r="HV200" s="1037"/>
      <c r="HW200" s="1037"/>
      <c r="HX200" s="1037"/>
      <c r="HY200" s="1037"/>
      <c r="HZ200" s="1037"/>
      <c r="IA200" s="1037"/>
      <c r="IB200" s="1037"/>
      <c r="IC200" s="1037"/>
      <c r="ID200" s="1037"/>
      <c r="IE200" s="1037"/>
      <c r="IF200" s="1037"/>
      <c r="IG200" s="1037"/>
      <c r="IH200" s="1037"/>
      <c r="II200" s="1037"/>
      <c r="IJ200" s="1037"/>
      <c r="IK200" s="1037"/>
      <c r="IL200" s="1037"/>
      <c r="IM200" s="1037"/>
      <c r="IN200" s="1037"/>
    </row>
    <row r="201" spans="1:248">
      <c r="A201" s="701" t="s">
        <v>27</v>
      </c>
      <c r="B201" s="703">
        <v>18196.900000000001</v>
      </c>
      <c r="C201" s="1038">
        <v>27.895237073260471</v>
      </c>
      <c r="D201" s="704">
        <v>17769.900000000001</v>
      </c>
      <c r="E201" s="1038">
        <v>27.240660401943806</v>
      </c>
      <c r="F201" s="1038">
        <v>427</v>
      </c>
      <c r="G201" s="1038">
        <f t="shared" si="28"/>
        <v>0.65584547236233381</v>
      </c>
      <c r="H201" s="390">
        <v>65106.8</v>
      </c>
      <c r="I201" s="1037"/>
      <c r="J201" s="1037"/>
      <c r="K201" s="1037"/>
      <c r="L201" s="1037"/>
      <c r="M201" s="1037"/>
      <c r="N201" s="1037"/>
      <c r="O201" s="1037"/>
      <c r="P201" s="1037"/>
      <c r="Q201" s="1037"/>
      <c r="R201" s="1037"/>
      <c r="S201" s="1037"/>
      <c r="T201" s="1037"/>
      <c r="U201" s="1037"/>
      <c r="V201" s="1037"/>
      <c r="W201" s="1037"/>
      <c r="X201" s="1037"/>
      <c r="Y201" s="1037"/>
      <c r="Z201" s="1037"/>
      <c r="AA201" s="1037"/>
      <c r="AB201" s="1037"/>
      <c r="AC201" s="1037"/>
      <c r="AD201" s="1037"/>
      <c r="AE201" s="1037"/>
      <c r="AF201" s="1037"/>
      <c r="AG201" s="1037"/>
      <c r="AH201" s="1037"/>
      <c r="AI201" s="1037"/>
      <c r="AJ201" s="1037"/>
      <c r="AK201" s="1037"/>
      <c r="AL201" s="1037"/>
      <c r="AM201" s="1037"/>
      <c r="AN201" s="1037"/>
      <c r="AO201" s="1037"/>
      <c r="AP201" s="1037"/>
      <c r="AQ201" s="1037"/>
      <c r="AR201" s="1037"/>
      <c r="AS201" s="1037"/>
      <c r="AT201" s="1037"/>
      <c r="AU201" s="1037"/>
      <c r="AV201" s="1037"/>
      <c r="AW201" s="1037"/>
      <c r="AX201" s="1037"/>
      <c r="AY201" s="1037"/>
      <c r="AZ201" s="1037"/>
      <c r="BA201" s="1037"/>
      <c r="BB201" s="1037"/>
      <c r="BC201" s="1037"/>
      <c r="BD201" s="1037"/>
      <c r="BE201" s="1037"/>
      <c r="BF201" s="1037"/>
      <c r="BG201" s="1037"/>
      <c r="BH201" s="1037"/>
      <c r="BI201" s="1037"/>
      <c r="BJ201" s="1037"/>
      <c r="BK201" s="1037"/>
      <c r="BL201" s="1037"/>
      <c r="BM201" s="1037"/>
      <c r="BN201" s="1037"/>
      <c r="BO201" s="1037"/>
      <c r="BP201" s="1037"/>
      <c r="BQ201" s="1037"/>
      <c r="BR201" s="1037"/>
      <c r="BS201" s="1037"/>
      <c r="BT201" s="1037"/>
      <c r="BU201" s="1037"/>
      <c r="BV201" s="1037"/>
      <c r="BW201" s="1037"/>
      <c r="BX201" s="1037"/>
      <c r="BY201" s="1037"/>
      <c r="BZ201" s="1037"/>
      <c r="CA201" s="1037"/>
      <c r="CB201" s="1037"/>
      <c r="CC201" s="1037"/>
      <c r="CD201" s="1037"/>
      <c r="CE201" s="1037"/>
      <c r="CF201" s="1037"/>
      <c r="CG201" s="1037"/>
      <c r="CH201" s="1037"/>
      <c r="CI201" s="1037"/>
      <c r="CJ201" s="1037"/>
      <c r="CK201" s="1037"/>
      <c r="CL201" s="1037"/>
      <c r="CM201" s="1037"/>
      <c r="CN201" s="1037"/>
      <c r="CO201" s="1037"/>
      <c r="CP201" s="1037"/>
      <c r="CQ201" s="1037"/>
      <c r="CR201" s="1037"/>
      <c r="CS201" s="1037"/>
      <c r="CT201" s="1037"/>
      <c r="CU201" s="1037"/>
      <c r="CV201" s="1037"/>
      <c r="CW201" s="1037"/>
      <c r="CX201" s="1037"/>
      <c r="CY201" s="1037"/>
      <c r="CZ201" s="1037"/>
      <c r="DA201" s="1037"/>
      <c r="DB201" s="1037"/>
      <c r="DC201" s="1037"/>
      <c r="DD201" s="1037"/>
      <c r="DE201" s="1037"/>
      <c r="DF201" s="1037"/>
      <c r="DG201" s="1037"/>
      <c r="DH201" s="1037"/>
      <c r="DI201" s="1037"/>
      <c r="DJ201" s="1037"/>
      <c r="DK201" s="1037"/>
      <c r="DL201" s="1037"/>
      <c r="DM201" s="1037"/>
      <c r="DN201" s="1037"/>
      <c r="DO201" s="1037"/>
      <c r="DP201" s="1037"/>
      <c r="DQ201" s="1037"/>
      <c r="DR201" s="1037"/>
      <c r="DS201" s="1037"/>
      <c r="DT201" s="1037"/>
      <c r="DU201" s="1037"/>
      <c r="DV201" s="1037"/>
      <c r="DW201" s="1037"/>
      <c r="DX201" s="1037"/>
      <c r="DY201" s="1037"/>
      <c r="DZ201" s="1037"/>
      <c r="EA201" s="1037"/>
      <c r="EB201" s="1037"/>
      <c r="EC201" s="1037"/>
      <c r="ED201" s="1037"/>
      <c r="EE201" s="1037"/>
      <c r="EF201" s="1037"/>
      <c r="EG201" s="1037"/>
      <c r="EH201" s="1037"/>
      <c r="EI201" s="1037"/>
      <c r="EJ201" s="1037"/>
      <c r="EK201" s="1037"/>
      <c r="EL201" s="1037"/>
      <c r="EM201" s="1037"/>
      <c r="EN201" s="1037"/>
      <c r="EO201" s="1037"/>
      <c r="EP201" s="1037"/>
      <c r="EQ201" s="1037"/>
      <c r="ER201" s="1037"/>
      <c r="ES201" s="1037"/>
      <c r="ET201" s="1037"/>
      <c r="EU201" s="1037"/>
      <c r="EV201" s="1037"/>
      <c r="EW201" s="1037"/>
      <c r="EX201" s="1037"/>
      <c r="EY201" s="1037"/>
      <c r="EZ201" s="1037"/>
      <c r="FA201" s="1037"/>
      <c r="FB201" s="1037"/>
      <c r="FC201" s="1037"/>
      <c r="FD201" s="1037"/>
      <c r="FE201" s="1037"/>
      <c r="FF201" s="1037"/>
      <c r="FG201" s="1037"/>
      <c r="FH201" s="1037"/>
      <c r="FI201" s="1037"/>
      <c r="FJ201" s="1037"/>
      <c r="FK201" s="1037"/>
      <c r="FL201" s="1037"/>
      <c r="FM201" s="1037"/>
      <c r="FN201" s="1037"/>
      <c r="FO201" s="1037"/>
      <c r="FP201" s="1037"/>
      <c r="FQ201" s="1037"/>
      <c r="FR201" s="1037"/>
      <c r="FS201" s="1037"/>
      <c r="FT201" s="1037"/>
      <c r="FU201" s="1037"/>
      <c r="FV201" s="1037"/>
      <c r="FW201" s="1037"/>
      <c r="FX201" s="1037"/>
      <c r="FY201" s="1037"/>
      <c r="FZ201" s="1037"/>
      <c r="GA201" s="1037"/>
      <c r="GB201" s="1037"/>
      <c r="GC201" s="1037"/>
      <c r="GD201" s="1037"/>
      <c r="GE201" s="1037"/>
      <c r="GF201" s="1037"/>
      <c r="GG201" s="1037"/>
      <c r="GH201" s="1037"/>
      <c r="GI201" s="1037"/>
      <c r="GJ201" s="1037"/>
      <c r="GK201" s="1037"/>
      <c r="GL201" s="1037"/>
      <c r="GM201" s="1037"/>
      <c r="GN201" s="1037"/>
      <c r="GO201" s="1037"/>
      <c r="GP201" s="1037"/>
      <c r="GQ201" s="1037"/>
      <c r="GR201" s="1037"/>
      <c r="GS201" s="1037"/>
      <c r="GT201" s="1037"/>
      <c r="GU201" s="1037"/>
      <c r="GV201" s="1037"/>
      <c r="GW201" s="1037"/>
      <c r="GX201" s="1037"/>
      <c r="GY201" s="1037"/>
      <c r="GZ201" s="1037"/>
      <c r="HA201" s="1037"/>
      <c r="HB201" s="1037"/>
      <c r="HC201" s="1037"/>
      <c r="HD201" s="1037"/>
      <c r="HE201" s="1037"/>
      <c r="HF201" s="1037"/>
      <c r="HG201" s="1037"/>
      <c r="HH201" s="1037"/>
      <c r="HI201" s="1037"/>
      <c r="HJ201" s="1037"/>
      <c r="HK201" s="1037"/>
      <c r="HL201" s="1037"/>
      <c r="HM201" s="1037"/>
      <c r="HN201" s="1037"/>
      <c r="HO201" s="1037"/>
      <c r="HP201" s="1037"/>
      <c r="HQ201" s="1037"/>
      <c r="HR201" s="1037"/>
      <c r="HS201" s="1037"/>
      <c r="HT201" s="1037"/>
      <c r="HU201" s="1037"/>
      <c r="HV201" s="1037"/>
      <c r="HW201" s="1037"/>
      <c r="HX201" s="1037"/>
      <c r="HY201" s="1037"/>
      <c r="HZ201" s="1037"/>
      <c r="IA201" s="1037"/>
      <c r="IB201" s="1037"/>
      <c r="IC201" s="1037"/>
      <c r="ID201" s="1037"/>
      <c r="IE201" s="1037"/>
      <c r="IF201" s="1037"/>
      <c r="IG201" s="1037"/>
      <c r="IH201" s="1037"/>
      <c r="II201" s="1037"/>
      <c r="IJ201" s="1037"/>
      <c r="IK201" s="1037"/>
      <c r="IL201" s="1037"/>
      <c r="IM201" s="1037"/>
      <c r="IN201" s="1037"/>
    </row>
    <row r="202" spans="1:248">
      <c r="A202" s="701" t="s">
        <v>28</v>
      </c>
      <c r="B202" s="703">
        <v>20144.7</v>
      </c>
      <c r="C202" s="1038">
        <v>27.811840330461219</v>
      </c>
      <c r="D202" s="704">
        <v>19670.099999999999</v>
      </c>
      <c r="E202" s="1038">
        <v>27.156605979945354</v>
      </c>
      <c r="F202" s="1038">
        <v>474.60000000000218</v>
      </c>
      <c r="G202" s="1038">
        <f t="shared" si="28"/>
        <v>0.65523435051586543</v>
      </c>
      <c r="H202" s="390">
        <v>72432.100000000006</v>
      </c>
      <c r="I202" s="1037"/>
      <c r="J202" s="1037"/>
      <c r="K202" s="1037"/>
      <c r="L202" s="1037"/>
      <c r="M202" s="1037"/>
      <c r="N202" s="1037"/>
      <c r="O202" s="1037"/>
      <c r="P202" s="1037"/>
      <c r="Q202" s="1037"/>
      <c r="R202" s="1037"/>
      <c r="S202" s="1037"/>
      <c r="T202" s="1037"/>
      <c r="U202" s="1037"/>
      <c r="V202" s="1037"/>
      <c r="W202" s="1037"/>
      <c r="X202" s="1037"/>
      <c r="Y202" s="1037"/>
      <c r="Z202" s="1037"/>
      <c r="AA202" s="1037"/>
      <c r="AB202" s="1037"/>
      <c r="AC202" s="1037"/>
      <c r="AD202" s="1037"/>
      <c r="AE202" s="1037"/>
      <c r="AF202" s="1037"/>
      <c r="AG202" s="1037"/>
      <c r="AH202" s="1037"/>
      <c r="AI202" s="1037"/>
      <c r="AJ202" s="1037"/>
      <c r="AK202" s="1037"/>
      <c r="AL202" s="1037"/>
      <c r="AM202" s="1037"/>
      <c r="AN202" s="1037"/>
      <c r="AO202" s="1037"/>
      <c r="AP202" s="1037"/>
      <c r="AQ202" s="1037"/>
      <c r="AR202" s="1037"/>
      <c r="AS202" s="1037"/>
      <c r="AT202" s="1037"/>
      <c r="AU202" s="1037"/>
      <c r="AV202" s="1037"/>
      <c r="AW202" s="1037"/>
      <c r="AX202" s="1037"/>
      <c r="AY202" s="1037"/>
      <c r="AZ202" s="1037"/>
      <c r="BA202" s="1037"/>
      <c r="BB202" s="1037"/>
      <c r="BC202" s="1037"/>
      <c r="BD202" s="1037"/>
      <c r="BE202" s="1037"/>
      <c r="BF202" s="1037"/>
      <c r="BG202" s="1037"/>
      <c r="BH202" s="1037"/>
      <c r="BI202" s="1037"/>
      <c r="BJ202" s="1037"/>
      <c r="BK202" s="1037"/>
      <c r="BL202" s="1037"/>
      <c r="BM202" s="1037"/>
      <c r="BN202" s="1037"/>
      <c r="BO202" s="1037"/>
      <c r="BP202" s="1037"/>
      <c r="BQ202" s="1037"/>
      <c r="BR202" s="1037"/>
      <c r="BS202" s="1037"/>
      <c r="BT202" s="1037"/>
      <c r="BU202" s="1037"/>
      <c r="BV202" s="1037"/>
      <c r="BW202" s="1037"/>
      <c r="BX202" s="1037"/>
      <c r="BY202" s="1037"/>
      <c r="BZ202" s="1037"/>
      <c r="CA202" s="1037"/>
      <c r="CB202" s="1037"/>
      <c r="CC202" s="1037"/>
      <c r="CD202" s="1037"/>
      <c r="CE202" s="1037"/>
      <c r="CF202" s="1037"/>
      <c r="CG202" s="1037"/>
      <c r="CH202" s="1037"/>
      <c r="CI202" s="1037"/>
      <c r="CJ202" s="1037"/>
      <c r="CK202" s="1037"/>
      <c r="CL202" s="1037"/>
      <c r="CM202" s="1037"/>
      <c r="CN202" s="1037"/>
      <c r="CO202" s="1037"/>
      <c r="CP202" s="1037"/>
      <c r="CQ202" s="1037"/>
      <c r="CR202" s="1037"/>
      <c r="CS202" s="1037"/>
      <c r="CT202" s="1037"/>
      <c r="CU202" s="1037"/>
      <c r="CV202" s="1037"/>
      <c r="CW202" s="1037"/>
      <c r="CX202" s="1037"/>
      <c r="CY202" s="1037"/>
      <c r="CZ202" s="1037"/>
      <c r="DA202" s="1037"/>
      <c r="DB202" s="1037"/>
      <c r="DC202" s="1037"/>
      <c r="DD202" s="1037"/>
      <c r="DE202" s="1037"/>
      <c r="DF202" s="1037"/>
      <c r="DG202" s="1037"/>
      <c r="DH202" s="1037"/>
      <c r="DI202" s="1037"/>
      <c r="DJ202" s="1037"/>
      <c r="DK202" s="1037"/>
      <c r="DL202" s="1037"/>
      <c r="DM202" s="1037"/>
      <c r="DN202" s="1037"/>
      <c r="DO202" s="1037"/>
      <c r="DP202" s="1037"/>
      <c r="DQ202" s="1037"/>
      <c r="DR202" s="1037"/>
      <c r="DS202" s="1037"/>
      <c r="DT202" s="1037"/>
      <c r="DU202" s="1037"/>
      <c r="DV202" s="1037"/>
      <c r="DW202" s="1037"/>
      <c r="DX202" s="1037"/>
      <c r="DY202" s="1037"/>
      <c r="DZ202" s="1037"/>
      <c r="EA202" s="1037"/>
      <c r="EB202" s="1037"/>
      <c r="EC202" s="1037"/>
      <c r="ED202" s="1037"/>
      <c r="EE202" s="1037"/>
      <c r="EF202" s="1037"/>
      <c r="EG202" s="1037"/>
      <c r="EH202" s="1037"/>
      <c r="EI202" s="1037"/>
      <c r="EJ202" s="1037"/>
      <c r="EK202" s="1037"/>
      <c r="EL202" s="1037"/>
      <c r="EM202" s="1037"/>
      <c r="EN202" s="1037"/>
      <c r="EO202" s="1037"/>
      <c r="EP202" s="1037"/>
      <c r="EQ202" s="1037"/>
      <c r="ER202" s="1037"/>
      <c r="ES202" s="1037"/>
      <c r="ET202" s="1037"/>
      <c r="EU202" s="1037"/>
      <c r="EV202" s="1037"/>
      <c r="EW202" s="1037"/>
      <c r="EX202" s="1037"/>
      <c r="EY202" s="1037"/>
      <c r="EZ202" s="1037"/>
      <c r="FA202" s="1037"/>
      <c r="FB202" s="1037"/>
      <c r="FC202" s="1037"/>
      <c r="FD202" s="1037"/>
      <c r="FE202" s="1037"/>
      <c r="FF202" s="1037"/>
      <c r="FG202" s="1037"/>
      <c r="FH202" s="1037"/>
      <c r="FI202" s="1037"/>
      <c r="FJ202" s="1037"/>
      <c r="FK202" s="1037"/>
      <c r="FL202" s="1037"/>
      <c r="FM202" s="1037"/>
      <c r="FN202" s="1037"/>
      <c r="FO202" s="1037"/>
      <c r="FP202" s="1037"/>
      <c r="FQ202" s="1037"/>
      <c r="FR202" s="1037"/>
      <c r="FS202" s="1037"/>
      <c r="FT202" s="1037"/>
      <c r="FU202" s="1037"/>
      <c r="FV202" s="1037"/>
      <c r="FW202" s="1037"/>
      <c r="FX202" s="1037"/>
      <c r="FY202" s="1037"/>
      <c r="FZ202" s="1037"/>
      <c r="GA202" s="1037"/>
      <c r="GB202" s="1037"/>
      <c r="GC202" s="1037"/>
      <c r="GD202" s="1037"/>
      <c r="GE202" s="1037"/>
      <c r="GF202" s="1037"/>
      <c r="GG202" s="1037"/>
      <c r="GH202" s="1037"/>
      <c r="GI202" s="1037"/>
      <c r="GJ202" s="1037"/>
      <c r="GK202" s="1037"/>
      <c r="GL202" s="1037"/>
      <c r="GM202" s="1037"/>
      <c r="GN202" s="1037"/>
      <c r="GO202" s="1037"/>
      <c r="GP202" s="1037"/>
      <c r="GQ202" s="1037"/>
      <c r="GR202" s="1037"/>
      <c r="GS202" s="1037"/>
      <c r="GT202" s="1037"/>
      <c r="GU202" s="1037"/>
      <c r="GV202" s="1037"/>
      <c r="GW202" s="1037"/>
      <c r="GX202" s="1037"/>
      <c r="GY202" s="1037"/>
      <c r="GZ202" s="1037"/>
      <c r="HA202" s="1037"/>
      <c r="HB202" s="1037"/>
      <c r="HC202" s="1037"/>
      <c r="HD202" s="1037"/>
      <c r="HE202" s="1037"/>
      <c r="HF202" s="1037"/>
      <c r="HG202" s="1037"/>
      <c r="HH202" s="1037"/>
      <c r="HI202" s="1037"/>
      <c r="HJ202" s="1037"/>
      <c r="HK202" s="1037"/>
      <c r="HL202" s="1037"/>
      <c r="HM202" s="1037"/>
      <c r="HN202" s="1037"/>
      <c r="HO202" s="1037"/>
      <c r="HP202" s="1037"/>
      <c r="HQ202" s="1037"/>
      <c r="HR202" s="1037"/>
      <c r="HS202" s="1037"/>
      <c r="HT202" s="1037"/>
      <c r="HU202" s="1037"/>
      <c r="HV202" s="1037"/>
      <c r="HW202" s="1037"/>
      <c r="HX202" s="1037"/>
      <c r="HY202" s="1037"/>
      <c r="HZ202" s="1037"/>
      <c r="IA202" s="1037"/>
      <c r="IB202" s="1037"/>
      <c r="IC202" s="1037"/>
      <c r="ID202" s="1037"/>
      <c r="IE202" s="1037"/>
      <c r="IF202" s="1037"/>
      <c r="IG202" s="1037"/>
      <c r="IH202" s="1037"/>
      <c r="II202" s="1037"/>
      <c r="IJ202" s="1037"/>
      <c r="IK202" s="1037"/>
      <c r="IL202" s="1037"/>
      <c r="IM202" s="1037"/>
      <c r="IN202" s="1037"/>
    </row>
    <row r="203" spans="1:248">
      <c r="A203" s="701" t="s">
        <v>29</v>
      </c>
      <c r="B203" s="703">
        <v>22508.86967</v>
      </c>
      <c r="C203" s="1038">
        <v>28.085160776116485</v>
      </c>
      <c r="D203" s="704">
        <v>22731.643760000003</v>
      </c>
      <c r="E203" s="1038">
        <v>28.470762795232417</v>
      </c>
      <c r="F203" s="1038">
        <v>-222.77409000000262</v>
      </c>
      <c r="G203" s="1038">
        <f t="shared" si="28"/>
        <v>-0.27814774259601788</v>
      </c>
      <c r="H203" s="390">
        <v>80092</v>
      </c>
      <c r="I203" s="1037"/>
      <c r="J203" s="1037"/>
      <c r="K203" s="1037"/>
      <c r="L203" s="1037"/>
      <c r="M203" s="1037"/>
      <c r="N203" s="1037"/>
      <c r="O203" s="1037"/>
      <c r="P203" s="1037"/>
      <c r="Q203" s="1037"/>
      <c r="R203" s="1037"/>
      <c r="S203" s="1037"/>
      <c r="T203" s="1037"/>
      <c r="U203" s="1037"/>
      <c r="V203" s="1037"/>
      <c r="W203" s="1037"/>
      <c r="X203" s="1037"/>
      <c r="Y203" s="1037"/>
      <c r="Z203" s="1037"/>
      <c r="AA203" s="1037"/>
      <c r="AB203" s="1037"/>
      <c r="AC203" s="1037"/>
      <c r="AD203" s="1037"/>
      <c r="AE203" s="1037"/>
      <c r="AF203" s="1037"/>
      <c r="AG203" s="1037"/>
      <c r="AH203" s="1037"/>
      <c r="AI203" s="1037"/>
      <c r="AJ203" s="1037"/>
      <c r="AK203" s="1037"/>
      <c r="AL203" s="1037"/>
      <c r="AM203" s="1037"/>
      <c r="AN203" s="1037"/>
      <c r="AO203" s="1037"/>
      <c r="AP203" s="1037"/>
      <c r="AQ203" s="1037"/>
      <c r="AR203" s="1037"/>
      <c r="AS203" s="1037"/>
      <c r="AT203" s="1037"/>
      <c r="AU203" s="1037"/>
      <c r="AV203" s="1037"/>
      <c r="AW203" s="1037"/>
      <c r="AX203" s="1037"/>
      <c r="AY203" s="1037"/>
      <c r="AZ203" s="1037"/>
      <c r="BA203" s="1037"/>
      <c r="BB203" s="1037"/>
      <c r="BC203" s="1037"/>
      <c r="BD203" s="1037"/>
      <c r="BE203" s="1037"/>
      <c r="BF203" s="1037"/>
      <c r="BG203" s="1037"/>
      <c r="BH203" s="1037"/>
      <c r="BI203" s="1037"/>
      <c r="BJ203" s="1037"/>
      <c r="BK203" s="1037"/>
      <c r="BL203" s="1037"/>
      <c r="BM203" s="1037"/>
      <c r="BN203" s="1037"/>
      <c r="BO203" s="1037"/>
      <c r="BP203" s="1037"/>
      <c r="BQ203" s="1037"/>
      <c r="BR203" s="1037"/>
      <c r="BS203" s="1037"/>
      <c r="BT203" s="1037"/>
      <c r="BU203" s="1037"/>
      <c r="BV203" s="1037"/>
      <c r="BW203" s="1037"/>
      <c r="BX203" s="1037"/>
      <c r="BY203" s="1037"/>
      <c r="BZ203" s="1037"/>
      <c r="CA203" s="1037"/>
      <c r="CB203" s="1037"/>
      <c r="CC203" s="1037"/>
      <c r="CD203" s="1037"/>
      <c r="CE203" s="1037"/>
      <c r="CF203" s="1037"/>
      <c r="CG203" s="1037"/>
      <c r="CH203" s="1037"/>
      <c r="CI203" s="1037"/>
      <c r="CJ203" s="1037"/>
      <c r="CK203" s="1037"/>
      <c r="CL203" s="1037"/>
      <c r="CM203" s="1037"/>
      <c r="CN203" s="1037"/>
      <c r="CO203" s="1037"/>
      <c r="CP203" s="1037"/>
      <c r="CQ203" s="1037"/>
      <c r="CR203" s="1037"/>
      <c r="CS203" s="1037"/>
      <c r="CT203" s="1037"/>
      <c r="CU203" s="1037"/>
      <c r="CV203" s="1037"/>
      <c r="CW203" s="1037"/>
      <c r="CX203" s="1037"/>
      <c r="CY203" s="1037"/>
      <c r="CZ203" s="1037"/>
      <c r="DA203" s="1037"/>
      <c r="DB203" s="1037"/>
      <c r="DC203" s="1037"/>
      <c r="DD203" s="1037"/>
      <c r="DE203" s="1037"/>
      <c r="DF203" s="1037"/>
      <c r="DG203" s="1037"/>
      <c r="DH203" s="1037"/>
      <c r="DI203" s="1037"/>
      <c r="DJ203" s="1037"/>
      <c r="DK203" s="1037"/>
      <c r="DL203" s="1037"/>
      <c r="DM203" s="1037"/>
      <c r="DN203" s="1037"/>
      <c r="DO203" s="1037"/>
      <c r="DP203" s="1037"/>
      <c r="DQ203" s="1037"/>
      <c r="DR203" s="1037"/>
      <c r="DS203" s="1037"/>
      <c r="DT203" s="1037"/>
      <c r="DU203" s="1037"/>
      <c r="DV203" s="1037"/>
      <c r="DW203" s="1037"/>
      <c r="DX203" s="1037"/>
      <c r="DY203" s="1037"/>
      <c r="DZ203" s="1037"/>
      <c r="EA203" s="1037"/>
      <c r="EB203" s="1037"/>
      <c r="EC203" s="1037"/>
      <c r="ED203" s="1037"/>
      <c r="EE203" s="1037"/>
      <c r="EF203" s="1037"/>
      <c r="EG203" s="1037"/>
      <c r="EH203" s="1037"/>
      <c r="EI203" s="1037"/>
      <c r="EJ203" s="1037"/>
      <c r="EK203" s="1037"/>
      <c r="EL203" s="1037"/>
      <c r="EM203" s="1037"/>
      <c r="EN203" s="1037"/>
      <c r="EO203" s="1037"/>
      <c r="EP203" s="1037"/>
      <c r="EQ203" s="1037"/>
      <c r="ER203" s="1037"/>
      <c r="ES203" s="1037"/>
      <c r="ET203" s="1037"/>
      <c r="EU203" s="1037"/>
      <c r="EV203" s="1037"/>
      <c r="EW203" s="1037"/>
      <c r="EX203" s="1037"/>
      <c r="EY203" s="1037"/>
      <c r="EZ203" s="1037"/>
      <c r="FA203" s="1037"/>
      <c r="FB203" s="1037"/>
      <c r="FC203" s="1037"/>
      <c r="FD203" s="1037"/>
      <c r="FE203" s="1037"/>
      <c r="FF203" s="1037"/>
      <c r="FG203" s="1037"/>
      <c r="FH203" s="1037"/>
      <c r="FI203" s="1037"/>
      <c r="FJ203" s="1037"/>
      <c r="FK203" s="1037"/>
      <c r="FL203" s="1037"/>
      <c r="FM203" s="1037"/>
      <c r="FN203" s="1037"/>
      <c r="FO203" s="1037"/>
      <c r="FP203" s="1037"/>
      <c r="FQ203" s="1037"/>
      <c r="FR203" s="1037"/>
      <c r="FS203" s="1037"/>
      <c r="FT203" s="1037"/>
      <c r="FU203" s="1037"/>
      <c r="FV203" s="1037"/>
      <c r="FW203" s="1037"/>
      <c r="FX203" s="1037"/>
      <c r="FY203" s="1037"/>
      <c r="FZ203" s="1037"/>
      <c r="GA203" s="1037"/>
      <c r="GB203" s="1037"/>
      <c r="GC203" s="1037"/>
      <c r="GD203" s="1037"/>
      <c r="GE203" s="1037"/>
      <c r="GF203" s="1037"/>
      <c r="GG203" s="1037"/>
      <c r="GH203" s="1037"/>
      <c r="GI203" s="1037"/>
      <c r="GJ203" s="1037"/>
      <c r="GK203" s="1037"/>
      <c r="GL203" s="1037"/>
      <c r="GM203" s="1037"/>
      <c r="GN203" s="1037"/>
      <c r="GO203" s="1037"/>
      <c r="GP203" s="1037"/>
      <c r="GQ203" s="1037"/>
      <c r="GR203" s="1037"/>
      <c r="GS203" s="1037"/>
      <c r="GT203" s="1037"/>
      <c r="GU203" s="1037"/>
      <c r="GV203" s="1037"/>
      <c r="GW203" s="1037"/>
      <c r="GX203" s="1037"/>
      <c r="GY203" s="1037"/>
      <c r="GZ203" s="1037"/>
      <c r="HA203" s="1037"/>
      <c r="HB203" s="1037"/>
      <c r="HC203" s="1037"/>
      <c r="HD203" s="1037"/>
      <c r="HE203" s="1037"/>
      <c r="HF203" s="1037"/>
      <c r="HG203" s="1037"/>
      <c r="HH203" s="1037"/>
      <c r="HI203" s="1037"/>
      <c r="HJ203" s="1037"/>
      <c r="HK203" s="1037"/>
      <c r="HL203" s="1037"/>
      <c r="HM203" s="1037"/>
      <c r="HN203" s="1037"/>
      <c r="HO203" s="1037"/>
      <c r="HP203" s="1037"/>
      <c r="HQ203" s="1037"/>
      <c r="HR203" s="1037"/>
      <c r="HS203" s="1037"/>
      <c r="HT203" s="1037"/>
      <c r="HU203" s="1037"/>
      <c r="HV203" s="1037"/>
      <c r="HW203" s="1037"/>
      <c r="HX203" s="1037"/>
      <c r="HY203" s="1037"/>
      <c r="HZ203" s="1037"/>
      <c r="IA203" s="1037"/>
      <c r="IB203" s="1037"/>
      <c r="IC203" s="1037"/>
      <c r="ID203" s="1037"/>
      <c r="IE203" s="1037"/>
      <c r="IF203" s="1037"/>
      <c r="IG203" s="1037"/>
      <c r="IH203" s="1037"/>
      <c r="II203" s="1037"/>
      <c r="IJ203" s="1037"/>
      <c r="IK203" s="1037"/>
      <c r="IL203" s="1037"/>
      <c r="IM203" s="1037"/>
      <c r="IN203" s="1037"/>
    </row>
    <row r="204" spans="1:248">
      <c r="A204" s="701" t="s">
        <v>2171</v>
      </c>
      <c r="B204" s="698">
        <v>24218.1</v>
      </c>
      <c r="C204" s="1039">
        <v>29.626963430908042</v>
      </c>
      <c r="D204" s="699">
        <v>24425.9</v>
      </c>
      <c r="E204" s="1039">
        <v>29.878184645143911</v>
      </c>
      <c r="F204" s="1039">
        <f>B204-D204</f>
        <v>-207.80000000000291</v>
      </c>
      <c r="G204" s="1039">
        <v>-0.25122121423586968</v>
      </c>
      <c r="H204" s="390"/>
      <c r="I204" s="1037"/>
      <c r="J204" s="1037"/>
      <c r="K204" s="1037"/>
      <c r="L204" s="1037"/>
      <c r="M204" s="1037"/>
      <c r="N204" s="1037"/>
      <c r="O204" s="1037"/>
      <c r="P204" s="1037"/>
      <c r="Q204" s="1037"/>
      <c r="R204" s="1037"/>
      <c r="S204" s="1037"/>
      <c r="T204" s="1037"/>
      <c r="U204" s="1037"/>
      <c r="V204" s="1037"/>
      <c r="W204" s="1037"/>
      <c r="X204" s="1037"/>
      <c r="Y204" s="1037"/>
      <c r="Z204" s="1037"/>
      <c r="AA204" s="1037"/>
      <c r="AB204" s="1037"/>
      <c r="AC204" s="1037"/>
      <c r="AD204" s="1037"/>
      <c r="AE204" s="1037"/>
      <c r="AF204" s="1037"/>
      <c r="AG204" s="1037"/>
      <c r="AH204" s="1037"/>
      <c r="AI204" s="1037"/>
      <c r="AJ204" s="1037"/>
      <c r="AK204" s="1037"/>
      <c r="AL204" s="1037"/>
      <c r="AM204" s="1037"/>
      <c r="AN204" s="1037"/>
      <c r="AO204" s="1037"/>
      <c r="AP204" s="1037"/>
      <c r="AQ204" s="1037"/>
      <c r="AR204" s="1037"/>
      <c r="AS204" s="1037"/>
      <c r="AT204" s="1037"/>
      <c r="AU204" s="1037"/>
      <c r="AV204" s="1037"/>
      <c r="AW204" s="1037"/>
      <c r="AX204" s="1037"/>
      <c r="AY204" s="1037"/>
      <c r="AZ204" s="1037"/>
      <c r="BA204" s="1037"/>
      <c r="BB204" s="1037"/>
      <c r="BC204" s="1037"/>
      <c r="BD204" s="1037"/>
      <c r="BE204" s="1037"/>
      <c r="BF204" s="1037"/>
      <c r="BG204" s="1037"/>
      <c r="BH204" s="1037"/>
      <c r="BI204" s="1037"/>
      <c r="BJ204" s="1037"/>
      <c r="BK204" s="1037"/>
      <c r="BL204" s="1037"/>
      <c r="BM204" s="1037"/>
      <c r="BN204" s="1037"/>
      <c r="BO204" s="1037"/>
      <c r="BP204" s="1037"/>
      <c r="BQ204" s="1037"/>
      <c r="BR204" s="1037"/>
      <c r="BS204" s="1037"/>
      <c r="BT204" s="1037"/>
      <c r="BU204" s="1037"/>
      <c r="BV204" s="1037"/>
      <c r="BW204" s="1037"/>
      <c r="BX204" s="1037"/>
      <c r="BY204" s="1037"/>
      <c r="BZ204" s="1037"/>
      <c r="CA204" s="1037"/>
      <c r="CB204" s="1037"/>
      <c r="CC204" s="1037"/>
      <c r="CD204" s="1037"/>
      <c r="CE204" s="1037"/>
      <c r="CF204" s="1037"/>
      <c r="CG204" s="1037"/>
      <c r="CH204" s="1037"/>
      <c r="CI204" s="1037"/>
      <c r="CJ204" s="1037"/>
      <c r="CK204" s="1037"/>
      <c r="CL204" s="1037"/>
      <c r="CM204" s="1037"/>
      <c r="CN204" s="1037"/>
      <c r="CO204" s="1037"/>
      <c r="CP204" s="1037"/>
      <c r="CQ204" s="1037"/>
      <c r="CR204" s="1037"/>
      <c r="CS204" s="1037"/>
      <c r="CT204" s="1037"/>
      <c r="CU204" s="1037"/>
      <c r="CV204" s="1037"/>
      <c r="CW204" s="1037"/>
      <c r="CX204" s="1037"/>
      <c r="CY204" s="1037"/>
      <c r="CZ204" s="1037"/>
      <c r="DA204" s="1037"/>
      <c r="DB204" s="1037"/>
      <c r="DC204" s="1037"/>
      <c r="DD204" s="1037"/>
      <c r="DE204" s="1037"/>
      <c r="DF204" s="1037"/>
      <c r="DG204" s="1037"/>
      <c r="DH204" s="1037"/>
      <c r="DI204" s="1037"/>
      <c r="DJ204" s="1037"/>
      <c r="DK204" s="1037"/>
      <c r="DL204" s="1037"/>
      <c r="DM204" s="1037"/>
      <c r="DN204" s="1037"/>
      <c r="DO204" s="1037"/>
      <c r="DP204" s="1037"/>
      <c r="DQ204" s="1037"/>
      <c r="DR204" s="1037"/>
      <c r="DS204" s="1037"/>
      <c r="DT204" s="1037"/>
      <c r="DU204" s="1037"/>
      <c r="DV204" s="1037"/>
      <c r="DW204" s="1037"/>
      <c r="DX204" s="1037"/>
      <c r="DY204" s="1037"/>
      <c r="DZ204" s="1037"/>
      <c r="EA204" s="1037"/>
      <c r="EB204" s="1037"/>
      <c r="EC204" s="1037"/>
      <c r="ED204" s="1037"/>
      <c r="EE204" s="1037"/>
      <c r="EF204" s="1037"/>
      <c r="EG204" s="1037"/>
      <c r="EH204" s="1037"/>
      <c r="EI204" s="1037"/>
      <c r="EJ204" s="1037"/>
      <c r="EK204" s="1037"/>
      <c r="EL204" s="1037"/>
      <c r="EM204" s="1037"/>
      <c r="EN204" s="1037"/>
      <c r="EO204" s="1037"/>
      <c r="EP204" s="1037"/>
      <c r="EQ204" s="1037"/>
      <c r="ER204" s="1037"/>
      <c r="ES204" s="1037"/>
      <c r="ET204" s="1037"/>
      <c r="EU204" s="1037"/>
      <c r="EV204" s="1037"/>
      <c r="EW204" s="1037"/>
      <c r="EX204" s="1037"/>
      <c r="EY204" s="1037"/>
      <c r="EZ204" s="1037"/>
      <c r="FA204" s="1037"/>
      <c r="FB204" s="1037"/>
      <c r="FC204" s="1037"/>
      <c r="FD204" s="1037"/>
      <c r="FE204" s="1037"/>
      <c r="FF204" s="1037"/>
      <c r="FG204" s="1037"/>
      <c r="FH204" s="1037"/>
      <c r="FI204" s="1037"/>
      <c r="FJ204" s="1037"/>
      <c r="FK204" s="1037"/>
      <c r="FL204" s="1037"/>
      <c r="FM204" s="1037"/>
      <c r="FN204" s="1037"/>
      <c r="FO204" s="1037"/>
      <c r="FP204" s="1037"/>
      <c r="FQ204" s="1037"/>
      <c r="FR204" s="1037"/>
      <c r="FS204" s="1037"/>
      <c r="FT204" s="1037"/>
      <c r="FU204" s="1037"/>
      <c r="FV204" s="1037"/>
      <c r="FW204" s="1037"/>
      <c r="FX204" s="1037"/>
      <c r="FY204" s="1037"/>
      <c r="FZ204" s="1037"/>
      <c r="GA204" s="1037"/>
      <c r="GB204" s="1037"/>
      <c r="GC204" s="1037"/>
      <c r="GD204" s="1037"/>
      <c r="GE204" s="1037"/>
      <c r="GF204" s="1037"/>
      <c r="GG204" s="1037"/>
      <c r="GH204" s="1037"/>
      <c r="GI204" s="1037"/>
      <c r="GJ204" s="1037"/>
      <c r="GK204" s="1037"/>
      <c r="GL204" s="1037"/>
      <c r="GM204" s="1037"/>
      <c r="GN204" s="1037"/>
      <c r="GO204" s="1037"/>
      <c r="GP204" s="1037"/>
      <c r="GQ204" s="1037"/>
      <c r="GR204" s="1037"/>
      <c r="GS204" s="1037"/>
      <c r="GT204" s="1037"/>
      <c r="GU204" s="1037"/>
      <c r="GV204" s="1037"/>
      <c r="GW204" s="1037"/>
      <c r="GX204" s="1037"/>
      <c r="GY204" s="1037"/>
      <c r="GZ204" s="1037"/>
      <c r="HA204" s="1037"/>
      <c r="HB204" s="1037"/>
      <c r="HC204" s="1037"/>
      <c r="HD204" s="1037"/>
      <c r="HE204" s="1037"/>
      <c r="HF204" s="1037"/>
      <c r="HG204" s="1037"/>
      <c r="HH204" s="1037"/>
      <c r="HI204" s="1037"/>
      <c r="HJ204" s="1037"/>
      <c r="HK204" s="1037"/>
      <c r="HL204" s="1037"/>
      <c r="HM204" s="1037"/>
      <c r="HN204" s="1037"/>
      <c r="HO204" s="1037"/>
      <c r="HP204" s="1037"/>
      <c r="HQ204" s="1037"/>
      <c r="HR204" s="1037"/>
      <c r="HS204" s="1037"/>
      <c r="HT204" s="1037"/>
      <c r="HU204" s="1037"/>
      <c r="HV204" s="1037"/>
      <c r="HW204" s="1037"/>
      <c r="HX204" s="1037"/>
      <c r="HY204" s="1037"/>
      <c r="HZ204" s="1037"/>
      <c r="IA204" s="1037"/>
      <c r="IB204" s="1037"/>
      <c r="IC204" s="1037"/>
      <c r="ID204" s="1037"/>
      <c r="IE204" s="1037"/>
      <c r="IF204" s="1037"/>
      <c r="IG204" s="1037"/>
      <c r="IH204" s="1037"/>
      <c r="II204" s="1037"/>
      <c r="IJ204" s="1037"/>
      <c r="IK204" s="1037"/>
      <c r="IL204" s="1037"/>
      <c r="IM204" s="1037"/>
      <c r="IN204" s="1037"/>
    </row>
    <row r="205" spans="1:248">
      <c r="A205" s="701" t="s">
        <v>18</v>
      </c>
      <c r="B205" s="703">
        <v>2097.1</v>
      </c>
      <c r="C205" s="1038">
        <v>35.367231638418076</v>
      </c>
      <c r="D205" s="704">
        <v>1269.0999999999999</v>
      </c>
      <c r="E205" s="1038">
        <v>21.403153722910869</v>
      </c>
      <c r="F205" s="1038">
        <v>828</v>
      </c>
      <c r="G205" s="1038">
        <f t="shared" si="28"/>
        <v>13.964077915507209</v>
      </c>
      <c r="H205" s="390">
        <v>5929.5</v>
      </c>
      <c r="I205" s="1037"/>
      <c r="J205" s="1037"/>
      <c r="K205" s="1037"/>
      <c r="L205" s="1037"/>
      <c r="M205" s="1037"/>
      <c r="N205" s="1037"/>
      <c r="O205" s="1037"/>
      <c r="P205" s="1037"/>
      <c r="Q205" s="1037"/>
      <c r="R205" s="1037"/>
      <c r="S205" s="1037"/>
      <c r="T205" s="1037"/>
      <c r="U205" s="1037"/>
      <c r="V205" s="1037"/>
      <c r="W205" s="1037"/>
      <c r="X205" s="1037"/>
      <c r="Y205" s="1037"/>
      <c r="Z205" s="1037"/>
      <c r="AA205" s="1037"/>
      <c r="AB205" s="1037"/>
      <c r="AC205" s="1037"/>
      <c r="AD205" s="1037"/>
      <c r="AE205" s="1037"/>
      <c r="AF205" s="1037"/>
      <c r="AG205" s="1037"/>
      <c r="AH205" s="1037"/>
      <c r="AI205" s="1037"/>
      <c r="AJ205" s="1037"/>
      <c r="AK205" s="1037"/>
      <c r="AL205" s="1037"/>
      <c r="AM205" s="1037"/>
      <c r="AN205" s="1037"/>
      <c r="AO205" s="1037"/>
      <c r="AP205" s="1037"/>
      <c r="AQ205" s="1037"/>
      <c r="AR205" s="1037"/>
      <c r="AS205" s="1037"/>
      <c r="AT205" s="1037"/>
      <c r="AU205" s="1037"/>
      <c r="AV205" s="1037"/>
      <c r="AW205" s="1037"/>
      <c r="AX205" s="1037"/>
      <c r="AY205" s="1037"/>
      <c r="AZ205" s="1037"/>
      <c r="BA205" s="1037"/>
      <c r="BB205" s="1037"/>
      <c r="BC205" s="1037"/>
      <c r="BD205" s="1037"/>
      <c r="BE205" s="1037"/>
      <c r="BF205" s="1037"/>
      <c r="BG205" s="1037"/>
      <c r="BH205" s="1037"/>
      <c r="BI205" s="1037"/>
      <c r="BJ205" s="1037"/>
      <c r="BK205" s="1037"/>
      <c r="BL205" s="1037"/>
      <c r="BM205" s="1037"/>
      <c r="BN205" s="1037"/>
      <c r="BO205" s="1037"/>
      <c r="BP205" s="1037"/>
      <c r="BQ205" s="1037"/>
      <c r="BR205" s="1037"/>
      <c r="BS205" s="1037"/>
      <c r="BT205" s="1037"/>
      <c r="BU205" s="1037"/>
      <c r="BV205" s="1037"/>
      <c r="BW205" s="1037"/>
      <c r="BX205" s="1037"/>
      <c r="BY205" s="1037"/>
      <c r="BZ205" s="1037"/>
      <c r="CA205" s="1037"/>
      <c r="CB205" s="1037"/>
      <c r="CC205" s="1037"/>
      <c r="CD205" s="1037"/>
      <c r="CE205" s="1037"/>
      <c r="CF205" s="1037"/>
      <c r="CG205" s="1037"/>
      <c r="CH205" s="1037"/>
      <c r="CI205" s="1037"/>
      <c r="CJ205" s="1037"/>
      <c r="CK205" s="1037"/>
      <c r="CL205" s="1037"/>
      <c r="CM205" s="1037"/>
      <c r="CN205" s="1037"/>
      <c r="CO205" s="1037"/>
      <c r="CP205" s="1037"/>
      <c r="CQ205" s="1037"/>
      <c r="CR205" s="1037"/>
      <c r="CS205" s="1037"/>
      <c r="CT205" s="1037"/>
      <c r="CU205" s="1037"/>
      <c r="CV205" s="1037"/>
      <c r="CW205" s="1037"/>
      <c r="CX205" s="1037"/>
      <c r="CY205" s="1037"/>
      <c r="CZ205" s="1037"/>
      <c r="DA205" s="1037"/>
      <c r="DB205" s="1037"/>
      <c r="DC205" s="1037"/>
      <c r="DD205" s="1037"/>
      <c r="DE205" s="1037"/>
      <c r="DF205" s="1037"/>
      <c r="DG205" s="1037"/>
      <c r="DH205" s="1037"/>
      <c r="DI205" s="1037"/>
      <c r="DJ205" s="1037"/>
      <c r="DK205" s="1037"/>
      <c r="DL205" s="1037"/>
      <c r="DM205" s="1037"/>
      <c r="DN205" s="1037"/>
      <c r="DO205" s="1037"/>
      <c r="DP205" s="1037"/>
      <c r="DQ205" s="1037"/>
      <c r="DR205" s="1037"/>
      <c r="DS205" s="1037"/>
      <c r="DT205" s="1037"/>
      <c r="DU205" s="1037"/>
      <c r="DV205" s="1037"/>
      <c r="DW205" s="1037"/>
      <c r="DX205" s="1037"/>
      <c r="DY205" s="1037"/>
      <c r="DZ205" s="1037"/>
      <c r="EA205" s="1037"/>
      <c r="EB205" s="1037"/>
      <c r="EC205" s="1037"/>
      <c r="ED205" s="1037"/>
      <c r="EE205" s="1037"/>
      <c r="EF205" s="1037"/>
      <c r="EG205" s="1037"/>
      <c r="EH205" s="1037"/>
      <c r="EI205" s="1037"/>
      <c r="EJ205" s="1037"/>
      <c r="EK205" s="1037"/>
      <c r="EL205" s="1037"/>
      <c r="EM205" s="1037"/>
      <c r="EN205" s="1037"/>
      <c r="EO205" s="1037"/>
      <c r="EP205" s="1037"/>
      <c r="EQ205" s="1037"/>
      <c r="ER205" s="1037"/>
      <c r="ES205" s="1037"/>
      <c r="ET205" s="1037"/>
      <c r="EU205" s="1037"/>
      <c r="EV205" s="1037"/>
      <c r="EW205" s="1037"/>
      <c r="EX205" s="1037"/>
      <c r="EY205" s="1037"/>
      <c r="EZ205" s="1037"/>
      <c r="FA205" s="1037"/>
      <c r="FB205" s="1037"/>
      <c r="FC205" s="1037"/>
      <c r="FD205" s="1037"/>
      <c r="FE205" s="1037"/>
      <c r="FF205" s="1037"/>
      <c r="FG205" s="1037"/>
      <c r="FH205" s="1037"/>
      <c r="FI205" s="1037"/>
      <c r="FJ205" s="1037"/>
      <c r="FK205" s="1037"/>
      <c r="FL205" s="1037"/>
      <c r="FM205" s="1037"/>
      <c r="FN205" s="1037"/>
      <c r="FO205" s="1037"/>
      <c r="FP205" s="1037"/>
      <c r="FQ205" s="1037"/>
      <c r="FR205" s="1037"/>
      <c r="FS205" s="1037"/>
      <c r="FT205" s="1037"/>
      <c r="FU205" s="1037"/>
      <c r="FV205" s="1037"/>
      <c r="FW205" s="1037"/>
      <c r="FX205" s="1037"/>
      <c r="FY205" s="1037"/>
      <c r="FZ205" s="1037"/>
      <c r="GA205" s="1037"/>
      <c r="GB205" s="1037"/>
      <c r="GC205" s="1037"/>
      <c r="GD205" s="1037"/>
      <c r="GE205" s="1037"/>
      <c r="GF205" s="1037"/>
      <c r="GG205" s="1037"/>
      <c r="GH205" s="1037"/>
      <c r="GI205" s="1037"/>
      <c r="GJ205" s="1037"/>
      <c r="GK205" s="1037"/>
      <c r="GL205" s="1037"/>
      <c r="GM205" s="1037"/>
      <c r="GN205" s="1037"/>
      <c r="GO205" s="1037"/>
      <c r="GP205" s="1037"/>
      <c r="GQ205" s="1037"/>
      <c r="GR205" s="1037"/>
      <c r="GS205" s="1037"/>
      <c r="GT205" s="1037"/>
      <c r="GU205" s="1037"/>
      <c r="GV205" s="1037"/>
      <c r="GW205" s="1037"/>
      <c r="GX205" s="1037"/>
      <c r="GY205" s="1037"/>
      <c r="GZ205" s="1037"/>
      <c r="HA205" s="1037"/>
      <c r="HB205" s="1037"/>
      <c r="HC205" s="1037"/>
      <c r="HD205" s="1037"/>
      <c r="HE205" s="1037"/>
      <c r="HF205" s="1037"/>
      <c r="HG205" s="1037"/>
      <c r="HH205" s="1037"/>
      <c r="HI205" s="1037"/>
      <c r="HJ205" s="1037"/>
      <c r="HK205" s="1037"/>
      <c r="HL205" s="1037"/>
      <c r="HM205" s="1037"/>
      <c r="HN205" s="1037"/>
      <c r="HO205" s="1037"/>
      <c r="HP205" s="1037"/>
      <c r="HQ205" s="1037"/>
      <c r="HR205" s="1037"/>
      <c r="HS205" s="1037"/>
      <c r="HT205" s="1037"/>
      <c r="HU205" s="1037"/>
      <c r="HV205" s="1037"/>
      <c r="HW205" s="1037"/>
      <c r="HX205" s="1037"/>
      <c r="HY205" s="1037"/>
      <c r="HZ205" s="1037"/>
      <c r="IA205" s="1037"/>
      <c r="IB205" s="1037"/>
      <c r="IC205" s="1037"/>
      <c r="ID205" s="1037"/>
      <c r="IE205" s="1037"/>
      <c r="IF205" s="1037"/>
      <c r="IG205" s="1037"/>
      <c r="IH205" s="1037"/>
      <c r="II205" s="1037"/>
      <c r="IJ205" s="1037"/>
      <c r="IK205" s="1037"/>
      <c r="IL205" s="1037"/>
      <c r="IM205" s="1037"/>
      <c r="IN205" s="1037"/>
    </row>
    <row r="206" spans="1:248">
      <c r="A206" s="701" t="s">
        <v>19</v>
      </c>
      <c r="B206" s="703">
        <v>3532.9</v>
      </c>
      <c r="C206" s="1038">
        <v>30.762331838565022</v>
      </c>
      <c r="D206" s="704">
        <v>2954.8</v>
      </c>
      <c r="E206" s="1038">
        <v>25.728590709216771</v>
      </c>
      <c r="F206" s="1038">
        <v>578.09999999999991</v>
      </c>
      <c r="G206" s="1038">
        <f t="shared" si="28"/>
        <v>5.0337411293482512</v>
      </c>
      <c r="H206" s="390">
        <v>11484.5</v>
      </c>
      <c r="I206" s="1037"/>
      <c r="J206" s="1037"/>
      <c r="K206" s="1037"/>
      <c r="L206" s="1037"/>
      <c r="M206" s="1037"/>
      <c r="N206" s="1037"/>
      <c r="O206" s="1037"/>
      <c r="P206" s="1037"/>
      <c r="Q206" s="1037"/>
      <c r="R206" s="1037"/>
      <c r="S206" s="1037"/>
      <c r="T206" s="1037"/>
      <c r="U206" s="1037"/>
      <c r="V206" s="1037"/>
      <c r="W206" s="1037"/>
      <c r="X206" s="1037"/>
      <c r="Y206" s="1037"/>
      <c r="Z206" s="1037"/>
      <c r="AA206" s="1037"/>
      <c r="AB206" s="1037"/>
      <c r="AC206" s="1037"/>
      <c r="AD206" s="1037"/>
      <c r="AE206" s="1037"/>
      <c r="AF206" s="1037"/>
      <c r="AG206" s="1037"/>
      <c r="AH206" s="1037"/>
      <c r="AI206" s="1037"/>
      <c r="AJ206" s="1037"/>
      <c r="AK206" s="1037"/>
      <c r="AL206" s="1037"/>
      <c r="AM206" s="1037"/>
      <c r="AN206" s="1037"/>
      <c r="AO206" s="1037"/>
      <c r="AP206" s="1037"/>
      <c r="AQ206" s="1037"/>
      <c r="AR206" s="1037"/>
      <c r="AS206" s="1037"/>
      <c r="AT206" s="1037"/>
      <c r="AU206" s="1037"/>
      <c r="AV206" s="1037"/>
      <c r="AW206" s="1037"/>
      <c r="AX206" s="1037"/>
      <c r="AY206" s="1037"/>
      <c r="AZ206" s="1037"/>
      <c r="BA206" s="1037"/>
      <c r="BB206" s="1037"/>
      <c r="BC206" s="1037"/>
      <c r="BD206" s="1037"/>
      <c r="BE206" s="1037"/>
      <c r="BF206" s="1037"/>
      <c r="BG206" s="1037"/>
      <c r="BH206" s="1037"/>
      <c r="BI206" s="1037"/>
      <c r="BJ206" s="1037"/>
      <c r="BK206" s="1037"/>
      <c r="BL206" s="1037"/>
      <c r="BM206" s="1037"/>
      <c r="BN206" s="1037"/>
      <c r="BO206" s="1037"/>
      <c r="BP206" s="1037"/>
      <c r="BQ206" s="1037"/>
      <c r="BR206" s="1037"/>
      <c r="BS206" s="1037"/>
      <c r="BT206" s="1037"/>
      <c r="BU206" s="1037"/>
      <c r="BV206" s="1037"/>
      <c r="BW206" s="1037"/>
      <c r="BX206" s="1037"/>
      <c r="BY206" s="1037"/>
      <c r="BZ206" s="1037"/>
      <c r="CA206" s="1037"/>
      <c r="CB206" s="1037"/>
      <c r="CC206" s="1037"/>
      <c r="CD206" s="1037"/>
      <c r="CE206" s="1037"/>
      <c r="CF206" s="1037"/>
      <c r="CG206" s="1037"/>
      <c r="CH206" s="1037"/>
      <c r="CI206" s="1037"/>
      <c r="CJ206" s="1037"/>
      <c r="CK206" s="1037"/>
      <c r="CL206" s="1037"/>
      <c r="CM206" s="1037"/>
      <c r="CN206" s="1037"/>
      <c r="CO206" s="1037"/>
      <c r="CP206" s="1037"/>
      <c r="CQ206" s="1037"/>
      <c r="CR206" s="1037"/>
      <c r="CS206" s="1037"/>
      <c r="CT206" s="1037"/>
      <c r="CU206" s="1037"/>
      <c r="CV206" s="1037"/>
      <c r="CW206" s="1037"/>
      <c r="CX206" s="1037"/>
      <c r="CY206" s="1037"/>
      <c r="CZ206" s="1037"/>
      <c r="DA206" s="1037"/>
      <c r="DB206" s="1037"/>
      <c r="DC206" s="1037"/>
      <c r="DD206" s="1037"/>
      <c r="DE206" s="1037"/>
      <c r="DF206" s="1037"/>
      <c r="DG206" s="1037"/>
      <c r="DH206" s="1037"/>
      <c r="DI206" s="1037"/>
      <c r="DJ206" s="1037"/>
      <c r="DK206" s="1037"/>
      <c r="DL206" s="1037"/>
      <c r="DM206" s="1037"/>
      <c r="DN206" s="1037"/>
      <c r="DO206" s="1037"/>
      <c r="DP206" s="1037"/>
      <c r="DQ206" s="1037"/>
      <c r="DR206" s="1037"/>
      <c r="DS206" s="1037"/>
      <c r="DT206" s="1037"/>
      <c r="DU206" s="1037"/>
      <c r="DV206" s="1037"/>
      <c r="DW206" s="1037"/>
      <c r="DX206" s="1037"/>
      <c r="DY206" s="1037"/>
      <c r="DZ206" s="1037"/>
      <c r="EA206" s="1037"/>
      <c r="EB206" s="1037"/>
      <c r="EC206" s="1037"/>
      <c r="ED206" s="1037"/>
      <c r="EE206" s="1037"/>
      <c r="EF206" s="1037"/>
      <c r="EG206" s="1037"/>
      <c r="EH206" s="1037"/>
      <c r="EI206" s="1037"/>
      <c r="EJ206" s="1037"/>
      <c r="EK206" s="1037"/>
      <c r="EL206" s="1037"/>
      <c r="EM206" s="1037"/>
      <c r="EN206" s="1037"/>
      <c r="EO206" s="1037"/>
      <c r="EP206" s="1037"/>
      <c r="EQ206" s="1037"/>
      <c r="ER206" s="1037"/>
      <c r="ES206" s="1037"/>
      <c r="ET206" s="1037"/>
      <c r="EU206" s="1037"/>
      <c r="EV206" s="1037"/>
      <c r="EW206" s="1037"/>
      <c r="EX206" s="1037"/>
      <c r="EY206" s="1037"/>
      <c r="EZ206" s="1037"/>
      <c r="FA206" s="1037"/>
      <c r="FB206" s="1037"/>
      <c r="FC206" s="1037"/>
      <c r="FD206" s="1037"/>
      <c r="FE206" s="1037"/>
      <c r="FF206" s="1037"/>
      <c r="FG206" s="1037"/>
      <c r="FH206" s="1037"/>
      <c r="FI206" s="1037"/>
      <c r="FJ206" s="1037"/>
      <c r="FK206" s="1037"/>
      <c r="FL206" s="1037"/>
      <c r="FM206" s="1037"/>
      <c r="FN206" s="1037"/>
      <c r="FO206" s="1037"/>
      <c r="FP206" s="1037"/>
      <c r="FQ206" s="1037"/>
      <c r="FR206" s="1037"/>
      <c r="FS206" s="1037"/>
      <c r="FT206" s="1037"/>
      <c r="FU206" s="1037"/>
      <c r="FV206" s="1037"/>
      <c r="FW206" s="1037"/>
      <c r="FX206" s="1037"/>
      <c r="FY206" s="1037"/>
      <c r="FZ206" s="1037"/>
      <c r="GA206" s="1037"/>
      <c r="GB206" s="1037"/>
      <c r="GC206" s="1037"/>
      <c r="GD206" s="1037"/>
      <c r="GE206" s="1037"/>
      <c r="GF206" s="1037"/>
      <c r="GG206" s="1037"/>
      <c r="GH206" s="1037"/>
      <c r="GI206" s="1037"/>
      <c r="GJ206" s="1037"/>
      <c r="GK206" s="1037"/>
      <c r="GL206" s="1037"/>
      <c r="GM206" s="1037"/>
      <c r="GN206" s="1037"/>
      <c r="GO206" s="1037"/>
      <c r="GP206" s="1037"/>
      <c r="GQ206" s="1037"/>
      <c r="GR206" s="1037"/>
      <c r="GS206" s="1037"/>
      <c r="GT206" s="1037"/>
      <c r="GU206" s="1037"/>
      <c r="GV206" s="1037"/>
      <c r="GW206" s="1037"/>
      <c r="GX206" s="1037"/>
      <c r="GY206" s="1037"/>
      <c r="GZ206" s="1037"/>
      <c r="HA206" s="1037"/>
      <c r="HB206" s="1037"/>
      <c r="HC206" s="1037"/>
      <c r="HD206" s="1037"/>
      <c r="HE206" s="1037"/>
      <c r="HF206" s="1037"/>
      <c r="HG206" s="1037"/>
      <c r="HH206" s="1037"/>
      <c r="HI206" s="1037"/>
      <c r="HJ206" s="1037"/>
      <c r="HK206" s="1037"/>
      <c r="HL206" s="1037"/>
      <c r="HM206" s="1037"/>
      <c r="HN206" s="1037"/>
      <c r="HO206" s="1037"/>
      <c r="HP206" s="1037"/>
      <c r="HQ206" s="1037"/>
      <c r="HR206" s="1037"/>
      <c r="HS206" s="1037"/>
      <c r="HT206" s="1037"/>
      <c r="HU206" s="1037"/>
      <c r="HV206" s="1037"/>
      <c r="HW206" s="1037"/>
      <c r="HX206" s="1037"/>
      <c r="HY206" s="1037"/>
      <c r="HZ206" s="1037"/>
      <c r="IA206" s="1037"/>
      <c r="IB206" s="1037"/>
      <c r="IC206" s="1037"/>
      <c r="ID206" s="1037"/>
      <c r="IE206" s="1037"/>
      <c r="IF206" s="1037"/>
      <c r="IG206" s="1037"/>
      <c r="IH206" s="1037"/>
      <c r="II206" s="1037"/>
      <c r="IJ206" s="1037"/>
      <c r="IK206" s="1037"/>
      <c r="IL206" s="1037"/>
      <c r="IM206" s="1037"/>
      <c r="IN206" s="1037"/>
    </row>
    <row r="207" spans="1:248">
      <c r="A207" s="701" t="s">
        <v>20</v>
      </c>
      <c r="B207" s="703">
        <v>5439.7</v>
      </c>
      <c r="C207" s="1038">
        <v>30.03417680284015</v>
      </c>
      <c r="D207" s="704">
        <v>5035.8999999999996</v>
      </c>
      <c r="E207" s="1038">
        <v>27.804678743574591</v>
      </c>
      <c r="F207" s="1038">
        <v>403.80000000000018</v>
      </c>
      <c r="G207" s="1038">
        <f t="shared" si="28"/>
        <v>2.2294980592655587</v>
      </c>
      <c r="H207" s="390">
        <v>18111.7</v>
      </c>
      <c r="I207" s="1037"/>
      <c r="J207" s="1037"/>
      <c r="K207" s="1037"/>
      <c r="L207" s="1037"/>
      <c r="M207" s="1037"/>
      <c r="N207" s="1037"/>
      <c r="O207" s="1037"/>
      <c r="P207" s="1037"/>
      <c r="Q207" s="1037"/>
      <c r="R207" s="1037"/>
      <c r="S207" s="1037"/>
      <c r="T207" s="1037"/>
      <c r="U207" s="1037"/>
      <c r="V207" s="1037"/>
      <c r="W207" s="1037"/>
      <c r="X207" s="1037"/>
      <c r="Y207" s="1037"/>
      <c r="Z207" s="1037"/>
      <c r="AA207" s="1037"/>
      <c r="AB207" s="1037"/>
      <c r="AC207" s="1037"/>
      <c r="AD207" s="1037"/>
      <c r="AE207" s="1037"/>
      <c r="AF207" s="1037"/>
      <c r="AG207" s="1037"/>
      <c r="AH207" s="1037"/>
      <c r="AI207" s="1037"/>
      <c r="AJ207" s="1037"/>
      <c r="AK207" s="1037"/>
      <c r="AL207" s="1037"/>
      <c r="AM207" s="1037"/>
      <c r="AN207" s="1037"/>
      <c r="AO207" s="1037"/>
      <c r="AP207" s="1037"/>
      <c r="AQ207" s="1037"/>
      <c r="AR207" s="1037"/>
      <c r="AS207" s="1037"/>
      <c r="AT207" s="1037"/>
      <c r="AU207" s="1037"/>
      <c r="AV207" s="1037"/>
      <c r="AW207" s="1037"/>
      <c r="AX207" s="1037"/>
      <c r="AY207" s="1037"/>
      <c r="AZ207" s="1037"/>
      <c r="BA207" s="1037"/>
      <c r="BB207" s="1037"/>
      <c r="BC207" s="1037"/>
      <c r="BD207" s="1037"/>
      <c r="BE207" s="1037"/>
      <c r="BF207" s="1037"/>
      <c r="BG207" s="1037"/>
      <c r="BH207" s="1037"/>
      <c r="BI207" s="1037"/>
      <c r="BJ207" s="1037"/>
      <c r="BK207" s="1037"/>
      <c r="BL207" s="1037"/>
      <c r="BM207" s="1037"/>
      <c r="BN207" s="1037"/>
      <c r="BO207" s="1037"/>
      <c r="BP207" s="1037"/>
      <c r="BQ207" s="1037"/>
      <c r="BR207" s="1037"/>
      <c r="BS207" s="1037"/>
      <c r="BT207" s="1037"/>
      <c r="BU207" s="1037"/>
      <c r="BV207" s="1037"/>
      <c r="BW207" s="1037"/>
      <c r="BX207" s="1037"/>
      <c r="BY207" s="1037"/>
      <c r="BZ207" s="1037"/>
      <c r="CA207" s="1037"/>
      <c r="CB207" s="1037"/>
      <c r="CC207" s="1037"/>
      <c r="CD207" s="1037"/>
      <c r="CE207" s="1037"/>
      <c r="CF207" s="1037"/>
      <c r="CG207" s="1037"/>
      <c r="CH207" s="1037"/>
      <c r="CI207" s="1037"/>
      <c r="CJ207" s="1037"/>
      <c r="CK207" s="1037"/>
      <c r="CL207" s="1037"/>
      <c r="CM207" s="1037"/>
      <c r="CN207" s="1037"/>
      <c r="CO207" s="1037"/>
      <c r="CP207" s="1037"/>
      <c r="CQ207" s="1037"/>
      <c r="CR207" s="1037"/>
      <c r="CS207" s="1037"/>
      <c r="CT207" s="1037"/>
      <c r="CU207" s="1037"/>
      <c r="CV207" s="1037"/>
      <c r="CW207" s="1037"/>
      <c r="CX207" s="1037"/>
      <c r="CY207" s="1037"/>
      <c r="CZ207" s="1037"/>
      <c r="DA207" s="1037"/>
      <c r="DB207" s="1037"/>
      <c r="DC207" s="1037"/>
      <c r="DD207" s="1037"/>
      <c r="DE207" s="1037"/>
      <c r="DF207" s="1037"/>
      <c r="DG207" s="1037"/>
      <c r="DH207" s="1037"/>
      <c r="DI207" s="1037"/>
      <c r="DJ207" s="1037"/>
      <c r="DK207" s="1037"/>
      <c r="DL207" s="1037"/>
      <c r="DM207" s="1037"/>
      <c r="DN207" s="1037"/>
      <c r="DO207" s="1037"/>
      <c r="DP207" s="1037"/>
      <c r="DQ207" s="1037"/>
      <c r="DR207" s="1037"/>
      <c r="DS207" s="1037"/>
      <c r="DT207" s="1037"/>
      <c r="DU207" s="1037"/>
      <c r="DV207" s="1037"/>
      <c r="DW207" s="1037"/>
      <c r="DX207" s="1037"/>
      <c r="DY207" s="1037"/>
      <c r="DZ207" s="1037"/>
      <c r="EA207" s="1037"/>
      <c r="EB207" s="1037"/>
      <c r="EC207" s="1037"/>
      <c r="ED207" s="1037"/>
      <c r="EE207" s="1037"/>
      <c r="EF207" s="1037"/>
      <c r="EG207" s="1037"/>
      <c r="EH207" s="1037"/>
      <c r="EI207" s="1037"/>
      <c r="EJ207" s="1037"/>
      <c r="EK207" s="1037"/>
      <c r="EL207" s="1037"/>
      <c r="EM207" s="1037"/>
      <c r="EN207" s="1037"/>
      <c r="EO207" s="1037"/>
      <c r="EP207" s="1037"/>
      <c r="EQ207" s="1037"/>
      <c r="ER207" s="1037"/>
      <c r="ES207" s="1037"/>
      <c r="ET207" s="1037"/>
      <c r="EU207" s="1037"/>
      <c r="EV207" s="1037"/>
      <c r="EW207" s="1037"/>
      <c r="EX207" s="1037"/>
      <c r="EY207" s="1037"/>
      <c r="EZ207" s="1037"/>
      <c r="FA207" s="1037"/>
      <c r="FB207" s="1037"/>
      <c r="FC207" s="1037"/>
      <c r="FD207" s="1037"/>
      <c r="FE207" s="1037"/>
      <c r="FF207" s="1037"/>
      <c r="FG207" s="1037"/>
      <c r="FH207" s="1037"/>
      <c r="FI207" s="1037"/>
      <c r="FJ207" s="1037"/>
      <c r="FK207" s="1037"/>
      <c r="FL207" s="1037"/>
      <c r="FM207" s="1037"/>
      <c r="FN207" s="1037"/>
      <c r="FO207" s="1037"/>
      <c r="FP207" s="1037"/>
      <c r="FQ207" s="1037"/>
      <c r="FR207" s="1037"/>
      <c r="FS207" s="1037"/>
      <c r="FT207" s="1037"/>
      <c r="FU207" s="1037"/>
      <c r="FV207" s="1037"/>
      <c r="FW207" s="1037"/>
      <c r="FX207" s="1037"/>
      <c r="FY207" s="1037"/>
      <c r="FZ207" s="1037"/>
      <c r="GA207" s="1037"/>
      <c r="GB207" s="1037"/>
      <c r="GC207" s="1037"/>
      <c r="GD207" s="1037"/>
      <c r="GE207" s="1037"/>
      <c r="GF207" s="1037"/>
      <c r="GG207" s="1037"/>
      <c r="GH207" s="1037"/>
      <c r="GI207" s="1037"/>
      <c r="GJ207" s="1037"/>
      <c r="GK207" s="1037"/>
      <c r="GL207" s="1037"/>
      <c r="GM207" s="1037"/>
      <c r="GN207" s="1037"/>
      <c r="GO207" s="1037"/>
      <c r="GP207" s="1037"/>
      <c r="GQ207" s="1037"/>
      <c r="GR207" s="1037"/>
      <c r="GS207" s="1037"/>
      <c r="GT207" s="1037"/>
      <c r="GU207" s="1037"/>
      <c r="GV207" s="1037"/>
      <c r="GW207" s="1037"/>
      <c r="GX207" s="1037"/>
      <c r="GY207" s="1037"/>
      <c r="GZ207" s="1037"/>
      <c r="HA207" s="1037"/>
      <c r="HB207" s="1037"/>
      <c r="HC207" s="1037"/>
      <c r="HD207" s="1037"/>
      <c r="HE207" s="1037"/>
      <c r="HF207" s="1037"/>
      <c r="HG207" s="1037"/>
      <c r="HH207" s="1037"/>
      <c r="HI207" s="1037"/>
      <c r="HJ207" s="1037"/>
      <c r="HK207" s="1037"/>
      <c r="HL207" s="1037"/>
      <c r="HM207" s="1037"/>
      <c r="HN207" s="1037"/>
      <c r="HO207" s="1037"/>
      <c r="HP207" s="1037"/>
      <c r="HQ207" s="1037"/>
      <c r="HR207" s="1037"/>
      <c r="HS207" s="1037"/>
      <c r="HT207" s="1037"/>
      <c r="HU207" s="1037"/>
      <c r="HV207" s="1037"/>
      <c r="HW207" s="1037"/>
      <c r="HX207" s="1037"/>
      <c r="HY207" s="1037"/>
      <c r="HZ207" s="1037"/>
      <c r="IA207" s="1037"/>
      <c r="IB207" s="1037"/>
      <c r="IC207" s="1037"/>
      <c r="ID207" s="1037"/>
      <c r="IE207" s="1037"/>
      <c r="IF207" s="1037"/>
      <c r="IG207" s="1037"/>
      <c r="IH207" s="1037"/>
      <c r="II207" s="1037"/>
      <c r="IJ207" s="1037"/>
      <c r="IK207" s="1037"/>
      <c r="IL207" s="1037"/>
      <c r="IM207" s="1037"/>
      <c r="IN207" s="1037"/>
    </row>
    <row r="208" spans="1:248">
      <c r="A208" s="701" t="s">
        <v>21</v>
      </c>
      <c r="B208" s="703">
        <v>7503.4</v>
      </c>
      <c r="C208" s="1038">
        <v>31.509150310329474</v>
      </c>
      <c r="D208" s="704">
        <v>7220.5</v>
      </c>
      <c r="E208" s="1038">
        <v>30.321163714547271</v>
      </c>
      <c r="F208" s="1038">
        <v>282.89999999999964</v>
      </c>
      <c r="G208" s="1038">
        <f t="shared" si="28"/>
        <v>1.1879865957822051</v>
      </c>
      <c r="H208" s="390">
        <v>23813.4</v>
      </c>
      <c r="I208" s="1037"/>
      <c r="J208" s="1037"/>
      <c r="K208" s="1037"/>
      <c r="L208" s="1037"/>
      <c r="M208" s="1037"/>
      <c r="N208" s="1037"/>
      <c r="O208" s="1037"/>
      <c r="P208" s="1037"/>
      <c r="Q208" s="1037"/>
      <c r="R208" s="1037"/>
      <c r="S208" s="1037"/>
      <c r="T208" s="1037"/>
      <c r="U208" s="1037"/>
      <c r="V208" s="1037"/>
      <c r="W208" s="1037"/>
      <c r="X208" s="1037"/>
      <c r="Y208" s="1037"/>
      <c r="Z208" s="1037"/>
      <c r="AA208" s="1037"/>
      <c r="AB208" s="1037"/>
      <c r="AC208" s="1037"/>
      <c r="AD208" s="1037"/>
      <c r="AE208" s="1037"/>
      <c r="AF208" s="1037"/>
      <c r="AG208" s="1037"/>
      <c r="AH208" s="1037"/>
      <c r="AI208" s="1037"/>
      <c r="AJ208" s="1037"/>
      <c r="AK208" s="1037"/>
      <c r="AL208" s="1037"/>
      <c r="AM208" s="1037"/>
      <c r="AN208" s="1037"/>
      <c r="AO208" s="1037"/>
      <c r="AP208" s="1037"/>
      <c r="AQ208" s="1037"/>
      <c r="AR208" s="1037"/>
      <c r="AS208" s="1037"/>
      <c r="AT208" s="1037"/>
      <c r="AU208" s="1037"/>
      <c r="AV208" s="1037"/>
      <c r="AW208" s="1037"/>
      <c r="AX208" s="1037"/>
      <c r="AY208" s="1037"/>
      <c r="AZ208" s="1037"/>
      <c r="BA208" s="1037"/>
      <c r="BB208" s="1037"/>
      <c r="BC208" s="1037"/>
      <c r="BD208" s="1037"/>
      <c r="BE208" s="1037"/>
      <c r="BF208" s="1037"/>
      <c r="BG208" s="1037"/>
      <c r="BH208" s="1037"/>
      <c r="BI208" s="1037"/>
      <c r="BJ208" s="1037"/>
      <c r="BK208" s="1037"/>
      <c r="BL208" s="1037"/>
      <c r="BM208" s="1037"/>
      <c r="BN208" s="1037"/>
      <c r="BO208" s="1037"/>
      <c r="BP208" s="1037"/>
      <c r="BQ208" s="1037"/>
      <c r="BR208" s="1037"/>
      <c r="BS208" s="1037"/>
      <c r="BT208" s="1037"/>
      <c r="BU208" s="1037"/>
      <c r="BV208" s="1037"/>
      <c r="BW208" s="1037"/>
      <c r="BX208" s="1037"/>
      <c r="BY208" s="1037"/>
      <c r="BZ208" s="1037"/>
      <c r="CA208" s="1037"/>
      <c r="CB208" s="1037"/>
      <c r="CC208" s="1037"/>
      <c r="CD208" s="1037"/>
      <c r="CE208" s="1037"/>
      <c r="CF208" s="1037"/>
      <c r="CG208" s="1037"/>
      <c r="CH208" s="1037"/>
      <c r="CI208" s="1037"/>
      <c r="CJ208" s="1037"/>
      <c r="CK208" s="1037"/>
      <c r="CL208" s="1037"/>
      <c r="CM208" s="1037"/>
      <c r="CN208" s="1037"/>
      <c r="CO208" s="1037"/>
      <c r="CP208" s="1037"/>
      <c r="CQ208" s="1037"/>
      <c r="CR208" s="1037"/>
      <c r="CS208" s="1037"/>
      <c r="CT208" s="1037"/>
      <c r="CU208" s="1037"/>
      <c r="CV208" s="1037"/>
      <c r="CW208" s="1037"/>
      <c r="CX208" s="1037"/>
      <c r="CY208" s="1037"/>
      <c r="CZ208" s="1037"/>
      <c r="DA208" s="1037"/>
      <c r="DB208" s="1037"/>
      <c r="DC208" s="1037"/>
      <c r="DD208" s="1037"/>
      <c r="DE208" s="1037"/>
      <c r="DF208" s="1037"/>
      <c r="DG208" s="1037"/>
      <c r="DH208" s="1037"/>
      <c r="DI208" s="1037"/>
      <c r="DJ208" s="1037"/>
      <c r="DK208" s="1037"/>
      <c r="DL208" s="1037"/>
      <c r="DM208" s="1037"/>
      <c r="DN208" s="1037"/>
      <c r="DO208" s="1037"/>
      <c r="DP208" s="1037"/>
      <c r="DQ208" s="1037"/>
      <c r="DR208" s="1037"/>
      <c r="DS208" s="1037"/>
      <c r="DT208" s="1037"/>
      <c r="DU208" s="1037"/>
      <c r="DV208" s="1037"/>
      <c r="DW208" s="1037"/>
      <c r="DX208" s="1037"/>
      <c r="DY208" s="1037"/>
      <c r="DZ208" s="1037"/>
      <c r="EA208" s="1037"/>
      <c r="EB208" s="1037"/>
      <c r="EC208" s="1037"/>
      <c r="ED208" s="1037"/>
      <c r="EE208" s="1037"/>
      <c r="EF208" s="1037"/>
      <c r="EG208" s="1037"/>
      <c r="EH208" s="1037"/>
      <c r="EI208" s="1037"/>
      <c r="EJ208" s="1037"/>
      <c r="EK208" s="1037"/>
      <c r="EL208" s="1037"/>
      <c r="EM208" s="1037"/>
      <c r="EN208" s="1037"/>
      <c r="EO208" s="1037"/>
      <c r="EP208" s="1037"/>
      <c r="EQ208" s="1037"/>
      <c r="ER208" s="1037"/>
      <c r="ES208" s="1037"/>
      <c r="ET208" s="1037"/>
      <c r="EU208" s="1037"/>
      <c r="EV208" s="1037"/>
      <c r="EW208" s="1037"/>
      <c r="EX208" s="1037"/>
      <c r="EY208" s="1037"/>
      <c r="EZ208" s="1037"/>
      <c r="FA208" s="1037"/>
      <c r="FB208" s="1037"/>
      <c r="FC208" s="1037"/>
      <c r="FD208" s="1037"/>
      <c r="FE208" s="1037"/>
      <c r="FF208" s="1037"/>
      <c r="FG208" s="1037"/>
      <c r="FH208" s="1037"/>
      <c r="FI208" s="1037"/>
      <c r="FJ208" s="1037"/>
      <c r="FK208" s="1037"/>
      <c r="FL208" s="1037"/>
      <c r="FM208" s="1037"/>
      <c r="FN208" s="1037"/>
      <c r="FO208" s="1037"/>
      <c r="FP208" s="1037"/>
      <c r="FQ208" s="1037"/>
      <c r="FR208" s="1037"/>
      <c r="FS208" s="1037"/>
      <c r="FT208" s="1037"/>
      <c r="FU208" s="1037"/>
      <c r="FV208" s="1037"/>
      <c r="FW208" s="1037"/>
      <c r="FX208" s="1037"/>
      <c r="FY208" s="1037"/>
      <c r="FZ208" s="1037"/>
      <c r="GA208" s="1037"/>
      <c r="GB208" s="1037"/>
      <c r="GC208" s="1037"/>
      <c r="GD208" s="1037"/>
      <c r="GE208" s="1037"/>
      <c r="GF208" s="1037"/>
      <c r="GG208" s="1037"/>
      <c r="GH208" s="1037"/>
      <c r="GI208" s="1037"/>
      <c r="GJ208" s="1037"/>
      <c r="GK208" s="1037"/>
      <c r="GL208" s="1037"/>
      <c r="GM208" s="1037"/>
      <c r="GN208" s="1037"/>
      <c r="GO208" s="1037"/>
      <c r="GP208" s="1037"/>
      <c r="GQ208" s="1037"/>
      <c r="GR208" s="1037"/>
      <c r="GS208" s="1037"/>
      <c r="GT208" s="1037"/>
      <c r="GU208" s="1037"/>
      <c r="GV208" s="1037"/>
      <c r="GW208" s="1037"/>
      <c r="GX208" s="1037"/>
      <c r="GY208" s="1037"/>
      <c r="GZ208" s="1037"/>
      <c r="HA208" s="1037"/>
      <c r="HB208" s="1037"/>
      <c r="HC208" s="1037"/>
      <c r="HD208" s="1037"/>
      <c r="HE208" s="1037"/>
      <c r="HF208" s="1037"/>
      <c r="HG208" s="1037"/>
      <c r="HH208" s="1037"/>
      <c r="HI208" s="1037"/>
      <c r="HJ208" s="1037"/>
      <c r="HK208" s="1037"/>
      <c r="HL208" s="1037"/>
      <c r="HM208" s="1037"/>
      <c r="HN208" s="1037"/>
      <c r="HO208" s="1037"/>
      <c r="HP208" s="1037"/>
      <c r="HQ208" s="1037"/>
      <c r="HR208" s="1037"/>
      <c r="HS208" s="1037"/>
      <c r="HT208" s="1037"/>
      <c r="HU208" s="1037"/>
      <c r="HV208" s="1037"/>
      <c r="HW208" s="1037"/>
      <c r="HX208" s="1037"/>
      <c r="HY208" s="1037"/>
      <c r="HZ208" s="1037"/>
      <c r="IA208" s="1037"/>
      <c r="IB208" s="1037"/>
      <c r="IC208" s="1037"/>
      <c r="ID208" s="1037"/>
      <c r="IE208" s="1037"/>
      <c r="IF208" s="1037"/>
      <c r="IG208" s="1037"/>
      <c r="IH208" s="1037"/>
      <c r="II208" s="1037"/>
      <c r="IJ208" s="1037"/>
      <c r="IK208" s="1037"/>
      <c r="IL208" s="1037"/>
      <c r="IM208" s="1037"/>
      <c r="IN208" s="1037"/>
    </row>
    <row r="209" spans="1:248" ht="16.5" customHeight="1">
      <c r="A209" s="701" t="s">
        <v>22</v>
      </c>
      <c r="B209" s="703">
        <v>8999.2999999999993</v>
      </c>
      <c r="C209" s="1038">
        <v>29.401117982795739</v>
      </c>
      <c r="D209" s="704">
        <v>9426.1</v>
      </c>
      <c r="E209" s="1038">
        <v>30.795492784731138</v>
      </c>
      <c r="F209" s="1038">
        <v>-426.80000000000109</v>
      </c>
      <c r="G209" s="1038">
        <f t="shared" si="28"/>
        <v>-1.394374801935401</v>
      </c>
      <c r="H209" s="390">
        <v>30608.7</v>
      </c>
      <c r="I209" s="1037"/>
      <c r="J209" s="1037"/>
      <c r="K209" s="1037"/>
      <c r="L209" s="1037"/>
      <c r="M209" s="1037"/>
      <c r="N209" s="1037"/>
      <c r="O209" s="1037"/>
      <c r="P209" s="1037"/>
      <c r="Q209" s="1037"/>
      <c r="R209" s="1037"/>
      <c r="S209" s="1037"/>
      <c r="T209" s="1037"/>
      <c r="U209" s="1037"/>
      <c r="V209" s="1037"/>
      <c r="W209" s="1037"/>
      <c r="X209" s="1037"/>
      <c r="Y209" s="1037"/>
      <c r="Z209" s="1037"/>
      <c r="AA209" s="1037"/>
      <c r="AB209" s="1037"/>
      <c r="AC209" s="1037"/>
      <c r="AD209" s="1037"/>
      <c r="AE209" s="1037"/>
      <c r="AF209" s="1037"/>
      <c r="AG209" s="1037"/>
      <c r="AH209" s="1037"/>
      <c r="AI209" s="1037"/>
      <c r="AJ209" s="1037"/>
      <c r="AK209" s="1037"/>
      <c r="AL209" s="1037"/>
      <c r="AM209" s="1037"/>
      <c r="AN209" s="1037"/>
      <c r="AO209" s="1037"/>
      <c r="AP209" s="1037"/>
      <c r="AQ209" s="1037"/>
      <c r="AR209" s="1037"/>
      <c r="AS209" s="1037"/>
      <c r="AT209" s="1037"/>
      <c r="AU209" s="1037"/>
      <c r="AV209" s="1037"/>
      <c r="AW209" s="1037"/>
      <c r="AX209" s="1037"/>
      <c r="AY209" s="1037"/>
      <c r="AZ209" s="1037"/>
      <c r="BA209" s="1037"/>
      <c r="BB209" s="1037"/>
      <c r="BC209" s="1037"/>
      <c r="BD209" s="1037"/>
      <c r="BE209" s="1037"/>
      <c r="BF209" s="1037"/>
      <c r="BG209" s="1037"/>
      <c r="BH209" s="1037"/>
      <c r="BI209" s="1037"/>
      <c r="BJ209" s="1037"/>
      <c r="BK209" s="1037"/>
      <c r="BL209" s="1037"/>
      <c r="BM209" s="1037"/>
      <c r="BN209" s="1037"/>
      <c r="BO209" s="1037"/>
      <c r="BP209" s="1037"/>
      <c r="BQ209" s="1037"/>
      <c r="BR209" s="1037"/>
      <c r="BS209" s="1037"/>
      <c r="BT209" s="1037"/>
      <c r="BU209" s="1037"/>
      <c r="BV209" s="1037"/>
      <c r="BW209" s="1037"/>
      <c r="BX209" s="1037"/>
      <c r="BY209" s="1037"/>
      <c r="BZ209" s="1037"/>
      <c r="CA209" s="1037"/>
      <c r="CB209" s="1037"/>
      <c r="CC209" s="1037"/>
      <c r="CD209" s="1037"/>
      <c r="CE209" s="1037"/>
      <c r="CF209" s="1037"/>
      <c r="CG209" s="1037"/>
      <c r="CH209" s="1037"/>
      <c r="CI209" s="1037"/>
      <c r="CJ209" s="1037"/>
      <c r="CK209" s="1037"/>
      <c r="CL209" s="1037"/>
      <c r="CM209" s="1037"/>
      <c r="CN209" s="1037"/>
      <c r="CO209" s="1037"/>
      <c r="CP209" s="1037"/>
      <c r="CQ209" s="1037"/>
      <c r="CR209" s="1037"/>
      <c r="CS209" s="1037"/>
      <c r="CT209" s="1037"/>
      <c r="CU209" s="1037"/>
      <c r="CV209" s="1037"/>
      <c r="CW209" s="1037"/>
      <c r="CX209" s="1037"/>
      <c r="CY209" s="1037"/>
      <c r="CZ209" s="1037"/>
      <c r="DA209" s="1037"/>
      <c r="DB209" s="1037"/>
      <c r="DC209" s="1037"/>
      <c r="DD209" s="1037"/>
      <c r="DE209" s="1037"/>
      <c r="DF209" s="1037"/>
      <c r="DG209" s="1037"/>
      <c r="DH209" s="1037"/>
      <c r="DI209" s="1037"/>
      <c r="DJ209" s="1037"/>
      <c r="DK209" s="1037"/>
      <c r="DL209" s="1037"/>
      <c r="DM209" s="1037"/>
      <c r="DN209" s="1037"/>
      <c r="DO209" s="1037"/>
      <c r="DP209" s="1037"/>
      <c r="DQ209" s="1037"/>
      <c r="DR209" s="1037"/>
      <c r="DS209" s="1037"/>
      <c r="DT209" s="1037"/>
      <c r="DU209" s="1037"/>
      <c r="DV209" s="1037"/>
      <c r="DW209" s="1037"/>
      <c r="DX209" s="1037"/>
      <c r="DY209" s="1037"/>
      <c r="DZ209" s="1037"/>
      <c r="EA209" s="1037"/>
      <c r="EB209" s="1037"/>
      <c r="EC209" s="1037"/>
      <c r="ED209" s="1037"/>
      <c r="EE209" s="1037"/>
      <c r="EF209" s="1037"/>
      <c r="EG209" s="1037"/>
      <c r="EH209" s="1037"/>
      <c r="EI209" s="1037"/>
      <c r="EJ209" s="1037"/>
      <c r="EK209" s="1037"/>
      <c r="EL209" s="1037"/>
      <c r="EM209" s="1037"/>
      <c r="EN209" s="1037"/>
      <c r="EO209" s="1037"/>
      <c r="EP209" s="1037"/>
      <c r="EQ209" s="1037"/>
      <c r="ER209" s="1037"/>
      <c r="ES209" s="1037"/>
      <c r="ET209" s="1037"/>
      <c r="EU209" s="1037"/>
      <c r="EV209" s="1037"/>
      <c r="EW209" s="1037"/>
      <c r="EX209" s="1037"/>
      <c r="EY209" s="1037"/>
      <c r="EZ209" s="1037"/>
      <c r="FA209" s="1037"/>
      <c r="FB209" s="1037"/>
      <c r="FC209" s="1037"/>
      <c r="FD209" s="1037"/>
      <c r="FE209" s="1037"/>
      <c r="FF209" s="1037"/>
      <c r="FG209" s="1037"/>
      <c r="FH209" s="1037"/>
      <c r="FI209" s="1037"/>
      <c r="FJ209" s="1037"/>
      <c r="FK209" s="1037"/>
      <c r="FL209" s="1037"/>
      <c r="FM209" s="1037"/>
      <c r="FN209" s="1037"/>
      <c r="FO209" s="1037"/>
      <c r="FP209" s="1037"/>
      <c r="FQ209" s="1037"/>
      <c r="FR209" s="1037"/>
      <c r="FS209" s="1037"/>
      <c r="FT209" s="1037"/>
      <c r="FU209" s="1037"/>
      <c r="FV209" s="1037"/>
      <c r="FW209" s="1037"/>
      <c r="FX209" s="1037"/>
      <c r="FY209" s="1037"/>
      <c r="FZ209" s="1037"/>
      <c r="GA209" s="1037"/>
      <c r="GB209" s="1037"/>
      <c r="GC209" s="1037"/>
      <c r="GD209" s="1037"/>
      <c r="GE209" s="1037"/>
      <c r="GF209" s="1037"/>
      <c r="GG209" s="1037"/>
      <c r="GH209" s="1037"/>
      <c r="GI209" s="1037"/>
      <c r="GJ209" s="1037"/>
      <c r="GK209" s="1037"/>
      <c r="GL209" s="1037"/>
      <c r="GM209" s="1037"/>
      <c r="GN209" s="1037"/>
      <c r="GO209" s="1037"/>
      <c r="GP209" s="1037"/>
      <c r="GQ209" s="1037"/>
      <c r="GR209" s="1037"/>
      <c r="GS209" s="1037"/>
      <c r="GT209" s="1037"/>
      <c r="GU209" s="1037"/>
      <c r="GV209" s="1037"/>
      <c r="GW209" s="1037"/>
      <c r="GX209" s="1037"/>
      <c r="GY209" s="1037"/>
      <c r="GZ209" s="1037"/>
      <c r="HA209" s="1037"/>
      <c r="HB209" s="1037"/>
      <c r="HC209" s="1037"/>
      <c r="HD209" s="1037"/>
      <c r="HE209" s="1037"/>
      <c r="HF209" s="1037"/>
      <c r="HG209" s="1037"/>
      <c r="HH209" s="1037"/>
      <c r="HI209" s="1037"/>
      <c r="HJ209" s="1037"/>
      <c r="HK209" s="1037"/>
      <c r="HL209" s="1037"/>
      <c r="HM209" s="1037"/>
      <c r="HN209" s="1037"/>
      <c r="HO209" s="1037"/>
      <c r="HP209" s="1037"/>
      <c r="HQ209" s="1037"/>
      <c r="HR209" s="1037"/>
      <c r="HS209" s="1037"/>
      <c r="HT209" s="1037"/>
      <c r="HU209" s="1037"/>
      <c r="HV209" s="1037"/>
      <c r="HW209" s="1037"/>
      <c r="HX209" s="1037"/>
      <c r="HY209" s="1037"/>
      <c r="HZ209" s="1037"/>
      <c r="IA209" s="1037"/>
      <c r="IB209" s="1037"/>
      <c r="IC209" s="1037"/>
      <c r="ID209" s="1037"/>
      <c r="IE209" s="1037"/>
      <c r="IF209" s="1037"/>
      <c r="IG209" s="1037"/>
      <c r="IH209" s="1037"/>
      <c r="II209" s="1037"/>
      <c r="IJ209" s="1037"/>
      <c r="IK209" s="1037"/>
      <c r="IL209" s="1037"/>
      <c r="IM209" s="1037"/>
      <c r="IN209" s="1037"/>
    </row>
    <row r="210" spans="1:248" ht="16.5" customHeight="1">
      <c r="A210" s="701" t="s">
        <v>23</v>
      </c>
      <c r="B210" s="703">
        <v>10405.5</v>
      </c>
      <c r="C210" s="1038">
        <v>27.509438152342884</v>
      </c>
      <c r="D210" s="704">
        <v>10951</v>
      </c>
      <c r="E210" s="1038">
        <v>28.951598405295943</v>
      </c>
      <c r="F210" s="1038">
        <v>-545.5</v>
      </c>
      <c r="G210" s="1038">
        <f t="shared" si="28"/>
        <v>-1.4421602529530577</v>
      </c>
      <c r="H210" s="390">
        <v>37825.199999999997</v>
      </c>
      <c r="I210" s="1037"/>
      <c r="J210" s="1037"/>
      <c r="K210" s="1037"/>
      <c r="L210" s="1037"/>
      <c r="M210" s="1037"/>
      <c r="N210" s="1037"/>
      <c r="O210" s="1037"/>
      <c r="P210" s="1037"/>
      <c r="Q210" s="1037"/>
      <c r="R210" s="1037"/>
      <c r="S210" s="1037"/>
      <c r="T210" s="1037"/>
      <c r="U210" s="1037"/>
      <c r="V210" s="1037"/>
      <c r="W210" s="1037"/>
      <c r="X210" s="1037"/>
      <c r="Y210" s="1037"/>
      <c r="Z210" s="1037"/>
      <c r="AA210" s="1037"/>
      <c r="AB210" s="1037"/>
      <c r="AC210" s="1037"/>
      <c r="AD210" s="1037"/>
      <c r="AE210" s="1037"/>
      <c r="AF210" s="1037"/>
      <c r="AG210" s="1037"/>
      <c r="AH210" s="1037"/>
      <c r="AI210" s="1037"/>
      <c r="AJ210" s="1037"/>
      <c r="AK210" s="1037"/>
      <c r="AL210" s="1037"/>
      <c r="AM210" s="1037"/>
      <c r="AN210" s="1037"/>
      <c r="AO210" s="1037"/>
      <c r="AP210" s="1037"/>
      <c r="AQ210" s="1037"/>
      <c r="AR210" s="1037"/>
      <c r="AS210" s="1037"/>
      <c r="AT210" s="1037"/>
      <c r="AU210" s="1037"/>
      <c r="AV210" s="1037"/>
      <c r="AW210" s="1037"/>
      <c r="AX210" s="1037"/>
      <c r="AY210" s="1037"/>
      <c r="AZ210" s="1037"/>
      <c r="BA210" s="1037"/>
      <c r="BB210" s="1037"/>
      <c r="BC210" s="1037"/>
      <c r="BD210" s="1037"/>
      <c r="BE210" s="1037"/>
      <c r="BF210" s="1037"/>
      <c r="BG210" s="1037"/>
      <c r="BH210" s="1037"/>
      <c r="BI210" s="1037"/>
      <c r="BJ210" s="1037"/>
      <c r="BK210" s="1037"/>
      <c r="BL210" s="1037"/>
      <c r="BM210" s="1037"/>
      <c r="BN210" s="1037"/>
      <c r="BO210" s="1037"/>
      <c r="BP210" s="1037"/>
      <c r="BQ210" s="1037"/>
      <c r="BR210" s="1037"/>
      <c r="BS210" s="1037"/>
      <c r="BT210" s="1037"/>
      <c r="BU210" s="1037"/>
      <c r="BV210" s="1037"/>
      <c r="BW210" s="1037"/>
      <c r="BX210" s="1037"/>
      <c r="BY210" s="1037"/>
      <c r="BZ210" s="1037"/>
      <c r="CA210" s="1037"/>
      <c r="CB210" s="1037"/>
      <c r="CC210" s="1037"/>
      <c r="CD210" s="1037"/>
      <c r="CE210" s="1037"/>
      <c r="CF210" s="1037"/>
      <c r="CG210" s="1037"/>
      <c r="CH210" s="1037"/>
      <c r="CI210" s="1037"/>
      <c r="CJ210" s="1037"/>
      <c r="CK210" s="1037"/>
      <c r="CL210" s="1037"/>
      <c r="CM210" s="1037"/>
      <c r="CN210" s="1037"/>
      <c r="CO210" s="1037"/>
      <c r="CP210" s="1037"/>
      <c r="CQ210" s="1037"/>
      <c r="CR210" s="1037"/>
      <c r="CS210" s="1037"/>
      <c r="CT210" s="1037"/>
      <c r="CU210" s="1037"/>
      <c r="CV210" s="1037"/>
      <c r="CW210" s="1037"/>
      <c r="CX210" s="1037"/>
      <c r="CY210" s="1037"/>
      <c r="CZ210" s="1037"/>
      <c r="DA210" s="1037"/>
      <c r="DB210" s="1037"/>
      <c r="DC210" s="1037"/>
      <c r="DD210" s="1037"/>
      <c r="DE210" s="1037"/>
      <c r="DF210" s="1037"/>
      <c r="DG210" s="1037"/>
      <c r="DH210" s="1037"/>
      <c r="DI210" s="1037"/>
      <c r="DJ210" s="1037"/>
      <c r="DK210" s="1037"/>
      <c r="DL210" s="1037"/>
      <c r="DM210" s="1037"/>
      <c r="DN210" s="1037"/>
      <c r="DO210" s="1037"/>
      <c r="DP210" s="1037"/>
      <c r="DQ210" s="1037"/>
      <c r="DR210" s="1037"/>
      <c r="DS210" s="1037"/>
      <c r="DT210" s="1037"/>
      <c r="DU210" s="1037"/>
      <c r="DV210" s="1037"/>
      <c r="DW210" s="1037"/>
      <c r="DX210" s="1037"/>
      <c r="DY210" s="1037"/>
      <c r="DZ210" s="1037"/>
      <c r="EA210" s="1037"/>
      <c r="EB210" s="1037"/>
      <c r="EC210" s="1037"/>
      <c r="ED210" s="1037"/>
      <c r="EE210" s="1037"/>
      <c r="EF210" s="1037"/>
      <c r="EG210" s="1037"/>
      <c r="EH210" s="1037"/>
      <c r="EI210" s="1037"/>
      <c r="EJ210" s="1037"/>
      <c r="EK210" s="1037"/>
      <c r="EL210" s="1037"/>
      <c r="EM210" s="1037"/>
      <c r="EN210" s="1037"/>
      <c r="EO210" s="1037"/>
      <c r="EP210" s="1037"/>
      <c r="EQ210" s="1037"/>
      <c r="ER210" s="1037"/>
      <c r="ES210" s="1037"/>
      <c r="ET210" s="1037"/>
      <c r="EU210" s="1037"/>
      <c r="EV210" s="1037"/>
      <c r="EW210" s="1037"/>
      <c r="EX210" s="1037"/>
      <c r="EY210" s="1037"/>
      <c r="EZ210" s="1037"/>
      <c r="FA210" s="1037"/>
      <c r="FB210" s="1037"/>
      <c r="FC210" s="1037"/>
      <c r="FD210" s="1037"/>
      <c r="FE210" s="1037"/>
      <c r="FF210" s="1037"/>
      <c r="FG210" s="1037"/>
      <c r="FH210" s="1037"/>
      <c r="FI210" s="1037"/>
      <c r="FJ210" s="1037"/>
      <c r="FK210" s="1037"/>
      <c r="FL210" s="1037"/>
      <c r="FM210" s="1037"/>
      <c r="FN210" s="1037"/>
      <c r="FO210" s="1037"/>
      <c r="FP210" s="1037"/>
      <c r="FQ210" s="1037"/>
      <c r="FR210" s="1037"/>
      <c r="FS210" s="1037"/>
      <c r="FT210" s="1037"/>
      <c r="FU210" s="1037"/>
      <c r="FV210" s="1037"/>
      <c r="FW210" s="1037"/>
      <c r="FX210" s="1037"/>
      <c r="FY210" s="1037"/>
      <c r="FZ210" s="1037"/>
      <c r="GA210" s="1037"/>
      <c r="GB210" s="1037"/>
      <c r="GC210" s="1037"/>
      <c r="GD210" s="1037"/>
      <c r="GE210" s="1037"/>
      <c r="GF210" s="1037"/>
      <c r="GG210" s="1037"/>
      <c r="GH210" s="1037"/>
      <c r="GI210" s="1037"/>
      <c r="GJ210" s="1037"/>
      <c r="GK210" s="1037"/>
      <c r="GL210" s="1037"/>
      <c r="GM210" s="1037"/>
      <c r="GN210" s="1037"/>
      <c r="GO210" s="1037"/>
      <c r="GP210" s="1037"/>
      <c r="GQ210" s="1037"/>
      <c r="GR210" s="1037"/>
      <c r="GS210" s="1037"/>
      <c r="GT210" s="1037"/>
      <c r="GU210" s="1037"/>
      <c r="GV210" s="1037"/>
      <c r="GW210" s="1037"/>
      <c r="GX210" s="1037"/>
      <c r="GY210" s="1037"/>
      <c r="GZ210" s="1037"/>
      <c r="HA210" s="1037"/>
      <c r="HB210" s="1037"/>
      <c r="HC210" s="1037"/>
      <c r="HD210" s="1037"/>
      <c r="HE210" s="1037"/>
      <c r="HF210" s="1037"/>
      <c r="HG210" s="1037"/>
      <c r="HH210" s="1037"/>
      <c r="HI210" s="1037"/>
      <c r="HJ210" s="1037"/>
      <c r="HK210" s="1037"/>
      <c r="HL210" s="1037"/>
      <c r="HM210" s="1037"/>
      <c r="HN210" s="1037"/>
      <c r="HO210" s="1037"/>
      <c r="HP210" s="1037"/>
      <c r="HQ210" s="1037"/>
      <c r="HR210" s="1037"/>
      <c r="HS210" s="1037"/>
      <c r="HT210" s="1037"/>
      <c r="HU210" s="1037"/>
      <c r="HV210" s="1037"/>
      <c r="HW210" s="1037"/>
      <c r="HX210" s="1037"/>
      <c r="HY210" s="1037"/>
      <c r="HZ210" s="1037"/>
      <c r="IA210" s="1037"/>
      <c r="IB210" s="1037"/>
      <c r="IC210" s="1037"/>
      <c r="ID210" s="1037"/>
      <c r="IE210" s="1037"/>
      <c r="IF210" s="1037"/>
      <c r="IG210" s="1037"/>
      <c r="IH210" s="1037"/>
      <c r="II210" s="1037"/>
      <c r="IJ210" s="1037"/>
      <c r="IK210" s="1037"/>
      <c r="IL210" s="1037"/>
      <c r="IM210" s="1037"/>
      <c r="IN210" s="1037"/>
    </row>
    <row r="211" spans="1:248" ht="16.5" customHeight="1">
      <c r="A211" s="701" t="s">
        <v>24</v>
      </c>
      <c r="B211" s="703">
        <v>12435.5</v>
      </c>
      <c r="C211" s="1038">
        <v>27.961846599405032</v>
      </c>
      <c r="D211" s="704">
        <v>13102.7</v>
      </c>
      <c r="E211" s="1038">
        <v>29.462079324355621</v>
      </c>
      <c r="F211" s="1038">
        <v>-667.20000000000073</v>
      </c>
      <c r="G211" s="1038">
        <f t="shared" si="28"/>
        <v>-1.5002327249505898</v>
      </c>
      <c r="H211" s="390">
        <v>44473.1</v>
      </c>
      <c r="I211" s="1037"/>
      <c r="J211" s="1037"/>
      <c r="K211" s="1037"/>
      <c r="L211" s="1037"/>
      <c r="M211" s="1037"/>
      <c r="N211" s="1037"/>
      <c r="O211" s="1037"/>
      <c r="P211" s="1037"/>
      <c r="Q211" s="1037"/>
      <c r="R211" s="1037"/>
      <c r="S211" s="1037"/>
      <c r="T211" s="1037"/>
      <c r="U211" s="1037"/>
      <c r="V211" s="1037"/>
      <c r="W211" s="1037"/>
      <c r="X211" s="1037"/>
      <c r="Y211" s="1037"/>
      <c r="Z211" s="1037"/>
      <c r="AA211" s="1037"/>
      <c r="AB211" s="1037"/>
      <c r="AC211" s="1037"/>
      <c r="AD211" s="1037"/>
      <c r="AE211" s="1037"/>
      <c r="AF211" s="1037"/>
      <c r="AG211" s="1037"/>
      <c r="AH211" s="1037"/>
      <c r="AI211" s="1037"/>
      <c r="AJ211" s="1037"/>
      <c r="AK211" s="1037"/>
      <c r="AL211" s="1037"/>
      <c r="AM211" s="1037"/>
      <c r="AN211" s="1037"/>
      <c r="AO211" s="1037"/>
      <c r="AP211" s="1037"/>
      <c r="AQ211" s="1037"/>
      <c r="AR211" s="1037"/>
      <c r="AS211" s="1037"/>
      <c r="AT211" s="1037"/>
      <c r="AU211" s="1037"/>
      <c r="AV211" s="1037"/>
      <c r="AW211" s="1037"/>
      <c r="AX211" s="1037"/>
      <c r="AY211" s="1037"/>
      <c r="AZ211" s="1037"/>
      <c r="BA211" s="1037"/>
      <c r="BB211" s="1037"/>
      <c r="BC211" s="1037"/>
      <c r="BD211" s="1037"/>
      <c r="BE211" s="1037"/>
      <c r="BF211" s="1037"/>
      <c r="BG211" s="1037"/>
      <c r="BH211" s="1037"/>
      <c r="BI211" s="1037"/>
      <c r="BJ211" s="1037"/>
      <c r="BK211" s="1037"/>
      <c r="BL211" s="1037"/>
      <c r="BM211" s="1037"/>
      <c r="BN211" s="1037"/>
      <c r="BO211" s="1037"/>
      <c r="BP211" s="1037"/>
      <c r="BQ211" s="1037"/>
      <c r="BR211" s="1037"/>
      <c r="BS211" s="1037"/>
      <c r="BT211" s="1037"/>
      <c r="BU211" s="1037"/>
      <c r="BV211" s="1037"/>
      <c r="BW211" s="1037"/>
      <c r="BX211" s="1037"/>
      <c r="BY211" s="1037"/>
      <c r="BZ211" s="1037"/>
      <c r="CA211" s="1037"/>
      <c r="CB211" s="1037"/>
      <c r="CC211" s="1037"/>
      <c r="CD211" s="1037"/>
      <c r="CE211" s="1037"/>
      <c r="CF211" s="1037"/>
      <c r="CG211" s="1037"/>
      <c r="CH211" s="1037"/>
      <c r="CI211" s="1037"/>
      <c r="CJ211" s="1037"/>
      <c r="CK211" s="1037"/>
      <c r="CL211" s="1037"/>
      <c r="CM211" s="1037"/>
      <c r="CN211" s="1037"/>
      <c r="CO211" s="1037"/>
      <c r="CP211" s="1037"/>
      <c r="CQ211" s="1037"/>
      <c r="CR211" s="1037"/>
      <c r="CS211" s="1037"/>
      <c r="CT211" s="1037"/>
      <c r="CU211" s="1037"/>
      <c r="CV211" s="1037"/>
      <c r="CW211" s="1037"/>
      <c r="CX211" s="1037"/>
      <c r="CY211" s="1037"/>
      <c r="CZ211" s="1037"/>
      <c r="DA211" s="1037"/>
      <c r="DB211" s="1037"/>
      <c r="DC211" s="1037"/>
      <c r="DD211" s="1037"/>
      <c r="DE211" s="1037"/>
      <c r="DF211" s="1037"/>
      <c r="DG211" s="1037"/>
      <c r="DH211" s="1037"/>
      <c r="DI211" s="1037"/>
      <c r="DJ211" s="1037"/>
      <c r="DK211" s="1037"/>
      <c r="DL211" s="1037"/>
      <c r="DM211" s="1037"/>
      <c r="DN211" s="1037"/>
      <c r="DO211" s="1037"/>
      <c r="DP211" s="1037"/>
      <c r="DQ211" s="1037"/>
      <c r="DR211" s="1037"/>
      <c r="DS211" s="1037"/>
      <c r="DT211" s="1037"/>
      <c r="DU211" s="1037"/>
      <c r="DV211" s="1037"/>
      <c r="DW211" s="1037"/>
      <c r="DX211" s="1037"/>
      <c r="DY211" s="1037"/>
      <c r="DZ211" s="1037"/>
      <c r="EA211" s="1037"/>
      <c r="EB211" s="1037"/>
      <c r="EC211" s="1037"/>
      <c r="ED211" s="1037"/>
      <c r="EE211" s="1037"/>
      <c r="EF211" s="1037"/>
      <c r="EG211" s="1037"/>
      <c r="EH211" s="1037"/>
      <c r="EI211" s="1037"/>
      <c r="EJ211" s="1037"/>
      <c r="EK211" s="1037"/>
      <c r="EL211" s="1037"/>
      <c r="EM211" s="1037"/>
      <c r="EN211" s="1037"/>
      <c r="EO211" s="1037"/>
      <c r="EP211" s="1037"/>
      <c r="EQ211" s="1037"/>
      <c r="ER211" s="1037"/>
      <c r="ES211" s="1037"/>
      <c r="ET211" s="1037"/>
      <c r="EU211" s="1037"/>
      <c r="EV211" s="1037"/>
      <c r="EW211" s="1037"/>
      <c r="EX211" s="1037"/>
      <c r="EY211" s="1037"/>
      <c r="EZ211" s="1037"/>
      <c r="FA211" s="1037"/>
      <c r="FB211" s="1037"/>
      <c r="FC211" s="1037"/>
      <c r="FD211" s="1037"/>
      <c r="FE211" s="1037"/>
      <c r="FF211" s="1037"/>
      <c r="FG211" s="1037"/>
      <c r="FH211" s="1037"/>
      <c r="FI211" s="1037"/>
      <c r="FJ211" s="1037"/>
      <c r="FK211" s="1037"/>
      <c r="FL211" s="1037"/>
      <c r="FM211" s="1037"/>
      <c r="FN211" s="1037"/>
      <c r="FO211" s="1037"/>
      <c r="FP211" s="1037"/>
      <c r="FQ211" s="1037"/>
      <c r="FR211" s="1037"/>
      <c r="FS211" s="1037"/>
      <c r="FT211" s="1037"/>
      <c r="FU211" s="1037"/>
      <c r="FV211" s="1037"/>
      <c r="FW211" s="1037"/>
      <c r="FX211" s="1037"/>
      <c r="FY211" s="1037"/>
      <c r="FZ211" s="1037"/>
      <c r="GA211" s="1037"/>
      <c r="GB211" s="1037"/>
      <c r="GC211" s="1037"/>
      <c r="GD211" s="1037"/>
      <c r="GE211" s="1037"/>
      <c r="GF211" s="1037"/>
      <c r="GG211" s="1037"/>
      <c r="GH211" s="1037"/>
      <c r="GI211" s="1037"/>
      <c r="GJ211" s="1037"/>
      <c r="GK211" s="1037"/>
      <c r="GL211" s="1037"/>
      <c r="GM211" s="1037"/>
      <c r="GN211" s="1037"/>
      <c r="GO211" s="1037"/>
      <c r="GP211" s="1037"/>
      <c r="GQ211" s="1037"/>
      <c r="GR211" s="1037"/>
      <c r="GS211" s="1037"/>
      <c r="GT211" s="1037"/>
      <c r="GU211" s="1037"/>
      <c r="GV211" s="1037"/>
      <c r="GW211" s="1037"/>
      <c r="GX211" s="1037"/>
      <c r="GY211" s="1037"/>
      <c r="GZ211" s="1037"/>
      <c r="HA211" s="1037"/>
      <c r="HB211" s="1037"/>
      <c r="HC211" s="1037"/>
      <c r="HD211" s="1037"/>
      <c r="HE211" s="1037"/>
      <c r="HF211" s="1037"/>
      <c r="HG211" s="1037"/>
      <c r="HH211" s="1037"/>
      <c r="HI211" s="1037"/>
      <c r="HJ211" s="1037"/>
      <c r="HK211" s="1037"/>
      <c r="HL211" s="1037"/>
      <c r="HM211" s="1037"/>
      <c r="HN211" s="1037"/>
      <c r="HO211" s="1037"/>
      <c r="HP211" s="1037"/>
      <c r="HQ211" s="1037"/>
      <c r="HR211" s="1037"/>
      <c r="HS211" s="1037"/>
      <c r="HT211" s="1037"/>
      <c r="HU211" s="1037"/>
      <c r="HV211" s="1037"/>
      <c r="HW211" s="1037"/>
      <c r="HX211" s="1037"/>
      <c r="HY211" s="1037"/>
      <c r="HZ211" s="1037"/>
      <c r="IA211" s="1037"/>
      <c r="IB211" s="1037"/>
      <c r="IC211" s="1037"/>
      <c r="ID211" s="1037"/>
      <c r="IE211" s="1037"/>
      <c r="IF211" s="1037"/>
      <c r="IG211" s="1037"/>
      <c r="IH211" s="1037"/>
      <c r="II211" s="1037"/>
      <c r="IJ211" s="1037"/>
      <c r="IK211" s="1037"/>
      <c r="IL211" s="1037"/>
      <c r="IM211" s="1037"/>
      <c r="IN211" s="1037"/>
    </row>
    <row r="212" spans="1:248">
      <c r="A212" s="701" t="s">
        <v>25</v>
      </c>
      <c r="B212" s="703">
        <v>14810.3</v>
      </c>
      <c r="C212" s="703">
        <f>+B212/H212*100</f>
        <v>29.110754250064375</v>
      </c>
      <c r="D212" s="704">
        <v>14712.1</v>
      </c>
      <c r="E212" s="1038">
        <f>D212/H212*100</f>
        <v>28.917734792838235</v>
      </c>
      <c r="F212" s="1038">
        <f>+B212-D212</f>
        <v>98.199999999998909</v>
      </c>
      <c r="G212" s="1038">
        <f t="shared" si="28"/>
        <v>0.19301945722613922</v>
      </c>
      <c r="H212" s="390">
        <v>50875.7</v>
      </c>
      <c r="I212" s="1037"/>
      <c r="J212" s="1037"/>
      <c r="K212" s="1037"/>
      <c r="L212" s="1037"/>
      <c r="M212" s="1037"/>
      <c r="N212" s="1037"/>
      <c r="O212" s="1037"/>
      <c r="P212" s="1037"/>
      <c r="Q212" s="1037"/>
      <c r="R212" s="1037"/>
      <c r="S212" s="1037"/>
      <c r="T212" s="1037"/>
      <c r="U212" s="1037"/>
      <c r="V212" s="1037"/>
      <c r="W212" s="1037"/>
      <c r="X212" s="1037"/>
      <c r="Y212" s="1037"/>
      <c r="Z212" s="1037"/>
      <c r="AA212" s="1037"/>
      <c r="AB212" s="1037"/>
      <c r="AC212" s="1037"/>
      <c r="AD212" s="1037"/>
      <c r="AE212" s="1037"/>
      <c r="AF212" s="1037"/>
      <c r="AG212" s="1037"/>
      <c r="AH212" s="1037"/>
      <c r="AI212" s="1037"/>
      <c r="AJ212" s="1037"/>
      <c r="AK212" s="1037"/>
      <c r="AL212" s="1037"/>
      <c r="AM212" s="1037"/>
      <c r="AN212" s="1037"/>
      <c r="AO212" s="1037"/>
      <c r="AP212" s="1037"/>
      <c r="AQ212" s="1037"/>
      <c r="AR212" s="1037"/>
      <c r="AS212" s="1037"/>
      <c r="AT212" s="1037"/>
      <c r="AU212" s="1037"/>
      <c r="AV212" s="1037"/>
      <c r="AW212" s="1037"/>
      <c r="AX212" s="1037"/>
      <c r="AY212" s="1037"/>
      <c r="AZ212" s="1037"/>
      <c r="BA212" s="1037"/>
      <c r="BB212" s="1037"/>
      <c r="BC212" s="1037"/>
      <c r="BD212" s="1037"/>
      <c r="BE212" s="1037"/>
      <c r="BF212" s="1037"/>
      <c r="BG212" s="1037"/>
      <c r="BH212" s="1037"/>
      <c r="BI212" s="1037"/>
      <c r="BJ212" s="1037"/>
      <c r="BK212" s="1037"/>
      <c r="BL212" s="1037"/>
      <c r="BM212" s="1037"/>
      <c r="BN212" s="1037"/>
      <c r="BO212" s="1037"/>
      <c r="BP212" s="1037"/>
      <c r="BQ212" s="1037"/>
      <c r="BR212" s="1037"/>
      <c r="BS212" s="1037"/>
      <c r="BT212" s="1037"/>
      <c r="BU212" s="1037"/>
      <c r="BV212" s="1037"/>
      <c r="BW212" s="1037"/>
      <c r="BX212" s="1037"/>
      <c r="BY212" s="1037"/>
      <c r="BZ212" s="1037"/>
      <c r="CA212" s="1037"/>
      <c r="CB212" s="1037"/>
      <c r="CC212" s="1037"/>
      <c r="CD212" s="1037"/>
      <c r="CE212" s="1037"/>
      <c r="CF212" s="1037"/>
      <c r="CG212" s="1037"/>
      <c r="CH212" s="1037"/>
      <c r="CI212" s="1037"/>
      <c r="CJ212" s="1037"/>
      <c r="CK212" s="1037"/>
      <c r="CL212" s="1037"/>
      <c r="CM212" s="1037"/>
      <c r="CN212" s="1037"/>
      <c r="CO212" s="1037"/>
      <c r="CP212" s="1037"/>
      <c r="CQ212" s="1037"/>
      <c r="CR212" s="1037"/>
      <c r="CS212" s="1037"/>
      <c r="CT212" s="1037"/>
      <c r="CU212" s="1037"/>
      <c r="CV212" s="1037"/>
      <c r="CW212" s="1037"/>
      <c r="CX212" s="1037"/>
      <c r="CY212" s="1037"/>
      <c r="CZ212" s="1037"/>
      <c r="DA212" s="1037"/>
      <c r="DB212" s="1037"/>
      <c r="DC212" s="1037"/>
      <c r="DD212" s="1037"/>
      <c r="DE212" s="1037"/>
      <c r="DF212" s="1037"/>
      <c r="DG212" s="1037"/>
      <c r="DH212" s="1037"/>
      <c r="DI212" s="1037"/>
      <c r="DJ212" s="1037"/>
      <c r="DK212" s="1037"/>
      <c r="DL212" s="1037"/>
      <c r="DM212" s="1037"/>
      <c r="DN212" s="1037"/>
      <c r="DO212" s="1037"/>
      <c r="DP212" s="1037"/>
      <c r="DQ212" s="1037"/>
      <c r="DR212" s="1037"/>
      <c r="DS212" s="1037"/>
      <c r="DT212" s="1037"/>
      <c r="DU212" s="1037"/>
      <c r="DV212" s="1037"/>
      <c r="DW212" s="1037"/>
      <c r="DX212" s="1037"/>
      <c r="DY212" s="1037"/>
      <c r="DZ212" s="1037"/>
      <c r="EA212" s="1037"/>
      <c r="EB212" s="1037"/>
      <c r="EC212" s="1037"/>
      <c r="ED212" s="1037"/>
      <c r="EE212" s="1037"/>
      <c r="EF212" s="1037"/>
      <c r="EG212" s="1037"/>
      <c r="EH212" s="1037"/>
      <c r="EI212" s="1037"/>
      <c r="EJ212" s="1037"/>
      <c r="EK212" s="1037"/>
      <c r="EL212" s="1037"/>
      <c r="EM212" s="1037"/>
      <c r="EN212" s="1037"/>
      <c r="EO212" s="1037"/>
      <c r="EP212" s="1037"/>
      <c r="EQ212" s="1037"/>
      <c r="ER212" s="1037"/>
      <c r="ES212" s="1037"/>
      <c r="ET212" s="1037"/>
      <c r="EU212" s="1037"/>
      <c r="EV212" s="1037"/>
      <c r="EW212" s="1037"/>
      <c r="EX212" s="1037"/>
      <c r="EY212" s="1037"/>
      <c r="EZ212" s="1037"/>
      <c r="FA212" s="1037"/>
      <c r="FB212" s="1037"/>
      <c r="FC212" s="1037"/>
      <c r="FD212" s="1037"/>
      <c r="FE212" s="1037"/>
      <c r="FF212" s="1037"/>
      <c r="FG212" s="1037"/>
      <c r="FH212" s="1037"/>
      <c r="FI212" s="1037"/>
      <c r="FJ212" s="1037"/>
      <c r="FK212" s="1037"/>
      <c r="FL212" s="1037"/>
      <c r="FM212" s="1037"/>
      <c r="FN212" s="1037"/>
      <c r="FO212" s="1037"/>
      <c r="FP212" s="1037"/>
      <c r="FQ212" s="1037"/>
      <c r="FR212" s="1037"/>
      <c r="FS212" s="1037"/>
      <c r="FT212" s="1037"/>
      <c r="FU212" s="1037"/>
      <c r="FV212" s="1037"/>
      <c r="FW212" s="1037"/>
      <c r="FX212" s="1037"/>
      <c r="FY212" s="1037"/>
      <c r="FZ212" s="1037"/>
      <c r="GA212" s="1037"/>
      <c r="GB212" s="1037"/>
      <c r="GC212" s="1037"/>
      <c r="GD212" s="1037"/>
      <c r="GE212" s="1037"/>
      <c r="GF212" s="1037"/>
      <c r="GG212" s="1037"/>
      <c r="GH212" s="1037"/>
      <c r="GI212" s="1037"/>
      <c r="GJ212" s="1037"/>
      <c r="GK212" s="1037"/>
      <c r="GL212" s="1037"/>
      <c r="GM212" s="1037"/>
      <c r="GN212" s="1037"/>
      <c r="GO212" s="1037"/>
      <c r="GP212" s="1037"/>
      <c r="GQ212" s="1037"/>
      <c r="GR212" s="1037"/>
      <c r="GS212" s="1037"/>
      <c r="GT212" s="1037"/>
      <c r="GU212" s="1037"/>
      <c r="GV212" s="1037"/>
      <c r="GW212" s="1037"/>
      <c r="GX212" s="1037"/>
      <c r="GY212" s="1037"/>
      <c r="GZ212" s="1037"/>
      <c r="HA212" s="1037"/>
      <c r="HB212" s="1037"/>
      <c r="HC212" s="1037"/>
      <c r="HD212" s="1037"/>
      <c r="HE212" s="1037"/>
      <c r="HF212" s="1037"/>
      <c r="HG212" s="1037"/>
      <c r="HH212" s="1037"/>
      <c r="HI212" s="1037"/>
      <c r="HJ212" s="1037"/>
      <c r="HK212" s="1037"/>
      <c r="HL212" s="1037"/>
      <c r="HM212" s="1037"/>
      <c r="HN212" s="1037"/>
      <c r="HO212" s="1037"/>
      <c r="HP212" s="1037"/>
      <c r="HQ212" s="1037"/>
      <c r="HR212" s="1037"/>
      <c r="HS212" s="1037"/>
      <c r="HT212" s="1037"/>
      <c r="HU212" s="1037"/>
      <c r="HV212" s="1037"/>
      <c r="HW212" s="1037"/>
      <c r="HX212" s="1037"/>
      <c r="HY212" s="1037"/>
      <c r="HZ212" s="1037"/>
      <c r="IA212" s="1037"/>
      <c r="IB212" s="1037"/>
      <c r="IC212" s="1037"/>
      <c r="ID212" s="1037"/>
      <c r="IE212" s="1037"/>
      <c r="IF212" s="1037"/>
      <c r="IG212" s="1037"/>
      <c r="IH212" s="1037"/>
      <c r="II212" s="1037"/>
      <c r="IJ212" s="1037"/>
      <c r="IK212" s="1037"/>
      <c r="IL212" s="1037"/>
      <c r="IM212" s="1037"/>
      <c r="IN212" s="1037"/>
    </row>
    <row r="213" spans="1:248">
      <c r="A213" s="701" t="s">
        <v>26</v>
      </c>
      <c r="B213" s="703">
        <v>16871.2</v>
      </c>
      <c r="C213" s="703">
        <f>+B213/H213*100</f>
        <v>28.857317811583844</v>
      </c>
      <c r="D213" s="704">
        <v>16690.599999999999</v>
      </c>
      <c r="E213" s="1038">
        <f>D213/H213*100</f>
        <v>28.548410822349403</v>
      </c>
      <c r="F213" s="1038">
        <f>+B213-D213</f>
        <v>180.60000000000218</v>
      </c>
      <c r="G213" s="1038">
        <f t="shared" si="28"/>
        <v>0.30890698923444121</v>
      </c>
      <c r="H213" s="390">
        <v>58464.2</v>
      </c>
      <c r="I213" s="1037"/>
      <c r="J213" s="1037"/>
      <c r="K213" s="1037"/>
      <c r="L213" s="1037"/>
      <c r="M213" s="1037"/>
      <c r="N213" s="1037"/>
      <c r="O213" s="1037"/>
      <c r="P213" s="1037"/>
      <c r="Q213" s="1037"/>
      <c r="R213" s="1037"/>
      <c r="S213" s="1037"/>
      <c r="T213" s="1037"/>
      <c r="U213" s="1037"/>
      <c r="V213" s="1037"/>
      <c r="W213" s="1037"/>
      <c r="X213" s="1037"/>
      <c r="Y213" s="1037"/>
      <c r="Z213" s="1037"/>
      <c r="AA213" s="1037"/>
      <c r="AB213" s="1037"/>
      <c r="AC213" s="1037"/>
      <c r="AD213" s="1037"/>
      <c r="AE213" s="1037"/>
      <c r="AF213" s="1037"/>
      <c r="AG213" s="1037"/>
      <c r="AH213" s="1037"/>
      <c r="AI213" s="1037"/>
      <c r="AJ213" s="1037"/>
      <c r="AK213" s="1037"/>
      <c r="AL213" s="1037"/>
      <c r="AM213" s="1037"/>
      <c r="AN213" s="1037"/>
      <c r="AO213" s="1037"/>
      <c r="AP213" s="1037"/>
      <c r="AQ213" s="1037"/>
      <c r="AR213" s="1037"/>
      <c r="AS213" s="1037"/>
      <c r="AT213" s="1037"/>
      <c r="AU213" s="1037"/>
      <c r="AV213" s="1037"/>
      <c r="AW213" s="1037"/>
      <c r="AX213" s="1037"/>
      <c r="AY213" s="1037"/>
      <c r="AZ213" s="1037"/>
      <c r="BA213" s="1037"/>
      <c r="BB213" s="1037"/>
      <c r="BC213" s="1037"/>
      <c r="BD213" s="1037"/>
      <c r="BE213" s="1037"/>
      <c r="BF213" s="1037"/>
      <c r="BG213" s="1037"/>
      <c r="BH213" s="1037"/>
      <c r="BI213" s="1037"/>
      <c r="BJ213" s="1037"/>
      <c r="BK213" s="1037"/>
      <c r="BL213" s="1037"/>
      <c r="BM213" s="1037"/>
      <c r="BN213" s="1037"/>
      <c r="BO213" s="1037"/>
      <c r="BP213" s="1037"/>
      <c r="BQ213" s="1037"/>
      <c r="BR213" s="1037"/>
      <c r="BS213" s="1037"/>
      <c r="BT213" s="1037"/>
      <c r="BU213" s="1037"/>
      <c r="BV213" s="1037"/>
      <c r="BW213" s="1037"/>
      <c r="BX213" s="1037"/>
      <c r="BY213" s="1037"/>
      <c r="BZ213" s="1037"/>
      <c r="CA213" s="1037"/>
      <c r="CB213" s="1037"/>
      <c r="CC213" s="1037"/>
      <c r="CD213" s="1037"/>
      <c r="CE213" s="1037"/>
      <c r="CF213" s="1037"/>
      <c r="CG213" s="1037"/>
      <c r="CH213" s="1037"/>
      <c r="CI213" s="1037"/>
      <c r="CJ213" s="1037"/>
      <c r="CK213" s="1037"/>
      <c r="CL213" s="1037"/>
      <c r="CM213" s="1037"/>
      <c r="CN213" s="1037"/>
      <c r="CO213" s="1037"/>
      <c r="CP213" s="1037"/>
      <c r="CQ213" s="1037"/>
      <c r="CR213" s="1037"/>
      <c r="CS213" s="1037"/>
      <c r="CT213" s="1037"/>
      <c r="CU213" s="1037"/>
      <c r="CV213" s="1037"/>
      <c r="CW213" s="1037"/>
      <c r="CX213" s="1037"/>
      <c r="CY213" s="1037"/>
      <c r="CZ213" s="1037"/>
      <c r="DA213" s="1037"/>
      <c r="DB213" s="1037"/>
      <c r="DC213" s="1037"/>
      <c r="DD213" s="1037"/>
      <c r="DE213" s="1037"/>
      <c r="DF213" s="1037"/>
      <c r="DG213" s="1037"/>
      <c r="DH213" s="1037"/>
      <c r="DI213" s="1037"/>
      <c r="DJ213" s="1037"/>
      <c r="DK213" s="1037"/>
      <c r="DL213" s="1037"/>
      <c r="DM213" s="1037"/>
      <c r="DN213" s="1037"/>
      <c r="DO213" s="1037"/>
      <c r="DP213" s="1037"/>
      <c r="DQ213" s="1037"/>
      <c r="DR213" s="1037"/>
      <c r="DS213" s="1037"/>
      <c r="DT213" s="1037"/>
      <c r="DU213" s="1037"/>
      <c r="DV213" s="1037"/>
      <c r="DW213" s="1037"/>
      <c r="DX213" s="1037"/>
      <c r="DY213" s="1037"/>
      <c r="DZ213" s="1037"/>
      <c r="EA213" s="1037"/>
      <c r="EB213" s="1037"/>
      <c r="EC213" s="1037"/>
      <c r="ED213" s="1037"/>
      <c r="EE213" s="1037"/>
      <c r="EF213" s="1037"/>
      <c r="EG213" s="1037"/>
      <c r="EH213" s="1037"/>
      <c r="EI213" s="1037"/>
      <c r="EJ213" s="1037"/>
      <c r="EK213" s="1037"/>
      <c r="EL213" s="1037"/>
      <c r="EM213" s="1037"/>
      <c r="EN213" s="1037"/>
      <c r="EO213" s="1037"/>
      <c r="EP213" s="1037"/>
      <c r="EQ213" s="1037"/>
      <c r="ER213" s="1037"/>
      <c r="ES213" s="1037"/>
      <c r="ET213" s="1037"/>
      <c r="EU213" s="1037"/>
      <c r="EV213" s="1037"/>
      <c r="EW213" s="1037"/>
      <c r="EX213" s="1037"/>
      <c r="EY213" s="1037"/>
      <c r="EZ213" s="1037"/>
      <c r="FA213" s="1037"/>
      <c r="FB213" s="1037"/>
      <c r="FC213" s="1037"/>
      <c r="FD213" s="1037"/>
      <c r="FE213" s="1037"/>
      <c r="FF213" s="1037"/>
      <c r="FG213" s="1037"/>
      <c r="FH213" s="1037"/>
      <c r="FI213" s="1037"/>
      <c r="FJ213" s="1037"/>
      <c r="FK213" s="1037"/>
      <c r="FL213" s="1037"/>
      <c r="FM213" s="1037"/>
      <c r="FN213" s="1037"/>
      <c r="FO213" s="1037"/>
      <c r="FP213" s="1037"/>
      <c r="FQ213" s="1037"/>
      <c r="FR213" s="1037"/>
      <c r="FS213" s="1037"/>
      <c r="FT213" s="1037"/>
      <c r="FU213" s="1037"/>
      <c r="FV213" s="1037"/>
      <c r="FW213" s="1037"/>
      <c r="FX213" s="1037"/>
      <c r="FY213" s="1037"/>
      <c r="FZ213" s="1037"/>
      <c r="GA213" s="1037"/>
      <c r="GB213" s="1037"/>
      <c r="GC213" s="1037"/>
      <c r="GD213" s="1037"/>
      <c r="GE213" s="1037"/>
      <c r="GF213" s="1037"/>
      <c r="GG213" s="1037"/>
      <c r="GH213" s="1037"/>
      <c r="GI213" s="1037"/>
      <c r="GJ213" s="1037"/>
      <c r="GK213" s="1037"/>
      <c r="GL213" s="1037"/>
      <c r="GM213" s="1037"/>
      <c r="GN213" s="1037"/>
      <c r="GO213" s="1037"/>
      <c r="GP213" s="1037"/>
      <c r="GQ213" s="1037"/>
      <c r="GR213" s="1037"/>
      <c r="GS213" s="1037"/>
      <c r="GT213" s="1037"/>
      <c r="GU213" s="1037"/>
      <c r="GV213" s="1037"/>
      <c r="GW213" s="1037"/>
      <c r="GX213" s="1037"/>
      <c r="GY213" s="1037"/>
      <c r="GZ213" s="1037"/>
      <c r="HA213" s="1037"/>
      <c r="HB213" s="1037"/>
      <c r="HC213" s="1037"/>
      <c r="HD213" s="1037"/>
      <c r="HE213" s="1037"/>
      <c r="HF213" s="1037"/>
      <c r="HG213" s="1037"/>
      <c r="HH213" s="1037"/>
      <c r="HI213" s="1037"/>
      <c r="HJ213" s="1037"/>
      <c r="HK213" s="1037"/>
      <c r="HL213" s="1037"/>
      <c r="HM213" s="1037"/>
      <c r="HN213" s="1037"/>
      <c r="HO213" s="1037"/>
      <c r="HP213" s="1037"/>
      <c r="HQ213" s="1037"/>
      <c r="HR213" s="1037"/>
      <c r="HS213" s="1037"/>
      <c r="HT213" s="1037"/>
      <c r="HU213" s="1037"/>
      <c r="HV213" s="1037"/>
      <c r="HW213" s="1037"/>
      <c r="HX213" s="1037"/>
      <c r="HY213" s="1037"/>
      <c r="HZ213" s="1037"/>
      <c r="IA213" s="1037"/>
      <c r="IB213" s="1037"/>
      <c r="IC213" s="1037"/>
      <c r="ID213" s="1037"/>
      <c r="IE213" s="1037"/>
      <c r="IF213" s="1037"/>
      <c r="IG213" s="1037"/>
      <c r="IH213" s="1037"/>
      <c r="II213" s="1037"/>
      <c r="IJ213" s="1037"/>
      <c r="IK213" s="1037"/>
      <c r="IL213" s="1037"/>
      <c r="IM213" s="1037"/>
      <c r="IN213" s="1037"/>
    </row>
    <row r="214" spans="1:248">
      <c r="A214" s="701" t="s">
        <v>27</v>
      </c>
      <c r="B214" s="703">
        <v>19273.900000000001</v>
      </c>
      <c r="C214" s="703">
        <f>+B214/H214*100</f>
        <v>29.46399225866811</v>
      </c>
      <c r="D214" s="704">
        <v>18433.599999999999</v>
      </c>
      <c r="E214" s="1038">
        <f>D214/H214*100</f>
        <v>28.17942646269745</v>
      </c>
      <c r="F214" s="1038">
        <f>+B214-D214</f>
        <v>840.30000000000291</v>
      </c>
      <c r="G214" s="1038">
        <f t="shared" si="28"/>
        <v>1.2845657959706596</v>
      </c>
      <c r="H214" s="390">
        <v>65415.1</v>
      </c>
      <c r="I214" s="1037"/>
      <c r="J214" s="1037"/>
      <c r="K214" s="1037"/>
      <c r="L214" s="1037"/>
      <c r="M214" s="1037"/>
      <c r="N214" s="1037"/>
      <c r="O214" s="1037"/>
      <c r="P214" s="1037"/>
      <c r="Q214" s="1037"/>
      <c r="R214" s="1037"/>
      <c r="S214" s="1037"/>
      <c r="T214" s="1037"/>
      <c r="U214" s="1037"/>
      <c r="V214" s="1037"/>
      <c r="W214" s="1037"/>
      <c r="X214" s="1037"/>
      <c r="Y214" s="1037"/>
      <c r="Z214" s="1037"/>
      <c r="AA214" s="1037"/>
      <c r="AB214" s="1037"/>
      <c r="AC214" s="1037"/>
      <c r="AD214" s="1037"/>
      <c r="AE214" s="1037"/>
      <c r="AF214" s="1037"/>
      <c r="AG214" s="1037"/>
      <c r="AH214" s="1037"/>
      <c r="AI214" s="1037"/>
      <c r="AJ214" s="1037"/>
      <c r="AK214" s="1037"/>
      <c r="AL214" s="1037"/>
      <c r="AM214" s="1037"/>
      <c r="AN214" s="1037"/>
      <c r="AO214" s="1037"/>
      <c r="AP214" s="1037"/>
      <c r="AQ214" s="1037"/>
      <c r="AR214" s="1037"/>
      <c r="AS214" s="1037"/>
      <c r="AT214" s="1037"/>
      <c r="AU214" s="1037"/>
      <c r="AV214" s="1037"/>
      <c r="AW214" s="1037"/>
      <c r="AX214" s="1037"/>
      <c r="AY214" s="1037"/>
      <c r="AZ214" s="1037"/>
      <c r="BA214" s="1037"/>
      <c r="BB214" s="1037"/>
      <c r="BC214" s="1037"/>
      <c r="BD214" s="1037"/>
      <c r="BE214" s="1037"/>
      <c r="BF214" s="1037"/>
      <c r="BG214" s="1037"/>
      <c r="BH214" s="1037"/>
      <c r="BI214" s="1037"/>
      <c r="BJ214" s="1037"/>
      <c r="BK214" s="1037"/>
      <c r="BL214" s="1037"/>
      <c r="BM214" s="1037"/>
      <c r="BN214" s="1037"/>
      <c r="BO214" s="1037"/>
      <c r="BP214" s="1037"/>
      <c r="BQ214" s="1037"/>
      <c r="BR214" s="1037"/>
      <c r="BS214" s="1037"/>
      <c r="BT214" s="1037"/>
      <c r="BU214" s="1037"/>
      <c r="BV214" s="1037"/>
      <c r="BW214" s="1037"/>
      <c r="BX214" s="1037"/>
      <c r="BY214" s="1037"/>
      <c r="BZ214" s="1037"/>
      <c r="CA214" s="1037"/>
      <c r="CB214" s="1037"/>
      <c r="CC214" s="1037"/>
      <c r="CD214" s="1037"/>
      <c r="CE214" s="1037"/>
      <c r="CF214" s="1037"/>
      <c r="CG214" s="1037"/>
      <c r="CH214" s="1037"/>
      <c r="CI214" s="1037"/>
      <c r="CJ214" s="1037"/>
      <c r="CK214" s="1037"/>
      <c r="CL214" s="1037"/>
      <c r="CM214" s="1037"/>
      <c r="CN214" s="1037"/>
      <c r="CO214" s="1037"/>
      <c r="CP214" s="1037"/>
      <c r="CQ214" s="1037"/>
      <c r="CR214" s="1037"/>
      <c r="CS214" s="1037"/>
      <c r="CT214" s="1037"/>
      <c r="CU214" s="1037"/>
      <c r="CV214" s="1037"/>
      <c r="CW214" s="1037"/>
      <c r="CX214" s="1037"/>
      <c r="CY214" s="1037"/>
      <c r="CZ214" s="1037"/>
      <c r="DA214" s="1037"/>
      <c r="DB214" s="1037"/>
      <c r="DC214" s="1037"/>
      <c r="DD214" s="1037"/>
      <c r="DE214" s="1037"/>
      <c r="DF214" s="1037"/>
      <c r="DG214" s="1037"/>
      <c r="DH214" s="1037"/>
      <c r="DI214" s="1037"/>
      <c r="DJ214" s="1037"/>
      <c r="DK214" s="1037"/>
      <c r="DL214" s="1037"/>
      <c r="DM214" s="1037"/>
      <c r="DN214" s="1037"/>
      <c r="DO214" s="1037"/>
      <c r="DP214" s="1037"/>
      <c r="DQ214" s="1037"/>
      <c r="DR214" s="1037"/>
      <c r="DS214" s="1037"/>
      <c r="DT214" s="1037"/>
      <c r="DU214" s="1037"/>
      <c r="DV214" s="1037"/>
      <c r="DW214" s="1037"/>
      <c r="DX214" s="1037"/>
      <c r="DY214" s="1037"/>
      <c r="DZ214" s="1037"/>
      <c r="EA214" s="1037"/>
      <c r="EB214" s="1037"/>
      <c r="EC214" s="1037"/>
      <c r="ED214" s="1037"/>
      <c r="EE214" s="1037"/>
      <c r="EF214" s="1037"/>
      <c r="EG214" s="1037"/>
      <c r="EH214" s="1037"/>
      <c r="EI214" s="1037"/>
      <c r="EJ214" s="1037"/>
      <c r="EK214" s="1037"/>
      <c r="EL214" s="1037"/>
      <c r="EM214" s="1037"/>
      <c r="EN214" s="1037"/>
      <c r="EO214" s="1037"/>
      <c r="EP214" s="1037"/>
      <c r="EQ214" s="1037"/>
      <c r="ER214" s="1037"/>
      <c r="ES214" s="1037"/>
      <c r="ET214" s="1037"/>
      <c r="EU214" s="1037"/>
      <c r="EV214" s="1037"/>
      <c r="EW214" s="1037"/>
      <c r="EX214" s="1037"/>
      <c r="EY214" s="1037"/>
      <c r="EZ214" s="1037"/>
      <c r="FA214" s="1037"/>
      <c r="FB214" s="1037"/>
      <c r="FC214" s="1037"/>
      <c r="FD214" s="1037"/>
      <c r="FE214" s="1037"/>
      <c r="FF214" s="1037"/>
      <c r="FG214" s="1037"/>
      <c r="FH214" s="1037"/>
      <c r="FI214" s="1037"/>
      <c r="FJ214" s="1037"/>
      <c r="FK214" s="1037"/>
      <c r="FL214" s="1037"/>
      <c r="FM214" s="1037"/>
      <c r="FN214" s="1037"/>
      <c r="FO214" s="1037"/>
      <c r="FP214" s="1037"/>
      <c r="FQ214" s="1037"/>
      <c r="FR214" s="1037"/>
      <c r="FS214" s="1037"/>
      <c r="FT214" s="1037"/>
      <c r="FU214" s="1037"/>
      <c r="FV214" s="1037"/>
      <c r="FW214" s="1037"/>
      <c r="FX214" s="1037"/>
      <c r="FY214" s="1037"/>
      <c r="FZ214" s="1037"/>
      <c r="GA214" s="1037"/>
      <c r="GB214" s="1037"/>
      <c r="GC214" s="1037"/>
      <c r="GD214" s="1037"/>
      <c r="GE214" s="1037"/>
      <c r="GF214" s="1037"/>
      <c r="GG214" s="1037"/>
      <c r="GH214" s="1037"/>
      <c r="GI214" s="1037"/>
      <c r="GJ214" s="1037"/>
      <c r="GK214" s="1037"/>
      <c r="GL214" s="1037"/>
      <c r="GM214" s="1037"/>
      <c r="GN214" s="1037"/>
      <c r="GO214" s="1037"/>
      <c r="GP214" s="1037"/>
      <c r="GQ214" s="1037"/>
      <c r="GR214" s="1037"/>
      <c r="GS214" s="1037"/>
      <c r="GT214" s="1037"/>
      <c r="GU214" s="1037"/>
      <c r="GV214" s="1037"/>
      <c r="GW214" s="1037"/>
      <c r="GX214" s="1037"/>
      <c r="GY214" s="1037"/>
      <c r="GZ214" s="1037"/>
      <c r="HA214" s="1037"/>
      <c r="HB214" s="1037"/>
      <c r="HC214" s="1037"/>
      <c r="HD214" s="1037"/>
      <c r="HE214" s="1037"/>
      <c r="HF214" s="1037"/>
      <c r="HG214" s="1037"/>
      <c r="HH214" s="1037"/>
      <c r="HI214" s="1037"/>
      <c r="HJ214" s="1037"/>
      <c r="HK214" s="1037"/>
      <c r="HL214" s="1037"/>
      <c r="HM214" s="1037"/>
      <c r="HN214" s="1037"/>
      <c r="HO214" s="1037"/>
      <c r="HP214" s="1037"/>
      <c r="HQ214" s="1037"/>
      <c r="HR214" s="1037"/>
      <c r="HS214" s="1037"/>
      <c r="HT214" s="1037"/>
      <c r="HU214" s="1037"/>
      <c r="HV214" s="1037"/>
      <c r="HW214" s="1037"/>
      <c r="HX214" s="1037"/>
      <c r="HY214" s="1037"/>
      <c r="HZ214" s="1037"/>
      <c r="IA214" s="1037"/>
      <c r="IB214" s="1037"/>
      <c r="IC214" s="1037"/>
      <c r="ID214" s="1037"/>
      <c r="IE214" s="1037"/>
      <c r="IF214" s="1037"/>
      <c r="IG214" s="1037"/>
      <c r="IH214" s="1037"/>
      <c r="II214" s="1037"/>
      <c r="IJ214" s="1037"/>
      <c r="IK214" s="1037"/>
      <c r="IL214" s="1037"/>
      <c r="IM214" s="1037"/>
      <c r="IN214" s="1037"/>
    </row>
    <row r="215" spans="1:248">
      <c r="A215" s="701" t="s">
        <v>28</v>
      </c>
      <c r="B215" s="703">
        <v>21132.2</v>
      </c>
      <c r="C215" s="703">
        <f>+B215/H215*100</f>
        <v>29.006948314532714</v>
      </c>
      <c r="D215" s="704">
        <v>20175.3</v>
      </c>
      <c r="E215" s="1038">
        <f>D215/H215*100</f>
        <v>27.693467046980054</v>
      </c>
      <c r="F215" s="1038">
        <f>+B215-D215</f>
        <v>956.90000000000146</v>
      </c>
      <c r="G215" s="1038">
        <f t="shared" si="28"/>
        <v>1.3134812675526635</v>
      </c>
      <c r="H215" s="390">
        <v>72852.2</v>
      </c>
      <c r="I215" s="1037"/>
      <c r="J215" s="1037"/>
      <c r="K215" s="1037"/>
      <c r="L215" s="1037"/>
      <c r="M215" s="1037"/>
      <c r="N215" s="1037"/>
      <c r="O215" s="1037"/>
      <c r="P215" s="1037"/>
      <c r="Q215" s="1037"/>
      <c r="R215" s="1037"/>
      <c r="S215" s="1037"/>
      <c r="T215" s="1037"/>
      <c r="U215" s="1037"/>
      <c r="V215" s="1037"/>
      <c r="W215" s="1037"/>
      <c r="X215" s="1037"/>
      <c r="Y215" s="1037"/>
      <c r="Z215" s="1037"/>
      <c r="AA215" s="1037"/>
      <c r="AB215" s="1037"/>
      <c r="AC215" s="1037"/>
      <c r="AD215" s="1037"/>
      <c r="AE215" s="1037"/>
      <c r="AF215" s="1037"/>
      <c r="AG215" s="1037"/>
      <c r="AH215" s="1037"/>
      <c r="AI215" s="1037"/>
      <c r="AJ215" s="1037"/>
      <c r="AK215" s="1037"/>
      <c r="AL215" s="1037"/>
      <c r="AM215" s="1037"/>
      <c r="AN215" s="1037"/>
      <c r="AO215" s="1037"/>
      <c r="AP215" s="1037"/>
      <c r="AQ215" s="1037"/>
      <c r="AR215" s="1037"/>
      <c r="AS215" s="1037"/>
      <c r="AT215" s="1037"/>
      <c r="AU215" s="1037"/>
      <c r="AV215" s="1037"/>
      <c r="AW215" s="1037"/>
      <c r="AX215" s="1037"/>
      <c r="AY215" s="1037"/>
      <c r="AZ215" s="1037"/>
      <c r="BA215" s="1037"/>
      <c r="BB215" s="1037"/>
      <c r="BC215" s="1037"/>
      <c r="BD215" s="1037"/>
      <c r="BE215" s="1037"/>
      <c r="BF215" s="1037"/>
      <c r="BG215" s="1037"/>
      <c r="BH215" s="1037"/>
      <c r="BI215" s="1037"/>
      <c r="BJ215" s="1037"/>
      <c r="BK215" s="1037"/>
      <c r="BL215" s="1037"/>
      <c r="BM215" s="1037"/>
      <c r="BN215" s="1037"/>
      <c r="BO215" s="1037"/>
      <c r="BP215" s="1037"/>
      <c r="BQ215" s="1037"/>
      <c r="BR215" s="1037"/>
      <c r="BS215" s="1037"/>
      <c r="BT215" s="1037"/>
      <c r="BU215" s="1037"/>
      <c r="BV215" s="1037"/>
      <c r="BW215" s="1037"/>
      <c r="BX215" s="1037"/>
      <c r="BY215" s="1037"/>
      <c r="BZ215" s="1037"/>
      <c r="CA215" s="1037"/>
      <c r="CB215" s="1037"/>
      <c r="CC215" s="1037"/>
      <c r="CD215" s="1037"/>
      <c r="CE215" s="1037"/>
      <c r="CF215" s="1037"/>
      <c r="CG215" s="1037"/>
      <c r="CH215" s="1037"/>
      <c r="CI215" s="1037"/>
      <c r="CJ215" s="1037"/>
      <c r="CK215" s="1037"/>
      <c r="CL215" s="1037"/>
      <c r="CM215" s="1037"/>
      <c r="CN215" s="1037"/>
      <c r="CO215" s="1037"/>
      <c r="CP215" s="1037"/>
      <c r="CQ215" s="1037"/>
      <c r="CR215" s="1037"/>
      <c r="CS215" s="1037"/>
      <c r="CT215" s="1037"/>
      <c r="CU215" s="1037"/>
      <c r="CV215" s="1037"/>
      <c r="CW215" s="1037"/>
      <c r="CX215" s="1037"/>
      <c r="CY215" s="1037"/>
      <c r="CZ215" s="1037"/>
      <c r="DA215" s="1037"/>
      <c r="DB215" s="1037"/>
      <c r="DC215" s="1037"/>
      <c r="DD215" s="1037"/>
      <c r="DE215" s="1037"/>
      <c r="DF215" s="1037"/>
      <c r="DG215" s="1037"/>
      <c r="DH215" s="1037"/>
      <c r="DI215" s="1037"/>
      <c r="DJ215" s="1037"/>
      <c r="DK215" s="1037"/>
      <c r="DL215" s="1037"/>
      <c r="DM215" s="1037"/>
      <c r="DN215" s="1037"/>
      <c r="DO215" s="1037"/>
      <c r="DP215" s="1037"/>
      <c r="DQ215" s="1037"/>
      <c r="DR215" s="1037"/>
      <c r="DS215" s="1037"/>
      <c r="DT215" s="1037"/>
      <c r="DU215" s="1037"/>
      <c r="DV215" s="1037"/>
      <c r="DW215" s="1037"/>
      <c r="DX215" s="1037"/>
      <c r="DY215" s="1037"/>
      <c r="DZ215" s="1037"/>
      <c r="EA215" s="1037"/>
      <c r="EB215" s="1037"/>
      <c r="EC215" s="1037"/>
      <c r="ED215" s="1037"/>
      <c r="EE215" s="1037"/>
      <c r="EF215" s="1037"/>
      <c r="EG215" s="1037"/>
      <c r="EH215" s="1037"/>
      <c r="EI215" s="1037"/>
      <c r="EJ215" s="1037"/>
      <c r="EK215" s="1037"/>
      <c r="EL215" s="1037"/>
      <c r="EM215" s="1037"/>
      <c r="EN215" s="1037"/>
      <c r="EO215" s="1037"/>
      <c r="EP215" s="1037"/>
      <c r="EQ215" s="1037"/>
      <c r="ER215" s="1037"/>
      <c r="ES215" s="1037"/>
      <c r="ET215" s="1037"/>
      <c r="EU215" s="1037"/>
      <c r="EV215" s="1037"/>
      <c r="EW215" s="1037"/>
      <c r="EX215" s="1037"/>
      <c r="EY215" s="1037"/>
      <c r="EZ215" s="1037"/>
      <c r="FA215" s="1037"/>
      <c r="FB215" s="1037"/>
      <c r="FC215" s="1037"/>
      <c r="FD215" s="1037"/>
      <c r="FE215" s="1037"/>
      <c r="FF215" s="1037"/>
      <c r="FG215" s="1037"/>
      <c r="FH215" s="1037"/>
      <c r="FI215" s="1037"/>
      <c r="FJ215" s="1037"/>
      <c r="FK215" s="1037"/>
      <c r="FL215" s="1037"/>
      <c r="FM215" s="1037"/>
      <c r="FN215" s="1037"/>
      <c r="FO215" s="1037"/>
      <c r="FP215" s="1037"/>
      <c r="FQ215" s="1037"/>
      <c r="FR215" s="1037"/>
      <c r="FS215" s="1037"/>
      <c r="FT215" s="1037"/>
      <c r="FU215" s="1037"/>
      <c r="FV215" s="1037"/>
      <c r="FW215" s="1037"/>
      <c r="FX215" s="1037"/>
      <c r="FY215" s="1037"/>
      <c r="FZ215" s="1037"/>
      <c r="GA215" s="1037"/>
      <c r="GB215" s="1037"/>
      <c r="GC215" s="1037"/>
      <c r="GD215" s="1037"/>
      <c r="GE215" s="1037"/>
      <c r="GF215" s="1037"/>
      <c r="GG215" s="1037"/>
      <c r="GH215" s="1037"/>
      <c r="GI215" s="1037"/>
      <c r="GJ215" s="1037"/>
      <c r="GK215" s="1037"/>
      <c r="GL215" s="1037"/>
      <c r="GM215" s="1037"/>
      <c r="GN215" s="1037"/>
      <c r="GO215" s="1037"/>
      <c r="GP215" s="1037"/>
      <c r="GQ215" s="1037"/>
      <c r="GR215" s="1037"/>
      <c r="GS215" s="1037"/>
      <c r="GT215" s="1037"/>
      <c r="GU215" s="1037"/>
      <c r="GV215" s="1037"/>
      <c r="GW215" s="1037"/>
      <c r="GX215" s="1037"/>
      <c r="GY215" s="1037"/>
      <c r="GZ215" s="1037"/>
      <c r="HA215" s="1037"/>
      <c r="HB215" s="1037"/>
      <c r="HC215" s="1037"/>
      <c r="HD215" s="1037"/>
      <c r="HE215" s="1037"/>
      <c r="HF215" s="1037"/>
      <c r="HG215" s="1037"/>
      <c r="HH215" s="1037"/>
      <c r="HI215" s="1037"/>
      <c r="HJ215" s="1037"/>
      <c r="HK215" s="1037"/>
      <c r="HL215" s="1037"/>
      <c r="HM215" s="1037"/>
      <c r="HN215" s="1037"/>
      <c r="HO215" s="1037"/>
      <c r="HP215" s="1037"/>
      <c r="HQ215" s="1037"/>
      <c r="HR215" s="1037"/>
      <c r="HS215" s="1037"/>
      <c r="HT215" s="1037"/>
      <c r="HU215" s="1037"/>
      <c r="HV215" s="1037"/>
      <c r="HW215" s="1037"/>
      <c r="HX215" s="1037"/>
      <c r="HY215" s="1037"/>
      <c r="HZ215" s="1037"/>
      <c r="IA215" s="1037"/>
      <c r="IB215" s="1037"/>
      <c r="IC215" s="1037"/>
      <c r="ID215" s="1037"/>
      <c r="IE215" s="1037"/>
      <c r="IF215" s="1037"/>
      <c r="IG215" s="1037"/>
      <c r="IH215" s="1037"/>
      <c r="II215" s="1037"/>
      <c r="IJ215" s="1037"/>
      <c r="IK215" s="1037"/>
      <c r="IL215" s="1037"/>
      <c r="IM215" s="1037"/>
      <c r="IN215" s="1037"/>
    </row>
    <row r="216" spans="1:248">
      <c r="A216" s="701" t="s">
        <v>29</v>
      </c>
      <c r="B216" s="703">
        <v>24218.1</v>
      </c>
      <c r="C216" s="703">
        <v>29.626963430908042</v>
      </c>
      <c r="D216" s="704">
        <v>24425.9</v>
      </c>
      <c r="E216" s="1038">
        <v>29.878184645143911</v>
      </c>
      <c r="F216" s="1038">
        <v>-207.80000000000291</v>
      </c>
      <c r="G216" s="1038">
        <f t="shared" si="28"/>
        <v>-0.25373582657071136</v>
      </c>
      <c r="H216" s="390">
        <v>81896.2</v>
      </c>
      <c r="I216" s="1037"/>
      <c r="J216" s="1037"/>
      <c r="K216" s="1037"/>
      <c r="L216" s="1037"/>
      <c r="M216" s="1037"/>
      <c r="N216" s="1037"/>
      <c r="O216" s="1037"/>
      <c r="P216" s="1037"/>
      <c r="Q216" s="1037"/>
      <c r="R216" s="1037"/>
      <c r="S216" s="1037"/>
      <c r="T216" s="1037"/>
      <c r="U216" s="1037"/>
      <c r="V216" s="1037"/>
      <c r="W216" s="1037"/>
      <c r="X216" s="1037"/>
      <c r="Y216" s="1037"/>
      <c r="Z216" s="1037"/>
      <c r="AA216" s="1037"/>
      <c r="AB216" s="1037"/>
      <c r="AC216" s="1037"/>
      <c r="AD216" s="1037"/>
      <c r="AE216" s="1037"/>
      <c r="AF216" s="1037"/>
      <c r="AG216" s="1037"/>
      <c r="AH216" s="1037"/>
      <c r="AI216" s="1037"/>
      <c r="AJ216" s="1037"/>
      <c r="AK216" s="1037"/>
      <c r="AL216" s="1037"/>
      <c r="AM216" s="1037"/>
      <c r="AN216" s="1037"/>
      <c r="AO216" s="1037"/>
      <c r="AP216" s="1037"/>
      <c r="AQ216" s="1037"/>
      <c r="AR216" s="1037"/>
      <c r="AS216" s="1037"/>
      <c r="AT216" s="1037"/>
      <c r="AU216" s="1037"/>
      <c r="AV216" s="1037"/>
      <c r="AW216" s="1037"/>
      <c r="AX216" s="1037"/>
      <c r="AY216" s="1037"/>
      <c r="AZ216" s="1037"/>
      <c r="BA216" s="1037"/>
      <c r="BB216" s="1037"/>
      <c r="BC216" s="1037"/>
      <c r="BD216" s="1037"/>
      <c r="BE216" s="1037"/>
      <c r="BF216" s="1037"/>
      <c r="BG216" s="1037"/>
      <c r="BH216" s="1037"/>
      <c r="BI216" s="1037"/>
      <c r="BJ216" s="1037"/>
      <c r="BK216" s="1037"/>
      <c r="BL216" s="1037"/>
      <c r="BM216" s="1037"/>
      <c r="BN216" s="1037"/>
      <c r="BO216" s="1037"/>
      <c r="BP216" s="1037"/>
      <c r="BQ216" s="1037"/>
      <c r="BR216" s="1037"/>
      <c r="BS216" s="1037"/>
      <c r="BT216" s="1037"/>
      <c r="BU216" s="1037"/>
      <c r="BV216" s="1037"/>
      <c r="BW216" s="1037"/>
      <c r="BX216" s="1037"/>
      <c r="BY216" s="1037"/>
      <c r="BZ216" s="1037"/>
      <c r="CA216" s="1037"/>
      <c r="CB216" s="1037"/>
      <c r="CC216" s="1037"/>
      <c r="CD216" s="1037"/>
      <c r="CE216" s="1037"/>
      <c r="CF216" s="1037"/>
      <c r="CG216" s="1037"/>
      <c r="CH216" s="1037"/>
      <c r="CI216" s="1037"/>
      <c r="CJ216" s="1037"/>
      <c r="CK216" s="1037"/>
      <c r="CL216" s="1037"/>
      <c r="CM216" s="1037"/>
      <c r="CN216" s="1037"/>
      <c r="CO216" s="1037"/>
      <c r="CP216" s="1037"/>
      <c r="CQ216" s="1037"/>
      <c r="CR216" s="1037"/>
      <c r="CS216" s="1037"/>
      <c r="CT216" s="1037"/>
      <c r="CU216" s="1037"/>
      <c r="CV216" s="1037"/>
      <c r="CW216" s="1037"/>
      <c r="CX216" s="1037"/>
      <c r="CY216" s="1037"/>
      <c r="CZ216" s="1037"/>
      <c r="DA216" s="1037"/>
      <c r="DB216" s="1037"/>
      <c r="DC216" s="1037"/>
      <c r="DD216" s="1037"/>
      <c r="DE216" s="1037"/>
      <c r="DF216" s="1037"/>
      <c r="DG216" s="1037"/>
      <c r="DH216" s="1037"/>
      <c r="DI216" s="1037"/>
      <c r="DJ216" s="1037"/>
      <c r="DK216" s="1037"/>
      <c r="DL216" s="1037"/>
      <c r="DM216" s="1037"/>
      <c r="DN216" s="1037"/>
      <c r="DO216" s="1037"/>
      <c r="DP216" s="1037"/>
      <c r="DQ216" s="1037"/>
      <c r="DR216" s="1037"/>
      <c r="DS216" s="1037"/>
      <c r="DT216" s="1037"/>
      <c r="DU216" s="1037"/>
      <c r="DV216" s="1037"/>
      <c r="DW216" s="1037"/>
      <c r="DX216" s="1037"/>
      <c r="DY216" s="1037"/>
      <c r="DZ216" s="1037"/>
      <c r="EA216" s="1037"/>
      <c r="EB216" s="1037"/>
      <c r="EC216" s="1037"/>
      <c r="ED216" s="1037"/>
      <c r="EE216" s="1037"/>
      <c r="EF216" s="1037"/>
      <c r="EG216" s="1037"/>
      <c r="EH216" s="1037"/>
      <c r="EI216" s="1037"/>
      <c r="EJ216" s="1037"/>
      <c r="EK216" s="1037"/>
      <c r="EL216" s="1037"/>
      <c r="EM216" s="1037"/>
      <c r="EN216" s="1037"/>
      <c r="EO216" s="1037"/>
      <c r="EP216" s="1037"/>
      <c r="EQ216" s="1037"/>
      <c r="ER216" s="1037"/>
      <c r="ES216" s="1037"/>
      <c r="ET216" s="1037"/>
      <c r="EU216" s="1037"/>
      <c r="EV216" s="1037"/>
      <c r="EW216" s="1037"/>
      <c r="EX216" s="1037"/>
      <c r="EY216" s="1037"/>
      <c r="EZ216" s="1037"/>
      <c r="FA216" s="1037"/>
      <c r="FB216" s="1037"/>
      <c r="FC216" s="1037"/>
      <c r="FD216" s="1037"/>
      <c r="FE216" s="1037"/>
      <c r="FF216" s="1037"/>
      <c r="FG216" s="1037"/>
      <c r="FH216" s="1037"/>
      <c r="FI216" s="1037"/>
      <c r="FJ216" s="1037"/>
      <c r="FK216" s="1037"/>
      <c r="FL216" s="1037"/>
      <c r="FM216" s="1037"/>
      <c r="FN216" s="1037"/>
      <c r="FO216" s="1037"/>
      <c r="FP216" s="1037"/>
      <c r="FQ216" s="1037"/>
      <c r="FR216" s="1037"/>
      <c r="FS216" s="1037"/>
      <c r="FT216" s="1037"/>
      <c r="FU216" s="1037"/>
      <c r="FV216" s="1037"/>
      <c r="FW216" s="1037"/>
      <c r="FX216" s="1037"/>
      <c r="FY216" s="1037"/>
      <c r="FZ216" s="1037"/>
      <c r="GA216" s="1037"/>
      <c r="GB216" s="1037"/>
      <c r="GC216" s="1037"/>
      <c r="GD216" s="1037"/>
      <c r="GE216" s="1037"/>
      <c r="GF216" s="1037"/>
      <c r="GG216" s="1037"/>
      <c r="GH216" s="1037"/>
      <c r="GI216" s="1037"/>
      <c r="GJ216" s="1037"/>
      <c r="GK216" s="1037"/>
      <c r="GL216" s="1037"/>
      <c r="GM216" s="1037"/>
      <c r="GN216" s="1037"/>
      <c r="GO216" s="1037"/>
      <c r="GP216" s="1037"/>
      <c r="GQ216" s="1037"/>
      <c r="GR216" s="1037"/>
      <c r="GS216" s="1037"/>
      <c r="GT216" s="1037"/>
      <c r="GU216" s="1037"/>
      <c r="GV216" s="1037"/>
      <c r="GW216" s="1037"/>
      <c r="GX216" s="1037"/>
      <c r="GY216" s="1037"/>
      <c r="GZ216" s="1037"/>
      <c r="HA216" s="1037"/>
      <c r="HB216" s="1037"/>
      <c r="HC216" s="1037"/>
      <c r="HD216" s="1037"/>
      <c r="HE216" s="1037"/>
      <c r="HF216" s="1037"/>
      <c r="HG216" s="1037"/>
      <c r="HH216" s="1037"/>
      <c r="HI216" s="1037"/>
      <c r="HJ216" s="1037"/>
      <c r="HK216" s="1037"/>
      <c r="HL216" s="1037"/>
      <c r="HM216" s="1037"/>
      <c r="HN216" s="1037"/>
      <c r="HO216" s="1037"/>
      <c r="HP216" s="1037"/>
      <c r="HQ216" s="1037"/>
      <c r="HR216" s="1037"/>
      <c r="HS216" s="1037"/>
      <c r="HT216" s="1037"/>
      <c r="HU216" s="1037"/>
      <c r="HV216" s="1037"/>
      <c r="HW216" s="1037"/>
      <c r="HX216" s="1037"/>
      <c r="HY216" s="1037"/>
      <c r="HZ216" s="1037"/>
      <c r="IA216" s="1037"/>
      <c r="IB216" s="1037"/>
      <c r="IC216" s="1037"/>
      <c r="ID216" s="1037"/>
      <c r="IE216" s="1037"/>
      <c r="IF216" s="1037"/>
      <c r="IG216" s="1037"/>
      <c r="IH216" s="1037"/>
      <c r="II216" s="1037"/>
      <c r="IJ216" s="1037"/>
      <c r="IK216" s="1037"/>
      <c r="IL216" s="1037"/>
      <c r="IM216" s="1037"/>
      <c r="IN216" s="1037"/>
    </row>
    <row r="217" spans="1:248">
      <c r="A217" s="701" t="s">
        <v>2407</v>
      </c>
      <c r="B217" s="698">
        <v>24681.7</v>
      </c>
      <c r="C217" s="698">
        <v>34.063717517899491</v>
      </c>
      <c r="D217" s="699">
        <v>26416.3</v>
      </c>
      <c r="E217" s="1039">
        <v>36.471486438352002</v>
      </c>
      <c r="F217" s="1039">
        <f>B217-D217</f>
        <v>-1734.5999999999985</v>
      </c>
      <c r="G217" s="1039">
        <v>-2.4077689204525061</v>
      </c>
      <c r="H217" s="390"/>
      <c r="I217" s="1037"/>
      <c r="J217" s="1037"/>
      <c r="K217" s="1037"/>
      <c r="L217" s="1037"/>
      <c r="M217" s="1037"/>
      <c r="N217" s="1037"/>
      <c r="O217" s="1037"/>
      <c r="P217" s="1037"/>
      <c r="Q217" s="1037"/>
      <c r="R217" s="1037"/>
      <c r="S217" s="1037"/>
      <c r="T217" s="1037"/>
      <c r="U217" s="1037"/>
      <c r="V217" s="1037"/>
      <c r="W217" s="1037"/>
      <c r="X217" s="1037"/>
      <c r="Y217" s="1037"/>
      <c r="Z217" s="1037"/>
      <c r="AA217" s="1037"/>
      <c r="AB217" s="1037"/>
      <c r="AC217" s="1037"/>
      <c r="AD217" s="1037"/>
      <c r="AE217" s="1037"/>
      <c r="AF217" s="1037"/>
      <c r="AG217" s="1037"/>
      <c r="AH217" s="1037"/>
      <c r="AI217" s="1037"/>
      <c r="AJ217" s="1037"/>
      <c r="AK217" s="1037"/>
      <c r="AL217" s="1037"/>
      <c r="AM217" s="1037"/>
      <c r="AN217" s="1037"/>
      <c r="AO217" s="1037"/>
      <c r="AP217" s="1037"/>
      <c r="AQ217" s="1037"/>
      <c r="AR217" s="1037"/>
      <c r="AS217" s="1037"/>
      <c r="AT217" s="1037"/>
      <c r="AU217" s="1037"/>
      <c r="AV217" s="1037"/>
      <c r="AW217" s="1037"/>
      <c r="AX217" s="1037"/>
      <c r="AY217" s="1037"/>
      <c r="AZ217" s="1037"/>
      <c r="BA217" s="1037"/>
      <c r="BB217" s="1037"/>
      <c r="BC217" s="1037"/>
      <c r="BD217" s="1037"/>
      <c r="BE217" s="1037"/>
      <c r="BF217" s="1037"/>
      <c r="BG217" s="1037"/>
      <c r="BH217" s="1037"/>
      <c r="BI217" s="1037"/>
      <c r="BJ217" s="1037"/>
      <c r="BK217" s="1037"/>
      <c r="BL217" s="1037"/>
      <c r="BM217" s="1037"/>
      <c r="BN217" s="1037"/>
      <c r="BO217" s="1037"/>
      <c r="BP217" s="1037"/>
      <c r="BQ217" s="1037"/>
      <c r="BR217" s="1037"/>
      <c r="BS217" s="1037"/>
      <c r="BT217" s="1037"/>
      <c r="BU217" s="1037"/>
      <c r="BV217" s="1037"/>
      <c r="BW217" s="1037"/>
      <c r="BX217" s="1037"/>
      <c r="BY217" s="1037"/>
      <c r="BZ217" s="1037"/>
      <c r="CA217" s="1037"/>
      <c r="CB217" s="1037"/>
      <c r="CC217" s="1037"/>
      <c r="CD217" s="1037"/>
      <c r="CE217" s="1037"/>
      <c r="CF217" s="1037"/>
      <c r="CG217" s="1037"/>
      <c r="CH217" s="1037"/>
      <c r="CI217" s="1037"/>
      <c r="CJ217" s="1037"/>
      <c r="CK217" s="1037"/>
      <c r="CL217" s="1037"/>
      <c r="CM217" s="1037"/>
      <c r="CN217" s="1037"/>
      <c r="CO217" s="1037"/>
      <c r="CP217" s="1037"/>
      <c r="CQ217" s="1037"/>
      <c r="CR217" s="1037"/>
      <c r="CS217" s="1037"/>
      <c r="CT217" s="1037"/>
      <c r="CU217" s="1037"/>
      <c r="CV217" s="1037"/>
      <c r="CW217" s="1037"/>
      <c r="CX217" s="1037"/>
      <c r="CY217" s="1037"/>
      <c r="CZ217" s="1037"/>
      <c r="DA217" s="1037"/>
      <c r="DB217" s="1037"/>
      <c r="DC217" s="1037"/>
      <c r="DD217" s="1037"/>
      <c r="DE217" s="1037"/>
      <c r="DF217" s="1037"/>
      <c r="DG217" s="1037"/>
      <c r="DH217" s="1037"/>
      <c r="DI217" s="1037"/>
      <c r="DJ217" s="1037"/>
      <c r="DK217" s="1037"/>
      <c r="DL217" s="1037"/>
      <c r="DM217" s="1037"/>
      <c r="DN217" s="1037"/>
      <c r="DO217" s="1037"/>
      <c r="DP217" s="1037"/>
      <c r="DQ217" s="1037"/>
      <c r="DR217" s="1037"/>
      <c r="DS217" s="1037"/>
      <c r="DT217" s="1037"/>
      <c r="DU217" s="1037"/>
      <c r="DV217" s="1037"/>
      <c r="DW217" s="1037"/>
      <c r="DX217" s="1037"/>
      <c r="DY217" s="1037"/>
      <c r="DZ217" s="1037"/>
      <c r="EA217" s="1037"/>
      <c r="EB217" s="1037"/>
      <c r="EC217" s="1037"/>
      <c r="ED217" s="1037"/>
      <c r="EE217" s="1037"/>
      <c r="EF217" s="1037"/>
      <c r="EG217" s="1037"/>
      <c r="EH217" s="1037"/>
      <c r="EI217" s="1037"/>
      <c r="EJ217" s="1037"/>
      <c r="EK217" s="1037"/>
      <c r="EL217" s="1037"/>
      <c r="EM217" s="1037"/>
      <c r="EN217" s="1037"/>
      <c r="EO217" s="1037"/>
      <c r="EP217" s="1037"/>
      <c r="EQ217" s="1037"/>
      <c r="ER217" s="1037"/>
      <c r="ES217" s="1037"/>
      <c r="ET217" s="1037"/>
      <c r="EU217" s="1037"/>
      <c r="EV217" s="1037"/>
      <c r="EW217" s="1037"/>
      <c r="EX217" s="1037"/>
      <c r="EY217" s="1037"/>
      <c r="EZ217" s="1037"/>
      <c r="FA217" s="1037"/>
      <c r="FB217" s="1037"/>
      <c r="FC217" s="1037"/>
      <c r="FD217" s="1037"/>
      <c r="FE217" s="1037"/>
      <c r="FF217" s="1037"/>
      <c r="FG217" s="1037"/>
      <c r="FH217" s="1037"/>
      <c r="FI217" s="1037"/>
      <c r="FJ217" s="1037"/>
      <c r="FK217" s="1037"/>
      <c r="FL217" s="1037"/>
      <c r="FM217" s="1037"/>
      <c r="FN217" s="1037"/>
      <c r="FO217" s="1037"/>
      <c r="FP217" s="1037"/>
      <c r="FQ217" s="1037"/>
      <c r="FR217" s="1037"/>
      <c r="FS217" s="1037"/>
      <c r="FT217" s="1037"/>
      <c r="FU217" s="1037"/>
      <c r="FV217" s="1037"/>
      <c r="FW217" s="1037"/>
      <c r="FX217" s="1037"/>
      <c r="FY217" s="1037"/>
      <c r="FZ217" s="1037"/>
      <c r="GA217" s="1037"/>
      <c r="GB217" s="1037"/>
      <c r="GC217" s="1037"/>
      <c r="GD217" s="1037"/>
      <c r="GE217" s="1037"/>
      <c r="GF217" s="1037"/>
      <c r="GG217" s="1037"/>
      <c r="GH217" s="1037"/>
      <c r="GI217" s="1037"/>
      <c r="GJ217" s="1037"/>
      <c r="GK217" s="1037"/>
      <c r="GL217" s="1037"/>
      <c r="GM217" s="1037"/>
      <c r="GN217" s="1037"/>
      <c r="GO217" s="1037"/>
      <c r="GP217" s="1037"/>
      <c r="GQ217" s="1037"/>
      <c r="GR217" s="1037"/>
      <c r="GS217" s="1037"/>
      <c r="GT217" s="1037"/>
      <c r="GU217" s="1037"/>
      <c r="GV217" s="1037"/>
      <c r="GW217" s="1037"/>
      <c r="GX217" s="1037"/>
      <c r="GY217" s="1037"/>
      <c r="GZ217" s="1037"/>
      <c r="HA217" s="1037"/>
      <c r="HB217" s="1037"/>
      <c r="HC217" s="1037"/>
      <c r="HD217" s="1037"/>
      <c r="HE217" s="1037"/>
      <c r="HF217" s="1037"/>
      <c r="HG217" s="1037"/>
      <c r="HH217" s="1037"/>
      <c r="HI217" s="1037"/>
      <c r="HJ217" s="1037"/>
      <c r="HK217" s="1037"/>
      <c r="HL217" s="1037"/>
      <c r="HM217" s="1037"/>
      <c r="HN217" s="1037"/>
      <c r="HO217" s="1037"/>
      <c r="HP217" s="1037"/>
      <c r="HQ217" s="1037"/>
      <c r="HR217" s="1037"/>
      <c r="HS217" s="1037"/>
      <c r="HT217" s="1037"/>
      <c r="HU217" s="1037"/>
      <c r="HV217" s="1037"/>
      <c r="HW217" s="1037"/>
      <c r="HX217" s="1037"/>
      <c r="HY217" s="1037"/>
      <c r="HZ217" s="1037"/>
      <c r="IA217" s="1037"/>
      <c r="IB217" s="1037"/>
      <c r="IC217" s="1037"/>
      <c r="ID217" s="1037"/>
      <c r="IE217" s="1037"/>
      <c r="IF217" s="1037"/>
      <c r="IG217" s="1037"/>
      <c r="IH217" s="1037"/>
      <c r="II217" s="1037"/>
      <c r="IJ217" s="1037"/>
      <c r="IK217" s="1037"/>
      <c r="IL217" s="1037"/>
      <c r="IM217" s="1037"/>
      <c r="IN217" s="1037"/>
    </row>
    <row r="218" spans="1:248">
      <c r="A218" s="701" t="s">
        <v>18</v>
      </c>
      <c r="B218" s="703">
        <v>1821</v>
      </c>
      <c r="C218" s="703">
        <f t="shared" ref="C218:C229" si="29">+B218/H218*100</f>
        <v>27.396229821420516</v>
      </c>
      <c r="D218" s="704">
        <v>1402.9</v>
      </c>
      <c r="E218" s="1038">
        <f t="shared" ref="E218:E229" si="30">D218/H218*100</f>
        <v>21.10607952579398</v>
      </c>
      <c r="F218" s="1038">
        <f t="shared" ref="F218:F224" si="31">+B218-D218</f>
        <v>418.09999999999991</v>
      </c>
      <c r="G218" s="1038">
        <f t="shared" si="28"/>
        <v>6.2901502956265318</v>
      </c>
      <c r="H218" s="390">
        <v>6646.9</v>
      </c>
      <c r="I218" s="1037"/>
      <c r="J218" s="1037"/>
      <c r="K218" s="1037"/>
      <c r="L218" s="1037"/>
      <c r="M218" s="1037"/>
      <c r="N218" s="1037"/>
      <c r="O218" s="1037"/>
      <c r="P218" s="1037"/>
      <c r="Q218" s="1037"/>
      <c r="R218" s="1037"/>
      <c r="S218" s="1037"/>
      <c r="T218" s="1037"/>
      <c r="U218" s="1037"/>
      <c r="V218" s="1037"/>
      <c r="W218" s="1037"/>
      <c r="X218" s="1037"/>
      <c r="Y218" s="1037"/>
      <c r="Z218" s="1037"/>
      <c r="AA218" s="1037"/>
      <c r="AB218" s="1037"/>
      <c r="AC218" s="1037"/>
      <c r="AD218" s="1037"/>
      <c r="AE218" s="1037"/>
      <c r="AF218" s="1037"/>
      <c r="AG218" s="1037"/>
      <c r="AH218" s="1037"/>
      <c r="AI218" s="1037"/>
      <c r="AJ218" s="1037"/>
      <c r="AK218" s="1037"/>
      <c r="AL218" s="1037"/>
      <c r="AM218" s="1037"/>
      <c r="AN218" s="1037"/>
      <c r="AO218" s="1037"/>
      <c r="AP218" s="1037"/>
      <c r="AQ218" s="1037"/>
      <c r="AR218" s="1037"/>
      <c r="AS218" s="1037"/>
      <c r="AT218" s="1037"/>
      <c r="AU218" s="1037"/>
      <c r="AV218" s="1037"/>
      <c r="AW218" s="1037"/>
      <c r="AX218" s="1037"/>
      <c r="AY218" s="1037"/>
      <c r="AZ218" s="1037"/>
      <c r="BA218" s="1037"/>
      <c r="BB218" s="1037"/>
      <c r="BC218" s="1037"/>
      <c r="BD218" s="1037"/>
      <c r="BE218" s="1037"/>
      <c r="BF218" s="1037"/>
      <c r="BG218" s="1037"/>
      <c r="BH218" s="1037"/>
      <c r="BI218" s="1037"/>
      <c r="BJ218" s="1037"/>
      <c r="BK218" s="1037"/>
      <c r="BL218" s="1037"/>
      <c r="BM218" s="1037"/>
      <c r="BN218" s="1037"/>
      <c r="BO218" s="1037"/>
      <c r="BP218" s="1037"/>
      <c r="BQ218" s="1037"/>
      <c r="BR218" s="1037"/>
      <c r="BS218" s="1037"/>
      <c r="BT218" s="1037"/>
      <c r="BU218" s="1037"/>
      <c r="BV218" s="1037"/>
      <c r="BW218" s="1037"/>
      <c r="BX218" s="1037"/>
      <c r="BY218" s="1037"/>
      <c r="BZ218" s="1037"/>
      <c r="CA218" s="1037"/>
      <c r="CB218" s="1037"/>
      <c r="CC218" s="1037"/>
      <c r="CD218" s="1037"/>
      <c r="CE218" s="1037"/>
      <c r="CF218" s="1037"/>
      <c r="CG218" s="1037"/>
      <c r="CH218" s="1037"/>
      <c r="CI218" s="1037"/>
      <c r="CJ218" s="1037"/>
      <c r="CK218" s="1037"/>
      <c r="CL218" s="1037"/>
      <c r="CM218" s="1037"/>
      <c r="CN218" s="1037"/>
      <c r="CO218" s="1037"/>
      <c r="CP218" s="1037"/>
      <c r="CQ218" s="1037"/>
      <c r="CR218" s="1037"/>
      <c r="CS218" s="1037"/>
      <c r="CT218" s="1037"/>
      <c r="CU218" s="1037"/>
      <c r="CV218" s="1037"/>
      <c r="CW218" s="1037"/>
      <c r="CX218" s="1037"/>
      <c r="CY218" s="1037"/>
      <c r="CZ218" s="1037"/>
      <c r="DA218" s="1037"/>
      <c r="DB218" s="1037"/>
      <c r="DC218" s="1037"/>
      <c r="DD218" s="1037"/>
      <c r="DE218" s="1037"/>
      <c r="DF218" s="1037"/>
      <c r="DG218" s="1037"/>
      <c r="DH218" s="1037"/>
      <c r="DI218" s="1037"/>
      <c r="DJ218" s="1037"/>
      <c r="DK218" s="1037"/>
      <c r="DL218" s="1037"/>
      <c r="DM218" s="1037"/>
      <c r="DN218" s="1037"/>
      <c r="DO218" s="1037"/>
      <c r="DP218" s="1037"/>
      <c r="DQ218" s="1037"/>
      <c r="DR218" s="1037"/>
      <c r="DS218" s="1037"/>
      <c r="DT218" s="1037"/>
      <c r="DU218" s="1037"/>
      <c r="DV218" s="1037"/>
      <c r="DW218" s="1037"/>
      <c r="DX218" s="1037"/>
      <c r="DY218" s="1037"/>
      <c r="DZ218" s="1037"/>
      <c r="EA218" s="1037"/>
      <c r="EB218" s="1037"/>
      <c r="EC218" s="1037"/>
      <c r="ED218" s="1037"/>
      <c r="EE218" s="1037"/>
      <c r="EF218" s="1037"/>
      <c r="EG218" s="1037"/>
      <c r="EH218" s="1037"/>
      <c r="EI218" s="1037"/>
      <c r="EJ218" s="1037"/>
      <c r="EK218" s="1037"/>
      <c r="EL218" s="1037"/>
      <c r="EM218" s="1037"/>
      <c r="EN218" s="1037"/>
      <c r="EO218" s="1037"/>
      <c r="EP218" s="1037"/>
      <c r="EQ218" s="1037"/>
      <c r="ER218" s="1037"/>
      <c r="ES218" s="1037"/>
      <c r="ET218" s="1037"/>
      <c r="EU218" s="1037"/>
      <c r="EV218" s="1037"/>
      <c r="EW218" s="1037"/>
      <c r="EX218" s="1037"/>
      <c r="EY218" s="1037"/>
      <c r="EZ218" s="1037"/>
      <c r="FA218" s="1037"/>
      <c r="FB218" s="1037"/>
      <c r="FC218" s="1037"/>
      <c r="FD218" s="1037"/>
      <c r="FE218" s="1037"/>
      <c r="FF218" s="1037"/>
      <c r="FG218" s="1037"/>
      <c r="FH218" s="1037"/>
      <c r="FI218" s="1037"/>
      <c r="FJ218" s="1037"/>
      <c r="FK218" s="1037"/>
      <c r="FL218" s="1037"/>
      <c r="FM218" s="1037"/>
      <c r="FN218" s="1037"/>
      <c r="FO218" s="1037"/>
      <c r="FP218" s="1037"/>
      <c r="FQ218" s="1037"/>
      <c r="FR218" s="1037"/>
      <c r="FS218" s="1037"/>
      <c r="FT218" s="1037"/>
      <c r="FU218" s="1037"/>
      <c r="FV218" s="1037"/>
      <c r="FW218" s="1037"/>
      <c r="FX218" s="1037"/>
      <c r="FY218" s="1037"/>
      <c r="FZ218" s="1037"/>
      <c r="GA218" s="1037"/>
      <c r="GB218" s="1037"/>
      <c r="GC218" s="1037"/>
      <c r="GD218" s="1037"/>
      <c r="GE218" s="1037"/>
      <c r="GF218" s="1037"/>
      <c r="GG218" s="1037"/>
      <c r="GH218" s="1037"/>
      <c r="GI218" s="1037"/>
      <c r="GJ218" s="1037"/>
      <c r="GK218" s="1037"/>
      <c r="GL218" s="1037"/>
      <c r="GM218" s="1037"/>
      <c r="GN218" s="1037"/>
      <c r="GO218" s="1037"/>
      <c r="GP218" s="1037"/>
      <c r="GQ218" s="1037"/>
      <c r="GR218" s="1037"/>
      <c r="GS218" s="1037"/>
      <c r="GT218" s="1037"/>
      <c r="GU218" s="1037"/>
      <c r="GV218" s="1037"/>
      <c r="GW218" s="1037"/>
      <c r="GX218" s="1037"/>
      <c r="GY218" s="1037"/>
      <c r="GZ218" s="1037"/>
      <c r="HA218" s="1037"/>
      <c r="HB218" s="1037"/>
      <c r="HC218" s="1037"/>
      <c r="HD218" s="1037"/>
      <c r="HE218" s="1037"/>
      <c r="HF218" s="1037"/>
      <c r="HG218" s="1037"/>
      <c r="HH218" s="1037"/>
      <c r="HI218" s="1037"/>
      <c r="HJ218" s="1037"/>
      <c r="HK218" s="1037"/>
      <c r="HL218" s="1037"/>
      <c r="HM218" s="1037"/>
      <c r="HN218" s="1037"/>
      <c r="HO218" s="1037"/>
      <c r="HP218" s="1037"/>
      <c r="HQ218" s="1037"/>
      <c r="HR218" s="1037"/>
      <c r="HS218" s="1037"/>
      <c r="HT218" s="1037"/>
      <c r="HU218" s="1037"/>
      <c r="HV218" s="1037"/>
      <c r="HW218" s="1037"/>
      <c r="HX218" s="1037"/>
      <c r="HY218" s="1037"/>
      <c r="HZ218" s="1037"/>
      <c r="IA218" s="1037"/>
      <c r="IB218" s="1037"/>
      <c r="IC218" s="1037"/>
      <c r="ID218" s="1037"/>
      <c r="IE218" s="1037"/>
      <c r="IF218" s="1037"/>
      <c r="IG218" s="1037"/>
      <c r="IH218" s="1037"/>
      <c r="II218" s="1037"/>
      <c r="IJ218" s="1037"/>
      <c r="IK218" s="1037"/>
      <c r="IL218" s="1037"/>
      <c r="IM218" s="1037"/>
      <c r="IN218" s="1037"/>
    </row>
    <row r="219" spans="1:248">
      <c r="A219" s="701" t="s">
        <v>19</v>
      </c>
      <c r="B219" s="703">
        <v>3613.2</v>
      </c>
      <c r="C219" s="703">
        <f t="shared" si="29"/>
        <v>28.896353166986561</v>
      </c>
      <c r="D219" s="704">
        <v>3330.2</v>
      </c>
      <c r="E219" s="1038">
        <f t="shared" si="30"/>
        <v>26.633077415227124</v>
      </c>
      <c r="F219" s="1038">
        <f t="shared" si="31"/>
        <v>283</v>
      </c>
      <c r="G219" s="1038">
        <f t="shared" si="28"/>
        <v>2.2632757517594371</v>
      </c>
      <c r="H219" s="390">
        <v>12504</v>
      </c>
      <c r="I219" s="1037"/>
      <c r="J219" s="1037"/>
      <c r="K219" s="1037"/>
      <c r="L219" s="1037"/>
      <c r="M219" s="1037"/>
      <c r="N219" s="1037"/>
      <c r="O219" s="1037"/>
      <c r="P219" s="1037"/>
      <c r="Q219" s="1037"/>
      <c r="R219" s="1037"/>
      <c r="S219" s="1037"/>
      <c r="T219" s="1037"/>
      <c r="U219" s="1037"/>
      <c r="V219" s="1037"/>
      <c r="W219" s="1037"/>
      <c r="X219" s="1037"/>
      <c r="Y219" s="1037"/>
      <c r="Z219" s="1037"/>
      <c r="AA219" s="1037"/>
      <c r="AB219" s="1037"/>
      <c r="AC219" s="1037"/>
      <c r="AD219" s="1037"/>
      <c r="AE219" s="1037"/>
      <c r="AF219" s="1037"/>
      <c r="AG219" s="1037"/>
      <c r="AH219" s="1037"/>
      <c r="AI219" s="1037"/>
      <c r="AJ219" s="1037"/>
      <c r="AK219" s="1037"/>
      <c r="AL219" s="1037"/>
      <c r="AM219" s="1037"/>
      <c r="AN219" s="1037"/>
      <c r="AO219" s="1037"/>
      <c r="AP219" s="1037"/>
      <c r="AQ219" s="1037"/>
      <c r="AR219" s="1037"/>
      <c r="AS219" s="1037"/>
      <c r="AT219" s="1037"/>
      <c r="AU219" s="1037"/>
      <c r="AV219" s="1037"/>
      <c r="AW219" s="1037"/>
      <c r="AX219" s="1037"/>
      <c r="AY219" s="1037"/>
      <c r="AZ219" s="1037"/>
      <c r="BA219" s="1037"/>
      <c r="BB219" s="1037"/>
      <c r="BC219" s="1037"/>
      <c r="BD219" s="1037"/>
      <c r="BE219" s="1037"/>
      <c r="BF219" s="1037"/>
      <c r="BG219" s="1037"/>
      <c r="BH219" s="1037"/>
      <c r="BI219" s="1037"/>
      <c r="BJ219" s="1037"/>
      <c r="BK219" s="1037"/>
      <c r="BL219" s="1037"/>
      <c r="BM219" s="1037"/>
      <c r="BN219" s="1037"/>
      <c r="BO219" s="1037"/>
      <c r="BP219" s="1037"/>
      <c r="BQ219" s="1037"/>
      <c r="BR219" s="1037"/>
      <c r="BS219" s="1037"/>
      <c r="BT219" s="1037"/>
      <c r="BU219" s="1037"/>
      <c r="BV219" s="1037"/>
      <c r="BW219" s="1037"/>
      <c r="BX219" s="1037"/>
      <c r="BY219" s="1037"/>
      <c r="BZ219" s="1037"/>
      <c r="CA219" s="1037"/>
      <c r="CB219" s="1037"/>
      <c r="CC219" s="1037"/>
      <c r="CD219" s="1037"/>
      <c r="CE219" s="1037"/>
      <c r="CF219" s="1037"/>
      <c r="CG219" s="1037"/>
      <c r="CH219" s="1037"/>
      <c r="CI219" s="1037"/>
      <c r="CJ219" s="1037"/>
      <c r="CK219" s="1037"/>
      <c r="CL219" s="1037"/>
      <c r="CM219" s="1037"/>
      <c r="CN219" s="1037"/>
      <c r="CO219" s="1037"/>
      <c r="CP219" s="1037"/>
      <c r="CQ219" s="1037"/>
      <c r="CR219" s="1037"/>
      <c r="CS219" s="1037"/>
      <c r="CT219" s="1037"/>
      <c r="CU219" s="1037"/>
      <c r="CV219" s="1037"/>
      <c r="CW219" s="1037"/>
      <c r="CX219" s="1037"/>
      <c r="CY219" s="1037"/>
      <c r="CZ219" s="1037"/>
      <c r="DA219" s="1037"/>
      <c r="DB219" s="1037"/>
      <c r="DC219" s="1037"/>
      <c r="DD219" s="1037"/>
      <c r="DE219" s="1037"/>
      <c r="DF219" s="1037"/>
      <c r="DG219" s="1037"/>
      <c r="DH219" s="1037"/>
      <c r="DI219" s="1037"/>
      <c r="DJ219" s="1037"/>
      <c r="DK219" s="1037"/>
      <c r="DL219" s="1037"/>
      <c r="DM219" s="1037"/>
      <c r="DN219" s="1037"/>
      <c r="DO219" s="1037"/>
      <c r="DP219" s="1037"/>
      <c r="DQ219" s="1037"/>
      <c r="DR219" s="1037"/>
      <c r="DS219" s="1037"/>
      <c r="DT219" s="1037"/>
      <c r="DU219" s="1037"/>
      <c r="DV219" s="1037"/>
      <c r="DW219" s="1037"/>
      <c r="DX219" s="1037"/>
      <c r="DY219" s="1037"/>
      <c r="DZ219" s="1037"/>
      <c r="EA219" s="1037"/>
      <c r="EB219" s="1037"/>
      <c r="EC219" s="1037"/>
      <c r="ED219" s="1037"/>
      <c r="EE219" s="1037"/>
      <c r="EF219" s="1037"/>
      <c r="EG219" s="1037"/>
      <c r="EH219" s="1037"/>
      <c r="EI219" s="1037"/>
      <c r="EJ219" s="1037"/>
      <c r="EK219" s="1037"/>
      <c r="EL219" s="1037"/>
      <c r="EM219" s="1037"/>
      <c r="EN219" s="1037"/>
      <c r="EO219" s="1037"/>
      <c r="EP219" s="1037"/>
      <c r="EQ219" s="1037"/>
      <c r="ER219" s="1037"/>
      <c r="ES219" s="1037"/>
      <c r="ET219" s="1037"/>
      <c r="EU219" s="1037"/>
      <c r="EV219" s="1037"/>
      <c r="EW219" s="1037"/>
      <c r="EX219" s="1037"/>
      <c r="EY219" s="1037"/>
      <c r="EZ219" s="1037"/>
      <c r="FA219" s="1037"/>
      <c r="FB219" s="1037"/>
      <c r="FC219" s="1037"/>
      <c r="FD219" s="1037"/>
      <c r="FE219" s="1037"/>
      <c r="FF219" s="1037"/>
      <c r="FG219" s="1037"/>
      <c r="FH219" s="1037"/>
      <c r="FI219" s="1037"/>
      <c r="FJ219" s="1037"/>
      <c r="FK219" s="1037"/>
      <c r="FL219" s="1037"/>
      <c r="FM219" s="1037"/>
      <c r="FN219" s="1037"/>
      <c r="FO219" s="1037"/>
      <c r="FP219" s="1037"/>
      <c r="FQ219" s="1037"/>
      <c r="FR219" s="1037"/>
      <c r="FS219" s="1037"/>
      <c r="FT219" s="1037"/>
      <c r="FU219" s="1037"/>
      <c r="FV219" s="1037"/>
      <c r="FW219" s="1037"/>
      <c r="FX219" s="1037"/>
      <c r="FY219" s="1037"/>
      <c r="FZ219" s="1037"/>
      <c r="GA219" s="1037"/>
      <c r="GB219" s="1037"/>
      <c r="GC219" s="1037"/>
      <c r="GD219" s="1037"/>
      <c r="GE219" s="1037"/>
      <c r="GF219" s="1037"/>
      <c r="GG219" s="1037"/>
      <c r="GH219" s="1037"/>
      <c r="GI219" s="1037"/>
      <c r="GJ219" s="1037"/>
      <c r="GK219" s="1037"/>
      <c r="GL219" s="1037"/>
      <c r="GM219" s="1037"/>
      <c r="GN219" s="1037"/>
      <c r="GO219" s="1037"/>
      <c r="GP219" s="1037"/>
      <c r="GQ219" s="1037"/>
      <c r="GR219" s="1037"/>
      <c r="GS219" s="1037"/>
      <c r="GT219" s="1037"/>
      <c r="GU219" s="1037"/>
      <c r="GV219" s="1037"/>
      <c r="GW219" s="1037"/>
      <c r="GX219" s="1037"/>
      <c r="GY219" s="1037"/>
      <c r="GZ219" s="1037"/>
      <c r="HA219" s="1037"/>
      <c r="HB219" s="1037"/>
      <c r="HC219" s="1037"/>
      <c r="HD219" s="1037"/>
      <c r="HE219" s="1037"/>
      <c r="HF219" s="1037"/>
      <c r="HG219" s="1037"/>
      <c r="HH219" s="1037"/>
      <c r="HI219" s="1037"/>
      <c r="HJ219" s="1037"/>
      <c r="HK219" s="1037"/>
      <c r="HL219" s="1037"/>
      <c r="HM219" s="1037"/>
      <c r="HN219" s="1037"/>
      <c r="HO219" s="1037"/>
      <c r="HP219" s="1037"/>
      <c r="HQ219" s="1037"/>
      <c r="HR219" s="1037"/>
      <c r="HS219" s="1037"/>
      <c r="HT219" s="1037"/>
      <c r="HU219" s="1037"/>
      <c r="HV219" s="1037"/>
      <c r="HW219" s="1037"/>
      <c r="HX219" s="1037"/>
      <c r="HY219" s="1037"/>
      <c r="HZ219" s="1037"/>
      <c r="IA219" s="1037"/>
      <c r="IB219" s="1037"/>
      <c r="IC219" s="1037"/>
      <c r="ID219" s="1037"/>
      <c r="IE219" s="1037"/>
      <c r="IF219" s="1037"/>
      <c r="IG219" s="1037"/>
      <c r="IH219" s="1037"/>
      <c r="II219" s="1037"/>
      <c r="IJ219" s="1037"/>
      <c r="IK219" s="1037"/>
      <c r="IL219" s="1037"/>
      <c r="IM219" s="1037"/>
      <c r="IN219" s="1037"/>
    </row>
    <row r="220" spans="1:248">
      <c r="A220" s="701" t="s">
        <v>20</v>
      </c>
      <c r="B220" s="703">
        <v>7810.9</v>
      </c>
      <c r="C220" s="703">
        <f t="shared" si="29"/>
        <v>43.567918518973009</v>
      </c>
      <c r="D220" s="704">
        <v>5254.8</v>
      </c>
      <c r="E220" s="1038">
        <f t="shared" si="30"/>
        <v>29.310412146295484</v>
      </c>
      <c r="F220" s="1038">
        <f t="shared" si="31"/>
        <v>2556.0999999999995</v>
      </c>
      <c r="G220" s="1038">
        <f t="shared" ref="G220:G229" si="32">F220/H220*100</f>
        <v>14.257506372677527</v>
      </c>
      <c r="H220" s="390">
        <v>17928.099999999999</v>
      </c>
      <c r="I220" s="1037"/>
      <c r="J220" s="1037"/>
      <c r="K220" s="1037"/>
      <c r="L220" s="1037"/>
      <c r="M220" s="1037"/>
      <c r="N220" s="1037"/>
      <c r="O220" s="1037"/>
      <c r="P220" s="1037"/>
      <c r="Q220" s="1037"/>
      <c r="R220" s="1037"/>
      <c r="S220" s="1037"/>
      <c r="T220" s="1037"/>
      <c r="U220" s="1037"/>
      <c r="V220" s="1037"/>
      <c r="W220" s="1037"/>
      <c r="X220" s="1037"/>
      <c r="Y220" s="1037"/>
      <c r="Z220" s="1037"/>
      <c r="AA220" s="1037"/>
      <c r="AB220" s="1037"/>
      <c r="AC220" s="1037"/>
      <c r="AD220" s="1037"/>
      <c r="AE220" s="1037"/>
      <c r="AF220" s="1037"/>
      <c r="AG220" s="1037"/>
      <c r="AH220" s="1037"/>
      <c r="AI220" s="1037"/>
      <c r="AJ220" s="1037"/>
      <c r="AK220" s="1037"/>
      <c r="AL220" s="1037"/>
      <c r="AM220" s="1037"/>
      <c r="AN220" s="1037"/>
      <c r="AO220" s="1037"/>
      <c r="AP220" s="1037"/>
      <c r="AQ220" s="1037"/>
      <c r="AR220" s="1037"/>
      <c r="AS220" s="1037"/>
      <c r="AT220" s="1037"/>
      <c r="AU220" s="1037"/>
      <c r="AV220" s="1037"/>
      <c r="AW220" s="1037"/>
      <c r="AX220" s="1037"/>
      <c r="AY220" s="1037"/>
      <c r="AZ220" s="1037"/>
      <c r="BA220" s="1037"/>
      <c r="BB220" s="1037"/>
      <c r="BC220" s="1037"/>
      <c r="BD220" s="1037"/>
      <c r="BE220" s="1037"/>
      <c r="BF220" s="1037"/>
      <c r="BG220" s="1037"/>
      <c r="BH220" s="1037"/>
      <c r="BI220" s="1037"/>
      <c r="BJ220" s="1037"/>
      <c r="BK220" s="1037"/>
      <c r="BL220" s="1037"/>
      <c r="BM220" s="1037"/>
      <c r="BN220" s="1037"/>
      <c r="BO220" s="1037"/>
      <c r="BP220" s="1037"/>
      <c r="BQ220" s="1037"/>
      <c r="BR220" s="1037"/>
      <c r="BS220" s="1037"/>
      <c r="BT220" s="1037"/>
      <c r="BU220" s="1037"/>
      <c r="BV220" s="1037"/>
      <c r="BW220" s="1037"/>
      <c r="BX220" s="1037"/>
      <c r="BY220" s="1037"/>
      <c r="BZ220" s="1037"/>
      <c r="CA220" s="1037"/>
      <c r="CB220" s="1037"/>
      <c r="CC220" s="1037"/>
      <c r="CD220" s="1037"/>
      <c r="CE220" s="1037"/>
      <c r="CF220" s="1037"/>
      <c r="CG220" s="1037"/>
      <c r="CH220" s="1037"/>
      <c r="CI220" s="1037"/>
      <c r="CJ220" s="1037"/>
      <c r="CK220" s="1037"/>
      <c r="CL220" s="1037"/>
      <c r="CM220" s="1037"/>
      <c r="CN220" s="1037"/>
      <c r="CO220" s="1037"/>
      <c r="CP220" s="1037"/>
      <c r="CQ220" s="1037"/>
      <c r="CR220" s="1037"/>
      <c r="CS220" s="1037"/>
      <c r="CT220" s="1037"/>
      <c r="CU220" s="1037"/>
      <c r="CV220" s="1037"/>
      <c r="CW220" s="1037"/>
      <c r="CX220" s="1037"/>
      <c r="CY220" s="1037"/>
      <c r="CZ220" s="1037"/>
      <c r="DA220" s="1037"/>
      <c r="DB220" s="1037"/>
      <c r="DC220" s="1037"/>
      <c r="DD220" s="1037"/>
      <c r="DE220" s="1037"/>
      <c r="DF220" s="1037"/>
      <c r="DG220" s="1037"/>
      <c r="DH220" s="1037"/>
      <c r="DI220" s="1037"/>
      <c r="DJ220" s="1037"/>
      <c r="DK220" s="1037"/>
      <c r="DL220" s="1037"/>
      <c r="DM220" s="1037"/>
      <c r="DN220" s="1037"/>
      <c r="DO220" s="1037"/>
      <c r="DP220" s="1037"/>
      <c r="DQ220" s="1037"/>
      <c r="DR220" s="1037"/>
      <c r="DS220" s="1037"/>
      <c r="DT220" s="1037"/>
      <c r="DU220" s="1037"/>
      <c r="DV220" s="1037"/>
      <c r="DW220" s="1037"/>
      <c r="DX220" s="1037"/>
      <c r="DY220" s="1037"/>
      <c r="DZ220" s="1037"/>
      <c r="EA220" s="1037"/>
      <c r="EB220" s="1037"/>
      <c r="EC220" s="1037"/>
      <c r="ED220" s="1037"/>
      <c r="EE220" s="1037"/>
      <c r="EF220" s="1037"/>
      <c r="EG220" s="1037"/>
      <c r="EH220" s="1037"/>
      <c r="EI220" s="1037"/>
      <c r="EJ220" s="1037"/>
      <c r="EK220" s="1037"/>
      <c r="EL220" s="1037"/>
      <c r="EM220" s="1037"/>
      <c r="EN220" s="1037"/>
      <c r="EO220" s="1037"/>
      <c r="EP220" s="1037"/>
      <c r="EQ220" s="1037"/>
      <c r="ER220" s="1037"/>
      <c r="ES220" s="1037"/>
      <c r="ET220" s="1037"/>
      <c r="EU220" s="1037"/>
      <c r="EV220" s="1037"/>
      <c r="EW220" s="1037"/>
      <c r="EX220" s="1037"/>
      <c r="EY220" s="1037"/>
      <c r="EZ220" s="1037"/>
      <c r="FA220" s="1037"/>
      <c r="FB220" s="1037"/>
      <c r="FC220" s="1037"/>
      <c r="FD220" s="1037"/>
      <c r="FE220" s="1037"/>
      <c r="FF220" s="1037"/>
      <c r="FG220" s="1037"/>
      <c r="FH220" s="1037"/>
      <c r="FI220" s="1037"/>
      <c r="FJ220" s="1037"/>
      <c r="FK220" s="1037"/>
      <c r="FL220" s="1037"/>
      <c r="FM220" s="1037"/>
      <c r="FN220" s="1037"/>
      <c r="FO220" s="1037"/>
      <c r="FP220" s="1037"/>
      <c r="FQ220" s="1037"/>
      <c r="FR220" s="1037"/>
      <c r="FS220" s="1037"/>
      <c r="FT220" s="1037"/>
      <c r="FU220" s="1037"/>
      <c r="FV220" s="1037"/>
      <c r="FW220" s="1037"/>
      <c r="FX220" s="1037"/>
      <c r="FY220" s="1037"/>
      <c r="FZ220" s="1037"/>
      <c r="GA220" s="1037"/>
      <c r="GB220" s="1037"/>
      <c r="GC220" s="1037"/>
      <c r="GD220" s="1037"/>
      <c r="GE220" s="1037"/>
      <c r="GF220" s="1037"/>
      <c r="GG220" s="1037"/>
      <c r="GH220" s="1037"/>
      <c r="GI220" s="1037"/>
      <c r="GJ220" s="1037"/>
      <c r="GK220" s="1037"/>
      <c r="GL220" s="1037"/>
      <c r="GM220" s="1037"/>
      <c r="GN220" s="1037"/>
      <c r="GO220" s="1037"/>
      <c r="GP220" s="1037"/>
      <c r="GQ220" s="1037"/>
      <c r="GR220" s="1037"/>
      <c r="GS220" s="1037"/>
      <c r="GT220" s="1037"/>
      <c r="GU220" s="1037"/>
      <c r="GV220" s="1037"/>
      <c r="GW220" s="1037"/>
      <c r="GX220" s="1037"/>
      <c r="GY220" s="1037"/>
      <c r="GZ220" s="1037"/>
      <c r="HA220" s="1037"/>
      <c r="HB220" s="1037"/>
      <c r="HC220" s="1037"/>
      <c r="HD220" s="1037"/>
      <c r="HE220" s="1037"/>
      <c r="HF220" s="1037"/>
      <c r="HG220" s="1037"/>
      <c r="HH220" s="1037"/>
      <c r="HI220" s="1037"/>
      <c r="HJ220" s="1037"/>
      <c r="HK220" s="1037"/>
      <c r="HL220" s="1037"/>
      <c r="HM220" s="1037"/>
      <c r="HN220" s="1037"/>
      <c r="HO220" s="1037"/>
      <c r="HP220" s="1037"/>
      <c r="HQ220" s="1037"/>
      <c r="HR220" s="1037"/>
      <c r="HS220" s="1037"/>
      <c r="HT220" s="1037"/>
      <c r="HU220" s="1037"/>
      <c r="HV220" s="1037"/>
      <c r="HW220" s="1037"/>
      <c r="HX220" s="1037"/>
      <c r="HY220" s="1037"/>
      <c r="HZ220" s="1037"/>
      <c r="IA220" s="1037"/>
      <c r="IB220" s="1037"/>
      <c r="IC220" s="1037"/>
      <c r="ID220" s="1037"/>
      <c r="IE220" s="1037"/>
      <c r="IF220" s="1037"/>
      <c r="IG220" s="1037"/>
      <c r="IH220" s="1037"/>
      <c r="II220" s="1037"/>
      <c r="IJ220" s="1037"/>
      <c r="IK220" s="1037"/>
      <c r="IL220" s="1037"/>
      <c r="IM220" s="1037"/>
      <c r="IN220" s="1037"/>
    </row>
    <row r="221" spans="1:248">
      <c r="A221" s="701" t="s">
        <v>21</v>
      </c>
      <c r="B221" s="703">
        <v>9574.2000000000007</v>
      </c>
      <c r="C221" s="703">
        <f t="shared" si="29"/>
        <v>42.2254564699656</v>
      </c>
      <c r="D221" s="704">
        <v>7267.7</v>
      </c>
      <c r="E221" s="1038">
        <f t="shared" si="30"/>
        <v>32.053012260739173</v>
      </c>
      <c r="F221" s="1038">
        <f t="shared" si="31"/>
        <v>2306.5000000000009</v>
      </c>
      <c r="G221" s="1038">
        <f t="shared" si="32"/>
        <v>10.17244420922643</v>
      </c>
      <c r="H221" s="464">
        <v>22674</v>
      </c>
      <c r="I221" s="1037"/>
      <c r="J221" s="1037"/>
      <c r="K221" s="1037"/>
      <c r="L221" s="1037"/>
      <c r="M221" s="1037"/>
      <c r="N221" s="1037"/>
      <c r="O221" s="1037"/>
      <c r="P221" s="1037"/>
      <c r="Q221" s="1037"/>
      <c r="R221" s="1037"/>
      <c r="S221" s="1037"/>
      <c r="T221" s="1037"/>
      <c r="U221" s="1037"/>
      <c r="V221" s="1037"/>
      <c r="W221" s="1037"/>
      <c r="X221" s="1037"/>
      <c r="Y221" s="1037"/>
      <c r="Z221" s="1037"/>
      <c r="AA221" s="1037"/>
      <c r="AB221" s="1037"/>
      <c r="AC221" s="1037"/>
      <c r="AD221" s="1037"/>
      <c r="AE221" s="1037"/>
      <c r="AF221" s="1037"/>
      <c r="AG221" s="1037"/>
      <c r="AH221" s="1037"/>
      <c r="AI221" s="1037"/>
      <c r="AJ221" s="1037"/>
      <c r="AK221" s="1037"/>
      <c r="AL221" s="1037"/>
      <c r="AM221" s="1037"/>
      <c r="AN221" s="1037"/>
      <c r="AO221" s="1037"/>
      <c r="AP221" s="1037"/>
      <c r="AQ221" s="1037"/>
      <c r="AR221" s="1037"/>
      <c r="AS221" s="1037"/>
      <c r="AT221" s="1037"/>
      <c r="AU221" s="1037"/>
      <c r="AV221" s="1037"/>
      <c r="AW221" s="1037"/>
      <c r="AX221" s="1037"/>
      <c r="AY221" s="1037"/>
      <c r="AZ221" s="1037"/>
      <c r="BA221" s="1037"/>
      <c r="BB221" s="1037"/>
      <c r="BC221" s="1037"/>
      <c r="BD221" s="1037"/>
      <c r="BE221" s="1037"/>
      <c r="BF221" s="1037"/>
      <c r="BG221" s="1037"/>
      <c r="BH221" s="1037"/>
      <c r="BI221" s="1037"/>
      <c r="BJ221" s="1037"/>
      <c r="BK221" s="1037"/>
      <c r="BL221" s="1037"/>
      <c r="BM221" s="1037"/>
      <c r="BN221" s="1037"/>
      <c r="BO221" s="1037"/>
      <c r="BP221" s="1037"/>
      <c r="BQ221" s="1037"/>
      <c r="BR221" s="1037"/>
      <c r="BS221" s="1037"/>
      <c r="BT221" s="1037"/>
      <c r="BU221" s="1037"/>
      <c r="BV221" s="1037"/>
      <c r="BW221" s="1037"/>
      <c r="BX221" s="1037"/>
      <c r="BY221" s="1037"/>
      <c r="BZ221" s="1037"/>
      <c r="CA221" s="1037"/>
      <c r="CB221" s="1037"/>
      <c r="CC221" s="1037"/>
      <c r="CD221" s="1037"/>
      <c r="CE221" s="1037"/>
      <c r="CF221" s="1037"/>
      <c r="CG221" s="1037"/>
      <c r="CH221" s="1037"/>
      <c r="CI221" s="1037"/>
      <c r="CJ221" s="1037"/>
      <c r="CK221" s="1037"/>
      <c r="CL221" s="1037"/>
      <c r="CM221" s="1037"/>
      <c r="CN221" s="1037"/>
      <c r="CO221" s="1037"/>
      <c r="CP221" s="1037"/>
      <c r="CQ221" s="1037"/>
      <c r="CR221" s="1037"/>
      <c r="CS221" s="1037"/>
      <c r="CT221" s="1037"/>
      <c r="CU221" s="1037"/>
      <c r="CV221" s="1037"/>
      <c r="CW221" s="1037"/>
      <c r="CX221" s="1037"/>
      <c r="CY221" s="1037"/>
      <c r="CZ221" s="1037"/>
      <c r="DA221" s="1037"/>
      <c r="DB221" s="1037"/>
      <c r="DC221" s="1037"/>
      <c r="DD221" s="1037"/>
      <c r="DE221" s="1037"/>
      <c r="DF221" s="1037"/>
      <c r="DG221" s="1037"/>
      <c r="DH221" s="1037"/>
      <c r="DI221" s="1037"/>
      <c r="DJ221" s="1037"/>
      <c r="DK221" s="1037"/>
      <c r="DL221" s="1037"/>
      <c r="DM221" s="1037"/>
      <c r="DN221" s="1037"/>
      <c r="DO221" s="1037"/>
      <c r="DP221" s="1037"/>
      <c r="DQ221" s="1037"/>
      <c r="DR221" s="1037"/>
      <c r="DS221" s="1037"/>
      <c r="DT221" s="1037"/>
      <c r="DU221" s="1037"/>
      <c r="DV221" s="1037"/>
      <c r="DW221" s="1037"/>
      <c r="DX221" s="1037"/>
      <c r="DY221" s="1037"/>
      <c r="DZ221" s="1037"/>
      <c r="EA221" s="1037"/>
      <c r="EB221" s="1037"/>
      <c r="EC221" s="1037"/>
      <c r="ED221" s="1037"/>
      <c r="EE221" s="1037"/>
      <c r="EF221" s="1037"/>
      <c r="EG221" s="1037"/>
      <c r="EH221" s="1037"/>
      <c r="EI221" s="1037"/>
      <c r="EJ221" s="1037"/>
      <c r="EK221" s="1037"/>
      <c r="EL221" s="1037"/>
      <c r="EM221" s="1037"/>
      <c r="EN221" s="1037"/>
      <c r="EO221" s="1037"/>
      <c r="EP221" s="1037"/>
      <c r="EQ221" s="1037"/>
      <c r="ER221" s="1037"/>
      <c r="ES221" s="1037"/>
      <c r="ET221" s="1037"/>
      <c r="EU221" s="1037"/>
      <c r="EV221" s="1037"/>
      <c r="EW221" s="1037"/>
      <c r="EX221" s="1037"/>
      <c r="EY221" s="1037"/>
      <c r="EZ221" s="1037"/>
      <c r="FA221" s="1037"/>
      <c r="FB221" s="1037"/>
      <c r="FC221" s="1037"/>
      <c r="FD221" s="1037"/>
      <c r="FE221" s="1037"/>
      <c r="FF221" s="1037"/>
      <c r="FG221" s="1037"/>
      <c r="FH221" s="1037"/>
      <c r="FI221" s="1037"/>
      <c r="FJ221" s="1037"/>
      <c r="FK221" s="1037"/>
      <c r="FL221" s="1037"/>
      <c r="FM221" s="1037"/>
      <c r="FN221" s="1037"/>
      <c r="FO221" s="1037"/>
      <c r="FP221" s="1037"/>
      <c r="FQ221" s="1037"/>
      <c r="FR221" s="1037"/>
      <c r="FS221" s="1037"/>
      <c r="FT221" s="1037"/>
      <c r="FU221" s="1037"/>
      <c r="FV221" s="1037"/>
      <c r="FW221" s="1037"/>
      <c r="FX221" s="1037"/>
      <c r="FY221" s="1037"/>
      <c r="FZ221" s="1037"/>
      <c r="GA221" s="1037"/>
      <c r="GB221" s="1037"/>
      <c r="GC221" s="1037"/>
      <c r="GD221" s="1037"/>
      <c r="GE221" s="1037"/>
      <c r="GF221" s="1037"/>
      <c r="GG221" s="1037"/>
      <c r="GH221" s="1037"/>
      <c r="GI221" s="1037"/>
      <c r="GJ221" s="1037"/>
      <c r="GK221" s="1037"/>
      <c r="GL221" s="1037"/>
      <c r="GM221" s="1037"/>
      <c r="GN221" s="1037"/>
      <c r="GO221" s="1037"/>
      <c r="GP221" s="1037"/>
      <c r="GQ221" s="1037"/>
      <c r="GR221" s="1037"/>
      <c r="GS221" s="1037"/>
      <c r="GT221" s="1037"/>
      <c r="GU221" s="1037"/>
      <c r="GV221" s="1037"/>
      <c r="GW221" s="1037"/>
      <c r="GX221" s="1037"/>
      <c r="GY221" s="1037"/>
      <c r="GZ221" s="1037"/>
      <c r="HA221" s="1037"/>
      <c r="HB221" s="1037"/>
      <c r="HC221" s="1037"/>
      <c r="HD221" s="1037"/>
      <c r="HE221" s="1037"/>
      <c r="HF221" s="1037"/>
      <c r="HG221" s="1037"/>
      <c r="HH221" s="1037"/>
      <c r="HI221" s="1037"/>
      <c r="HJ221" s="1037"/>
      <c r="HK221" s="1037"/>
      <c r="HL221" s="1037"/>
      <c r="HM221" s="1037"/>
      <c r="HN221" s="1037"/>
      <c r="HO221" s="1037"/>
      <c r="HP221" s="1037"/>
      <c r="HQ221" s="1037"/>
      <c r="HR221" s="1037"/>
      <c r="HS221" s="1037"/>
      <c r="HT221" s="1037"/>
      <c r="HU221" s="1037"/>
      <c r="HV221" s="1037"/>
      <c r="HW221" s="1037"/>
      <c r="HX221" s="1037"/>
      <c r="HY221" s="1037"/>
      <c r="HZ221" s="1037"/>
      <c r="IA221" s="1037"/>
      <c r="IB221" s="1037"/>
      <c r="IC221" s="1037"/>
      <c r="ID221" s="1037"/>
      <c r="IE221" s="1037"/>
      <c r="IF221" s="1037"/>
      <c r="IG221" s="1037"/>
      <c r="IH221" s="1037"/>
      <c r="II221" s="1037"/>
      <c r="IJ221" s="1037"/>
      <c r="IK221" s="1037"/>
      <c r="IL221" s="1037"/>
      <c r="IM221" s="1037"/>
      <c r="IN221" s="1037"/>
    </row>
    <row r="222" spans="1:248">
      <c r="A222" s="701" t="s">
        <v>22</v>
      </c>
      <c r="B222" s="703">
        <v>10527.5</v>
      </c>
      <c r="C222" s="703">
        <f t="shared" si="29"/>
        <v>38.087089281708792</v>
      </c>
      <c r="D222" s="704">
        <v>9392.2000000000007</v>
      </c>
      <c r="E222" s="1038">
        <f t="shared" si="30"/>
        <v>33.979725476292124</v>
      </c>
      <c r="F222" s="1038">
        <f t="shared" si="31"/>
        <v>1135.2999999999993</v>
      </c>
      <c r="G222" s="1038">
        <f t="shared" si="32"/>
        <v>4.107363805416667</v>
      </c>
      <c r="H222" s="464">
        <v>27640.6</v>
      </c>
      <c r="I222" s="1037"/>
      <c r="J222" s="1037"/>
      <c r="K222" s="1037"/>
      <c r="L222" s="1037"/>
      <c r="M222" s="1037"/>
      <c r="N222" s="1037"/>
      <c r="O222" s="1037"/>
      <c r="P222" s="1037"/>
      <c r="Q222" s="1037"/>
      <c r="R222" s="1037"/>
      <c r="S222" s="1037"/>
      <c r="T222" s="1037"/>
      <c r="U222" s="1037"/>
      <c r="V222" s="1037"/>
      <c r="W222" s="1037"/>
      <c r="X222" s="1037"/>
      <c r="Y222" s="1037"/>
      <c r="Z222" s="1037"/>
      <c r="AA222" s="1037"/>
      <c r="AB222" s="1037"/>
      <c r="AC222" s="1037"/>
      <c r="AD222" s="1037"/>
      <c r="AE222" s="1037"/>
      <c r="AF222" s="1037"/>
      <c r="AG222" s="1037"/>
      <c r="AH222" s="1037"/>
      <c r="AI222" s="1037"/>
      <c r="AJ222" s="1037"/>
      <c r="AK222" s="1037"/>
      <c r="AL222" s="1037"/>
      <c r="AM222" s="1037"/>
      <c r="AN222" s="1037"/>
      <c r="AO222" s="1037"/>
      <c r="AP222" s="1037"/>
      <c r="AQ222" s="1037"/>
      <c r="AR222" s="1037"/>
      <c r="AS222" s="1037"/>
      <c r="AT222" s="1037"/>
      <c r="AU222" s="1037"/>
      <c r="AV222" s="1037"/>
      <c r="AW222" s="1037"/>
      <c r="AX222" s="1037"/>
      <c r="AY222" s="1037"/>
      <c r="AZ222" s="1037"/>
      <c r="BA222" s="1037"/>
      <c r="BB222" s="1037"/>
      <c r="BC222" s="1037"/>
      <c r="BD222" s="1037"/>
      <c r="BE222" s="1037"/>
      <c r="BF222" s="1037"/>
      <c r="BG222" s="1037"/>
      <c r="BH222" s="1037"/>
      <c r="BI222" s="1037"/>
      <c r="BJ222" s="1037"/>
      <c r="BK222" s="1037"/>
      <c r="BL222" s="1037"/>
      <c r="BM222" s="1037"/>
      <c r="BN222" s="1037"/>
      <c r="BO222" s="1037"/>
      <c r="BP222" s="1037"/>
      <c r="BQ222" s="1037"/>
      <c r="BR222" s="1037"/>
      <c r="BS222" s="1037"/>
      <c r="BT222" s="1037"/>
      <c r="BU222" s="1037"/>
      <c r="BV222" s="1037"/>
      <c r="BW222" s="1037"/>
      <c r="BX222" s="1037"/>
      <c r="BY222" s="1037"/>
      <c r="BZ222" s="1037"/>
      <c r="CA222" s="1037"/>
      <c r="CB222" s="1037"/>
      <c r="CC222" s="1037"/>
      <c r="CD222" s="1037"/>
      <c r="CE222" s="1037"/>
      <c r="CF222" s="1037"/>
      <c r="CG222" s="1037"/>
      <c r="CH222" s="1037"/>
      <c r="CI222" s="1037"/>
      <c r="CJ222" s="1037"/>
      <c r="CK222" s="1037"/>
      <c r="CL222" s="1037"/>
      <c r="CM222" s="1037"/>
      <c r="CN222" s="1037"/>
      <c r="CO222" s="1037"/>
      <c r="CP222" s="1037"/>
      <c r="CQ222" s="1037"/>
      <c r="CR222" s="1037"/>
      <c r="CS222" s="1037"/>
      <c r="CT222" s="1037"/>
      <c r="CU222" s="1037"/>
      <c r="CV222" s="1037"/>
      <c r="CW222" s="1037"/>
      <c r="CX222" s="1037"/>
      <c r="CY222" s="1037"/>
      <c r="CZ222" s="1037"/>
      <c r="DA222" s="1037"/>
      <c r="DB222" s="1037"/>
      <c r="DC222" s="1037"/>
      <c r="DD222" s="1037"/>
      <c r="DE222" s="1037"/>
      <c r="DF222" s="1037"/>
      <c r="DG222" s="1037"/>
      <c r="DH222" s="1037"/>
      <c r="DI222" s="1037"/>
      <c r="DJ222" s="1037"/>
      <c r="DK222" s="1037"/>
      <c r="DL222" s="1037"/>
      <c r="DM222" s="1037"/>
      <c r="DN222" s="1037"/>
      <c r="DO222" s="1037"/>
      <c r="DP222" s="1037"/>
      <c r="DQ222" s="1037"/>
      <c r="DR222" s="1037"/>
      <c r="DS222" s="1037"/>
      <c r="DT222" s="1037"/>
      <c r="DU222" s="1037"/>
      <c r="DV222" s="1037"/>
      <c r="DW222" s="1037"/>
      <c r="DX222" s="1037"/>
      <c r="DY222" s="1037"/>
      <c r="DZ222" s="1037"/>
      <c r="EA222" s="1037"/>
      <c r="EB222" s="1037"/>
      <c r="EC222" s="1037"/>
      <c r="ED222" s="1037"/>
      <c r="EE222" s="1037"/>
      <c r="EF222" s="1037"/>
      <c r="EG222" s="1037"/>
      <c r="EH222" s="1037"/>
      <c r="EI222" s="1037"/>
      <c r="EJ222" s="1037"/>
      <c r="EK222" s="1037"/>
      <c r="EL222" s="1037"/>
      <c r="EM222" s="1037"/>
      <c r="EN222" s="1037"/>
      <c r="EO222" s="1037"/>
      <c r="EP222" s="1037"/>
      <c r="EQ222" s="1037"/>
      <c r="ER222" s="1037"/>
      <c r="ES222" s="1037"/>
      <c r="ET222" s="1037"/>
      <c r="EU222" s="1037"/>
      <c r="EV222" s="1037"/>
      <c r="EW222" s="1037"/>
      <c r="EX222" s="1037"/>
      <c r="EY222" s="1037"/>
      <c r="EZ222" s="1037"/>
      <c r="FA222" s="1037"/>
      <c r="FB222" s="1037"/>
      <c r="FC222" s="1037"/>
      <c r="FD222" s="1037"/>
      <c r="FE222" s="1037"/>
      <c r="FF222" s="1037"/>
      <c r="FG222" s="1037"/>
      <c r="FH222" s="1037"/>
      <c r="FI222" s="1037"/>
      <c r="FJ222" s="1037"/>
      <c r="FK222" s="1037"/>
      <c r="FL222" s="1037"/>
      <c r="FM222" s="1037"/>
      <c r="FN222" s="1037"/>
      <c r="FO222" s="1037"/>
      <c r="FP222" s="1037"/>
      <c r="FQ222" s="1037"/>
      <c r="FR222" s="1037"/>
      <c r="FS222" s="1037"/>
      <c r="FT222" s="1037"/>
      <c r="FU222" s="1037"/>
      <c r="FV222" s="1037"/>
      <c r="FW222" s="1037"/>
      <c r="FX222" s="1037"/>
      <c r="FY222" s="1037"/>
      <c r="FZ222" s="1037"/>
      <c r="GA222" s="1037"/>
      <c r="GB222" s="1037"/>
      <c r="GC222" s="1037"/>
      <c r="GD222" s="1037"/>
      <c r="GE222" s="1037"/>
      <c r="GF222" s="1037"/>
      <c r="GG222" s="1037"/>
      <c r="GH222" s="1037"/>
      <c r="GI222" s="1037"/>
      <c r="GJ222" s="1037"/>
      <c r="GK222" s="1037"/>
      <c r="GL222" s="1037"/>
      <c r="GM222" s="1037"/>
      <c r="GN222" s="1037"/>
      <c r="GO222" s="1037"/>
      <c r="GP222" s="1037"/>
      <c r="GQ222" s="1037"/>
      <c r="GR222" s="1037"/>
      <c r="GS222" s="1037"/>
      <c r="GT222" s="1037"/>
      <c r="GU222" s="1037"/>
      <c r="GV222" s="1037"/>
      <c r="GW222" s="1037"/>
      <c r="GX222" s="1037"/>
      <c r="GY222" s="1037"/>
      <c r="GZ222" s="1037"/>
      <c r="HA222" s="1037"/>
      <c r="HB222" s="1037"/>
      <c r="HC222" s="1037"/>
      <c r="HD222" s="1037"/>
      <c r="HE222" s="1037"/>
      <c r="HF222" s="1037"/>
      <c r="HG222" s="1037"/>
      <c r="HH222" s="1037"/>
      <c r="HI222" s="1037"/>
      <c r="HJ222" s="1037"/>
      <c r="HK222" s="1037"/>
      <c r="HL222" s="1037"/>
      <c r="HM222" s="1037"/>
      <c r="HN222" s="1037"/>
      <c r="HO222" s="1037"/>
      <c r="HP222" s="1037"/>
      <c r="HQ222" s="1037"/>
      <c r="HR222" s="1037"/>
      <c r="HS222" s="1037"/>
      <c r="HT222" s="1037"/>
      <c r="HU222" s="1037"/>
      <c r="HV222" s="1037"/>
      <c r="HW222" s="1037"/>
      <c r="HX222" s="1037"/>
      <c r="HY222" s="1037"/>
      <c r="HZ222" s="1037"/>
      <c r="IA222" s="1037"/>
      <c r="IB222" s="1037"/>
      <c r="IC222" s="1037"/>
      <c r="ID222" s="1037"/>
      <c r="IE222" s="1037"/>
      <c r="IF222" s="1037"/>
      <c r="IG222" s="1037"/>
      <c r="IH222" s="1037"/>
      <c r="II222" s="1037"/>
      <c r="IJ222" s="1037"/>
      <c r="IK222" s="1037"/>
      <c r="IL222" s="1037"/>
      <c r="IM222" s="1037"/>
      <c r="IN222" s="1037"/>
    </row>
    <row r="223" spans="1:248">
      <c r="A223" s="701" t="s">
        <v>23</v>
      </c>
      <c r="B223" s="703">
        <v>12022.7</v>
      </c>
      <c r="C223" s="703">
        <f t="shared" si="29"/>
        <v>34.971363082373685</v>
      </c>
      <c r="D223" s="704">
        <v>11730.8</v>
      </c>
      <c r="E223" s="1038">
        <f t="shared" si="30"/>
        <v>34.122290837058991</v>
      </c>
      <c r="F223" s="1038">
        <f t="shared" si="31"/>
        <v>291.90000000000146</v>
      </c>
      <c r="G223" s="1038">
        <f t="shared" si="32"/>
        <v>0.8490722453146905</v>
      </c>
      <c r="H223" s="464">
        <v>34378.699999999997</v>
      </c>
      <c r="I223" s="1037"/>
      <c r="J223" s="1037"/>
      <c r="K223" s="1037"/>
      <c r="L223" s="1037"/>
      <c r="M223" s="1037"/>
      <c r="N223" s="1037"/>
      <c r="O223" s="1037"/>
      <c r="P223" s="1037"/>
      <c r="Q223" s="1037"/>
      <c r="R223" s="1037"/>
      <c r="S223" s="1037"/>
      <c r="T223" s="1037"/>
      <c r="U223" s="1037"/>
      <c r="V223" s="1037"/>
      <c r="W223" s="1037"/>
      <c r="X223" s="1037"/>
      <c r="Y223" s="1037"/>
      <c r="Z223" s="1037"/>
      <c r="AA223" s="1037"/>
      <c r="AB223" s="1037"/>
      <c r="AC223" s="1037"/>
      <c r="AD223" s="1037"/>
      <c r="AE223" s="1037"/>
      <c r="AF223" s="1037"/>
      <c r="AG223" s="1037"/>
      <c r="AH223" s="1037"/>
      <c r="AI223" s="1037"/>
      <c r="AJ223" s="1037"/>
      <c r="AK223" s="1037"/>
      <c r="AL223" s="1037"/>
      <c r="AM223" s="1037"/>
      <c r="AN223" s="1037"/>
      <c r="AO223" s="1037"/>
      <c r="AP223" s="1037"/>
      <c r="AQ223" s="1037"/>
      <c r="AR223" s="1037"/>
      <c r="AS223" s="1037"/>
      <c r="AT223" s="1037"/>
      <c r="AU223" s="1037"/>
      <c r="AV223" s="1037"/>
      <c r="AW223" s="1037"/>
      <c r="AX223" s="1037"/>
      <c r="AY223" s="1037"/>
      <c r="AZ223" s="1037"/>
      <c r="BA223" s="1037"/>
      <c r="BB223" s="1037"/>
      <c r="BC223" s="1037"/>
      <c r="BD223" s="1037"/>
      <c r="BE223" s="1037"/>
      <c r="BF223" s="1037"/>
      <c r="BG223" s="1037"/>
      <c r="BH223" s="1037"/>
      <c r="BI223" s="1037"/>
      <c r="BJ223" s="1037"/>
      <c r="BK223" s="1037"/>
      <c r="BL223" s="1037"/>
      <c r="BM223" s="1037"/>
      <c r="BN223" s="1037"/>
      <c r="BO223" s="1037"/>
      <c r="BP223" s="1037"/>
      <c r="BQ223" s="1037"/>
      <c r="BR223" s="1037"/>
      <c r="BS223" s="1037"/>
      <c r="BT223" s="1037"/>
      <c r="BU223" s="1037"/>
      <c r="BV223" s="1037"/>
      <c r="BW223" s="1037"/>
      <c r="BX223" s="1037"/>
      <c r="BY223" s="1037"/>
      <c r="BZ223" s="1037"/>
      <c r="CA223" s="1037"/>
      <c r="CB223" s="1037"/>
      <c r="CC223" s="1037"/>
      <c r="CD223" s="1037"/>
      <c r="CE223" s="1037"/>
      <c r="CF223" s="1037"/>
      <c r="CG223" s="1037"/>
      <c r="CH223" s="1037"/>
      <c r="CI223" s="1037"/>
      <c r="CJ223" s="1037"/>
      <c r="CK223" s="1037"/>
      <c r="CL223" s="1037"/>
      <c r="CM223" s="1037"/>
      <c r="CN223" s="1037"/>
      <c r="CO223" s="1037"/>
      <c r="CP223" s="1037"/>
      <c r="CQ223" s="1037"/>
      <c r="CR223" s="1037"/>
      <c r="CS223" s="1037"/>
      <c r="CT223" s="1037"/>
      <c r="CU223" s="1037"/>
      <c r="CV223" s="1037"/>
      <c r="CW223" s="1037"/>
      <c r="CX223" s="1037"/>
      <c r="CY223" s="1037"/>
      <c r="CZ223" s="1037"/>
      <c r="DA223" s="1037"/>
      <c r="DB223" s="1037"/>
      <c r="DC223" s="1037"/>
      <c r="DD223" s="1037"/>
      <c r="DE223" s="1037"/>
      <c r="DF223" s="1037"/>
      <c r="DG223" s="1037"/>
      <c r="DH223" s="1037"/>
      <c r="DI223" s="1037"/>
      <c r="DJ223" s="1037"/>
      <c r="DK223" s="1037"/>
      <c r="DL223" s="1037"/>
      <c r="DM223" s="1037"/>
      <c r="DN223" s="1037"/>
      <c r="DO223" s="1037"/>
      <c r="DP223" s="1037"/>
      <c r="DQ223" s="1037"/>
      <c r="DR223" s="1037"/>
      <c r="DS223" s="1037"/>
      <c r="DT223" s="1037"/>
      <c r="DU223" s="1037"/>
      <c r="DV223" s="1037"/>
      <c r="DW223" s="1037"/>
      <c r="DX223" s="1037"/>
      <c r="DY223" s="1037"/>
      <c r="DZ223" s="1037"/>
      <c r="EA223" s="1037"/>
      <c r="EB223" s="1037"/>
      <c r="EC223" s="1037"/>
      <c r="ED223" s="1037"/>
      <c r="EE223" s="1037"/>
      <c r="EF223" s="1037"/>
      <c r="EG223" s="1037"/>
      <c r="EH223" s="1037"/>
      <c r="EI223" s="1037"/>
      <c r="EJ223" s="1037"/>
      <c r="EK223" s="1037"/>
      <c r="EL223" s="1037"/>
      <c r="EM223" s="1037"/>
      <c r="EN223" s="1037"/>
      <c r="EO223" s="1037"/>
      <c r="EP223" s="1037"/>
      <c r="EQ223" s="1037"/>
      <c r="ER223" s="1037"/>
      <c r="ES223" s="1037"/>
      <c r="ET223" s="1037"/>
      <c r="EU223" s="1037"/>
      <c r="EV223" s="1037"/>
      <c r="EW223" s="1037"/>
      <c r="EX223" s="1037"/>
      <c r="EY223" s="1037"/>
      <c r="EZ223" s="1037"/>
      <c r="FA223" s="1037"/>
      <c r="FB223" s="1037"/>
      <c r="FC223" s="1037"/>
      <c r="FD223" s="1037"/>
      <c r="FE223" s="1037"/>
      <c r="FF223" s="1037"/>
      <c r="FG223" s="1037"/>
      <c r="FH223" s="1037"/>
      <c r="FI223" s="1037"/>
      <c r="FJ223" s="1037"/>
      <c r="FK223" s="1037"/>
      <c r="FL223" s="1037"/>
      <c r="FM223" s="1037"/>
      <c r="FN223" s="1037"/>
      <c r="FO223" s="1037"/>
      <c r="FP223" s="1037"/>
      <c r="FQ223" s="1037"/>
      <c r="FR223" s="1037"/>
      <c r="FS223" s="1037"/>
      <c r="FT223" s="1037"/>
      <c r="FU223" s="1037"/>
      <c r="FV223" s="1037"/>
      <c r="FW223" s="1037"/>
      <c r="FX223" s="1037"/>
      <c r="FY223" s="1037"/>
      <c r="FZ223" s="1037"/>
      <c r="GA223" s="1037"/>
      <c r="GB223" s="1037"/>
      <c r="GC223" s="1037"/>
      <c r="GD223" s="1037"/>
      <c r="GE223" s="1037"/>
      <c r="GF223" s="1037"/>
      <c r="GG223" s="1037"/>
      <c r="GH223" s="1037"/>
      <c r="GI223" s="1037"/>
      <c r="GJ223" s="1037"/>
      <c r="GK223" s="1037"/>
      <c r="GL223" s="1037"/>
      <c r="GM223" s="1037"/>
      <c r="GN223" s="1037"/>
      <c r="GO223" s="1037"/>
      <c r="GP223" s="1037"/>
      <c r="GQ223" s="1037"/>
      <c r="GR223" s="1037"/>
      <c r="GS223" s="1037"/>
      <c r="GT223" s="1037"/>
      <c r="GU223" s="1037"/>
      <c r="GV223" s="1037"/>
      <c r="GW223" s="1037"/>
      <c r="GX223" s="1037"/>
      <c r="GY223" s="1037"/>
      <c r="GZ223" s="1037"/>
      <c r="HA223" s="1037"/>
      <c r="HB223" s="1037"/>
      <c r="HC223" s="1037"/>
      <c r="HD223" s="1037"/>
      <c r="HE223" s="1037"/>
      <c r="HF223" s="1037"/>
      <c r="HG223" s="1037"/>
      <c r="HH223" s="1037"/>
      <c r="HI223" s="1037"/>
      <c r="HJ223" s="1037"/>
      <c r="HK223" s="1037"/>
      <c r="HL223" s="1037"/>
      <c r="HM223" s="1037"/>
      <c r="HN223" s="1037"/>
      <c r="HO223" s="1037"/>
      <c r="HP223" s="1037"/>
      <c r="HQ223" s="1037"/>
      <c r="HR223" s="1037"/>
      <c r="HS223" s="1037"/>
      <c r="HT223" s="1037"/>
      <c r="HU223" s="1037"/>
      <c r="HV223" s="1037"/>
      <c r="HW223" s="1037"/>
      <c r="HX223" s="1037"/>
      <c r="HY223" s="1037"/>
      <c r="HZ223" s="1037"/>
      <c r="IA223" s="1037"/>
      <c r="IB223" s="1037"/>
      <c r="IC223" s="1037"/>
      <c r="ID223" s="1037"/>
      <c r="IE223" s="1037"/>
      <c r="IF223" s="1037"/>
      <c r="IG223" s="1037"/>
      <c r="IH223" s="1037"/>
      <c r="II223" s="1037"/>
      <c r="IJ223" s="1037"/>
      <c r="IK223" s="1037"/>
      <c r="IL223" s="1037"/>
      <c r="IM223" s="1037"/>
      <c r="IN223" s="1037"/>
    </row>
    <row r="224" spans="1:248">
      <c r="A224" s="701" t="s">
        <v>24</v>
      </c>
      <c r="B224" s="703">
        <v>13960.2</v>
      </c>
      <c r="C224" s="703">
        <f t="shared" si="29"/>
        <v>34.619047146697355</v>
      </c>
      <c r="D224" s="703">
        <v>14142.6</v>
      </c>
      <c r="E224" s="703">
        <f t="shared" si="30"/>
        <v>35.071369763820151</v>
      </c>
      <c r="F224" s="703">
        <f t="shared" si="31"/>
        <v>-182.39999999999964</v>
      </c>
      <c r="G224" s="1038">
        <f t="shared" si="32"/>
        <v>-0.45232261712279087</v>
      </c>
      <c r="H224" s="464">
        <v>40325.199999999997</v>
      </c>
      <c r="I224" s="1037"/>
      <c r="J224" s="1037"/>
      <c r="K224" s="1037"/>
      <c r="L224" s="1037"/>
      <c r="M224" s="1037"/>
      <c r="N224" s="1037"/>
      <c r="O224" s="1037"/>
      <c r="P224" s="1037"/>
      <c r="Q224" s="1037"/>
      <c r="R224" s="1037"/>
      <c r="S224" s="1037"/>
      <c r="T224" s="1037"/>
      <c r="U224" s="1037"/>
      <c r="V224" s="1037"/>
      <c r="W224" s="1037"/>
      <c r="X224" s="1037"/>
      <c r="Y224" s="1037"/>
      <c r="Z224" s="1037"/>
      <c r="AA224" s="1037"/>
      <c r="AB224" s="1037"/>
      <c r="AC224" s="1037"/>
      <c r="AD224" s="1037"/>
      <c r="AE224" s="1037"/>
      <c r="AF224" s="1037"/>
      <c r="AG224" s="1037"/>
      <c r="AH224" s="1037"/>
      <c r="AI224" s="1037"/>
      <c r="AJ224" s="1037"/>
      <c r="AK224" s="1037"/>
      <c r="AL224" s="1037"/>
      <c r="AM224" s="1037"/>
      <c r="AN224" s="1037"/>
      <c r="AO224" s="1037"/>
      <c r="AP224" s="1037"/>
      <c r="AQ224" s="1037"/>
      <c r="AR224" s="1037"/>
      <c r="AS224" s="1037"/>
      <c r="AT224" s="1037"/>
      <c r="AU224" s="1037"/>
      <c r="AV224" s="1037"/>
      <c r="AW224" s="1037"/>
      <c r="AX224" s="1037"/>
      <c r="AY224" s="1037"/>
      <c r="AZ224" s="1037"/>
      <c r="BA224" s="1037"/>
      <c r="BB224" s="1037"/>
      <c r="BC224" s="1037"/>
      <c r="BD224" s="1037"/>
      <c r="BE224" s="1037"/>
      <c r="BF224" s="1037"/>
      <c r="BG224" s="1037"/>
      <c r="BH224" s="1037"/>
      <c r="BI224" s="1037"/>
      <c r="BJ224" s="1037"/>
      <c r="BK224" s="1037"/>
      <c r="BL224" s="1037"/>
      <c r="BM224" s="1037"/>
      <c r="BN224" s="1037"/>
      <c r="BO224" s="1037"/>
      <c r="BP224" s="1037"/>
      <c r="BQ224" s="1037"/>
      <c r="BR224" s="1037"/>
      <c r="BS224" s="1037"/>
      <c r="BT224" s="1037"/>
      <c r="BU224" s="1037"/>
      <c r="BV224" s="1037"/>
      <c r="BW224" s="1037"/>
      <c r="BX224" s="1037"/>
      <c r="BY224" s="1037"/>
      <c r="BZ224" s="1037"/>
      <c r="CA224" s="1037"/>
      <c r="CB224" s="1037"/>
      <c r="CC224" s="1037"/>
      <c r="CD224" s="1037"/>
      <c r="CE224" s="1037"/>
      <c r="CF224" s="1037"/>
      <c r="CG224" s="1037"/>
      <c r="CH224" s="1037"/>
      <c r="CI224" s="1037"/>
      <c r="CJ224" s="1037"/>
      <c r="CK224" s="1037"/>
      <c r="CL224" s="1037"/>
      <c r="CM224" s="1037"/>
      <c r="CN224" s="1037"/>
      <c r="CO224" s="1037"/>
      <c r="CP224" s="1037"/>
      <c r="CQ224" s="1037"/>
      <c r="CR224" s="1037"/>
      <c r="CS224" s="1037"/>
      <c r="CT224" s="1037"/>
      <c r="CU224" s="1037"/>
      <c r="CV224" s="1037"/>
      <c r="CW224" s="1037"/>
      <c r="CX224" s="1037"/>
      <c r="CY224" s="1037"/>
      <c r="CZ224" s="1037"/>
      <c r="DA224" s="1037"/>
      <c r="DB224" s="1037"/>
      <c r="DC224" s="1037"/>
      <c r="DD224" s="1037"/>
      <c r="DE224" s="1037"/>
      <c r="DF224" s="1037"/>
      <c r="DG224" s="1037"/>
      <c r="DH224" s="1037"/>
      <c r="DI224" s="1037"/>
      <c r="DJ224" s="1037"/>
      <c r="DK224" s="1037"/>
      <c r="DL224" s="1037"/>
      <c r="DM224" s="1037"/>
      <c r="DN224" s="1037"/>
      <c r="DO224" s="1037"/>
      <c r="DP224" s="1037"/>
      <c r="DQ224" s="1037"/>
      <c r="DR224" s="1037"/>
      <c r="DS224" s="1037"/>
      <c r="DT224" s="1037"/>
      <c r="DU224" s="1037"/>
      <c r="DV224" s="1037"/>
      <c r="DW224" s="1037"/>
      <c r="DX224" s="1037"/>
      <c r="DY224" s="1037"/>
      <c r="DZ224" s="1037"/>
      <c r="EA224" s="1037"/>
      <c r="EB224" s="1037"/>
      <c r="EC224" s="1037"/>
      <c r="ED224" s="1037"/>
      <c r="EE224" s="1037"/>
      <c r="EF224" s="1037"/>
      <c r="EG224" s="1037"/>
      <c r="EH224" s="1037"/>
      <c r="EI224" s="1037"/>
      <c r="EJ224" s="1037"/>
      <c r="EK224" s="1037"/>
      <c r="EL224" s="1037"/>
      <c r="EM224" s="1037"/>
      <c r="EN224" s="1037"/>
      <c r="EO224" s="1037"/>
      <c r="EP224" s="1037"/>
      <c r="EQ224" s="1037"/>
      <c r="ER224" s="1037"/>
      <c r="ES224" s="1037"/>
      <c r="ET224" s="1037"/>
      <c r="EU224" s="1037"/>
      <c r="EV224" s="1037"/>
      <c r="EW224" s="1037"/>
      <c r="EX224" s="1037"/>
      <c r="EY224" s="1037"/>
      <c r="EZ224" s="1037"/>
      <c r="FA224" s="1037"/>
      <c r="FB224" s="1037"/>
      <c r="FC224" s="1037"/>
      <c r="FD224" s="1037"/>
      <c r="FE224" s="1037"/>
      <c r="FF224" s="1037"/>
      <c r="FG224" s="1037"/>
      <c r="FH224" s="1037"/>
      <c r="FI224" s="1037"/>
      <c r="FJ224" s="1037"/>
      <c r="FK224" s="1037"/>
      <c r="FL224" s="1037"/>
      <c r="FM224" s="1037"/>
      <c r="FN224" s="1037"/>
      <c r="FO224" s="1037"/>
      <c r="FP224" s="1037"/>
      <c r="FQ224" s="1037"/>
      <c r="FR224" s="1037"/>
      <c r="FS224" s="1037"/>
      <c r="FT224" s="1037"/>
      <c r="FU224" s="1037"/>
      <c r="FV224" s="1037"/>
      <c r="FW224" s="1037"/>
      <c r="FX224" s="1037"/>
      <c r="FY224" s="1037"/>
      <c r="FZ224" s="1037"/>
      <c r="GA224" s="1037"/>
      <c r="GB224" s="1037"/>
      <c r="GC224" s="1037"/>
      <c r="GD224" s="1037"/>
      <c r="GE224" s="1037"/>
      <c r="GF224" s="1037"/>
      <c r="GG224" s="1037"/>
      <c r="GH224" s="1037"/>
      <c r="GI224" s="1037"/>
      <c r="GJ224" s="1037"/>
      <c r="GK224" s="1037"/>
      <c r="GL224" s="1037"/>
      <c r="GM224" s="1037"/>
      <c r="GN224" s="1037"/>
      <c r="GO224" s="1037"/>
      <c r="GP224" s="1037"/>
      <c r="GQ224" s="1037"/>
      <c r="GR224" s="1037"/>
      <c r="GS224" s="1037"/>
      <c r="GT224" s="1037"/>
      <c r="GU224" s="1037"/>
      <c r="GV224" s="1037"/>
      <c r="GW224" s="1037"/>
      <c r="GX224" s="1037"/>
      <c r="GY224" s="1037"/>
      <c r="GZ224" s="1037"/>
      <c r="HA224" s="1037"/>
      <c r="HB224" s="1037"/>
      <c r="HC224" s="1037"/>
      <c r="HD224" s="1037"/>
      <c r="HE224" s="1037"/>
      <c r="HF224" s="1037"/>
      <c r="HG224" s="1037"/>
      <c r="HH224" s="1037"/>
      <c r="HI224" s="1037"/>
      <c r="HJ224" s="1037"/>
      <c r="HK224" s="1037"/>
      <c r="HL224" s="1037"/>
      <c r="HM224" s="1037"/>
      <c r="HN224" s="1037"/>
      <c r="HO224" s="1037"/>
      <c r="HP224" s="1037"/>
      <c r="HQ224" s="1037"/>
      <c r="HR224" s="1037"/>
      <c r="HS224" s="1037"/>
      <c r="HT224" s="1037"/>
      <c r="HU224" s="1037"/>
      <c r="HV224" s="1037"/>
      <c r="HW224" s="1037"/>
      <c r="HX224" s="1037"/>
      <c r="HY224" s="1037"/>
      <c r="HZ224" s="1037"/>
      <c r="IA224" s="1037"/>
      <c r="IB224" s="1037"/>
      <c r="IC224" s="1037"/>
      <c r="ID224" s="1037"/>
      <c r="IE224" s="1037"/>
      <c r="IF224" s="1037"/>
      <c r="IG224" s="1037"/>
      <c r="IH224" s="1037"/>
      <c r="II224" s="1037"/>
      <c r="IJ224" s="1037"/>
      <c r="IK224" s="1037"/>
      <c r="IL224" s="1037"/>
      <c r="IM224" s="1037"/>
      <c r="IN224" s="1037"/>
    </row>
    <row r="225" spans="1:248">
      <c r="A225" s="701" t="s">
        <v>25</v>
      </c>
      <c r="B225" s="703">
        <v>15954.7</v>
      </c>
      <c r="C225" s="703">
        <f t="shared" si="29"/>
        <v>34.598986841078045</v>
      </c>
      <c r="D225" s="704">
        <v>16356.2</v>
      </c>
      <c r="E225" s="1038">
        <f t="shared" si="30"/>
        <v>35.469670289635076</v>
      </c>
      <c r="F225" s="1038">
        <f>B225-D225</f>
        <v>-401.5</v>
      </c>
      <c r="G225" s="1038">
        <f t="shared" si="32"/>
        <v>-0.87068344855702928</v>
      </c>
      <c r="H225" s="464">
        <v>46113.2</v>
      </c>
      <c r="I225" s="1037"/>
      <c r="J225" s="1037"/>
      <c r="K225" s="1037"/>
      <c r="L225" s="1037"/>
      <c r="M225" s="1037"/>
      <c r="N225" s="1037"/>
      <c r="O225" s="1037"/>
      <c r="P225" s="1037"/>
      <c r="Q225" s="1037"/>
      <c r="R225" s="1037"/>
      <c r="S225" s="1037"/>
      <c r="T225" s="1037"/>
      <c r="U225" s="1037"/>
      <c r="V225" s="1037"/>
      <c r="W225" s="1037"/>
      <c r="X225" s="1037"/>
      <c r="Y225" s="1037"/>
      <c r="Z225" s="1037"/>
      <c r="AA225" s="1037"/>
      <c r="AB225" s="1037"/>
      <c r="AC225" s="1037"/>
      <c r="AD225" s="1037"/>
      <c r="AE225" s="1037"/>
      <c r="AF225" s="1037"/>
      <c r="AG225" s="1037"/>
      <c r="AH225" s="1037"/>
      <c r="AI225" s="1037"/>
      <c r="AJ225" s="1037"/>
      <c r="AK225" s="1037"/>
      <c r="AL225" s="1037"/>
      <c r="AM225" s="1037"/>
      <c r="AN225" s="1037"/>
      <c r="AO225" s="1037"/>
      <c r="AP225" s="1037"/>
      <c r="AQ225" s="1037"/>
      <c r="AR225" s="1037"/>
      <c r="AS225" s="1037"/>
      <c r="AT225" s="1037"/>
      <c r="AU225" s="1037"/>
      <c r="AV225" s="1037"/>
      <c r="AW225" s="1037"/>
      <c r="AX225" s="1037"/>
      <c r="AY225" s="1037"/>
      <c r="AZ225" s="1037"/>
      <c r="BA225" s="1037"/>
      <c r="BB225" s="1037"/>
      <c r="BC225" s="1037"/>
      <c r="BD225" s="1037"/>
      <c r="BE225" s="1037"/>
      <c r="BF225" s="1037"/>
      <c r="BG225" s="1037"/>
      <c r="BH225" s="1037"/>
      <c r="BI225" s="1037"/>
      <c r="BJ225" s="1037"/>
      <c r="BK225" s="1037"/>
      <c r="BL225" s="1037"/>
      <c r="BM225" s="1037"/>
      <c r="BN225" s="1037"/>
      <c r="BO225" s="1037"/>
      <c r="BP225" s="1037"/>
      <c r="BQ225" s="1037"/>
      <c r="BR225" s="1037"/>
      <c r="BS225" s="1037"/>
      <c r="BT225" s="1037"/>
      <c r="BU225" s="1037"/>
      <c r="BV225" s="1037"/>
      <c r="BW225" s="1037"/>
      <c r="BX225" s="1037"/>
      <c r="BY225" s="1037"/>
      <c r="BZ225" s="1037"/>
      <c r="CA225" s="1037"/>
      <c r="CB225" s="1037"/>
      <c r="CC225" s="1037"/>
      <c r="CD225" s="1037"/>
      <c r="CE225" s="1037"/>
      <c r="CF225" s="1037"/>
      <c r="CG225" s="1037"/>
      <c r="CH225" s="1037"/>
      <c r="CI225" s="1037"/>
      <c r="CJ225" s="1037"/>
      <c r="CK225" s="1037"/>
      <c r="CL225" s="1037"/>
      <c r="CM225" s="1037"/>
      <c r="CN225" s="1037"/>
      <c r="CO225" s="1037"/>
      <c r="CP225" s="1037"/>
      <c r="CQ225" s="1037"/>
      <c r="CR225" s="1037"/>
      <c r="CS225" s="1037"/>
      <c r="CT225" s="1037"/>
      <c r="CU225" s="1037"/>
      <c r="CV225" s="1037"/>
      <c r="CW225" s="1037"/>
      <c r="CX225" s="1037"/>
      <c r="CY225" s="1037"/>
      <c r="CZ225" s="1037"/>
      <c r="DA225" s="1037"/>
      <c r="DB225" s="1037"/>
      <c r="DC225" s="1037"/>
      <c r="DD225" s="1037"/>
      <c r="DE225" s="1037"/>
      <c r="DF225" s="1037"/>
      <c r="DG225" s="1037"/>
      <c r="DH225" s="1037"/>
      <c r="DI225" s="1037"/>
      <c r="DJ225" s="1037"/>
      <c r="DK225" s="1037"/>
      <c r="DL225" s="1037"/>
      <c r="DM225" s="1037"/>
      <c r="DN225" s="1037"/>
      <c r="DO225" s="1037"/>
      <c r="DP225" s="1037"/>
      <c r="DQ225" s="1037"/>
      <c r="DR225" s="1037"/>
      <c r="DS225" s="1037"/>
      <c r="DT225" s="1037"/>
      <c r="DU225" s="1037"/>
      <c r="DV225" s="1037"/>
      <c r="DW225" s="1037"/>
      <c r="DX225" s="1037"/>
      <c r="DY225" s="1037"/>
      <c r="DZ225" s="1037"/>
      <c r="EA225" s="1037"/>
      <c r="EB225" s="1037"/>
      <c r="EC225" s="1037"/>
      <c r="ED225" s="1037"/>
      <c r="EE225" s="1037"/>
      <c r="EF225" s="1037"/>
      <c r="EG225" s="1037"/>
      <c r="EH225" s="1037"/>
      <c r="EI225" s="1037"/>
      <c r="EJ225" s="1037"/>
      <c r="EK225" s="1037"/>
      <c r="EL225" s="1037"/>
      <c r="EM225" s="1037"/>
      <c r="EN225" s="1037"/>
      <c r="EO225" s="1037"/>
      <c r="EP225" s="1037"/>
      <c r="EQ225" s="1037"/>
      <c r="ER225" s="1037"/>
      <c r="ES225" s="1037"/>
      <c r="ET225" s="1037"/>
      <c r="EU225" s="1037"/>
      <c r="EV225" s="1037"/>
      <c r="EW225" s="1037"/>
      <c r="EX225" s="1037"/>
      <c r="EY225" s="1037"/>
      <c r="EZ225" s="1037"/>
      <c r="FA225" s="1037"/>
      <c r="FB225" s="1037"/>
      <c r="FC225" s="1037"/>
      <c r="FD225" s="1037"/>
      <c r="FE225" s="1037"/>
      <c r="FF225" s="1037"/>
      <c r="FG225" s="1037"/>
      <c r="FH225" s="1037"/>
      <c r="FI225" s="1037"/>
      <c r="FJ225" s="1037"/>
      <c r="FK225" s="1037"/>
      <c r="FL225" s="1037"/>
      <c r="FM225" s="1037"/>
      <c r="FN225" s="1037"/>
      <c r="FO225" s="1037"/>
      <c r="FP225" s="1037"/>
      <c r="FQ225" s="1037"/>
      <c r="FR225" s="1037"/>
      <c r="FS225" s="1037"/>
      <c r="FT225" s="1037"/>
      <c r="FU225" s="1037"/>
      <c r="FV225" s="1037"/>
      <c r="FW225" s="1037"/>
      <c r="FX225" s="1037"/>
      <c r="FY225" s="1037"/>
      <c r="FZ225" s="1037"/>
      <c r="GA225" s="1037"/>
      <c r="GB225" s="1037"/>
      <c r="GC225" s="1037"/>
      <c r="GD225" s="1037"/>
      <c r="GE225" s="1037"/>
      <c r="GF225" s="1037"/>
      <c r="GG225" s="1037"/>
      <c r="GH225" s="1037"/>
      <c r="GI225" s="1037"/>
      <c r="GJ225" s="1037"/>
      <c r="GK225" s="1037"/>
      <c r="GL225" s="1037"/>
      <c r="GM225" s="1037"/>
      <c r="GN225" s="1037"/>
      <c r="GO225" s="1037"/>
      <c r="GP225" s="1037"/>
      <c r="GQ225" s="1037"/>
      <c r="GR225" s="1037"/>
      <c r="GS225" s="1037"/>
      <c r="GT225" s="1037"/>
      <c r="GU225" s="1037"/>
      <c r="GV225" s="1037"/>
      <c r="GW225" s="1037"/>
      <c r="GX225" s="1037"/>
      <c r="GY225" s="1037"/>
      <c r="GZ225" s="1037"/>
      <c r="HA225" s="1037"/>
      <c r="HB225" s="1037"/>
      <c r="HC225" s="1037"/>
      <c r="HD225" s="1037"/>
      <c r="HE225" s="1037"/>
      <c r="HF225" s="1037"/>
      <c r="HG225" s="1037"/>
      <c r="HH225" s="1037"/>
      <c r="HI225" s="1037"/>
      <c r="HJ225" s="1037"/>
      <c r="HK225" s="1037"/>
      <c r="HL225" s="1037"/>
      <c r="HM225" s="1037"/>
      <c r="HN225" s="1037"/>
      <c r="HO225" s="1037"/>
      <c r="HP225" s="1037"/>
      <c r="HQ225" s="1037"/>
      <c r="HR225" s="1037"/>
      <c r="HS225" s="1037"/>
      <c r="HT225" s="1037"/>
      <c r="HU225" s="1037"/>
      <c r="HV225" s="1037"/>
      <c r="HW225" s="1037"/>
      <c r="HX225" s="1037"/>
      <c r="HY225" s="1037"/>
      <c r="HZ225" s="1037"/>
      <c r="IA225" s="1037"/>
      <c r="IB225" s="1037"/>
      <c r="IC225" s="1037"/>
      <c r="ID225" s="1037"/>
      <c r="IE225" s="1037"/>
      <c r="IF225" s="1037"/>
      <c r="IG225" s="1037"/>
      <c r="IH225" s="1037"/>
      <c r="II225" s="1037"/>
      <c r="IJ225" s="1037"/>
      <c r="IK225" s="1037"/>
      <c r="IL225" s="1037"/>
      <c r="IM225" s="1037"/>
      <c r="IN225" s="1037"/>
    </row>
    <row r="226" spans="1:248">
      <c r="A226" s="701" t="s">
        <v>26</v>
      </c>
      <c r="B226" s="703">
        <v>17964.5</v>
      </c>
      <c r="C226" s="703">
        <f t="shared" si="29"/>
        <v>34.319878191130648</v>
      </c>
      <c r="D226" s="703">
        <v>18642.099999999999</v>
      </c>
      <c r="E226" s="1038">
        <f t="shared" si="30"/>
        <v>35.614383992144319</v>
      </c>
      <c r="F226" s="1038">
        <f>B226-D226</f>
        <v>-677.59999999999854</v>
      </c>
      <c r="G226" s="1038">
        <f t="shared" si="32"/>
        <v>-1.2945058010136701</v>
      </c>
      <c r="H226" s="464">
        <v>52344.3</v>
      </c>
      <c r="I226" s="1037"/>
      <c r="J226" s="1037"/>
      <c r="K226" s="1037"/>
      <c r="L226" s="1037"/>
      <c r="M226" s="1037"/>
      <c r="N226" s="1037"/>
      <c r="O226" s="1037"/>
      <c r="P226" s="1037"/>
      <c r="Q226" s="1037"/>
      <c r="R226" s="1037"/>
      <c r="S226" s="1037"/>
      <c r="T226" s="1037"/>
      <c r="U226" s="1037"/>
      <c r="V226" s="1037"/>
      <c r="W226" s="1037"/>
      <c r="X226" s="1037"/>
      <c r="Y226" s="1037"/>
      <c r="Z226" s="1037"/>
      <c r="AA226" s="1037"/>
      <c r="AB226" s="1037"/>
      <c r="AC226" s="1037"/>
      <c r="AD226" s="1037"/>
      <c r="AE226" s="1037"/>
      <c r="AF226" s="1037"/>
      <c r="AG226" s="1037"/>
      <c r="AH226" s="1037"/>
      <c r="AI226" s="1037"/>
      <c r="AJ226" s="1037"/>
      <c r="AK226" s="1037"/>
      <c r="AL226" s="1037"/>
      <c r="AM226" s="1037"/>
      <c r="AN226" s="1037"/>
      <c r="AO226" s="1037"/>
      <c r="AP226" s="1037"/>
      <c r="AQ226" s="1037"/>
      <c r="AR226" s="1037"/>
      <c r="AS226" s="1037"/>
      <c r="AT226" s="1037"/>
      <c r="AU226" s="1037"/>
      <c r="AV226" s="1037"/>
      <c r="AW226" s="1037"/>
      <c r="AX226" s="1037"/>
      <c r="AY226" s="1037"/>
      <c r="AZ226" s="1037"/>
      <c r="BA226" s="1037"/>
      <c r="BB226" s="1037"/>
      <c r="BC226" s="1037"/>
      <c r="BD226" s="1037"/>
      <c r="BE226" s="1037"/>
      <c r="BF226" s="1037"/>
      <c r="BG226" s="1037"/>
      <c r="BH226" s="1037"/>
      <c r="BI226" s="1037"/>
      <c r="BJ226" s="1037"/>
      <c r="BK226" s="1037"/>
      <c r="BL226" s="1037"/>
      <c r="BM226" s="1037"/>
      <c r="BN226" s="1037"/>
      <c r="BO226" s="1037"/>
      <c r="BP226" s="1037"/>
      <c r="BQ226" s="1037"/>
      <c r="BR226" s="1037"/>
      <c r="BS226" s="1037"/>
      <c r="BT226" s="1037"/>
      <c r="BU226" s="1037"/>
      <c r="BV226" s="1037"/>
      <c r="BW226" s="1037"/>
      <c r="BX226" s="1037"/>
      <c r="BY226" s="1037"/>
      <c r="BZ226" s="1037"/>
      <c r="CA226" s="1037"/>
      <c r="CB226" s="1037"/>
      <c r="CC226" s="1037"/>
      <c r="CD226" s="1037"/>
      <c r="CE226" s="1037"/>
      <c r="CF226" s="1037"/>
      <c r="CG226" s="1037"/>
      <c r="CH226" s="1037"/>
      <c r="CI226" s="1037"/>
      <c r="CJ226" s="1037"/>
      <c r="CK226" s="1037"/>
      <c r="CL226" s="1037"/>
      <c r="CM226" s="1037"/>
      <c r="CN226" s="1037"/>
      <c r="CO226" s="1037"/>
      <c r="CP226" s="1037"/>
      <c r="CQ226" s="1037"/>
      <c r="CR226" s="1037"/>
      <c r="CS226" s="1037"/>
      <c r="CT226" s="1037"/>
      <c r="CU226" s="1037"/>
      <c r="CV226" s="1037"/>
      <c r="CW226" s="1037"/>
      <c r="CX226" s="1037"/>
      <c r="CY226" s="1037"/>
      <c r="CZ226" s="1037"/>
      <c r="DA226" s="1037"/>
      <c r="DB226" s="1037"/>
      <c r="DC226" s="1037"/>
      <c r="DD226" s="1037"/>
      <c r="DE226" s="1037"/>
      <c r="DF226" s="1037"/>
      <c r="DG226" s="1037"/>
      <c r="DH226" s="1037"/>
      <c r="DI226" s="1037"/>
      <c r="DJ226" s="1037"/>
      <c r="DK226" s="1037"/>
      <c r="DL226" s="1037"/>
      <c r="DM226" s="1037"/>
      <c r="DN226" s="1037"/>
      <c r="DO226" s="1037"/>
      <c r="DP226" s="1037"/>
      <c r="DQ226" s="1037"/>
      <c r="DR226" s="1037"/>
      <c r="DS226" s="1037"/>
      <c r="DT226" s="1037"/>
      <c r="DU226" s="1037"/>
      <c r="DV226" s="1037"/>
      <c r="DW226" s="1037"/>
      <c r="DX226" s="1037"/>
      <c r="DY226" s="1037"/>
      <c r="DZ226" s="1037"/>
      <c r="EA226" s="1037"/>
      <c r="EB226" s="1037"/>
      <c r="EC226" s="1037"/>
      <c r="ED226" s="1037"/>
      <c r="EE226" s="1037"/>
      <c r="EF226" s="1037"/>
      <c r="EG226" s="1037"/>
      <c r="EH226" s="1037"/>
      <c r="EI226" s="1037"/>
      <c r="EJ226" s="1037"/>
      <c r="EK226" s="1037"/>
      <c r="EL226" s="1037"/>
      <c r="EM226" s="1037"/>
      <c r="EN226" s="1037"/>
      <c r="EO226" s="1037"/>
      <c r="EP226" s="1037"/>
      <c r="EQ226" s="1037"/>
      <c r="ER226" s="1037"/>
      <c r="ES226" s="1037"/>
      <c r="ET226" s="1037"/>
      <c r="EU226" s="1037"/>
      <c r="EV226" s="1037"/>
      <c r="EW226" s="1037"/>
      <c r="EX226" s="1037"/>
      <c r="EY226" s="1037"/>
      <c r="EZ226" s="1037"/>
      <c r="FA226" s="1037"/>
      <c r="FB226" s="1037"/>
      <c r="FC226" s="1037"/>
      <c r="FD226" s="1037"/>
      <c r="FE226" s="1037"/>
      <c r="FF226" s="1037"/>
      <c r="FG226" s="1037"/>
      <c r="FH226" s="1037"/>
      <c r="FI226" s="1037"/>
      <c r="FJ226" s="1037"/>
      <c r="FK226" s="1037"/>
      <c r="FL226" s="1037"/>
      <c r="FM226" s="1037"/>
      <c r="FN226" s="1037"/>
      <c r="FO226" s="1037"/>
      <c r="FP226" s="1037"/>
      <c r="FQ226" s="1037"/>
      <c r="FR226" s="1037"/>
      <c r="FS226" s="1037"/>
      <c r="FT226" s="1037"/>
      <c r="FU226" s="1037"/>
      <c r="FV226" s="1037"/>
      <c r="FW226" s="1037"/>
      <c r="FX226" s="1037"/>
      <c r="FY226" s="1037"/>
      <c r="FZ226" s="1037"/>
      <c r="GA226" s="1037"/>
      <c r="GB226" s="1037"/>
      <c r="GC226" s="1037"/>
      <c r="GD226" s="1037"/>
      <c r="GE226" s="1037"/>
      <c r="GF226" s="1037"/>
      <c r="GG226" s="1037"/>
      <c r="GH226" s="1037"/>
      <c r="GI226" s="1037"/>
      <c r="GJ226" s="1037"/>
      <c r="GK226" s="1037"/>
      <c r="GL226" s="1037"/>
      <c r="GM226" s="1037"/>
      <c r="GN226" s="1037"/>
      <c r="GO226" s="1037"/>
      <c r="GP226" s="1037"/>
      <c r="GQ226" s="1037"/>
      <c r="GR226" s="1037"/>
      <c r="GS226" s="1037"/>
      <c r="GT226" s="1037"/>
      <c r="GU226" s="1037"/>
      <c r="GV226" s="1037"/>
      <c r="GW226" s="1037"/>
      <c r="GX226" s="1037"/>
      <c r="GY226" s="1037"/>
      <c r="GZ226" s="1037"/>
      <c r="HA226" s="1037"/>
      <c r="HB226" s="1037"/>
      <c r="HC226" s="1037"/>
      <c r="HD226" s="1037"/>
      <c r="HE226" s="1037"/>
      <c r="HF226" s="1037"/>
      <c r="HG226" s="1037"/>
      <c r="HH226" s="1037"/>
      <c r="HI226" s="1037"/>
      <c r="HJ226" s="1037"/>
      <c r="HK226" s="1037"/>
      <c r="HL226" s="1037"/>
      <c r="HM226" s="1037"/>
      <c r="HN226" s="1037"/>
      <c r="HO226" s="1037"/>
      <c r="HP226" s="1037"/>
      <c r="HQ226" s="1037"/>
      <c r="HR226" s="1037"/>
      <c r="HS226" s="1037"/>
      <c r="HT226" s="1037"/>
      <c r="HU226" s="1037"/>
      <c r="HV226" s="1037"/>
      <c r="HW226" s="1037"/>
      <c r="HX226" s="1037"/>
      <c r="HY226" s="1037"/>
      <c r="HZ226" s="1037"/>
      <c r="IA226" s="1037"/>
      <c r="IB226" s="1037"/>
      <c r="IC226" s="1037"/>
      <c r="ID226" s="1037"/>
      <c r="IE226" s="1037"/>
      <c r="IF226" s="1037"/>
      <c r="IG226" s="1037"/>
      <c r="IH226" s="1037"/>
      <c r="II226" s="1037"/>
      <c r="IJ226" s="1037"/>
      <c r="IK226" s="1037"/>
      <c r="IL226" s="1037"/>
      <c r="IM226" s="1037"/>
      <c r="IN226" s="1037"/>
    </row>
    <row r="227" spans="1:248">
      <c r="A227" s="701" t="s">
        <v>27</v>
      </c>
      <c r="B227" s="703">
        <v>20207.099999999999</v>
      </c>
      <c r="C227" s="703">
        <f t="shared" si="29"/>
        <v>34.568997372310726</v>
      </c>
      <c r="D227" s="703">
        <v>20722.099999999999</v>
      </c>
      <c r="E227" s="1038">
        <f t="shared" si="30"/>
        <v>35.450026003175125</v>
      </c>
      <c r="F227" s="1038">
        <f>B227-D227</f>
        <v>-515</v>
      </c>
      <c r="G227" s="1038">
        <f t="shared" si="32"/>
        <v>-0.88102863086440031</v>
      </c>
      <c r="H227" s="464">
        <v>58454.400000000001</v>
      </c>
      <c r="I227" s="1037"/>
      <c r="J227" s="1037"/>
      <c r="K227" s="1037"/>
      <c r="L227" s="1037"/>
      <c r="M227" s="1037"/>
      <c r="N227" s="1037"/>
      <c r="O227" s="1037"/>
      <c r="P227" s="1037"/>
      <c r="Q227" s="1037"/>
      <c r="R227" s="1037"/>
      <c r="S227" s="1037"/>
      <c r="T227" s="1037"/>
      <c r="U227" s="1037"/>
      <c r="V227" s="1037"/>
      <c r="W227" s="1037"/>
      <c r="X227" s="1037"/>
      <c r="Y227" s="1037"/>
      <c r="Z227" s="1037"/>
      <c r="AA227" s="1037"/>
      <c r="AB227" s="1037"/>
      <c r="AC227" s="1037"/>
      <c r="AD227" s="1037"/>
      <c r="AE227" s="1037"/>
      <c r="AF227" s="1037"/>
      <c r="AG227" s="1037"/>
      <c r="AH227" s="1037"/>
      <c r="AI227" s="1037"/>
      <c r="AJ227" s="1037"/>
      <c r="AK227" s="1037"/>
      <c r="AL227" s="1037"/>
      <c r="AM227" s="1037"/>
      <c r="AN227" s="1037"/>
      <c r="AO227" s="1037"/>
      <c r="AP227" s="1037"/>
      <c r="AQ227" s="1037"/>
      <c r="AR227" s="1037"/>
      <c r="AS227" s="1037"/>
      <c r="AT227" s="1037"/>
      <c r="AU227" s="1037"/>
      <c r="AV227" s="1037"/>
      <c r="AW227" s="1037"/>
      <c r="AX227" s="1037"/>
      <c r="AY227" s="1037"/>
      <c r="AZ227" s="1037"/>
      <c r="BA227" s="1037"/>
      <c r="BB227" s="1037"/>
      <c r="BC227" s="1037"/>
      <c r="BD227" s="1037"/>
      <c r="BE227" s="1037"/>
      <c r="BF227" s="1037"/>
      <c r="BG227" s="1037"/>
      <c r="BH227" s="1037"/>
      <c r="BI227" s="1037"/>
      <c r="BJ227" s="1037"/>
      <c r="BK227" s="1037"/>
      <c r="BL227" s="1037"/>
      <c r="BM227" s="1037"/>
      <c r="BN227" s="1037"/>
      <c r="BO227" s="1037"/>
      <c r="BP227" s="1037"/>
      <c r="BQ227" s="1037"/>
      <c r="BR227" s="1037"/>
      <c r="BS227" s="1037"/>
      <c r="BT227" s="1037"/>
      <c r="BU227" s="1037"/>
      <c r="BV227" s="1037"/>
      <c r="BW227" s="1037"/>
      <c r="BX227" s="1037"/>
      <c r="BY227" s="1037"/>
      <c r="BZ227" s="1037"/>
      <c r="CA227" s="1037"/>
      <c r="CB227" s="1037"/>
      <c r="CC227" s="1037"/>
      <c r="CD227" s="1037"/>
      <c r="CE227" s="1037"/>
      <c r="CF227" s="1037"/>
      <c r="CG227" s="1037"/>
      <c r="CH227" s="1037"/>
      <c r="CI227" s="1037"/>
      <c r="CJ227" s="1037"/>
      <c r="CK227" s="1037"/>
      <c r="CL227" s="1037"/>
      <c r="CM227" s="1037"/>
      <c r="CN227" s="1037"/>
      <c r="CO227" s="1037"/>
      <c r="CP227" s="1037"/>
      <c r="CQ227" s="1037"/>
      <c r="CR227" s="1037"/>
      <c r="CS227" s="1037"/>
      <c r="CT227" s="1037"/>
      <c r="CU227" s="1037"/>
      <c r="CV227" s="1037"/>
      <c r="CW227" s="1037"/>
      <c r="CX227" s="1037"/>
      <c r="CY227" s="1037"/>
      <c r="CZ227" s="1037"/>
      <c r="DA227" s="1037"/>
      <c r="DB227" s="1037"/>
      <c r="DC227" s="1037"/>
      <c r="DD227" s="1037"/>
      <c r="DE227" s="1037"/>
      <c r="DF227" s="1037"/>
      <c r="DG227" s="1037"/>
      <c r="DH227" s="1037"/>
      <c r="DI227" s="1037"/>
      <c r="DJ227" s="1037"/>
      <c r="DK227" s="1037"/>
      <c r="DL227" s="1037"/>
      <c r="DM227" s="1037"/>
      <c r="DN227" s="1037"/>
      <c r="DO227" s="1037"/>
      <c r="DP227" s="1037"/>
      <c r="DQ227" s="1037"/>
      <c r="DR227" s="1037"/>
      <c r="DS227" s="1037"/>
      <c r="DT227" s="1037"/>
      <c r="DU227" s="1037"/>
      <c r="DV227" s="1037"/>
      <c r="DW227" s="1037"/>
      <c r="DX227" s="1037"/>
      <c r="DY227" s="1037"/>
      <c r="DZ227" s="1037"/>
      <c r="EA227" s="1037"/>
      <c r="EB227" s="1037"/>
      <c r="EC227" s="1037"/>
      <c r="ED227" s="1037"/>
      <c r="EE227" s="1037"/>
      <c r="EF227" s="1037"/>
      <c r="EG227" s="1037"/>
      <c r="EH227" s="1037"/>
      <c r="EI227" s="1037"/>
      <c r="EJ227" s="1037"/>
      <c r="EK227" s="1037"/>
      <c r="EL227" s="1037"/>
      <c r="EM227" s="1037"/>
      <c r="EN227" s="1037"/>
      <c r="EO227" s="1037"/>
      <c r="EP227" s="1037"/>
      <c r="EQ227" s="1037"/>
      <c r="ER227" s="1037"/>
      <c r="ES227" s="1037"/>
      <c r="ET227" s="1037"/>
      <c r="EU227" s="1037"/>
      <c r="EV227" s="1037"/>
      <c r="EW227" s="1037"/>
      <c r="EX227" s="1037"/>
      <c r="EY227" s="1037"/>
      <c r="EZ227" s="1037"/>
      <c r="FA227" s="1037"/>
      <c r="FB227" s="1037"/>
      <c r="FC227" s="1037"/>
      <c r="FD227" s="1037"/>
      <c r="FE227" s="1037"/>
      <c r="FF227" s="1037"/>
      <c r="FG227" s="1037"/>
      <c r="FH227" s="1037"/>
      <c r="FI227" s="1037"/>
      <c r="FJ227" s="1037"/>
      <c r="FK227" s="1037"/>
      <c r="FL227" s="1037"/>
      <c r="FM227" s="1037"/>
      <c r="FN227" s="1037"/>
      <c r="FO227" s="1037"/>
      <c r="FP227" s="1037"/>
      <c r="FQ227" s="1037"/>
      <c r="FR227" s="1037"/>
      <c r="FS227" s="1037"/>
      <c r="FT227" s="1037"/>
      <c r="FU227" s="1037"/>
      <c r="FV227" s="1037"/>
      <c r="FW227" s="1037"/>
      <c r="FX227" s="1037"/>
      <c r="FY227" s="1037"/>
      <c r="FZ227" s="1037"/>
      <c r="GA227" s="1037"/>
      <c r="GB227" s="1037"/>
      <c r="GC227" s="1037"/>
      <c r="GD227" s="1037"/>
      <c r="GE227" s="1037"/>
      <c r="GF227" s="1037"/>
      <c r="GG227" s="1037"/>
      <c r="GH227" s="1037"/>
      <c r="GI227" s="1037"/>
      <c r="GJ227" s="1037"/>
      <c r="GK227" s="1037"/>
      <c r="GL227" s="1037"/>
      <c r="GM227" s="1037"/>
      <c r="GN227" s="1037"/>
      <c r="GO227" s="1037"/>
      <c r="GP227" s="1037"/>
      <c r="GQ227" s="1037"/>
      <c r="GR227" s="1037"/>
      <c r="GS227" s="1037"/>
      <c r="GT227" s="1037"/>
      <c r="GU227" s="1037"/>
      <c r="GV227" s="1037"/>
      <c r="GW227" s="1037"/>
      <c r="GX227" s="1037"/>
      <c r="GY227" s="1037"/>
      <c r="GZ227" s="1037"/>
      <c r="HA227" s="1037"/>
      <c r="HB227" s="1037"/>
      <c r="HC227" s="1037"/>
      <c r="HD227" s="1037"/>
      <c r="HE227" s="1037"/>
      <c r="HF227" s="1037"/>
      <c r="HG227" s="1037"/>
      <c r="HH227" s="1037"/>
      <c r="HI227" s="1037"/>
      <c r="HJ227" s="1037"/>
      <c r="HK227" s="1037"/>
      <c r="HL227" s="1037"/>
      <c r="HM227" s="1037"/>
      <c r="HN227" s="1037"/>
      <c r="HO227" s="1037"/>
      <c r="HP227" s="1037"/>
      <c r="HQ227" s="1037"/>
      <c r="HR227" s="1037"/>
      <c r="HS227" s="1037"/>
      <c r="HT227" s="1037"/>
      <c r="HU227" s="1037"/>
      <c r="HV227" s="1037"/>
      <c r="HW227" s="1037"/>
      <c r="HX227" s="1037"/>
      <c r="HY227" s="1037"/>
      <c r="HZ227" s="1037"/>
      <c r="IA227" s="1037"/>
      <c r="IB227" s="1037"/>
      <c r="IC227" s="1037"/>
      <c r="ID227" s="1037"/>
      <c r="IE227" s="1037"/>
      <c r="IF227" s="1037"/>
      <c r="IG227" s="1037"/>
      <c r="IH227" s="1037"/>
      <c r="II227" s="1037"/>
      <c r="IJ227" s="1037"/>
      <c r="IK227" s="1037"/>
      <c r="IL227" s="1037"/>
      <c r="IM227" s="1037"/>
      <c r="IN227" s="1037"/>
    </row>
    <row r="228" spans="1:248">
      <c r="A228" s="930" t="s">
        <v>28</v>
      </c>
      <c r="B228" s="703">
        <v>22241.1</v>
      </c>
      <c r="C228" s="703">
        <f t="shared" si="29"/>
        <v>34.513735756417077</v>
      </c>
      <c r="D228" s="703">
        <v>22162.7</v>
      </c>
      <c r="E228" s="1038">
        <f t="shared" si="30"/>
        <v>34.392074647780227</v>
      </c>
      <c r="F228" s="1038">
        <f>B228-D228</f>
        <v>78.399999999997817</v>
      </c>
      <c r="G228" s="1038">
        <f t="shared" si="32"/>
        <v>0.12166110863684905</v>
      </c>
      <c r="H228" s="464">
        <v>64441.3</v>
      </c>
      <c r="I228" s="1037"/>
      <c r="J228" s="1037"/>
      <c r="K228" s="1037"/>
      <c r="L228" s="1037"/>
      <c r="M228" s="1037"/>
      <c r="N228" s="1037"/>
      <c r="O228" s="1037"/>
      <c r="P228" s="1037"/>
      <c r="Q228" s="1037"/>
      <c r="R228" s="1037"/>
      <c r="S228" s="1037"/>
      <c r="T228" s="1037"/>
      <c r="U228" s="1037"/>
      <c r="V228" s="1037"/>
      <c r="W228" s="1037"/>
      <c r="X228" s="1037"/>
      <c r="Y228" s="1037"/>
      <c r="Z228" s="1037"/>
      <c r="AA228" s="1037"/>
      <c r="AB228" s="1037"/>
      <c r="AC228" s="1037"/>
      <c r="AD228" s="1037"/>
      <c r="AE228" s="1037"/>
      <c r="AF228" s="1037"/>
      <c r="AG228" s="1037"/>
      <c r="AH228" s="1037"/>
      <c r="AI228" s="1037"/>
      <c r="AJ228" s="1037"/>
      <c r="AK228" s="1037"/>
      <c r="AL228" s="1037"/>
      <c r="AM228" s="1037"/>
      <c r="AN228" s="1037"/>
      <c r="AO228" s="1037"/>
      <c r="AP228" s="1037"/>
      <c r="AQ228" s="1037"/>
      <c r="AR228" s="1037"/>
      <c r="AS228" s="1037"/>
      <c r="AT228" s="1037"/>
      <c r="AU228" s="1037"/>
      <c r="AV228" s="1037"/>
      <c r="AW228" s="1037"/>
      <c r="AX228" s="1037"/>
      <c r="AY228" s="1037"/>
      <c r="AZ228" s="1037"/>
      <c r="BA228" s="1037"/>
      <c r="BB228" s="1037"/>
      <c r="BC228" s="1037"/>
      <c r="BD228" s="1037"/>
      <c r="BE228" s="1037"/>
      <c r="BF228" s="1037"/>
      <c r="BG228" s="1037"/>
      <c r="BH228" s="1037"/>
      <c r="BI228" s="1037"/>
      <c r="BJ228" s="1037"/>
      <c r="BK228" s="1037"/>
      <c r="BL228" s="1037"/>
      <c r="BM228" s="1037"/>
      <c r="BN228" s="1037"/>
      <c r="BO228" s="1037"/>
      <c r="BP228" s="1037"/>
      <c r="BQ228" s="1037"/>
      <c r="BR228" s="1037"/>
      <c r="BS228" s="1037"/>
      <c r="BT228" s="1037"/>
      <c r="BU228" s="1037"/>
      <c r="BV228" s="1037"/>
      <c r="BW228" s="1037"/>
      <c r="BX228" s="1037"/>
      <c r="BY228" s="1037"/>
      <c r="BZ228" s="1037"/>
      <c r="CA228" s="1037"/>
      <c r="CB228" s="1037"/>
      <c r="CC228" s="1037"/>
      <c r="CD228" s="1037"/>
      <c r="CE228" s="1037"/>
      <c r="CF228" s="1037"/>
      <c r="CG228" s="1037"/>
      <c r="CH228" s="1037"/>
      <c r="CI228" s="1037"/>
      <c r="CJ228" s="1037"/>
      <c r="CK228" s="1037"/>
      <c r="CL228" s="1037"/>
      <c r="CM228" s="1037"/>
      <c r="CN228" s="1037"/>
      <c r="CO228" s="1037"/>
      <c r="CP228" s="1037"/>
      <c r="CQ228" s="1037"/>
      <c r="CR228" s="1037"/>
      <c r="CS228" s="1037"/>
      <c r="CT228" s="1037"/>
      <c r="CU228" s="1037"/>
      <c r="CV228" s="1037"/>
      <c r="CW228" s="1037"/>
      <c r="CX228" s="1037"/>
      <c r="CY228" s="1037"/>
      <c r="CZ228" s="1037"/>
      <c r="DA228" s="1037"/>
      <c r="DB228" s="1037"/>
      <c r="DC228" s="1037"/>
      <c r="DD228" s="1037"/>
      <c r="DE228" s="1037"/>
      <c r="DF228" s="1037"/>
      <c r="DG228" s="1037"/>
      <c r="DH228" s="1037"/>
      <c r="DI228" s="1037"/>
      <c r="DJ228" s="1037"/>
      <c r="DK228" s="1037"/>
      <c r="DL228" s="1037"/>
      <c r="DM228" s="1037"/>
      <c r="DN228" s="1037"/>
      <c r="DO228" s="1037"/>
      <c r="DP228" s="1037"/>
      <c r="DQ228" s="1037"/>
      <c r="DR228" s="1037"/>
      <c r="DS228" s="1037"/>
      <c r="DT228" s="1037"/>
      <c r="DU228" s="1037"/>
      <c r="DV228" s="1037"/>
      <c r="DW228" s="1037"/>
      <c r="DX228" s="1037"/>
      <c r="DY228" s="1037"/>
      <c r="DZ228" s="1037"/>
      <c r="EA228" s="1037"/>
      <c r="EB228" s="1037"/>
      <c r="EC228" s="1037"/>
      <c r="ED228" s="1037"/>
      <c r="EE228" s="1037"/>
      <c r="EF228" s="1037"/>
      <c r="EG228" s="1037"/>
      <c r="EH228" s="1037"/>
      <c r="EI228" s="1037"/>
      <c r="EJ228" s="1037"/>
      <c r="EK228" s="1037"/>
      <c r="EL228" s="1037"/>
      <c r="EM228" s="1037"/>
      <c r="EN228" s="1037"/>
      <c r="EO228" s="1037"/>
      <c r="EP228" s="1037"/>
      <c r="EQ228" s="1037"/>
      <c r="ER228" s="1037"/>
      <c r="ES228" s="1037"/>
      <c r="ET228" s="1037"/>
      <c r="EU228" s="1037"/>
      <c r="EV228" s="1037"/>
      <c r="EW228" s="1037"/>
      <c r="EX228" s="1037"/>
      <c r="EY228" s="1037"/>
      <c r="EZ228" s="1037"/>
      <c r="FA228" s="1037"/>
      <c r="FB228" s="1037"/>
      <c r="FC228" s="1037"/>
      <c r="FD228" s="1037"/>
      <c r="FE228" s="1037"/>
      <c r="FF228" s="1037"/>
      <c r="FG228" s="1037"/>
      <c r="FH228" s="1037"/>
      <c r="FI228" s="1037"/>
      <c r="FJ228" s="1037"/>
      <c r="FK228" s="1037"/>
      <c r="FL228" s="1037"/>
      <c r="FM228" s="1037"/>
      <c r="FN228" s="1037"/>
      <c r="FO228" s="1037"/>
      <c r="FP228" s="1037"/>
      <c r="FQ228" s="1037"/>
      <c r="FR228" s="1037"/>
      <c r="FS228" s="1037"/>
      <c r="FT228" s="1037"/>
      <c r="FU228" s="1037"/>
      <c r="FV228" s="1037"/>
      <c r="FW228" s="1037"/>
      <c r="FX228" s="1037"/>
      <c r="FY228" s="1037"/>
      <c r="FZ228" s="1037"/>
      <c r="GA228" s="1037"/>
      <c r="GB228" s="1037"/>
      <c r="GC228" s="1037"/>
      <c r="GD228" s="1037"/>
      <c r="GE228" s="1037"/>
      <c r="GF228" s="1037"/>
      <c r="GG228" s="1037"/>
      <c r="GH228" s="1037"/>
      <c r="GI228" s="1037"/>
      <c r="GJ228" s="1037"/>
      <c r="GK228" s="1037"/>
      <c r="GL228" s="1037"/>
      <c r="GM228" s="1037"/>
      <c r="GN228" s="1037"/>
      <c r="GO228" s="1037"/>
      <c r="GP228" s="1037"/>
      <c r="GQ228" s="1037"/>
      <c r="GR228" s="1037"/>
      <c r="GS228" s="1037"/>
      <c r="GT228" s="1037"/>
      <c r="GU228" s="1037"/>
      <c r="GV228" s="1037"/>
      <c r="GW228" s="1037"/>
      <c r="GX228" s="1037"/>
      <c r="GY228" s="1037"/>
      <c r="GZ228" s="1037"/>
      <c r="HA228" s="1037"/>
      <c r="HB228" s="1037"/>
      <c r="HC228" s="1037"/>
      <c r="HD228" s="1037"/>
      <c r="HE228" s="1037"/>
      <c r="HF228" s="1037"/>
      <c r="HG228" s="1037"/>
      <c r="HH228" s="1037"/>
      <c r="HI228" s="1037"/>
      <c r="HJ228" s="1037"/>
      <c r="HK228" s="1037"/>
      <c r="HL228" s="1037"/>
      <c r="HM228" s="1037"/>
      <c r="HN228" s="1037"/>
      <c r="HO228" s="1037"/>
      <c r="HP228" s="1037"/>
      <c r="HQ228" s="1037"/>
      <c r="HR228" s="1037"/>
      <c r="HS228" s="1037"/>
      <c r="HT228" s="1037"/>
      <c r="HU228" s="1037"/>
      <c r="HV228" s="1037"/>
      <c r="HW228" s="1037"/>
      <c r="HX228" s="1037"/>
      <c r="HY228" s="1037"/>
      <c r="HZ228" s="1037"/>
      <c r="IA228" s="1037"/>
      <c r="IB228" s="1037"/>
      <c r="IC228" s="1037"/>
      <c r="ID228" s="1037"/>
      <c r="IE228" s="1037"/>
      <c r="IF228" s="1037"/>
      <c r="IG228" s="1037"/>
      <c r="IH228" s="1037"/>
      <c r="II228" s="1037"/>
      <c r="IJ228" s="1037"/>
      <c r="IK228" s="1037"/>
      <c r="IL228" s="1037"/>
      <c r="IM228" s="1037"/>
      <c r="IN228" s="1037"/>
    </row>
    <row r="229" spans="1:248">
      <c r="A229" s="705" t="s">
        <v>29</v>
      </c>
      <c r="B229" s="703">
        <v>24681.7</v>
      </c>
      <c r="C229" s="703">
        <f t="shared" si="29"/>
        <v>34.007090293077383</v>
      </c>
      <c r="D229" s="706">
        <v>26416.3</v>
      </c>
      <c r="E229" s="1038">
        <f t="shared" si="30"/>
        <v>36.397067434942493</v>
      </c>
      <c r="F229" s="1038">
        <f>B229-D229</f>
        <v>-1734.5999999999985</v>
      </c>
      <c r="G229" s="1038">
        <f t="shared" si="32"/>
        <v>-2.3899771418651059</v>
      </c>
      <c r="H229" s="464">
        <v>72578.100000000006</v>
      </c>
      <c r="I229" s="1037"/>
      <c r="J229" s="1037"/>
      <c r="K229" s="1037"/>
      <c r="L229" s="1037"/>
      <c r="M229" s="1037"/>
      <c r="N229" s="1037"/>
      <c r="O229" s="1037"/>
      <c r="P229" s="1037"/>
      <c r="Q229" s="1037"/>
      <c r="R229" s="1037"/>
      <c r="S229" s="1037"/>
      <c r="T229" s="1037"/>
      <c r="U229" s="1037"/>
      <c r="V229" s="1037"/>
      <c r="W229" s="1037"/>
      <c r="X229" s="1037"/>
      <c r="Y229" s="1037"/>
      <c r="Z229" s="1037"/>
      <c r="AA229" s="1037"/>
      <c r="AB229" s="1037"/>
      <c r="AC229" s="1037"/>
      <c r="AD229" s="1037"/>
      <c r="AE229" s="1037"/>
      <c r="AF229" s="1037"/>
      <c r="AG229" s="1037"/>
      <c r="AH229" s="1037"/>
      <c r="AI229" s="1037"/>
      <c r="AJ229" s="1037"/>
      <c r="AK229" s="1037"/>
      <c r="AL229" s="1037"/>
      <c r="AM229" s="1037"/>
      <c r="AN229" s="1037"/>
      <c r="AO229" s="1037"/>
      <c r="AP229" s="1037"/>
      <c r="AQ229" s="1037"/>
      <c r="AR229" s="1037"/>
      <c r="AS229" s="1037"/>
      <c r="AT229" s="1037"/>
      <c r="AU229" s="1037"/>
      <c r="AV229" s="1037"/>
      <c r="AW229" s="1037"/>
      <c r="AX229" s="1037"/>
      <c r="AY229" s="1037"/>
      <c r="AZ229" s="1037"/>
      <c r="BA229" s="1037"/>
      <c r="BB229" s="1037"/>
      <c r="BC229" s="1037"/>
      <c r="BD229" s="1037"/>
      <c r="BE229" s="1037"/>
      <c r="BF229" s="1037"/>
      <c r="BG229" s="1037"/>
      <c r="BH229" s="1037"/>
      <c r="BI229" s="1037"/>
      <c r="BJ229" s="1037"/>
      <c r="BK229" s="1037"/>
      <c r="BL229" s="1037"/>
      <c r="BM229" s="1037"/>
      <c r="BN229" s="1037"/>
      <c r="BO229" s="1037"/>
      <c r="BP229" s="1037"/>
      <c r="BQ229" s="1037"/>
      <c r="BR229" s="1037"/>
      <c r="BS229" s="1037"/>
      <c r="BT229" s="1037"/>
      <c r="BU229" s="1037"/>
      <c r="BV229" s="1037"/>
      <c r="BW229" s="1037"/>
      <c r="BX229" s="1037"/>
      <c r="BY229" s="1037"/>
      <c r="BZ229" s="1037"/>
      <c r="CA229" s="1037"/>
      <c r="CB229" s="1037"/>
      <c r="CC229" s="1037"/>
      <c r="CD229" s="1037"/>
      <c r="CE229" s="1037"/>
      <c r="CF229" s="1037"/>
      <c r="CG229" s="1037"/>
      <c r="CH229" s="1037"/>
      <c r="CI229" s="1037"/>
      <c r="CJ229" s="1037"/>
      <c r="CK229" s="1037"/>
      <c r="CL229" s="1037"/>
      <c r="CM229" s="1037"/>
      <c r="CN229" s="1037"/>
      <c r="CO229" s="1037"/>
      <c r="CP229" s="1037"/>
      <c r="CQ229" s="1037"/>
      <c r="CR229" s="1037"/>
      <c r="CS229" s="1037"/>
      <c r="CT229" s="1037"/>
      <c r="CU229" s="1037"/>
      <c r="CV229" s="1037"/>
      <c r="CW229" s="1037"/>
      <c r="CX229" s="1037"/>
      <c r="CY229" s="1037"/>
      <c r="CZ229" s="1037"/>
      <c r="DA229" s="1037"/>
      <c r="DB229" s="1037"/>
      <c r="DC229" s="1037"/>
      <c r="DD229" s="1037"/>
      <c r="DE229" s="1037"/>
      <c r="DF229" s="1037"/>
      <c r="DG229" s="1037"/>
      <c r="DH229" s="1037"/>
      <c r="DI229" s="1037"/>
      <c r="DJ229" s="1037"/>
      <c r="DK229" s="1037"/>
      <c r="DL229" s="1037"/>
      <c r="DM229" s="1037"/>
      <c r="DN229" s="1037"/>
      <c r="DO229" s="1037"/>
      <c r="DP229" s="1037"/>
      <c r="DQ229" s="1037"/>
      <c r="DR229" s="1037"/>
      <c r="DS229" s="1037"/>
      <c r="DT229" s="1037"/>
      <c r="DU229" s="1037"/>
      <c r="DV229" s="1037"/>
      <c r="DW229" s="1037"/>
      <c r="DX229" s="1037"/>
      <c r="DY229" s="1037"/>
      <c r="DZ229" s="1037"/>
      <c r="EA229" s="1037"/>
      <c r="EB229" s="1037"/>
      <c r="EC229" s="1037"/>
      <c r="ED229" s="1037"/>
      <c r="EE229" s="1037"/>
      <c r="EF229" s="1037"/>
      <c r="EG229" s="1037"/>
      <c r="EH229" s="1037"/>
      <c r="EI229" s="1037"/>
      <c r="EJ229" s="1037"/>
      <c r="EK229" s="1037"/>
      <c r="EL229" s="1037"/>
      <c r="EM229" s="1037"/>
      <c r="EN229" s="1037"/>
      <c r="EO229" s="1037"/>
      <c r="EP229" s="1037"/>
      <c r="EQ229" s="1037"/>
      <c r="ER229" s="1037"/>
      <c r="ES229" s="1037"/>
      <c r="ET229" s="1037"/>
      <c r="EU229" s="1037"/>
      <c r="EV229" s="1037"/>
      <c r="EW229" s="1037"/>
      <c r="EX229" s="1037"/>
      <c r="EY229" s="1037"/>
      <c r="EZ229" s="1037"/>
      <c r="FA229" s="1037"/>
      <c r="FB229" s="1037"/>
      <c r="FC229" s="1037"/>
      <c r="FD229" s="1037"/>
      <c r="FE229" s="1037"/>
      <c r="FF229" s="1037"/>
      <c r="FG229" s="1037"/>
      <c r="FH229" s="1037"/>
      <c r="FI229" s="1037"/>
      <c r="FJ229" s="1037"/>
      <c r="FK229" s="1037"/>
      <c r="FL229" s="1037"/>
      <c r="FM229" s="1037"/>
      <c r="FN229" s="1037"/>
      <c r="FO229" s="1037"/>
      <c r="FP229" s="1037"/>
      <c r="FQ229" s="1037"/>
      <c r="FR229" s="1037"/>
      <c r="FS229" s="1037"/>
      <c r="FT229" s="1037"/>
      <c r="FU229" s="1037"/>
      <c r="FV229" s="1037"/>
      <c r="FW229" s="1037"/>
      <c r="FX229" s="1037"/>
      <c r="FY229" s="1037"/>
      <c r="FZ229" s="1037"/>
      <c r="GA229" s="1037"/>
      <c r="GB229" s="1037"/>
      <c r="GC229" s="1037"/>
      <c r="GD229" s="1037"/>
      <c r="GE229" s="1037"/>
      <c r="GF229" s="1037"/>
      <c r="GG229" s="1037"/>
      <c r="GH229" s="1037"/>
      <c r="GI229" s="1037"/>
      <c r="GJ229" s="1037"/>
      <c r="GK229" s="1037"/>
      <c r="GL229" s="1037"/>
      <c r="GM229" s="1037"/>
      <c r="GN229" s="1037"/>
      <c r="GO229" s="1037"/>
      <c r="GP229" s="1037"/>
      <c r="GQ229" s="1037"/>
      <c r="GR229" s="1037"/>
      <c r="GS229" s="1037"/>
      <c r="GT229" s="1037"/>
      <c r="GU229" s="1037"/>
      <c r="GV229" s="1037"/>
      <c r="GW229" s="1037"/>
      <c r="GX229" s="1037"/>
      <c r="GY229" s="1037"/>
      <c r="GZ229" s="1037"/>
      <c r="HA229" s="1037"/>
      <c r="HB229" s="1037"/>
      <c r="HC229" s="1037"/>
      <c r="HD229" s="1037"/>
      <c r="HE229" s="1037"/>
      <c r="HF229" s="1037"/>
      <c r="HG229" s="1037"/>
      <c r="HH229" s="1037"/>
      <c r="HI229" s="1037"/>
      <c r="HJ229" s="1037"/>
      <c r="HK229" s="1037"/>
      <c r="HL229" s="1037"/>
      <c r="HM229" s="1037"/>
      <c r="HN229" s="1037"/>
      <c r="HO229" s="1037"/>
      <c r="HP229" s="1037"/>
      <c r="HQ229" s="1037"/>
      <c r="HR229" s="1037"/>
      <c r="HS229" s="1037"/>
      <c r="HT229" s="1037"/>
      <c r="HU229" s="1037"/>
      <c r="HV229" s="1037"/>
      <c r="HW229" s="1037"/>
      <c r="HX229" s="1037"/>
      <c r="HY229" s="1037"/>
      <c r="HZ229" s="1037"/>
      <c r="IA229" s="1037"/>
      <c r="IB229" s="1037"/>
      <c r="IC229" s="1037"/>
      <c r="ID229" s="1037"/>
      <c r="IE229" s="1037"/>
      <c r="IF229" s="1037"/>
      <c r="IG229" s="1037"/>
      <c r="IH229" s="1037"/>
      <c r="II229" s="1037"/>
      <c r="IJ229" s="1037"/>
      <c r="IK229" s="1037"/>
      <c r="IL229" s="1037"/>
      <c r="IM229" s="1037"/>
      <c r="IN229" s="1037"/>
    </row>
    <row r="230" spans="1:248">
      <c r="A230" s="930" t="s">
        <v>2583</v>
      </c>
      <c r="B230" s="698">
        <v>26419.1</v>
      </c>
      <c r="C230" s="698">
        <v>28.451167754531937</v>
      </c>
      <c r="D230" s="698">
        <v>27412.799999999999</v>
      </c>
      <c r="E230" s="1039">
        <v>29.52129979527815</v>
      </c>
      <c r="F230" s="1039">
        <v>-993.70000000000073</v>
      </c>
      <c r="G230" s="1039">
        <v>-1.0701320407462178</v>
      </c>
      <c r="H230" s="464"/>
      <c r="I230" s="1037"/>
      <c r="J230" s="1037"/>
      <c r="K230" s="1037"/>
      <c r="L230" s="1037"/>
      <c r="M230" s="1037"/>
      <c r="N230" s="1037"/>
      <c r="O230" s="1037"/>
      <c r="P230" s="1037"/>
      <c r="Q230" s="1037"/>
      <c r="R230" s="1037"/>
      <c r="S230" s="1037"/>
      <c r="T230" s="1037"/>
      <c r="U230" s="1037"/>
      <c r="V230" s="1037"/>
      <c r="W230" s="1037"/>
      <c r="X230" s="1037"/>
      <c r="Y230" s="1037"/>
      <c r="Z230" s="1037"/>
      <c r="AA230" s="1037"/>
      <c r="AB230" s="1037"/>
      <c r="AC230" s="1037"/>
      <c r="AD230" s="1037"/>
      <c r="AE230" s="1037"/>
      <c r="AF230" s="1037"/>
      <c r="AG230" s="1037"/>
      <c r="AH230" s="1037"/>
      <c r="AI230" s="1037"/>
      <c r="AJ230" s="1037"/>
      <c r="AK230" s="1037"/>
      <c r="AL230" s="1037"/>
      <c r="AM230" s="1037"/>
      <c r="AN230" s="1037"/>
      <c r="AO230" s="1037"/>
      <c r="AP230" s="1037"/>
      <c r="AQ230" s="1037"/>
      <c r="AR230" s="1037"/>
      <c r="AS230" s="1037"/>
      <c r="AT230" s="1037"/>
      <c r="AU230" s="1037"/>
      <c r="AV230" s="1037"/>
      <c r="AW230" s="1037"/>
      <c r="AX230" s="1037"/>
      <c r="AY230" s="1037"/>
      <c r="AZ230" s="1037"/>
      <c r="BA230" s="1037"/>
      <c r="BB230" s="1037"/>
      <c r="BC230" s="1037"/>
      <c r="BD230" s="1037"/>
      <c r="BE230" s="1037"/>
      <c r="BF230" s="1037"/>
      <c r="BG230" s="1037"/>
      <c r="BH230" s="1037"/>
      <c r="BI230" s="1037"/>
      <c r="BJ230" s="1037"/>
      <c r="BK230" s="1037"/>
      <c r="BL230" s="1037"/>
      <c r="BM230" s="1037"/>
      <c r="BN230" s="1037"/>
      <c r="BO230" s="1037"/>
      <c r="BP230" s="1037"/>
      <c r="BQ230" s="1037"/>
      <c r="BR230" s="1037"/>
      <c r="BS230" s="1037"/>
      <c r="BT230" s="1037"/>
      <c r="BU230" s="1037"/>
      <c r="BV230" s="1037"/>
      <c r="BW230" s="1037"/>
      <c r="BX230" s="1037"/>
      <c r="BY230" s="1037"/>
      <c r="BZ230" s="1037"/>
      <c r="CA230" s="1037"/>
      <c r="CB230" s="1037"/>
      <c r="CC230" s="1037"/>
      <c r="CD230" s="1037"/>
      <c r="CE230" s="1037"/>
      <c r="CF230" s="1037"/>
      <c r="CG230" s="1037"/>
      <c r="CH230" s="1037"/>
      <c r="CI230" s="1037"/>
      <c r="CJ230" s="1037"/>
      <c r="CK230" s="1037"/>
      <c r="CL230" s="1037"/>
      <c r="CM230" s="1037"/>
      <c r="CN230" s="1037"/>
      <c r="CO230" s="1037"/>
      <c r="CP230" s="1037"/>
      <c r="CQ230" s="1037"/>
      <c r="CR230" s="1037"/>
      <c r="CS230" s="1037"/>
      <c r="CT230" s="1037"/>
      <c r="CU230" s="1037"/>
      <c r="CV230" s="1037"/>
      <c r="CW230" s="1037"/>
      <c r="CX230" s="1037"/>
      <c r="CY230" s="1037"/>
      <c r="CZ230" s="1037"/>
      <c r="DA230" s="1037"/>
      <c r="DB230" s="1037"/>
      <c r="DC230" s="1037"/>
      <c r="DD230" s="1037"/>
      <c r="DE230" s="1037"/>
      <c r="DF230" s="1037"/>
      <c r="DG230" s="1037"/>
      <c r="DH230" s="1037"/>
      <c r="DI230" s="1037"/>
      <c r="DJ230" s="1037"/>
      <c r="DK230" s="1037"/>
      <c r="DL230" s="1037"/>
      <c r="DM230" s="1037"/>
      <c r="DN230" s="1037"/>
      <c r="DO230" s="1037"/>
      <c r="DP230" s="1037"/>
      <c r="DQ230" s="1037"/>
      <c r="DR230" s="1037"/>
      <c r="DS230" s="1037"/>
      <c r="DT230" s="1037"/>
      <c r="DU230" s="1037"/>
      <c r="DV230" s="1037"/>
      <c r="DW230" s="1037"/>
      <c r="DX230" s="1037"/>
      <c r="DY230" s="1037"/>
      <c r="DZ230" s="1037"/>
      <c r="EA230" s="1037"/>
      <c r="EB230" s="1037"/>
      <c r="EC230" s="1037"/>
      <c r="ED230" s="1037"/>
      <c r="EE230" s="1037"/>
      <c r="EF230" s="1037"/>
      <c r="EG230" s="1037"/>
      <c r="EH230" s="1037"/>
      <c r="EI230" s="1037"/>
      <c r="EJ230" s="1037"/>
      <c r="EK230" s="1037"/>
      <c r="EL230" s="1037"/>
      <c r="EM230" s="1037"/>
      <c r="EN230" s="1037"/>
      <c r="EO230" s="1037"/>
      <c r="EP230" s="1037"/>
      <c r="EQ230" s="1037"/>
      <c r="ER230" s="1037"/>
      <c r="ES230" s="1037"/>
      <c r="ET230" s="1037"/>
      <c r="EU230" s="1037"/>
      <c r="EV230" s="1037"/>
      <c r="EW230" s="1037"/>
      <c r="EX230" s="1037"/>
      <c r="EY230" s="1037"/>
      <c r="EZ230" s="1037"/>
      <c r="FA230" s="1037"/>
      <c r="FB230" s="1037"/>
      <c r="FC230" s="1037"/>
      <c r="FD230" s="1037"/>
      <c r="FE230" s="1037"/>
      <c r="FF230" s="1037"/>
      <c r="FG230" s="1037"/>
      <c r="FH230" s="1037"/>
      <c r="FI230" s="1037"/>
      <c r="FJ230" s="1037"/>
      <c r="FK230" s="1037"/>
      <c r="FL230" s="1037"/>
      <c r="FM230" s="1037"/>
      <c r="FN230" s="1037"/>
      <c r="FO230" s="1037"/>
      <c r="FP230" s="1037"/>
      <c r="FQ230" s="1037"/>
      <c r="FR230" s="1037"/>
      <c r="FS230" s="1037"/>
      <c r="FT230" s="1037"/>
      <c r="FU230" s="1037"/>
      <c r="FV230" s="1037"/>
      <c r="FW230" s="1037"/>
      <c r="FX230" s="1037"/>
      <c r="FY230" s="1037"/>
      <c r="FZ230" s="1037"/>
      <c r="GA230" s="1037"/>
      <c r="GB230" s="1037"/>
      <c r="GC230" s="1037"/>
      <c r="GD230" s="1037"/>
      <c r="GE230" s="1037"/>
      <c r="GF230" s="1037"/>
      <c r="GG230" s="1037"/>
      <c r="GH230" s="1037"/>
      <c r="GI230" s="1037"/>
      <c r="GJ230" s="1037"/>
      <c r="GK230" s="1037"/>
      <c r="GL230" s="1037"/>
      <c r="GM230" s="1037"/>
      <c r="GN230" s="1037"/>
      <c r="GO230" s="1037"/>
      <c r="GP230" s="1037"/>
      <c r="GQ230" s="1037"/>
      <c r="GR230" s="1037"/>
      <c r="GS230" s="1037"/>
      <c r="GT230" s="1037"/>
      <c r="GU230" s="1037"/>
      <c r="GV230" s="1037"/>
      <c r="GW230" s="1037"/>
      <c r="GX230" s="1037"/>
      <c r="GY230" s="1037"/>
      <c r="GZ230" s="1037"/>
      <c r="HA230" s="1037"/>
      <c r="HB230" s="1037"/>
      <c r="HC230" s="1037"/>
      <c r="HD230" s="1037"/>
      <c r="HE230" s="1037"/>
      <c r="HF230" s="1037"/>
      <c r="HG230" s="1037"/>
      <c r="HH230" s="1037"/>
      <c r="HI230" s="1037"/>
      <c r="HJ230" s="1037"/>
      <c r="HK230" s="1037"/>
      <c r="HL230" s="1037"/>
      <c r="HM230" s="1037"/>
      <c r="HN230" s="1037"/>
      <c r="HO230" s="1037"/>
      <c r="HP230" s="1037"/>
      <c r="HQ230" s="1037"/>
      <c r="HR230" s="1037"/>
      <c r="HS230" s="1037"/>
      <c r="HT230" s="1037"/>
      <c r="HU230" s="1037"/>
      <c r="HV230" s="1037"/>
      <c r="HW230" s="1037"/>
      <c r="HX230" s="1037"/>
      <c r="HY230" s="1037"/>
      <c r="HZ230" s="1037"/>
      <c r="IA230" s="1037"/>
      <c r="IB230" s="1037"/>
      <c r="IC230" s="1037"/>
      <c r="ID230" s="1037"/>
      <c r="IE230" s="1037"/>
      <c r="IF230" s="1037"/>
      <c r="IG230" s="1037"/>
      <c r="IH230" s="1037"/>
      <c r="II230" s="1037"/>
      <c r="IJ230" s="1037"/>
      <c r="IK230" s="1037"/>
      <c r="IL230" s="1037"/>
      <c r="IM230" s="1037"/>
      <c r="IN230" s="1037"/>
    </row>
    <row r="231" spans="1:248">
      <c r="A231" s="705" t="s">
        <v>18</v>
      </c>
      <c r="B231" s="703">
        <v>2320.6</v>
      </c>
      <c r="C231" s="703">
        <f t="shared" ref="C231:C240" si="33">+B231/H231*100</f>
        <v>37.089246899373478</v>
      </c>
      <c r="D231" s="706">
        <v>1231.9000000000001</v>
      </c>
      <c r="E231" s="1038">
        <f t="shared" ref="E231:E240" si="34">D231/H231*100</f>
        <v>19.688978391510037</v>
      </c>
      <c r="F231" s="1038">
        <v>1088.7</v>
      </c>
      <c r="G231" s="1038">
        <f t="shared" ref="G231:G255" si="35">F231/H231*100</f>
        <v>17.400268507863444</v>
      </c>
      <c r="H231" s="464">
        <v>6256.8</v>
      </c>
      <c r="I231" s="1037"/>
      <c r="J231" s="1037"/>
      <c r="K231" s="1037"/>
      <c r="L231" s="1037"/>
      <c r="M231" s="1037"/>
      <c r="N231" s="1037"/>
      <c r="O231" s="1037"/>
      <c r="P231" s="1037"/>
      <c r="Q231" s="1037"/>
      <c r="R231" s="1037"/>
      <c r="S231" s="1037"/>
      <c r="T231" s="1037"/>
      <c r="U231" s="1037"/>
      <c r="V231" s="1037"/>
      <c r="W231" s="1037"/>
      <c r="X231" s="1037"/>
      <c r="Y231" s="1037"/>
      <c r="Z231" s="1037"/>
      <c r="AA231" s="1037"/>
      <c r="AB231" s="1037"/>
      <c r="AC231" s="1037"/>
      <c r="AD231" s="1037"/>
      <c r="AE231" s="1037"/>
      <c r="AF231" s="1037"/>
      <c r="AG231" s="1037"/>
      <c r="AH231" s="1037"/>
      <c r="AI231" s="1037"/>
      <c r="AJ231" s="1037"/>
      <c r="AK231" s="1037"/>
      <c r="AL231" s="1037"/>
      <c r="AM231" s="1037"/>
      <c r="AN231" s="1037"/>
      <c r="AO231" s="1037"/>
      <c r="AP231" s="1037"/>
      <c r="AQ231" s="1037"/>
      <c r="AR231" s="1037"/>
      <c r="AS231" s="1037"/>
      <c r="AT231" s="1037"/>
      <c r="AU231" s="1037"/>
      <c r="AV231" s="1037"/>
      <c r="AW231" s="1037"/>
      <c r="AX231" s="1037"/>
      <c r="AY231" s="1037"/>
      <c r="AZ231" s="1037"/>
      <c r="BA231" s="1037"/>
      <c r="BB231" s="1037"/>
      <c r="BC231" s="1037"/>
      <c r="BD231" s="1037"/>
      <c r="BE231" s="1037"/>
      <c r="BF231" s="1037"/>
      <c r="BG231" s="1037"/>
      <c r="BH231" s="1037"/>
      <c r="BI231" s="1037"/>
      <c r="BJ231" s="1037"/>
      <c r="BK231" s="1037"/>
      <c r="BL231" s="1037"/>
      <c r="BM231" s="1037"/>
      <c r="BN231" s="1037"/>
      <c r="BO231" s="1037"/>
      <c r="BP231" s="1037"/>
      <c r="BQ231" s="1037"/>
      <c r="BR231" s="1037"/>
      <c r="BS231" s="1037"/>
      <c r="BT231" s="1037"/>
      <c r="BU231" s="1037"/>
      <c r="BV231" s="1037"/>
      <c r="BW231" s="1037"/>
      <c r="BX231" s="1037"/>
      <c r="BY231" s="1037"/>
      <c r="BZ231" s="1037"/>
      <c r="CA231" s="1037"/>
      <c r="CB231" s="1037"/>
      <c r="CC231" s="1037"/>
      <c r="CD231" s="1037"/>
      <c r="CE231" s="1037"/>
      <c r="CF231" s="1037"/>
      <c r="CG231" s="1037"/>
      <c r="CH231" s="1037"/>
      <c r="CI231" s="1037"/>
      <c r="CJ231" s="1037"/>
      <c r="CK231" s="1037"/>
      <c r="CL231" s="1037"/>
      <c r="CM231" s="1037"/>
      <c r="CN231" s="1037"/>
      <c r="CO231" s="1037"/>
      <c r="CP231" s="1037"/>
      <c r="CQ231" s="1037"/>
      <c r="CR231" s="1037"/>
      <c r="CS231" s="1037"/>
      <c r="CT231" s="1037"/>
      <c r="CU231" s="1037"/>
      <c r="CV231" s="1037"/>
      <c r="CW231" s="1037"/>
      <c r="CX231" s="1037"/>
      <c r="CY231" s="1037"/>
      <c r="CZ231" s="1037"/>
      <c r="DA231" s="1037"/>
      <c r="DB231" s="1037"/>
      <c r="DC231" s="1037"/>
      <c r="DD231" s="1037"/>
      <c r="DE231" s="1037"/>
      <c r="DF231" s="1037"/>
      <c r="DG231" s="1037"/>
      <c r="DH231" s="1037"/>
      <c r="DI231" s="1037"/>
      <c r="DJ231" s="1037"/>
      <c r="DK231" s="1037"/>
      <c r="DL231" s="1037"/>
      <c r="DM231" s="1037"/>
      <c r="DN231" s="1037"/>
      <c r="DO231" s="1037"/>
      <c r="DP231" s="1037"/>
      <c r="DQ231" s="1037"/>
      <c r="DR231" s="1037"/>
      <c r="DS231" s="1037"/>
      <c r="DT231" s="1037"/>
      <c r="DU231" s="1037"/>
      <c r="DV231" s="1037"/>
      <c r="DW231" s="1037"/>
      <c r="DX231" s="1037"/>
      <c r="DY231" s="1037"/>
      <c r="DZ231" s="1037"/>
      <c r="EA231" s="1037"/>
      <c r="EB231" s="1037"/>
      <c r="EC231" s="1037"/>
      <c r="ED231" s="1037"/>
      <c r="EE231" s="1037"/>
      <c r="EF231" s="1037"/>
      <c r="EG231" s="1037"/>
      <c r="EH231" s="1037"/>
      <c r="EI231" s="1037"/>
      <c r="EJ231" s="1037"/>
      <c r="EK231" s="1037"/>
      <c r="EL231" s="1037"/>
      <c r="EM231" s="1037"/>
      <c r="EN231" s="1037"/>
      <c r="EO231" s="1037"/>
      <c r="EP231" s="1037"/>
      <c r="EQ231" s="1037"/>
      <c r="ER231" s="1037"/>
      <c r="ES231" s="1037"/>
      <c r="ET231" s="1037"/>
      <c r="EU231" s="1037"/>
      <c r="EV231" s="1037"/>
      <c r="EW231" s="1037"/>
      <c r="EX231" s="1037"/>
      <c r="EY231" s="1037"/>
      <c r="EZ231" s="1037"/>
      <c r="FA231" s="1037"/>
      <c r="FB231" s="1037"/>
      <c r="FC231" s="1037"/>
      <c r="FD231" s="1037"/>
      <c r="FE231" s="1037"/>
      <c r="FF231" s="1037"/>
      <c r="FG231" s="1037"/>
      <c r="FH231" s="1037"/>
      <c r="FI231" s="1037"/>
      <c r="FJ231" s="1037"/>
      <c r="FK231" s="1037"/>
      <c r="FL231" s="1037"/>
      <c r="FM231" s="1037"/>
      <c r="FN231" s="1037"/>
      <c r="FO231" s="1037"/>
      <c r="FP231" s="1037"/>
      <c r="FQ231" s="1037"/>
      <c r="FR231" s="1037"/>
      <c r="FS231" s="1037"/>
      <c r="FT231" s="1037"/>
      <c r="FU231" s="1037"/>
      <c r="FV231" s="1037"/>
      <c r="FW231" s="1037"/>
      <c r="FX231" s="1037"/>
      <c r="FY231" s="1037"/>
      <c r="FZ231" s="1037"/>
      <c r="GA231" s="1037"/>
      <c r="GB231" s="1037"/>
      <c r="GC231" s="1037"/>
      <c r="GD231" s="1037"/>
      <c r="GE231" s="1037"/>
      <c r="GF231" s="1037"/>
      <c r="GG231" s="1037"/>
      <c r="GH231" s="1037"/>
      <c r="GI231" s="1037"/>
      <c r="GJ231" s="1037"/>
      <c r="GK231" s="1037"/>
      <c r="GL231" s="1037"/>
      <c r="GM231" s="1037"/>
      <c r="GN231" s="1037"/>
      <c r="GO231" s="1037"/>
      <c r="GP231" s="1037"/>
      <c r="GQ231" s="1037"/>
      <c r="GR231" s="1037"/>
      <c r="GS231" s="1037"/>
      <c r="GT231" s="1037"/>
      <c r="GU231" s="1037"/>
      <c r="GV231" s="1037"/>
      <c r="GW231" s="1037"/>
      <c r="GX231" s="1037"/>
      <c r="GY231" s="1037"/>
      <c r="GZ231" s="1037"/>
      <c r="HA231" s="1037"/>
      <c r="HB231" s="1037"/>
      <c r="HC231" s="1037"/>
      <c r="HD231" s="1037"/>
      <c r="HE231" s="1037"/>
      <c r="HF231" s="1037"/>
      <c r="HG231" s="1037"/>
      <c r="HH231" s="1037"/>
      <c r="HI231" s="1037"/>
      <c r="HJ231" s="1037"/>
      <c r="HK231" s="1037"/>
      <c r="HL231" s="1037"/>
      <c r="HM231" s="1037"/>
      <c r="HN231" s="1037"/>
      <c r="HO231" s="1037"/>
      <c r="HP231" s="1037"/>
      <c r="HQ231" s="1037"/>
      <c r="HR231" s="1037"/>
      <c r="HS231" s="1037"/>
      <c r="HT231" s="1037"/>
      <c r="HU231" s="1037"/>
      <c r="HV231" s="1037"/>
      <c r="HW231" s="1037"/>
      <c r="HX231" s="1037"/>
      <c r="HY231" s="1037"/>
      <c r="HZ231" s="1037"/>
      <c r="IA231" s="1037"/>
      <c r="IB231" s="1037"/>
      <c r="IC231" s="1037"/>
      <c r="ID231" s="1037"/>
      <c r="IE231" s="1037"/>
      <c r="IF231" s="1037"/>
      <c r="IG231" s="1037"/>
      <c r="IH231" s="1037"/>
      <c r="II231" s="1037"/>
      <c r="IJ231" s="1037"/>
      <c r="IK231" s="1037"/>
      <c r="IL231" s="1037"/>
      <c r="IM231" s="1037"/>
      <c r="IN231" s="1037"/>
    </row>
    <row r="232" spans="1:248">
      <c r="A232" s="705" t="s">
        <v>19</v>
      </c>
      <c r="B232" s="703">
        <v>4029.4</v>
      </c>
      <c r="C232" s="703">
        <f t="shared" si="33"/>
        <v>32.44361780075203</v>
      </c>
      <c r="D232" s="706">
        <v>3469.8</v>
      </c>
      <c r="E232" s="1038">
        <f t="shared" si="34"/>
        <v>27.937872895480563</v>
      </c>
      <c r="F232" s="1038">
        <v>559.59999999999991</v>
      </c>
      <c r="G232" s="1038">
        <f t="shared" si="35"/>
        <v>4.5057449052714631</v>
      </c>
      <c r="H232" s="464">
        <v>12419.7</v>
      </c>
      <c r="I232" s="1037"/>
      <c r="J232" s="1037"/>
      <c r="K232" s="1037"/>
      <c r="L232" s="1037"/>
      <c r="M232" s="1037"/>
      <c r="N232" s="1037"/>
      <c r="O232" s="1037"/>
      <c r="P232" s="1037"/>
      <c r="Q232" s="1037"/>
      <c r="R232" s="1037"/>
      <c r="S232" s="1037"/>
      <c r="T232" s="1037"/>
      <c r="U232" s="1037"/>
      <c r="V232" s="1037"/>
      <c r="W232" s="1037"/>
      <c r="X232" s="1037"/>
      <c r="Y232" s="1037"/>
      <c r="Z232" s="1037"/>
      <c r="AA232" s="1037"/>
      <c r="AB232" s="1037"/>
      <c r="AC232" s="1037"/>
      <c r="AD232" s="1037"/>
      <c r="AE232" s="1037"/>
      <c r="AF232" s="1037"/>
      <c r="AG232" s="1037"/>
      <c r="AH232" s="1037"/>
      <c r="AI232" s="1037"/>
      <c r="AJ232" s="1037"/>
      <c r="AK232" s="1037"/>
      <c r="AL232" s="1037"/>
      <c r="AM232" s="1037"/>
      <c r="AN232" s="1037"/>
      <c r="AO232" s="1037"/>
      <c r="AP232" s="1037"/>
      <c r="AQ232" s="1037"/>
      <c r="AR232" s="1037"/>
      <c r="AS232" s="1037"/>
      <c r="AT232" s="1037"/>
      <c r="AU232" s="1037"/>
      <c r="AV232" s="1037"/>
      <c r="AW232" s="1037"/>
      <c r="AX232" s="1037"/>
      <c r="AY232" s="1037"/>
      <c r="AZ232" s="1037"/>
      <c r="BA232" s="1037"/>
      <c r="BB232" s="1037"/>
      <c r="BC232" s="1037"/>
      <c r="BD232" s="1037"/>
      <c r="BE232" s="1037"/>
      <c r="BF232" s="1037"/>
      <c r="BG232" s="1037"/>
      <c r="BH232" s="1037"/>
      <c r="BI232" s="1037"/>
      <c r="BJ232" s="1037"/>
      <c r="BK232" s="1037"/>
      <c r="BL232" s="1037"/>
      <c r="BM232" s="1037"/>
      <c r="BN232" s="1037"/>
      <c r="BO232" s="1037"/>
      <c r="BP232" s="1037"/>
      <c r="BQ232" s="1037"/>
      <c r="BR232" s="1037"/>
      <c r="BS232" s="1037"/>
      <c r="BT232" s="1037"/>
      <c r="BU232" s="1037"/>
      <c r="BV232" s="1037"/>
      <c r="BW232" s="1037"/>
      <c r="BX232" s="1037"/>
      <c r="BY232" s="1037"/>
      <c r="BZ232" s="1037"/>
      <c r="CA232" s="1037"/>
      <c r="CB232" s="1037"/>
      <c r="CC232" s="1037"/>
      <c r="CD232" s="1037"/>
      <c r="CE232" s="1037"/>
      <c r="CF232" s="1037"/>
      <c r="CG232" s="1037"/>
      <c r="CH232" s="1037"/>
      <c r="CI232" s="1037"/>
      <c r="CJ232" s="1037"/>
      <c r="CK232" s="1037"/>
      <c r="CL232" s="1037"/>
      <c r="CM232" s="1037"/>
      <c r="CN232" s="1037"/>
      <c r="CO232" s="1037"/>
      <c r="CP232" s="1037"/>
      <c r="CQ232" s="1037"/>
      <c r="CR232" s="1037"/>
      <c r="CS232" s="1037"/>
      <c r="CT232" s="1037"/>
      <c r="CU232" s="1037"/>
      <c r="CV232" s="1037"/>
      <c r="CW232" s="1037"/>
      <c r="CX232" s="1037"/>
      <c r="CY232" s="1037"/>
      <c r="CZ232" s="1037"/>
      <c r="DA232" s="1037"/>
      <c r="DB232" s="1037"/>
      <c r="DC232" s="1037"/>
      <c r="DD232" s="1037"/>
      <c r="DE232" s="1037"/>
      <c r="DF232" s="1037"/>
      <c r="DG232" s="1037"/>
      <c r="DH232" s="1037"/>
      <c r="DI232" s="1037"/>
      <c r="DJ232" s="1037"/>
      <c r="DK232" s="1037"/>
      <c r="DL232" s="1037"/>
      <c r="DM232" s="1037"/>
      <c r="DN232" s="1037"/>
      <c r="DO232" s="1037"/>
      <c r="DP232" s="1037"/>
      <c r="DQ232" s="1037"/>
      <c r="DR232" s="1037"/>
      <c r="DS232" s="1037"/>
      <c r="DT232" s="1037"/>
      <c r="DU232" s="1037"/>
      <c r="DV232" s="1037"/>
      <c r="DW232" s="1037"/>
      <c r="DX232" s="1037"/>
      <c r="DY232" s="1037"/>
      <c r="DZ232" s="1037"/>
      <c r="EA232" s="1037"/>
      <c r="EB232" s="1037"/>
      <c r="EC232" s="1037"/>
      <c r="ED232" s="1037"/>
      <c r="EE232" s="1037"/>
      <c r="EF232" s="1037"/>
      <c r="EG232" s="1037"/>
      <c r="EH232" s="1037"/>
      <c r="EI232" s="1037"/>
      <c r="EJ232" s="1037"/>
      <c r="EK232" s="1037"/>
      <c r="EL232" s="1037"/>
      <c r="EM232" s="1037"/>
      <c r="EN232" s="1037"/>
      <c r="EO232" s="1037"/>
      <c r="EP232" s="1037"/>
      <c r="EQ232" s="1037"/>
      <c r="ER232" s="1037"/>
      <c r="ES232" s="1037"/>
      <c r="ET232" s="1037"/>
      <c r="EU232" s="1037"/>
      <c r="EV232" s="1037"/>
      <c r="EW232" s="1037"/>
      <c r="EX232" s="1037"/>
      <c r="EY232" s="1037"/>
      <c r="EZ232" s="1037"/>
      <c r="FA232" s="1037"/>
      <c r="FB232" s="1037"/>
      <c r="FC232" s="1037"/>
      <c r="FD232" s="1037"/>
      <c r="FE232" s="1037"/>
      <c r="FF232" s="1037"/>
      <c r="FG232" s="1037"/>
      <c r="FH232" s="1037"/>
      <c r="FI232" s="1037"/>
      <c r="FJ232" s="1037"/>
      <c r="FK232" s="1037"/>
      <c r="FL232" s="1037"/>
      <c r="FM232" s="1037"/>
      <c r="FN232" s="1037"/>
      <c r="FO232" s="1037"/>
      <c r="FP232" s="1037"/>
      <c r="FQ232" s="1037"/>
      <c r="FR232" s="1037"/>
      <c r="FS232" s="1037"/>
      <c r="FT232" s="1037"/>
      <c r="FU232" s="1037"/>
      <c r="FV232" s="1037"/>
      <c r="FW232" s="1037"/>
      <c r="FX232" s="1037"/>
      <c r="FY232" s="1037"/>
      <c r="FZ232" s="1037"/>
      <c r="GA232" s="1037"/>
      <c r="GB232" s="1037"/>
      <c r="GC232" s="1037"/>
      <c r="GD232" s="1037"/>
      <c r="GE232" s="1037"/>
      <c r="GF232" s="1037"/>
      <c r="GG232" s="1037"/>
      <c r="GH232" s="1037"/>
      <c r="GI232" s="1037"/>
      <c r="GJ232" s="1037"/>
      <c r="GK232" s="1037"/>
      <c r="GL232" s="1037"/>
      <c r="GM232" s="1037"/>
      <c r="GN232" s="1037"/>
      <c r="GO232" s="1037"/>
      <c r="GP232" s="1037"/>
      <c r="GQ232" s="1037"/>
      <c r="GR232" s="1037"/>
      <c r="GS232" s="1037"/>
      <c r="GT232" s="1037"/>
      <c r="GU232" s="1037"/>
      <c r="GV232" s="1037"/>
      <c r="GW232" s="1037"/>
      <c r="GX232" s="1037"/>
      <c r="GY232" s="1037"/>
      <c r="GZ232" s="1037"/>
      <c r="HA232" s="1037"/>
      <c r="HB232" s="1037"/>
      <c r="HC232" s="1037"/>
      <c r="HD232" s="1037"/>
      <c r="HE232" s="1037"/>
      <c r="HF232" s="1037"/>
      <c r="HG232" s="1037"/>
      <c r="HH232" s="1037"/>
      <c r="HI232" s="1037"/>
      <c r="HJ232" s="1037"/>
      <c r="HK232" s="1037"/>
      <c r="HL232" s="1037"/>
      <c r="HM232" s="1037"/>
      <c r="HN232" s="1037"/>
      <c r="HO232" s="1037"/>
      <c r="HP232" s="1037"/>
      <c r="HQ232" s="1037"/>
      <c r="HR232" s="1037"/>
      <c r="HS232" s="1037"/>
      <c r="HT232" s="1037"/>
      <c r="HU232" s="1037"/>
      <c r="HV232" s="1037"/>
      <c r="HW232" s="1037"/>
      <c r="HX232" s="1037"/>
      <c r="HY232" s="1037"/>
      <c r="HZ232" s="1037"/>
      <c r="IA232" s="1037"/>
      <c r="IB232" s="1037"/>
      <c r="IC232" s="1037"/>
      <c r="ID232" s="1037"/>
      <c r="IE232" s="1037"/>
      <c r="IF232" s="1037"/>
      <c r="IG232" s="1037"/>
      <c r="IH232" s="1037"/>
      <c r="II232" s="1037"/>
      <c r="IJ232" s="1037"/>
      <c r="IK232" s="1037"/>
      <c r="IL232" s="1037"/>
      <c r="IM232" s="1037"/>
      <c r="IN232" s="1037"/>
    </row>
    <row r="233" spans="1:248">
      <c r="A233" s="705" t="s">
        <v>20</v>
      </c>
      <c r="B233" s="703">
        <v>5736.4</v>
      </c>
      <c r="C233" s="703">
        <f t="shared" si="33"/>
        <v>29.90527528555565</v>
      </c>
      <c r="D233" s="706">
        <v>5523.7</v>
      </c>
      <c r="E233" s="1038">
        <f t="shared" si="34"/>
        <v>28.796417456039286</v>
      </c>
      <c r="F233" s="1038">
        <v>212.69999999999982</v>
      </c>
      <c r="G233" s="1038">
        <f t="shared" si="35"/>
        <v>1.1088578295163658</v>
      </c>
      <c r="H233" s="464">
        <v>19181.900000000001</v>
      </c>
      <c r="I233" s="1037"/>
      <c r="J233" s="1037"/>
      <c r="K233" s="1037"/>
      <c r="L233" s="1037"/>
      <c r="M233" s="1037"/>
      <c r="N233" s="1037"/>
      <c r="O233" s="1037"/>
      <c r="P233" s="1037"/>
      <c r="Q233" s="1037"/>
      <c r="R233" s="1037"/>
      <c r="S233" s="1037"/>
      <c r="T233" s="1037"/>
      <c r="U233" s="1037"/>
      <c r="V233" s="1037"/>
      <c r="W233" s="1037"/>
      <c r="X233" s="1037"/>
      <c r="Y233" s="1037"/>
      <c r="Z233" s="1037"/>
      <c r="AA233" s="1037"/>
      <c r="AB233" s="1037"/>
      <c r="AC233" s="1037"/>
      <c r="AD233" s="1037"/>
      <c r="AE233" s="1037"/>
      <c r="AF233" s="1037"/>
      <c r="AG233" s="1037"/>
      <c r="AH233" s="1037"/>
      <c r="AI233" s="1037"/>
      <c r="AJ233" s="1037"/>
      <c r="AK233" s="1037"/>
      <c r="AL233" s="1037"/>
      <c r="AM233" s="1037"/>
      <c r="AN233" s="1037"/>
      <c r="AO233" s="1037"/>
      <c r="AP233" s="1037"/>
      <c r="AQ233" s="1037"/>
      <c r="AR233" s="1037"/>
      <c r="AS233" s="1037"/>
      <c r="AT233" s="1037"/>
      <c r="AU233" s="1037"/>
      <c r="AV233" s="1037"/>
      <c r="AW233" s="1037"/>
      <c r="AX233" s="1037"/>
      <c r="AY233" s="1037"/>
      <c r="AZ233" s="1037"/>
      <c r="BA233" s="1037"/>
      <c r="BB233" s="1037"/>
      <c r="BC233" s="1037"/>
      <c r="BD233" s="1037"/>
      <c r="BE233" s="1037"/>
      <c r="BF233" s="1037"/>
      <c r="BG233" s="1037"/>
      <c r="BH233" s="1037"/>
      <c r="BI233" s="1037"/>
      <c r="BJ233" s="1037"/>
      <c r="BK233" s="1037"/>
      <c r="BL233" s="1037"/>
      <c r="BM233" s="1037"/>
      <c r="BN233" s="1037"/>
      <c r="BO233" s="1037"/>
      <c r="BP233" s="1037"/>
      <c r="BQ233" s="1037"/>
      <c r="BR233" s="1037"/>
      <c r="BS233" s="1037"/>
      <c r="BT233" s="1037"/>
      <c r="BU233" s="1037"/>
      <c r="BV233" s="1037"/>
      <c r="BW233" s="1037"/>
      <c r="BX233" s="1037"/>
      <c r="BY233" s="1037"/>
      <c r="BZ233" s="1037"/>
      <c r="CA233" s="1037"/>
      <c r="CB233" s="1037"/>
      <c r="CC233" s="1037"/>
      <c r="CD233" s="1037"/>
      <c r="CE233" s="1037"/>
      <c r="CF233" s="1037"/>
      <c r="CG233" s="1037"/>
      <c r="CH233" s="1037"/>
      <c r="CI233" s="1037"/>
      <c r="CJ233" s="1037"/>
      <c r="CK233" s="1037"/>
      <c r="CL233" s="1037"/>
      <c r="CM233" s="1037"/>
      <c r="CN233" s="1037"/>
      <c r="CO233" s="1037"/>
      <c r="CP233" s="1037"/>
      <c r="CQ233" s="1037"/>
      <c r="CR233" s="1037"/>
      <c r="CS233" s="1037"/>
      <c r="CT233" s="1037"/>
      <c r="CU233" s="1037"/>
      <c r="CV233" s="1037"/>
      <c r="CW233" s="1037"/>
      <c r="CX233" s="1037"/>
      <c r="CY233" s="1037"/>
      <c r="CZ233" s="1037"/>
      <c r="DA233" s="1037"/>
      <c r="DB233" s="1037"/>
      <c r="DC233" s="1037"/>
      <c r="DD233" s="1037"/>
      <c r="DE233" s="1037"/>
      <c r="DF233" s="1037"/>
      <c r="DG233" s="1037"/>
      <c r="DH233" s="1037"/>
      <c r="DI233" s="1037"/>
      <c r="DJ233" s="1037"/>
      <c r="DK233" s="1037"/>
      <c r="DL233" s="1037"/>
      <c r="DM233" s="1037"/>
      <c r="DN233" s="1037"/>
      <c r="DO233" s="1037"/>
      <c r="DP233" s="1037"/>
      <c r="DQ233" s="1037"/>
      <c r="DR233" s="1037"/>
      <c r="DS233" s="1037"/>
      <c r="DT233" s="1037"/>
      <c r="DU233" s="1037"/>
      <c r="DV233" s="1037"/>
      <c r="DW233" s="1037"/>
      <c r="DX233" s="1037"/>
      <c r="DY233" s="1037"/>
      <c r="DZ233" s="1037"/>
      <c r="EA233" s="1037"/>
      <c r="EB233" s="1037"/>
      <c r="EC233" s="1037"/>
      <c r="ED233" s="1037"/>
      <c r="EE233" s="1037"/>
      <c r="EF233" s="1037"/>
      <c r="EG233" s="1037"/>
      <c r="EH233" s="1037"/>
      <c r="EI233" s="1037"/>
      <c r="EJ233" s="1037"/>
      <c r="EK233" s="1037"/>
      <c r="EL233" s="1037"/>
      <c r="EM233" s="1037"/>
      <c r="EN233" s="1037"/>
      <c r="EO233" s="1037"/>
      <c r="EP233" s="1037"/>
      <c r="EQ233" s="1037"/>
      <c r="ER233" s="1037"/>
      <c r="ES233" s="1037"/>
      <c r="ET233" s="1037"/>
      <c r="EU233" s="1037"/>
      <c r="EV233" s="1037"/>
      <c r="EW233" s="1037"/>
      <c r="EX233" s="1037"/>
      <c r="EY233" s="1037"/>
      <c r="EZ233" s="1037"/>
      <c r="FA233" s="1037"/>
      <c r="FB233" s="1037"/>
      <c r="FC233" s="1037"/>
      <c r="FD233" s="1037"/>
      <c r="FE233" s="1037"/>
      <c r="FF233" s="1037"/>
      <c r="FG233" s="1037"/>
      <c r="FH233" s="1037"/>
      <c r="FI233" s="1037"/>
      <c r="FJ233" s="1037"/>
      <c r="FK233" s="1037"/>
      <c r="FL233" s="1037"/>
      <c r="FM233" s="1037"/>
      <c r="FN233" s="1037"/>
      <c r="FO233" s="1037"/>
      <c r="FP233" s="1037"/>
      <c r="FQ233" s="1037"/>
      <c r="FR233" s="1037"/>
      <c r="FS233" s="1037"/>
      <c r="FT233" s="1037"/>
      <c r="FU233" s="1037"/>
      <c r="FV233" s="1037"/>
      <c r="FW233" s="1037"/>
      <c r="FX233" s="1037"/>
      <c r="FY233" s="1037"/>
      <c r="FZ233" s="1037"/>
      <c r="GA233" s="1037"/>
      <c r="GB233" s="1037"/>
      <c r="GC233" s="1037"/>
      <c r="GD233" s="1037"/>
      <c r="GE233" s="1037"/>
      <c r="GF233" s="1037"/>
      <c r="GG233" s="1037"/>
      <c r="GH233" s="1037"/>
      <c r="GI233" s="1037"/>
      <c r="GJ233" s="1037"/>
      <c r="GK233" s="1037"/>
      <c r="GL233" s="1037"/>
      <c r="GM233" s="1037"/>
      <c r="GN233" s="1037"/>
      <c r="GO233" s="1037"/>
      <c r="GP233" s="1037"/>
      <c r="GQ233" s="1037"/>
      <c r="GR233" s="1037"/>
      <c r="GS233" s="1037"/>
      <c r="GT233" s="1037"/>
      <c r="GU233" s="1037"/>
      <c r="GV233" s="1037"/>
      <c r="GW233" s="1037"/>
      <c r="GX233" s="1037"/>
      <c r="GY233" s="1037"/>
      <c r="GZ233" s="1037"/>
      <c r="HA233" s="1037"/>
      <c r="HB233" s="1037"/>
      <c r="HC233" s="1037"/>
      <c r="HD233" s="1037"/>
      <c r="HE233" s="1037"/>
      <c r="HF233" s="1037"/>
      <c r="HG233" s="1037"/>
      <c r="HH233" s="1037"/>
      <c r="HI233" s="1037"/>
      <c r="HJ233" s="1037"/>
      <c r="HK233" s="1037"/>
      <c r="HL233" s="1037"/>
      <c r="HM233" s="1037"/>
      <c r="HN233" s="1037"/>
      <c r="HO233" s="1037"/>
      <c r="HP233" s="1037"/>
      <c r="HQ233" s="1037"/>
      <c r="HR233" s="1037"/>
      <c r="HS233" s="1037"/>
      <c r="HT233" s="1037"/>
      <c r="HU233" s="1037"/>
      <c r="HV233" s="1037"/>
      <c r="HW233" s="1037"/>
      <c r="HX233" s="1037"/>
      <c r="HY233" s="1037"/>
      <c r="HZ233" s="1037"/>
      <c r="IA233" s="1037"/>
      <c r="IB233" s="1037"/>
      <c r="IC233" s="1037"/>
      <c r="ID233" s="1037"/>
      <c r="IE233" s="1037"/>
      <c r="IF233" s="1037"/>
      <c r="IG233" s="1037"/>
      <c r="IH233" s="1037"/>
      <c r="II233" s="1037"/>
      <c r="IJ233" s="1037"/>
      <c r="IK233" s="1037"/>
      <c r="IL233" s="1037"/>
      <c r="IM233" s="1037"/>
      <c r="IN233" s="1037"/>
    </row>
    <row r="234" spans="1:248">
      <c r="A234" s="705" t="s">
        <v>21</v>
      </c>
      <c r="B234" s="703">
        <v>8234.2999999999993</v>
      </c>
      <c r="C234" s="703">
        <f t="shared" si="33"/>
        <v>32.78011767609614</v>
      </c>
      <c r="D234" s="706">
        <v>7527.7</v>
      </c>
      <c r="E234" s="1038">
        <f t="shared" si="34"/>
        <v>29.967197191060439</v>
      </c>
      <c r="F234" s="1038">
        <v>706.6</v>
      </c>
      <c r="G234" s="1038">
        <f t="shared" si="35"/>
        <v>2.812920485035709</v>
      </c>
      <c r="H234" s="464">
        <v>25119.8</v>
      </c>
      <c r="I234" s="1037"/>
      <c r="J234" s="1037"/>
      <c r="K234" s="1037"/>
      <c r="L234" s="1037"/>
      <c r="M234" s="1037"/>
      <c r="N234" s="1037"/>
      <c r="O234" s="1037"/>
      <c r="P234" s="1037"/>
      <c r="Q234" s="1037"/>
      <c r="R234" s="1037"/>
      <c r="S234" s="1037"/>
      <c r="T234" s="1037"/>
      <c r="U234" s="1037"/>
      <c r="V234" s="1037"/>
      <c r="W234" s="1037"/>
      <c r="X234" s="1037"/>
      <c r="Y234" s="1037"/>
      <c r="Z234" s="1037"/>
      <c r="AA234" s="1037"/>
      <c r="AB234" s="1037"/>
      <c r="AC234" s="1037"/>
      <c r="AD234" s="1037"/>
      <c r="AE234" s="1037"/>
      <c r="AF234" s="1037"/>
      <c r="AG234" s="1037"/>
      <c r="AH234" s="1037"/>
      <c r="AI234" s="1037"/>
      <c r="AJ234" s="1037"/>
      <c r="AK234" s="1037"/>
      <c r="AL234" s="1037"/>
      <c r="AM234" s="1037"/>
      <c r="AN234" s="1037"/>
      <c r="AO234" s="1037"/>
      <c r="AP234" s="1037"/>
      <c r="AQ234" s="1037"/>
      <c r="AR234" s="1037"/>
      <c r="AS234" s="1037"/>
      <c r="AT234" s="1037"/>
      <c r="AU234" s="1037"/>
      <c r="AV234" s="1037"/>
      <c r="AW234" s="1037"/>
      <c r="AX234" s="1037"/>
      <c r="AY234" s="1037"/>
      <c r="AZ234" s="1037"/>
      <c r="BA234" s="1037"/>
      <c r="BB234" s="1037"/>
      <c r="BC234" s="1037"/>
      <c r="BD234" s="1037"/>
      <c r="BE234" s="1037"/>
      <c r="BF234" s="1037"/>
      <c r="BG234" s="1037"/>
      <c r="BH234" s="1037"/>
      <c r="BI234" s="1037"/>
      <c r="BJ234" s="1037"/>
      <c r="BK234" s="1037"/>
      <c r="BL234" s="1037"/>
      <c r="BM234" s="1037"/>
      <c r="BN234" s="1037"/>
      <c r="BO234" s="1037"/>
      <c r="BP234" s="1037"/>
      <c r="BQ234" s="1037"/>
      <c r="BR234" s="1037"/>
      <c r="BS234" s="1037"/>
      <c r="BT234" s="1037"/>
      <c r="BU234" s="1037"/>
      <c r="BV234" s="1037"/>
      <c r="BW234" s="1037"/>
      <c r="BX234" s="1037"/>
      <c r="BY234" s="1037"/>
      <c r="BZ234" s="1037"/>
      <c r="CA234" s="1037"/>
      <c r="CB234" s="1037"/>
      <c r="CC234" s="1037"/>
      <c r="CD234" s="1037"/>
      <c r="CE234" s="1037"/>
      <c r="CF234" s="1037"/>
      <c r="CG234" s="1037"/>
      <c r="CH234" s="1037"/>
      <c r="CI234" s="1037"/>
      <c r="CJ234" s="1037"/>
      <c r="CK234" s="1037"/>
      <c r="CL234" s="1037"/>
      <c r="CM234" s="1037"/>
      <c r="CN234" s="1037"/>
      <c r="CO234" s="1037"/>
      <c r="CP234" s="1037"/>
      <c r="CQ234" s="1037"/>
      <c r="CR234" s="1037"/>
      <c r="CS234" s="1037"/>
      <c r="CT234" s="1037"/>
      <c r="CU234" s="1037"/>
      <c r="CV234" s="1037"/>
      <c r="CW234" s="1037"/>
      <c r="CX234" s="1037"/>
      <c r="CY234" s="1037"/>
      <c r="CZ234" s="1037"/>
      <c r="DA234" s="1037"/>
      <c r="DB234" s="1037"/>
      <c r="DC234" s="1037"/>
      <c r="DD234" s="1037"/>
      <c r="DE234" s="1037"/>
      <c r="DF234" s="1037"/>
      <c r="DG234" s="1037"/>
      <c r="DH234" s="1037"/>
      <c r="DI234" s="1037"/>
      <c r="DJ234" s="1037"/>
      <c r="DK234" s="1037"/>
      <c r="DL234" s="1037"/>
      <c r="DM234" s="1037"/>
      <c r="DN234" s="1037"/>
      <c r="DO234" s="1037"/>
      <c r="DP234" s="1037"/>
      <c r="DQ234" s="1037"/>
      <c r="DR234" s="1037"/>
      <c r="DS234" s="1037"/>
      <c r="DT234" s="1037"/>
      <c r="DU234" s="1037"/>
      <c r="DV234" s="1037"/>
      <c r="DW234" s="1037"/>
      <c r="DX234" s="1037"/>
      <c r="DY234" s="1037"/>
      <c r="DZ234" s="1037"/>
      <c r="EA234" s="1037"/>
      <c r="EB234" s="1037"/>
      <c r="EC234" s="1037"/>
      <c r="ED234" s="1037"/>
      <c r="EE234" s="1037"/>
      <c r="EF234" s="1037"/>
      <c r="EG234" s="1037"/>
      <c r="EH234" s="1037"/>
      <c r="EI234" s="1037"/>
      <c r="EJ234" s="1037"/>
      <c r="EK234" s="1037"/>
      <c r="EL234" s="1037"/>
      <c r="EM234" s="1037"/>
      <c r="EN234" s="1037"/>
      <c r="EO234" s="1037"/>
      <c r="EP234" s="1037"/>
      <c r="EQ234" s="1037"/>
      <c r="ER234" s="1037"/>
      <c r="ES234" s="1037"/>
      <c r="ET234" s="1037"/>
      <c r="EU234" s="1037"/>
      <c r="EV234" s="1037"/>
      <c r="EW234" s="1037"/>
      <c r="EX234" s="1037"/>
      <c r="EY234" s="1037"/>
      <c r="EZ234" s="1037"/>
      <c r="FA234" s="1037"/>
      <c r="FB234" s="1037"/>
      <c r="FC234" s="1037"/>
      <c r="FD234" s="1037"/>
      <c r="FE234" s="1037"/>
      <c r="FF234" s="1037"/>
      <c r="FG234" s="1037"/>
      <c r="FH234" s="1037"/>
      <c r="FI234" s="1037"/>
      <c r="FJ234" s="1037"/>
      <c r="FK234" s="1037"/>
      <c r="FL234" s="1037"/>
      <c r="FM234" s="1037"/>
      <c r="FN234" s="1037"/>
      <c r="FO234" s="1037"/>
      <c r="FP234" s="1037"/>
      <c r="FQ234" s="1037"/>
      <c r="FR234" s="1037"/>
      <c r="FS234" s="1037"/>
      <c r="FT234" s="1037"/>
      <c r="FU234" s="1037"/>
      <c r="FV234" s="1037"/>
      <c r="FW234" s="1037"/>
      <c r="FX234" s="1037"/>
      <c r="FY234" s="1037"/>
      <c r="FZ234" s="1037"/>
      <c r="GA234" s="1037"/>
      <c r="GB234" s="1037"/>
      <c r="GC234" s="1037"/>
      <c r="GD234" s="1037"/>
      <c r="GE234" s="1037"/>
      <c r="GF234" s="1037"/>
      <c r="GG234" s="1037"/>
      <c r="GH234" s="1037"/>
      <c r="GI234" s="1037"/>
      <c r="GJ234" s="1037"/>
      <c r="GK234" s="1037"/>
      <c r="GL234" s="1037"/>
      <c r="GM234" s="1037"/>
      <c r="GN234" s="1037"/>
      <c r="GO234" s="1037"/>
      <c r="GP234" s="1037"/>
      <c r="GQ234" s="1037"/>
      <c r="GR234" s="1037"/>
      <c r="GS234" s="1037"/>
      <c r="GT234" s="1037"/>
      <c r="GU234" s="1037"/>
      <c r="GV234" s="1037"/>
      <c r="GW234" s="1037"/>
      <c r="GX234" s="1037"/>
      <c r="GY234" s="1037"/>
      <c r="GZ234" s="1037"/>
      <c r="HA234" s="1037"/>
      <c r="HB234" s="1037"/>
      <c r="HC234" s="1037"/>
      <c r="HD234" s="1037"/>
      <c r="HE234" s="1037"/>
      <c r="HF234" s="1037"/>
      <c r="HG234" s="1037"/>
      <c r="HH234" s="1037"/>
      <c r="HI234" s="1037"/>
      <c r="HJ234" s="1037"/>
      <c r="HK234" s="1037"/>
      <c r="HL234" s="1037"/>
      <c r="HM234" s="1037"/>
      <c r="HN234" s="1037"/>
      <c r="HO234" s="1037"/>
      <c r="HP234" s="1037"/>
      <c r="HQ234" s="1037"/>
      <c r="HR234" s="1037"/>
      <c r="HS234" s="1037"/>
      <c r="HT234" s="1037"/>
      <c r="HU234" s="1037"/>
      <c r="HV234" s="1037"/>
      <c r="HW234" s="1037"/>
      <c r="HX234" s="1037"/>
      <c r="HY234" s="1037"/>
      <c r="HZ234" s="1037"/>
      <c r="IA234" s="1037"/>
      <c r="IB234" s="1037"/>
      <c r="IC234" s="1037"/>
      <c r="ID234" s="1037"/>
      <c r="IE234" s="1037"/>
      <c r="IF234" s="1037"/>
      <c r="IG234" s="1037"/>
      <c r="IH234" s="1037"/>
      <c r="II234" s="1037"/>
      <c r="IJ234" s="1037"/>
      <c r="IK234" s="1037"/>
      <c r="IL234" s="1037"/>
      <c r="IM234" s="1037"/>
      <c r="IN234" s="1037"/>
    </row>
    <row r="235" spans="1:248">
      <c r="A235" s="705" t="s">
        <v>22</v>
      </c>
      <c r="B235" s="703">
        <v>9735.2000000000007</v>
      </c>
      <c r="C235" s="703">
        <f t="shared" si="33"/>
        <v>30.302992573040079</v>
      </c>
      <c r="D235" s="706">
        <v>9366.2999999999993</v>
      </c>
      <c r="E235" s="1038">
        <f t="shared" si="34"/>
        <v>29.154708617888204</v>
      </c>
      <c r="F235" s="1038">
        <f t="shared" ref="F235:F240" si="36">B235-D235</f>
        <v>368.90000000000146</v>
      </c>
      <c r="G235" s="1038">
        <f t="shared" si="35"/>
        <v>1.1482839551518744</v>
      </c>
      <c r="H235" s="464">
        <v>32126.2</v>
      </c>
      <c r="I235" s="1037"/>
      <c r="J235" s="1037"/>
      <c r="K235" s="1037"/>
      <c r="L235" s="1037"/>
      <c r="M235" s="1037"/>
      <c r="N235" s="1037"/>
      <c r="O235" s="1037"/>
      <c r="P235" s="1037"/>
      <c r="Q235" s="1037"/>
      <c r="R235" s="1037"/>
      <c r="S235" s="1037"/>
      <c r="T235" s="1037"/>
      <c r="U235" s="1037"/>
      <c r="V235" s="1037"/>
      <c r="W235" s="1037"/>
      <c r="X235" s="1037"/>
      <c r="Y235" s="1037"/>
      <c r="Z235" s="1037"/>
      <c r="AA235" s="1037"/>
      <c r="AB235" s="1037"/>
      <c r="AC235" s="1037"/>
      <c r="AD235" s="1037"/>
      <c r="AE235" s="1037"/>
      <c r="AF235" s="1037"/>
      <c r="AG235" s="1037"/>
      <c r="AH235" s="1037"/>
      <c r="AI235" s="1037"/>
      <c r="AJ235" s="1037"/>
      <c r="AK235" s="1037"/>
      <c r="AL235" s="1037"/>
      <c r="AM235" s="1037"/>
      <c r="AN235" s="1037"/>
      <c r="AO235" s="1037"/>
      <c r="AP235" s="1037"/>
      <c r="AQ235" s="1037"/>
      <c r="AR235" s="1037"/>
      <c r="AS235" s="1037"/>
      <c r="AT235" s="1037"/>
      <c r="AU235" s="1037"/>
      <c r="AV235" s="1037"/>
      <c r="AW235" s="1037"/>
      <c r="AX235" s="1037"/>
      <c r="AY235" s="1037"/>
      <c r="AZ235" s="1037"/>
      <c r="BA235" s="1037"/>
      <c r="BB235" s="1037"/>
      <c r="BC235" s="1037"/>
      <c r="BD235" s="1037"/>
      <c r="BE235" s="1037"/>
      <c r="BF235" s="1037"/>
      <c r="BG235" s="1037"/>
      <c r="BH235" s="1037"/>
      <c r="BI235" s="1037"/>
      <c r="BJ235" s="1037"/>
      <c r="BK235" s="1037"/>
      <c r="BL235" s="1037"/>
      <c r="BM235" s="1037"/>
      <c r="BN235" s="1037"/>
      <c r="BO235" s="1037"/>
      <c r="BP235" s="1037"/>
      <c r="BQ235" s="1037"/>
      <c r="BR235" s="1037"/>
      <c r="BS235" s="1037"/>
      <c r="BT235" s="1037"/>
      <c r="BU235" s="1037"/>
      <c r="BV235" s="1037"/>
      <c r="BW235" s="1037"/>
      <c r="BX235" s="1037"/>
      <c r="BY235" s="1037"/>
      <c r="BZ235" s="1037"/>
      <c r="CA235" s="1037"/>
      <c r="CB235" s="1037"/>
      <c r="CC235" s="1037"/>
      <c r="CD235" s="1037"/>
      <c r="CE235" s="1037"/>
      <c r="CF235" s="1037"/>
      <c r="CG235" s="1037"/>
      <c r="CH235" s="1037"/>
      <c r="CI235" s="1037"/>
      <c r="CJ235" s="1037"/>
      <c r="CK235" s="1037"/>
      <c r="CL235" s="1037"/>
      <c r="CM235" s="1037"/>
      <c r="CN235" s="1037"/>
      <c r="CO235" s="1037"/>
      <c r="CP235" s="1037"/>
      <c r="CQ235" s="1037"/>
      <c r="CR235" s="1037"/>
      <c r="CS235" s="1037"/>
      <c r="CT235" s="1037"/>
      <c r="CU235" s="1037"/>
      <c r="CV235" s="1037"/>
      <c r="CW235" s="1037"/>
      <c r="CX235" s="1037"/>
      <c r="CY235" s="1037"/>
      <c r="CZ235" s="1037"/>
      <c r="DA235" s="1037"/>
      <c r="DB235" s="1037"/>
      <c r="DC235" s="1037"/>
      <c r="DD235" s="1037"/>
      <c r="DE235" s="1037"/>
      <c r="DF235" s="1037"/>
      <c r="DG235" s="1037"/>
      <c r="DH235" s="1037"/>
      <c r="DI235" s="1037"/>
      <c r="DJ235" s="1037"/>
      <c r="DK235" s="1037"/>
      <c r="DL235" s="1037"/>
      <c r="DM235" s="1037"/>
      <c r="DN235" s="1037"/>
      <c r="DO235" s="1037"/>
      <c r="DP235" s="1037"/>
      <c r="DQ235" s="1037"/>
      <c r="DR235" s="1037"/>
      <c r="DS235" s="1037"/>
      <c r="DT235" s="1037"/>
      <c r="DU235" s="1037"/>
      <c r="DV235" s="1037"/>
      <c r="DW235" s="1037"/>
      <c r="DX235" s="1037"/>
      <c r="DY235" s="1037"/>
      <c r="DZ235" s="1037"/>
      <c r="EA235" s="1037"/>
      <c r="EB235" s="1037"/>
      <c r="EC235" s="1037"/>
      <c r="ED235" s="1037"/>
      <c r="EE235" s="1037"/>
      <c r="EF235" s="1037"/>
      <c r="EG235" s="1037"/>
      <c r="EH235" s="1037"/>
      <c r="EI235" s="1037"/>
      <c r="EJ235" s="1037"/>
      <c r="EK235" s="1037"/>
      <c r="EL235" s="1037"/>
      <c r="EM235" s="1037"/>
      <c r="EN235" s="1037"/>
      <c r="EO235" s="1037"/>
      <c r="EP235" s="1037"/>
      <c r="EQ235" s="1037"/>
      <c r="ER235" s="1037"/>
      <c r="ES235" s="1037"/>
      <c r="ET235" s="1037"/>
      <c r="EU235" s="1037"/>
      <c r="EV235" s="1037"/>
      <c r="EW235" s="1037"/>
      <c r="EX235" s="1037"/>
      <c r="EY235" s="1037"/>
      <c r="EZ235" s="1037"/>
      <c r="FA235" s="1037"/>
      <c r="FB235" s="1037"/>
      <c r="FC235" s="1037"/>
      <c r="FD235" s="1037"/>
      <c r="FE235" s="1037"/>
      <c r="FF235" s="1037"/>
      <c r="FG235" s="1037"/>
      <c r="FH235" s="1037"/>
      <c r="FI235" s="1037"/>
      <c r="FJ235" s="1037"/>
      <c r="FK235" s="1037"/>
      <c r="FL235" s="1037"/>
      <c r="FM235" s="1037"/>
      <c r="FN235" s="1037"/>
      <c r="FO235" s="1037"/>
      <c r="FP235" s="1037"/>
      <c r="FQ235" s="1037"/>
      <c r="FR235" s="1037"/>
      <c r="FS235" s="1037"/>
      <c r="FT235" s="1037"/>
      <c r="FU235" s="1037"/>
      <c r="FV235" s="1037"/>
      <c r="FW235" s="1037"/>
      <c r="FX235" s="1037"/>
      <c r="FY235" s="1037"/>
      <c r="FZ235" s="1037"/>
      <c r="GA235" s="1037"/>
      <c r="GB235" s="1037"/>
      <c r="GC235" s="1037"/>
      <c r="GD235" s="1037"/>
      <c r="GE235" s="1037"/>
      <c r="GF235" s="1037"/>
      <c r="GG235" s="1037"/>
      <c r="GH235" s="1037"/>
      <c r="GI235" s="1037"/>
      <c r="GJ235" s="1037"/>
      <c r="GK235" s="1037"/>
      <c r="GL235" s="1037"/>
      <c r="GM235" s="1037"/>
      <c r="GN235" s="1037"/>
      <c r="GO235" s="1037"/>
      <c r="GP235" s="1037"/>
      <c r="GQ235" s="1037"/>
      <c r="GR235" s="1037"/>
      <c r="GS235" s="1037"/>
      <c r="GT235" s="1037"/>
      <c r="GU235" s="1037"/>
      <c r="GV235" s="1037"/>
      <c r="GW235" s="1037"/>
      <c r="GX235" s="1037"/>
      <c r="GY235" s="1037"/>
      <c r="GZ235" s="1037"/>
      <c r="HA235" s="1037"/>
      <c r="HB235" s="1037"/>
      <c r="HC235" s="1037"/>
      <c r="HD235" s="1037"/>
      <c r="HE235" s="1037"/>
      <c r="HF235" s="1037"/>
      <c r="HG235" s="1037"/>
      <c r="HH235" s="1037"/>
      <c r="HI235" s="1037"/>
      <c r="HJ235" s="1037"/>
      <c r="HK235" s="1037"/>
      <c r="HL235" s="1037"/>
      <c r="HM235" s="1037"/>
      <c r="HN235" s="1037"/>
      <c r="HO235" s="1037"/>
      <c r="HP235" s="1037"/>
      <c r="HQ235" s="1037"/>
      <c r="HR235" s="1037"/>
      <c r="HS235" s="1037"/>
      <c r="HT235" s="1037"/>
      <c r="HU235" s="1037"/>
      <c r="HV235" s="1037"/>
      <c r="HW235" s="1037"/>
      <c r="HX235" s="1037"/>
      <c r="HY235" s="1037"/>
      <c r="HZ235" s="1037"/>
      <c r="IA235" s="1037"/>
      <c r="IB235" s="1037"/>
      <c r="IC235" s="1037"/>
      <c r="ID235" s="1037"/>
      <c r="IE235" s="1037"/>
      <c r="IF235" s="1037"/>
      <c r="IG235" s="1037"/>
      <c r="IH235" s="1037"/>
      <c r="II235" s="1037"/>
      <c r="IJ235" s="1037"/>
      <c r="IK235" s="1037"/>
      <c r="IL235" s="1037"/>
      <c r="IM235" s="1037"/>
      <c r="IN235" s="1037"/>
    </row>
    <row r="236" spans="1:248">
      <c r="A236" s="705" t="s">
        <v>23</v>
      </c>
      <c r="B236" s="703">
        <v>11755</v>
      </c>
      <c r="C236" s="703">
        <f t="shared" si="33"/>
        <v>28.836930896851857</v>
      </c>
      <c r="D236" s="706">
        <v>11590.5</v>
      </c>
      <c r="E236" s="1038">
        <f t="shared" si="34"/>
        <v>28.433385585704929</v>
      </c>
      <c r="F236" s="1038">
        <f t="shared" si="36"/>
        <v>164.5</v>
      </c>
      <c r="G236" s="1038">
        <f t="shared" si="35"/>
        <v>0.40354531114692738</v>
      </c>
      <c r="H236" s="464">
        <v>40763.699999999997</v>
      </c>
      <c r="I236" s="1037"/>
      <c r="J236" s="1037"/>
      <c r="K236" s="1037"/>
      <c r="L236" s="1037"/>
      <c r="M236" s="1037"/>
      <c r="N236" s="1037"/>
      <c r="O236" s="1037"/>
      <c r="P236" s="1037"/>
      <c r="Q236" s="1037"/>
      <c r="R236" s="1037"/>
      <c r="S236" s="1037"/>
      <c r="T236" s="1037"/>
      <c r="U236" s="1037"/>
      <c r="V236" s="1037"/>
      <c r="W236" s="1037"/>
      <c r="X236" s="1037"/>
      <c r="Y236" s="1037"/>
      <c r="Z236" s="1037"/>
      <c r="AA236" s="1037"/>
      <c r="AB236" s="1037"/>
      <c r="AC236" s="1037"/>
      <c r="AD236" s="1037"/>
      <c r="AE236" s="1037"/>
      <c r="AF236" s="1037"/>
      <c r="AG236" s="1037"/>
      <c r="AH236" s="1037"/>
      <c r="AI236" s="1037"/>
      <c r="AJ236" s="1037"/>
      <c r="AK236" s="1037"/>
      <c r="AL236" s="1037"/>
      <c r="AM236" s="1037"/>
      <c r="AN236" s="1037"/>
      <c r="AO236" s="1037"/>
      <c r="AP236" s="1037"/>
      <c r="AQ236" s="1037"/>
      <c r="AR236" s="1037"/>
      <c r="AS236" s="1037"/>
      <c r="AT236" s="1037"/>
      <c r="AU236" s="1037"/>
      <c r="AV236" s="1037"/>
      <c r="AW236" s="1037"/>
      <c r="AX236" s="1037"/>
      <c r="AY236" s="1037"/>
      <c r="AZ236" s="1037"/>
      <c r="BA236" s="1037"/>
      <c r="BB236" s="1037"/>
      <c r="BC236" s="1037"/>
      <c r="BD236" s="1037"/>
      <c r="BE236" s="1037"/>
      <c r="BF236" s="1037"/>
      <c r="BG236" s="1037"/>
      <c r="BH236" s="1037"/>
      <c r="BI236" s="1037"/>
      <c r="BJ236" s="1037"/>
      <c r="BK236" s="1037"/>
      <c r="BL236" s="1037"/>
      <c r="BM236" s="1037"/>
      <c r="BN236" s="1037"/>
      <c r="BO236" s="1037"/>
      <c r="BP236" s="1037"/>
      <c r="BQ236" s="1037"/>
      <c r="BR236" s="1037"/>
      <c r="BS236" s="1037"/>
      <c r="BT236" s="1037"/>
      <c r="BU236" s="1037"/>
      <c r="BV236" s="1037"/>
      <c r="BW236" s="1037"/>
      <c r="BX236" s="1037"/>
      <c r="BY236" s="1037"/>
      <c r="BZ236" s="1037"/>
      <c r="CA236" s="1037"/>
      <c r="CB236" s="1037"/>
      <c r="CC236" s="1037"/>
      <c r="CD236" s="1037"/>
      <c r="CE236" s="1037"/>
      <c r="CF236" s="1037"/>
      <c r="CG236" s="1037"/>
      <c r="CH236" s="1037"/>
      <c r="CI236" s="1037"/>
      <c r="CJ236" s="1037"/>
      <c r="CK236" s="1037"/>
      <c r="CL236" s="1037"/>
      <c r="CM236" s="1037"/>
      <c r="CN236" s="1037"/>
      <c r="CO236" s="1037"/>
      <c r="CP236" s="1037"/>
      <c r="CQ236" s="1037"/>
      <c r="CR236" s="1037"/>
      <c r="CS236" s="1037"/>
      <c r="CT236" s="1037"/>
      <c r="CU236" s="1037"/>
      <c r="CV236" s="1037"/>
      <c r="CW236" s="1037"/>
      <c r="CX236" s="1037"/>
      <c r="CY236" s="1037"/>
      <c r="CZ236" s="1037"/>
      <c r="DA236" s="1037"/>
      <c r="DB236" s="1037"/>
      <c r="DC236" s="1037"/>
      <c r="DD236" s="1037"/>
      <c r="DE236" s="1037"/>
      <c r="DF236" s="1037"/>
      <c r="DG236" s="1037"/>
      <c r="DH236" s="1037"/>
      <c r="DI236" s="1037"/>
      <c r="DJ236" s="1037"/>
      <c r="DK236" s="1037"/>
      <c r="DL236" s="1037"/>
      <c r="DM236" s="1037"/>
      <c r="DN236" s="1037"/>
      <c r="DO236" s="1037"/>
      <c r="DP236" s="1037"/>
      <c r="DQ236" s="1037"/>
      <c r="DR236" s="1037"/>
      <c r="DS236" s="1037"/>
      <c r="DT236" s="1037"/>
      <c r="DU236" s="1037"/>
      <c r="DV236" s="1037"/>
      <c r="DW236" s="1037"/>
      <c r="DX236" s="1037"/>
      <c r="DY236" s="1037"/>
      <c r="DZ236" s="1037"/>
      <c r="EA236" s="1037"/>
      <c r="EB236" s="1037"/>
      <c r="EC236" s="1037"/>
      <c r="ED236" s="1037"/>
      <c r="EE236" s="1037"/>
      <c r="EF236" s="1037"/>
      <c r="EG236" s="1037"/>
      <c r="EH236" s="1037"/>
      <c r="EI236" s="1037"/>
      <c r="EJ236" s="1037"/>
      <c r="EK236" s="1037"/>
      <c r="EL236" s="1037"/>
      <c r="EM236" s="1037"/>
      <c r="EN236" s="1037"/>
      <c r="EO236" s="1037"/>
      <c r="EP236" s="1037"/>
      <c r="EQ236" s="1037"/>
      <c r="ER236" s="1037"/>
      <c r="ES236" s="1037"/>
      <c r="ET236" s="1037"/>
      <c r="EU236" s="1037"/>
      <c r="EV236" s="1037"/>
      <c r="EW236" s="1037"/>
      <c r="EX236" s="1037"/>
      <c r="EY236" s="1037"/>
      <c r="EZ236" s="1037"/>
      <c r="FA236" s="1037"/>
      <c r="FB236" s="1037"/>
      <c r="FC236" s="1037"/>
      <c r="FD236" s="1037"/>
      <c r="FE236" s="1037"/>
      <c r="FF236" s="1037"/>
      <c r="FG236" s="1037"/>
      <c r="FH236" s="1037"/>
      <c r="FI236" s="1037"/>
      <c r="FJ236" s="1037"/>
      <c r="FK236" s="1037"/>
      <c r="FL236" s="1037"/>
      <c r="FM236" s="1037"/>
      <c r="FN236" s="1037"/>
      <c r="FO236" s="1037"/>
      <c r="FP236" s="1037"/>
      <c r="FQ236" s="1037"/>
      <c r="FR236" s="1037"/>
      <c r="FS236" s="1037"/>
      <c r="FT236" s="1037"/>
      <c r="FU236" s="1037"/>
      <c r="FV236" s="1037"/>
      <c r="FW236" s="1037"/>
      <c r="FX236" s="1037"/>
      <c r="FY236" s="1037"/>
      <c r="FZ236" s="1037"/>
      <c r="GA236" s="1037"/>
      <c r="GB236" s="1037"/>
      <c r="GC236" s="1037"/>
      <c r="GD236" s="1037"/>
      <c r="GE236" s="1037"/>
      <c r="GF236" s="1037"/>
      <c r="GG236" s="1037"/>
      <c r="GH236" s="1037"/>
      <c r="GI236" s="1037"/>
      <c r="GJ236" s="1037"/>
      <c r="GK236" s="1037"/>
      <c r="GL236" s="1037"/>
      <c r="GM236" s="1037"/>
      <c r="GN236" s="1037"/>
      <c r="GO236" s="1037"/>
      <c r="GP236" s="1037"/>
      <c r="GQ236" s="1037"/>
      <c r="GR236" s="1037"/>
      <c r="GS236" s="1037"/>
      <c r="GT236" s="1037"/>
      <c r="GU236" s="1037"/>
      <c r="GV236" s="1037"/>
      <c r="GW236" s="1037"/>
      <c r="GX236" s="1037"/>
      <c r="GY236" s="1037"/>
      <c r="GZ236" s="1037"/>
      <c r="HA236" s="1037"/>
      <c r="HB236" s="1037"/>
      <c r="HC236" s="1037"/>
      <c r="HD236" s="1037"/>
      <c r="HE236" s="1037"/>
      <c r="HF236" s="1037"/>
      <c r="HG236" s="1037"/>
      <c r="HH236" s="1037"/>
      <c r="HI236" s="1037"/>
      <c r="HJ236" s="1037"/>
      <c r="HK236" s="1037"/>
      <c r="HL236" s="1037"/>
      <c r="HM236" s="1037"/>
      <c r="HN236" s="1037"/>
      <c r="HO236" s="1037"/>
      <c r="HP236" s="1037"/>
      <c r="HQ236" s="1037"/>
      <c r="HR236" s="1037"/>
      <c r="HS236" s="1037"/>
      <c r="HT236" s="1037"/>
      <c r="HU236" s="1037"/>
      <c r="HV236" s="1037"/>
      <c r="HW236" s="1037"/>
      <c r="HX236" s="1037"/>
      <c r="HY236" s="1037"/>
      <c r="HZ236" s="1037"/>
      <c r="IA236" s="1037"/>
      <c r="IB236" s="1037"/>
      <c r="IC236" s="1037"/>
      <c r="ID236" s="1037"/>
      <c r="IE236" s="1037"/>
      <c r="IF236" s="1037"/>
      <c r="IG236" s="1037"/>
      <c r="IH236" s="1037"/>
      <c r="II236" s="1037"/>
      <c r="IJ236" s="1037"/>
      <c r="IK236" s="1037"/>
      <c r="IL236" s="1037"/>
      <c r="IM236" s="1037"/>
      <c r="IN236" s="1037"/>
    </row>
    <row r="237" spans="1:248">
      <c r="A237" s="705" t="s">
        <v>24</v>
      </c>
      <c r="B237" s="703">
        <v>14049.3</v>
      </c>
      <c r="C237" s="703">
        <f t="shared" si="33"/>
        <v>29.206277271810695</v>
      </c>
      <c r="D237" s="706">
        <v>13681.6</v>
      </c>
      <c r="E237" s="1038">
        <f t="shared" si="34"/>
        <v>28.441887006612799</v>
      </c>
      <c r="F237" s="1038">
        <f t="shared" si="36"/>
        <v>367.69999999999891</v>
      </c>
      <c r="G237" s="1038">
        <f t="shared" si="35"/>
        <v>0.76439026519789322</v>
      </c>
      <c r="H237" s="464">
        <v>48103.7</v>
      </c>
      <c r="I237" s="1037"/>
      <c r="J237" s="1037"/>
      <c r="K237" s="1037"/>
      <c r="L237" s="1037"/>
      <c r="M237" s="1037"/>
      <c r="N237" s="1037"/>
      <c r="O237" s="1037"/>
      <c r="P237" s="1037"/>
      <c r="Q237" s="1037"/>
      <c r="R237" s="1037"/>
      <c r="S237" s="1037"/>
      <c r="T237" s="1037"/>
      <c r="U237" s="1037"/>
      <c r="V237" s="1037"/>
      <c r="W237" s="1037"/>
      <c r="X237" s="1037"/>
      <c r="Y237" s="1037"/>
      <c r="Z237" s="1037"/>
      <c r="AA237" s="1037"/>
      <c r="AB237" s="1037"/>
      <c r="AC237" s="1037"/>
      <c r="AD237" s="1037"/>
      <c r="AE237" s="1037"/>
      <c r="AF237" s="1037"/>
      <c r="AG237" s="1037"/>
      <c r="AH237" s="1037"/>
      <c r="AI237" s="1037"/>
      <c r="AJ237" s="1037"/>
      <c r="AK237" s="1037"/>
      <c r="AL237" s="1037"/>
      <c r="AM237" s="1037"/>
      <c r="AN237" s="1037"/>
      <c r="AO237" s="1037"/>
      <c r="AP237" s="1037"/>
      <c r="AQ237" s="1037"/>
      <c r="AR237" s="1037"/>
      <c r="AS237" s="1037"/>
      <c r="AT237" s="1037"/>
      <c r="AU237" s="1037"/>
      <c r="AV237" s="1037"/>
      <c r="AW237" s="1037"/>
      <c r="AX237" s="1037"/>
      <c r="AY237" s="1037"/>
      <c r="AZ237" s="1037"/>
      <c r="BA237" s="1037"/>
      <c r="BB237" s="1037"/>
      <c r="BC237" s="1037"/>
      <c r="BD237" s="1037"/>
      <c r="BE237" s="1037"/>
      <c r="BF237" s="1037"/>
      <c r="BG237" s="1037"/>
      <c r="BH237" s="1037"/>
      <c r="BI237" s="1037"/>
      <c r="BJ237" s="1037"/>
      <c r="BK237" s="1037"/>
      <c r="BL237" s="1037"/>
      <c r="BM237" s="1037"/>
      <c r="BN237" s="1037"/>
      <c r="BO237" s="1037"/>
      <c r="BP237" s="1037"/>
      <c r="BQ237" s="1037"/>
      <c r="BR237" s="1037"/>
      <c r="BS237" s="1037"/>
      <c r="BT237" s="1037"/>
      <c r="BU237" s="1037"/>
      <c r="BV237" s="1037"/>
      <c r="BW237" s="1037"/>
      <c r="BX237" s="1037"/>
      <c r="BY237" s="1037"/>
      <c r="BZ237" s="1037"/>
      <c r="CA237" s="1037"/>
      <c r="CB237" s="1037"/>
      <c r="CC237" s="1037"/>
      <c r="CD237" s="1037"/>
      <c r="CE237" s="1037"/>
      <c r="CF237" s="1037"/>
      <c r="CG237" s="1037"/>
      <c r="CH237" s="1037"/>
      <c r="CI237" s="1037"/>
      <c r="CJ237" s="1037"/>
      <c r="CK237" s="1037"/>
      <c r="CL237" s="1037"/>
      <c r="CM237" s="1037"/>
      <c r="CN237" s="1037"/>
      <c r="CO237" s="1037"/>
      <c r="CP237" s="1037"/>
      <c r="CQ237" s="1037"/>
      <c r="CR237" s="1037"/>
      <c r="CS237" s="1037"/>
      <c r="CT237" s="1037"/>
      <c r="CU237" s="1037"/>
      <c r="CV237" s="1037"/>
      <c r="CW237" s="1037"/>
      <c r="CX237" s="1037"/>
      <c r="CY237" s="1037"/>
      <c r="CZ237" s="1037"/>
      <c r="DA237" s="1037"/>
      <c r="DB237" s="1037"/>
      <c r="DC237" s="1037"/>
      <c r="DD237" s="1037"/>
      <c r="DE237" s="1037"/>
      <c r="DF237" s="1037"/>
      <c r="DG237" s="1037"/>
      <c r="DH237" s="1037"/>
      <c r="DI237" s="1037"/>
      <c r="DJ237" s="1037"/>
      <c r="DK237" s="1037"/>
      <c r="DL237" s="1037"/>
      <c r="DM237" s="1037"/>
      <c r="DN237" s="1037"/>
      <c r="DO237" s="1037"/>
      <c r="DP237" s="1037"/>
      <c r="DQ237" s="1037"/>
      <c r="DR237" s="1037"/>
      <c r="DS237" s="1037"/>
      <c r="DT237" s="1037"/>
      <c r="DU237" s="1037"/>
      <c r="DV237" s="1037"/>
      <c r="DW237" s="1037"/>
      <c r="DX237" s="1037"/>
      <c r="DY237" s="1037"/>
      <c r="DZ237" s="1037"/>
      <c r="EA237" s="1037"/>
      <c r="EB237" s="1037"/>
      <c r="EC237" s="1037"/>
      <c r="ED237" s="1037"/>
      <c r="EE237" s="1037"/>
      <c r="EF237" s="1037"/>
      <c r="EG237" s="1037"/>
      <c r="EH237" s="1037"/>
      <c r="EI237" s="1037"/>
      <c r="EJ237" s="1037"/>
      <c r="EK237" s="1037"/>
      <c r="EL237" s="1037"/>
      <c r="EM237" s="1037"/>
      <c r="EN237" s="1037"/>
      <c r="EO237" s="1037"/>
      <c r="EP237" s="1037"/>
      <c r="EQ237" s="1037"/>
      <c r="ER237" s="1037"/>
      <c r="ES237" s="1037"/>
      <c r="ET237" s="1037"/>
      <c r="EU237" s="1037"/>
      <c r="EV237" s="1037"/>
      <c r="EW237" s="1037"/>
      <c r="EX237" s="1037"/>
      <c r="EY237" s="1037"/>
      <c r="EZ237" s="1037"/>
      <c r="FA237" s="1037"/>
      <c r="FB237" s="1037"/>
      <c r="FC237" s="1037"/>
      <c r="FD237" s="1037"/>
      <c r="FE237" s="1037"/>
      <c r="FF237" s="1037"/>
      <c r="FG237" s="1037"/>
      <c r="FH237" s="1037"/>
      <c r="FI237" s="1037"/>
      <c r="FJ237" s="1037"/>
      <c r="FK237" s="1037"/>
      <c r="FL237" s="1037"/>
      <c r="FM237" s="1037"/>
      <c r="FN237" s="1037"/>
      <c r="FO237" s="1037"/>
      <c r="FP237" s="1037"/>
      <c r="FQ237" s="1037"/>
      <c r="FR237" s="1037"/>
      <c r="FS237" s="1037"/>
      <c r="FT237" s="1037"/>
      <c r="FU237" s="1037"/>
      <c r="FV237" s="1037"/>
      <c r="FW237" s="1037"/>
      <c r="FX237" s="1037"/>
      <c r="FY237" s="1037"/>
      <c r="FZ237" s="1037"/>
      <c r="GA237" s="1037"/>
      <c r="GB237" s="1037"/>
      <c r="GC237" s="1037"/>
      <c r="GD237" s="1037"/>
      <c r="GE237" s="1037"/>
      <c r="GF237" s="1037"/>
      <c r="GG237" s="1037"/>
      <c r="GH237" s="1037"/>
      <c r="GI237" s="1037"/>
      <c r="GJ237" s="1037"/>
      <c r="GK237" s="1037"/>
      <c r="GL237" s="1037"/>
      <c r="GM237" s="1037"/>
      <c r="GN237" s="1037"/>
      <c r="GO237" s="1037"/>
      <c r="GP237" s="1037"/>
      <c r="GQ237" s="1037"/>
      <c r="GR237" s="1037"/>
      <c r="GS237" s="1037"/>
      <c r="GT237" s="1037"/>
      <c r="GU237" s="1037"/>
      <c r="GV237" s="1037"/>
      <c r="GW237" s="1037"/>
      <c r="GX237" s="1037"/>
      <c r="GY237" s="1037"/>
      <c r="GZ237" s="1037"/>
      <c r="HA237" s="1037"/>
      <c r="HB237" s="1037"/>
      <c r="HC237" s="1037"/>
      <c r="HD237" s="1037"/>
      <c r="HE237" s="1037"/>
      <c r="HF237" s="1037"/>
      <c r="HG237" s="1037"/>
      <c r="HH237" s="1037"/>
      <c r="HI237" s="1037"/>
      <c r="HJ237" s="1037"/>
      <c r="HK237" s="1037"/>
      <c r="HL237" s="1037"/>
      <c r="HM237" s="1037"/>
      <c r="HN237" s="1037"/>
      <c r="HO237" s="1037"/>
      <c r="HP237" s="1037"/>
      <c r="HQ237" s="1037"/>
      <c r="HR237" s="1037"/>
      <c r="HS237" s="1037"/>
      <c r="HT237" s="1037"/>
      <c r="HU237" s="1037"/>
      <c r="HV237" s="1037"/>
      <c r="HW237" s="1037"/>
      <c r="HX237" s="1037"/>
      <c r="HY237" s="1037"/>
      <c r="HZ237" s="1037"/>
      <c r="IA237" s="1037"/>
      <c r="IB237" s="1037"/>
      <c r="IC237" s="1037"/>
      <c r="ID237" s="1037"/>
      <c r="IE237" s="1037"/>
      <c r="IF237" s="1037"/>
      <c r="IG237" s="1037"/>
      <c r="IH237" s="1037"/>
      <c r="II237" s="1037"/>
      <c r="IJ237" s="1037"/>
      <c r="IK237" s="1037"/>
      <c r="IL237" s="1037"/>
      <c r="IM237" s="1037"/>
      <c r="IN237" s="1037"/>
    </row>
    <row r="238" spans="1:248">
      <c r="A238" s="705" t="s">
        <v>25</v>
      </c>
      <c r="B238" s="703">
        <v>15937.5</v>
      </c>
      <c r="C238" s="703">
        <f t="shared" si="33"/>
        <v>28.676585691485823</v>
      </c>
      <c r="D238" s="706">
        <v>15626.8</v>
      </c>
      <c r="E238" s="1038">
        <f t="shared" si="34"/>
        <v>28.117538464860274</v>
      </c>
      <c r="F238" s="1038">
        <f t="shared" si="36"/>
        <v>310.70000000000073</v>
      </c>
      <c r="G238" s="1038">
        <f t="shared" si="35"/>
        <v>0.55904722662554773</v>
      </c>
      <c r="H238" s="464">
        <v>55576.7</v>
      </c>
      <c r="I238" s="1037"/>
      <c r="J238" s="1037"/>
      <c r="K238" s="1037"/>
      <c r="L238" s="1037"/>
      <c r="M238" s="1037"/>
      <c r="N238" s="1037"/>
      <c r="O238" s="1037"/>
      <c r="P238" s="1037"/>
      <c r="Q238" s="1037"/>
      <c r="R238" s="1037"/>
      <c r="S238" s="1037"/>
      <c r="T238" s="1037"/>
      <c r="U238" s="1037"/>
      <c r="V238" s="1037"/>
      <c r="W238" s="1037"/>
      <c r="X238" s="1037"/>
      <c r="Y238" s="1037"/>
      <c r="Z238" s="1037"/>
      <c r="AA238" s="1037"/>
      <c r="AB238" s="1037"/>
      <c r="AC238" s="1037"/>
      <c r="AD238" s="1037"/>
      <c r="AE238" s="1037"/>
      <c r="AF238" s="1037"/>
      <c r="AG238" s="1037"/>
      <c r="AH238" s="1037"/>
      <c r="AI238" s="1037"/>
      <c r="AJ238" s="1037"/>
      <c r="AK238" s="1037"/>
      <c r="AL238" s="1037"/>
      <c r="AM238" s="1037"/>
      <c r="AN238" s="1037"/>
      <c r="AO238" s="1037"/>
      <c r="AP238" s="1037"/>
      <c r="AQ238" s="1037"/>
      <c r="AR238" s="1037"/>
      <c r="AS238" s="1037"/>
      <c r="AT238" s="1037"/>
      <c r="AU238" s="1037"/>
      <c r="AV238" s="1037"/>
      <c r="AW238" s="1037"/>
      <c r="AX238" s="1037"/>
      <c r="AY238" s="1037"/>
      <c r="AZ238" s="1037"/>
      <c r="BA238" s="1037"/>
      <c r="BB238" s="1037"/>
      <c r="BC238" s="1037"/>
      <c r="BD238" s="1037"/>
      <c r="BE238" s="1037"/>
      <c r="BF238" s="1037"/>
      <c r="BG238" s="1037"/>
      <c r="BH238" s="1037"/>
      <c r="BI238" s="1037"/>
      <c r="BJ238" s="1037"/>
      <c r="BK238" s="1037"/>
      <c r="BL238" s="1037"/>
      <c r="BM238" s="1037"/>
      <c r="BN238" s="1037"/>
      <c r="BO238" s="1037"/>
      <c r="BP238" s="1037"/>
      <c r="BQ238" s="1037"/>
      <c r="BR238" s="1037"/>
      <c r="BS238" s="1037"/>
      <c r="BT238" s="1037"/>
      <c r="BU238" s="1037"/>
      <c r="BV238" s="1037"/>
      <c r="BW238" s="1037"/>
      <c r="BX238" s="1037"/>
      <c r="BY238" s="1037"/>
      <c r="BZ238" s="1037"/>
      <c r="CA238" s="1037"/>
      <c r="CB238" s="1037"/>
      <c r="CC238" s="1037"/>
      <c r="CD238" s="1037"/>
      <c r="CE238" s="1037"/>
      <c r="CF238" s="1037"/>
      <c r="CG238" s="1037"/>
      <c r="CH238" s="1037"/>
      <c r="CI238" s="1037"/>
      <c r="CJ238" s="1037"/>
      <c r="CK238" s="1037"/>
      <c r="CL238" s="1037"/>
      <c r="CM238" s="1037"/>
      <c r="CN238" s="1037"/>
      <c r="CO238" s="1037"/>
      <c r="CP238" s="1037"/>
      <c r="CQ238" s="1037"/>
      <c r="CR238" s="1037"/>
      <c r="CS238" s="1037"/>
      <c r="CT238" s="1037"/>
      <c r="CU238" s="1037"/>
      <c r="CV238" s="1037"/>
      <c r="CW238" s="1037"/>
      <c r="CX238" s="1037"/>
      <c r="CY238" s="1037"/>
      <c r="CZ238" s="1037"/>
      <c r="DA238" s="1037"/>
      <c r="DB238" s="1037"/>
      <c r="DC238" s="1037"/>
      <c r="DD238" s="1037"/>
      <c r="DE238" s="1037"/>
      <c r="DF238" s="1037"/>
      <c r="DG238" s="1037"/>
      <c r="DH238" s="1037"/>
      <c r="DI238" s="1037"/>
      <c r="DJ238" s="1037"/>
      <c r="DK238" s="1037"/>
      <c r="DL238" s="1037"/>
      <c r="DM238" s="1037"/>
      <c r="DN238" s="1037"/>
      <c r="DO238" s="1037"/>
      <c r="DP238" s="1037"/>
      <c r="DQ238" s="1037"/>
      <c r="DR238" s="1037"/>
      <c r="DS238" s="1037"/>
      <c r="DT238" s="1037"/>
      <c r="DU238" s="1037"/>
      <c r="DV238" s="1037"/>
      <c r="DW238" s="1037"/>
      <c r="DX238" s="1037"/>
      <c r="DY238" s="1037"/>
      <c r="DZ238" s="1037"/>
      <c r="EA238" s="1037"/>
      <c r="EB238" s="1037"/>
      <c r="EC238" s="1037"/>
      <c r="ED238" s="1037"/>
      <c r="EE238" s="1037"/>
      <c r="EF238" s="1037"/>
      <c r="EG238" s="1037"/>
      <c r="EH238" s="1037"/>
      <c r="EI238" s="1037"/>
      <c r="EJ238" s="1037"/>
      <c r="EK238" s="1037"/>
      <c r="EL238" s="1037"/>
      <c r="EM238" s="1037"/>
      <c r="EN238" s="1037"/>
      <c r="EO238" s="1037"/>
      <c r="EP238" s="1037"/>
      <c r="EQ238" s="1037"/>
      <c r="ER238" s="1037"/>
      <c r="ES238" s="1037"/>
      <c r="ET238" s="1037"/>
      <c r="EU238" s="1037"/>
      <c r="EV238" s="1037"/>
      <c r="EW238" s="1037"/>
      <c r="EX238" s="1037"/>
      <c r="EY238" s="1037"/>
      <c r="EZ238" s="1037"/>
      <c r="FA238" s="1037"/>
      <c r="FB238" s="1037"/>
      <c r="FC238" s="1037"/>
      <c r="FD238" s="1037"/>
      <c r="FE238" s="1037"/>
      <c r="FF238" s="1037"/>
      <c r="FG238" s="1037"/>
      <c r="FH238" s="1037"/>
      <c r="FI238" s="1037"/>
      <c r="FJ238" s="1037"/>
      <c r="FK238" s="1037"/>
      <c r="FL238" s="1037"/>
      <c r="FM238" s="1037"/>
      <c r="FN238" s="1037"/>
      <c r="FO238" s="1037"/>
      <c r="FP238" s="1037"/>
      <c r="FQ238" s="1037"/>
      <c r="FR238" s="1037"/>
      <c r="FS238" s="1037"/>
      <c r="FT238" s="1037"/>
      <c r="FU238" s="1037"/>
      <c r="FV238" s="1037"/>
      <c r="FW238" s="1037"/>
      <c r="FX238" s="1037"/>
      <c r="FY238" s="1037"/>
      <c r="FZ238" s="1037"/>
      <c r="GA238" s="1037"/>
      <c r="GB238" s="1037"/>
      <c r="GC238" s="1037"/>
      <c r="GD238" s="1037"/>
      <c r="GE238" s="1037"/>
      <c r="GF238" s="1037"/>
      <c r="GG238" s="1037"/>
      <c r="GH238" s="1037"/>
      <c r="GI238" s="1037"/>
      <c r="GJ238" s="1037"/>
      <c r="GK238" s="1037"/>
      <c r="GL238" s="1037"/>
      <c r="GM238" s="1037"/>
      <c r="GN238" s="1037"/>
      <c r="GO238" s="1037"/>
      <c r="GP238" s="1037"/>
      <c r="GQ238" s="1037"/>
      <c r="GR238" s="1037"/>
      <c r="GS238" s="1037"/>
      <c r="GT238" s="1037"/>
      <c r="GU238" s="1037"/>
      <c r="GV238" s="1037"/>
      <c r="GW238" s="1037"/>
      <c r="GX238" s="1037"/>
      <c r="GY238" s="1037"/>
      <c r="GZ238" s="1037"/>
      <c r="HA238" s="1037"/>
      <c r="HB238" s="1037"/>
      <c r="HC238" s="1037"/>
      <c r="HD238" s="1037"/>
      <c r="HE238" s="1037"/>
      <c r="HF238" s="1037"/>
      <c r="HG238" s="1037"/>
      <c r="HH238" s="1037"/>
      <c r="HI238" s="1037"/>
      <c r="HJ238" s="1037"/>
      <c r="HK238" s="1037"/>
      <c r="HL238" s="1037"/>
      <c r="HM238" s="1037"/>
      <c r="HN238" s="1037"/>
      <c r="HO238" s="1037"/>
      <c r="HP238" s="1037"/>
      <c r="HQ238" s="1037"/>
      <c r="HR238" s="1037"/>
      <c r="HS238" s="1037"/>
      <c r="HT238" s="1037"/>
      <c r="HU238" s="1037"/>
      <c r="HV238" s="1037"/>
      <c r="HW238" s="1037"/>
      <c r="HX238" s="1037"/>
      <c r="HY238" s="1037"/>
      <c r="HZ238" s="1037"/>
      <c r="IA238" s="1037"/>
      <c r="IB238" s="1037"/>
      <c r="IC238" s="1037"/>
      <c r="ID238" s="1037"/>
      <c r="IE238" s="1037"/>
      <c r="IF238" s="1037"/>
      <c r="IG238" s="1037"/>
      <c r="IH238" s="1037"/>
      <c r="II238" s="1037"/>
      <c r="IJ238" s="1037"/>
      <c r="IK238" s="1037"/>
      <c r="IL238" s="1037"/>
      <c r="IM238" s="1037"/>
      <c r="IN238" s="1037"/>
    </row>
    <row r="239" spans="1:248">
      <c r="A239" s="705" t="s">
        <v>26</v>
      </c>
      <c r="B239" s="703">
        <v>17871.599999999999</v>
      </c>
      <c r="C239" s="703">
        <f t="shared" si="33"/>
        <v>27.972890481929596</v>
      </c>
      <c r="D239" s="706">
        <v>17711.900000000001</v>
      </c>
      <c r="E239" s="1038">
        <f t="shared" si="34"/>
        <v>27.722925699259655</v>
      </c>
      <c r="F239" s="1038">
        <f t="shared" si="36"/>
        <v>159.69999999999709</v>
      </c>
      <c r="G239" s="1038">
        <f t="shared" si="35"/>
        <v>0.24996478266993863</v>
      </c>
      <c r="H239" s="464">
        <v>63889</v>
      </c>
      <c r="I239" s="1037"/>
      <c r="J239" s="1037"/>
      <c r="K239" s="1037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1037"/>
      <c r="AA239" s="1037"/>
      <c r="AB239" s="1037"/>
      <c r="AC239" s="1037"/>
      <c r="AD239" s="1037"/>
      <c r="AE239" s="1037"/>
      <c r="AF239" s="1037"/>
      <c r="AG239" s="1037"/>
      <c r="AH239" s="1037"/>
      <c r="AI239" s="1037"/>
      <c r="AJ239" s="1037"/>
      <c r="AK239" s="1037"/>
      <c r="AL239" s="1037"/>
      <c r="AM239" s="1037"/>
      <c r="AN239" s="1037"/>
      <c r="AO239" s="1037"/>
      <c r="AP239" s="1037"/>
      <c r="AQ239" s="1037"/>
      <c r="AR239" s="1037"/>
      <c r="AS239" s="1037"/>
      <c r="AT239" s="1037"/>
      <c r="AU239" s="1037"/>
      <c r="AV239" s="1037"/>
      <c r="AW239" s="1037"/>
      <c r="AX239" s="1037"/>
      <c r="AY239" s="1037"/>
      <c r="AZ239" s="1037"/>
      <c r="BA239" s="1037"/>
      <c r="BB239" s="1037"/>
      <c r="BC239" s="1037"/>
      <c r="BD239" s="1037"/>
      <c r="BE239" s="1037"/>
      <c r="BF239" s="1037"/>
      <c r="BG239" s="1037"/>
      <c r="BH239" s="1037"/>
      <c r="BI239" s="1037"/>
      <c r="BJ239" s="1037"/>
      <c r="BK239" s="1037"/>
      <c r="BL239" s="1037"/>
      <c r="BM239" s="1037"/>
      <c r="BN239" s="1037"/>
      <c r="BO239" s="1037"/>
      <c r="BP239" s="1037"/>
      <c r="BQ239" s="1037"/>
      <c r="BR239" s="1037"/>
      <c r="BS239" s="1037"/>
      <c r="BT239" s="1037"/>
      <c r="BU239" s="1037"/>
      <c r="BV239" s="1037"/>
      <c r="BW239" s="1037"/>
      <c r="BX239" s="1037"/>
      <c r="BY239" s="1037"/>
      <c r="BZ239" s="1037"/>
      <c r="CA239" s="1037"/>
      <c r="CB239" s="1037"/>
      <c r="CC239" s="1037"/>
      <c r="CD239" s="1037"/>
      <c r="CE239" s="1037"/>
      <c r="CF239" s="1037"/>
      <c r="CG239" s="1037"/>
      <c r="CH239" s="1037"/>
      <c r="CI239" s="1037"/>
      <c r="CJ239" s="1037"/>
      <c r="CK239" s="1037"/>
      <c r="CL239" s="1037"/>
      <c r="CM239" s="1037"/>
      <c r="CN239" s="1037"/>
      <c r="CO239" s="1037"/>
      <c r="CP239" s="1037"/>
      <c r="CQ239" s="1037"/>
      <c r="CR239" s="1037"/>
      <c r="CS239" s="1037"/>
      <c r="CT239" s="1037"/>
      <c r="CU239" s="1037"/>
      <c r="CV239" s="1037"/>
      <c r="CW239" s="1037"/>
      <c r="CX239" s="1037"/>
      <c r="CY239" s="1037"/>
      <c r="CZ239" s="1037"/>
      <c r="DA239" s="1037"/>
      <c r="DB239" s="1037"/>
      <c r="DC239" s="1037"/>
      <c r="DD239" s="1037"/>
      <c r="DE239" s="1037"/>
      <c r="DF239" s="1037"/>
      <c r="DG239" s="1037"/>
      <c r="DH239" s="1037"/>
      <c r="DI239" s="1037"/>
      <c r="DJ239" s="1037"/>
      <c r="DK239" s="1037"/>
      <c r="DL239" s="1037"/>
      <c r="DM239" s="1037"/>
      <c r="DN239" s="1037"/>
      <c r="DO239" s="1037"/>
      <c r="DP239" s="1037"/>
      <c r="DQ239" s="1037"/>
      <c r="DR239" s="1037"/>
      <c r="DS239" s="1037"/>
      <c r="DT239" s="1037"/>
      <c r="DU239" s="1037"/>
      <c r="DV239" s="1037"/>
      <c r="DW239" s="1037"/>
      <c r="DX239" s="1037"/>
      <c r="DY239" s="1037"/>
      <c r="DZ239" s="1037"/>
      <c r="EA239" s="1037"/>
      <c r="EB239" s="1037"/>
      <c r="EC239" s="1037"/>
      <c r="ED239" s="1037"/>
      <c r="EE239" s="1037"/>
      <c r="EF239" s="1037"/>
      <c r="EG239" s="1037"/>
      <c r="EH239" s="1037"/>
      <c r="EI239" s="1037"/>
      <c r="EJ239" s="1037"/>
      <c r="EK239" s="1037"/>
      <c r="EL239" s="1037"/>
      <c r="EM239" s="1037"/>
      <c r="EN239" s="1037"/>
      <c r="EO239" s="1037"/>
      <c r="EP239" s="1037"/>
      <c r="EQ239" s="1037"/>
      <c r="ER239" s="1037"/>
      <c r="ES239" s="1037"/>
      <c r="ET239" s="1037"/>
      <c r="EU239" s="1037"/>
      <c r="EV239" s="1037"/>
      <c r="EW239" s="1037"/>
      <c r="EX239" s="1037"/>
      <c r="EY239" s="1037"/>
      <c r="EZ239" s="1037"/>
      <c r="FA239" s="1037"/>
      <c r="FB239" s="1037"/>
      <c r="FC239" s="1037"/>
      <c r="FD239" s="1037"/>
      <c r="FE239" s="1037"/>
      <c r="FF239" s="1037"/>
      <c r="FG239" s="1037"/>
      <c r="FH239" s="1037"/>
      <c r="FI239" s="1037"/>
      <c r="FJ239" s="1037"/>
      <c r="FK239" s="1037"/>
      <c r="FL239" s="1037"/>
      <c r="FM239" s="1037"/>
      <c r="FN239" s="1037"/>
      <c r="FO239" s="1037"/>
      <c r="FP239" s="1037"/>
      <c r="FQ239" s="1037"/>
      <c r="FR239" s="1037"/>
      <c r="FS239" s="1037"/>
      <c r="FT239" s="1037"/>
      <c r="FU239" s="1037"/>
      <c r="FV239" s="1037"/>
      <c r="FW239" s="1037"/>
      <c r="FX239" s="1037"/>
      <c r="FY239" s="1037"/>
      <c r="FZ239" s="1037"/>
      <c r="GA239" s="1037"/>
      <c r="GB239" s="1037"/>
      <c r="GC239" s="1037"/>
      <c r="GD239" s="1037"/>
      <c r="GE239" s="1037"/>
      <c r="GF239" s="1037"/>
      <c r="GG239" s="1037"/>
      <c r="GH239" s="1037"/>
      <c r="GI239" s="1037"/>
      <c r="GJ239" s="1037"/>
      <c r="GK239" s="1037"/>
      <c r="GL239" s="1037"/>
      <c r="GM239" s="1037"/>
      <c r="GN239" s="1037"/>
      <c r="GO239" s="1037"/>
      <c r="GP239" s="1037"/>
      <c r="GQ239" s="1037"/>
      <c r="GR239" s="1037"/>
      <c r="GS239" s="1037"/>
      <c r="GT239" s="1037"/>
      <c r="GU239" s="1037"/>
      <c r="GV239" s="1037"/>
      <c r="GW239" s="1037"/>
      <c r="GX239" s="1037"/>
      <c r="GY239" s="1037"/>
      <c r="GZ239" s="1037"/>
      <c r="HA239" s="1037"/>
      <c r="HB239" s="1037"/>
      <c r="HC239" s="1037"/>
      <c r="HD239" s="1037"/>
      <c r="HE239" s="1037"/>
      <c r="HF239" s="1037"/>
      <c r="HG239" s="1037"/>
      <c r="HH239" s="1037"/>
      <c r="HI239" s="1037"/>
      <c r="HJ239" s="1037"/>
      <c r="HK239" s="1037"/>
      <c r="HL239" s="1037"/>
      <c r="HM239" s="1037"/>
      <c r="HN239" s="1037"/>
      <c r="HO239" s="1037"/>
      <c r="HP239" s="1037"/>
      <c r="HQ239" s="1037"/>
      <c r="HR239" s="1037"/>
      <c r="HS239" s="1037"/>
      <c r="HT239" s="1037"/>
      <c r="HU239" s="1037"/>
      <c r="HV239" s="1037"/>
      <c r="HW239" s="1037"/>
      <c r="HX239" s="1037"/>
      <c r="HY239" s="1037"/>
      <c r="HZ239" s="1037"/>
      <c r="IA239" s="1037"/>
      <c r="IB239" s="1037"/>
      <c r="IC239" s="1037"/>
      <c r="ID239" s="1037"/>
      <c r="IE239" s="1037"/>
      <c r="IF239" s="1037"/>
      <c r="IG239" s="1037"/>
      <c r="IH239" s="1037"/>
      <c r="II239" s="1037"/>
      <c r="IJ239" s="1037"/>
      <c r="IK239" s="1037"/>
      <c r="IL239" s="1037"/>
      <c r="IM239" s="1037"/>
      <c r="IN239" s="1037"/>
    </row>
    <row r="240" spans="1:248">
      <c r="A240" s="705" t="s">
        <v>27</v>
      </c>
      <c r="B240" s="703">
        <v>20234.2</v>
      </c>
      <c r="C240" s="703">
        <f t="shared" si="33"/>
        <v>27.944779429840434</v>
      </c>
      <c r="D240" s="706">
        <v>20184.7</v>
      </c>
      <c r="E240" s="1038">
        <f t="shared" si="34"/>
        <v>27.876416629147688</v>
      </c>
      <c r="F240" s="1038">
        <f t="shared" si="36"/>
        <v>49.5</v>
      </c>
      <c r="G240" s="1038">
        <f t="shared" si="35"/>
        <v>6.8362800692743045E-2</v>
      </c>
      <c r="H240" s="464">
        <v>72407.8</v>
      </c>
      <c r="I240" s="1037"/>
      <c r="J240" s="1037"/>
      <c r="K240" s="1037"/>
      <c r="L240" s="1037"/>
      <c r="M240" s="1037"/>
      <c r="N240" s="1037"/>
      <c r="O240" s="1037"/>
      <c r="P240" s="1037"/>
      <c r="Q240" s="1037"/>
      <c r="R240" s="1037"/>
      <c r="S240" s="1037"/>
      <c r="T240" s="1037"/>
      <c r="U240" s="1037"/>
      <c r="V240" s="1037"/>
      <c r="W240" s="1037"/>
      <c r="X240" s="1037"/>
      <c r="Y240" s="1037"/>
      <c r="Z240" s="1037"/>
      <c r="AA240" s="1037"/>
      <c r="AB240" s="1037"/>
      <c r="AC240" s="1037"/>
      <c r="AD240" s="1037"/>
      <c r="AE240" s="1037"/>
      <c r="AF240" s="1037"/>
      <c r="AG240" s="1037"/>
      <c r="AH240" s="1037"/>
      <c r="AI240" s="1037"/>
      <c r="AJ240" s="1037"/>
      <c r="AK240" s="1037"/>
      <c r="AL240" s="1037"/>
      <c r="AM240" s="1037"/>
      <c r="AN240" s="1037"/>
      <c r="AO240" s="1037"/>
      <c r="AP240" s="1037"/>
      <c r="AQ240" s="1037"/>
      <c r="AR240" s="1037"/>
      <c r="AS240" s="1037"/>
      <c r="AT240" s="1037"/>
      <c r="AU240" s="1037"/>
      <c r="AV240" s="1037"/>
      <c r="AW240" s="1037"/>
      <c r="AX240" s="1037"/>
      <c r="AY240" s="1037"/>
      <c r="AZ240" s="1037"/>
      <c r="BA240" s="1037"/>
      <c r="BB240" s="1037"/>
      <c r="BC240" s="1037"/>
      <c r="BD240" s="1037"/>
      <c r="BE240" s="1037"/>
      <c r="BF240" s="1037"/>
      <c r="BG240" s="1037"/>
      <c r="BH240" s="1037"/>
      <c r="BI240" s="1037"/>
      <c r="BJ240" s="1037"/>
      <c r="BK240" s="1037"/>
      <c r="BL240" s="1037"/>
      <c r="BM240" s="1037"/>
      <c r="BN240" s="1037"/>
      <c r="BO240" s="1037"/>
      <c r="BP240" s="1037"/>
      <c r="BQ240" s="1037"/>
      <c r="BR240" s="1037"/>
      <c r="BS240" s="1037"/>
      <c r="BT240" s="1037"/>
      <c r="BU240" s="1037"/>
      <c r="BV240" s="1037"/>
      <c r="BW240" s="1037"/>
      <c r="BX240" s="1037"/>
      <c r="BY240" s="1037"/>
      <c r="BZ240" s="1037"/>
      <c r="CA240" s="1037"/>
      <c r="CB240" s="1037"/>
      <c r="CC240" s="1037"/>
      <c r="CD240" s="1037"/>
      <c r="CE240" s="1037"/>
      <c r="CF240" s="1037"/>
      <c r="CG240" s="1037"/>
      <c r="CH240" s="1037"/>
      <c r="CI240" s="1037"/>
      <c r="CJ240" s="1037"/>
      <c r="CK240" s="1037"/>
      <c r="CL240" s="1037"/>
      <c r="CM240" s="1037"/>
      <c r="CN240" s="1037"/>
      <c r="CO240" s="1037"/>
      <c r="CP240" s="1037"/>
      <c r="CQ240" s="1037"/>
      <c r="CR240" s="1037"/>
      <c r="CS240" s="1037"/>
      <c r="CT240" s="1037"/>
      <c r="CU240" s="1037"/>
      <c r="CV240" s="1037"/>
      <c r="CW240" s="1037"/>
      <c r="CX240" s="1037"/>
      <c r="CY240" s="1037"/>
      <c r="CZ240" s="1037"/>
      <c r="DA240" s="1037"/>
      <c r="DB240" s="1037"/>
      <c r="DC240" s="1037"/>
      <c r="DD240" s="1037"/>
      <c r="DE240" s="1037"/>
      <c r="DF240" s="1037"/>
      <c r="DG240" s="1037"/>
      <c r="DH240" s="1037"/>
      <c r="DI240" s="1037"/>
      <c r="DJ240" s="1037"/>
      <c r="DK240" s="1037"/>
      <c r="DL240" s="1037"/>
      <c r="DM240" s="1037"/>
      <c r="DN240" s="1037"/>
      <c r="DO240" s="1037"/>
      <c r="DP240" s="1037"/>
      <c r="DQ240" s="1037"/>
      <c r="DR240" s="1037"/>
      <c r="DS240" s="1037"/>
      <c r="DT240" s="1037"/>
      <c r="DU240" s="1037"/>
      <c r="DV240" s="1037"/>
      <c r="DW240" s="1037"/>
      <c r="DX240" s="1037"/>
      <c r="DY240" s="1037"/>
      <c r="DZ240" s="1037"/>
      <c r="EA240" s="1037"/>
      <c r="EB240" s="1037"/>
      <c r="EC240" s="1037"/>
      <c r="ED240" s="1037"/>
      <c r="EE240" s="1037"/>
      <c r="EF240" s="1037"/>
      <c r="EG240" s="1037"/>
      <c r="EH240" s="1037"/>
      <c r="EI240" s="1037"/>
      <c r="EJ240" s="1037"/>
      <c r="EK240" s="1037"/>
      <c r="EL240" s="1037"/>
      <c r="EM240" s="1037"/>
      <c r="EN240" s="1037"/>
      <c r="EO240" s="1037"/>
      <c r="EP240" s="1037"/>
      <c r="EQ240" s="1037"/>
      <c r="ER240" s="1037"/>
      <c r="ES240" s="1037"/>
      <c r="ET240" s="1037"/>
      <c r="EU240" s="1037"/>
      <c r="EV240" s="1037"/>
      <c r="EW240" s="1037"/>
      <c r="EX240" s="1037"/>
      <c r="EY240" s="1037"/>
      <c r="EZ240" s="1037"/>
      <c r="FA240" s="1037"/>
      <c r="FB240" s="1037"/>
      <c r="FC240" s="1037"/>
      <c r="FD240" s="1037"/>
      <c r="FE240" s="1037"/>
      <c r="FF240" s="1037"/>
      <c r="FG240" s="1037"/>
      <c r="FH240" s="1037"/>
      <c r="FI240" s="1037"/>
      <c r="FJ240" s="1037"/>
      <c r="FK240" s="1037"/>
      <c r="FL240" s="1037"/>
      <c r="FM240" s="1037"/>
      <c r="FN240" s="1037"/>
      <c r="FO240" s="1037"/>
      <c r="FP240" s="1037"/>
      <c r="FQ240" s="1037"/>
      <c r="FR240" s="1037"/>
      <c r="FS240" s="1037"/>
      <c r="FT240" s="1037"/>
      <c r="FU240" s="1037"/>
      <c r="FV240" s="1037"/>
      <c r="FW240" s="1037"/>
      <c r="FX240" s="1037"/>
      <c r="FY240" s="1037"/>
      <c r="FZ240" s="1037"/>
      <c r="GA240" s="1037"/>
      <c r="GB240" s="1037"/>
      <c r="GC240" s="1037"/>
      <c r="GD240" s="1037"/>
      <c r="GE240" s="1037"/>
      <c r="GF240" s="1037"/>
      <c r="GG240" s="1037"/>
      <c r="GH240" s="1037"/>
      <c r="GI240" s="1037"/>
      <c r="GJ240" s="1037"/>
      <c r="GK240" s="1037"/>
      <c r="GL240" s="1037"/>
      <c r="GM240" s="1037"/>
      <c r="GN240" s="1037"/>
      <c r="GO240" s="1037"/>
      <c r="GP240" s="1037"/>
      <c r="GQ240" s="1037"/>
      <c r="GR240" s="1037"/>
      <c r="GS240" s="1037"/>
      <c r="GT240" s="1037"/>
      <c r="GU240" s="1037"/>
      <c r="GV240" s="1037"/>
      <c r="GW240" s="1037"/>
      <c r="GX240" s="1037"/>
      <c r="GY240" s="1037"/>
      <c r="GZ240" s="1037"/>
      <c r="HA240" s="1037"/>
      <c r="HB240" s="1037"/>
      <c r="HC240" s="1037"/>
      <c r="HD240" s="1037"/>
      <c r="HE240" s="1037"/>
      <c r="HF240" s="1037"/>
      <c r="HG240" s="1037"/>
      <c r="HH240" s="1037"/>
      <c r="HI240" s="1037"/>
      <c r="HJ240" s="1037"/>
      <c r="HK240" s="1037"/>
      <c r="HL240" s="1037"/>
      <c r="HM240" s="1037"/>
      <c r="HN240" s="1037"/>
      <c r="HO240" s="1037"/>
      <c r="HP240" s="1037"/>
      <c r="HQ240" s="1037"/>
      <c r="HR240" s="1037"/>
      <c r="HS240" s="1037"/>
      <c r="HT240" s="1037"/>
      <c r="HU240" s="1037"/>
      <c r="HV240" s="1037"/>
      <c r="HW240" s="1037"/>
      <c r="HX240" s="1037"/>
      <c r="HY240" s="1037"/>
      <c r="HZ240" s="1037"/>
      <c r="IA240" s="1037"/>
      <c r="IB240" s="1037"/>
      <c r="IC240" s="1037"/>
      <c r="ID240" s="1037"/>
      <c r="IE240" s="1037"/>
      <c r="IF240" s="1037"/>
      <c r="IG240" s="1037"/>
      <c r="IH240" s="1037"/>
      <c r="II240" s="1037"/>
      <c r="IJ240" s="1037"/>
      <c r="IK240" s="1037"/>
      <c r="IL240" s="1037"/>
      <c r="IM240" s="1037"/>
      <c r="IN240" s="1037"/>
    </row>
    <row r="241" spans="1:248">
      <c r="A241" s="705" t="s">
        <v>28</v>
      </c>
      <c r="B241" s="703">
        <v>22725.3</v>
      </c>
      <c r="C241" s="703">
        <v>28.164341254359375</v>
      </c>
      <c r="D241" s="706">
        <v>22309.5</v>
      </c>
      <c r="E241" s="1038">
        <v>27.649024268728269</v>
      </c>
      <c r="F241" s="1038">
        <v>415.79999999999927</v>
      </c>
      <c r="G241" s="1038">
        <f t="shared" si="35"/>
        <v>0.51269594467125357</v>
      </c>
      <c r="H241" s="464">
        <v>81100.7</v>
      </c>
      <c r="I241" s="1037"/>
      <c r="J241" s="1037"/>
      <c r="K241" s="1037"/>
      <c r="L241" s="1037"/>
      <c r="M241" s="1037"/>
      <c r="N241" s="1037"/>
      <c r="O241" s="1037"/>
      <c r="P241" s="1037"/>
      <c r="Q241" s="1037"/>
      <c r="R241" s="1037"/>
      <c r="S241" s="1037"/>
      <c r="T241" s="1037"/>
      <c r="U241" s="1037"/>
      <c r="V241" s="1037"/>
      <c r="W241" s="1037"/>
      <c r="X241" s="1037"/>
      <c r="Y241" s="1037"/>
      <c r="Z241" s="1037"/>
      <c r="AA241" s="1037"/>
      <c r="AB241" s="1037"/>
      <c r="AC241" s="1037"/>
      <c r="AD241" s="1037"/>
      <c r="AE241" s="1037"/>
      <c r="AF241" s="1037"/>
      <c r="AG241" s="1037"/>
      <c r="AH241" s="1037"/>
      <c r="AI241" s="1037"/>
      <c r="AJ241" s="1037"/>
      <c r="AK241" s="1037"/>
      <c r="AL241" s="1037"/>
      <c r="AM241" s="1037"/>
      <c r="AN241" s="1037"/>
      <c r="AO241" s="1037"/>
      <c r="AP241" s="1037"/>
      <c r="AQ241" s="1037"/>
      <c r="AR241" s="1037"/>
      <c r="AS241" s="1037"/>
      <c r="AT241" s="1037"/>
      <c r="AU241" s="1037"/>
      <c r="AV241" s="1037"/>
      <c r="AW241" s="1037"/>
      <c r="AX241" s="1037"/>
      <c r="AY241" s="1037"/>
      <c r="AZ241" s="1037"/>
      <c r="BA241" s="1037"/>
      <c r="BB241" s="1037"/>
      <c r="BC241" s="1037"/>
      <c r="BD241" s="1037"/>
      <c r="BE241" s="1037"/>
      <c r="BF241" s="1037"/>
      <c r="BG241" s="1037"/>
      <c r="BH241" s="1037"/>
      <c r="BI241" s="1037"/>
      <c r="BJ241" s="1037"/>
      <c r="BK241" s="1037"/>
      <c r="BL241" s="1037"/>
      <c r="BM241" s="1037"/>
      <c r="BN241" s="1037"/>
      <c r="BO241" s="1037"/>
      <c r="BP241" s="1037"/>
      <c r="BQ241" s="1037"/>
      <c r="BR241" s="1037"/>
      <c r="BS241" s="1037"/>
      <c r="BT241" s="1037"/>
      <c r="BU241" s="1037"/>
      <c r="BV241" s="1037"/>
      <c r="BW241" s="1037"/>
      <c r="BX241" s="1037"/>
      <c r="BY241" s="1037"/>
      <c r="BZ241" s="1037"/>
      <c r="CA241" s="1037"/>
      <c r="CB241" s="1037"/>
      <c r="CC241" s="1037"/>
      <c r="CD241" s="1037"/>
      <c r="CE241" s="1037"/>
      <c r="CF241" s="1037"/>
      <c r="CG241" s="1037"/>
      <c r="CH241" s="1037"/>
      <c r="CI241" s="1037"/>
      <c r="CJ241" s="1037"/>
      <c r="CK241" s="1037"/>
      <c r="CL241" s="1037"/>
      <c r="CM241" s="1037"/>
      <c r="CN241" s="1037"/>
      <c r="CO241" s="1037"/>
      <c r="CP241" s="1037"/>
      <c r="CQ241" s="1037"/>
      <c r="CR241" s="1037"/>
      <c r="CS241" s="1037"/>
      <c r="CT241" s="1037"/>
      <c r="CU241" s="1037"/>
      <c r="CV241" s="1037"/>
      <c r="CW241" s="1037"/>
      <c r="CX241" s="1037"/>
      <c r="CY241" s="1037"/>
      <c r="CZ241" s="1037"/>
      <c r="DA241" s="1037"/>
      <c r="DB241" s="1037"/>
      <c r="DC241" s="1037"/>
      <c r="DD241" s="1037"/>
      <c r="DE241" s="1037"/>
      <c r="DF241" s="1037"/>
      <c r="DG241" s="1037"/>
      <c r="DH241" s="1037"/>
      <c r="DI241" s="1037"/>
      <c r="DJ241" s="1037"/>
      <c r="DK241" s="1037"/>
      <c r="DL241" s="1037"/>
      <c r="DM241" s="1037"/>
      <c r="DN241" s="1037"/>
      <c r="DO241" s="1037"/>
      <c r="DP241" s="1037"/>
      <c r="DQ241" s="1037"/>
      <c r="DR241" s="1037"/>
      <c r="DS241" s="1037"/>
      <c r="DT241" s="1037"/>
      <c r="DU241" s="1037"/>
      <c r="DV241" s="1037"/>
      <c r="DW241" s="1037"/>
      <c r="DX241" s="1037"/>
      <c r="DY241" s="1037"/>
      <c r="DZ241" s="1037"/>
      <c r="EA241" s="1037"/>
      <c r="EB241" s="1037"/>
      <c r="EC241" s="1037"/>
      <c r="ED241" s="1037"/>
      <c r="EE241" s="1037"/>
      <c r="EF241" s="1037"/>
      <c r="EG241" s="1037"/>
      <c r="EH241" s="1037"/>
      <c r="EI241" s="1037"/>
      <c r="EJ241" s="1037"/>
      <c r="EK241" s="1037"/>
      <c r="EL241" s="1037"/>
      <c r="EM241" s="1037"/>
      <c r="EN241" s="1037"/>
      <c r="EO241" s="1037"/>
      <c r="EP241" s="1037"/>
      <c r="EQ241" s="1037"/>
      <c r="ER241" s="1037"/>
      <c r="ES241" s="1037"/>
      <c r="ET241" s="1037"/>
      <c r="EU241" s="1037"/>
      <c r="EV241" s="1037"/>
      <c r="EW241" s="1037"/>
      <c r="EX241" s="1037"/>
      <c r="EY241" s="1037"/>
      <c r="EZ241" s="1037"/>
      <c r="FA241" s="1037"/>
      <c r="FB241" s="1037"/>
      <c r="FC241" s="1037"/>
      <c r="FD241" s="1037"/>
      <c r="FE241" s="1037"/>
      <c r="FF241" s="1037"/>
      <c r="FG241" s="1037"/>
      <c r="FH241" s="1037"/>
      <c r="FI241" s="1037"/>
      <c r="FJ241" s="1037"/>
      <c r="FK241" s="1037"/>
      <c r="FL241" s="1037"/>
      <c r="FM241" s="1037"/>
      <c r="FN241" s="1037"/>
      <c r="FO241" s="1037"/>
      <c r="FP241" s="1037"/>
      <c r="FQ241" s="1037"/>
      <c r="FR241" s="1037"/>
      <c r="FS241" s="1037"/>
      <c r="FT241" s="1037"/>
      <c r="FU241" s="1037"/>
      <c r="FV241" s="1037"/>
      <c r="FW241" s="1037"/>
      <c r="FX241" s="1037"/>
      <c r="FY241" s="1037"/>
      <c r="FZ241" s="1037"/>
      <c r="GA241" s="1037"/>
      <c r="GB241" s="1037"/>
      <c r="GC241" s="1037"/>
      <c r="GD241" s="1037"/>
      <c r="GE241" s="1037"/>
      <c r="GF241" s="1037"/>
      <c r="GG241" s="1037"/>
      <c r="GH241" s="1037"/>
      <c r="GI241" s="1037"/>
      <c r="GJ241" s="1037"/>
      <c r="GK241" s="1037"/>
      <c r="GL241" s="1037"/>
      <c r="GM241" s="1037"/>
      <c r="GN241" s="1037"/>
      <c r="GO241" s="1037"/>
      <c r="GP241" s="1037"/>
      <c r="GQ241" s="1037"/>
      <c r="GR241" s="1037"/>
      <c r="GS241" s="1037"/>
      <c r="GT241" s="1037"/>
      <c r="GU241" s="1037"/>
      <c r="GV241" s="1037"/>
      <c r="GW241" s="1037"/>
      <c r="GX241" s="1037"/>
      <c r="GY241" s="1037"/>
      <c r="GZ241" s="1037"/>
      <c r="HA241" s="1037"/>
      <c r="HB241" s="1037"/>
      <c r="HC241" s="1037"/>
      <c r="HD241" s="1037"/>
      <c r="HE241" s="1037"/>
      <c r="HF241" s="1037"/>
      <c r="HG241" s="1037"/>
      <c r="HH241" s="1037"/>
      <c r="HI241" s="1037"/>
      <c r="HJ241" s="1037"/>
      <c r="HK241" s="1037"/>
      <c r="HL241" s="1037"/>
      <c r="HM241" s="1037"/>
      <c r="HN241" s="1037"/>
      <c r="HO241" s="1037"/>
      <c r="HP241" s="1037"/>
      <c r="HQ241" s="1037"/>
      <c r="HR241" s="1037"/>
      <c r="HS241" s="1037"/>
      <c r="HT241" s="1037"/>
      <c r="HU241" s="1037"/>
      <c r="HV241" s="1037"/>
      <c r="HW241" s="1037"/>
      <c r="HX241" s="1037"/>
      <c r="HY241" s="1037"/>
      <c r="HZ241" s="1037"/>
      <c r="IA241" s="1037"/>
      <c r="IB241" s="1037"/>
      <c r="IC241" s="1037"/>
      <c r="ID241" s="1037"/>
      <c r="IE241" s="1037"/>
      <c r="IF241" s="1037"/>
      <c r="IG241" s="1037"/>
      <c r="IH241" s="1037"/>
      <c r="II241" s="1037"/>
      <c r="IJ241" s="1037"/>
      <c r="IK241" s="1037"/>
      <c r="IL241" s="1037"/>
      <c r="IM241" s="1037"/>
      <c r="IN241" s="1037"/>
    </row>
    <row r="242" spans="1:248">
      <c r="A242" s="705" t="s">
        <v>29</v>
      </c>
      <c r="B242" s="703">
        <v>26419.1</v>
      </c>
      <c r="C242" s="703">
        <v>28.451167754531937</v>
      </c>
      <c r="D242" s="706">
        <v>27412.799999999999</v>
      </c>
      <c r="E242" s="1038">
        <v>29.52129979527815</v>
      </c>
      <c r="F242" s="1038">
        <v>-993.70000000000073</v>
      </c>
      <c r="G242" s="1038">
        <f t="shared" si="35"/>
        <v>-1.066165110210809</v>
      </c>
      <c r="H242" s="464">
        <v>93203.199999999997</v>
      </c>
      <c r="I242" s="1037"/>
      <c r="J242" s="1037"/>
      <c r="K242" s="1037"/>
      <c r="L242" s="1037"/>
      <c r="M242" s="1037"/>
      <c r="N242" s="1037"/>
      <c r="O242" s="1037"/>
      <c r="P242" s="1037"/>
      <c r="Q242" s="1037"/>
      <c r="R242" s="1037"/>
      <c r="S242" s="1037"/>
      <c r="T242" s="1037"/>
      <c r="U242" s="1037"/>
      <c r="V242" s="1037"/>
      <c r="W242" s="1037"/>
      <c r="X242" s="1037"/>
      <c r="Y242" s="1037"/>
      <c r="Z242" s="1037"/>
      <c r="AA242" s="1037"/>
      <c r="AB242" s="1037"/>
      <c r="AC242" s="1037"/>
      <c r="AD242" s="1037"/>
      <c r="AE242" s="1037"/>
      <c r="AF242" s="1037"/>
      <c r="AG242" s="1037"/>
      <c r="AH242" s="1037"/>
      <c r="AI242" s="1037"/>
      <c r="AJ242" s="1037"/>
      <c r="AK242" s="1037"/>
      <c r="AL242" s="1037"/>
      <c r="AM242" s="1037"/>
      <c r="AN242" s="1037"/>
      <c r="AO242" s="1037"/>
      <c r="AP242" s="1037"/>
      <c r="AQ242" s="1037"/>
      <c r="AR242" s="1037"/>
      <c r="AS242" s="1037"/>
      <c r="AT242" s="1037"/>
      <c r="AU242" s="1037"/>
      <c r="AV242" s="1037"/>
      <c r="AW242" s="1037"/>
      <c r="AX242" s="1037"/>
      <c r="AY242" s="1037"/>
      <c r="AZ242" s="1037"/>
      <c r="BA242" s="1037"/>
      <c r="BB242" s="1037"/>
      <c r="BC242" s="1037"/>
      <c r="BD242" s="1037"/>
      <c r="BE242" s="1037"/>
      <c r="BF242" s="1037"/>
      <c r="BG242" s="1037"/>
      <c r="BH242" s="1037"/>
      <c r="BI242" s="1037"/>
      <c r="BJ242" s="1037"/>
      <c r="BK242" s="1037"/>
      <c r="BL242" s="1037"/>
      <c r="BM242" s="1037"/>
      <c r="BN242" s="1037"/>
      <c r="BO242" s="1037"/>
      <c r="BP242" s="1037"/>
      <c r="BQ242" s="1037"/>
      <c r="BR242" s="1037"/>
      <c r="BS242" s="1037"/>
      <c r="BT242" s="1037"/>
      <c r="BU242" s="1037"/>
      <c r="BV242" s="1037"/>
      <c r="BW242" s="1037"/>
      <c r="BX242" s="1037"/>
      <c r="BY242" s="1037"/>
      <c r="BZ242" s="1037"/>
      <c r="CA242" s="1037"/>
      <c r="CB242" s="1037"/>
      <c r="CC242" s="1037"/>
      <c r="CD242" s="1037"/>
      <c r="CE242" s="1037"/>
      <c r="CF242" s="1037"/>
      <c r="CG242" s="1037"/>
      <c r="CH242" s="1037"/>
      <c r="CI242" s="1037"/>
      <c r="CJ242" s="1037"/>
      <c r="CK242" s="1037"/>
      <c r="CL242" s="1037"/>
      <c r="CM242" s="1037"/>
      <c r="CN242" s="1037"/>
      <c r="CO242" s="1037"/>
      <c r="CP242" s="1037"/>
      <c r="CQ242" s="1037"/>
      <c r="CR242" s="1037"/>
      <c r="CS242" s="1037"/>
      <c r="CT242" s="1037"/>
      <c r="CU242" s="1037"/>
      <c r="CV242" s="1037"/>
      <c r="CW242" s="1037"/>
      <c r="CX242" s="1037"/>
      <c r="CY242" s="1037"/>
      <c r="CZ242" s="1037"/>
      <c r="DA242" s="1037"/>
      <c r="DB242" s="1037"/>
      <c r="DC242" s="1037"/>
      <c r="DD242" s="1037"/>
      <c r="DE242" s="1037"/>
      <c r="DF242" s="1037"/>
      <c r="DG242" s="1037"/>
      <c r="DH242" s="1037"/>
      <c r="DI242" s="1037"/>
      <c r="DJ242" s="1037"/>
      <c r="DK242" s="1037"/>
      <c r="DL242" s="1037"/>
      <c r="DM242" s="1037"/>
      <c r="DN242" s="1037"/>
      <c r="DO242" s="1037"/>
      <c r="DP242" s="1037"/>
      <c r="DQ242" s="1037"/>
      <c r="DR242" s="1037"/>
      <c r="DS242" s="1037"/>
      <c r="DT242" s="1037"/>
      <c r="DU242" s="1037"/>
      <c r="DV242" s="1037"/>
      <c r="DW242" s="1037"/>
      <c r="DX242" s="1037"/>
      <c r="DY242" s="1037"/>
      <c r="DZ242" s="1037"/>
      <c r="EA242" s="1037"/>
      <c r="EB242" s="1037"/>
      <c r="EC242" s="1037"/>
      <c r="ED242" s="1037"/>
      <c r="EE242" s="1037"/>
      <c r="EF242" s="1037"/>
      <c r="EG242" s="1037"/>
      <c r="EH242" s="1037"/>
      <c r="EI242" s="1037"/>
      <c r="EJ242" s="1037"/>
      <c r="EK242" s="1037"/>
      <c r="EL242" s="1037"/>
      <c r="EM242" s="1037"/>
      <c r="EN242" s="1037"/>
      <c r="EO242" s="1037"/>
      <c r="EP242" s="1037"/>
      <c r="EQ242" s="1037"/>
      <c r="ER242" s="1037"/>
      <c r="ES242" s="1037"/>
      <c r="ET242" s="1037"/>
      <c r="EU242" s="1037"/>
      <c r="EV242" s="1037"/>
      <c r="EW242" s="1037"/>
      <c r="EX242" s="1037"/>
      <c r="EY242" s="1037"/>
      <c r="EZ242" s="1037"/>
      <c r="FA242" s="1037"/>
      <c r="FB242" s="1037"/>
      <c r="FC242" s="1037"/>
      <c r="FD242" s="1037"/>
      <c r="FE242" s="1037"/>
      <c r="FF242" s="1037"/>
      <c r="FG242" s="1037"/>
      <c r="FH242" s="1037"/>
      <c r="FI242" s="1037"/>
      <c r="FJ242" s="1037"/>
      <c r="FK242" s="1037"/>
      <c r="FL242" s="1037"/>
      <c r="FM242" s="1037"/>
      <c r="FN242" s="1037"/>
      <c r="FO242" s="1037"/>
      <c r="FP242" s="1037"/>
      <c r="FQ242" s="1037"/>
      <c r="FR242" s="1037"/>
      <c r="FS242" s="1037"/>
      <c r="FT242" s="1037"/>
      <c r="FU242" s="1037"/>
      <c r="FV242" s="1037"/>
      <c r="FW242" s="1037"/>
      <c r="FX242" s="1037"/>
      <c r="FY242" s="1037"/>
      <c r="FZ242" s="1037"/>
      <c r="GA242" s="1037"/>
      <c r="GB242" s="1037"/>
      <c r="GC242" s="1037"/>
      <c r="GD242" s="1037"/>
      <c r="GE242" s="1037"/>
      <c r="GF242" s="1037"/>
      <c r="GG242" s="1037"/>
      <c r="GH242" s="1037"/>
      <c r="GI242" s="1037"/>
      <c r="GJ242" s="1037"/>
      <c r="GK242" s="1037"/>
      <c r="GL242" s="1037"/>
      <c r="GM242" s="1037"/>
      <c r="GN242" s="1037"/>
      <c r="GO242" s="1037"/>
      <c r="GP242" s="1037"/>
      <c r="GQ242" s="1037"/>
      <c r="GR242" s="1037"/>
      <c r="GS242" s="1037"/>
      <c r="GT242" s="1037"/>
      <c r="GU242" s="1037"/>
      <c r="GV242" s="1037"/>
      <c r="GW242" s="1037"/>
      <c r="GX242" s="1037"/>
      <c r="GY242" s="1037"/>
      <c r="GZ242" s="1037"/>
      <c r="HA242" s="1037"/>
      <c r="HB242" s="1037"/>
      <c r="HC242" s="1037"/>
      <c r="HD242" s="1037"/>
      <c r="HE242" s="1037"/>
      <c r="HF242" s="1037"/>
      <c r="HG242" s="1037"/>
      <c r="HH242" s="1037"/>
      <c r="HI242" s="1037"/>
      <c r="HJ242" s="1037"/>
      <c r="HK242" s="1037"/>
      <c r="HL242" s="1037"/>
      <c r="HM242" s="1037"/>
      <c r="HN242" s="1037"/>
      <c r="HO242" s="1037"/>
      <c r="HP242" s="1037"/>
      <c r="HQ242" s="1037"/>
      <c r="HR242" s="1037"/>
      <c r="HS242" s="1037"/>
      <c r="HT242" s="1037"/>
      <c r="HU242" s="1037"/>
      <c r="HV242" s="1037"/>
      <c r="HW242" s="1037"/>
      <c r="HX242" s="1037"/>
      <c r="HY242" s="1037"/>
      <c r="HZ242" s="1037"/>
      <c r="IA242" s="1037"/>
      <c r="IB242" s="1037"/>
      <c r="IC242" s="1037"/>
      <c r="ID242" s="1037"/>
      <c r="IE242" s="1037"/>
      <c r="IF242" s="1037"/>
      <c r="IG242" s="1037"/>
      <c r="IH242" s="1037"/>
      <c r="II242" s="1037"/>
      <c r="IJ242" s="1037"/>
      <c r="IK242" s="1037"/>
      <c r="IL242" s="1037"/>
      <c r="IM242" s="1037"/>
      <c r="IN242" s="1037"/>
    </row>
    <row r="243" spans="1:248">
      <c r="A243" s="705" t="s">
        <v>2892</v>
      </c>
      <c r="B243" s="698">
        <v>30660.5</v>
      </c>
      <c r="C243" s="698">
        <v>22.910754129622244</v>
      </c>
      <c r="D243" s="702">
        <v>32063.300000000003</v>
      </c>
      <c r="E243" s="1039">
        <v>23.958982498143115</v>
      </c>
      <c r="F243" s="1039">
        <v>-1402.8000000000029</v>
      </c>
      <c r="G243" s="1039">
        <v>-1.0482283685208704</v>
      </c>
      <c r="H243" s="464"/>
      <c r="I243" s="1037"/>
      <c r="J243" s="1037"/>
      <c r="K243" s="1037"/>
      <c r="L243" s="1037"/>
      <c r="M243" s="1037"/>
      <c r="N243" s="1037"/>
      <c r="O243" s="1037"/>
      <c r="P243" s="1037"/>
      <c r="Q243" s="1037"/>
      <c r="R243" s="1037"/>
      <c r="S243" s="1037"/>
      <c r="T243" s="1037"/>
      <c r="U243" s="1037"/>
      <c r="V243" s="1037"/>
      <c r="W243" s="1037"/>
      <c r="X243" s="1037"/>
      <c r="Y243" s="1037"/>
      <c r="Z243" s="1037"/>
      <c r="AA243" s="1037"/>
      <c r="AB243" s="1037"/>
      <c r="AC243" s="1037"/>
      <c r="AD243" s="1037"/>
      <c r="AE243" s="1037"/>
      <c r="AF243" s="1037"/>
      <c r="AG243" s="1037"/>
      <c r="AH243" s="1037"/>
      <c r="AI243" s="1037"/>
      <c r="AJ243" s="1037"/>
      <c r="AK243" s="1037"/>
      <c r="AL243" s="1037"/>
      <c r="AM243" s="1037"/>
      <c r="AN243" s="1037"/>
      <c r="AO243" s="1037"/>
      <c r="AP243" s="1037"/>
      <c r="AQ243" s="1037"/>
      <c r="AR243" s="1037"/>
      <c r="AS243" s="1037"/>
      <c r="AT243" s="1037"/>
      <c r="AU243" s="1037"/>
      <c r="AV243" s="1037"/>
      <c r="AW243" s="1037"/>
      <c r="AX243" s="1037"/>
      <c r="AY243" s="1037"/>
      <c r="AZ243" s="1037"/>
      <c r="BA243" s="1037"/>
      <c r="BB243" s="1037"/>
      <c r="BC243" s="1037"/>
      <c r="BD243" s="1037"/>
      <c r="BE243" s="1037"/>
      <c r="BF243" s="1037"/>
      <c r="BG243" s="1037"/>
      <c r="BH243" s="1037"/>
      <c r="BI243" s="1037"/>
      <c r="BJ243" s="1037"/>
      <c r="BK243" s="1037"/>
      <c r="BL243" s="1037"/>
      <c r="BM243" s="1037"/>
      <c r="BN243" s="1037"/>
      <c r="BO243" s="1037"/>
      <c r="BP243" s="1037"/>
      <c r="BQ243" s="1037"/>
      <c r="BR243" s="1037"/>
      <c r="BS243" s="1037"/>
      <c r="BT243" s="1037"/>
      <c r="BU243" s="1037"/>
      <c r="BV243" s="1037"/>
      <c r="BW243" s="1037"/>
      <c r="BX243" s="1037"/>
      <c r="BY243" s="1037"/>
      <c r="BZ243" s="1037"/>
      <c r="CA243" s="1037"/>
      <c r="CB243" s="1037"/>
      <c r="CC243" s="1037"/>
      <c r="CD243" s="1037"/>
      <c r="CE243" s="1037"/>
      <c r="CF243" s="1037"/>
      <c r="CG243" s="1037"/>
      <c r="CH243" s="1037"/>
      <c r="CI243" s="1037"/>
      <c r="CJ243" s="1037"/>
      <c r="CK243" s="1037"/>
      <c r="CL243" s="1037"/>
      <c r="CM243" s="1037"/>
      <c r="CN243" s="1037"/>
      <c r="CO243" s="1037"/>
      <c r="CP243" s="1037"/>
      <c r="CQ243" s="1037"/>
      <c r="CR243" s="1037"/>
      <c r="CS243" s="1037"/>
      <c r="CT243" s="1037"/>
      <c r="CU243" s="1037"/>
      <c r="CV243" s="1037"/>
      <c r="CW243" s="1037"/>
      <c r="CX243" s="1037"/>
      <c r="CY243" s="1037"/>
      <c r="CZ243" s="1037"/>
      <c r="DA243" s="1037"/>
      <c r="DB243" s="1037"/>
      <c r="DC243" s="1037"/>
      <c r="DD243" s="1037"/>
      <c r="DE243" s="1037"/>
      <c r="DF243" s="1037"/>
      <c r="DG243" s="1037"/>
      <c r="DH243" s="1037"/>
      <c r="DI243" s="1037"/>
      <c r="DJ243" s="1037"/>
      <c r="DK243" s="1037"/>
      <c r="DL243" s="1037"/>
      <c r="DM243" s="1037"/>
      <c r="DN243" s="1037"/>
      <c r="DO243" s="1037"/>
      <c r="DP243" s="1037"/>
      <c r="DQ243" s="1037"/>
      <c r="DR243" s="1037"/>
      <c r="DS243" s="1037"/>
      <c r="DT243" s="1037"/>
      <c r="DU243" s="1037"/>
      <c r="DV243" s="1037"/>
      <c r="DW243" s="1037"/>
      <c r="DX243" s="1037"/>
      <c r="DY243" s="1037"/>
      <c r="DZ243" s="1037"/>
      <c r="EA243" s="1037"/>
      <c r="EB243" s="1037"/>
      <c r="EC243" s="1037"/>
      <c r="ED243" s="1037"/>
      <c r="EE243" s="1037"/>
      <c r="EF243" s="1037"/>
      <c r="EG243" s="1037"/>
      <c r="EH243" s="1037"/>
      <c r="EI243" s="1037"/>
      <c r="EJ243" s="1037"/>
      <c r="EK243" s="1037"/>
      <c r="EL243" s="1037"/>
      <c r="EM243" s="1037"/>
      <c r="EN243" s="1037"/>
      <c r="EO243" s="1037"/>
      <c r="EP243" s="1037"/>
      <c r="EQ243" s="1037"/>
      <c r="ER243" s="1037"/>
      <c r="ES243" s="1037"/>
      <c r="ET243" s="1037"/>
      <c r="EU243" s="1037"/>
      <c r="EV243" s="1037"/>
      <c r="EW243" s="1037"/>
      <c r="EX243" s="1037"/>
      <c r="EY243" s="1037"/>
      <c r="EZ243" s="1037"/>
      <c r="FA243" s="1037"/>
      <c r="FB243" s="1037"/>
      <c r="FC243" s="1037"/>
      <c r="FD243" s="1037"/>
      <c r="FE243" s="1037"/>
      <c r="FF243" s="1037"/>
      <c r="FG243" s="1037"/>
      <c r="FH243" s="1037"/>
      <c r="FI243" s="1037"/>
      <c r="FJ243" s="1037"/>
      <c r="FK243" s="1037"/>
      <c r="FL243" s="1037"/>
      <c r="FM243" s="1037"/>
      <c r="FN243" s="1037"/>
      <c r="FO243" s="1037"/>
      <c r="FP243" s="1037"/>
      <c r="FQ243" s="1037"/>
      <c r="FR243" s="1037"/>
      <c r="FS243" s="1037"/>
      <c r="FT243" s="1037"/>
      <c r="FU243" s="1037"/>
      <c r="FV243" s="1037"/>
      <c r="FW243" s="1037"/>
      <c r="FX243" s="1037"/>
      <c r="FY243" s="1037"/>
      <c r="FZ243" s="1037"/>
      <c r="GA243" s="1037"/>
      <c r="GB243" s="1037"/>
      <c r="GC243" s="1037"/>
      <c r="GD243" s="1037"/>
      <c r="GE243" s="1037"/>
      <c r="GF243" s="1037"/>
      <c r="GG243" s="1037"/>
      <c r="GH243" s="1037"/>
      <c r="GI243" s="1037"/>
      <c r="GJ243" s="1037"/>
      <c r="GK243" s="1037"/>
      <c r="GL243" s="1037"/>
      <c r="GM243" s="1037"/>
      <c r="GN243" s="1037"/>
      <c r="GO243" s="1037"/>
      <c r="GP243" s="1037"/>
      <c r="GQ243" s="1037"/>
      <c r="GR243" s="1037"/>
      <c r="GS243" s="1037"/>
      <c r="GT243" s="1037"/>
      <c r="GU243" s="1037"/>
      <c r="GV243" s="1037"/>
      <c r="GW243" s="1037"/>
      <c r="GX243" s="1037"/>
      <c r="GY243" s="1037"/>
      <c r="GZ243" s="1037"/>
      <c r="HA243" s="1037"/>
      <c r="HB243" s="1037"/>
      <c r="HC243" s="1037"/>
      <c r="HD243" s="1037"/>
      <c r="HE243" s="1037"/>
      <c r="HF243" s="1037"/>
      <c r="HG243" s="1037"/>
      <c r="HH243" s="1037"/>
      <c r="HI243" s="1037"/>
      <c r="HJ243" s="1037"/>
      <c r="HK243" s="1037"/>
      <c r="HL243" s="1037"/>
      <c r="HM243" s="1037"/>
      <c r="HN243" s="1037"/>
      <c r="HO243" s="1037"/>
      <c r="HP243" s="1037"/>
      <c r="HQ243" s="1037"/>
      <c r="HR243" s="1037"/>
      <c r="HS243" s="1037"/>
      <c r="HT243" s="1037"/>
      <c r="HU243" s="1037"/>
      <c r="HV243" s="1037"/>
      <c r="HW243" s="1037"/>
      <c r="HX243" s="1037"/>
      <c r="HY243" s="1037"/>
      <c r="HZ243" s="1037"/>
      <c r="IA243" s="1037"/>
      <c r="IB243" s="1037"/>
      <c r="IC243" s="1037"/>
      <c r="ID243" s="1037"/>
      <c r="IE243" s="1037"/>
      <c r="IF243" s="1037"/>
      <c r="IG243" s="1037"/>
      <c r="IH243" s="1037"/>
      <c r="II243" s="1037"/>
      <c r="IJ243" s="1037"/>
      <c r="IK243" s="1037"/>
      <c r="IL243" s="1037"/>
      <c r="IM243" s="1037"/>
      <c r="IN243" s="1037"/>
    </row>
    <row r="244" spans="1:248">
      <c r="A244" s="705" t="s">
        <v>18</v>
      </c>
      <c r="B244" s="703">
        <v>2746.9</v>
      </c>
      <c r="C244" s="703">
        <v>29.671837193225027</v>
      </c>
      <c r="D244" s="706">
        <v>983.4</v>
      </c>
      <c r="E244" s="1038">
        <v>10.622623574144487</v>
      </c>
      <c r="F244" s="1038">
        <v>1763.5</v>
      </c>
      <c r="G244" s="1038">
        <f t="shared" si="35"/>
        <v>19.049213619080536</v>
      </c>
      <c r="H244" s="464">
        <v>9257.6</v>
      </c>
      <c r="I244" s="1037"/>
      <c r="J244" s="1037"/>
      <c r="K244" s="1037"/>
      <c r="L244" s="1037"/>
      <c r="M244" s="1037"/>
      <c r="N244" s="1037"/>
      <c r="O244" s="1037"/>
      <c r="P244" s="1037"/>
      <c r="Q244" s="1037"/>
      <c r="R244" s="1037"/>
      <c r="S244" s="1037"/>
      <c r="T244" s="1037"/>
      <c r="U244" s="1037"/>
      <c r="V244" s="1037"/>
      <c r="W244" s="1037"/>
      <c r="X244" s="1037"/>
      <c r="Y244" s="1037"/>
      <c r="Z244" s="1037"/>
      <c r="AA244" s="1037"/>
      <c r="AB244" s="1037"/>
      <c r="AC244" s="1037"/>
      <c r="AD244" s="1037"/>
      <c r="AE244" s="1037"/>
      <c r="AF244" s="1037"/>
      <c r="AG244" s="1037"/>
      <c r="AH244" s="1037"/>
      <c r="AI244" s="1037"/>
      <c r="AJ244" s="1037"/>
      <c r="AK244" s="1037"/>
      <c r="AL244" s="1037"/>
      <c r="AM244" s="1037"/>
      <c r="AN244" s="1037"/>
      <c r="AO244" s="1037"/>
      <c r="AP244" s="1037"/>
      <c r="AQ244" s="1037"/>
      <c r="AR244" s="1037"/>
      <c r="AS244" s="1037"/>
      <c r="AT244" s="1037"/>
      <c r="AU244" s="1037"/>
      <c r="AV244" s="1037"/>
      <c r="AW244" s="1037"/>
      <c r="AX244" s="1037"/>
      <c r="AY244" s="1037"/>
      <c r="AZ244" s="1037"/>
      <c r="BA244" s="1037"/>
      <c r="BB244" s="1037"/>
      <c r="BC244" s="1037"/>
      <c r="BD244" s="1037"/>
      <c r="BE244" s="1037"/>
      <c r="BF244" s="1037"/>
      <c r="BG244" s="1037"/>
      <c r="BH244" s="1037"/>
      <c r="BI244" s="1037"/>
      <c r="BJ244" s="1037"/>
      <c r="BK244" s="1037"/>
      <c r="BL244" s="1037"/>
      <c r="BM244" s="1037"/>
      <c r="BN244" s="1037"/>
      <c r="BO244" s="1037"/>
      <c r="BP244" s="1037"/>
      <c r="BQ244" s="1037"/>
      <c r="BR244" s="1037"/>
      <c r="BS244" s="1037"/>
      <c r="BT244" s="1037"/>
      <c r="BU244" s="1037"/>
      <c r="BV244" s="1037"/>
      <c r="BW244" s="1037"/>
      <c r="BX244" s="1037"/>
      <c r="BY244" s="1037"/>
      <c r="BZ244" s="1037"/>
      <c r="CA244" s="1037"/>
      <c r="CB244" s="1037"/>
      <c r="CC244" s="1037"/>
      <c r="CD244" s="1037"/>
      <c r="CE244" s="1037"/>
      <c r="CF244" s="1037"/>
      <c r="CG244" s="1037"/>
      <c r="CH244" s="1037"/>
      <c r="CI244" s="1037"/>
      <c r="CJ244" s="1037"/>
      <c r="CK244" s="1037"/>
      <c r="CL244" s="1037"/>
      <c r="CM244" s="1037"/>
      <c r="CN244" s="1037"/>
      <c r="CO244" s="1037"/>
      <c r="CP244" s="1037"/>
      <c r="CQ244" s="1037"/>
      <c r="CR244" s="1037"/>
      <c r="CS244" s="1037"/>
      <c r="CT244" s="1037"/>
      <c r="CU244" s="1037"/>
      <c r="CV244" s="1037"/>
      <c r="CW244" s="1037"/>
      <c r="CX244" s="1037"/>
      <c r="CY244" s="1037"/>
      <c r="CZ244" s="1037"/>
      <c r="DA244" s="1037"/>
      <c r="DB244" s="1037"/>
      <c r="DC244" s="1037"/>
      <c r="DD244" s="1037"/>
      <c r="DE244" s="1037"/>
      <c r="DF244" s="1037"/>
      <c r="DG244" s="1037"/>
      <c r="DH244" s="1037"/>
      <c r="DI244" s="1037"/>
      <c r="DJ244" s="1037"/>
      <c r="DK244" s="1037"/>
      <c r="DL244" s="1037"/>
      <c r="DM244" s="1037"/>
      <c r="DN244" s="1037"/>
      <c r="DO244" s="1037"/>
      <c r="DP244" s="1037"/>
      <c r="DQ244" s="1037"/>
      <c r="DR244" s="1037"/>
      <c r="DS244" s="1037"/>
      <c r="DT244" s="1037"/>
      <c r="DU244" s="1037"/>
      <c r="DV244" s="1037"/>
      <c r="DW244" s="1037"/>
      <c r="DX244" s="1037"/>
      <c r="DY244" s="1037"/>
      <c r="DZ244" s="1037"/>
      <c r="EA244" s="1037"/>
      <c r="EB244" s="1037"/>
      <c r="EC244" s="1037"/>
      <c r="ED244" s="1037"/>
      <c r="EE244" s="1037"/>
      <c r="EF244" s="1037"/>
      <c r="EG244" s="1037"/>
      <c r="EH244" s="1037"/>
      <c r="EI244" s="1037"/>
      <c r="EJ244" s="1037"/>
      <c r="EK244" s="1037"/>
      <c r="EL244" s="1037"/>
      <c r="EM244" s="1037"/>
      <c r="EN244" s="1037"/>
      <c r="EO244" s="1037"/>
      <c r="EP244" s="1037"/>
      <c r="EQ244" s="1037"/>
      <c r="ER244" s="1037"/>
      <c r="ES244" s="1037"/>
      <c r="ET244" s="1037"/>
      <c r="EU244" s="1037"/>
      <c r="EV244" s="1037"/>
      <c r="EW244" s="1037"/>
      <c r="EX244" s="1037"/>
      <c r="EY244" s="1037"/>
      <c r="EZ244" s="1037"/>
      <c r="FA244" s="1037"/>
      <c r="FB244" s="1037"/>
      <c r="FC244" s="1037"/>
      <c r="FD244" s="1037"/>
      <c r="FE244" s="1037"/>
      <c r="FF244" s="1037"/>
      <c r="FG244" s="1037"/>
      <c r="FH244" s="1037"/>
      <c r="FI244" s="1037"/>
      <c r="FJ244" s="1037"/>
      <c r="FK244" s="1037"/>
      <c r="FL244" s="1037"/>
      <c r="FM244" s="1037"/>
      <c r="FN244" s="1037"/>
      <c r="FO244" s="1037"/>
      <c r="FP244" s="1037"/>
      <c r="FQ244" s="1037"/>
      <c r="FR244" s="1037"/>
      <c r="FS244" s="1037"/>
      <c r="FT244" s="1037"/>
      <c r="FU244" s="1037"/>
      <c r="FV244" s="1037"/>
      <c r="FW244" s="1037"/>
      <c r="FX244" s="1037"/>
      <c r="FY244" s="1037"/>
      <c r="FZ244" s="1037"/>
      <c r="GA244" s="1037"/>
      <c r="GB244" s="1037"/>
      <c r="GC244" s="1037"/>
      <c r="GD244" s="1037"/>
      <c r="GE244" s="1037"/>
      <c r="GF244" s="1037"/>
      <c r="GG244" s="1037"/>
      <c r="GH244" s="1037"/>
      <c r="GI244" s="1037"/>
      <c r="GJ244" s="1037"/>
      <c r="GK244" s="1037"/>
      <c r="GL244" s="1037"/>
      <c r="GM244" s="1037"/>
      <c r="GN244" s="1037"/>
      <c r="GO244" s="1037"/>
      <c r="GP244" s="1037"/>
      <c r="GQ244" s="1037"/>
      <c r="GR244" s="1037"/>
      <c r="GS244" s="1037"/>
      <c r="GT244" s="1037"/>
      <c r="GU244" s="1037"/>
      <c r="GV244" s="1037"/>
      <c r="GW244" s="1037"/>
      <c r="GX244" s="1037"/>
      <c r="GY244" s="1037"/>
      <c r="GZ244" s="1037"/>
      <c r="HA244" s="1037"/>
      <c r="HB244" s="1037"/>
      <c r="HC244" s="1037"/>
      <c r="HD244" s="1037"/>
      <c r="HE244" s="1037"/>
      <c r="HF244" s="1037"/>
      <c r="HG244" s="1037"/>
      <c r="HH244" s="1037"/>
      <c r="HI244" s="1037"/>
      <c r="HJ244" s="1037"/>
      <c r="HK244" s="1037"/>
      <c r="HL244" s="1037"/>
      <c r="HM244" s="1037"/>
      <c r="HN244" s="1037"/>
      <c r="HO244" s="1037"/>
      <c r="HP244" s="1037"/>
      <c r="HQ244" s="1037"/>
      <c r="HR244" s="1037"/>
      <c r="HS244" s="1037"/>
      <c r="HT244" s="1037"/>
      <c r="HU244" s="1037"/>
      <c r="HV244" s="1037"/>
      <c r="HW244" s="1037"/>
      <c r="HX244" s="1037"/>
      <c r="HY244" s="1037"/>
      <c r="HZ244" s="1037"/>
      <c r="IA244" s="1037"/>
      <c r="IB244" s="1037"/>
      <c r="IC244" s="1037"/>
      <c r="ID244" s="1037"/>
      <c r="IE244" s="1037"/>
      <c r="IF244" s="1037"/>
      <c r="IG244" s="1037"/>
      <c r="IH244" s="1037"/>
      <c r="II244" s="1037"/>
      <c r="IJ244" s="1037"/>
      <c r="IK244" s="1037"/>
      <c r="IL244" s="1037"/>
      <c r="IM244" s="1037"/>
      <c r="IN244" s="1037"/>
    </row>
    <row r="245" spans="1:248">
      <c r="A245" s="705" t="s">
        <v>19</v>
      </c>
      <c r="B245" s="703">
        <v>4626.1000000000004</v>
      </c>
      <c r="C245" s="703">
        <v>24.125432850765574</v>
      </c>
      <c r="D245" s="706">
        <v>2685.1</v>
      </c>
      <c r="E245" s="1038">
        <v>14.002983019733822</v>
      </c>
      <c r="F245" s="1038">
        <v>1941.0000000000005</v>
      </c>
      <c r="G245" s="1038">
        <f t="shared" si="35"/>
        <v>10.355976695050902</v>
      </c>
      <c r="H245" s="464">
        <v>18742.8</v>
      </c>
      <c r="I245" s="1037"/>
      <c r="J245" s="1037"/>
      <c r="K245" s="1037"/>
      <c r="L245" s="1037"/>
      <c r="M245" s="1037"/>
      <c r="N245" s="1037"/>
      <c r="O245" s="1037"/>
      <c r="P245" s="1037"/>
      <c r="Q245" s="1037"/>
      <c r="R245" s="1037"/>
      <c r="S245" s="1037"/>
      <c r="T245" s="1037"/>
      <c r="U245" s="1037"/>
      <c r="V245" s="1037"/>
      <c r="W245" s="1037"/>
      <c r="X245" s="1037"/>
      <c r="Y245" s="1037"/>
      <c r="Z245" s="1037"/>
      <c r="AA245" s="1037"/>
      <c r="AB245" s="1037"/>
      <c r="AC245" s="1037"/>
      <c r="AD245" s="1037"/>
      <c r="AE245" s="1037"/>
      <c r="AF245" s="1037"/>
      <c r="AG245" s="1037"/>
      <c r="AH245" s="1037"/>
      <c r="AI245" s="1037"/>
      <c r="AJ245" s="1037"/>
      <c r="AK245" s="1037"/>
      <c r="AL245" s="1037"/>
      <c r="AM245" s="1037"/>
      <c r="AN245" s="1037"/>
      <c r="AO245" s="1037"/>
      <c r="AP245" s="1037"/>
      <c r="AQ245" s="1037"/>
      <c r="AR245" s="1037"/>
      <c r="AS245" s="1037"/>
      <c r="AT245" s="1037"/>
      <c r="AU245" s="1037"/>
      <c r="AV245" s="1037"/>
      <c r="AW245" s="1037"/>
      <c r="AX245" s="1037"/>
      <c r="AY245" s="1037"/>
      <c r="AZ245" s="1037"/>
      <c r="BA245" s="1037"/>
      <c r="BB245" s="1037"/>
      <c r="BC245" s="1037"/>
      <c r="BD245" s="1037"/>
      <c r="BE245" s="1037"/>
      <c r="BF245" s="1037"/>
      <c r="BG245" s="1037"/>
      <c r="BH245" s="1037"/>
      <c r="BI245" s="1037"/>
      <c r="BJ245" s="1037"/>
      <c r="BK245" s="1037"/>
      <c r="BL245" s="1037"/>
      <c r="BM245" s="1037"/>
      <c r="BN245" s="1037"/>
      <c r="BO245" s="1037"/>
      <c r="BP245" s="1037"/>
      <c r="BQ245" s="1037"/>
      <c r="BR245" s="1037"/>
      <c r="BS245" s="1037"/>
      <c r="BT245" s="1037"/>
      <c r="BU245" s="1037"/>
      <c r="BV245" s="1037"/>
      <c r="BW245" s="1037"/>
      <c r="BX245" s="1037"/>
      <c r="BY245" s="1037"/>
      <c r="BZ245" s="1037"/>
      <c r="CA245" s="1037"/>
      <c r="CB245" s="1037"/>
      <c r="CC245" s="1037"/>
      <c r="CD245" s="1037"/>
      <c r="CE245" s="1037"/>
      <c r="CF245" s="1037"/>
      <c r="CG245" s="1037"/>
      <c r="CH245" s="1037"/>
      <c r="CI245" s="1037"/>
      <c r="CJ245" s="1037"/>
      <c r="CK245" s="1037"/>
      <c r="CL245" s="1037"/>
      <c r="CM245" s="1037"/>
      <c r="CN245" s="1037"/>
      <c r="CO245" s="1037"/>
      <c r="CP245" s="1037"/>
      <c r="CQ245" s="1037"/>
      <c r="CR245" s="1037"/>
      <c r="CS245" s="1037"/>
      <c r="CT245" s="1037"/>
      <c r="CU245" s="1037"/>
      <c r="CV245" s="1037"/>
      <c r="CW245" s="1037"/>
      <c r="CX245" s="1037"/>
      <c r="CY245" s="1037"/>
      <c r="CZ245" s="1037"/>
      <c r="DA245" s="1037"/>
      <c r="DB245" s="1037"/>
      <c r="DC245" s="1037"/>
      <c r="DD245" s="1037"/>
      <c r="DE245" s="1037"/>
      <c r="DF245" s="1037"/>
      <c r="DG245" s="1037"/>
      <c r="DH245" s="1037"/>
      <c r="DI245" s="1037"/>
      <c r="DJ245" s="1037"/>
      <c r="DK245" s="1037"/>
      <c r="DL245" s="1037"/>
      <c r="DM245" s="1037"/>
      <c r="DN245" s="1037"/>
      <c r="DO245" s="1037"/>
      <c r="DP245" s="1037"/>
      <c r="DQ245" s="1037"/>
      <c r="DR245" s="1037"/>
      <c r="DS245" s="1037"/>
      <c r="DT245" s="1037"/>
      <c r="DU245" s="1037"/>
      <c r="DV245" s="1037"/>
      <c r="DW245" s="1037"/>
      <c r="DX245" s="1037"/>
      <c r="DY245" s="1037"/>
      <c r="DZ245" s="1037"/>
      <c r="EA245" s="1037"/>
      <c r="EB245" s="1037"/>
      <c r="EC245" s="1037"/>
      <c r="ED245" s="1037"/>
      <c r="EE245" s="1037"/>
      <c r="EF245" s="1037"/>
      <c r="EG245" s="1037"/>
      <c r="EH245" s="1037"/>
      <c r="EI245" s="1037"/>
      <c r="EJ245" s="1037"/>
      <c r="EK245" s="1037"/>
      <c r="EL245" s="1037"/>
      <c r="EM245" s="1037"/>
      <c r="EN245" s="1037"/>
      <c r="EO245" s="1037"/>
      <c r="EP245" s="1037"/>
      <c r="EQ245" s="1037"/>
      <c r="ER245" s="1037"/>
      <c r="ES245" s="1037"/>
      <c r="ET245" s="1037"/>
      <c r="EU245" s="1037"/>
      <c r="EV245" s="1037"/>
      <c r="EW245" s="1037"/>
      <c r="EX245" s="1037"/>
      <c r="EY245" s="1037"/>
      <c r="EZ245" s="1037"/>
      <c r="FA245" s="1037"/>
      <c r="FB245" s="1037"/>
      <c r="FC245" s="1037"/>
      <c r="FD245" s="1037"/>
      <c r="FE245" s="1037"/>
      <c r="FF245" s="1037"/>
      <c r="FG245" s="1037"/>
      <c r="FH245" s="1037"/>
      <c r="FI245" s="1037"/>
      <c r="FJ245" s="1037"/>
      <c r="FK245" s="1037"/>
      <c r="FL245" s="1037"/>
      <c r="FM245" s="1037"/>
      <c r="FN245" s="1037"/>
      <c r="FO245" s="1037"/>
      <c r="FP245" s="1037"/>
      <c r="FQ245" s="1037"/>
      <c r="FR245" s="1037"/>
      <c r="FS245" s="1037"/>
      <c r="FT245" s="1037"/>
      <c r="FU245" s="1037"/>
      <c r="FV245" s="1037"/>
      <c r="FW245" s="1037"/>
      <c r="FX245" s="1037"/>
      <c r="FY245" s="1037"/>
      <c r="FZ245" s="1037"/>
      <c r="GA245" s="1037"/>
      <c r="GB245" s="1037"/>
      <c r="GC245" s="1037"/>
      <c r="GD245" s="1037"/>
      <c r="GE245" s="1037"/>
      <c r="GF245" s="1037"/>
      <c r="GG245" s="1037"/>
      <c r="GH245" s="1037"/>
      <c r="GI245" s="1037"/>
      <c r="GJ245" s="1037"/>
      <c r="GK245" s="1037"/>
      <c r="GL245" s="1037"/>
      <c r="GM245" s="1037"/>
      <c r="GN245" s="1037"/>
      <c r="GO245" s="1037"/>
      <c r="GP245" s="1037"/>
      <c r="GQ245" s="1037"/>
      <c r="GR245" s="1037"/>
      <c r="GS245" s="1037"/>
      <c r="GT245" s="1037"/>
      <c r="GU245" s="1037"/>
      <c r="GV245" s="1037"/>
      <c r="GW245" s="1037"/>
      <c r="GX245" s="1037"/>
      <c r="GY245" s="1037"/>
      <c r="GZ245" s="1037"/>
      <c r="HA245" s="1037"/>
      <c r="HB245" s="1037"/>
      <c r="HC245" s="1037"/>
      <c r="HD245" s="1037"/>
      <c r="HE245" s="1037"/>
      <c r="HF245" s="1037"/>
      <c r="HG245" s="1037"/>
      <c r="HH245" s="1037"/>
      <c r="HI245" s="1037"/>
      <c r="HJ245" s="1037"/>
      <c r="HK245" s="1037"/>
      <c r="HL245" s="1037"/>
      <c r="HM245" s="1037"/>
      <c r="HN245" s="1037"/>
      <c r="HO245" s="1037"/>
      <c r="HP245" s="1037"/>
      <c r="HQ245" s="1037"/>
      <c r="HR245" s="1037"/>
      <c r="HS245" s="1037"/>
      <c r="HT245" s="1037"/>
      <c r="HU245" s="1037"/>
      <c r="HV245" s="1037"/>
      <c r="HW245" s="1037"/>
      <c r="HX245" s="1037"/>
      <c r="HY245" s="1037"/>
      <c r="HZ245" s="1037"/>
      <c r="IA245" s="1037"/>
      <c r="IB245" s="1037"/>
      <c r="IC245" s="1037"/>
      <c r="ID245" s="1037"/>
      <c r="IE245" s="1037"/>
      <c r="IF245" s="1037"/>
      <c r="IG245" s="1037"/>
      <c r="IH245" s="1037"/>
      <c r="II245" s="1037"/>
      <c r="IJ245" s="1037"/>
      <c r="IK245" s="1037"/>
      <c r="IL245" s="1037"/>
      <c r="IM245" s="1037"/>
      <c r="IN245" s="1037"/>
    </row>
    <row r="246" spans="1:248">
      <c r="A246" s="705" t="s">
        <v>20</v>
      </c>
      <c r="B246" s="703">
        <v>7009.6</v>
      </c>
      <c r="C246" s="703">
        <v>23.336551586376803</v>
      </c>
      <c r="D246" s="706">
        <v>5629.5</v>
      </c>
      <c r="E246" s="1038">
        <v>18.741885008489529</v>
      </c>
      <c r="F246" s="1038">
        <v>1380.1000000000004</v>
      </c>
      <c r="G246" s="1038">
        <f t="shared" si="35"/>
        <v>4.5946665778872733</v>
      </c>
      <c r="H246" s="464">
        <v>30037</v>
      </c>
      <c r="I246" s="1037"/>
      <c r="J246" s="1037"/>
      <c r="K246" s="1037"/>
      <c r="L246" s="1037"/>
      <c r="M246" s="1037"/>
      <c r="N246" s="1037"/>
      <c r="O246" s="1037"/>
      <c r="P246" s="1037"/>
      <c r="Q246" s="1037"/>
      <c r="R246" s="1037"/>
      <c r="S246" s="1037"/>
      <c r="T246" s="1037"/>
      <c r="U246" s="1037"/>
      <c r="V246" s="1037"/>
      <c r="W246" s="1037"/>
      <c r="X246" s="1037"/>
      <c r="Y246" s="1037"/>
      <c r="Z246" s="1037"/>
      <c r="AA246" s="1037"/>
      <c r="AB246" s="1037"/>
      <c r="AC246" s="1037"/>
      <c r="AD246" s="1037"/>
      <c r="AE246" s="1037"/>
      <c r="AF246" s="1037"/>
      <c r="AG246" s="1037"/>
      <c r="AH246" s="1037"/>
      <c r="AI246" s="1037"/>
      <c r="AJ246" s="1037"/>
      <c r="AK246" s="1037"/>
      <c r="AL246" s="1037"/>
      <c r="AM246" s="1037"/>
      <c r="AN246" s="1037"/>
      <c r="AO246" s="1037"/>
      <c r="AP246" s="1037"/>
      <c r="AQ246" s="1037"/>
      <c r="AR246" s="1037"/>
      <c r="AS246" s="1037"/>
      <c r="AT246" s="1037"/>
      <c r="AU246" s="1037"/>
      <c r="AV246" s="1037"/>
      <c r="AW246" s="1037"/>
      <c r="AX246" s="1037"/>
      <c r="AY246" s="1037"/>
      <c r="AZ246" s="1037"/>
      <c r="BA246" s="1037"/>
      <c r="BB246" s="1037"/>
      <c r="BC246" s="1037"/>
      <c r="BD246" s="1037"/>
      <c r="BE246" s="1037"/>
      <c r="BF246" s="1037"/>
      <c r="BG246" s="1037"/>
      <c r="BH246" s="1037"/>
      <c r="BI246" s="1037"/>
      <c r="BJ246" s="1037"/>
      <c r="BK246" s="1037"/>
      <c r="BL246" s="1037"/>
      <c r="BM246" s="1037"/>
      <c r="BN246" s="1037"/>
      <c r="BO246" s="1037"/>
      <c r="BP246" s="1037"/>
      <c r="BQ246" s="1037"/>
      <c r="BR246" s="1037"/>
      <c r="BS246" s="1037"/>
      <c r="BT246" s="1037"/>
      <c r="BU246" s="1037"/>
      <c r="BV246" s="1037"/>
      <c r="BW246" s="1037"/>
      <c r="BX246" s="1037"/>
      <c r="BY246" s="1037"/>
      <c r="BZ246" s="1037"/>
      <c r="CA246" s="1037"/>
      <c r="CB246" s="1037"/>
      <c r="CC246" s="1037"/>
      <c r="CD246" s="1037"/>
      <c r="CE246" s="1037"/>
      <c r="CF246" s="1037"/>
      <c r="CG246" s="1037"/>
      <c r="CH246" s="1037"/>
      <c r="CI246" s="1037"/>
      <c r="CJ246" s="1037"/>
      <c r="CK246" s="1037"/>
      <c r="CL246" s="1037"/>
      <c r="CM246" s="1037"/>
      <c r="CN246" s="1037"/>
      <c r="CO246" s="1037"/>
      <c r="CP246" s="1037"/>
      <c r="CQ246" s="1037"/>
      <c r="CR246" s="1037"/>
      <c r="CS246" s="1037"/>
      <c r="CT246" s="1037"/>
      <c r="CU246" s="1037"/>
      <c r="CV246" s="1037"/>
      <c r="CW246" s="1037"/>
      <c r="CX246" s="1037"/>
      <c r="CY246" s="1037"/>
      <c r="CZ246" s="1037"/>
      <c r="DA246" s="1037"/>
      <c r="DB246" s="1037"/>
      <c r="DC246" s="1037"/>
      <c r="DD246" s="1037"/>
      <c r="DE246" s="1037"/>
      <c r="DF246" s="1037"/>
      <c r="DG246" s="1037"/>
      <c r="DH246" s="1037"/>
      <c r="DI246" s="1037"/>
      <c r="DJ246" s="1037"/>
      <c r="DK246" s="1037"/>
      <c r="DL246" s="1037"/>
      <c r="DM246" s="1037"/>
      <c r="DN246" s="1037"/>
      <c r="DO246" s="1037"/>
      <c r="DP246" s="1037"/>
      <c r="DQ246" s="1037"/>
      <c r="DR246" s="1037"/>
      <c r="DS246" s="1037"/>
      <c r="DT246" s="1037"/>
      <c r="DU246" s="1037"/>
      <c r="DV246" s="1037"/>
      <c r="DW246" s="1037"/>
      <c r="DX246" s="1037"/>
      <c r="DY246" s="1037"/>
      <c r="DZ246" s="1037"/>
      <c r="EA246" s="1037"/>
      <c r="EB246" s="1037"/>
      <c r="EC246" s="1037"/>
      <c r="ED246" s="1037"/>
      <c r="EE246" s="1037"/>
      <c r="EF246" s="1037"/>
      <c r="EG246" s="1037"/>
      <c r="EH246" s="1037"/>
      <c r="EI246" s="1037"/>
      <c r="EJ246" s="1037"/>
      <c r="EK246" s="1037"/>
      <c r="EL246" s="1037"/>
      <c r="EM246" s="1037"/>
      <c r="EN246" s="1037"/>
      <c r="EO246" s="1037"/>
      <c r="EP246" s="1037"/>
      <c r="EQ246" s="1037"/>
      <c r="ER246" s="1037"/>
      <c r="ES246" s="1037"/>
      <c r="ET246" s="1037"/>
      <c r="EU246" s="1037"/>
      <c r="EV246" s="1037"/>
      <c r="EW246" s="1037"/>
      <c r="EX246" s="1037"/>
      <c r="EY246" s="1037"/>
      <c r="EZ246" s="1037"/>
      <c r="FA246" s="1037"/>
      <c r="FB246" s="1037"/>
      <c r="FC246" s="1037"/>
      <c r="FD246" s="1037"/>
      <c r="FE246" s="1037"/>
      <c r="FF246" s="1037"/>
      <c r="FG246" s="1037"/>
      <c r="FH246" s="1037"/>
      <c r="FI246" s="1037"/>
      <c r="FJ246" s="1037"/>
      <c r="FK246" s="1037"/>
      <c r="FL246" s="1037"/>
      <c r="FM246" s="1037"/>
      <c r="FN246" s="1037"/>
      <c r="FO246" s="1037"/>
      <c r="FP246" s="1037"/>
      <c r="FQ246" s="1037"/>
      <c r="FR246" s="1037"/>
      <c r="FS246" s="1037"/>
      <c r="FT246" s="1037"/>
      <c r="FU246" s="1037"/>
      <c r="FV246" s="1037"/>
      <c r="FW246" s="1037"/>
      <c r="FX246" s="1037"/>
      <c r="FY246" s="1037"/>
      <c r="FZ246" s="1037"/>
      <c r="GA246" s="1037"/>
      <c r="GB246" s="1037"/>
      <c r="GC246" s="1037"/>
      <c r="GD246" s="1037"/>
      <c r="GE246" s="1037"/>
      <c r="GF246" s="1037"/>
      <c r="GG246" s="1037"/>
      <c r="GH246" s="1037"/>
      <c r="GI246" s="1037"/>
      <c r="GJ246" s="1037"/>
      <c r="GK246" s="1037"/>
      <c r="GL246" s="1037"/>
      <c r="GM246" s="1037"/>
      <c r="GN246" s="1037"/>
      <c r="GO246" s="1037"/>
      <c r="GP246" s="1037"/>
      <c r="GQ246" s="1037"/>
      <c r="GR246" s="1037"/>
      <c r="GS246" s="1037"/>
      <c r="GT246" s="1037"/>
      <c r="GU246" s="1037"/>
      <c r="GV246" s="1037"/>
      <c r="GW246" s="1037"/>
      <c r="GX246" s="1037"/>
      <c r="GY246" s="1037"/>
      <c r="GZ246" s="1037"/>
      <c r="HA246" s="1037"/>
      <c r="HB246" s="1037"/>
      <c r="HC246" s="1037"/>
      <c r="HD246" s="1037"/>
      <c r="HE246" s="1037"/>
      <c r="HF246" s="1037"/>
      <c r="HG246" s="1037"/>
      <c r="HH246" s="1037"/>
      <c r="HI246" s="1037"/>
      <c r="HJ246" s="1037"/>
      <c r="HK246" s="1037"/>
      <c r="HL246" s="1037"/>
      <c r="HM246" s="1037"/>
      <c r="HN246" s="1037"/>
      <c r="HO246" s="1037"/>
      <c r="HP246" s="1037"/>
      <c r="HQ246" s="1037"/>
      <c r="HR246" s="1037"/>
      <c r="HS246" s="1037"/>
      <c r="HT246" s="1037"/>
      <c r="HU246" s="1037"/>
      <c r="HV246" s="1037"/>
      <c r="HW246" s="1037"/>
      <c r="HX246" s="1037"/>
      <c r="HY246" s="1037"/>
      <c r="HZ246" s="1037"/>
      <c r="IA246" s="1037"/>
      <c r="IB246" s="1037"/>
      <c r="IC246" s="1037"/>
      <c r="ID246" s="1037"/>
      <c r="IE246" s="1037"/>
      <c r="IF246" s="1037"/>
      <c r="IG246" s="1037"/>
      <c r="IH246" s="1037"/>
      <c r="II246" s="1037"/>
      <c r="IJ246" s="1037"/>
      <c r="IK246" s="1037"/>
      <c r="IL246" s="1037"/>
      <c r="IM246" s="1037"/>
      <c r="IN246" s="1037"/>
    </row>
    <row r="247" spans="1:248">
      <c r="A247" s="705" t="s">
        <v>21</v>
      </c>
      <c r="B247" s="703">
        <v>10687.6</v>
      </c>
      <c r="C247" s="703">
        <v>27.019729590340489</v>
      </c>
      <c r="D247" s="706">
        <v>8168.7</v>
      </c>
      <c r="E247" s="1038">
        <v>20.651602333977166</v>
      </c>
      <c r="F247" s="1038">
        <v>2518.9000000000005</v>
      </c>
      <c r="G247" s="1038">
        <f t="shared" si="35"/>
        <v>6.3681272563633247</v>
      </c>
      <c r="H247" s="464">
        <v>39554.800000000003</v>
      </c>
      <c r="I247" s="1037"/>
      <c r="J247" s="1037"/>
      <c r="K247" s="1037"/>
      <c r="L247" s="1037"/>
      <c r="M247" s="1037"/>
      <c r="N247" s="1037"/>
      <c r="O247" s="1037"/>
      <c r="P247" s="1037"/>
      <c r="Q247" s="1037"/>
      <c r="R247" s="1037"/>
      <c r="S247" s="1037"/>
      <c r="T247" s="1037"/>
      <c r="U247" s="1037"/>
      <c r="V247" s="1037"/>
      <c r="W247" s="1037"/>
      <c r="X247" s="1037"/>
      <c r="Y247" s="1037"/>
      <c r="Z247" s="1037"/>
      <c r="AA247" s="1037"/>
      <c r="AB247" s="1037"/>
      <c r="AC247" s="1037"/>
      <c r="AD247" s="1037"/>
      <c r="AE247" s="1037"/>
      <c r="AF247" s="1037"/>
      <c r="AG247" s="1037"/>
      <c r="AH247" s="1037"/>
      <c r="AI247" s="1037"/>
      <c r="AJ247" s="1037"/>
      <c r="AK247" s="1037"/>
      <c r="AL247" s="1037"/>
      <c r="AM247" s="1037"/>
      <c r="AN247" s="1037"/>
      <c r="AO247" s="1037"/>
      <c r="AP247" s="1037"/>
      <c r="AQ247" s="1037"/>
      <c r="AR247" s="1037"/>
      <c r="AS247" s="1037"/>
      <c r="AT247" s="1037"/>
      <c r="AU247" s="1037"/>
      <c r="AV247" s="1037"/>
      <c r="AW247" s="1037"/>
      <c r="AX247" s="1037"/>
      <c r="AY247" s="1037"/>
      <c r="AZ247" s="1037"/>
      <c r="BA247" s="1037"/>
      <c r="BB247" s="1037"/>
      <c r="BC247" s="1037"/>
      <c r="BD247" s="1037"/>
      <c r="BE247" s="1037"/>
      <c r="BF247" s="1037"/>
      <c r="BG247" s="1037"/>
      <c r="BH247" s="1037"/>
      <c r="BI247" s="1037"/>
      <c r="BJ247" s="1037"/>
      <c r="BK247" s="1037"/>
      <c r="BL247" s="1037"/>
      <c r="BM247" s="1037"/>
      <c r="BN247" s="1037"/>
      <c r="BO247" s="1037"/>
      <c r="BP247" s="1037"/>
      <c r="BQ247" s="1037"/>
      <c r="BR247" s="1037"/>
      <c r="BS247" s="1037"/>
      <c r="BT247" s="1037"/>
      <c r="BU247" s="1037"/>
      <c r="BV247" s="1037"/>
      <c r="BW247" s="1037"/>
      <c r="BX247" s="1037"/>
      <c r="BY247" s="1037"/>
      <c r="BZ247" s="1037"/>
      <c r="CA247" s="1037"/>
      <c r="CB247" s="1037"/>
      <c r="CC247" s="1037"/>
      <c r="CD247" s="1037"/>
      <c r="CE247" s="1037"/>
      <c r="CF247" s="1037"/>
      <c r="CG247" s="1037"/>
      <c r="CH247" s="1037"/>
      <c r="CI247" s="1037"/>
      <c r="CJ247" s="1037"/>
      <c r="CK247" s="1037"/>
      <c r="CL247" s="1037"/>
      <c r="CM247" s="1037"/>
      <c r="CN247" s="1037"/>
      <c r="CO247" s="1037"/>
      <c r="CP247" s="1037"/>
      <c r="CQ247" s="1037"/>
      <c r="CR247" s="1037"/>
      <c r="CS247" s="1037"/>
      <c r="CT247" s="1037"/>
      <c r="CU247" s="1037"/>
      <c r="CV247" s="1037"/>
      <c r="CW247" s="1037"/>
      <c r="CX247" s="1037"/>
      <c r="CY247" s="1037"/>
      <c r="CZ247" s="1037"/>
      <c r="DA247" s="1037"/>
      <c r="DB247" s="1037"/>
      <c r="DC247" s="1037"/>
      <c r="DD247" s="1037"/>
      <c r="DE247" s="1037"/>
      <c r="DF247" s="1037"/>
      <c r="DG247" s="1037"/>
      <c r="DH247" s="1037"/>
      <c r="DI247" s="1037"/>
      <c r="DJ247" s="1037"/>
      <c r="DK247" s="1037"/>
      <c r="DL247" s="1037"/>
      <c r="DM247" s="1037"/>
      <c r="DN247" s="1037"/>
      <c r="DO247" s="1037"/>
      <c r="DP247" s="1037"/>
      <c r="DQ247" s="1037"/>
      <c r="DR247" s="1037"/>
      <c r="DS247" s="1037"/>
      <c r="DT247" s="1037"/>
      <c r="DU247" s="1037"/>
      <c r="DV247" s="1037"/>
      <c r="DW247" s="1037"/>
      <c r="DX247" s="1037"/>
      <c r="DY247" s="1037"/>
      <c r="DZ247" s="1037"/>
      <c r="EA247" s="1037"/>
      <c r="EB247" s="1037"/>
      <c r="EC247" s="1037"/>
      <c r="ED247" s="1037"/>
      <c r="EE247" s="1037"/>
      <c r="EF247" s="1037"/>
      <c r="EG247" s="1037"/>
      <c r="EH247" s="1037"/>
      <c r="EI247" s="1037"/>
      <c r="EJ247" s="1037"/>
      <c r="EK247" s="1037"/>
      <c r="EL247" s="1037"/>
      <c r="EM247" s="1037"/>
      <c r="EN247" s="1037"/>
      <c r="EO247" s="1037"/>
      <c r="EP247" s="1037"/>
      <c r="EQ247" s="1037"/>
      <c r="ER247" s="1037"/>
      <c r="ES247" s="1037"/>
      <c r="ET247" s="1037"/>
      <c r="EU247" s="1037"/>
      <c r="EV247" s="1037"/>
      <c r="EW247" s="1037"/>
      <c r="EX247" s="1037"/>
      <c r="EY247" s="1037"/>
      <c r="EZ247" s="1037"/>
      <c r="FA247" s="1037"/>
      <c r="FB247" s="1037"/>
      <c r="FC247" s="1037"/>
      <c r="FD247" s="1037"/>
      <c r="FE247" s="1037"/>
      <c r="FF247" s="1037"/>
      <c r="FG247" s="1037"/>
      <c r="FH247" s="1037"/>
      <c r="FI247" s="1037"/>
      <c r="FJ247" s="1037"/>
      <c r="FK247" s="1037"/>
      <c r="FL247" s="1037"/>
      <c r="FM247" s="1037"/>
      <c r="FN247" s="1037"/>
      <c r="FO247" s="1037"/>
      <c r="FP247" s="1037"/>
      <c r="FQ247" s="1037"/>
      <c r="FR247" s="1037"/>
      <c r="FS247" s="1037"/>
      <c r="FT247" s="1037"/>
      <c r="FU247" s="1037"/>
      <c r="FV247" s="1037"/>
      <c r="FW247" s="1037"/>
      <c r="FX247" s="1037"/>
      <c r="FY247" s="1037"/>
      <c r="FZ247" s="1037"/>
      <c r="GA247" s="1037"/>
      <c r="GB247" s="1037"/>
      <c r="GC247" s="1037"/>
      <c r="GD247" s="1037"/>
      <c r="GE247" s="1037"/>
      <c r="GF247" s="1037"/>
      <c r="GG247" s="1037"/>
      <c r="GH247" s="1037"/>
      <c r="GI247" s="1037"/>
      <c r="GJ247" s="1037"/>
      <c r="GK247" s="1037"/>
      <c r="GL247" s="1037"/>
      <c r="GM247" s="1037"/>
      <c r="GN247" s="1037"/>
      <c r="GO247" s="1037"/>
      <c r="GP247" s="1037"/>
      <c r="GQ247" s="1037"/>
      <c r="GR247" s="1037"/>
      <c r="GS247" s="1037"/>
      <c r="GT247" s="1037"/>
      <c r="GU247" s="1037"/>
      <c r="GV247" s="1037"/>
      <c r="GW247" s="1037"/>
      <c r="GX247" s="1037"/>
      <c r="GY247" s="1037"/>
      <c r="GZ247" s="1037"/>
      <c r="HA247" s="1037"/>
      <c r="HB247" s="1037"/>
      <c r="HC247" s="1037"/>
      <c r="HD247" s="1037"/>
      <c r="HE247" s="1037"/>
      <c r="HF247" s="1037"/>
      <c r="HG247" s="1037"/>
      <c r="HH247" s="1037"/>
      <c r="HI247" s="1037"/>
      <c r="HJ247" s="1037"/>
      <c r="HK247" s="1037"/>
      <c r="HL247" s="1037"/>
      <c r="HM247" s="1037"/>
      <c r="HN247" s="1037"/>
      <c r="HO247" s="1037"/>
      <c r="HP247" s="1037"/>
      <c r="HQ247" s="1037"/>
      <c r="HR247" s="1037"/>
      <c r="HS247" s="1037"/>
      <c r="HT247" s="1037"/>
      <c r="HU247" s="1037"/>
      <c r="HV247" s="1037"/>
      <c r="HW247" s="1037"/>
      <c r="HX247" s="1037"/>
      <c r="HY247" s="1037"/>
      <c r="HZ247" s="1037"/>
      <c r="IA247" s="1037"/>
      <c r="IB247" s="1037"/>
      <c r="IC247" s="1037"/>
      <c r="ID247" s="1037"/>
      <c r="IE247" s="1037"/>
      <c r="IF247" s="1037"/>
      <c r="IG247" s="1037"/>
      <c r="IH247" s="1037"/>
      <c r="II247" s="1037"/>
      <c r="IJ247" s="1037"/>
      <c r="IK247" s="1037"/>
      <c r="IL247" s="1037"/>
      <c r="IM247" s="1037"/>
      <c r="IN247" s="1037"/>
    </row>
    <row r="248" spans="1:248">
      <c r="A248" s="705" t="s">
        <v>22</v>
      </c>
      <c r="B248" s="703">
        <v>12442.4</v>
      </c>
      <c r="C248" s="703">
        <v>24.460411854327418</v>
      </c>
      <c r="D248" s="706">
        <v>10450</v>
      </c>
      <c r="E248" s="1038">
        <v>20.543569076522335</v>
      </c>
      <c r="F248" s="1038">
        <v>1992.3999999999996</v>
      </c>
      <c r="G248" s="1038">
        <f t="shared" si="35"/>
        <v>3.9168427778050812</v>
      </c>
      <c r="H248" s="464">
        <v>50867.5</v>
      </c>
      <c r="I248" s="1037"/>
      <c r="J248" s="1037"/>
      <c r="K248" s="1037"/>
      <c r="L248" s="1037"/>
      <c r="M248" s="1037"/>
      <c r="N248" s="1037"/>
      <c r="O248" s="1037"/>
      <c r="P248" s="1037"/>
      <c r="Q248" s="1037"/>
      <c r="R248" s="1037"/>
      <c r="S248" s="1037"/>
      <c r="T248" s="1037"/>
      <c r="U248" s="1037"/>
      <c r="V248" s="1037"/>
      <c r="W248" s="1037"/>
      <c r="X248" s="1037"/>
      <c r="Y248" s="1037"/>
      <c r="Z248" s="1037"/>
      <c r="AA248" s="1037"/>
      <c r="AB248" s="1037"/>
      <c r="AC248" s="1037"/>
      <c r="AD248" s="1037"/>
      <c r="AE248" s="1037"/>
      <c r="AF248" s="1037"/>
      <c r="AG248" s="1037"/>
      <c r="AH248" s="1037"/>
      <c r="AI248" s="1037"/>
      <c r="AJ248" s="1037"/>
      <c r="AK248" s="1037"/>
      <c r="AL248" s="1037"/>
      <c r="AM248" s="1037"/>
      <c r="AN248" s="1037"/>
      <c r="AO248" s="1037"/>
      <c r="AP248" s="1037"/>
      <c r="AQ248" s="1037"/>
      <c r="AR248" s="1037"/>
      <c r="AS248" s="1037"/>
      <c r="AT248" s="1037"/>
      <c r="AU248" s="1037"/>
      <c r="AV248" s="1037"/>
      <c r="AW248" s="1037"/>
      <c r="AX248" s="1037"/>
      <c r="AY248" s="1037"/>
      <c r="AZ248" s="1037"/>
      <c r="BA248" s="1037"/>
      <c r="BB248" s="1037"/>
      <c r="BC248" s="1037"/>
      <c r="BD248" s="1037"/>
      <c r="BE248" s="1037"/>
      <c r="BF248" s="1037"/>
      <c r="BG248" s="1037"/>
      <c r="BH248" s="1037"/>
      <c r="BI248" s="1037"/>
      <c r="BJ248" s="1037"/>
      <c r="BK248" s="1037"/>
      <c r="BL248" s="1037"/>
      <c r="BM248" s="1037"/>
      <c r="BN248" s="1037"/>
      <c r="BO248" s="1037"/>
      <c r="BP248" s="1037"/>
      <c r="BQ248" s="1037"/>
      <c r="BR248" s="1037"/>
      <c r="BS248" s="1037"/>
      <c r="BT248" s="1037"/>
      <c r="BU248" s="1037"/>
      <c r="BV248" s="1037"/>
      <c r="BW248" s="1037"/>
      <c r="BX248" s="1037"/>
      <c r="BY248" s="1037"/>
      <c r="BZ248" s="1037"/>
      <c r="CA248" s="1037"/>
      <c r="CB248" s="1037"/>
      <c r="CC248" s="1037"/>
      <c r="CD248" s="1037"/>
      <c r="CE248" s="1037"/>
      <c r="CF248" s="1037"/>
      <c r="CG248" s="1037"/>
      <c r="CH248" s="1037"/>
      <c r="CI248" s="1037"/>
      <c r="CJ248" s="1037"/>
      <c r="CK248" s="1037"/>
      <c r="CL248" s="1037"/>
      <c r="CM248" s="1037"/>
      <c r="CN248" s="1037"/>
      <c r="CO248" s="1037"/>
      <c r="CP248" s="1037"/>
      <c r="CQ248" s="1037"/>
      <c r="CR248" s="1037"/>
      <c r="CS248" s="1037"/>
      <c r="CT248" s="1037"/>
      <c r="CU248" s="1037"/>
      <c r="CV248" s="1037"/>
      <c r="CW248" s="1037"/>
      <c r="CX248" s="1037"/>
      <c r="CY248" s="1037"/>
      <c r="CZ248" s="1037"/>
      <c r="DA248" s="1037"/>
      <c r="DB248" s="1037"/>
      <c r="DC248" s="1037"/>
      <c r="DD248" s="1037"/>
      <c r="DE248" s="1037"/>
      <c r="DF248" s="1037"/>
      <c r="DG248" s="1037"/>
      <c r="DH248" s="1037"/>
      <c r="DI248" s="1037"/>
      <c r="DJ248" s="1037"/>
      <c r="DK248" s="1037"/>
      <c r="DL248" s="1037"/>
      <c r="DM248" s="1037"/>
      <c r="DN248" s="1037"/>
      <c r="DO248" s="1037"/>
      <c r="DP248" s="1037"/>
      <c r="DQ248" s="1037"/>
      <c r="DR248" s="1037"/>
      <c r="DS248" s="1037"/>
      <c r="DT248" s="1037"/>
      <c r="DU248" s="1037"/>
      <c r="DV248" s="1037"/>
      <c r="DW248" s="1037"/>
      <c r="DX248" s="1037"/>
      <c r="DY248" s="1037"/>
      <c r="DZ248" s="1037"/>
      <c r="EA248" s="1037"/>
      <c r="EB248" s="1037"/>
      <c r="EC248" s="1037"/>
      <c r="ED248" s="1037"/>
      <c r="EE248" s="1037"/>
      <c r="EF248" s="1037"/>
      <c r="EG248" s="1037"/>
      <c r="EH248" s="1037"/>
      <c r="EI248" s="1037"/>
      <c r="EJ248" s="1037"/>
      <c r="EK248" s="1037"/>
      <c r="EL248" s="1037"/>
      <c r="EM248" s="1037"/>
      <c r="EN248" s="1037"/>
      <c r="EO248" s="1037"/>
      <c r="EP248" s="1037"/>
      <c r="EQ248" s="1037"/>
      <c r="ER248" s="1037"/>
      <c r="ES248" s="1037"/>
      <c r="ET248" s="1037"/>
      <c r="EU248" s="1037"/>
      <c r="EV248" s="1037"/>
      <c r="EW248" s="1037"/>
      <c r="EX248" s="1037"/>
      <c r="EY248" s="1037"/>
      <c r="EZ248" s="1037"/>
      <c r="FA248" s="1037"/>
      <c r="FB248" s="1037"/>
      <c r="FC248" s="1037"/>
      <c r="FD248" s="1037"/>
      <c r="FE248" s="1037"/>
      <c r="FF248" s="1037"/>
      <c r="FG248" s="1037"/>
      <c r="FH248" s="1037"/>
      <c r="FI248" s="1037"/>
      <c r="FJ248" s="1037"/>
      <c r="FK248" s="1037"/>
      <c r="FL248" s="1037"/>
      <c r="FM248" s="1037"/>
      <c r="FN248" s="1037"/>
      <c r="FO248" s="1037"/>
      <c r="FP248" s="1037"/>
      <c r="FQ248" s="1037"/>
      <c r="FR248" s="1037"/>
      <c r="FS248" s="1037"/>
      <c r="FT248" s="1037"/>
      <c r="FU248" s="1037"/>
      <c r="FV248" s="1037"/>
      <c r="FW248" s="1037"/>
      <c r="FX248" s="1037"/>
      <c r="FY248" s="1037"/>
      <c r="FZ248" s="1037"/>
      <c r="GA248" s="1037"/>
      <c r="GB248" s="1037"/>
      <c r="GC248" s="1037"/>
      <c r="GD248" s="1037"/>
      <c r="GE248" s="1037"/>
      <c r="GF248" s="1037"/>
      <c r="GG248" s="1037"/>
      <c r="GH248" s="1037"/>
      <c r="GI248" s="1037"/>
      <c r="GJ248" s="1037"/>
      <c r="GK248" s="1037"/>
      <c r="GL248" s="1037"/>
      <c r="GM248" s="1037"/>
      <c r="GN248" s="1037"/>
      <c r="GO248" s="1037"/>
      <c r="GP248" s="1037"/>
      <c r="GQ248" s="1037"/>
      <c r="GR248" s="1037"/>
      <c r="GS248" s="1037"/>
      <c r="GT248" s="1037"/>
      <c r="GU248" s="1037"/>
      <c r="GV248" s="1037"/>
      <c r="GW248" s="1037"/>
      <c r="GX248" s="1037"/>
      <c r="GY248" s="1037"/>
      <c r="GZ248" s="1037"/>
      <c r="HA248" s="1037"/>
      <c r="HB248" s="1037"/>
      <c r="HC248" s="1037"/>
      <c r="HD248" s="1037"/>
      <c r="HE248" s="1037"/>
      <c r="HF248" s="1037"/>
      <c r="HG248" s="1037"/>
      <c r="HH248" s="1037"/>
      <c r="HI248" s="1037"/>
      <c r="HJ248" s="1037"/>
      <c r="HK248" s="1037"/>
      <c r="HL248" s="1037"/>
      <c r="HM248" s="1037"/>
      <c r="HN248" s="1037"/>
      <c r="HO248" s="1037"/>
      <c r="HP248" s="1037"/>
      <c r="HQ248" s="1037"/>
      <c r="HR248" s="1037"/>
      <c r="HS248" s="1037"/>
      <c r="HT248" s="1037"/>
      <c r="HU248" s="1037"/>
      <c r="HV248" s="1037"/>
      <c r="HW248" s="1037"/>
      <c r="HX248" s="1037"/>
      <c r="HY248" s="1037"/>
      <c r="HZ248" s="1037"/>
      <c r="IA248" s="1037"/>
      <c r="IB248" s="1037"/>
      <c r="IC248" s="1037"/>
      <c r="ID248" s="1037"/>
      <c r="IE248" s="1037"/>
      <c r="IF248" s="1037"/>
      <c r="IG248" s="1037"/>
      <c r="IH248" s="1037"/>
      <c r="II248" s="1037"/>
      <c r="IJ248" s="1037"/>
      <c r="IK248" s="1037"/>
      <c r="IL248" s="1037"/>
      <c r="IM248" s="1037"/>
      <c r="IN248" s="1037"/>
    </row>
    <row r="249" spans="1:248">
      <c r="A249" s="705" t="s">
        <v>23</v>
      </c>
      <c r="B249" s="703">
        <v>14205.5</v>
      </c>
      <c r="C249" s="703">
        <v>22.418739860236979</v>
      </c>
      <c r="D249" s="706">
        <v>12936.6</v>
      </c>
      <c r="E249" s="1038">
        <v>20.416195844985513</v>
      </c>
      <c r="F249" s="1038">
        <v>1268.8999999999996</v>
      </c>
      <c r="G249" s="1038">
        <f t="shared" si="35"/>
        <v>2.0025440152514657</v>
      </c>
      <c r="H249" s="464">
        <v>63364.4</v>
      </c>
      <c r="I249" s="1037"/>
      <c r="J249" s="1037"/>
      <c r="K249" s="1037"/>
      <c r="L249" s="1037"/>
      <c r="M249" s="1037"/>
      <c r="N249" s="1037"/>
      <c r="O249" s="1037"/>
      <c r="P249" s="1037"/>
      <c r="Q249" s="1037"/>
      <c r="R249" s="1037"/>
      <c r="S249" s="1037"/>
      <c r="T249" s="1037"/>
      <c r="U249" s="1037"/>
      <c r="V249" s="1037"/>
      <c r="W249" s="1037"/>
      <c r="X249" s="1037"/>
      <c r="Y249" s="1037"/>
      <c r="Z249" s="1037"/>
      <c r="AA249" s="1037"/>
      <c r="AB249" s="1037"/>
      <c r="AC249" s="1037"/>
      <c r="AD249" s="1037"/>
      <c r="AE249" s="1037"/>
      <c r="AF249" s="1037"/>
      <c r="AG249" s="1037"/>
      <c r="AH249" s="1037"/>
      <c r="AI249" s="1037"/>
      <c r="AJ249" s="1037"/>
      <c r="AK249" s="1037"/>
      <c r="AL249" s="1037"/>
      <c r="AM249" s="1037"/>
      <c r="AN249" s="1037"/>
      <c r="AO249" s="1037"/>
      <c r="AP249" s="1037"/>
      <c r="AQ249" s="1037"/>
      <c r="AR249" s="1037"/>
      <c r="AS249" s="1037"/>
      <c r="AT249" s="1037"/>
      <c r="AU249" s="1037"/>
      <c r="AV249" s="1037"/>
      <c r="AW249" s="1037"/>
      <c r="AX249" s="1037"/>
      <c r="AY249" s="1037"/>
      <c r="AZ249" s="1037"/>
      <c r="BA249" s="1037"/>
      <c r="BB249" s="1037"/>
      <c r="BC249" s="1037"/>
      <c r="BD249" s="1037"/>
      <c r="BE249" s="1037"/>
      <c r="BF249" s="1037"/>
      <c r="BG249" s="1037"/>
      <c r="BH249" s="1037"/>
      <c r="BI249" s="1037"/>
      <c r="BJ249" s="1037"/>
      <c r="BK249" s="1037"/>
      <c r="BL249" s="1037"/>
      <c r="BM249" s="1037"/>
      <c r="BN249" s="1037"/>
      <c r="BO249" s="1037"/>
      <c r="BP249" s="1037"/>
      <c r="BQ249" s="1037"/>
      <c r="BR249" s="1037"/>
      <c r="BS249" s="1037"/>
      <c r="BT249" s="1037"/>
      <c r="BU249" s="1037"/>
      <c r="BV249" s="1037"/>
      <c r="BW249" s="1037"/>
      <c r="BX249" s="1037"/>
      <c r="BY249" s="1037"/>
      <c r="BZ249" s="1037"/>
      <c r="CA249" s="1037"/>
      <c r="CB249" s="1037"/>
      <c r="CC249" s="1037"/>
      <c r="CD249" s="1037"/>
      <c r="CE249" s="1037"/>
      <c r="CF249" s="1037"/>
      <c r="CG249" s="1037"/>
      <c r="CH249" s="1037"/>
      <c r="CI249" s="1037"/>
      <c r="CJ249" s="1037"/>
      <c r="CK249" s="1037"/>
      <c r="CL249" s="1037"/>
      <c r="CM249" s="1037"/>
      <c r="CN249" s="1037"/>
      <c r="CO249" s="1037"/>
      <c r="CP249" s="1037"/>
      <c r="CQ249" s="1037"/>
      <c r="CR249" s="1037"/>
      <c r="CS249" s="1037"/>
      <c r="CT249" s="1037"/>
      <c r="CU249" s="1037"/>
      <c r="CV249" s="1037"/>
      <c r="CW249" s="1037"/>
      <c r="CX249" s="1037"/>
      <c r="CY249" s="1037"/>
      <c r="CZ249" s="1037"/>
      <c r="DA249" s="1037"/>
      <c r="DB249" s="1037"/>
      <c r="DC249" s="1037"/>
      <c r="DD249" s="1037"/>
      <c r="DE249" s="1037"/>
      <c r="DF249" s="1037"/>
      <c r="DG249" s="1037"/>
      <c r="DH249" s="1037"/>
      <c r="DI249" s="1037"/>
      <c r="DJ249" s="1037"/>
      <c r="DK249" s="1037"/>
      <c r="DL249" s="1037"/>
      <c r="DM249" s="1037"/>
      <c r="DN249" s="1037"/>
      <c r="DO249" s="1037"/>
      <c r="DP249" s="1037"/>
      <c r="DQ249" s="1037"/>
      <c r="DR249" s="1037"/>
      <c r="DS249" s="1037"/>
      <c r="DT249" s="1037"/>
      <c r="DU249" s="1037"/>
      <c r="DV249" s="1037"/>
      <c r="DW249" s="1037"/>
      <c r="DX249" s="1037"/>
      <c r="DY249" s="1037"/>
      <c r="DZ249" s="1037"/>
      <c r="EA249" s="1037"/>
      <c r="EB249" s="1037"/>
      <c r="EC249" s="1037"/>
      <c r="ED249" s="1037"/>
      <c r="EE249" s="1037"/>
      <c r="EF249" s="1037"/>
      <c r="EG249" s="1037"/>
      <c r="EH249" s="1037"/>
      <c r="EI249" s="1037"/>
      <c r="EJ249" s="1037"/>
      <c r="EK249" s="1037"/>
      <c r="EL249" s="1037"/>
      <c r="EM249" s="1037"/>
      <c r="EN249" s="1037"/>
      <c r="EO249" s="1037"/>
      <c r="EP249" s="1037"/>
      <c r="EQ249" s="1037"/>
      <c r="ER249" s="1037"/>
      <c r="ES249" s="1037"/>
      <c r="ET249" s="1037"/>
      <c r="EU249" s="1037"/>
      <c r="EV249" s="1037"/>
      <c r="EW249" s="1037"/>
      <c r="EX249" s="1037"/>
      <c r="EY249" s="1037"/>
      <c r="EZ249" s="1037"/>
      <c r="FA249" s="1037"/>
      <c r="FB249" s="1037"/>
      <c r="FC249" s="1037"/>
      <c r="FD249" s="1037"/>
      <c r="FE249" s="1037"/>
      <c r="FF249" s="1037"/>
      <c r="FG249" s="1037"/>
      <c r="FH249" s="1037"/>
      <c r="FI249" s="1037"/>
      <c r="FJ249" s="1037"/>
      <c r="FK249" s="1037"/>
      <c r="FL249" s="1037"/>
      <c r="FM249" s="1037"/>
      <c r="FN249" s="1037"/>
      <c r="FO249" s="1037"/>
      <c r="FP249" s="1037"/>
      <c r="FQ249" s="1037"/>
      <c r="FR249" s="1037"/>
      <c r="FS249" s="1037"/>
      <c r="FT249" s="1037"/>
      <c r="FU249" s="1037"/>
      <c r="FV249" s="1037"/>
      <c r="FW249" s="1037"/>
      <c r="FX249" s="1037"/>
      <c r="FY249" s="1037"/>
      <c r="FZ249" s="1037"/>
      <c r="GA249" s="1037"/>
      <c r="GB249" s="1037"/>
      <c r="GC249" s="1037"/>
      <c r="GD249" s="1037"/>
      <c r="GE249" s="1037"/>
      <c r="GF249" s="1037"/>
      <c r="GG249" s="1037"/>
      <c r="GH249" s="1037"/>
      <c r="GI249" s="1037"/>
      <c r="GJ249" s="1037"/>
      <c r="GK249" s="1037"/>
      <c r="GL249" s="1037"/>
      <c r="GM249" s="1037"/>
      <c r="GN249" s="1037"/>
      <c r="GO249" s="1037"/>
      <c r="GP249" s="1037"/>
      <c r="GQ249" s="1037"/>
      <c r="GR249" s="1037"/>
      <c r="GS249" s="1037"/>
      <c r="GT249" s="1037"/>
      <c r="GU249" s="1037"/>
      <c r="GV249" s="1037"/>
      <c r="GW249" s="1037"/>
      <c r="GX249" s="1037"/>
      <c r="GY249" s="1037"/>
      <c r="GZ249" s="1037"/>
      <c r="HA249" s="1037"/>
      <c r="HB249" s="1037"/>
      <c r="HC249" s="1037"/>
      <c r="HD249" s="1037"/>
      <c r="HE249" s="1037"/>
      <c r="HF249" s="1037"/>
      <c r="HG249" s="1037"/>
      <c r="HH249" s="1037"/>
      <c r="HI249" s="1037"/>
      <c r="HJ249" s="1037"/>
      <c r="HK249" s="1037"/>
      <c r="HL249" s="1037"/>
      <c r="HM249" s="1037"/>
      <c r="HN249" s="1037"/>
      <c r="HO249" s="1037"/>
      <c r="HP249" s="1037"/>
      <c r="HQ249" s="1037"/>
      <c r="HR249" s="1037"/>
      <c r="HS249" s="1037"/>
      <c r="HT249" s="1037"/>
      <c r="HU249" s="1037"/>
      <c r="HV249" s="1037"/>
      <c r="HW249" s="1037"/>
      <c r="HX249" s="1037"/>
      <c r="HY249" s="1037"/>
      <c r="HZ249" s="1037"/>
      <c r="IA249" s="1037"/>
      <c r="IB249" s="1037"/>
      <c r="IC249" s="1037"/>
      <c r="ID249" s="1037"/>
      <c r="IE249" s="1037"/>
      <c r="IF249" s="1037"/>
      <c r="IG249" s="1037"/>
      <c r="IH249" s="1037"/>
      <c r="II249" s="1037"/>
      <c r="IJ249" s="1037"/>
      <c r="IK249" s="1037"/>
      <c r="IL249" s="1037"/>
      <c r="IM249" s="1037"/>
      <c r="IN249" s="1037"/>
    </row>
    <row r="250" spans="1:248">
      <c r="A250" s="705" t="s">
        <v>24</v>
      </c>
      <c r="B250" s="703">
        <v>17899.400000000001</v>
      </c>
      <c r="C250" s="703">
        <v>24.137754331456193</v>
      </c>
      <c r="D250" s="706">
        <v>15334.8</v>
      </c>
      <c r="E250" s="1038">
        <v>20.679331995598421</v>
      </c>
      <c r="F250" s="1038">
        <v>2564.6000000000022</v>
      </c>
      <c r="G250" s="1038">
        <f t="shared" si="35"/>
        <v>3.4584223358577715</v>
      </c>
      <c r="H250" s="464">
        <v>74155.199999999997</v>
      </c>
      <c r="I250" s="1037"/>
      <c r="J250" s="1037"/>
      <c r="K250" s="1037"/>
      <c r="L250" s="1037"/>
      <c r="M250" s="1037"/>
      <c r="N250" s="1037"/>
      <c r="O250" s="1037"/>
      <c r="P250" s="1037"/>
      <c r="Q250" s="1037"/>
      <c r="R250" s="1037"/>
      <c r="S250" s="1037"/>
      <c r="T250" s="1037"/>
      <c r="U250" s="1037"/>
      <c r="V250" s="1037"/>
      <c r="W250" s="1037"/>
      <c r="X250" s="1037"/>
      <c r="Y250" s="1037"/>
      <c r="Z250" s="1037"/>
      <c r="AA250" s="1037"/>
      <c r="AB250" s="1037"/>
      <c r="AC250" s="1037"/>
      <c r="AD250" s="1037"/>
      <c r="AE250" s="1037"/>
      <c r="AF250" s="1037"/>
      <c r="AG250" s="1037"/>
      <c r="AH250" s="1037"/>
      <c r="AI250" s="1037"/>
      <c r="AJ250" s="1037"/>
      <c r="AK250" s="1037"/>
      <c r="AL250" s="1037"/>
      <c r="AM250" s="1037"/>
      <c r="AN250" s="1037"/>
      <c r="AO250" s="1037"/>
      <c r="AP250" s="1037"/>
      <c r="AQ250" s="1037"/>
      <c r="AR250" s="1037"/>
      <c r="AS250" s="1037"/>
      <c r="AT250" s="1037"/>
      <c r="AU250" s="1037"/>
      <c r="AV250" s="1037"/>
      <c r="AW250" s="1037"/>
      <c r="AX250" s="1037"/>
      <c r="AY250" s="1037"/>
      <c r="AZ250" s="1037"/>
      <c r="BA250" s="1037"/>
      <c r="BB250" s="1037"/>
      <c r="BC250" s="1037"/>
      <c r="BD250" s="1037"/>
      <c r="BE250" s="1037"/>
      <c r="BF250" s="1037"/>
      <c r="BG250" s="1037"/>
      <c r="BH250" s="1037"/>
      <c r="BI250" s="1037"/>
      <c r="BJ250" s="1037"/>
      <c r="BK250" s="1037"/>
      <c r="BL250" s="1037"/>
      <c r="BM250" s="1037"/>
      <c r="BN250" s="1037"/>
      <c r="BO250" s="1037"/>
      <c r="BP250" s="1037"/>
      <c r="BQ250" s="1037"/>
      <c r="BR250" s="1037"/>
      <c r="BS250" s="1037"/>
      <c r="BT250" s="1037"/>
      <c r="BU250" s="1037"/>
      <c r="BV250" s="1037"/>
      <c r="BW250" s="1037"/>
      <c r="BX250" s="1037"/>
      <c r="BY250" s="1037"/>
      <c r="BZ250" s="1037"/>
      <c r="CA250" s="1037"/>
      <c r="CB250" s="1037"/>
      <c r="CC250" s="1037"/>
      <c r="CD250" s="1037"/>
      <c r="CE250" s="1037"/>
      <c r="CF250" s="1037"/>
      <c r="CG250" s="1037"/>
      <c r="CH250" s="1037"/>
      <c r="CI250" s="1037"/>
      <c r="CJ250" s="1037"/>
      <c r="CK250" s="1037"/>
      <c r="CL250" s="1037"/>
      <c r="CM250" s="1037"/>
      <c r="CN250" s="1037"/>
      <c r="CO250" s="1037"/>
      <c r="CP250" s="1037"/>
      <c r="CQ250" s="1037"/>
      <c r="CR250" s="1037"/>
      <c r="CS250" s="1037"/>
      <c r="CT250" s="1037"/>
      <c r="CU250" s="1037"/>
      <c r="CV250" s="1037"/>
      <c r="CW250" s="1037"/>
      <c r="CX250" s="1037"/>
      <c r="CY250" s="1037"/>
      <c r="CZ250" s="1037"/>
      <c r="DA250" s="1037"/>
      <c r="DB250" s="1037"/>
      <c r="DC250" s="1037"/>
      <c r="DD250" s="1037"/>
      <c r="DE250" s="1037"/>
      <c r="DF250" s="1037"/>
      <c r="DG250" s="1037"/>
      <c r="DH250" s="1037"/>
      <c r="DI250" s="1037"/>
      <c r="DJ250" s="1037"/>
      <c r="DK250" s="1037"/>
      <c r="DL250" s="1037"/>
      <c r="DM250" s="1037"/>
      <c r="DN250" s="1037"/>
      <c r="DO250" s="1037"/>
      <c r="DP250" s="1037"/>
      <c r="DQ250" s="1037"/>
      <c r="DR250" s="1037"/>
      <c r="DS250" s="1037"/>
      <c r="DT250" s="1037"/>
      <c r="DU250" s="1037"/>
      <c r="DV250" s="1037"/>
      <c r="DW250" s="1037"/>
      <c r="DX250" s="1037"/>
      <c r="DY250" s="1037"/>
      <c r="DZ250" s="1037"/>
      <c r="EA250" s="1037"/>
      <c r="EB250" s="1037"/>
      <c r="EC250" s="1037"/>
      <c r="ED250" s="1037"/>
      <c r="EE250" s="1037"/>
      <c r="EF250" s="1037"/>
      <c r="EG250" s="1037"/>
      <c r="EH250" s="1037"/>
      <c r="EI250" s="1037"/>
      <c r="EJ250" s="1037"/>
      <c r="EK250" s="1037"/>
      <c r="EL250" s="1037"/>
      <c r="EM250" s="1037"/>
      <c r="EN250" s="1037"/>
      <c r="EO250" s="1037"/>
      <c r="EP250" s="1037"/>
      <c r="EQ250" s="1037"/>
      <c r="ER250" s="1037"/>
      <c r="ES250" s="1037"/>
      <c r="ET250" s="1037"/>
      <c r="EU250" s="1037"/>
      <c r="EV250" s="1037"/>
      <c r="EW250" s="1037"/>
      <c r="EX250" s="1037"/>
      <c r="EY250" s="1037"/>
      <c r="EZ250" s="1037"/>
      <c r="FA250" s="1037"/>
      <c r="FB250" s="1037"/>
      <c r="FC250" s="1037"/>
      <c r="FD250" s="1037"/>
      <c r="FE250" s="1037"/>
      <c r="FF250" s="1037"/>
      <c r="FG250" s="1037"/>
      <c r="FH250" s="1037"/>
      <c r="FI250" s="1037"/>
      <c r="FJ250" s="1037"/>
      <c r="FK250" s="1037"/>
      <c r="FL250" s="1037"/>
      <c r="FM250" s="1037"/>
      <c r="FN250" s="1037"/>
      <c r="FO250" s="1037"/>
      <c r="FP250" s="1037"/>
      <c r="FQ250" s="1037"/>
      <c r="FR250" s="1037"/>
      <c r="FS250" s="1037"/>
      <c r="FT250" s="1037"/>
      <c r="FU250" s="1037"/>
      <c r="FV250" s="1037"/>
      <c r="FW250" s="1037"/>
      <c r="FX250" s="1037"/>
      <c r="FY250" s="1037"/>
      <c r="FZ250" s="1037"/>
      <c r="GA250" s="1037"/>
      <c r="GB250" s="1037"/>
      <c r="GC250" s="1037"/>
      <c r="GD250" s="1037"/>
      <c r="GE250" s="1037"/>
      <c r="GF250" s="1037"/>
      <c r="GG250" s="1037"/>
      <c r="GH250" s="1037"/>
      <c r="GI250" s="1037"/>
      <c r="GJ250" s="1037"/>
      <c r="GK250" s="1037"/>
      <c r="GL250" s="1037"/>
      <c r="GM250" s="1037"/>
      <c r="GN250" s="1037"/>
      <c r="GO250" s="1037"/>
      <c r="GP250" s="1037"/>
      <c r="GQ250" s="1037"/>
      <c r="GR250" s="1037"/>
      <c r="GS250" s="1037"/>
      <c r="GT250" s="1037"/>
      <c r="GU250" s="1037"/>
      <c r="GV250" s="1037"/>
      <c r="GW250" s="1037"/>
      <c r="GX250" s="1037"/>
      <c r="GY250" s="1037"/>
      <c r="GZ250" s="1037"/>
      <c r="HA250" s="1037"/>
      <c r="HB250" s="1037"/>
      <c r="HC250" s="1037"/>
      <c r="HD250" s="1037"/>
      <c r="HE250" s="1037"/>
      <c r="HF250" s="1037"/>
      <c r="HG250" s="1037"/>
      <c r="HH250" s="1037"/>
      <c r="HI250" s="1037"/>
      <c r="HJ250" s="1037"/>
      <c r="HK250" s="1037"/>
      <c r="HL250" s="1037"/>
      <c r="HM250" s="1037"/>
      <c r="HN250" s="1037"/>
      <c r="HO250" s="1037"/>
      <c r="HP250" s="1037"/>
      <c r="HQ250" s="1037"/>
      <c r="HR250" s="1037"/>
      <c r="HS250" s="1037"/>
      <c r="HT250" s="1037"/>
      <c r="HU250" s="1037"/>
      <c r="HV250" s="1037"/>
      <c r="HW250" s="1037"/>
      <c r="HX250" s="1037"/>
      <c r="HY250" s="1037"/>
      <c r="HZ250" s="1037"/>
      <c r="IA250" s="1037"/>
      <c r="IB250" s="1037"/>
      <c r="IC250" s="1037"/>
      <c r="ID250" s="1037"/>
      <c r="IE250" s="1037"/>
      <c r="IF250" s="1037"/>
      <c r="IG250" s="1037"/>
      <c r="IH250" s="1037"/>
      <c r="II250" s="1037"/>
      <c r="IJ250" s="1037"/>
      <c r="IK250" s="1037"/>
      <c r="IL250" s="1037"/>
      <c r="IM250" s="1037"/>
      <c r="IN250" s="1037"/>
    </row>
    <row r="251" spans="1:248">
      <c r="A251" s="705" t="s">
        <v>25</v>
      </c>
      <c r="B251" s="703">
        <v>20184.8</v>
      </c>
      <c r="C251" s="703">
        <v>23.780283787541059</v>
      </c>
      <c r="D251" s="706">
        <v>18151.900000000001</v>
      </c>
      <c r="E251" s="1038">
        <v>21.385266798931205</v>
      </c>
      <c r="F251" s="1038">
        <v>2032.8999999999978</v>
      </c>
      <c r="G251" s="1038">
        <f t="shared" si="35"/>
        <v>2.3950169886098536</v>
      </c>
      <c r="H251" s="464">
        <v>84880.4</v>
      </c>
      <c r="I251" s="1037"/>
      <c r="J251" s="1037"/>
      <c r="K251" s="1037"/>
      <c r="L251" s="1037"/>
      <c r="M251" s="1037"/>
      <c r="N251" s="1037"/>
      <c r="O251" s="1037"/>
      <c r="P251" s="1037"/>
      <c r="Q251" s="1037"/>
      <c r="R251" s="1037"/>
      <c r="S251" s="1037"/>
      <c r="T251" s="1037"/>
      <c r="U251" s="1037"/>
      <c r="V251" s="1037"/>
      <c r="W251" s="1037"/>
      <c r="X251" s="1037"/>
      <c r="Y251" s="1037"/>
      <c r="Z251" s="1037"/>
      <c r="AA251" s="1037"/>
      <c r="AB251" s="1037"/>
      <c r="AC251" s="1037"/>
      <c r="AD251" s="1037"/>
      <c r="AE251" s="1037"/>
      <c r="AF251" s="1037"/>
      <c r="AG251" s="1037"/>
      <c r="AH251" s="1037"/>
      <c r="AI251" s="1037"/>
      <c r="AJ251" s="1037"/>
      <c r="AK251" s="1037"/>
      <c r="AL251" s="1037"/>
      <c r="AM251" s="1037"/>
      <c r="AN251" s="1037"/>
      <c r="AO251" s="1037"/>
      <c r="AP251" s="1037"/>
      <c r="AQ251" s="1037"/>
      <c r="AR251" s="1037"/>
      <c r="AS251" s="1037"/>
      <c r="AT251" s="1037"/>
      <c r="AU251" s="1037"/>
      <c r="AV251" s="1037"/>
      <c r="AW251" s="1037"/>
      <c r="AX251" s="1037"/>
      <c r="AY251" s="1037"/>
      <c r="AZ251" s="1037"/>
      <c r="BA251" s="1037"/>
      <c r="BB251" s="1037"/>
      <c r="BC251" s="1037"/>
      <c r="BD251" s="1037"/>
      <c r="BE251" s="1037"/>
      <c r="BF251" s="1037"/>
      <c r="BG251" s="1037"/>
      <c r="BH251" s="1037"/>
      <c r="BI251" s="1037"/>
      <c r="BJ251" s="1037"/>
      <c r="BK251" s="1037"/>
      <c r="BL251" s="1037"/>
      <c r="BM251" s="1037"/>
      <c r="BN251" s="1037"/>
      <c r="BO251" s="1037"/>
      <c r="BP251" s="1037"/>
      <c r="BQ251" s="1037"/>
      <c r="BR251" s="1037"/>
      <c r="BS251" s="1037"/>
      <c r="BT251" s="1037"/>
      <c r="BU251" s="1037"/>
      <c r="BV251" s="1037"/>
      <c r="BW251" s="1037"/>
      <c r="BX251" s="1037"/>
      <c r="BY251" s="1037"/>
      <c r="BZ251" s="1037"/>
      <c r="CA251" s="1037"/>
      <c r="CB251" s="1037"/>
      <c r="CC251" s="1037"/>
      <c r="CD251" s="1037"/>
      <c r="CE251" s="1037"/>
      <c r="CF251" s="1037"/>
      <c r="CG251" s="1037"/>
      <c r="CH251" s="1037"/>
      <c r="CI251" s="1037"/>
      <c r="CJ251" s="1037"/>
      <c r="CK251" s="1037"/>
      <c r="CL251" s="1037"/>
      <c r="CM251" s="1037"/>
      <c r="CN251" s="1037"/>
      <c r="CO251" s="1037"/>
      <c r="CP251" s="1037"/>
      <c r="CQ251" s="1037"/>
      <c r="CR251" s="1037"/>
      <c r="CS251" s="1037"/>
      <c r="CT251" s="1037"/>
      <c r="CU251" s="1037"/>
      <c r="CV251" s="1037"/>
      <c r="CW251" s="1037"/>
      <c r="CX251" s="1037"/>
      <c r="CY251" s="1037"/>
      <c r="CZ251" s="1037"/>
      <c r="DA251" s="1037"/>
      <c r="DB251" s="1037"/>
      <c r="DC251" s="1037"/>
      <c r="DD251" s="1037"/>
      <c r="DE251" s="1037"/>
      <c r="DF251" s="1037"/>
      <c r="DG251" s="1037"/>
      <c r="DH251" s="1037"/>
      <c r="DI251" s="1037"/>
      <c r="DJ251" s="1037"/>
      <c r="DK251" s="1037"/>
      <c r="DL251" s="1037"/>
      <c r="DM251" s="1037"/>
      <c r="DN251" s="1037"/>
      <c r="DO251" s="1037"/>
      <c r="DP251" s="1037"/>
      <c r="DQ251" s="1037"/>
      <c r="DR251" s="1037"/>
      <c r="DS251" s="1037"/>
      <c r="DT251" s="1037"/>
      <c r="DU251" s="1037"/>
      <c r="DV251" s="1037"/>
      <c r="DW251" s="1037"/>
      <c r="DX251" s="1037"/>
      <c r="DY251" s="1037"/>
      <c r="DZ251" s="1037"/>
      <c r="EA251" s="1037"/>
      <c r="EB251" s="1037"/>
      <c r="EC251" s="1037"/>
      <c r="ED251" s="1037"/>
      <c r="EE251" s="1037"/>
      <c r="EF251" s="1037"/>
      <c r="EG251" s="1037"/>
      <c r="EH251" s="1037"/>
      <c r="EI251" s="1037"/>
      <c r="EJ251" s="1037"/>
      <c r="EK251" s="1037"/>
      <c r="EL251" s="1037"/>
      <c r="EM251" s="1037"/>
      <c r="EN251" s="1037"/>
      <c r="EO251" s="1037"/>
      <c r="EP251" s="1037"/>
      <c r="EQ251" s="1037"/>
      <c r="ER251" s="1037"/>
      <c r="ES251" s="1037"/>
      <c r="ET251" s="1037"/>
      <c r="EU251" s="1037"/>
      <c r="EV251" s="1037"/>
      <c r="EW251" s="1037"/>
      <c r="EX251" s="1037"/>
      <c r="EY251" s="1037"/>
      <c r="EZ251" s="1037"/>
      <c r="FA251" s="1037"/>
      <c r="FB251" s="1037"/>
      <c r="FC251" s="1037"/>
      <c r="FD251" s="1037"/>
      <c r="FE251" s="1037"/>
      <c r="FF251" s="1037"/>
      <c r="FG251" s="1037"/>
      <c r="FH251" s="1037"/>
      <c r="FI251" s="1037"/>
      <c r="FJ251" s="1037"/>
      <c r="FK251" s="1037"/>
      <c r="FL251" s="1037"/>
      <c r="FM251" s="1037"/>
      <c r="FN251" s="1037"/>
      <c r="FO251" s="1037"/>
      <c r="FP251" s="1037"/>
      <c r="FQ251" s="1037"/>
      <c r="FR251" s="1037"/>
      <c r="FS251" s="1037"/>
      <c r="FT251" s="1037"/>
      <c r="FU251" s="1037"/>
      <c r="FV251" s="1037"/>
      <c r="FW251" s="1037"/>
      <c r="FX251" s="1037"/>
      <c r="FY251" s="1037"/>
      <c r="FZ251" s="1037"/>
      <c r="GA251" s="1037"/>
      <c r="GB251" s="1037"/>
      <c r="GC251" s="1037"/>
      <c r="GD251" s="1037"/>
      <c r="GE251" s="1037"/>
      <c r="GF251" s="1037"/>
      <c r="GG251" s="1037"/>
      <c r="GH251" s="1037"/>
      <c r="GI251" s="1037"/>
      <c r="GJ251" s="1037"/>
      <c r="GK251" s="1037"/>
      <c r="GL251" s="1037"/>
      <c r="GM251" s="1037"/>
      <c r="GN251" s="1037"/>
      <c r="GO251" s="1037"/>
      <c r="GP251" s="1037"/>
      <c r="GQ251" s="1037"/>
      <c r="GR251" s="1037"/>
      <c r="GS251" s="1037"/>
      <c r="GT251" s="1037"/>
      <c r="GU251" s="1037"/>
      <c r="GV251" s="1037"/>
      <c r="GW251" s="1037"/>
      <c r="GX251" s="1037"/>
      <c r="GY251" s="1037"/>
      <c r="GZ251" s="1037"/>
      <c r="HA251" s="1037"/>
      <c r="HB251" s="1037"/>
      <c r="HC251" s="1037"/>
      <c r="HD251" s="1037"/>
      <c r="HE251" s="1037"/>
      <c r="HF251" s="1037"/>
      <c r="HG251" s="1037"/>
      <c r="HH251" s="1037"/>
      <c r="HI251" s="1037"/>
      <c r="HJ251" s="1037"/>
      <c r="HK251" s="1037"/>
      <c r="HL251" s="1037"/>
      <c r="HM251" s="1037"/>
      <c r="HN251" s="1037"/>
      <c r="HO251" s="1037"/>
      <c r="HP251" s="1037"/>
      <c r="HQ251" s="1037"/>
      <c r="HR251" s="1037"/>
      <c r="HS251" s="1037"/>
      <c r="HT251" s="1037"/>
      <c r="HU251" s="1037"/>
      <c r="HV251" s="1037"/>
      <c r="HW251" s="1037"/>
      <c r="HX251" s="1037"/>
      <c r="HY251" s="1037"/>
      <c r="HZ251" s="1037"/>
      <c r="IA251" s="1037"/>
      <c r="IB251" s="1037"/>
      <c r="IC251" s="1037"/>
      <c r="ID251" s="1037"/>
      <c r="IE251" s="1037"/>
      <c r="IF251" s="1037"/>
      <c r="IG251" s="1037"/>
      <c r="IH251" s="1037"/>
      <c r="II251" s="1037"/>
      <c r="IJ251" s="1037"/>
      <c r="IK251" s="1037"/>
      <c r="IL251" s="1037"/>
      <c r="IM251" s="1037"/>
      <c r="IN251" s="1037"/>
    </row>
    <row r="252" spans="1:248">
      <c r="A252" s="705" t="s">
        <v>26</v>
      </c>
      <c r="B252" s="703">
        <v>22401.5</v>
      </c>
      <c r="C252" s="703">
        <v>22.84054087673255</v>
      </c>
      <c r="D252" s="706">
        <v>20470.7</v>
      </c>
      <c r="E252" s="1038">
        <v>20.87189965517171</v>
      </c>
      <c r="F252" s="1038">
        <v>1930.7999999999993</v>
      </c>
      <c r="G252" s="1038">
        <f t="shared" si="35"/>
        <v>1.9686412215608418</v>
      </c>
      <c r="H252" s="464">
        <v>98077.8</v>
      </c>
      <c r="I252" s="1037"/>
      <c r="J252" s="1037"/>
      <c r="K252" s="1037"/>
      <c r="L252" s="1037"/>
      <c r="M252" s="1037"/>
      <c r="N252" s="1037"/>
      <c r="O252" s="1037"/>
      <c r="P252" s="1037"/>
      <c r="Q252" s="1037"/>
      <c r="R252" s="1037"/>
      <c r="S252" s="1037"/>
      <c r="T252" s="1037"/>
      <c r="U252" s="1037"/>
      <c r="V252" s="1037"/>
      <c r="W252" s="1037"/>
      <c r="X252" s="1037"/>
      <c r="Y252" s="1037"/>
      <c r="Z252" s="1037"/>
      <c r="AA252" s="1037"/>
      <c r="AB252" s="1037"/>
      <c r="AC252" s="1037"/>
      <c r="AD252" s="1037"/>
      <c r="AE252" s="1037"/>
      <c r="AF252" s="1037"/>
      <c r="AG252" s="1037"/>
      <c r="AH252" s="1037"/>
      <c r="AI252" s="1037"/>
      <c r="AJ252" s="1037"/>
      <c r="AK252" s="1037"/>
      <c r="AL252" s="1037"/>
      <c r="AM252" s="1037"/>
      <c r="AN252" s="1037"/>
      <c r="AO252" s="1037"/>
      <c r="AP252" s="1037"/>
      <c r="AQ252" s="1037"/>
      <c r="AR252" s="1037"/>
      <c r="AS252" s="1037"/>
      <c r="AT252" s="1037"/>
      <c r="AU252" s="1037"/>
      <c r="AV252" s="1037"/>
      <c r="AW252" s="1037"/>
      <c r="AX252" s="1037"/>
      <c r="AY252" s="1037"/>
      <c r="AZ252" s="1037"/>
      <c r="BA252" s="1037"/>
      <c r="BB252" s="1037"/>
      <c r="BC252" s="1037"/>
      <c r="BD252" s="1037"/>
      <c r="BE252" s="1037"/>
      <c r="BF252" s="1037"/>
      <c r="BG252" s="1037"/>
      <c r="BH252" s="1037"/>
      <c r="BI252" s="1037"/>
      <c r="BJ252" s="1037"/>
      <c r="BK252" s="1037"/>
      <c r="BL252" s="1037"/>
      <c r="BM252" s="1037"/>
      <c r="BN252" s="1037"/>
      <c r="BO252" s="1037"/>
      <c r="BP252" s="1037"/>
      <c r="BQ252" s="1037"/>
      <c r="BR252" s="1037"/>
      <c r="BS252" s="1037"/>
      <c r="BT252" s="1037"/>
      <c r="BU252" s="1037"/>
      <c r="BV252" s="1037"/>
      <c r="BW252" s="1037"/>
      <c r="BX252" s="1037"/>
      <c r="BY252" s="1037"/>
      <c r="BZ252" s="1037"/>
      <c r="CA252" s="1037"/>
      <c r="CB252" s="1037"/>
      <c r="CC252" s="1037"/>
      <c r="CD252" s="1037"/>
      <c r="CE252" s="1037"/>
      <c r="CF252" s="1037"/>
      <c r="CG252" s="1037"/>
      <c r="CH252" s="1037"/>
      <c r="CI252" s="1037"/>
      <c r="CJ252" s="1037"/>
      <c r="CK252" s="1037"/>
      <c r="CL252" s="1037"/>
      <c r="CM252" s="1037"/>
      <c r="CN252" s="1037"/>
      <c r="CO252" s="1037"/>
      <c r="CP252" s="1037"/>
      <c r="CQ252" s="1037"/>
      <c r="CR252" s="1037"/>
      <c r="CS252" s="1037"/>
      <c r="CT252" s="1037"/>
      <c r="CU252" s="1037"/>
      <c r="CV252" s="1037"/>
      <c r="CW252" s="1037"/>
      <c r="CX252" s="1037"/>
      <c r="CY252" s="1037"/>
      <c r="CZ252" s="1037"/>
      <c r="DA252" s="1037"/>
      <c r="DB252" s="1037"/>
      <c r="DC252" s="1037"/>
      <c r="DD252" s="1037"/>
      <c r="DE252" s="1037"/>
      <c r="DF252" s="1037"/>
      <c r="DG252" s="1037"/>
      <c r="DH252" s="1037"/>
      <c r="DI252" s="1037"/>
      <c r="DJ252" s="1037"/>
      <c r="DK252" s="1037"/>
      <c r="DL252" s="1037"/>
      <c r="DM252" s="1037"/>
      <c r="DN252" s="1037"/>
      <c r="DO252" s="1037"/>
      <c r="DP252" s="1037"/>
      <c r="DQ252" s="1037"/>
      <c r="DR252" s="1037"/>
      <c r="DS252" s="1037"/>
      <c r="DT252" s="1037"/>
      <c r="DU252" s="1037"/>
      <c r="DV252" s="1037"/>
      <c r="DW252" s="1037"/>
      <c r="DX252" s="1037"/>
      <c r="DY252" s="1037"/>
      <c r="DZ252" s="1037"/>
      <c r="EA252" s="1037"/>
      <c r="EB252" s="1037"/>
      <c r="EC252" s="1037"/>
      <c r="ED252" s="1037"/>
      <c r="EE252" s="1037"/>
      <c r="EF252" s="1037"/>
      <c r="EG252" s="1037"/>
      <c r="EH252" s="1037"/>
      <c r="EI252" s="1037"/>
      <c r="EJ252" s="1037"/>
      <c r="EK252" s="1037"/>
      <c r="EL252" s="1037"/>
      <c r="EM252" s="1037"/>
      <c r="EN252" s="1037"/>
      <c r="EO252" s="1037"/>
      <c r="EP252" s="1037"/>
      <c r="EQ252" s="1037"/>
      <c r="ER252" s="1037"/>
      <c r="ES252" s="1037"/>
      <c r="ET252" s="1037"/>
      <c r="EU252" s="1037"/>
      <c r="EV252" s="1037"/>
      <c r="EW252" s="1037"/>
      <c r="EX252" s="1037"/>
      <c r="EY252" s="1037"/>
      <c r="EZ252" s="1037"/>
      <c r="FA252" s="1037"/>
      <c r="FB252" s="1037"/>
      <c r="FC252" s="1037"/>
      <c r="FD252" s="1037"/>
      <c r="FE252" s="1037"/>
      <c r="FF252" s="1037"/>
      <c r="FG252" s="1037"/>
      <c r="FH252" s="1037"/>
      <c r="FI252" s="1037"/>
      <c r="FJ252" s="1037"/>
      <c r="FK252" s="1037"/>
      <c r="FL252" s="1037"/>
      <c r="FM252" s="1037"/>
      <c r="FN252" s="1037"/>
      <c r="FO252" s="1037"/>
      <c r="FP252" s="1037"/>
      <c r="FQ252" s="1037"/>
      <c r="FR252" s="1037"/>
      <c r="FS252" s="1037"/>
      <c r="FT252" s="1037"/>
      <c r="FU252" s="1037"/>
      <c r="FV252" s="1037"/>
      <c r="FW252" s="1037"/>
      <c r="FX252" s="1037"/>
      <c r="FY252" s="1037"/>
      <c r="FZ252" s="1037"/>
      <c r="GA252" s="1037"/>
      <c r="GB252" s="1037"/>
      <c r="GC252" s="1037"/>
      <c r="GD252" s="1037"/>
      <c r="GE252" s="1037"/>
      <c r="GF252" s="1037"/>
      <c r="GG252" s="1037"/>
      <c r="GH252" s="1037"/>
      <c r="GI252" s="1037"/>
      <c r="GJ252" s="1037"/>
      <c r="GK252" s="1037"/>
      <c r="GL252" s="1037"/>
      <c r="GM252" s="1037"/>
      <c r="GN252" s="1037"/>
      <c r="GO252" s="1037"/>
      <c r="GP252" s="1037"/>
      <c r="GQ252" s="1037"/>
      <c r="GR252" s="1037"/>
      <c r="GS252" s="1037"/>
      <c r="GT252" s="1037"/>
      <c r="GU252" s="1037"/>
      <c r="GV252" s="1037"/>
      <c r="GW252" s="1037"/>
      <c r="GX252" s="1037"/>
      <c r="GY252" s="1037"/>
      <c r="GZ252" s="1037"/>
      <c r="HA252" s="1037"/>
      <c r="HB252" s="1037"/>
      <c r="HC252" s="1037"/>
      <c r="HD252" s="1037"/>
      <c r="HE252" s="1037"/>
      <c r="HF252" s="1037"/>
      <c r="HG252" s="1037"/>
      <c r="HH252" s="1037"/>
      <c r="HI252" s="1037"/>
      <c r="HJ252" s="1037"/>
      <c r="HK252" s="1037"/>
      <c r="HL252" s="1037"/>
      <c r="HM252" s="1037"/>
      <c r="HN252" s="1037"/>
      <c r="HO252" s="1037"/>
      <c r="HP252" s="1037"/>
      <c r="HQ252" s="1037"/>
      <c r="HR252" s="1037"/>
      <c r="HS252" s="1037"/>
      <c r="HT252" s="1037"/>
      <c r="HU252" s="1037"/>
      <c r="HV252" s="1037"/>
      <c r="HW252" s="1037"/>
      <c r="HX252" s="1037"/>
      <c r="HY252" s="1037"/>
      <c r="HZ252" s="1037"/>
      <c r="IA252" s="1037"/>
      <c r="IB252" s="1037"/>
      <c r="IC252" s="1037"/>
      <c r="ID252" s="1037"/>
      <c r="IE252" s="1037"/>
      <c r="IF252" s="1037"/>
      <c r="IG252" s="1037"/>
      <c r="IH252" s="1037"/>
      <c r="II252" s="1037"/>
      <c r="IJ252" s="1037"/>
      <c r="IK252" s="1037"/>
      <c r="IL252" s="1037"/>
      <c r="IM252" s="1037"/>
      <c r="IN252" s="1037"/>
    </row>
    <row r="253" spans="1:248">
      <c r="A253" s="705" t="s">
        <v>27</v>
      </c>
      <c r="B253" s="703">
        <v>27029.5</v>
      </c>
      <c r="C253" s="703">
        <v>24.344716027099423</v>
      </c>
      <c r="D253" s="706">
        <v>23206.1</v>
      </c>
      <c r="E253" s="1038">
        <v>20.901086390664712</v>
      </c>
      <c r="F253" s="1038">
        <v>3823.4000000000015</v>
      </c>
      <c r="G253" s="1038">
        <f t="shared" si="35"/>
        <v>3.4436296364347094</v>
      </c>
      <c r="H253" s="464">
        <v>111028.2</v>
      </c>
      <c r="I253" s="1037"/>
      <c r="J253" s="1037"/>
      <c r="K253" s="1037"/>
      <c r="L253" s="1037"/>
      <c r="M253" s="1037"/>
      <c r="N253" s="1037"/>
      <c r="O253" s="1037"/>
      <c r="P253" s="1037"/>
      <c r="Q253" s="1037"/>
      <c r="R253" s="1037"/>
      <c r="S253" s="1037"/>
      <c r="T253" s="1037"/>
      <c r="U253" s="1037"/>
      <c r="V253" s="1037"/>
      <c r="W253" s="1037"/>
      <c r="X253" s="1037"/>
      <c r="Y253" s="1037"/>
      <c r="Z253" s="1037"/>
      <c r="AA253" s="1037"/>
      <c r="AB253" s="1037"/>
      <c r="AC253" s="1037"/>
      <c r="AD253" s="1037"/>
      <c r="AE253" s="1037"/>
      <c r="AF253" s="1037"/>
      <c r="AG253" s="1037"/>
      <c r="AH253" s="1037"/>
      <c r="AI253" s="1037"/>
      <c r="AJ253" s="1037"/>
      <c r="AK253" s="1037"/>
      <c r="AL253" s="1037"/>
      <c r="AM253" s="1037"/>
      <c r="AN253" s="1037"/>
      <c r="AO253" s="1037"/>
      <c r="AP253" s="1037"/>
      <c r="AQ253" s="1037"/>
      <c r="AR253" s="1037"/>
      <c r="AS253" s="1037"/>
      <c r="AT253" s="1037"/>
      <c r="AU253" s="1037"/>
      <c r="AV253" s="1037"/>
      <c r="AW253" s="1037"/>
      <c r="AX253" s="1037"/>
      <c r="AY253" s="1037"/>
      <c r="AZ253" s="1037"/>
      <c r="BA253" s="1037"/>
      <c r="BB253" s="1037"/>
      <c r="BC253" s="1037"/>
      <c r="BD253" s="1037"/>
      <c r="BE253" s="1037"/>
      <c r="BF253" s="1037"/>
      <c r="BG253" s="1037"/>
      <c r="BH253" s="1037"/>
      <c r="BI253" s="1037"/>
      <c r="BJ253" s="1037"/>
      <c r="BK253" s="1037"/>
      <c r="BL253" s="1037"/>
      <c r="BM253" s="1037"/>
      <c r="BN253" s="1037"/>
      <c r="BO253" s="1037"/>
      <c r="BP253" s="1037"/>
      <c r="BQ253" s="1037"/>
      <c r="BR253" s="1037"/>
      <c r="BS253" s="1037"/>
      <c r="BT253" s="1037"/>
      <c r="BU253" s="1037"/>
      <c r="BV253" s="1037"/>
      <c r="BW253" s="1037"/>
      <c r="BX253" s="1037"/>
      <c r="BY253" s="1037"/>
      <c r="BZ253" s="1037"/>
      <c r="CA253" s="1037"/>
      <c r="CB253" s="1037"/>
      <c r="CC253" s="1037"/>
      <c r="CD253" s="1037"/>
      <c r="CE253" s="1037"/>
      <c r="CF253" s="1037"/>
      <c r="CG253" s="1037"/>
      <c r="CH253" s="1037"/>
      <c r="CI253" s="1037"/>
      <c r="CJ253" s="1037"/>
      <c r="CK253" s="1037"/>
      <c r="CL253" s="1037"/>
      <c r="CM253" s="1037"/>
      <c r="CN253" s="1037"/>
      <c r="CO253" s="1037"/>
      <c r="CP253" s="1037"/>
      <c r="CQ253" s="1037"/>
      <c r="CR253" s="1037"/>
      <c r="CS253" s="1037"/>
      <c r="CT253" s="1037"/>
      <c r="CU253" s="1037"/>
      <c r="CV253" s="1037"/>
      <c r="CW253" s="1037"/>
      <c r="CX253" s="1037"/>
      <c r="CY253" s="1037"/>
      <c r="CZ253" s="1037"/>
      <c r="DA253" s="1037"/>
      <c r="DB253" s="1037"/>
      <c r="DC253" s="1037"/>
      <c r="DD253" s="1037"/>
      <c r="DE253" s="1037"/>
      <c r="DF253" s="1037"/>
      <c r="DG253" s="1037"/>
      <c r="DH253" s="1037"/>
      <c r="DI253" s="1037"/>
      <c r="DJ253" s="1037"/>
      <c r="DK253" s="1037"/>
      <c r="DL253" s="1037"/>
      <c r="DM253" s="1037"/>
      <c r="DN253" s="1037"/>
      <c r="DO253" s="1037"/>
      <c r="DP253" s="1037"/>
      <c r="DQ253" s="1037"/>
      <c r="DR253" s="1037"/>
      <c r="DS253" s="1037"/>
      <c r="DT253" s="1037"/>
      <c r="DU253" s="1037"/>
      <c r="DV253" s="1037"/>
      <c r="DW253" s="1037"/>
      <c r="DX253" s="1037"/>
      <c r="DY253" s="1037"/>
      <c r="DZ253" s="1037"/>
      <c r="EA253" s="1037"/>
      <c r="EB253" s="1037"/>
      <c r="EC253" s="1037"/>
      <c r="ED253" s="1037"/>
      <c r="EE253" s="1037"/>
      <c r="EF253" s="1037"/>
      <c r="EG253" s="1037"/>
      <c r="EH253" s="1037"/>
      <c r="EI253" s="1037"/>
      <c r="EJ253" s="1037"/>
      <c r="EK253" s="1037"/>
      <c r="EL253" s="1037"/>
      <c r="EM253" s="1037"/>
      <c r="EN253" s="1037"/>
      <c r="EO253" s="1037"/>
      <c r="EP253" s="1037"/>
      <c r="EQ253" s="1037"/>
      <c r="ER253" s="1037"/>
      <c r="ES253" s="1037"/>
      <c r="ET253" s="1037"/>
      <c r="EU253" s="1037"/>
      <c r="EV253" s="1037"/>
      <c r="EW253" s="1037"/>
      <c r="EX253" s="1037"/>
      <c r="EY253" s="1037"/>
      <c r="EZ253" s="1037"/>
      <c r="FA253" s="1037"/>
      <c r="FB253" s="1037"/>
      <c r="FC253" s="1037"/>
      <c r="FD253" s="1037"/>
      <c r="FE253" s="1037"/>
      <c r="FF253" s="1037"/>
      <c r="FG253" s="1037"/>
      <c r="FH253" s="1037"/>
      <c r="FI253" s="1037"/>
      <c r="FJ253" s="1037"/>
      <c r="FK253" s="1037"/>
      <c r="FL253" s="1037"/>
      <c r="FM253" s="1037"/>
      <c r="FN253" s="1037"/>
      <c r="FO253" s="1037"/>
      <c r="FP253" s="1037"/>
      <c r="FQ253" s="1037"/>
      <c r="FR253" s="1037"/>
      <c r="FS253" s="1037"/>
      <c r="FT253" s="1037"/>
      <c r="FU253" s="1037"/>
      <c r="FV253" s="1037"/>
      <c r="FW253" s="1037"/>
      <c r="FX253" s="1037"/>
      <c r="FY253" s="1037"/>
      <c r="FZ253" s="1037"/>
      <c r="GA253" s="1037"/>
      <c r="GB253" s="1037"/>
      <c r="GC253" s="1037"/>
      <c r="GD253" s="1037"/>
      <c r="GE253" s="1037"/>
      <c r="GF253" s="1037"/>
      <c r="GG253" s="1037"/>
      <c r="GH253" s="1037"/>
      <c r="GI253" s="1037"/>
      <c r="GJ253" s="1037"/>
      <c r="GK253" s="1037"/>
      <c r="GL253" s="1037"/>
      <c r="GM253" s="1037"/>
      <c r="GN253" s="1037"/>
      <c r="GO253" s="1037"/>
      <c r="GP253" s="1037"/>
      <c r="GQ253" s="1037"/>
      <c r="GR253" s="1037"/>
      <c r="GS253" s="1037"/>
      <c r="GT253" s="1037"/>
      <c r="GU253" s="1037"/>
      <c r="GV253" s="1037"/>
      <c r="GW253" s="1037"/>
      <c r="GX253" s="1037"/>
      <c r="GY253" s="1037"/>
      <c r="GZ253" s="1037"/>
      <c r="HA253" s="1037"/>
      <c r="HB253" s="1037"/>
      <c r="HC253" s="1037"/>
      <c r="HD253" s="1037"/>
      <c r="HE253" s="1037"/>
      <c r="HF253" s="1037"/>
      <c r="HG253" s="1037"/>
      <c r="HH253" s="1037"/>
      <c r="HI253" s="1037"/>
      <c r="HJ253" s="1037"/>
      <c r="HK253" s="1037"/>
      <c r="HL253" s="1037"/>
      <c r="HM253" s="1037"/>
      <c r="HN253" s="1037"/>
      <c r="HO253" s="1037"/>
      <c r="HP253" s="1037"/>
      <c r="HQ253" s="1037"/>
      <c r="HR253" s="1037"/>
      <c r="HS253" s="1037"/>
      <c r="HT253" s="1037"/>
      <c r="HU253" s="1037"/>
      <c r="HV253" s="1037"/>
      <c r="HW253" s="1037"/>
      <c r="HX253" s="1037"/>
      <c r="HY253" s="1037"/>
      <c r="HZ253" s="1037"/>
      <c r="IA253" s="1037"/>
      <c r="IB253" s="1037"/>
      <c r="IC253" s="1037"/>
      <c r="ID253" s="1037"/>
      <c r="IE253" s="1037"/>
      <c r="IF253" s="1037"/>
      <c r="IG253" s="1037"/>
      <c r="IH253" s="1037"/>
      <c r="II253" s="1037"/>
      <c r="IJ253" s="1037"/>
      <c r="IK253" s="1037"/>
      <c r="IL253" s="1037"/>
      <c r="IM253" s="1037"/>
      <c r="IN253" s="1037"/>
    </row>
    <row r="254" spans="1:248">
      <c r="A254" s="705" t="s">
        <v>28</v>
      </c>
      <c r="B254" s="703">
        <v>28978.1</v>
      </c>
      <c r="C254" s="703">
        <v>23.860932201854652</v>
      </c>
      <c r="D254" s="706">
        <v>25975.5</v>
      </c>
      <c r="E254" s="1038">
        <v>21.388553576986606</v>
      </c>
      <c r="F254" s="1038">
        <v>3002.5999999999985</v>
      </c>
      <c r="G254" s="1038">
        <f t="shared" si="35"/>
        <v>2.472378624868047</v>
      </c>
      <c r="H254" s="464">
        <v>121445.8</v>
      </c>
      <c r="I254" s="1037"/>
      <c r="J254" s="1037"/>
      <c r="K254" s="1037"/>
      <c r="L254" s="1037"/>
      <c r="M254" s="1037"/>
      <c r="N254" s="1037"/>
      <c r="O254" s="1037"/>
      <c r="P254" s="1037"/>
      <c r="Q254" s="1037"/>
      <c r="R254" s="1037"/>
      <c r="S254" s="1037"/>
      <c r="T254" s="1037"/>
      <c r="U254" s="1037"/>
      <c r="V254" s="1037"/>
      <c r="W254" s="1037"/>
      <c r="X254" s="1037"/>
      <c r="Y254" s="1037"/>
      <c r="Z254" s="1037"/>
      <c r="AA254" s="1037"/>
      <c r="AB254" s="1037"/>
      <c r="AC254" s="1037"/>
      <c r="AD254" s="1037"/>
      <c r="AE254" s="1037"/>
      <c r="AF254" s="1037"/>
      <c r="AG254" s="1037"/>
      <c r="AH254" s="1037"/>
      <c r="AI254" s="1037"/>
      <c r="AJ254" s="1037"/>
      <c r="AK254" s="1037"/>
      <c r="AL254" s="1037"/>
      <c r="AM254" s="1037"/>
      <c r="AN254" s="1037"/>
      <c r="AO254" s="1037"/>
      <c r="AP254" s="1037"/>
      <c r="AQ254" s="1037"/>
      <c r="AR254" s="1037"/>
      <c r="AS254" s="1037"/>
      <c r="AT254" s="1037"/>
      <c r="AU254" s="1037"/>
      <c r="AV254" s="1037"/>
      <c r="AW254" s="1037"/>
      <c r="AX254" s="1037"/>
      <c r="AY254" s="1037"/>
      <c r="AZ254" s="1037"/>
      <c r="BA254" s="1037"/>
      <c r="BB254" s="1037"/>
      <c r="BC254" s="1037"/>
      <c r="BD254" s="1037"/>
      <c r="BE254" s="1037"/>
      <c r="BF254" s="1037"/>
      <c r="BG254" s="1037"/>
      <c r="BH254" s="1037"/>
      <c r="BI254" s="1037"/>
      <c r="BJ254" s="1037"/>
      <c r="BK254" s="1037"/>
      <c r="BL254" s="1037"/>
      <c r="BM254" s="1037"/>
      <c r="BN254" s="1037"/>
      <c r="BO254" s="1037"/>
      <c r="BP254" s="1037"/>
      <c r="BQ254" s="1037"/>
      <c r="BR254" s="1037"/>
      <c r="BS254" s="1037"/>
      <c r="BT254" s="1037"/>
      <c r="BU254" s="1037"/>
      <c r="BV254" s="1037"/>
      <c r="BW254" s="1037"/>
      <c r="BX254" s="1037"/>
      <c r="BY254" s="1037"/>
      <c r="BZ254" s="1037"/>
      <c r="CA254" s="1037"/>
      <c r="CB254" s="1037"/>
      <c r="CC254" s="1037"/>
      <c r="CD254" s="1037"/>
      <c r="CE254" s="1037"/>
      <c r="CF254" s="1037"/>
      <c r="CG254" s="1037"/>
      <c r="CH254" s="1037"/>
      <c r="CI254" s="1037"/>
      <c r="CJ254" s="1037"/>
      <c r="CK254" s="1037"/>
      <c r="CL254" s="1037"/>
      <c r="CM254" s="1037"/>
      <c r="CN254" s="1037"/>
      <c r="CO254" s="1037"/>
      <c r="CP254" s="1037"/>
      <c r="CQ254" s="1037"/>
      <c r="CR254" s="1037"/>
      <c r="CS254" s="1037"/>
      <c r="CT254" s="1037"/>
      <c r="CU254" s="1037"/>
      <c r="CV254" s="1037"/>
      <c r="CW254" s="1037"/>
      <c r="CX254" s="1037"/>
      <c r="CY254" s="1037"/>
      <c r="CZ254" s="1037"/>
      <c r="DA254" s="1037"/>
      <c r="DB254" s="1037"/>
      <c r="DC254" s="1037"/>
      <c r="DD254" s="1037"/>
      <c r="DE254" s="1037"/>
      <c r="DF254" s="1037"/>
      <c r="DG254" s="1037"/>
      <c r="DH254" s="1037"/>
      <c r="DI254" s="1037"/>
      <c r="DJ254" s="1037"/>
      <c r="DK254" s="1037"/>
      <c r="DL254" s="1037"/>
      <c r="DM254" s="1037"/>
      <c r="DN254" s="1037"/>
      <c r="DO254" s="1037"/>
      <c r="DP254" s="1037"/>
      <c r="DQ254" s="1037"/>
      <c r="DR254" s="1037"/>
      <c r="DS254" s="1037"/>
      <c r="DT254" s="1037"/>
      <c r="DU254" s="1037"/>
      <c r="DV254" s="1037"/>
      <c r="DW254" s="1037"/>
      <c r="DX254" s="1037"/>
      <c r="DY254" s="1037"/>
      <c r="DZ254" s="1037"/>
      <c r="EA254" s="1037"/>
      <c r="EB254" s="1037"/>
      <c r="EC254" s="1037"/>
      <c r="ED254" s="1037"/>
      <c r="EE254" s="1037"/>
      <c r="EF254" s="1037"/>
      <c r="EG254" s="1037"/>
      <c r="EH254" s="1037"/>
      <c r="EI254" s="1037"/>
      <c r="EJ254" s="1037"/>
      <c r="EK254" s="1037"/>
      <c r="EL254" s="1037"/>
      <c r="EM254" s="1037"/>
      <c r="EN254" s="1037"/>
      <c r="EO254" s="1037"/>
      <c r="EP254" s="1037"/>
      <c r="EQ254" s="1037"/>
      <c r="ER254" s="1037"/>
      <c r="ES254" s="1037"/>
      <c r="ET254" s="1037"/>
      <c r="EU254" s="1037"/>
      <c r="EV254" s="1037"/>
      <c r="EW254" s="1037"/>
      <c r="EX254" s="1037"/>
      <c r="EY254" s="1037"/>
      <c r="EZ254" s="1037"/>
      <c r="FA254" s="1037"/>
      <c r="FB254" s="1037"/>
      <c r="FC254" s="1037"/>
      <c r="FD254" s="1037"/>
      <c r="FE254" s="1037"/>
      <c r="FF254" s="1037"/>
      <c r="FG254" s="1037"/>
      <c r="FH254" s="1037"/>
      <c r="FI254" s="1037"/>
      <c r="FJ254" s="1037"/>
      <c r="FK254" s="1037"/>
      <c r="FL254" s="1037"/>
      <c r="FM254" s="1037"/>
      <c r="FN254" s="1037"/>
      <c r="FO254" s="1037"/>
      <c r="FP254" s="1037"/>
      <c r="FQ254" s="1037"/>
      <c r="FR254" s="1037"/>
      <c r="FS254" s="1037"/>
      <c r="FT254" s="1037"/>
      <c r="FU254" s="1037"/>
      <c r="FV254" s="1037"/>
      <c r="FW254" s="1037"/>
      <c r="FX254" s="1037"/>
      <c r="FY254" s="1037"/>
      <c r="FZ254" s="1037"/>
      <c r="GA254" s="1037"/>
      <c r="GB254" s="1037"/>
      <c r="GC254" s="1037"/>
      <c r="GD254" s="1037"/>
      <c r="GE254" s="1037"/>
      <c r="GF254" s="1037"/>
      <c r="GG254" s="1037"/>
      <c r="GH254" s="1037"/>
      <c r="GI254" s="1037"/>
      <c r="GJ254" s="1037"/>
      <c r="GK254" s="1037"/>
      <c r="GL254" s="1037"/>
      <c r="GM254" s="1037"/>
      <c r="GN254" s="1037"/>
      <c r="GO254" s="1037"/>
      <c r="GP254" s="1037"/>
      <c r="GQ254" s="1037"/>
      <c r="GR254" s="1037"/>
      <c r="GS254" s="1037"/>
      <c r="GT254" s="1037"/>
      <c r="GU254" s="1037"/>
      <c r="GV254" s="1037"/>
      <c r="GW254" s="1037"/>
      <c r="GX254" s="1037"/>
      <c r="GY254" s="1037"/>
      <c r="GZ254" s="1037"/>
      <c r="HA254" s="1037"/>
      <c r="HB254" s="1037"/>
      <c r="HC254" s="1037"/>
      <c r="HD254" s="1037"/>
      <c r="HE254" s="1037"/>
      <c r="HF254" s="1037"/>
      <c r="HG254" s="1037"/>
      <c r="HH254" s="1037"/>
      <c r="HI254" s="1037"/>
      <c r="HJ254" s="1037"/>
      <c r="HK254" s="1037"/>
      <c r="HL254" s="1037"/>
      <c r="HM254" s="1037"/>
      <c r="HN254" s="1037"/>
      <c r="HO254" s="1037"/>
      <c r="HP254" s="1037"/>
      <c r="HQ254" s="1037"/>
      <c r="HR254" s="1037"/>
      <c r="HS254" s="1037"/>
      <c r="HT254" s="1037"/>
      <c r="HU254" s="1037"/>
      <c r="HV254" s="1037"/>
      <c r="HW254" s="1037"/>
      <c r="HX254" s="1037"/>
      <c r="HY254" s="1037"/>
      <c r="HZ254" s="1037"/>
      <c r="IA254" s="1037"/>
      <c r="IB254" s="1037"/>
      <c r="IC254" s="1037"/>
      <c r="ID254" s="1037"/>
      <c r="IE254" s="1037"/>
      <c r="IF254" s="1037"/>
      <c r="IG254" s="1037"/>
      <c r="IH254" s="1037"/>
      <c r="II254" s="1037"/>
      <c r="IJ254" s="1037"/>
      <c r="IK254" s="1037"/>
      <c r="IL254" s="1037"/>
      <c r="IM254" s="1037"/>
      <c r="IN254" s="1037"/>
    </row>
    <row r="255" spans="1:248">
      <c r="A255" s="705" t="s">
        <v>29</v>
      </c>
      <c r="B255" s="703">
        <v>30660.5</v>
      </c>
      <c r="C255" s="703">
        <v>22.910754129622244</v>
      </c>
      <c r="D255" s="706">
        <v>32063.300000000003</v>
      </c>
      <c r="E255" s="1038">
        <v>23.958982498143115</v>
      </c>
      <c r="F255" s="1038">
        <v>-1402.8000000000029</v>
      </c>
      <c r="G255" s="1038">
        <f t="shared" si="35"/>
        <v>-1.0482283685208704</v>
      </c>
      <c r="H255" s="464">
        <v>133825.79999999999</v>
      </c>
      <c r="I255" s="1037"/>
      <c r="J255" s="1037"/>
      <c r="K255" s="1037"/>
      <c r="L255" s="1037"/>
      <c r="M255" s="1037"/>
      <c r="N255" s="1037"/>
      <c r="O255" s="1037"/>
      <c r="P255" s="1037"/>
      <c r="Q255" s="1037"/>
      <c r="R255" s="1037"/>
      <c r="S255" s="1037"/>
      <c r="T255" s="1037"/>
      <c r="U255" s="1037"/>
      <c r="V255" s="1037"/>
      <c r="W255" s="1037"/>
      <c r="X255" s="1037"/>
      <c r="Y255" s="1037"/>
      <c r="Z255" s="1037"/>
      <c r="AA255" s="1037"/>
      <c r="AB255" s="1037"/>
      <c r="AC255" s="1037"/>
      <c r="AD255" s="1037"/>
      <c r="AE255" s="1037"/>
      <c r="AF255" s="1037"/>
      <c r="AG255" s="1037"/>
      <c r="AH255" s="1037"/>
      <c r="AI255" s="1037"/>
      <c r="AJ255" s="1037"/>
      <c r="AK255" s="1037"/>
      <c r="AL255" s="1037"/>
      <c r="AM255" s="1037"/>
      <c r="AN255" s="1037"/>
      <c r="AO255" s="1037"/>
      <c r="AP255" s="1037"/>
      <c r="AQ255" s="1037"/>
      <c r="AR255" s="1037"/>
      <c r="AS255" s="1037"/>
      <c r="AT255" s="1037"/>
      <c r="AU255" s="1037"/>
      <c r="AV255" s="1037"/>
      <c r="AW255" s="1037"/>
      <c r="AX255" s="1037"/>
      <c r="AY255" s="1037"/>
      <c r="AZ255" s="1037"/>
      <c r="BA255" s="1037"/>
      <c r="BB255" s="1037"/>
      <c r="BC255" s="1037"/>
      <c r="BD255" s="1037"/>
      <c r="BE255" s="1037"/>
      <c r="BF255" s="1037"/>
      <c r="BG255" s="1037"/>
      <c r="BH255" s="1037"/>
      <c r="BI255" s="1037"/>
      <c r="BJ255" s="1037"/>
      <c r="BK255" s="1037"/>
      <c r="BL255" s="1037"/>
      <c r="BM255" s="1037"/>
      <c r="BN255" s="1037"/>
      <c r="BO255" s="1037"/>
      <c r="BP255" s="1037"/>
      <c r="BQ255" s="1037"/>
      <c r="BR255" s="1037"/>
      <c r="BS255" s="1037"/>
      <c r="BT255" s="1037"/>
      <c r="BU255" s="1037"/>
      <c r="BV255" s="1037"/>
      <c r="BW255" s="1037"/>
      <c r="BX255" s="1037"/>
      <c r="BY255" s="1037"/>
      <c r="BZ255" s="1037"/>
      <c r="CA255" s="1037"/>
      <c r="CB255" s="1037"/>
      <c r="CC255" s="1037"/>
      <c r="CD255" s="1037"/>
      <c r="CE255" s="1037"/>
      <c r="CF255" s="1037"/>
      <c r="CG255" s="1037"/>
      <c r="CH255" s="1037"/>
      <c r="CI255" s="1037"/>
      <c r="CJ255" s="1037"/>
      <c r="CK255" s="1037"/>
      <c r="CL255" s="1037"/>
      <c r="CM255" s="1037"/>
      <c r="CN255" s="1037"/>
      <c r="CO255" s="1037"/>
      <c r="CP255" s="1037"/>
      <c r="CQ255" s="1037"/>
      <c r="CR255" s="1037"/>
      <c r="CS255" s="1037"/>
      <c r="CT255" s="1037"/>
      <c r="CU255" s="1037"/>
      <c r="CV255" s="1037"/>
      <c r="CW255" s="1037"/>
      <c r="CX255" s="1037"/>
      <c r="CY255" s="1037"/>
      <c r="CZ255" s="1037"/>
      <c r="DA255" s="1037"/>
      <c r="DB255" s="1037"/>
      <c r="DC255" s="1037"/>
      <c r="DD255" s="1037"/>
      <c r="DE255" s="1037"/>
      <c r="DF255" s="1037"/>
      <c r="DG255" s="1037"/>
      <c r="DH255" s="1037"/>
      <c r="DI255" s="1037"/>
      <c r="DJ255" s="1037"/>
      <c r="DK255" s="1037"/>
      <c r="DL255" s="1037"/>
      <c r="DM255" s="1037"/>
      <c r="DN255" s="1037"/>
      <c r="DO255" s="1037"/>
      <c r="DP255" s="1037"/>
      <c r="DQ255" s="1037"/>
      <c r="DR255" s="1037"/>
      <c r="DS255" s="1037"/>
      <c r="DT255" s="1037"/>
      <c r="DU255" s="1037"/>
      <c r="DV255" s="1037"/>
      <c r="DW255" s="1037"/>
      <c r="DX255" s="1037"/>
      <c r="DY255" s="1037"/>
      <c r="DZ255" s="1037"/>
      <c r="EA255" s="1037"/>
      <c r="EB255" s="1037"/>
      <c r="EC255" s="1037"/>
      <c r="ED255" s="1037"/>
      <c r="EE255" s="1037"/>
      <c r="EF255" s="1037"/>
      <c r="EG255" s="1037"/>
      <c r="EH255" s="1037"/>
      <c r="EI255" s="1037"/>
      <c r="EJ255" s="1037"/>
      <c r="EK255" s="1037"/>
      <c r="EL255" s="1037"/>
      <c r="EM255" s="1037"/>
      <c r="EN255" s="1037"/>
      <c r="EO255" s="1037"/>
      <c r="EP255" s="1037"/>
      <c r="EQ255" s="1037"/>
      <c r="ER255" s="1037"/>
      <c r="ES255" s="1037"/>
      <c r="ET255" s="1037"/>
      <c r="EU255" s="1037"/>
      <c r="EV255" s="1037"/>
      <c r="EW255" s="1037"/>
      <c r="EX255" s="1037"/>
      <c r="EY255" s="1037"/>
      <c r="EZ255" s="1037"/>
      <c r="FA255" s="1037"/>
      <c r="FB255" s="1037"/>
      <c r="FC255" s="1037"/>
      <c r="FD255" s="1037"/>
      <c r="FE255" s="1037"/>
      <c r="FF255" s="1037"/>
      <c r="FG255" s="1037"/>
      <c r="FH255" s="1037"/>
      <c r="FI255" s="1037"/>
      <c r="FJ255" s="1037"/>
      <c r="FK255" s="1037"/>
      <c r="FL255" s="1037"/>
      <c r="FM255" s="1037"/>
      <c r="FN255" s="1037"/>
      <c r="FO255" s="1037"/>
      <c r="FP255" s="1037"/>
      <c r="FQ255" s="1037"/>
      <c r="FR255" s="1037"/>
      <c r="FS255" s="1037"/>
      <c r="FT255" s="1037"/>
      <c r="FU255" s="1037"/>
      <c r="FV255" s="1037"/>
      <c r="FW255" s="1037"/>
      <c r="FX255" s="1037"/>
      <c r="FY255" s="1037"/>
      <c r="FZ255" s="1037"/>
      <c r="GA255" s="1037"/>
      <c r="GB255" s="1037"/>
      <c r="GC255" s="1037"/>
      <c r="GD255" s="1037"/>
      <c r="GE255" s="1037"/>
      <c r="GF255" s="1037"/>
      <c r="GG255" s="1037"/>
      <c r="GH255" s="1037"/>
      <c r="GI255" s="1037"/>
      <c r="GJ255" s="1037"/>
      <c r="GK255" s="1037"/>
      <c r="GL255" s="1037"/>
      <c r="GM255" s="1037"/>
      <c r="GN255" s="1037"/>
      <c r="GO255" s="1037"/>
      <c r="GP255" s="1037"/>
      <c r="GQ255" s="1037"/>
      <c r="GR255" s="1037"/>
      <c r="GS255" s="1037"/>
      <c r="GT255" s="1037"/>
      <c r="GU255" s="1037"/>
      <c r="GV255" s="1037"/>
      <c r="GW255" s="1037"/>
      <c r="GX255" s="1037"/>
      <c r="GY255" s="1037"/>
      <c r="GZ255" s="1037"/>
      <c r="HA255" s="1037"/>
      <c r="HB255" s="1037"/>
      <c r="HC255" s="1037"/>
      <c r="HD255" s="1037"/>
      <c r="HE255" s="1037"/>
      <c r="HF255" s="1037"/>
      <c r="HG255" s="1037"/>
      <c r="HH255" s="1037"/>
      <c r="HI255" s="1037"/>
      <c r="HJ255" s="1037"/>
      <c r="HK255" s="1037"/>
      <c r="HL255" s="1037"/>
      <c r="HM255" s="1037"/>
      <c r="HN255" s="1037"/>
      <c r="HO255" s="1037"/>
      <c r="HP255" s="1037"/>
      <c r="HQ255" s="1037"/>
      <c r="HR255" s="1037"/>
      <c r="HS255" s="1037"/>
      <c r="HT255" s="1037"/>
      <c r="HU255" s="1037"/>
      <c r="HV255" s="1037"/>
      <c r="HW255" s="1037"/>
      <c r="HX255" s="1037"/>
      <c r="HY255" s="1037"/>
      <c r="HZ255" s="1037"/>
      <c r="IA255" s="1037"/>
      <c r="IB255" s="1037"/>
      <c r="IC255" s="1037"/>
      <c r="ID255" s="1037"/>
      <c r="IE255" s="1037"/>
      <c r="IF255" s="1037"/>
      <c r="IG255" s="1037"/>
      <c r="IH255" s="1037"/>
      <c r="II255" s="1037"/>
      <c r="IJ255" s="1037"/>
      <c r="IK255" s="1037"/>
      <c r="IL255" s="1037"/>
      <c r="IM255" s="1037"/>
      <c r="IN255" s="1037"/>
    </row>
    <row r="256" spans="1:248">
      <c r="A256" s="705" t="s">
        <v>3605</v>
      </c>
      <c r="B256" s="698">
        <v>35574.800000000003</v>
      </c>
      <c r="C256" s="698">
        <v>28.921308396779011</v>
      </c>
      <c r="D256" s="702">
        <v>36458.5</v>
      </c>
      <c r="E256" s="1039">
        <v>29.639731556719006</v>
      </c>
      <c r="F256" s="1039">
        <v>-883.69999999999709</v>
      </c>
      <c r="G256" s="1039">
        <v>-0.71842315994000028</v>
      </c>
      <c r="H256" s="464"/>
      <c r="I256" s="1037"/>
      <c r="J256" s="1037"/>
      <c r="K256" s="1037"/>
      <c r="L256" s="1037"/>
      <c r="M256" s="1037"/>
      <c r="N256" s="1037"/>
      <c r="O256" s="1037"/>
      <c r="P256" s="1037"/>
      <c r="Q256" s="1037"/>
      <c r="R256" s="1037"/>
      <c r="S256" s="1037"/>
      <c r="T256" s="1037"/>
      <c r="U256" s="1037"/>
      <c r="V256" s="1037"/>
      <c r="W256" s="1037"/>
      <c r="X256" s="1037"/>
      <c r="Y256" s="1037"/>
      <c r="Z256" s="1037"/>
      <c r="AA256" s="1037"/>
      <c r="AB256" s="1037"/>
      <c r="AC256" s="1037"/>
      <c r="AD256" s="1037"/>
      <c r="AE256" s="1037"/>
      <c r="AF256" s="1037"/>
      <c r="AG256" s="1037"/>
      <c r="AH256" s="1037"/>
      <c r="AI256" s="1037"/>
      <c r="AJ256" s="1037"/>
      <c r="AK256" s="1037"/>
      <c r="AL256" s="1037"/>
      <c r="AM256" s="1037"/>
      <c r="AN256" s="1037"/>
      <c r="AO256" s="1037"/>
      <c r="AP256" s="1037"/>
      <c r="AQ256" s="1037"/>
      <c r="AR256" s="1037"/>
      <c r="AS256" s="1037"/>
      <c r="AT256" s="1037"/>
      <c r="AU256" s="1037"/>
      <c r="AV256" s="1037"/>
      <c r="AW256" s="1037"/>
      <c r="AX256" s="1037"/>
      <c r="AY256" s="1037"/>
      <c r="AZ256" s="1037"/>
      <c r="BA256" s="1037"/>
      <c r="BB256" s="1037"/>
      <c r="BC256" s="1037"/>
      <c r="BD256" s="1037"/>
      <c r="BE256" s="1037"/>
      <c r="BF256" s="1037"/>
      <c r="BG256" s="1037"/>
      <c r="BH256" s="1037"/>
      <c r="BI256" s="1037"/>
      <c r="BJ256" s="1037"/>
      <c r="BK256" s="1037"/>
      <c r="BL256" s="1037"/>
      <c r="BM256" s="1037"/>
      <c r="BN256" s="1037"/>
      <c r="BO256" s="1037"/>
      <c r="BP256" s="1037"/>
      <c r="BQ256" s="1037"/>
      <c r="BR256" s="1037"/>
      <c r="BS256" s="1037"/>
      <c r="BT256" s="1037"/>
      <c r="BU256" s="1037"/>
      <c r="BV256" s="1037"/>
      <c r="BW256" s="1037"/>
      <c r="BX256" s="1037"/>
      <c r="BY256" s="1037"/>
      <c r="BZ256" s="1037"/>
      <c r="CA256" s="1037"/>
      <c r="CB256" s="1037"/>
      <c r="CC256" s="1037"/>
      <c r="CD256" s="1037"/>
      <c r="CE256" s="1037"/>
      <c r="CF256" s="1037"/>
      <c r="CG256" s="1037"/>
      <c r="CH256" s="1037"/>
      <c r="CI256" s="1037"/>
      <c r="CJ256" s="1037"/>
      <c r="CK256" s="1037"/>
      <c r="CL256" s="1037"/>
      <c r="CM256" s="1037"/>
      <c r="CN256" s="1037"/>
      <c r="CO256" s="1037"/>
      <c r="CP256" s="1037"/>
      <c r="CQ256" s="1037"/>
      <c r="CR256" s="1037"/>
      <c r="CS256" s="1037"/>
      <c r="CT256" s="1037"/>
      <c r="CU256" s="1037"/>
      <c r="CV256" s="1037"/>
      <c r="CW256" s="1037"/>
      <c r="CX256" s="1037"/>
      <c r="CY256" s="1037"/>
      <c r="CZ256" s="1037"/>
      <c r="DA256" s="1037"/>
      <c r="DB256" s="1037"/>
      <c r="DC256" s="1037"/>
      <c r="DD256" s="1037"/>
      <c r="DE256" s="1037"/>
      <c r="DF256" s="1037"/>
      <c r="DG256" s="1037"/>
      <c r="DH256" s="1037"/>
      <c r="DI256" s="1037"/>
      <c r="DJ256" s="1037"/>
      <c r="DK256" s="1037"/>
      <c r="DL256" s="1037"/>
      <c r="DM256" s="1037"/>
      <c r="DN256" s="1037"/>
      <c r="DO256" s="1037"/>
      <c r="DP256" s="1037"/>
      <c r="DQ256" s="1037"/>
      <c r="DR256" s="1037"/>
      <c r="DS256" s="1037"/>
      <c r="DT256" s="1037"/>
      <c r="DU256" s="1037"/>
      <c r="DV256" s="1037"/>
      <c r="DW256" s="1037"/>
      <c r="DX256" s="1037"/>
      <c r="DY256" s="1037"/>
      <c r="DZ256" s="1037"/>
      <c r="EA256" s="1037"/>
      <c r="EB256" s="1037"/>
      <c r="EC256" s="1037"/>
      <c r="ED256" s="1037"/>
      <c r="EE256" s="1037"/>
      <c r="EF256" s="1037"/>
      <c r="EG256" s="1037"/>
      <c r="EH256" s="1037"/>
      <c r="EI256" s="1037"/>
      <c r="EJ256" s="1037"/>
      <c r="EK256" s="1037"/>
      <c r="EL256" s="1037"/>
      <c r="EM256" s="1037"/>
      <c r="EN256" s="1037"/>
      <c r="EO256" s="1037"/>
      <c r="EP256" s="1037"/>
      <c r="EQ256" s="1037"/>
      <c r="ER256" s="1037"/>
      <c r="ES256" s="1037"/>
      <c r="ET256" s="1037"/>
      <c r="EU256" s="1037"/>
      <c r="EV256" s="1037"/>
      <c r="EW256" s="1037"/>
      <c r="EX256" s="1037"/>
      <c r="EY256" s="1037"/>
      <c r="EZ256" s="1037"/>
      <c r="FA256" s="1037"/>
      <c r="FB256" s="1037"/>
      <c r="FC256" s="1037"/>
      <c r="FD256" s="1037"/>
      <c r="FE256" s="1037"/>
      <c r="FF256" s="1037"/>
      <c r="FG256" s="1037"/>
      <c r="FH256" s="1037"/>
      <c r="FI256" s="1037"/>
      <c r="FJ256" s="1037"/>
      <c r="FK256" s="1037"/>
      <c r="FL256" s="1037"/>
      <c r="FM256" s="1037"/>
      <c r="FN256" s="1037"/>
      <c r="FO256" s="1037"/>
      <c r="FP256" s="1037"/>
      <c r="FQ256" s="1037"/>
      <c r="FR256" s="1037"/>
      <c r="FS256" s="1037"/>
      <c r="FT256" s="1037"/>
      <c r="FU256" s="1037"/>
      <c r="FV256" s="1037"/>
      <c r="FW256" s="1037"/>
      <c r="FX256" s="1037"/>
      <c r="FY256" s="1037"/>
      <c r="FZ256" s="1037"/>
      <c r="GA256" s="1037"/>
      <c r="GB256" s="1037"/>
      <c r="GC256" s="1037"/>
      <c r="GD256" s="1037"/>
      <c r="GE256" s="1037"/>
      <c r="GF256" s="1037"/>
      <c r="GG256" s="1037"/>
      <c r="GH256" s="1037"/>
      <c r="GI256" s="1037"/>
      <c r="GJ256" s="1037"/>
      <c r="GK256" s="1037"/>
      <c r="GL256" s="1037"/>
      <c r="GM256" s="1037"/>
      <c r="GN256" s="1037"/>
      <c r="GO256" s="1037"/>
      <c r="GP256" s="1037"/>
      <c r="GQ256" s="1037"/>
      <c r="GR256" s="1037"/>
      <c r="GS256" s="1037"/>
      <c r="GT256" s="1037"/>
      <c r="GU256" s="1037"/>
      <c r="GV256" s="1037"/>
      <c r="GW256" s="1037"/>
      <c r="GX256" s="1037"/>
      <c r="GY256" s="1037"/>
      <c r="GZ256" s="1037"/>
      <c r="HA256" s="1037"/>
      <c r="HB256" s="1037"/>
      <c r="HC256" s="1037"/>
      <c r="HD256" s="1037"/>
      <c r="HE256" s="1037"/>
      <c r="HF256" s="1037"/>
      <c r="HG256" s="1037"/>
      <c r="HH256" s="1037"/>
      <c r="HI256" s="1037"/>
      <c r="HJ256" s="1037"/>
      <c r="HK256" s="1037"/>
      <c r="HL256" s="1037"/>
      <c r="HM256" s="1037"/>
      <c r="HN256" s="1037"/>
      <c r="HO256" s="1037"/>
      <c r="HP256" s="1037"/>
      <c r="HQ256" s="1037"/>
      <c r="HR256" s="1037"/>
      <c r="HS256" s="1037"/>
      <c r="HT256" s="1037"/>
      <c r="HU256" s="1037"/>
      <c r="HV256" s="1037"/>
      <c r="HW256" s="1037"/>
      <c r="HX256" s="1037"/>
      <c r="HY256" s="1037"/>
      <c r="HZ256" s="1037"/>
      <c r="IA256" s="1037"/>
      <c r="IB256" s="1037"/>
      <c r="IC256" s="1037"/>
      <c r="ID256" s="1037"/>
      <c r="IE256" s="1037"/>
      <c r="IF256" s="1037"/>
      <c r="IG256" s="1037"/>
      <c r="IH256" s="1037"/>
      <c r="II256" s="1037"/>
      <c r="IJ256" s="1037"/>
      <c r="IK256" s="1037"/>
      <c r="IL256" s="1037"/>
      <c r="IM256" s="1037"/>
      <c r="IN256" s="1037"/>
    </row>
    <row r="257" spans="1:248">
      <c r="A257" s="705" t="s">
        <v>18</v>
      </c>
      <c r="B257" s="703">
        <v>4006.5</v>
      </c>
      <c r="C257" s="703">
        <v>41.34589585354275</v>
      </c>
      <c r="D257" s="706">
        <v>1457.9</v>
      </c>
      <c r="E257" s="1038">
        <v>15.045097108418815</v>
      </c>
      <c r="F257" s="1038">
        <v>2548.6</v>
      </c>
      <c r="G257" s="1038">
        <v>26.300798745123938</v>
      </c>
      <c r="H257" s="464">
        <v>9690.2000000000007</v>
      </c>
      <c r="I257" s="1037"/>
      <c r="J257" s="1037"/>
      <c r="K257" s="1037"/>
      <c r="L257" s="1037"/>
      <c r="M257" s="1037"/>
      <c r="N257" s="1037"/>
      <c r="O257" s="1037"/>
      <c r="P257" s="1037"/>
      <c r="Q257" s="1037"/>
      <c r="R257" s="1037"/>
      <c r="S257" s="1037"/>
      <c r="T257" s="1037"/>
      <c r="U257" s="1037"/>
      <c r="V257" s="1037"/>
      <c r="W257" s="1037"/>
      <c r="X257" s="1037"/>
      <c r="Y257" s="1037"/>
      <c r="Z257" s="1037"/>
      <c r="AA257" s="1037"/>
      <c r="AB257" s="1037"/>
      <c r="AC257" s="1037"/>
      <c r="AD257" s="1037"/>
      <c r="AE257" s="1037"/>
      <c r="AF257" s="1037"/>
      <c r="AG257" s="1037"/>
      <c r="AH257" s="1037"/>
      <c r="AI257" s="1037"/>
      <c r="AJ257" s="1037"/>
      <c r="AK257" s="1037"/>
      <c r="AL257" s="1037"/>
      <c r="AM257" s="1037"/>
      <c r="AN257" s="1037"/>
      <c r="AO257" s="1037"/>
      <c r="AP257" s="1037"/>
      <c r="AQ257" s="1037"/>
      <c r="AR257" s="1037"/>
      <c r="AS257" s="1037"/>
      <c r="AT257" s="1037"/>
      <c r="AU257" s="1037"/>
      <c r="AV257" s="1037"/>
      <c r="AW257" s="1037"/>
      <c r="AX257" s="1037"/>
      <c r="AY257" s="1037"/>
      <c r="AZ257" s="1037"/>
      <c r="BA257" s="1037"/>
      <c r="BB257" s="1037"/>
      <c r="BC257" s="1037"/>
      <c r="BD257" s="1037"/>
      <c r="BE257" s="1037"/>
      <c r="BF257" s="1037"/>
      <c r="BG257" s="1037"/>
      <c r="BH257" s="1037"/>
      <c r="BI257" s="1037"/>
      <c r="BJ257" s="1037"/>
      <c r="BK257" s="1037"/>
      <c r="BL257" s="1037"/>
      <c r="BM257" s="1037"/>
      <c r="BN257" s="1037"/>
      <c r="BO257" s="1037"/>
      <c r="BP257" s="1037"/>
      <c r="BQ257" s="1037"/>
      <c r="BR257" s="1037"/>
      <c r="BS257" s="1037"/>
      <c r="BT257" s="1037"/>
      <c r="BU257" s="1037"/>
      <c r="BV257" s="1037"/>
      <c r="BW257" s="1037"/>
      <c r="BX257" s="1037"/>
      <c r="BY257" s="1037"/>
      <c r="BZ257" s="1037"/>
      <c r="CA257" s="1037"/>
      <c r="CB257" s="1037"/>
      <c r="CC257" s="1037"/>
      <c r="CD257" s="1037"/>
      <c r="CE257" s="1037"/>
      <c r="CF257" s="1037"/>
      <c r="CG257" s="1037"/>
      <c r="CH257" s="1037"/>
      <c r="CI257" s="1037"/>
      <c r="CJ257" s="1037"/>
      <c r="CK257" s="1037"/>
      <c r="CL257" s="1037"/>
      <c r="CM257" s="1037"/>
      <c r="CN257" s="1037"/>
      <c r="CO257" s="1037"/>
      <c r="CP257" s="1037"/>
      <c r="CQ257" s="1037"/>
      <c r="CR257" s="1037"/>
      <c r="CS257" s="1037"/>
      <c r="CT257" s="1037"/>
      <c r="CU257" s="1037"/>
      <c r="CV257" s="1037"/>
      <c r="CW257" s="1037"/>
      <c r="CX257" s="1037"/>
      <c r="CY257" s="1037"/>
      <c r="CZ257" s="1037"/>
      <c r="DA257" s="1037"/>
      <c r="DB257" s="1037"/>
      <c r="DC257" s="1037"/>
      <c r="DD257" s="1037"/>
      <c r="DE257" s="1037"/>
      <c r="DF257" s="1037"/>
      <c r="DG257" s="1037"/>
      <c r="DH257" s="1037"/>
      <c r="DI257" s="1037"/>
      <c r="DJ257" s="1037"/>
      <c r="DK257" s="1037"/>
      <c r="DL257" s="1037"/>
      <c r="DM257" s="1037"/>
      <c r="DN257" s="1037"/>
      <c r="DO257" s="1037"/>
      <c r="DP257" s="1037"/>
      <c r="DQ257" s="1037"/>
      <c r="DR257" s="1037"/>
      <c r="DS257" s="1037"/>
      <c r="DT257" s="1037"/>
      <c r="DU257" s="1037"/>
      <c r="DV257" s="1037"/>
      <c r="DW257" s="1037"/>
      <c r="DX257" s="1037"/>
      <c r="DY257" s="1037"/>
      <c r="DZ257" s="1037"/>
      <c r="EA257" s="1037"/>
      <c r="EB257" s="1037"/>
      <c r="EC257" s="1037"/>
      <c r="ED257" s="1037"/>
      <c r="EE257" s="1037"/>
      <c r="EF257" s="1037"/>
      <c r="EG257" s="1037"/>
      <c r="EH257" s="1037"/>
      <c r="EI257" s="1037"/>
      <c r="EJ257" s="1037"/>
      <c r="EK257" s="1037"/>
      <c r="EL257" s="1037"/>
      <c r="EM257" s="1037"/>
      <c r="EN257" s="1037"/>
      <c r="EO257" s="1037"/>
      <c r="EP257" s="1037"/>
      <c r="EQ257" s="1037"/>
      <c r="ER257" s="1037"/>
      <c r="ES257" s="1037"/>
      <c r="ET257" s="1037"/>
      <c r="EU257" s="1037"/>
      <c r="EV257" s="1037"/>
      <c r="EW257" s="1037"/>
      <c r="EX257" s="1037"/>
      <c r="EY257" s="1037"/>
      <c r="EZ257" s="1037"/>
      <c r="FA257" s="1037"/>
      <c r="FB257" s="1037"/>
      <c r="FC257" s="1037"/>
      <c r="FD257" s="1037"/>
      <c r="FE257" s="1037"/>
      <c r="FF257" s="1037"/>
      <c r="FG257" s="1037"/>
      <c r="FH257" s="1037"/>
      <c r="FI257" s="1037"/>
      <c r="FJ257" s="1037"/>
      <c r="FK257" s="1037"/>
      <c r="FL257" s="1037"/>
      <c r="FM257" s="1037"/>
      <c r="FN257" s="1037"/>
      <c r="FO257" s="1037"/>
      <c r="FP257" s="1037"/>
      <c r="FQ257" s="1037"/>
      <c r="FR257" s="1037"/>
      <c r="FS257" s="1037"/>
      <c r="FT257" s="1037"/>
      <c r="FU257" s="1037"/>
      <c r="FV257" s="1037"/>
      <c r="FW257" s="1037"/>
      <c r="FX257" s="1037"/>
      <c r="FY257" s="1037"/>
      <c r="FZ257" s="1037"/>
      <c r="GA257" s="1037"/>
      <c r="GB257" s="1037"/>
      <c r="GC257" s="1037"/>
      <c r="GD257" s="1037"/>
      <c r="GE257" s="1037"/>
      <c r="GF257" s="1037"/>
      <c r="GG257" s="1037"/>
      <c r="GH257" s="1037"/>
      <c r="GI257" s="1037"/>
      <c r="GJ257" s="1037"/>
      <c r="GK257" s="1037"/>
      <c r="GL257" s="1037"/>
      <c r="GM257" s="1037"/>
      <c r="GN257" s="1037"/>
      <c r="GO257" s="1037"/>
      <c r="GP257" s="1037"/>
      <c r="GQ257" s="1037"/>
      <c r="GR257" s="1037"/>
      <c r="GS257" s="1037"/>
      <c r="GT257" s="1037"/>
      <c r="GU257" s="1037"/>
      <c r="GV257" s="1037"/>
      <c r="GW257" s="1037"/>
      <c r="GX257" s="1037"/>
      <c r="GY257" s="1037"/>
      <c r="GZ257" s="1037"/>
      <c r="HA257" s="1037"/>
      <c r="HB257" s="1037"/>
      <c r="HC257" s="1037"/>
      <c r="HD257" s="1037"/>
      <c r="HE257" s="1037"/>
      <c r="HF257" s="1037"/>
      <c r="HG257" s="1037"/>
      <c r="HH257" s="1037"/>
      <c r="HI257" s="1037"/>
      <c r="HJ257" s="1037"/>
      <c r="HK257" s="1037"/>
      <c r="HL257" s="1037"/>
      <c r="HM257" s="1037"/>
      <c r="HN257" s="1037"/>
      <c r="HO257" s="1037"/>
      <c r="HP257" s="1037"/>
      <c r="HQ257" s="1037"/>
      <c r="HR257" s="1037"/>
      <c r="HS257" s="1037"/>
      <c r="HT257" s="1037"/>
      <c r="HU257" s="1037"/>
      <c r="HV257" s="1037"/>
      <c r="HW257" s="1037"/>
      <c r="HX257" s="1037"/>
      <c r="HY257" s="1037"/>
      <c r="HZ257" s="1037"/>
      <c r="IA257" s="1037"/>
      <c r="IB257" s="1037"/>
      <c r="IC257" s="1037"/>
      <c r="ID257" s="1037"/>
      <c r="IE257" s="1037"/>
      <c r="IF257" s="1037"/>
      <c r="IG257" s="1037"/>
      <c r="IH257" s="1037"/>
      <c r="II257" s="1037"/>
      <c r="IJ257" s="1037"/>
      <c r="IK257" s="1037"/>
      <c r="IL257" s="1037"/>
      <c r="IM257" s="1037"/>
      <c r="IN257" s="1037"/>
    </row>
    <row r="258" spans="1:248">
      <c r="A258" s="705" t="s">
        <v>19</v>
      </c>
      <c r="B258" s="703">
        <v>5877.6</v>
      </c>
      <c r="C258" s="703">
        <v>29.666119873817038</v>
      </c>
      <c r="D258" s="706">
        <v>3660.4</v>
      </c>
      <c r="E258" s="1038">
        <v>18.475205047318614</v>
      </c>
      <c r="F258" s="1038">
        <v>2217.2000000000003</v>
      </c>
      <c r="G258" s="1038">
        <v>11.190914826498425</v>
      </c>
      <c r="H258" s="464">
        <v>19812.5</v>
      </c>
      <c r="I258" s="1037"/>
      <c r="J258" s="1037"/>
      <c r="K258" s="1037"/>
      <c r="L258" s="1037"/>
      <c r="M258" s="1037"/>
      <c r="N258" s="1037"/>
      <c r="O258" s="1037"/>
      <c r="P258" s="1037"/>
      <c r="Q258" s="1037"/>
      <c r="R258" s="1037"/>
      <c r="S258" s="1037"/>
      <c r="T258" s="1037"/>
      <c r="U258" s="1037"/>
      <c r="V258" s="1037"/>
      <c r="W258" s="1037"/>
      <c r="X258" s="1037"/>
      <c r="Y258" s="1037"/>
      <c r="Z258" s="1037"/>
      <c r="AA258" s="1037"/>
      <c r="AB258" s="1037"/>
      <c r="AC258" s="1037"/>
      <c r="AD258" s="1037"/>
      <c r="AE258" s="1037"/>
      <c r="AF258" s="1037"/>
      <c r="AG258" s="1037"/>
      <c r="AH258" s="1037"/>
      <c r="AI258" s="1037"/>
      <c r="AJ258" s="1037"/>
      <c r="AK258" s="1037"/>
      <c r="AL258" s="1037"/>
      <c r="AM258" s="1037"/>
      <c r="AN258" s="1037"/>
      <c r="AO258" s="1037"/>
      <c r="AP258" s="1037"/>
      <c r="AQ258" s="1037"/>
      <c r="AR258" s="1037"/>
      <c r="AS258" s="1037"/>
      <c r="AT258" s="1037"/>
      <c r="AU258" s="1037"/>
      <c r="AV258" s="1037"/>
      <c r="AW258" s="1037"/>
      <c r="AX258" s="1037"/>
      <c r="AY258" s="1037"/>
      <c r="AZ258" s="1037"/>
      <c r="BA258" s="1037"/>
      <c r="BB258" s="1037"/>
      <c r="BC258" s="1037"/>
      <c r="BD258" s="1037"/>
      <c r="BE258" s="1037"/>
      <c r="BF258" s="1037"/>
      <c r="BG258" s="1037"/>
      <c r="BH258" s="1037"/>
      <c r="BI258" s="1037"/>
      <c r="BJ258" s="1037"/>
      <c r="BK258" s="1037"/>
      <c r="BL258" s="1037"/>
      <c r="BM258" s="1037"/>
      <c r="BN258" s="1037"/>
      <c r="BO258" s="1037"/>
      <c r="BP258" s="1037"/>
      <c r="BQ258" s="1037"/>
      <c r="BR258" s="1037"/>
      <c r="BS258" s="1037"/>
      <c r="BT258" s="1037"/>
      <c r="BU258" s="1037"/>
      <c r="BV258" s="1037"/>
      <c r="BW258" s="1037"/>
      <c r="BX258" s="1037"/>
      <c r="BY258" s="1037"/>
      <c r="BZ258" s="1037"/>
      <c r="CA258" s="1037"/>
      <c r="CB258" s="1037"/>
      <c r="CC258" s="1037"/>
      <c r="CD258" s="1037"/>
      <c r="CE258" s="1037"/>
      <c r="CF258" s="1037"/>
      <c r="CG258" s="1037"/>
      <c r="CH258" s="1037"/>
      <c r="CI258" s="1037"/>
      <c r="CJ258" s="1037"/>
      <c r="CK258" s="1037"/>
      <c r="CL258" s="1037"/>
      <c r="CM258" s="1037"/>
      <c r="CN258" s="1037"/>
      <c r="CO258" s="1037"/>
      <c r="CP258" s="1037"/>
      <c r="CQ258" s="1037"/>
      <c r="CR258" s="1037"/>
      <c r="CS258" s="1037"/>
      <c r="CT258" s="1037"/>
      <c r="CU258" s="1037"/>
      <c r="CV258" s="1037"/>
      <c r="CW258" s="1037"/>
      <c r="CX258" s="1037"/>
      <c r="CY258" s="1037"/>
      <c r="CZ258" s="1037"/>
      <c r="DA258" s="1037"/>
      <c r="DB258" s="1037"/>
      <c r="DC258" s="1037"/>
      <c r="DD258" s="1037"/>
      <c r="DE258" s="1037"/>
      <c r="DF258" s="1037"/>
      <c r="DG258" s="1037"/>
      <c r="DH258" s="1037"/>
      <c r="DI258" s="1037"/>
      <c r="DJ258" s="1037"/>
      <c r="DK258" s="1037"/>
      <c r="DL258" s="1037"/>
      <c r="DM258" s="1037"/>
      <c r="DN258" s="1037"/>
      <c r="DO258" s="1037"/>
      <c r="DP258" s="1037"/>
      <c r="DQ258" s="1037"/>
      <c r="DR258" s="1037"/>
      <c r="DS258" s="1037"/>
      <c r="DT258" s="1037"/>
      <c r="DU258" s="1037"/>
      <c r="DV258" s="1037"/>
      <c r="DW258" s="1037"/>
      <c r="DX258" s="1037"/>
      <c r="DY258" s="1037"/>
      <c r="DZ258" s="1037"/>
      <c r="EA258" s="1037"/>
      <c r="EB258" s="1037"/>
      <c r="EC258" s="1037"/>
      <c r="ED258" s="1037"/>
      <c r="EE258" s="1037"/>
      <c r="EF258" s="1037"/>
      <c r="EG258" s="1037"/>
      <c r="EH258" s="1037"/>
      <c r="EI258" s="1037"/>
      <c r="EJ258" s="1037"/>
      <c r="EK258" s="1037"/>
      <c r="EL258" s="1037"/>
      <c r="EM258" s="1037"/>
      <c r="EN258" s="1037"/>
      <c r="EO258" s="1037"/>
      <c r="EP258" s="1037"/>
      <c r="EQ258" s="1037"/>
      <c r="ER258" s="1037"/>
      <c r="ES258" s="1037"/>
      <c r="ET258" s="1037"/>
      <c r="EU258" s="1037"/>
      <c r="EV258" s="1037"/>
      <c r="EW258" s="1037"/>
      <c r="EX258" s="1037"/>
      <c r="EY258" s="1037"/>
      <c r="EZ258" s="1037"/>
      <c r="FA258" s="1037"/>
      <c r="FB258" s="1037"/>
      <c r="FC258" s="1037"/>
      <c r="FD258" s="1037"/>
      <c r="FE258" s="1037"/>
      <c r="FF258" s="1037"/>
      <c r="FG258" s="1037"/>
      <c r="FH258" s="1037"/>
      <c r="FI258" s="1037"/>
      <c r="FJ258" s="1037"/>
      <c r="FK258" s="1037"/>
      <c r="FL258" s="1037"/>
      <c r="FM258" s="1037"/>
      <c r="FN258" s="1037"/>
      <c r="FO258" s="1037"/>
      <c r="FP258" s="1037"/>
      <c r="FQ258" s="1037"/>
      <c r="FR258" s="1037"/>
      <c r="FS258" s="1037"/>
      <c r="FT258" s="1037"/>
      <c r="FU258" s="1037"/>
      <c r="FV258" s="1037"/>
      <c r="FW258" s="1037"/>
      <c r="FX258" s="1037"/>
      <c r="FY258" s="1037"/>
      <c r="FZ258" s="1037"/>
      <c r="GA258" s="1037"/>
      <c r="GB258" s="1037"/>
      <c r="GC258" s="1037"/>
      <c r="GD258" s="1037"/>
      <c r="GE258" s="1037"/>
      <c r="GF258" s="1037"/>
      <c r="GG258" s="1037"/>
      <c r="GH258" s="1037"/>
      <c r="GI258" s="1037"/>
      <c r="GJ258" s="1037"/>
      <c r="GK258" s="1037"/>
      <c r="GL258" s="1037"/>
      <c r="GM258" s="1037"/>
      <c r="GN258" s="1037"/>
      <c r="GO258" s="1037"/>
      <c r="GP258" s="1037"/>
      <c r="GQ258" s="1037"/>
      <c r="GR258" s="1037"/>
      <c r="GS258" s="1037"/>
      <c r="GT258" s="1037"/>
      <c r="GU258" s="1037"/>
      <c r="GV258" s="1037"/>
      <c r="GW258" s="1037"/>
      <c r="GX258" s="1037"/>
      <c r="GY258" s="1037"/>
      <c r="GZ258" s="1037"/>
      <c r="HA258" s="1037"/>
      <c r="HB258" s="1037"/>
      <c r="HC258" s="1037"/>
      <c r="HD258" s="1037"/>
      <c r="HE258" s="1037"/>
      <c r="HF258" s="1037"/>
      <c r="HG258" s="1037"/>
      <c r="HH258" s="1037"/>
      <c r="HI258" s="1037"/>
      <c r="HJ258" s="1037"/>
      <c r="HK258" s="1037"/>
      <c r="HL258" s="1037"/>
      <c r="HM258" s="1037"/>
      <c r="HN258" s="1037"/>
      <c r="HO258" s="1037"/>
      <c r="HP258" s="1037"/>
      <c r="HQ258" s="1037"/>
      <c r="HR258" s="1037"/>
      <c r="HS258" s="1037"/>
      <c r="HT258" s="1037"/>
      <c r="HU258" s="1037"/>
      <c r="HV258" s="1037"/>
      <c r="HW258" s="1037"/>
      <c r="HX258" s="1037"/>
      <c r="HY258" s="1037"/>
      <c r="HZ258" s="1037"/>
      <c r="IA258" s="1037"/>
      <c r="IB258" s="1037"/>
      <c r="IC258" s="1037"/>
      <c r="ID258" s="1037"/>
      <c r="IE258" s="1037"/>
      <c r="IF258" s="1037"/>
      <c r="IG258" s="1037"/>
      <c r="IH258" s="1037"/>
      <c r="II258" s="1037"/>
      <c r="IJ258" s="1037"/>
      <c r="IK258" s="1037"/>
      <c r="IL258" s="1037"/>
      <c r="IM258" s="1037"/>
      <c r="IN258" s="1037"/>
    </row>
    <row r="259" spans="1:248">
      <c r="A259" s="705" t="s">
        <v>20</v>
      </c>
      <c r="B259" s="703">
        <v>8290</v>
      </c>
      <c r="C259" s="703">
        <v>27.350167928051572</v>
      </c>
      <c r="D259" s="706">
        <v>6567</v>
      </c>
      <c r="E259" s="1038">
        <v>21.665687911159793</v>
      </c>
      <c r="F259" s="1038">
        <v>1723</v>
      </c>
      <c r="G259" s="1038">
        <v>5.6844800168917802</v>
      </c>
      <c r="H259" s="464">
        <v>30310.6</v>
      </c>
      <c r="I259" s="1037"/>
      <c r="J259" s="1037"/>
      <c r="K259" s="1037"/>
      <c r="L259" s="1037"/>
      <c r="M259" s="1037"/>
      <c r="N259" s="1037"/>
      <c r="O259" s="1037"/>
      <c r="P259" s="1037"/>
      <c r="Q259" s="1037"/>
      <c r="R259" s="1037"/>
      <c r="S259" s="1037"/>
      <c r="T259" s="1037"/>
      <c r="U259" s="1037"/>
      <c r="V259" s="1037"/>
      <c r="W259" s="1037"/>
      <c r="X259" s="1037"/>
      <c r="Y259" s="1037"/>
      <c r="Z259" s="1037"/>
      <c r="AA259" s="1037"/>
      <c r="AB259" s="1037"/>
      <c r="AC259" s="1037"/>
      <c r="AD259" s="1037"/>
      <c r="AE259" s="1037"/>
      <c r="AF259" s="1037"/>
      <c r="AG259" s="1037"/>
      <c r="AH259" s="1037"/>
      <c r="AI259" s="1037"/>
      <c r="AJ259" s="1037"/>
      <c r="AK259" s="1037"/>
      <c r="AL259" s="1037"/>
      <c r="AM259" s="1037"/>
      <c r="AN259" s="1037"/>
      <c r="AO259" s="1037"/>
      <c r="AP259" s="1037"/>
      <c r="AQ259" s="1037"/>
      <c r="AR259" s="1037"/>
      <c r="AS259" s="1037"/>
      <c r="AT259" s="1037"/>
      <c r="AU259" s="1037"/>
      <c r="AV259" s="1037"/>
      <c r="AW259" s="1037"/>
      <c r="AX259" s="1037"/>
      <c r="AY259" s="1037"/>
      <c r="AZ259" s="1037"/>
      <c r="BA259" s="1037"/>
      <c r="BB259" s="1037"/>
      <c r="BC259" s="1037"/>
      <c r="BD259" s="1037"/>
      <c r="BE259" s="1037"/>
      <c r="BF259" s="1037"/>
      <c r="BG259" s="1037"/>
      <c r="BH259" s="1037"/>
      <c r="BI259" s="1037"/>
      <c r="BJ259" s="1037"/>
      <c r="BK259" s="1037"/>
      <c r="BL259" s="1037"/>
      <c r="BM259" s="1037"/>
      <c r="BN259" s="1037"/>
      <c r="BO259" s="1037"/>
      <c r="BP259" s="1037"/>
      <c r="BQ259" s="1037"/>
      <c r="BR259" s="1037"/>
      <c r="BS259" s="1037"/>
      <c r="BT259" s="1037"/>
      <c r="BU259" s="1037"/>
      <c r="BV259" s="1037"/>
      <c r="BW259" s="1037"/>
      <c r="BX259" s="1037"/>
      <c r="BY259" s="1037"/>
      <c r="BZ259" s="1037"/>
      <c r="CA259" s="1037"/>
      <c r="CB259" s="1037"/>
      <c r="CC259" s="1037"/>
      <c r="CD259" s="1037"/>
      <c r="CE259" s="1037"/>
      <c r="CF259" s="1037"/>
      <c r="CG259" s="1037"/>
      <c r="CH259" s="1037"/>
      <c r="CI259" s="1037"/>
      <c r="CJ259" s="1037"/>
      <c r="CK259" s="1037"/>
      <c r="CL259" s="1037"/>
      <c r="CM259" s="1037"/>
      <c r="CN259" s="1037"/>
      <c r="CO259" s="1037"/>
      <c r="CP259" s="1037"/>
      <c r="CQ259" s="1037"/>
      <c r="CR259" s="1037"/>
      <c r="CS259" s="1037"/>
      <c r="CT259" s="1037"/>
      <c r="CU259" s="1037"/>
      <c r="CV259" s="1037"/>
      <c r="CW259" s="1037"/>
      <c r="CX259" s="1037"/>
      <c r="CY259" s="1037"/>
      <c r="CZ259" s="1037"/>
      <c r="DA259" s="1037"/>
      <c r="DB259" s="1037"/>
      <c r="DC259" s="1037"/>
      <c r="DD259" s="1037"/>
      <c r="DE259" s="1037"/>
      <c r="DF259" s="1037"/>
      <c r="DG259" s="1037"/>
      <c r="DH259" s="1037"/>
      <c r="DI259" s="1037"/>
      <c r="DJ259" s="1037"/>
      <c r="DK259" s="1037"/>
      <c r="DL259" s="1037"/>
      <c r="DM259" s="1037"/>
      <c r="DN259" s="1037"/>
      <c r="DO259" s="1037"/>
      <c r="DP259" s="1037"/>
      <c r="DQ259" s="1037"/>
      <c r="DR259" s="1037"/>
      <c r="DS259" s="1037"/>
      <c r="DT259" s="1037"/>
      <c r="DU259" s="1037"/>
      <c r="DV259" s="1037"/>
      <c r="DW259" s="1037"/>
      <c r="DX259" s="1037"/>
      <c r="DY259" s="1037"/>
      <c r="DZ259" s="1037"/>
      <c r="EA259" s="1037"/>
      <c r="EB259" s="1037"/>
      <c r="EC259" s="1037"/>
      <c r="ED259" s="1037"/>
      <c r="EE259" s="1037"/>
      <c r="EF259" s="1037"/>
      <c r="EG259" s="1037"/>
      <c r="EH259" s="1037"/>
      <c r="EI259" s="1037"/>
      <c r="EJ259" s="1037"/>
      <c r="EK259" s="1037"/>
      <c r="EL259" s="1037"/>
      <c r="EM259" s="1037"/>
      <c r="EN259" s="1037"/>
      <c r="EO259" s="1037"/>
      <c r="EP259" s="1037"/>
      <c r="EQ259" s="1037"/>
      <c r="ER259" s="1037"/>
      <c r="ES259" s="1037"/>
      <c r="ET259" s="1037"/>
      <c r="EU259" s="1037"/>
      <c r="EV259" s="1037"/>
      <c r="EW259" s="1037"/>
      <c r="EX259" s="1037"/>
      <c r="EY259" s="1037"/>
      <c r="EZ259" s="1037"/>
      <c r="FA259" s="1037"/>
      <c r="FB259" s="1037"/>
      <c r="FC259" s="1037"/>
      <c r="FD259" s="1037"/>
      <c r="FE259" s="1037"/>
      <c r="FF259" s="1037"/>
      <c r="FG259" s="1037"/>
      <c r="FH259" s="1037"/>
      <c r="FI259" s="1037"/>
      <c r="FJ259" s="1037"/>
      <c r="FK259" s="1037"/>
      <c r="FL259" s="1037"/>
      <c r="FM259" s="1037"/>
      <c r="FN259" s="1037"/>
      <c r="FO259" s="1037"/>
      <c r="FP259" s="1037"/>
      <c r="FQ259" s="1037"/>
      <c r="FR259" s="1037"/>
      <c r="FS259" s="1037"/>
      <c r="FT259" s="1037"/>
      <c r="FU259" s="1037"/>
      <c r="FV259" s="1037"/>
      <c r="FW259" s="1037"/>
      <c r="FX259" s="1037"/>
      <c r="FY259" s="1037"/>
      <c r="FZ259" s="1037"/>
      <c r="GA259" s="1037"/>
      <c r="GB259" s="1037"/>
      <c r="GC259" s="1037"/>
      <c r="GD259" s="1037"/>
      <c r="GE259" s="1037"/>
      <c r="GF259" s="1037"/>
      <c r="GG259" s="1037"/>
      <c r="GH259" s="1037"/>
      <c r="GI259" s="1037"/>
      <c r="GJ259" s="1037"/>
      <c r="GK259" s="1037"/>
      <c r="GL259" s="1037"/>
      <c r="GM259" s="1037"/>
      <c r="GN259" s="1037"/>
      <c r="GO259" s="1037"/>
      <c r="GP259" s="1037"/>
      <c r="GQ259" s="1037"/>
      <c r="GR259" s="1037"/>
      <c r="GS259" s="1037"/>
      <c r="GT259" s="1037"/>
      <c r="GU259" s="1037"/>
      <c r="GV259" s="1037"/>
      <c r="GW259" s="1037"/>
      <c r="GX259" s="1037"/>
      <c r="GY259" s="1037"/>
      <c r="GZ259" s="1037"/>
      <c r="HA259" s="1037"/>
      <c r="HB259" s="1037"/>
      <c r="HC259" s="1037"/>
      <c r="HD259" s="1037"/>
      <c r="HE259" s="1037"/>
      <c r="HF259" s="1037"/>
      <c r="HG259" s="1037"/>
      <c r="HH259" s="1037"/>
      <c r="HI259" s="1037"/>
      <c r="HJ259" s="1037"/>
      <c r="HK259" s="1037"/>
      <c r="HL259" s="1037"/>
      <c r="HM259" s="1037"/>
      <c r="HN259" s="1037"/>
      <c r="HO259" s="1037"/>
      <c r="HP259" s="1037"/>
      <c r="HQ259" s="1037"/>
      <c r="HR259" s="1037"/>
      <c r="HS259" s="1037"/>
      <c r="HT259" s="1037"/>
      <c r="HU259" s="1037"/>
      <c r="HV259" s="1037"/>
      <c r="HW259" s="1037"/>
      <c r="HX259" s="1037"/>
      <c r="HY259" s="1037"/>
      <c r="HZ259" s="1037"/>
      <c r="IA259" s="1037"/>
      <c r="IB259" s="1037"/>
      <c r="IC259" s="1037"/>
      <c r="ID259" s="1037"/>
      <c r="IE259" s="1037"/>
      <c r="IF259" s="1037"/>
      <c r="IG259" s="1037"/>
      <c r="IH259" s="1037"/>
      <c r="II259" s="1037"/>
      <c r="IJ259" s="1037"/>
      <c r="IK259" s="1037"/>
      <c r="IL259" s="1037"/>
      <c r="IM259" s="1037"/>
      <c r="IN259" s="1037"/>
    </row>
    <row r="260" spans="1:248">
      <c r="A260" s="705" t="s">
        <v>21</v>
      </c>
      <c r="B260" s="703">
        <v>12165</v>
      </c>
      <c r="C260" s="703">
        <v>30.422767684093383</v>
      </c>
      <c r="D260" s="706">
        <v>8929.7999999999993</v>
      </c>
      <c r="E260" s="1038">
        <v>22.332037062508594</v>
      </c>
      <c r="F260" s="1038">
        <v>3235.2000000000007</v>
      </c>
      <c r="G260" s="1038">
        <v>8.0907306215847861</v>
      </c>
      <c r="H260" s="464">
        <v>39986.5</v>
      </c>
      <c r="I260" s="1037"/>
      <c r="J260" s="1037"/>
      <c r="K260" s="1037"/>
      <c r="L260" s="1037"/>
      <c r="M260" s="1037"/>
      <c r="N260" s="1037"/>
      <c r="O260" s="1037"/>
      <c r="P260" s="1037"/>
      <c r="Q260" s="1037"/>
      <c r="R260" s="1037"/>
      <c r="S260" s="1037"/>
      <c r="T260" s="1037"/>
      <c r="U260" s="1037"/>
      <c r="V260" s="1037"/>
      <c r="W260" s="1037"/>
      <c r="X260" s="1037"/>
      <c r="Y260" s="1037"/>
      <c r="Z260" s="1037"/>
      <c r="AA260" s="1037"/>
      <c r="AB260" s="1037"/>
      <c r="AC260" s="1037"/>
      <c r="AD260" s="1037"/>
      <c r="AE260" s="1037"/>
      <c r="AF260" s="1037"/>
      <c r="AG260" s="1037"/>
      <c r="AH260" s="1037"/>
      <c r="AI260" s="1037"/>
      <c r="AJ260" s="1037"/>
      <c r="AK260" s="1037"/>
      <c r="AL260" s="1037"/>
      <c r="AM260" s="1037"/>
      <c r="AN260" s="1037"/>
      <c r="AO260" s="1037"/>
      <c r="AP260" s="1037"/>
      <c r="AQ260" s="1037"/>
      <c r="AR260" s="1037"/>
      <c r="AS260" s="1037"/>
      <c r="AT260" s="1037"/>
      <c r="AU260" s="1037"/>
      <c r="AV260" s="1037"/>
      <c r="AW260" s="1037"/>
      <c r="AX260" s="1037"/>
      <c r="AY260" s="1037"/>
      <c r="AZ260" s="1037"/>
      <c r="BA260" s="1037"/>
      <c r="BB260" s="1037"/>
      <c r="BC260" s="1037"/>
      <c r="BD260" s="1037"/>
      <c r="BE260" s="1037"/>
      <c r="BF260" s="1037"/>
      <c r="BG260" s="1037"/>
      <c r="BH260" s="1037"/>
      <c r="BI260" s="1037"/>
      <c r="BJ260" s="1037"/>
      <c r="BK260" s="1037"/>
      <c r="BL260" s="1037"/>
      <c r="BM260" s="1037"/>
      <c r="BN260" s="1037"/>
      <c r="BO260" s="1037"/>
      <c r="BP260" s="1037"/>
      <c r="BQ260" s="1037"/>
      <c r="BR260" s="1037"/>
      <c r="BS260" s="1037"/>
      <c r="BT260" s="1037"/>
      <c r="BU260" s="1037"/>
      <c r="BV260" s="1037"/>
      <c r="BW260" s="1037"/>
      <c r="BX260" s="1037"/>
      <c r="BY260" s="1037"/>
      <c r="BZ260" s="1037"/>
      <c r="CA260" s="1037"/>
      <c r="CB260" s="1037"/>
      <c r="CC260" s="1037"/>
      <c r="CD260" s="1037"/>
      <c r="CE260" s="1037"/>
      <c r="CF260" s="1037"/>
      <c r="CG260" s="1037"/>
      <c r="CH260" s="1037"/>
      <c r="CI260" s="1037"/>
      <c r="CJ260" s="1037"/>
      <c r="CK260" s="1037"/>
      <c r="CL260" s="1037"/>
      <c r="CM260" s="1037"/>
      <c r="CN260" s="1037"/>
      <c r="CO260" s="1037"/>
      <c r="CP260" s="1037"/>
      <c r="CQ260" s="1037"/>
      <c r="CR260" s="1037"/>
      <c r="CS260" s="1037"/>
      <c r="CT260" s="1037"/>
      <c r="CU260" s="1037"/>
      <c r="CV260" s="1037"/>
      <c r="CW260" s="1037"/>
      <c r="CX260" s="1037"/>
      <c r="CY260" s="1037"/>
      <c r="CZ260" s="1037"/>
      <c r="DA260" s="1037"/>
      <c r="DB260" s="1037"/>
      <c r="DC260" s="1037"/>
      <c r="DD260" s="1037"/>
      <c r="DE260" s="1037"/>
      <c r="DF260" s="1037"/>
      <c r="DG260" s="1037"/>
      <c r="DH260" s="1037"/>
      <c r="DI260" s="1037"/>
      <c r="DJ260" s="1037"/>
      <c r="DK260" s="1037"/>
      <c r="DL260" s="1037"/>
      <c r="DM260" s="1037"/>
      <c r="DN260" s="1037"/>
      <c r="DO260" s="1037"/>
      <c r="DP260" s="1037"/>
      <c r="DQ260" s="1037"/>
      <c r="DR260" s="1037"/>
      <c r="DS260" s="1037"/>
      <c r="DT260" s="1037"/>
      <c r="DU260" s="1037"/>
      <c r="DV260" s="1037"/>
      <c r="DW260" s="1037"/>
      <c r="DX260" s="1037"/>
      <c r="DY260" s="1037"/>
      <c r="DZ260" s="1037"/>
      <c r="EA260" s="1037"/>
      <c r="EB260" s="1037"/>
      <c r="EC260" s="1037"/>
      <c r="ED260" s="1037"/>
      <c r="EE260" s="1037"/>
      <c r="EF260" s="1037"/>
      <c r="EG260" s="1037"/>
      <c r="EH260" s="1037"/>
      <c r="EI260" s="1037"/>
      <c r="EJ260" s="1037"/>
      <c r="EK260" s="1037"/>
      <c r="EL260" s="1037"/>
      <c r="EM260" s="1037"/>
      <c r="EN260" s="1037"/>
      <c r="EO260" s="1037"/>
      <c r="EP260" s="1037"/>
      <c r="EQ260" s="1037"/>
      <c r="ER260" s="1037"/>
      <c r="ES260" s="1037"/>
      <c r="ET260" s="1037"/>
      <c r="EU260" s="1037"/>
      <c r="EV260" s="1037"/>
      <c r="EW260" s="1037"/>
      <c r="EX260" s="1037"/>
      <c r="EY260" s="1037"/>
      <c r="EZ260" s="1037"/>
      <c r="FA260" s="1037"/>
      <c r="FB260" s="1037"/>
      <c r="FC260" s="1037"/>
      <c r="FD260" s="1037"/>
      <c r="FE260" s="1037"/>
      <c r="FF260" s="1037"/>
      <c r="FG260" s="1037"/>
      <c r="FH260" s="1037"/>
      <c r="FI260" s="1037"/>
      <c r="FJ260" s="1037"/>
      <c r="FK260" s="1037"/>
      <c r="FL260" s="1037"/>
      <c r="FM260" s="1037"/>
      <c r="FN260" s="1037"/>
      <c r="FO260" s="1037"/>
      <c r="FP260" s="1037"/>
      <c r="FQ260" s="1037"/>
      <c r="FR260" s="1037"/>
      <c r="FS260" s="1037"/>
      <c r="FT260" s="1037"/>
      <c r="FU260" s="1037"/>
      <c r="FV260" s="1037"/>
      <c r="FW260" s="1037"/>
      <c r="FX260" s="1037"/>
      <c r="FY260" s="1037"/>
      <c r="FZ260" s="1037"/>
      <c r="GA260" s="1037"/>
      <c r="GB260" s="1037"/>
      <c r="GC260" s="1037"/>
      <c r="GD260" s="1037"/>
      <c r="GE260" s="1037"/>
      <c r="GF260" s="1037"/>
      <c r="GG260" s="1037"/>
      <c r="GH260" s="1037"/>
      <c r="GI260" s="1037"/>
      <c r="GJ260" s="1037"/>
      <c r="GK260" s="1037"/>
      <c r="GL260" s="1037"/>
      <c r="GM260" s="1037"/>
      <c r="GN260" s="1037"/>
      <c r="GO260" s="1037"/>
      <c r="GP260" s="1037"/>
      <c r="GQ260" s="1037"/>
      <c r="GR260" s="1037"/>
      <c r="GS260" s="1037"/>
      <c r="GT260" s="1037"/>
      <c r="GU260" s="1037"/>
      <c r="GV260" s="1037"/>
      <c r="GW260" s="1037"/>
      <c r="GX260" s="1037"/>
      <c r="GY260" s="1037"/>
      <c r="GZ260" s="1037"/>
      <c r="HA260" s="1037"/>
      <c r="HB260" s="1037"/>
      <c r="HC260" s="1037"/>
      <c r="HD260" s="1037"/>
      <c r="HE260" s="1037"/>
      <c r="HF260" s="1037"/>
      <c r="HG260" s="1037"/>
      <c r="HH260" s="1037"/>
      <c r="HI260" s="1037"/>
      <c r="HJ260" s="1037"/>
      <c r="HK260" s="1037"/>
      <c r="HL260" s="1037"/>
      <c r="HM260" s="1037"/>
      <c r="HN260" s="1037"/>
      <c r="HO260" s="1037"/>
      <c r="HP260" s="1037"/>
      <c r="HQ260" s="1037"/>
      <c r="HR260" s="1037"/>
      <c r="HS260" s="1037"/>
      <c r="HT260" s="1037"/>
      <c r="HU260" s="1037"/>
      <c r="HV260" s="1037"/>
      <c r="HW260" s="1037"/>
      <c r="HX260" s="1037"/>
      <c r="HY260" s="1037"/>
      <c r="HZ260" s="1037"/>
      <c r="IA260" s="1037"/>
      <c r="IB260" s="1037"/>
      <c r="IC260" s="1037"/>
      <c r="ID260" s="1037"/>
      <c r="IE260" s="1037"/>
      <c r="IF260" s="1037"/>
      <c r="IG260" s="1037"/>
      <c r="IH260" s="1037"/>
      <c r="II260" s="1037"/>
      <c r="IJ260" s="1037"/>
      <c r="IK260" s="1037"/>
      <c r="IL260" s="1037"/>
      <c r="IM260" s="1037"/>
      <c r="IN260" s="1037"/>
    </row>
    <row r="261" spans="1:248">
      <c r="A261" s="705" t="s">
        <v>22</v>
      </c>
      <c r="B261" s="703">
        <v>13961</v>
      </c>
      <c r="C261" s="703">
        <v>28.158077320253</v>
      </c>
      <c r="D261" s="706">
        <v>11142.4</v>
      </c>
      <c r="E261" s="1038">
        <v>22.473215438234153</v>
      </c>
      <c r="F261" s="1038">
        <v>2818.6000000000004</v>
      </c>
      <c r="G261" s="1038">
        <v>5.6848618820188461</v>
      </c>
      <c r="H261" s="464">
        <v>49580.800000000003</v>
      </c>
      <c r="I261" s="1037"/>
      <c r="J261" s="1037"/>
      <c r="K261" s="1037"/>
      <c r="L261" s="1037"/>
      <c r="M261" s="1037"/>
      <c r="N261" s="1037"/>
      <c r="O261" s="1037"/>
      <c r="P261" s="1037"/>
      <c r="Q261" s="1037"/>
      <c r="R261" s="1037"/>
      <c r="S261" s="1037"/>
      <c r="T261" s="1037"/>
      <c r="U261" s="1037"/>
      <c r="V261" s="1037"/>
      <c r="W261" s="1037"/>
      <c r="X261" s="1037"/>
      <c r="Y261" s="1037"/>
      <c r="Z261" s="1037"/>
      <c r="AA261" s="1037"/>
      <c r="AB261" s="1037"/>
      <c r="AC261" s="1037"/>
      <c r="AD261" s="1037"/>
      <c r="AE261" s="1037"/>
      <c r="AF261" s="1037"/>
      <c r="AG261" s="1037"/>
      <c r="AH261" s="1037"/>
      <c r="AI261" s="1037"/>
      <c r="AJ261" s="1037"/>
      <c r="AK261" s="1037"/>
      <c r="AL261" s="1037"/>
      <c r="AM261" s="1037"/>
      <c r="AN261" s="1037"/>
      <c r="AO261" s="1037"/>
      <c r="AP261" s="1037"/>
      <c r="AQ261" s="1037"/>
      <c r="AR261" s="1037"/>
      <c r="AS261" s="1037"/>
      <c r="AT261" s="1037"/>
      <c r="AU261" s="1037"/>
      <c r="AV261" s="1037"/>
      <c r="AW261" s="1037"/>
      <c r="AX261" s="1037"/>
      <c r="AY261" s="1037"/>
      <c r="AZ261" s="1037"/>
      <c r="BA261" s="1037"/>
      <c r="BB261" s="1037"/>
      <c r="BC261" s="1037"/>
      <c r="BD261" s="1037"/>
      <c r="BE261" s="1037"/>
      <c r="BF261" s="1037"/>
      <c r="BG261" s="1037"/>
      <c r="BH261" s="1037"/>
      <c r="BI261" s="1037"/>
      <c r="BJ261" s="1037"/>
      <c r="BK261" s="1037"/>
      <c r="BL261" s="1037"/>
      <c r="BM261" s="1037"/>
      <c r="BN261" s="1037"/>
      <c r="BO261" s="1037"/>
      <c r="BP261" s="1037"/>
      <c r="BQ261" s="1037"/>
      <c r="BR261" s="1037"/>
      <c r="BS261" s="1037"/>
      <c r="BT261" s="1037"/>
      <c r="BU261" s="1037"/>
      <c r="BV261" s="1037"/>
      <c r="BW261" s="1037"/>
      <c r="BX261" s="1037"/>
      <c r="BY261" s="1037"/>
      <c r="BZ261" s="1037"/>
      <c r="CA261" s="1037"/>
      <c r="CB261" s="1037"/>
      <c r="CC261" s="1037"/>
      <c r="CD261" s="1037"/>
      <c r="CE261" s="1037"/>
      <c r="CF261" s="1037"/>
      <c r="CG261" s="1037"/>
      <c r="CH261" s="1037"/>
      <c r="CI261" s="1037"/>
      <c r="CJ261" s="1037"/>
      <c r="CK261" s="1037"/>
      <c r="CL261" s="1037"/>
      <c r="CM261" s="1037"/>
      <c r="CN261" s="1037"/>
      <c r="CO261" s="1037"/>
      <c r="CP261" s="1037"/>
      <c r="CQ261" s="1037"/>
      <c r="CR261" s="1037"/>
      <c r="CS261" s="1037"/>
      <c r="CT261" s="1037"/>
      <c r="CU261" s="1037"/>
      <c r="CV261" s="1037"/>
      <c r="CW261" s="1037"/>
      <c r="CX261" s="1037"/>
      <c r="CY261" s="1037"/>
      <c r="CZ261" s="1037"/>
      <c r="DA261" s="1037"/>
      <c r="DB261" s="1037"/>
      <c r="DC261" s="1037"/>
      <c r="DD261" s="1037"/>
      <c r="DE261" s="1037"/>
      <c r="DF261" s="1037"/>
      <c r="DG261" s="1037"/>
      <c r="DH261" s="1037"/>
      <c r="DI261" s="1037"/>
      <c r="DJ261" s="1037"/>
      <c r="DK261" s="1037"/>
      <c r="DL261" s="1037"/>
      <c r="DM261" s="1037"/>
      <c r="DN261" s="1037"/>
      <c r="DO261" s="1037"/>
      <c r="DP261" s="1037"/>
      <c r="DQ261" s="1037"/>
      <c r="DR261" s="1037"/>
      <c r="DS261" s="1037"/>
      <c r="DT261" s="1037"/>
      <c r="DU261" s="1037"/>
      <c r="DV261" s="1037"/>
      <c r="DW261" s="1037"/>
      <c r="DX261" s="1037"/>
      <c r="DY261" s="1037"/>
      <c r="DZ261" s="1037"/>
      <c r="EA261" s="1037"/>
      <c r="EB261" s="1037"/>
      <c r="EC261" s="1037"/>
      <c r="ED261" s="1037"/>
      <c r="EE261" s="1037"/>
      <c r="EF261" s="1037"/>
      <c r="EG261" s="1037"/>
      <c r="EH261" s="1037"/>
      <c r="EI261" s="1037"/>
      <c r="EJ261" s="1037"/>
      <c r="EK261" s="1037"/>
      <c r="EL261" s="1037"/>
      <c r="EM261" s="1037"/>
      <c r="EN261" s="1037"/>
      <c r="EO261" s="1037"/>
      <c r="EP261" s="1037"/>
      <c r="EQ261" s="1037"/>
      <c r="ER261" s="1037"/>
      <c r="ES261" s="1037"/>
      <c r="ET261" s="1037"/>
      <c r="EU261" s="1037"/>
      <c r="EV261" s="1037"/>
      <c r="EW261" s="1037"/>
      <c r="EX261" s="1037"/>
      <c r="EY261" s="1037"/>
      <c r="EZ261" s="1037"/>
      <c r="FA261" s="1037"/>
      <c r="FB261" s="1037"/>
      <c r="FC261" s="1037"/>
      <c r="FD261" s="1037"/>
      <c r="FE261" s="1037"/>
      <c r="FF261" s="1037"/>
      <c r="FG261" s="1037"/>
      <c r="FH261" s="1037"/>
      <c r="FI261" s="1037"/>
      <c r="FJ261" s="1037"/>
      <c r="FK261" s="1037"/>
      <c r="FL261" s="1037"/>
      <c r="FM261" s="1037"/>
      <c r="FN261" s="1037"/>
      <c r="FO261" s="1037"/>
      <c r="FP261" s="1037"/>
      <c r="FQ261" s="1037"/>
      <c r="FR261" s="1037"/>
      <c r="FS261" s="1037"/>
      <c r="FT261" s="1037"/>
      <c r="FU261" s="1037"/>
      <c r="FV261" s="1037"/>
      <c r="FW261" s="1037"/>
      <c r="FX261" s="1037"/>
      <c r="FY261" s="1037"/>
      <c r="FZ261" s="1037"/>
      <c r="GA261" s="1037"/>
      <c r="GB261" s="1037"/>
      <c r="GC261" s="1037"/>
      <c r="GD261" s="1037"/>
      <c r="GE261" s="1037"/>
      <c r="GF261" s="1037"/>
      <c r="GG261" s="1037"/>
      <c r="GH261" s="1037"/>
      <c r="GI261" s="1037"/>
      <c r="GJ261" s="1037"/>
      <c r="GK261" s="1037"/>
      <c r="GL261" s="1037"/>
      <c r="GM261" s="1037"/>
      <c r="GN261" s="1037"/>
      <c r="GO261" s="1037"/>
      <c r="GP261" s="1037"/>
      <c r="GQ261" s="1037"/>
      <c r="GR261" s="1037"/>
      <c r="GS261" s="1037"/>
      <c r="GT261" s="1037"/>
      <c r="GU261" s="1037"/>
      <c r="GV261" s="1037"/>
      <c r="GW261" s="1037"/>
      <c r="GX261" s="1037"/>
      <c r="GY261" s="1037"/>
      <c r="GZ261" s="1037"/>
      <c r="HA261" s="1037"/>
      <c r="HB261" s="1037"/>
      <c r="HC261" s="1037"/>
      <c r="HD261" s="1037"/>
      <c r="HE261" s="1037"/>
      <c r="HF261" s="1037"/>
      <c r="HG261" s="1037"/>
      <c r="HH261" s="1037"/>
      <c r="HI261" s="1037"/>
      <c r="HJ261" s="1037"/>
      <c r="HK261" s="1037"/>
      <c r="HL261" s="1037"/>
      <c r="HM261" s="1037"/>
      <c r="HN261" s="1037"/>
      <c r="HO261" s="1037"/>
      <c r="HP261" s="1037"/>
      <c r="HQ261" s="1037"/>
      <c r="HR261" s="1037"/>
      <c r="HS261" s="1037"/>
      <c r="HT261" s="1037"/>
      <c r="HU261" s="1037"/>
      <c r="HV261" s="1037"/>
      <c r="HW261" s="1037"/>
      <c r="HX261" s="1037"/>
      <c r="HY261" s="1037"/>
      <c r="HZ261" s="1037"/>
      <c r="IA261" s="1037"/>
      <c r="IB261" s="1037"/>
      <c r="IC261" s="1037"/>
      <c r="ID261" s="1037"/>
      <c r="IE261" s="1037"/>
      <c r="IF261" s="1037"/>
      <c r="IG261" s="1037"/>
      <c r="IH261" s="1037"/>
      <c r="II261" s="1037"/>
      <c r="IJ261" s="1037"/>
      <c r="IK261" s="1037"/>
      <c r="IL261" s="1037"/>
      <c r="IM261" s="1037"/>
      <c r="IN261" s="1037"/>
    </row>
    <row r="262" spans="1:248">
      <c r="A262" s="705" t="s">
        <v>23</v>
      </c>
      <c r="B262" s="703">
        <v>15480</v>
      </c>
      <c r="C262" s="703">
        <v>25.670747784903014</v>
      </c>
      <c r="D262" s="706">
        <v>14063.3</v>
      </c>
      <c r="E262" s="1038">
        <v>23.321410033813084</v>
      </c>
      <c r="F262" s="1038">
        <v>1416.7000000000007</v>
      </c>
      <c r="G262" s="1038">
        <v>2.34933775108993</v>
      </c>
      <c r="H262" s="464">
        <v>60302.1</v>
      </c>
      <c r="I262" s="1037"/>
      <c r="J262" s="1037"/>
      <c r="K262" s="1037"/>
      <c r="L262" s="1037"/>
      <c r="M262" s="1037"/>
      <c r="N262" s="1037"/>
      <c r="O262" s="1037"/>
      <c r="P262" s="1037"/>
      <c r="Q262" s="1037"/>
      <c r="R262" s="1037"/>
      <c r="S262" s="1037"/>
      <c r="T262" s="1037"/>
      <c r="U262" s="1037"/>
      <c r="V262" s="1037"/>
      <c r="W262" s="1037"/>
      <c r="X262" s="1037"/>
      <c r="Y262" s="1037"/>
      <c r="Z262" s="1037"/>
      <c r="AA262" s="1037"/>
      <c r="AB262" s="1037"/>
      <c r="AC262" s="1037"/>
      <c r="AD262" s="1037"/>
      <c r="AE262" s="1037"/>
      <c r="AF262" s="1037"/>
      <c r="AG262" s="1037"/>
      <c r="AH262" s="1037"/>
      <c r="AI262" s="1037"/>
      <c r="AJ262" s="1037"/>
      <c r="AK262" s="1037"/>
      <c r="AL262" s="1037"/>
      <c r="AM262" s="1037"/>
      <c r="AN262" s="1037"/>
      <c r="AO262" s="1037"/>
      <c r="AP262" s="1037"/>
      <c r="AQ262" s="1037"/>
      <c r="AR262" s="1037"/>
      <c r="AS262" s="1037"/>
      <c r="AT262" s="1037"/>
      <c r="AU262" s="1037"/>
      <c r="AV262" s="1037"/>
      <c r="AW262" s="1037"/>
      <c r="AX262" s="1037"/>
      <c r="AY262" s="1037"/>
      <c r="AZ262" s="1037"/>
      <c r="BA262" s="1037"/>
      <c r="BB262" s="1037"/>
      <c r="BC262" s="1037"/>
      <c r="BD262" s="1037"/>
      <c r="BE262" s="1037"/>
      <c r="BF262" s="1037"/>
      <c r="BG262" s="1037"/>
      <c r="BH262" s="1037"/>
      <c r="BI262" s="1037"/>
      <c r="BJ262" s="1037"/>
      <c r="BK262" s="1037"/>
      <c r="BL262" s="1037"/>
      <c r="BM262" s="1037"/>
      <c r="BN262" s="1037"/>
      <c r="BO262" s="1037"/>
      <c r="BP262" s="1037"/>
      <c r="BQ262" s="1037"/>
      <c r="BR262" s="1037"/>
      <c r="BS262" s="1037"/>
      <c r="BT262" s="1037"/>
      <c r="BU262" s="1037"/>
      <c r="BV262" s="1037"/>
      <c r="BW262" s="1037"/>
      <c r="BX262" s="1037"/>
      <c r="BY262" s="1037"/>
      <c r="BZ262" s="1037"/>
      <c r="CA262" s="1037"/>
      <c r="CB262" s="1037"/>
      <c r="CC262" s="1037"/>
      <c r="CD262" s="1037"/>
      <c r="CE262" s="1037"/>
      <c r="CF262" s="1037"/>
      <c r="CG262" s="1037"/>
      <c r="CH262" s="1037"/>
      <c r="CI262" s="1037"/>
      <c r="CJ262" s="1037"/>
      <c r="CK262" s="1037"/>
      <c r="CL262" s="1037"/>
      <c r="CM262" s="1037"/>
      <c r="CN262" s="1037"/>
      <c r="CO262" s="1037"/>
      <c r="CP262" s="1037"/>
      <c r="CQ262" s="1037"/>
      <c r="CR262" s="1037"/>
      <c r="CS262" s="1037"/>
      <c r="CT262" s="1037"/>
      <c r="CU262" s="1037"/>
      <c r="CV262" s="1037"/>
      <c r="CW262" s="1037"/>
      <c r="CX262" s="1037"/>
      <c r="CY262" s="1037"/>
      <c r="CZ262" s="1037"/>
      <c r="DA262" s="1037"/>
      <c r="DB262" s="1037"/>
      <c r="DC262" s="1037"/>
      <c r="DD262" s="1037"/>
      <c r="DE262" s="1037"/>
      <c r="DF262" s="1037"/>
      <c r="DG262" s="1037"/>
      <c r="DH262" s="1037"/>
      <c r="DI262" s="1037"/>
      <c r="DJ262" s="1037"/>
      <c r="DK262" s="1037"/>
      <c r="DL262" s="1037"/>
      <c r="DM262" s="1037"/>
      <c r="DN262" s="1037"/>
      <c r="DO262" s="1037"/>
      <c r="DP262" s="1037"/>
      <c r="DQ262" s="1037"/>
      <c r="DR262" s="1037"/>
      <c r="DS262" s="1037"/>
      <c r="DT262" s="1037"/>
      <c r="DU262" s="1037"/>
      <c r="DV262" s="1037"/>
      <c r="DW262" s="1037"/>
      <c r="DX262" s="1037"/>
      <c r="DY262" s="1037"/>
      <c r="DZ262" s="1037"/>
      <c r="EA262" s="1037"/>
      <c r="EB262" s="1037"/>
      <c r="EC262" s="1037"/>
      <c r="ED262" s="1037"/>
      <c r="EE262" s="1037"/>
      <c r="EF262" s="1037"/>
      <c r="EG262" s="1037"/>
      <c r="EH262" s="1037"/>
      <c r="EI262" s="1037"/>
      <c r="EJ262" s="1037"/>
      <c r="EK262" s="1037"/>
      <c r="EL262" s="1037"/>
      <c r="EM262" s="1037"/>
      <c r="EN262" s="1037"/>
      <c r="EO262" s="1037"/>
      <c r="EP262" s="1037"/>
      <c r="EQ262" s="1037"/>
      <c r="ER262" s="1037"/>
      <c r="ES262" s="1037"/>
      <c r="ET262" s="1037"/>
      <c r="EU262" s="1037"/>
      <c r="EV262" s="1037"/>
      <c r="EW262" s="1037"/>
      <c r="EX262" s="1037"/>
      <c r="EY262" s="1037"/>
      <c r="EZ262" s="1037"/>
      <c r="FA262" s="1037"/>
      <c r="FB262" s="1037"/>
      <c r="FC262" s="1037"/>
      <c r="FD262" s="1037"/>
      <c r="FE262" s="1037"/>
      <c r="FF262" s="1037"/>
      <c r="FG262" s="1037"/>
      <c r="FH262" s="1037"/>
      <c r="FI262" s="1037"/>
      <c r="FJ262" s="1037"/>
      <c r="FK262" s="1037"/>
      <c r="FL262" s="1037"/>
      <c r="FM262" s="1037"/>
      <c r="FN262" s="1037"/>
      <c r="FO262" s="1037"/>
      <c r="FP262" s="1037"/>
      <c r="FQ262" s="1037"/>
      <c r="FR262" s="1037"/>
      <c r="FS262" s="1037"/>
      <c r="FT262" s="1037"/>
      <c r="FU262" s="1037"/>
      <c r="FV262" s="1037"/>
      <c r="FW262" s="1037"/>
      <c r="FX262" s="1037"/>
      <c r="FY262" s="1037"/>
      <c r="FZ262" s="1037"/>
      <c r="GA262" s="1037"/>
      <c r="GB262" s="1037"/>
      <c r="GC262" s="1037"/>
      <c r="GD262" s="1037"/>
      <c r="GE262" s="1037"/>
      <c r="GF262" s="1037"/>
      <c r="GG262" s="1037"/>
      <c r="GH262" s="1037"/>
      <c r="GI262" s="1037"/>
      <c r="GJ262" s="1037"/>
      <c r="GK262" s="1037"/>
      <c r="GL262" s="1037"/>
      <c r="GM262" s="1037"/>
      <c r="GN262" s="1037"/>
      <c r="GO262" s="1037"/>
      <c r="GP262" s="1037"/>
      <c r="GQ262" s="1037"/>
      <c r="GR262" s="1037"/>
      <c r="GS262" s="1037"/>
      <c r="GT262" s="1037"/>
      <c r="GU262" s="1037"/>
      <c r="GV262" s="1037"/>
      <c r="GW262" s="1037"/>
      <c r="GX262" s="1037"/>
      <c r="GY262" s="1037"/>
      <c r="GZ262" s="1037"/>
      <c r="HA262" s="1037"/>
      <c r="HB262" s="1037"/>
      <c r="HC262" s="1037"/>
      <c r="HD262" s="1037"/>
      <c r="HE262" s="1037"/>
      <c r="HF262" s="1037"/>
      <c r="HG262" s="1037"/>
      <c r="HH262" s="1037"/>
      <c r="HI262" s="1037"/>
      <c r="HJ262" s="1037"/>
      <c r="HK262" s="1037"/>
      <c r="HL262" s="1037"/>
      <c r="HM262" s="1037"/>
      <c r="HN262" s="1037"/>
      <c r="HO262" s="1037"/>
      <c r="HP262" s="1037"/>
      <c r="HQ262" s="1037"/>
      <c r="HR262" s="1037"/>
      <c r="HS262" s="1037"/>
      <c r="HT262" s="1037"/>
      <c r="HU262" s="1037"/>
      <c r="HV262" s="1037"/>
      <c r="HW262" s="1037"/>
      <c r="HX262" s="1037"/>
      <c r="HY262" s="1037"/>
      <c r="HZ262" s="1037"/>
      <c r="IA262" s="1037"/>
      <c r="IB262" s="1037"/>
      <c r="IC262" s="1037"/>
      <c r="ID262" s="1037"/>
      <c r="IE262" s="1037"/>
      <c r="IF262" s="1037"/>
      <c r="IG262" s="1037"/>
      <c r="IH262" s="1037"/>
      <c r="II262" s="1037"/>
      <c r="IJ262" s="1037"/>
      <c r="IK262" s="1037"/>
      <c r="IL262" s="1037"/>
      <c r="IM262" s="1037"/>
      <c r="IN262" s="1037"/>
    </row>
    <row r="263" spans="1:248">
      <c r="A263" s="705" t="s">
        <v>24</v>
      </c>
      <c r="B263" s="703">
        <v>18766.599999999999</v>
      </c>
      <c r="C263" s="703">
        <v>26.667632957332582</v>
      </c>
      <c r="D263" s="706">
        <v>17620.5</v>
      </c>
      <c r="E263" s="1038">
        <v>25.039006880557952</v>
      </c>
      <c r="F263" s="1038">
        <v>1146.0999999999985</v>
      </c>
      <c r="G263" s="1038">
        <v>1.6286260767746334</v>
      </c>
      <c r="H263" s="464">
        <v>70372.2</v>
      </c>
      <c r="I263" s="1037"/>
      <c r="J263" s="1037"/>
      <c r="K263" s="1037"/>
      <c r="L263" s="1037"/>
      <c r="M263" s="1037"/>
      <c r="N263" s="1037"/>
      <c r="O263" s="1037"/>
      <c r="P263" s="1037"/>
      <c r="Q263" s="1037"/>
      <c r="R263" s="1037"/>
      <c r="S263" s="1037"/>
      <c r="T263" s="1037"/>
      <c r="U263" s="1037"/>
      <c r="V263" s="1037"/>
      <c r="W263" s="1037"/>
      <c r="X263" s="1037"/>
      <c r="Y263" s="1037"/>
      <c r="Z263" s="1037"/>
      <c r="AA263" s="1037"/>
      <c r="AB263" s="1037"/>
      <c r="AC263" s="1037"/>
      <c r="AD263" s="1037"/>
      <c r="AE263" s="1037"/>
      <c r="AF263" s="1037"/>
      <c r="AG263" s="1037"/>
      <c r="AH263" s="1037"/>
      <c r="AI263" s="1037"/>
      <c r="AJ263" s="1037"/>
      <c r="AK263" s="1037"/>
      <c r="AL263" s="1037"/>
      <c r="AM263" s="1037"/>
      <c r="AN263" s="1037"/>
      <c r="AO263" s="1037"/>
      <c r="AP263" s="1037"/>
      <c r="AQ263" s="1037"/>
      <c r="AR263" s="1037"/>
      <c r="AS263" s="1037"/>
      <c r="AT263" s="1037"/>
      <c r="AU263" s="1037"/>
      <c r="AV263" s="1037"/>
      <c r="AW263" s="1037"/>
      <c r="AX263" s="1037"/>
      <c r="AY263" s="1037"/>
      <c r="AZ263" s="1037"/>
      <c r="BA263" s="1037"/>
      <c r="BB263" s="1037"/>
      <c r="BC263" s="1037"/>
      <c r="BD263" s="1037"/>
      <c r="BE263" s="1037"/>
      <c r="BF263" s="1037"/>
      <c r="BG263" s="1037"/>
      <c r="BH263" s="1037"/>
      <c r="BI263" s="1037"/>
      <c r="BJ263" s="1037"/>
      <c r="BK263" s="1037"/>
      <c r="BL263" s="1037"/>
      <c r="BM263" s="1037"/>
      <c r="BN263" s="1037"/>
      <c r="BO263" s="1037"/>
      <c r="BP263" s="1037"/>
      <c r="BQ263" s="1037"/>
      <c r="BR263" s="1037"/>
      <c r="BS263" s="1037"/>
      <c r="BT263" s="1037"/>
      <c r="BU263" s="1037"/>
      <c r="BV263" s="1037"/>
      <c r="BW263" s="1037"/>
      <c r="BX263" s="1037"/>
      <c r="BY263" s="1037"/>
      <c r="BZ263" s="1037"/>
      <c r="CA263" s="1037"/>
      <c r="CB263" s="1037"/>
      <c r="CC263" s="1037"/>
      <c r="CD263" s="1037"/>
      <c r="CE263" s="1037"/>
      <c r="CF263" s="1037"/>
      <c r="CG263" s="1037"/>
      <c r="CH263" s="1037"/>
      <c r="CI263" s="1037"/>
      <c r="CJ263" s="1037"/>
      <c r="CK263" s="1037"/>
      <c r="CL263" s="1037"/>
      <c r="CM263" s="1037"/>
      <c r="CN263" s="1037"/>
      <c r="CO263" s="1037"/>
      <c r="CP263" s="1037"/>
      <c r="CQ263" s="1037"/>
      <c r="CR263" s="1037"/>
      <c r="CS263" s="1037"/>
      <c r="CT263" s="1037"/>
      <c r="CU263" s="1037"/>
      <c r="CV263" s="1037"/>
      <c r="CW263" s="1037"/>
      <c r="CX263" s="1037"/>
      <c r="CY263" s="1037"/>
      <c r="CZ263" s="1037"/>
      <c r="DA263" s="1037"/>
      <c r="DB263" s="1037"/>
      <c r="DC263" s="1037"/>
      <c r="DD263" s="1037"/>
      <c r="DE263" s="1037"/>
      <c r="DF263" s="1037"/>
      <c r="DG263" s="1037"/>
      <c r="DH263" s="1037"/>
      <c r="DI263" s="1037"/>
      <c r="DJ263" s="1037"/>
      <c r="DK263" s="1037"/>
      <c r="DL263" s="1037"/>
      <c r="DM263" s="1037"/>
      <c r="DN263" s="1037"/>
      <c r="DO263" s="1037"/>
      <c r="DP263" s="1037"/>
      <c r="DQ263" s="1037"/>
      <c r="DR263" s="1037"/>
      <c r="DS263" s="1037"/>
      <c r="DT263" s="1037"/>
      <c r="DU263" s="1037"/>
      <c r="DV263" s="1037"/>
      <c r="DW263" s="1037"/>
      <c r="DX263" s="1037"/>
      <c r="DY263" s="1037"/>
      <c r="DZ263" s="1037"/>
      <c r="EA263" s="1037"/>
      <c r="EB263" s="1037"/>
      <c r="EC263" s="1037"/>
      <c r="ED263" s="1037"/>
      <c r="EE263" s="1037"/>
      <c r="EF263" s="1037"/>
      <c r="EG263" s="1037"/>
      <c r="EH263" s="1037"/>
      <c r="EI263" s="1037"/>
      <c r="EJ263" s="1037"/>
      <c r="EK263" s="1037"/>
      <c r="EL263" s="1037"/>
      <c r="EM263" s="1037"/>
      <c r="EN263" s="1037"/>
      <c r="EO263" s="1037"/>
      <c r="EP263" s="1037"/>
      <c r="EQ263" s="1037"/>
      <c r="ER263" s="1037"/>
      <c r="ES263" s="1037"/>
      <c r="ET263" s="1037"/>
      <c r="EU263" s="1037"/>
      <c r="EV263" s="1037"/>
      <c r="EW263" s="1037"/>
      <c r="EX263" s="1037"/>
      <c r="EY263" s="1037"/>
      <c r="EZ263" s="1037"/>
      <c r="FA263" s="1037"/>
      <c r="FB263" s="1037"/>
      <c r="FC263" s="1037"/>
      <c r="FD263" s="1037"/>
      <c r="FE263" s="1037"/>
      <c r="FF263" s="1037"/>
      <c r="FG263" s="1037"/>
      <c r="FH263" s="1037"/>
      <c r="FI263" s="1037"/>
      <c r="FJ263" s="1037"/>
      <c r="FK263" s="1037"/>
      <c r="FL263" s="1037"/>
      <c r="FM263" s="1037"/>
      <c r="FN263" s="1037"/>
      <c r="FO263" s="1037"/>
      <c r="FP263" s="1037"/>
      <c r="FQ263" s="1037"/>
      <c r="FR263" s="1037"/>
      <c r="FS263" s="1037"/>
      <c r="FT263" s="1037"/>
      <c r="FU263" s="1037"/>
      <c r="FV263" s="1037"/>
      <c r="FW263" s="1037"/>
      <c r="FX263" s="1037"/>
      <c r="FY263" s="1037"/>
      <c r="FZ263" s="1037"/>
      <c r="GA263" s="1037"/>
      <c r="GB263" s="1037"/>
      <c r="GC263" s="1037"/>
      <c r="GD263" s="1037"/>
      <c r="GE263" s="1037"/>
      <c r="GF263" s="1037"/>
      <c r="GG263" s="1037"/>
      <c r="GH263" s="1037"/>
      <c r="GI263" s="1037"/>
      <c r="GJ263" s="1037"/>
      <c r="GK263" s="1037"/>
      <c r="GL263" s="1037"/>
      <c r="GM263" s="1037"/>
      <c r="GN263" s="1037"/>
      <c r="GO263" s="1037"/>
      <c r="GP263" s="1037"/>
      <c r="GQ263" s="1037"/>
      <c r="GR263" s="1037"/>
      <c r="GS263" s="1037"/>
      <c r="GT263" s="1037"/>
      <c r="GU263" s="1037"/>
      <c r="GV263" s="1037"/>
      <c r="GW263" s="1037"/>
      <c r="GX263" s="1037"/>
      <c r="GY263" s="1037"/>
      <c r="GZ263" s="1037"/>
      <c r="HA263" s="1037"/>
      <c r="HB263" s="1037"/>
      <c r="HC263" s="1037"/>
      <c r="HD263" s="1037"/>
      <c r="HE263" s="1037"/>
      <c r="HF263" s="1037"/>
      <c r="HG263" s="1037"/>
      <c r="HH263" s="1037"/>
      <c r="HI263" s="1037"/>
      <c r="HJ263" s="1037"/>
      <c r="HK263" s="1037"/>
      <c r="HL263" s="1037"/>
      <c r="HM263" s="1037"/>
      <c r="HN263" s="1037"/>
      <c r="HO263" s="1037"/>
      <c r="HP263" s="1037"/>
      <c r="HQ263" s="1037"/>
      <c r="HR263" s="1037"/>
      <c r="HS263" s="1037"/>
      <c r="HT263" s="1037"/>
      <c r="HU263" s="1037"/>
      <c r="HV263" s="1037"/>
      <c r="HW263" s="1037"/>
      <c r="HX263" s="1037"/>
      <c r="HY263" s="1037"/>
      <c r="HZ263" s="1037"/>
      <c r="IA263" s="1037"/>
      <c r="IB263" s="1037"/>
      <c r="IC263" s="1037"/>
      <c r="ID263" s="1037"/>
      <c r="IE263" s="1037"/>
      <c r="IF263" s="1037"/>
      <c r="IG263" s="1037"/>
      <c r="IH263" s="1037"/>
      <c r="II263" s="1037"/>
      <c r="IJ263" s="1037"/>
      <c r="IK263" s="1037"/>
      <c r="IL263" s="1037"/>
      <c r="IM263" s="1037"/>
      <c r="IN263" s="1037"/>
    </row>
    <row r="264" spans="1:248">
      <c r="A264" s="705" t="s">
        <v>25</v>
      </c>
      <c r="B264" s="703">
        <v>20431.2</v>
      </c>
      <c r="C264" s="703">
        <v>25.508262543634924</v>
      </c>
      <c r="D264" s="706">
        <v>20649.7</v>
      </c>
      <c r="E264" s="1038">
        <v>25.781058824116943</v>
      </c>
      <c r="F264" s="1038">
        <v>-218.5</v>
      </c>
      <c r="G264" s="1038">
        <v>-0.2727962804820192</v>
      </c>
      <c r="H264" s="464">
        <v>80096.399999999994</v>
      </c>
      <c r="I264" s="1037"/>
      <c r="J264" s="1037"/>
      <c r="K264" s="1037"/>
      <c r="L264" s="1037"/>
      <c r="M264" s="1037"/>
      <c r="N264" s="1037"/>
      <c r="O264" s="1037"/>
      <c r="P264" s="1037"/>
      <c r="Q264" s="1037"/>
      <c r="R264" s="1037"/>
      <c r="S264" s="1037"/>
      <c r="T264" s="1037"/>
      <c r="U264" s="1037"/>
      <c r="V264" s="1037"/>
      <c r="W264" s="1037"/>
      <c r="X264" s="1037"/>
      <c r="Y264" s="1037"/>
      <c r="Z264" s="1037"/>
      <c r="AA264" s="1037"/>
      <c r="AB264" s="1037"/>
      <c r="AC264" s="1037"/>
      <c r="AD264" s="1037"/>
      <c r="AE264" s="1037"/>
      <c r="AF264" s="1037"/>
      <c r="AG264" s="1037"/>
      <c r="AH264" s="1037"/>
      <c r="AI264" s="1037"/>
      <c r="AJ264" s="1037"/>
      <c r="AK264" s="1037"/>
      <c r="AL264" s="1037"/>
      <c r="AM264" s="1037"/>
      <c r="AN264" s="1037"/>
      <c r="AO264" s="1037"/>
      <c r="AP264" s="1037"/>
      <c r="AQ264" s="1037"/>
      <c r="AR264" s="1037"/>
      <c r="AS264" s="1037"/>
      <c r="AT264" s="1037"/>
      <c r="AU264" s="1037"/>
      <c r="AV264" s="1037"/>
      <c r="AW264" s="1037"/>
      <c r="AX264" s="1037"/>
      <c r="AY264" s="1037"/>
      <c r="AZ264" s="1037"/>
      <c r="BA264" s="1037"/>
      <c r="BB264" s="1037"/>
      <c r="BC264" s="1037"/>
      <c r="BD264" s="1037"/>
      <c r="BE264" s="1037"/>
      <c r="BF264" s="1037"/>
      <c r="BG264" s="1037"/>
      <c r="BH264" s="1037"/>
      <c r="BI264" s="1037"/>
      <c r="BJ264" s="1037"/>
      <c r="BK264" s="1037"/>
      <c r="BL264" s="1037"/>
      <c r="BM264" s="1037"/>
      <c r="BN264" s="1037"/>
      <c r="BO264" s="1037"/>
      <c r="BP264" s="1037"/>
      <c r="BQ264" s="1037"/>
      <c r="BR264" s="1037"/>
      <c r="BS264" s="1037"/>
      <c r="BT264" s="1037"/>
      <c r="BU264" s="1037"/>
      <c r="BV264" s="1037"/>
      <c r="BW264" s="1037"/>
      <c r="BX264" s="1037"/>
      <c r="BY264" s="1037"/>
      <c r="BZ264" s="1037"/>
      <c r="CA264" s="1037"/>
      <c r="CB264" s="1037"/>
      <c r="CC264" s="1037"/>
      <c r="CD264" s="1037"/>
      <c r="CE264" s="1037"/>
      <c r="CF264" s="1037"/>
      <c r="CG264" s="1037"/>
      <c r="CH264" s="1037"/>
      <c r="CI264" s="1037"/>
      <c r="CJ264" s="1037"/>
      <c r="CK264" s="1037"/>
      <c r="CL264" s="1037"/>
      <c r="CM264" s="1037"/>
      <c r="CN264" s="1037"/>
      <c r="CO264" s="1037"/>
      <c r="CP264" s="1037"/>
      <c r="CQ264" s="1037"/>
      <c r="CR264" s="1037"/>
      <c r="CS264" s="1037"/>
      <c r="CT264" s="1037"/>
      <c r="CU264" s="1037"/>
      <c r="CV264" s="1037"/>
      <c r="CW264" s="1037"/>
      <c r="CX264" s="1037"/>
      <c r="CY264" s="1037"/>
      <c r="CZ264" s="1037"/>
      <c r="DA264" s="1037"/>
      <c r="DB264" s="1037"/>
      <c r="DC264" s="1037"/>
      <c r="DD264" s="1037"/>
      <c r="DE264" s="1037"/>
      <c r="DF264" s="1037"/>
      <c r="DG264" s="1037"/>
      <c r="DH264" s="1037"/>
      <c r="DI264" s="1037"/>
      <c r="DJ264" s="1037"/>
      <c r="DK264" s="1037"/>
      <c r="DL264" s="1037"/>
      <c r="DM264" s="1037"/>
      <c r="DN264" s="1037"/>
      <c r="DO264" s="1037"/>
      <c r="DP264" s="1037"/>
      <c r="DQ264" s="1037"/>
      <c r="DR264" s="1037"/>
      <c r="DS264" s="1037"/>
      <c r="DT264" s="1037"/>
      <c r="DU264" s="1037"/>
      <c r="DV264" s="1037"/>
      <c r="DW264" s="1037"/>
      <c r="DX264" s="1037"/>
      <c r="DY264" s="1037"/>
      <c r="DZ264" s="1037"/>
      <c r="EA264" s="1037"/>
      <c r="EB264" s="1037"/>
      <c r="EC264" s="1037"/>
      <c r="ED264" s="1037"/>
      <c r="EE264" s="1037"/>
      <c r="EF264" s="1037"/>
      <c r="EG264" s="1037"/>
      <c r="EH264" s="1037"/>
      <c r="EI264" s="1037"/>
      <c r="EJ264" s="1037"/>
      <c r="EK264" s="1037"/>
      <c r="EL264" s="1037"/>
      <c r="EM264" s="1037"/>
      <c r="EN264" s="1037"/>
      <c r="EO264" s="1037"/>
      <c r="EP264" s="1037"/>
      <c r="EQ264" s="1037"/>
      <c r="ER264" s="1037"/>
      <c r="ES264" s="1037"/>
      <c r="ET264" s="1037"/>
      <c r="EU264" s="1037"/>
      <c r="EV264" s="1037"/>
      <c r="EW264" s="1037"/>
      <c r="EX264" s="1037"/>
      <c r="EY264" s="1037"/>
      <c r="EZ264" s="1037"/>
      <c r="FA264" s="1037"/>
      <c r="FB264" s="1037"/>
      <c r="FC264" s="1037"/>
      <c r="FD264" s="1037"/>
      <c r="FE264" s="1037"/>
      <c r="FF264" s="1037"/>
      <c r="FG264" s="1037"/>
      <c r="FH264" s="1037"/>
      <c r="FI264" s="1037"/>
      <c r="FJ264" s="1037"/>
      <c r="FK264" s="1037"/>
      <c r="FL264" s="1037"/>
      <c r="FM264" s="1037"/>
      <c r="FN264" s="1037"/>
      <c r="FO264" s="1037"/>
      <c r="FP264" s="1037"/>
      <c r="FQ264" s="1037"/>
      <c r="FR264" s="1037"/>
      <c r="FS264" s="1037"/>
      <c r="FT264" s="1037"/>
      <c r="FU264" s="1037"/>
      <c r="FV264" s="1037"/>
      <c r="FW264" s="1037"/>
      <c r="FX264" s="1037"/>
      <c r="FY264" s="1037"/>
      <c r="FZ264" s="1037"/>
      <c r="GA264" s="1037"/>
      <c r="GB264" s="1037"/>
      <c r="GC264" s="1037"/>
      <c r="GD264" s="1037"/>
      <c r="GE264" s="1037"/>
      <c r="GF264" s="1037"/>
      <c r="GG264" s="1037"/>
      <c r="GH264" s="1037"/>
      <c r="GI264" s="1037"/>
      <c r="GJ264" s="1037"/>
      <c r="GK264" s="1037"/>
      <c r="GL264" s="1037"/>
      <c r="GM264" s="1037"/>
      <c r="GN264" s="1037"/>
      <c r="GO264" s="1037"/>
      <c r="GP264" s="1037"/>
      <c r="GQ264" s="1037"/>
      <c r="GR264" s="1037"/>
      <c r="GS264" s="1037"/>
      <c r="GT264" s="1037"/>
      <c r="GU264" s="1037"/>
      <c r="GV264" s="1037"/>
      <c r="GW264" s="1037"/>
      <c r="GX264" s="1037"/>
      <c r="GY264" s="1037"/>
      <c r="GZ264" s="1037"/>
      <c r="HA264" s="1037"/>
      <c r="HB264" s="1037"/>
      <c r="HC264" s="1037"/>
      <c r="HD264" s="1037"/>
      <c r="HE264" s="1037"/>
      <c r="HF264" s="1037"/>
      <c r="HG264" s="1037"/>
      <c r="HH264" s="1037"/>
      <c r="HI264" s="1037"/>
      <c r="HJ264" s="1037"/>
      <c r="HK264" s="1037"/>
      <c r="HL264" s="1037"/>
      <c r="HM264" s="1037"/>
      <c r="HN264" s="1037"/>
      <c r="HO264" s="1037"/>
      <c r="HP264" s="1037"/>
      <c r="HQ264" s="1037"/>
      <c r="HR264" s="1037"/>
      <c r="HS264" s="1037"/>
      <c r="HT264" s="1037"/>
      <c r="HU264" s="1037"/>
      <c r="HV264" s="1037"/>
      <c r="HW264" s="1037"/>
      <c r="HX264" s="1037"/>
      <c r="HY264" s="1037"/>
      <c r="HZ264" s="1037"/>
      <c r="IA264" s="1037"/>
      <c r="IB264" s="1037"/>
      <c r="IC264" s="1037"/>
      <c r="ID264" s="1037"/>
      <c r="IE264" s="1037"/>
      <c r="IF264" s="1037"/>
      <c r="IG264" s="1037"/>
      <c r="IH264" s="1037"/>
      <c r="II264" s="1037"/>
      <c r="IJ264" s="1037"/>
      <c r="IK264" s="1037"/>
      <c r="IL264" s="1037"/>
      <c r="IM264" s="1037"/>
      <c r="IN264" s="1037"/>
    </row>
    <row r="265" spans="1:248">
      <c r="A265" s="705" t="s">
        <v>26</v>
      </c>
      <c r="B265" s="703">
        <v>22077</v>
      </c>
      <c r="C265" s="703">
        <v>24.31052993805919</v>
      </c>
      <c r="D265" s="706">
        <v>23214.5</v>
      </c>
      <c r="E265" s="1038">
        <v>25.563110805230561</v>
      </c>
      <c r="F265" s="1038">
        <v>-1137.5</v>
      </c>
      <c r="G265" s="1038">
        <v>-1.2525808671713696</v>
      </c>
      <c r="H265" s="464">
        <v>90812.5</v>
      </c>
      <c r="I265" s="1037"/>
      <c r="J265" s="1037"/>
      <c r="K265" s="1037"/>
      <c r="L265" s="1037"/>
      <c r="M265" s="1037"/>
      <c r="N265" s="1037"/>
      <c r="O265" s="1037"/>
      <c r="P265" s="1037"/>
      <c r="Q265" s="1037"/>
      <c r="R265" s="1037"/>
      <c r="S265" s="1037"/>
      <c r="T265" s="1037"/>
      <c r="U265" s="1037"/>
      <c r="V265" s="1037"/>
      <c r="W265" s="1037"/>
      <c r="X265" s="1037"/>
      <c r="Y265" s="1037"/>
      <c r="Z265" s="1037"/>
      <c r="AA265" s="1037"/>
      <c r="AB265" s="1037"/>
      <c r="AC265" s="1037"/>
      <c r="AD265" s="1037"/>
      <c r="AE265" s="1037"/>
      <c r="AF265" s="1037"/>
      <c r="AG265" s="1037"/>
      <c r="AH265" s="1037"/>
      <c r="AI265" s="1037"/>
      <c r="AJ265" s="1037"/>
      <c r="AK265" s="1037"/>
      <c r="AL265" s="1037"/>
      <c r="AM265" s="1037"/>
      <c r="AN265" s="1037"/>
      <c r="AO265" s="1037"/>
      <c r="AP265" s="1037"/>
      <c r="AQ265" s="1037"/>
      <c r="AR265" s="1037"/>
      <c r="AS265" s="1037"/>
      <c r="AT265" s="1037"/>
      <c r="AU265" s="1037"/>
      <c r="AV265" s="1037"/>
      <c r="AW265" s="1037"/>
      <c r="AX265" s="1037"/>
      <c r="AY265" s="1037"/>
      <c r="AZ265" s="1037"/>
      <c r="BA265" s="1037"/>
      <c r="BB265" s="1037"/>
      <c r="BC265" s="1037"/>
      <c r="BD265" s="1037"/>
      <c r="BE265" s="1037"/>
      <c r="BF265" s="1037"/>
      <c r="BG265" s="1037"/>
      <c r="BH265" s="1037"/>
      <c r="BI265" s="1037"/>
      <c r="BJ265" s="1037"/>
      <c r="BK265" s="1037"/>
      <c r="BL265" s="1037"/>
      <c r="BM265" s="1037"/>
      <c r="BN265" s="1037"/>
      <c r="BO265" s="1037"/>
      <c r="BP265" s="1037"/>
      <c r="BQ265" s="1037"/>
      <c r="BR265" s="1037"/>
      <c r="BS265" s="1037"/>
      <c r="BT265" s="1037"/>
      <c r="BU265" s="1037"/>
      <c r="BV265" s="1037"/>
      <c r="BW265" s="1037"/>
      <c r="BX265" s="1037"/>
      <c r="BY265" s="1037"/>
      <c r="BZ265" s="1037"/>
      <c r="CA265" s="1037"/>
      <c r="CB265" s="1037"/>
      <c r="CC265" s="1037"/>
      <c r="CD265" s="1037"/>
      <c r="CE265" s="1037"/>
      <c r="CF265" s="1037"/>
      <c r="CG265" s="1037"/>
      <c r="CH265" s="1037"/>
      <c r="CI265" s="1037"/>
      <c r="CJ265" s="1037"/>
      <c r="CK265" s="1037"/>
      <c r="CL265" s="1037"/>
      <c r="CM265" s="1037"/>
      <c r="CN265" s="1037"/>
      <c r="CO265" s="1037"/>
      <c r="CP265" s="1037"/>
      <c r="CQ265" s="1037"/>
      <c r="CR265" s="1037"/>
      <c r="CS265" s="1037"/>
      <c r="CT265" s="1037"/>
      <c r="CU265" s="1037"/>
      <c r="CV265" s="1037"/>
      <c r="CW265" s="1037"/>
      <c r="CX265" s="1037"/>
      <c r="CY265" s="1037"/>
      <c r="CZ265" s="1037"/>
      <c r="DA265" s="1037"/>
      <c r="DB265" s="1037"/>
      <c r="DC265" s="1037"/>
      <c r="DD265" s="1037"/>
      <c r="DE265" s="1037"/>
      <c r="DF265" s="1037"/>
      <c r="DG265" s="1037"/>
      <c r="DH265" s="1037"/>
      <c r="DI265" s="1037"/>
      <c r="DJ265" s="1037"/>
      <c r="DK265" s="1037"/>
      <c r="DL265" s="1037"/>
      <c r="DM265" s="1037"/>
      <c r="DN265" s="1037"/>
      <c r="DO265" s="1037"/>
      <c r="DP265" s="1037"/>
      <c r="DQ265" s="1037"/>
      <c r="DR265" s="1037"/>
      <c r="DS265" s="1037"/>
      <c r="DT265" s="1037"/>
      <c r="DU265" s="1037"/>
      <c r="DV265" s="1037"/>
      <c r="DW265" s="1037"/>
      <c r="DX265" s="1037"/>
      <c r="DY265" s="1037"/>
      <c r="DZ265" s="1037"/>
      <c r="EA265" s="1037"/>
      <c r="EB265" s="1037"/>
      <c r="EC265" s="1037"/>
      <c r="ED265" s="1037"/>
      <c r="EE265" s="1037"/>
      <c r="EF265" s="1037"/>
      <c r="EG265" s="1037"/>
      <c r="EH265" s="1037"/>
      <c r="EI265" s="1037"/>
      <c r="EJ265" s="1037"/>
      <c r="EK265" s="1037"/>
      <c r="EL265" s="1037"/>
      <c r="EM265" s="1037"/>
      <c r="EN265" s="1037"/>
      <c r="EO265" s="1037"/>
      <c r="EP265" s="1037"/>
      <c r="EQ265" s="1037"/>
      <c r="ER265" s="1037"/>
      <c r="ES265" s="1037"/>
      <c r="ET265" s="1037"/>
      <c r="EU265" s="1037"/>
      <c r="EV265" s="1037"/>
      <c r="EW265" s="1037"/>
      <c r="EX265" s="1037"/>
      <c r="EY265" s="1037"/>
      <c r="EZ265" s="1037"/>
      <c r="FA265" s="1037"/>
      <c r="FB265" s="1037"/>
      <c r="FC265" s="1037"/>
      <c r="FD265" s="1037"/>
      <c r="FE265" s="1037"/>
      <c r="FF265" s="1037"/>
      <c r="FG265" s="1037"/>
      <c r="FH265" s="1037"/>
      <c r="FI265" s="1037"/>
      <c r="FJ265" s="1037"/>
      <c r="FK265" s="1037"/>
      <c r="FL265" s="1037"/>
      <c r="FM265" s="1037"/>
      <c r="FN265" s="1037"/>
      <c r="FO265" s="1037"/>
      <c r="FP265" s="1037"/>
      <c r="FQ265" s="1037"/>
      <c r="FR265" s="1037"/>
      <c r="FS265" s="1037"/>
      <c r="FT265" s="1037"/>
      <c r="FU265" s="1037"/>
      <c r="FV265" s="1037"/>
      <c r="FW265" s="1037"/>
      <c r="FX265" s="1037"/>
      <c r="FY265" s="1037"/>
      <c r="FZ265" s="1037"/>
      <c r="GA265" s="1037"/>
      <c r="GB265" s="1037"/>
      <c r="GC265" s="1037"/>
      <c r="GD265" s="1037"/>
      <c r="GE265" s="1037"/>
      <c r="GF265" s="1037"/>
      <c r="GG265" s="1037"/>
      <c r="GH265" s="1037"/>
      <c r="GI265" s="1037"/>
      <c r="GJ265" s="1037"/>
      <c r="GK265" s="1037"/>
      <c r="GL265" s="1037"/>
      <c r="GM265" s="1037"/>
      <c r="GN265" s="1037"/>
      <c r="GO265" s="1037"/>
      <c r="GP265" s="1037"/>
      <c r="GQ265" s="1037"/>
      <c r="GR265" s="1037"/>
      <c r="GS265" s="1037"/>
      <c r="GT265" s="1037"/>
      <c r="GU265" s="1037"/>
      <c r="GV265" s="1037"/>
      <c r="GW265" s="1037"/>
      <c r="GX265" s="1037"/>
      <c r="GY265" s="1037"/>
      <c r="GZ265" s="1037"/>
      <c r="HA265" s="1037"/>
      <c r="HB265" s="1037"/>
      <c r="HC265" s="1037"/>
      <c r="HD265" s="1037"/>
      <c r="HE265" s="1037"/>
      <c r="HF265" s="1037"/>
      <c r="HG265" s="1037"/>
      <c r="HH265" s="1037"/>
      <c r="HI265" s="1037"/>
      <c r="HJ265" s="1037"/>
      <c r="HK265" s="1037"/>
      <c r="HL265" s="1037"/>
      <c r="HM265" s="1037"/>
      <c r="HN265" s="1037"/>
      <c r="HO265" s="1037"/>
      <c r="HP265" s="1037"/>
      <c r="HQ265" s="1037"/>
      <c r="HR265" s="1037"/>
      <c r="HS265" s="1037"/>
      <c r="HT265" s="1037"/>
      <c r="HU265" s="1037"/>
      <c r="HV265" s="1037"/>
      <c r="HW265" s="1037"/>
      <c r="HX265" s="1037"/>
      <c r="HY265" s="1037"/>
      <c r="HZ265" s="1037"/>
      <c r="IA265" s="1037"/>
      <c r="IB265" s="1037"/>
      <c r="IC265" s="1037"/>
      <c r="ID265" s="1037"/>
      <c r="IE265" s="1037"/>
      <c r="IF265" s="1037"/>
      <c r="IG265" s="1037"/>
      <c r="IH265" s="1037"/>
      <c r="II265" s="1037"/>
      <c r="IJ265" s="1037"/>
      <c r="IK265" s="1037"/>
      <c r="IL265" s="1037"/>
      <c r="IM265" s="1037"/>
      <c r="IN265" s="1037"/>
    </row>
    <row r="266" spans="1:248">
      <c r="A266" s="705" t="s">
        <v>27</v>
      </c>
      <c r="B266" s="703">
        <v>26412.799999999999</v>
      </c>
      <c r="C266" s="703">
        <f>+B266/H266*100</f>
        <v>26.181590375394887</v>
      </c>
      <c r="D266" s="706">
        <v>26630.6</v>
      </c>
      <c r="E266" s="1038">
        <f t="shared" ref="E266" si="37">D266/H266*100</f>
        <v>26.397483820382199</v>
      </c>
      <c r="F266" s="1038">
        <f>B266-D266</f>
        <v>-217.79999999999927</v>
      </c>
      <c r="G266" s="1038">
        <f t="shared" ref="G266" si="38">F266/H266*100</f>
        <v>-0.21589344498731625</v>
      </c>
      <c r="H266" s="464">
        <v>100883.1</v>
      </c>
      <c r="I266" s="1037"/>
      <c r="J266" s="1037"/>
      <c r="K266" s="1037"/>
      <c r="L266" s="1037"/>
      <c r="M266" s="1037"/>
      <c r="N266" s="1037"/>
      <c r="O266" s="1037"/>
      <c r="P266" s="1037"/>
      <c r="Q266" s="1037"/>
      <c r="R266" s="1037"/>
      <c r="S266" s="1037"/>
      <c r="T266" s="1037"/>
      <c r="U266" s="1037"/>
      <c r="V266" s="1037"/>
      <c r="W266" s="1037"/>
      <c r="X266" s="1037"/>
      <c r="Y266" s="1037"/>
      <c r="Z266" s="1037"/>
      <c r="AA266" s="1037"/>
      <c r="AB266" s="1037"/>
      <c r="AC266" s="1037"/>
      <c r="AD266" s="1037"/>
      <c r="AE266" s="1037"/>
      <c r="AF266" s="1037"/>
      <c r="AG266" s="1037"/>
      <c r="AH266" s="1037"/>
      <c r="AI266" s="1037"/>
      <c r="AJ266" s="1037"/>
      <c r="AK266" s="1037"/>
      <c r="AL266" s="1037"/>
      <c r="AM266" s="1037"/>
      <c r="AN266" s="1037"/>
      <c r="AO266" s="1037"/>
      <c r="AP266" s="1037"/>
      <c r="AQ266" s="1037"/>
      <c r="AR266" s="1037"/>
      <c r="AS266" s="1037"/>
      <c r="AT266" s="1037"/>
      <c r="AU266" s="1037"/>
      <c r="AV266" s="1037"/>
      <c r="AW266" s="1037"/>
      <c r="AX266" s="1037"/>
      <c r="AY266" s="1037"/>
      <c r="AZ266" s="1037"/>
      <c r="BA266" s="1037"/>
      <c r="BB266" s="1037"/>
      <c r="BC266" s="1037"/>
      <c r="BD266" s="1037"/>
      <c r="BE266" s="1037"/>
      <c r="BF266" s="1037"/>
      <c r="BG266" s="1037"/>
      <c r="BH266" s="1037"/>
      <c r="BI266" s="1037"/>
      <c r="BJ266" s="1037"/>
      <c r="BK266" s="1037"/>
      <c r="BL266" s="1037"/>
      <c r="BM266" s="1037"/>
      <c r="BN266" s="1037"/>
      <c r="BO266" s="1037"/>
      <c r="BP266" s="1037"/>
      <c r="BQ266" s="1037"/>
      <c r="BR266" s="1037"/>
      <c r="BS266" s="1037"/>
      <c r="BT266" s="1037"/>
      <c r="BU266" s="1037"/>
      <c r="BV266" s="1037"/>
      <c r="BW266" s="1037"/>
      <c r="BX266" s="1037"/>
      <c r="BY266" s="1037"/>
      <c r="BZ266" s="1037"/>
      <c r="CA266" s="1037"/>
      <c r="CB266" s="1037"/>
      <c r="CC266" s="1037"/>
      <c r="CD266" s="1037"/>
      <c r="CE266" s="1037"/>
      <c r="CF266" s="1037"/>
      <c r="CG266" s="1037"/>
      <c r="CH266" s="1037"/>
      <c r="CI266" s="1037"/>
      <c r="CJ266" s="1037"/>
      <c r="CK266" s="1037"/>
      <c r="CL266" s="1037"/>
      <c r="CM266" s="1037"/>
      <c r="CN266" s="1037"/>
      <c r="CO266" s="1037"/>
      <c r="CP266" s="1037"/>
      <c r="CQ266" s="1037"/>
      <c r="CR266" s="1037"/>
      <c r="CS266" s="1037"/>
      <c r="CT266" s="1037"/>
      <c r="CU266" s="1037"/>
      <c r="CV266" s="1037"/>
      <c r="CW266" s="1037"/>
      <c r="CX266" s="1037"/>
      <c r="CY266" s="1037"/>
      <c r="CZ266" s="1037"/>
      <c r="DA266" s="1037"/>
      <c r="DB266" s="1037"/>
      <c r="DC266" s="1037"/>
      <c r="DD266" s="1037"/>
      <c r="DE266" s="1037"/>
      <c r="DF266" s="1037"/>
      <c r="DG266" s="1037"/>
      <c r="DH266" s="1037"/>
      <c r="DI266" s="1037"/>
      <c r="DJ266" s="1037"/>
      <c r="DK266" s="1037"/>
      <c r="DL266" s="1037"/>
      <c r="DM266" s="1037"/>
      <c r="DN266" s="1037"/>
      <c r="DO266" s="1037"/>
      <c r="DP266" s="1037"/>
      <c r="DQ266" s="1037"/>
      <c r="DR266" s="1037"/>
      <c r="DS266" s="1037"/>
      <c r="DT266" s="1037"/>
      <c r="DU266" s="1037"/>
      <c r="DV266" s="1037"/>
      <c r="DW266" s="1037"/>
      <c r="DX266" s="1037"/>
      <c r="DY266" s="1037"/>
      <c r="DZ266" s="1037"/>
      <c r="EA266" s="1037"/>
      <c r="EB266" s="1037"/>
      <c r="EC266" s="1037"/>
      <c r="ED266" s="1037"/>
      <c r="EE266" s="1037"/>
      <c r="EF266" s="1037"/>
      <c r="EG266" s="1037"/>
      <c r="EH266" s="1037"/>
      <c r="EI266" s="1037"/>
      <c r="EJ266" s="1037"/>
      <c r="EK266" s="1037"/>
      <c r="EL266" s="1037"/>
      <c r="EM266" s="1037"/>
      <c r="EN266" s="1037"/>
      <c r="EO266" s="1037"/>
      <c r="EP266" s="1037"/>
      <c r="EQ266" s="1037"/>
      <c r="ER266" s="1037"/>
      <c r="ES266" s="1037"/>
      <c r="ET266" s="1037"/>
      <c r="EU266" s="1037"/>
      <c r="EV266" s="1037"/>
      <c r="EW266" s="1037"/>
      <c r="EX266" s="1037"/>
      <c r="EY266" s="1037"/>
      <c r="EZ266" s="1037"/>
      <c r="FA266" s="1037"/>
      <c r="FB266" s="1037"/>
      <c r="FC266" s="1037"/>
      <c r="FD266" s="1037"/>
      <c r="FE266" s="1037"/>
      <c r="FF266" s="1037"/>
      <c r="FG266" s="1037"/>
      <c r="FH266" s="1037"/>
      <c r="FI266" s="1037"/>
      <c r="FJ266" s="1037"/>
      <c r="FK266" s="1037"/>
      <c r="FL266" s="1037"/>
      <c r="FM266" s="1037"/>
      <c r="FN266" s="1037"/>
      <c r="FO266" s="1037"/>
      <c r="FP266" s="1037"/>
      <c r="FQ266" s="1037"/>
      <c r="FR266" s="1037"/>
      <c r="FS266" s="1037"/>
      <c r="FT266" s="1037"/>
      <c r="FU266" s="1037"/>
      <c r="FV266" s="1037"/>
      <c r="FW266" s="1037"/>
      <c r="FX266" s="1037"/>
      <c r="FY266" s="1037"/>
      <c r="FZ266" s="1037"/>
      <c r="GA266" s="1037"/>
      <c r="GB266" s="1037"/>
      <c r="GC266" s="1037"/>
      <c r="GD266" s="1037"/>
      <c r="GE266" s="1037"/>
      <c r="GF266" s="1037"/>
      <c r="GG266" s="1037"/>
      <c r="GH266" s="1037"/>
      <c r="GI266" s="1037"/>
      <c r="GJ266" s="1037"/>
      <c r="GK266" s="1037"/>
      <c r="GL266" s="1037"/>
      <c r="GM266" s="1037"/>
      <c r="GN266" s="1037"/>
      <c r="GO266" s="1037"/>
      <c r="GP266" s="1037"/>
      <c r="GQ266" s="1037"/>
      <c r="GR266" s="1037"/>
      <c r="GS266" s="1037"/>
      <c r="GT266" s="1037"/>
      <c r="GU266" s="1037"/>
      <c r="GV266" s="1037"/>
      <c r="GW266" s="1037"/>
      <c r="GX266" s="1037"/>
      <c r="GY266" s="1037"/>
      <c r="GZ266" s="1037"/>
      <c r="HA266" s="1037"/>
      <c r="HB266" s="1037"/>
      <c r="HC266" s="1037"/>
      <c r="HD266" s="1037"/>
      <c r="HE266" s="1037"/>
      <c r="HF266" s="1037"/>
      <c r="HG266" s="1037"/>
      <c r="HH266" s="1037"/>
      <c r="HI266" s="1037"/>
      <c r="HJ266" s="1037"/>
      <c r="HK266" s="1037"/>
      <c r="HL266" s="1037"/>
      <c r="HM266" s="1037"/>
      <c r="HN266" s="1037"/>
      <c r="HO266" s="1037"/>
      <c r="HP266" s="1037"/>
      <c r="HQ266" s="1037"/>
      <c r="HR266" s="1037"/>
      <c r="HS266" s="1037"/>
      <c r="HT266" s="1037"/>
      <c r="HU266" s="1037"/>
      <c r="HV266" s="1037"/>
      <c r="HW266" s="1037"/>
      <c r="HX266" s="1037"/>
      <c r="HY266" s="1037"/>
      <c r="HZ266" s="1037"/>
      <c r="IA266" s="1037"/>
      <c r="IB266" s="1037"/>
      <c r="IC266" s="1037"/>
      <c r="ID266" s="1037"/>
      <c r="IE266" s="1037"/>
      <c r="IF266" s="1037"/>
      <c r="IG266" s="1037"/>
      <c r="IH266" s="1037"/>
      <c r="II266" s="1037"/>
      <c r="IJ266" s="1037"/>
      <c r="IK266" s="1037"/>
      <c r="IL266" s="1037"/>
      <c r="IM266" s="1037"/>
      <c r="IN266" s="1037"/>
    </row>
    <row r="267" spans="1:248">
      <c r="A267" s="705" t="s">
        <v>28</v>
      </c>
      <c r="B267" s="703">
        <v>29642</v>
      </c>
      <c r="C267" s="703">
        <v>26.895242657840107</v>
      </c>
      <c r="D267" s="706">
        <v>29155.200000000001</v>
      </c>
      <c r="E267" s="1038">
        <v>26.453551674578634</v>
      </c>
      <c r="F267" s="1038">
        <v>486.79999999999927</v>
      </c>
      <c r="G267" s="1038">
        <v>0.44169098326147171</v>
      </c>
      <c r="H267" s="464">
        <v>110212.8</v>
      </c>
      <c r="I267" s="1037"/>
      <c r="J267" s="1037"/>
      <c r="K267" s="1037"/>
      <c r="L267" s="1037"/>
      <c r="M267" s="1037"/>
      <c r="N267" s="1037"/>
      <c r="O267" s="1037"/>
      <c r="P267" s="1037"/>
      <c r="Q267" s="1037"/>
      <c r="R267" s="1037"/>
      <c r="S267" s="1037"/>
      <c r="T267" s="1037"/>
      <c r="U267" s="1037"/>
      <c r="V267" s="1037"/>
      <c r="W267" s="1037"/>
      <c r="X267" s="1037"/>
      <c r="Y267" s="1037"/>
      <c r="Z267" s="1037"/>
      <c r="AA267" s="1037"/>
      <c r="AB267" s="1037"/>
      <c r="AC267" s="1037"/>
      <c r="AD267" s="1037"/>
      <c r="AE267" s="1037"/>
      <c r="AF267" s="1037"/>
      <c r="AG267" s="1037"/>
      <c r="AH267" s="1037"/>
      <c r="AI267" s="1037"/>
      <c r="AJ267" s="1037"/>
      <c r="AK267" s="1037"/>
      <c r="AL267" s="1037"/>
      <c r="AM267" s="1037"/>
      <c r="AN267" s="1037"/>
      <c r="AO267" s="1037"/>
      <c r="AP267" s="1037"/>
      <c r="AQ267" s="1037"/>
      <c r="AR267" s="1037"/>
      <c r="AS267" s="1037"/>
      <c r="AT267" s="1037"/>
      <c r="AU267" s="1037"/>
      <c r="AV267" s="1037"/>
      <c r="AW267" s="1037"/>
      <c r="AX267" s="1037"/>
      <c r="AY267" s="1037"/>
      <c r="AZ267" s="1037"/>
      <c r="BA267" s="1037"/>
      <c r="BB267" s="1037"/>
      <c r="BC267" s="1037"/>
      <c r="BD267" s="1037"/>
      <c r="BE267" s="1037"/>
      <c r="BF267" s="1037"/>
      <c r="BG267" s="1037"/>
      <c r="BH267" s="1037"/>
      <c r="BI267" s="1037"/>
      <c r="BJ267" s="1037"/>
      <c r="BK267" s="1037"/>
      <c r="BL267" s="1037"/>
      <c r="BM267" s="1037"/>
      <c r="BN267" s="1037"/>
      <c r="BO267" s="1037"/>
      <c r="BP267" s="1037"/>
      <c r="BQ267" s="1037"/>
      <c r="BR267" s="1037"/>
      <c r="BS267" s="1037"/>
      <c r="BT267" s="1037"/>
      <c r="BU267" s="1037"/>
      <c r="BV267" s="1037"/>
      <c r="BW267" s="1037"/>
      <c r="BX267" s="1037"/>
      <c r="BY267" s="1037"/>
      <c r="BZ267" s="1037"/>
      <c r="CA267" s="1037"/>
      <c r="CB267" s="1037"/>
      <c r="CC267" s="1037"/>
      <c r="CD267" s="1037"/>
      <c r="CE267" s="1037"/>
      <c r="CF267" s="1037"/>
      <c r="CG267" s="1037"/>
      <c r="CH267" s="1037"/>
      <c r="CI267" s="1037"/>
      <c r="CJ267" s="1037"/>
      <c r="CK267" s="1037"/>
      <c r="CL267" s="1037"/>
      <c r="CM267" s="1037"/>
      <c r="CN267" s="1037"/>
      <c r="CO267" s="1037"/>
      <c r="CP267" s="1037"/>
      <c r="CQ267" s="1037"/>
      <c r="CR267" s="1037"/>
      <c r="CS267" s="1037"/>
      <c r="CT267" s="1037"/>
      <c r="CU267" s="1037"/>
      <c r="CV267" s="1037"/>
      <c r="CW267" s="1037"/>
      <c r="CX267" s="1037"/>
      <c r="CY267" s="1037"/>
      <c r="CZ267" s="1037"/>
      <c r="DA267" s="1037"/>
      <c r="DB267" s="1037"/>
      <c r="DC267" s="1037"/>
      <c r="DD267" s="1037"/>
      <c r="DE267" s="1037"/>
      <c r="DF267" s="1037"/>
      <c r="DG267" s="1037"/>
      <c r="DH267" s="1037"/>
      <c r="DI267" s="1037"/>
      <c r="DJ267" s="1037"/>
      <c r="DK267" s="1037"/>
      <c r="DL267" s="1037"/>
      <c r="DM267" s="1037"/>
      <c r="DN267" s="1037"/>
      <c r="DO267" s="1037"/>
      <c r="DP267" s="1037"/>
      <c r="DQ267" s="1037"/>
      <c r="DR267" s="1037"/>
      <c r="DS267" s="1037"/>
      <c r="DT267" s="1037"/>
      <c r="DU267" s="1037"/>
      <c r="DV267" s="1037"/>
      <c r="DW267" s="1037"/>
      <c r="DX267" s="1037"/>
      <c r="DY267" s="1037"/>
      <c r="DZ267" s="1037"/>
      <c r="EA267" s="1037"/>
      <c r="EB267" s="1037"/>
      <c r="EC267" s="1037"/>
      <c r="ED267" s="1037"/>
      <c r="EE267" s="1037"/>
      <c r="EF267" s="1037"/>
      <c r="EG267" s="1037"/>
      <c r="EH267" s="1037"/>
      <c r="EI267" s="1037"/>
      <c r="EJ267" s="1037"/>
      <c r="EK267" s="1037"/>
      <c r="EL267" s="1037"/>
      <c r="EM267" s="1037"/>
      <c r="EN267" s="1037"/>
      <c r="EO267" s="1037"/>
      <c r="EP267" s="1037"/>
      <c r="EQ267" s="1037"/>
      <c r="ER267" s="1037"/>
      <c r="ES267" s="1037"/>
      <c r="ET267" s="1037"/>
      <c r="EU267" s="1037"/>
      <c r="EV267" s="1037"/>
      <c r="EW267" s="1037"/>
      <c r="EX267" s="1037"/>
      <c r="EY267" s="1037"/>
      <c r="EZ267" s="1037"/>
      <c r="FA267" s="1037"/>
      <c r="FB267" s="1037"/>
      <c r="FC267" s="1037"/>
      <c r="FD267" s="1037"/>
      <c r="FE267" s="1037"/>
      <c r="FF267" s="1037"/>
      <c r="FG267" s="1037"/>
      <c r="FH267" s="1037"/>
      <c r="FI267" s="1037"/>
      <c r="FJ267" s="1037"/>
      <c r="FK267" s="1037"/>
      <c r="FL267" s="1037"/>
      <c r="FM267" s="1037"/>
      <c r="FN267" s="1037"/>
      <c r="FO267" s="1037"/>
      <c r="FP267" s="1037"/>
      <c r="FQ267" s="1037"/>
      <c r="FR267" s="1037"/>
      <c r="FS267" s="1037"/>
      <c r="FT267" s="1037"/>
      <c r="FU267" s="1037"/>
      <c r="FV267" s="1037"/>
      <c r="FW267" s="1037"/>
      <c r="FX267" s="1037"/>
      <c r="FY267" s="1037"/>
      <c r="FZ267" s="1037"/>
      <c r="GA267" s="1037"/>
      <c r="GB267" s="1037"/>
      <c r="GC267" s="1037"/>
      <c r="GD267" s="1037"/>
      <c r="GE267" s="1037"/>
      <c r="GF267" s="1037"/>
      <c r="GG267" s="1037"/>
      <c r="GH267" s="1037"/>
      <c r="GI267" s="1037"/>
      <c r="GJ267" s="1037"/>
      <c r="GK267" s="1037"/>
      <c r="GL267" s="1037"/>
      <c r="GM267" s="1037"/>
      <c r="GN267" s="1037"/>
      <c r="GO267" s="1037"/>
      <c r="GP267" s="1037"/>
      <c r="GQ267" s="1037"/>
      <c r="GR267" s="1037"/>
      <c r="GS267" s="1037"/>
      <c r="GT267" s="1037"/>
      <c r="GU267" s="1037"/>
      <c r="GV267" s="1037"/>
      <c r="GW267" s="1037"/>
      <c r="GX267" s="1037"/>
      <c r="GY267" s="1037"/>
      <c r="GZ267" s="1037"/>
      <c r="HA267" s="1037"/>
      <c r="HB267" s="1037"/>
      <c r="HC267" s="1037"/>
      <c r="HD267" s="1037"/>
      <c r="HE267" s="1037"/>
      <c r="HF267" s="1037"/>
      <c r="HG267" s="1037"/>
      <c r="HH267" s="1037"/>
      <c r="HI267" s="1037"/>
      <c r="HJ267" s="1037"/>
      <c r="HK267" s="1037"/>
      <c r="HL267" s="1037"/>
      <c r="HM267" s="1037"/>
      <c r="HN267" s="1037"/>
      <c r="HO267" s="1037"/>
      <c r="HP267" s="1037"/>
      <c r="HQ267" s="1037"/>
      <c r="HR267" s="1037"/>
      <c r="HS267" s="1037"/>
      <c r="HT267" s="1037"/>
      <c r="HU267" s="1037"/>
      <c r="HV267" s="1037"/>
      <c r="HW267" s="1037"/>
      <c r="HX267" s="1037"/>
      <c r="HY267" s="1037"/>
      <c r="HZ267" s="1037"/>
      <c r="IA267" s="1037"/>
      <c r="IB267" s="1037"/>
      <c r="IC267" s="1037"/>
      <c r="ID267" s="1037"/>
      <c r="IE267" s="1037"/>
      <c r="IF267" s="1037"/>
      <c r="IG267" s="1037"/>
      <c r="IH267" s="1037"/>
      <c r="II267" s="1037"/>
      <c r="IJ267" s="1037"/>
      <c r="IK267" s="1037"/>
      <c r="IL267" s="1037"/>
      <c r="IM267" s="1037"/>
      <c r="IN267" s="1037"/>
    </row>
    <row r="268" spans="1:248">
      <c r="A268" s="705" t="s">
        <v>29</v>
      </c>
      <c r="B268" s="703">
        <v>35574.800000000003</v>
      </c>
      <c r="C268" s="703">
        <v>28.921308396779011</v>
      </c>
      <c r="D268" s="706">
        <v>36458.5</v>
      </c>
      <c r="E268" s="1038">
        <v>29.639731556719006</v>
      </c>
      <c r="F268" s="1038">
        <v>-883.69999999999709</v>
      </c>
      <c r="G268" s="1038">
        <v>-0.71842315994000028</v>
      </c>
      <c r="H268" s="464">
        <v>123005.5</v>
      </c>
      <c r="I268" s="1037"/>
      <c r="J268" s="1037"/>
      <c r="K268" s="1037"/>
      <c r="L268" s="1037"/>
      <c r="M268" s="1037"/>
      <c r="N268" s="1037"/>
      <c r="O268" s="1037"/>
      <c r="P268" s="1037"/>
      <c r="Q268" s="1037"/>
      <c r="R268" s="1037"/>
      <c r="S268" s="1037"/>
      <c r="T268" s="1037"/>
      <c r="U268" s="1037"/>
      <c r="V268" s="1037"/>
      <c r="W268" s="1037"/>
      <c r="X268" s="1037"/>
      <c r="Y268" s="1037"/>
      <c r="Z268" s="1037"/>
      <c r="AA268" s="1037"/>
      <c r="AB268" s="1037"/>
      <c r="AC268" s="1037"/>
      <c r="AD268" s="1037"/>
      <c r="AE268" s="1037"/>
      <c r="AF268" s="1037"/>
      <c r="AG268" s="1037"/>
      <c r="AH268" s="1037"/>
      <c r="AI268" s="1037"/>
      <c r="AJ268" s="1037"/>
      <c r="AK268" s="1037"/>
      <c r="AL268" s="1037"/>
      <c r="AM268" s="1037"/>
      <c r="AN268" s="1037"/>
      <c r="AO268" s="1037"/>
      <c r="AP268" s="1037"/>
      <c r="AQ268" s="1037"/>
      <c r="AR268" s="1037"/>
      <c r="AS268" s="1037"/>
      <c r="AT268" s="1037"/>
      <c r="AU268" s="1037"/>
      <c r="AV268" s="1037"/>
      <c r="AW268" s="1037"/>
      <c r="AX268" s="1037"/>
      <c r="AY268" s="1037"/>
      <c r="AZ268" s="1037"/>
      <c r="BA268" s="1037"/>
      <c r="BB268" s="1037"/>
      <c r="BC268" s="1037"/>
      <c r="BD268" s="1037"/>
      <c r="BE268" s="1037"/>
      <c r="BF268" s="1037"/>
      <c r="BG268" s="1037"/>
      <c r="BH268" s="1037"/>
      <c r="BI268" s="1037"/>
      <c r="BJ268" s="1037"/>
      <c r="BK268" s="1037"/>
      <c r="BL268" s="1037"/>
      <c r="BM268" s="1037"/>
      <c r="BN268" s="1037"/>
      <c r="BO268" s="1037"/>
      <c r="BP268" s="1037"/>
      <c r="BQ268" s="1037"/>
      <c r="BR268" s="1037"/>
      <c r="BS268" s="1037"/>
      <c r="BT268" s="1037"/>
      <c r="BU268" s="1037"/>
      <c r="BV268" s="1037"/>
      <c r="BW268" s="1037"/>
      <c r="BX268" s="1037"/>
      <c r="BY268" s="1037"/>
      <c r="BZ268" s="1037"/>
      <c r="CA268" s="1037"/>
      <c r="CB268" s="1037"/>
      <c r="CC268" s="1037"/>
      <c r="CD268" s="1037"/>
      <c r="CE268" s="1037"/>
      <c r="CF268" s="1037"/>
      <c r="CG268" s="1037"/>
      <c r="CH268" s="1037"/>
      <c r="CI268" s="1037"/>
      <c r="CJ268" s="1037"/>
      <c r="CK268" s="1037"/>
      <c r="CL268" s="1037"/>
      <c r="CM268" s="1037"/>
      <c r="CN268" s="1037"/>
      <c r="CO268" s="1037"/>
      <c r="CP268" s="1037"/>
      <c r="CQ268" s="1037"/>
      <c r="CR268" s="1037"/>
      <c r="CS268" s="1037"/>
      <c r="CT268" s="1037"/>
      <c r="CU268" s="1037"/>
      <c r="CV268" s="1037"/>
      <c r="CW268" s="1037"/>
      <c r="CX268" s="1037"/>
      <c r="CY268" s="1037"/>
      <c r="CZ268" s="1037"/>
      <c r="DA268" s="1037"/>
      <c r="DB268" s="1037"/>
      <c r="DC268" s="1037"/>
      <c r="DD268" s="1037"/>
      <c r="DE268" s="1037"/>
      <c r="DF268" s="1037"/>
      <c r="DG268" s="1037"/>
      <c r="DH268" s="1037"/>
      <c r="DI268" s="1037"/>
      <c r="DJ268" s="1037"/>
      <c r="DK268" s="1037"/>
      <c r="DL268" s="1037"/>
      <c r="DM268" s="1037"/>
      <c r="DN268" s="1037"/>
      <c r="DO268" s="1037"/>
      <c r="DP268" s="1037"/>
      <c r="DQ268" s="1037"/>
      <c r="DR268" s="1037"/>
      <c r="DS268" s="1037"/>
      <c r="DT268" s="1037"/>
      <c r="DU268" s="1037"/>
      <c r="DV268" s="1037"/>
      <c r="DW268" s="1037"/>
      <c r="DX268" s="1037"/>
      <c r="DY268" s="1037"/>
      <c r="DZ268" s="1037"/>
      <c r="EA268" s="1037"/>
      <c r="EB268" s="1037"/>
      <c r="EC268" s="1037"/>
      <c r="ED268" s="1037"/>
      <c r="EE268" s="1037"/>
      <c r="EF268" s="1037"/>
      <c r="EG268" s="1037"/>
      <c r="EH268" s="1037"/>
      <c r="EI268" s="1037"/>
      <c r="EJ268" s="1037"/>
      <c r="EK268" s="1037"/>
      <c r="EL268" s="1037"/>
      <c r="EM268" s="1037"/>
      <c r="EN268" s="1037"/>
      <c r="EO268" s="1037"/>
      <c r="EP268" s="1037"/>
      <c r="EQ268" s="1037"/>
      <c r="ER268" s="1037"/>
      <c r="ES268" s="1037"/>
      <c r="ET268" s="1037"/>
      <c r="EU268" s="1037"/>
      <c r="EV268" s="1037"/>
      <c r="EW268" s="1037"/>
      <c r="EX268" s="1037"/>
      <c r="EY268" s="1037"/>
      <c r="EZ268" s="1037"/>
      <c r="FA268" s="1037"/>
      <c r="FB268" s="1037"/>
      <c r="FC268" s="1037"/>
      <c r="FD268" s="1037"/>
      <c r="FE268" s="1037"/>
      <c r="FF268" s="1037"/>
      <c r="FG268" s="1037"/>
      <c r="FH268" s="1037"/>
      <c r="FI268" s="1037"/>
      <c r="FJ268" s="1037"/>
      <c r="FK268" s="1037"/>
      <c r="FL268" s="1037"/>
      <c r="FM268" s="1037"/>
      <c r="FN268" s="1037"/>
      <c r="FO268" s="1037"/>
      <c r="FP268" s="1037"/>
      <c r="FQ268" s="1037"/>
      <c r="FR268" s="1037"/>
      <c r="FS268" s="1037"/>
      <c r="FT268" s="1037"/>
      <c r="FU268" s="1037"/>
      <c r="FV268" s="1037"/>
      <c r="FW268" s="1037"/>
      <c r="FX268" s="1037"/>
      <c r="FY268" s="1037"/>
      <c r="FZ268" s="1037"/>
      <c r="GA268" s="1037"/>
      <c r="GB268" s="1037"/>
      <c r="GC268" s="1037"/>
      <c r="GD268" s="1037"/>
      <c r="GE268" s="1037"/>
      <c r="GF268" s="1037"/>
      <c r="GG268" s="1037"/>
      <c r="GH268" s="1037"/>
      <c r="GI268" s="1037"/>
      <c r="GJ268" s="1037"/>
      <c r="GK268" s="1037"/>
      <c r="GL268" s="1037"/>
      <c r="GM268" s="1037"/>
      <c r="GN268" s="1037"/>
      <c r="GO268" s="1037"/>
      <c r="GP268" s="1037"/>
      <c r="GQ268" s="1037"/>
      <c r="GR268" s="1037"/>
      <c r="GS268" s="1037"/>
      <c r="GT268" s="1037"/>
      <c r="GU268" s="1037"/>
      <c r="GV268" s="1037"/>
      <c r="GW268" s="1037"/>
      <c r="GX268" s="1037"/>
      <c r="GY268" s="1037"/>
      <c r="GZ268" s="1037"/>
      <c r="HA268" s="1037"/>
      <c r="HB268" s="1037"/>
      <c r="HC268" s="1037"/>
      <c r="HD268" s="1037"/>
      <c r="HE268" s="1037"/>
      <c r="HF268" s="1037"/>
      <c r="HG268" s="1037"/>
      <c r="HH268" s="1037"/>
      <c r="HI268" s="1037"/>
      <c r="HJ268" s="1037"/>
      <c r="HK268" s="1037"/>
      <c r="HL268" s="1037"/>
      <c r="HM268" s="1037"/>
      <c r="HN268" s="1037"/>
      <c r="HO268" s="1037"/>
      <c r="HP268" s="1037"/>
      <c r="HQ268" s="1037"/>
      <c r="HR268" s="1037"/>
      <c r="HS268" s="1037"/>
      <c r="HT268" s="1037"/>
      <c r="HU268" s="1037"/>
      <c r="HV268" s="1037"/>
      <c r="HW268" s="1037"/>
      <c r="HX268" s="1037"/>
      <c r="HY268" s="1037"/>
      <c r="HZ268" s="1037"/>
      <c r="IA268" s="1037"/>
      <c r="IB268" s="1037"/>
      <c r="IC268" s="1037"/>
      <c r="ID268" s="1037"/>
      <c r="IE268" s="1037"/>
      <c r="IF268" s="1037"/>
      <c r="IG268" s="1037"/>
      <c r="IH268" s="1037"/>
      <c r="II268" s="1037"/>
      <c r="IJ268" s="1037"/>
      <c r="IK268" s="1037"/>
      <c r="IL268" s="1037"/>
      <c r="IM268" s="1037"/>
      <c r="IN268" s="1037"/>
    </row>
    <row r="269" spans="1:248">
      <c r="A269" s="705" t="s">
        <v>4086</v>
      </c>
      <c r="B269" s="703"/>
      <c r="C269" s="703"/>
      <c r="D269" s="706"/>
      <c r="E269" s="1038"/>
      <c r="F269" s="1038"/>
      <c r="G269" s="1038"/>
      <c r="H269" s="464"/>
      <c r="I269" s="1037"/>
      <c r="J269" s="1037"/>
      <c r="K269" s="1037"/>
      <c r="L269" s="1037"/>
      <c r="M269" s="1037"/>
      <c r="N269" s="1037"/>
      <c r="O269" s="1037"/>
      <c r="P269" s="1037"/>
      <c r="Q269" s="1037"/>
      <c r="R269" s="1037"/>
      <c r="S269" s="1037"/>
      <c r="T269" s="1037"/>
      <c r="U269" s="1037"/>
      <c r="V269" s="1037"/>
      <c r="W269" s="1037"/>
      <c r="X269" s="1037"/>
      <c r="Y269" s="1037"/>
      <c r="Z269" s="1037"/>
      <c r="AA269" s="1037"/>
      <c r="AB269" s="1037"/>
      <c r="AC269" s="1037"/>
      <c r="AD269" s="1037"/>
      <c r="AE269" s="1037"/>
      <c r="AF269" s="1037"/>
      <c r="AG269" s="1037"/>
      <c r="AH269" s="1037"/>
      <c r="AI269" s="1037"/>
      <c r="AJ269" s="1037"/>
      <c r="AK269" s="1037"/>
      <c r="AL269" s="1037"/>
      <c r="AM269" s="1037"/>
      <c r="AN269" s="1037"/>
      <c r="AO269" s="1037"/>
      <c r="AP269" s="1037"/>
      <c r="AQ269" s="1037"/>
      <c r="AR269" s="1037"/>
      <c r="AS269" s="1037"/>
      <c r="AT269" s="1037"/>
      <c r="AU269" s="1037"/>
      <c r="AV269" s="1037"/>
      <c r="AW269" s="1037"/>
      <c r="AX269" s="1037"/>
      <c r="AY269" s="1037"/>
      <c r="AZ269" s="1037"/>
      <c r="BA269" s="1037"/>
      <c r="BB269" s="1037"/>
      <c r="BC269" s="1037"/>
      <c r="BD269" s="1037"/>
      <c r="BE269" s="1037"/>
      <c r="BF269" s="1037"/>
      <c r="BG269" s="1037"/>
      <c r="BH269" s="1037"/>
      <c r="BI269" s="1037"/>
      <c r="BJ269" s="1037"/>
      <c r="BK269" s="1037"/>
      <c r="BL269" s="1037"/>
      <c r="BM269" s="1037"/>
      <c r="BN269" s="1037"/>
      <c r="BO269" s="1037"/>
      <c r="BP269" s="1037"/>
      <c r="BQ269" s="1037"/>
      <c r="BR269" s="1037"/>
      <c r="BS269" s="1037"/>
      <c r="BT269" s="1037"/>
      <c r="BU269" s="1037"/>
      <c r="BV269" s="1037"/>
      <c r="BW269" s="1037"/>
      <c r="BX269" s="1037"/>
      <c r="BY269" s="1037"/>
      <c r="BZ269" s="1037"/>
      <c r="CA269" s="1037"/>
      <c r="CB269" s="1037"/>
      <c r="CC269" s="1037"/>
      <c r="CD269" s="1037"/>
      <c r="CE269" s="1037"/>
      <c r="CF269" s="1037"/>
      <c r="CG269" s="1037"/>
      <c r="CH269" s="1037"/>
      <c r="CI269" s="1037"/>
      <c r="CJ269" s="1037"/>
      <c r="CK269" s="1037"/>
      <c r="CL269" s="1037"/>
      <c r="CM269" s="1037"/>
      <c r="CN269" s="1037"/>
      <c r="CO269" s="1037"/>
      <c r="CP269" s="1037"/>
      <c r="CQ269" s="1037"/>
      <c r="CR269" s="1037"/>
      <c r="CS269" s="1037"/>
      <c r="CT269" s="1037"/>
      <c r="CU269" s="1037"/>
      <c r="CV269" s="1037"/>
      <c r="CW269" s="1037"/>
      <c r="CX269" s="1037"/>
      <c r="CY269" s="1037"/>
      <c r="CZ269" s="1037"/>
      <c r="DA269" s="1037"/>
      <c r="DB269" s="1037"/>
      <c r="DC269" s="1037"/>
      <c r="DD269" s="1037"/>
      <c r="DE269" s="1037"/>
      <c r="DF269" s="1037"/>
      <c r="DG269" s="1037"/>
      <c r="DH269" s="1037"/>
      <c r="DI269" s="1037"/>
      <c r="DJ269" s="1037"/>
      <c r="DK269" s="1037"/>
      <c r="DL269" s="1037"/>
      <c r="DM269" s="1037"/>
      <c r="DN269" s="1037"/>
      <c r="DO269" s="1037"/>
      <c r="DP269" s="1037"/>
      <c r="DQ269" s="1037"/>
      <c r="DR269" s="1037"/>
      <c r="DS269" s="1037"/>
      <c r="DT269" s="1037"/>
      <c r="DU269" s="1037"/>
      <c r="DV269" s="1037"/>
      <c r="DW269" s="1037"/>
      <c r="DX269" s="1037"/>
      <c r="DY269" s="1037"/>
      <c r="DZ269" s="1037"/>
      <c r="EA269" s="1037"/>
      <c r="EB269" s="1037"/>
      <c r="EC269" s="1037"/>
      <c r="ED269" s="1037"/>
      <c r="EE269" s="1037"/>
      <c r="EF269" s="1037"/>
      <c r="EG269" s="1037"/>
      <c r="EH269" s="1037"/>
      <c r="EI269" s="1037"/>
      <c r="EJ269" s="1037"/>
      <c r="EK269" s="1037"/>
      <c r="EL269" s="1037"/>
      <c r="EM269" s="1037"/>
      <c r="EN269" s="1037"/>
      <c r="EO269" s="1037"/>
      <c r="EP269" s="1037"/>
      <c r="EQ269" s="1037"/>
      <c r="ER269" s="1037"/>
      <c r="ES269" s="1037"/>
      <c r="ET269" s="1037"/>
      <c r="EU269" s="1037"/>
      <c r="EV269" s="1037"/>
      <c r="EW269" s="1037"/>
      <c r="EX269" s="1037"/>
      <c r="EY269" s="1037"/>
      <c r="EZ269" s="1037"/>
      <c r="FA269" s="1037"/>
      <c r="FB269" s="1037"/>
      <c r="FC269" s="1037"/>
      <c r="FD269" s="1037"/>
      <c r="FE269" s="1037"/>
      <c r="FF269" s="1037"/>
      <c r="FG269" s="1037"/>
      <c r="FH269" s="1037"/>
      <c r="FI269" s="1037"/>
      <c r="FJ269" s="1037"/>
      <c r="FK269" s="1037"/>
      <c r="FL269" s="1037"/>
      <c r="FM269" s="1037"/>
      <c r="FN269" s="1037"/>
      <c r="FO269" s="1037"/>
      <c r="FP269" s="1037"/>
      <c r="FQ269" s="1037"/>
      <c r="FR269" s="1037"/>
      <c r="FS269" s="1037"/>
      <c r="FT269" s="1037"/>
      <c r="FU269" s="1037"/>
      <c r="FV269" s="1037"/>
      <c r="FW269" s="1037"/>
      <c r="FX269" s="1037"/>
      <c r="FY269" s="1037"/>
      <c r="FZ269" s="1037"/>
      <c r="GA269" s="1037"/>
      <c r="GB269" s="1037"/>
      <c r="GC269" s="1037"/>
      <c r="GD269" s="1037"/>
      <c r="GE269" s="1037"/>
      <c r="GF269" s="1037"/>
      <c r="GG269" s="1037"/>
      <c r="GH269" s="1037"/>
      <c r="GI269" s="1037"/>
      <c r="GJ269" s="1037"/>
      <c r="GK269" s="1037"/>
      <c r="GL269" s="1037"/>
      <c r="GM269" s="1037"/>
      <c r="GN269" s="1037"/>
      <c r="GO269" s="1037"/>
      <c r="GP269" s="1037"/>
      <c r="GQ269" s="1037"/>
      <c r="GR269" s="1037"/>
      <c r="GS269" s="1037"/>
      <c r="GT269" s="1037"/>
      <c r="GU269" s="1037"/>
      <c r="GV269" s="1037"/>
      <c r="GW269" s="1037"/>
      <c r="GX269" s="1037"/>
      <c r="GY269" s="1037"/>
      <c r="GZ269" s="1037"/>
      <c r="HA269" s="1037"/>
      <c r="HB269" s="1037"/>
      <c r="HC269" s="1037"/>
      <c r="HD269" s="1037"/>
      <c r="HE269" s="1037"/>
      <c r="HF269" s="1037"/>
      <c r="HG269" s="1037"/>
      <c r="HH269" s="1037"/>
      <c r="HI269" s="1037"/>
      <c r="HJ269" s="1037"/>
      <c r="HK269" s="1037"/>
      <c r="HL269" s="1037"/>
      <c r="HM269" s="1037"/>
      <c r="HN269" s="1037"/>
      <c r="HO269" s="1037"/>
      <c r="HP269" s="1037"/>
      <c r="HQ269" s="1037"/>
      <c r="HR269" s="1037"/>
      <c r="HS269" s="1037"/>
      <c r="HT269" s="1037"/>
      <c r="HU269" s="1037"/>
      <c r="HV269" s="1037"/>
      <c r="HW269" s="1037"/>
      <c r="HX269" s="1037"/>
      <c r="HY269" s="1037"/>
      <c r="HZ269" s="1037"/>
      <c r="IA269" s="1037"/>
      <c r="IB269" s="1037"/>
      <c r="IC269" s="1037"/>
      <c r="ID269" s="1037"/>
      <c r="IE269" s="1037"/>
      <c r="IF269" s="1037"/>
      <c r="IG269" s="1037"/>
      <c r="IH269" s="1037"/>
      <c r="II269" s="1037"/>
      <c r="IJ269" s="1037"/>
      <c r="IK269" s="1037"/>
      <c r="IL269" s="1037"/>
      <c r="IM269" s="1037"/>
      <c r="IN269" s="1037"/>
    </row>
    <row r="270" spans="1:248">
      <c r="A270" s="705" t="s">
        <v>18</v>
      </c>
      <c r="B270" s="703">
        <v>3465.9</v>
      </c>
      <c r="C270" s="703">
        <v>37.957507392399521</v>
      </c>
      <c r="D270" s="706">
        <v>1723.7</v>
      </c>
      <c r="E270" s="1038">
        <v>18.877450443543971</v>
      </c>
      <c r="F270" s="1038">
        <v>1742.2</v>
      </c>
      <c r="G270" s="1038">
        <v>19.080056948855546</v>
      </c>
      <c r="H270" s="464">
        <v>9131</v>
      </c>
      <c r="I270" s="1037"/>
      <c r="J270" s="1037"/>
      <c r="K270" s="1037"/>
      <c r="L270" s="1037"/>
      <c r="M270" s="1037"/>
      <c r="N270" s="1037"/>
      <c r="O270" s="1037"/>
      <c r="P270" s="1037"/>
      <c r="Q270" s="1037"/>
      <c r="R270" s="1037"/>
      <c r="S270" s="1037"/>
      <c r="T270" s="1037"/>
      <c r="U270" s="1037"/>
      <c r="V270" s="1037"/>
      <c r="W270" s="1037"/>
      <c r="X270" s="1037"/>
      <c r="Y270" s="1037"/>
      <c r="Z270" s="1037"/>
      <c r="AA270" s="1037"/>
      <c r="AB270" s="1037"/>
      <c r="AC270" s="1037"/>
      <c r="AD270" s="1037"/>
      <c r="AE270" s="1037"/>
      <c r="AF270" s="1037"/>
      <c r="AG270" s="1037"/>
      <c r="AH270" s="1037"/>
      <c r="AI270" s="1037"/>
      <c r="AJ270" s="1037"/>
      <c r="AK270" s="1037"/>
      <c r="AL270" s="1037"/>
      <c r="AM270" s="1037"/>
      <c r="AN270" s="1037"/>
      <c r="AO270" s="1037"/>
      <c r="AP270" s="1037"/>
      <c r="AQ270" s="1037"/>
      <c r="AR270" s="1037"/>
      <c r="AS270" s="1037"/>
      <c r="AT270" s="1037"/>
      <c r="AU270" s="1037"/>
      <c r="AV270" s="1037"/>
      <c r="AW270" s="1037"/>
      <c r="AX270" s="1037"/>
      <c r="AY270" s="1037"/>
      <c r="AZ270" s="1037"/>
      <c r="BA270" s="1037"/>
      <c r="BB270" s="1037"/>
      <c r="BC270" s="1037"/>
      <c r="BD270" s="1037"/>
      <c r="BE270" s="1037"/>
      <c r="BF270" s="1037"/>
      <c r="BG270" s="1037"/>
      <c r="BH270" s="1037"/>
      <c r="BI270" s="1037"/>
      <c r="BJ270" s="1037"/>
      <c r="BK270" s="1037"/>
      <c r="BL270" s="1037"/>
      <c r="BM270" s="1037"/>
      <c r="BN270" s="1037"/>
      <c r="BO270" s="1037"/>
      <c r="BP270" s="1037"/>
      <c r="BQ270" s="1037"/>
      <c r="BR270" s="1037"/>
      <c r="BS270" s="1037"/>
      <c r="BT270" s="1037"/>
      <c r="BU270" s="1037"/>
      <c r="BV270" s="1037"/>
      <c r="BW270" s="1037"/>
      <c r="BX270" s="1037"/>
      <c r="BY270" s="1037"/>
      <c r="BZ270" s="1037"/>
      <c r="CA270" s="1037"/>
      <c r="CB270" s="1037"/>
      <c r="CC270" s="1037"/>
      <c r="CD270" s="1037"/>
      <c r="CE270" s="1037"/>
      <c r="CF270" s="1037"/>
      <c r="CG270" s="1037"/>
      <c r="CH270" s="1037"/>
      <c r="CI270" s="1037"/>
      <c r="CJ270" s="1037"/>
      <c r="CK270" s="1037"/>
      <c r="CL270" s="1037"/>
      <c r="CM270" s="1037"/>
      <c r="CN270" s="1037"/>
      <c r="CO270" s="1037"/>
      <c r="CP270" s="1037"/>
      <c r="CQ270" s="1037"/>
      <c r="CR270" s="1037"/>
      <c r="CS270" s="1037"/>
      <c r="CT270" s="1037"/>
      <c r="CU270" s="1037"/>
      <c r="CV270" s="1037"/>
      <c r="CW270" s="1037"/>
      <c r="CX270" s="1037"/>
      <c r="CY270" s="1037"/>
      <c r="CZ270" s="1037"/>
      <c r="DA270" s="1037"/>
      <c r="DB270" s="1037"/>
      <c r="DC270" s="1037"/>
      <c r="DD270" s="1037"/>
      <c r="DE270" s="1037"/>
      <c r="DF270" s="1037"/>
      <c r="DG270" s="1037"/>
      <c r="DH270" s="1037"/>
      <c r="DI270" s="1037"/>
      <c r="DJ270" s="1037"/>
      <c r="DK270" s="1037"/>
      <c r="DL270" s="1037"/>
      <c r="DM270" s="1037"/>
      <c r="DN270" s="1037"/>
      <c r="DO270" s="1037"/>
      <c r="DP270" s="1037"/>
      <c r="DQ270" s="1037"/>
      <c r="DR270" s="1037"/>
      <c r="DS270" s="1037"/>
      <c r="DT270" s="1037"/>
      <c r="DU270" s="1037"/>
      <c r="DV270" s="1037"/>
      <c r="DW270" s="1037"/>
      <c r="DX270" s="1037"/>
      <c r="DY270" s="1037"/>
      <c r="DZ270" s="1037"/>
      <c r="EA270" s="1037"/>
      <c r="EB270" s="1037"/>
      <c r="EC270" s="1037"/>
      <c r="ED270" s="1037"/>
      <c r="EE270" s="1037"/>
      <c r="EF270" s="1037"/>
      <c r="EG270" s="1037"/>
      <c r="EH270" s="1037"/>
      <c r="EI270" s="1037"/>
      <c r="EJ270" s="1037"/>
      <c r="EK270" s="1037"/>
      <c r="EL270" s="1037"/>
      <c r="EM270" s="1037"/>
      <c r="EN270" s="1037"/>
      <c r="EO270" s="1037"/>
      <c r="EP270" s="1037"/>
      <c r="EQ270" s="1037"/>
      <c r="ER270" s="1037"/>
      <c r="ES270" s="1037"/>
      <c r="ET270" s="1037"/>
      <c r="EU270" s="1037"/>
      <c r="EV270" s="1037"/>
      <c r="EW270" s="1037"/>
      <c r="EX270" s="1037"/>
      <c r="EY270" s="1037"/>
      <c r="EZ270" s="1037"/>
      <c r="FA270" s="1037"/>
      <c r="FB270" s="1037"/>
      <c r="FC270" s="1037"/>
      <c r="FD270" s="1037"/>
      <c r="FE270" s="1037"/>
      <c r="FF270" s="1037"/>
      <c r="FG270" s="1037"/>
      <c r="FH270" s="1037"/>
      <c r="FI270" s="1037"/>
      <c r="FJ270" s="1037"/>
      <c r="FK270" s="1037"/>
      <c r="FL270" s="1037"/>
      <c r="FM270" s="1037"/>
      <c r="FN270" s="1037"/>
      <c r="FO270" s="1037"/>
      <c r="FP270" s="1037"/>
      <c r="FQ270" s="1037"/>
      <c r="FR270" s="1037"/>
      <c r="FS270" s="1037"/>
      <c r="FT270" s="1037"/>
      <c r="FU270" s="1037"/>
      <c r="FV270" s="1037"/>
      <c r="FW270" s="1037"/>
      <c r="FX270" s="1037"/>
      <c r="FY270" s="1037"/>
      <c r="FZ270" s="1037"/>
      <c r="GA270" s="1037"/>
      <c r="GB270" s="1037"/>
      <c r="GC270" s="1037"/>
      <c r="GD270" s="1037"/>
      <c r="GE270" s="1037"/>
      <c r="GF270" s="1037"/>
      <c r="GG270" s="1037"/>
      <c r="GH270" s="1037"/>
      <c r="GI270" s="1037"/>
      <c r="GJ270" s="1037"/>
      <c r="GK270" s="1037"/>
      <c r="GL270" s="1037"/>
      <c r="GM270" s="1037"/>
      <c r="GN270" s="1037"/>
      <c r="GO270" s="1037"/>
      <c r="GP270" s="1037"/>
      <c r="GQ270" s="1037"/>
      <c r="GR270" s="1037"/>
      <c r="GS270" s="1037"/>
      <c r="GT270" s="1037"/>
      <c r="GU270" s="1037"/>
      <c r="GV270" s="1037"/>
      <c r="GW270" s="1037"/>
      <c r="GX270" s="1037"/>
      <c r="GY270" s="1037"/>
      <c r="GZ270" s="1037"/>
      <c r="HA270" s="1037"/>
      <c r="HB270" s="1037"/>
      <c r="HC270" s="1037"/>
      <c r="HD270" s="1037"/>
      <c r="HE270" s="1037"/>
      <c r="HF270" s="1037"/>
      <c r="HG270" s="1037"/>
      <c r="HH270" s="1037"/>
      <c r="HI270" s="1037"/>
      <c r="HJ270" s="1037"/>
      <c r="HK270" s="1037"/>
      <c r="HL270" s="1037"/>
      <c r="HM270" s="1037"/>
      <c r="HN270" s="1037"/>
      <c r="HO270" s="1037"/>
      <c r="HP270" s="1037"/>
      <c r="HQ270" s="1037"/>
      <c r="HR270" s="1037"/>
      <c r="HS270" s="1037"/>
      <c r="HT270" s="1037"/>
      <c r="HU270" s="1037"/>
      <c r="HV270" s="1037"/>
      <c r="HW270" s="1037"/>
      <c r="HX270" s="1037"/>
      <c r="HY270" s="1037"/>
      <c r="HZ270" s="1037"/>
      <c r="IA270" s="1037"/>
      <c r="IB270" s="1037"/>
      <c r="IC270" s="1037"/>
      <c r="ID270" s="1037"/>
      <c r="IE270" s="1037"/>
      <c r="IF270" s="1037"/>
      <c r="IG270" s="1037"/>
      <c r="IH270" s="1037"/>
      <c r="II270" s="1037"/>
      <c r="IJ270" s="1037"/>
      <c r="IK270" s="1037"/>
      <c r="IL270" s="1037"/>
      <c r="IM270" s="1037"/>
      <c r="IN270" s="1037"/>
    </row>
    <row r="271" spans="1:248">
      <c r="A271" s="705" t="s">
        <v>19</v>
      </c>
      <c r="B271" s="931">
        <v>6555</v>
      </c>
      <c r="C271" s="703">
        <f>+B271/H271*100</f>
        <v>35.285758118954178</v>
      </c>
      <c r="D271" s="706">
        <v>5253</v>
      </c>
      <c r="E271" s="1038">
        <f t="shared" ref="E271" si="39">D271/H271*100</f>
        <v>28.27705376031523</v>
      </c>
      <c r="F271" s="1038">
        <f>B271-D271</f>
        <v>1302</v>
      </c>
      <c r="G271" s="1038">
        <f t="shared" ref="G271" si="40">F271/H271*100</f>
        <v>7.0087043586389548</v>
      </c>
      <c r="H271" s="464">
        <v>18576.900000000001</v>
      </c>
      <c r="I271" s="1037"/>
      <c r="J271" s="1037"/>
      <c r="K271" s="1037"/>
      <c r="L271" s="1037"/>
      <c r="M271" s="1037"/>
      <c r="N271" s="1037"/>
      <c r="O271" s="1037"/>
      <c r="P271" s="1037"/>
      <c r="Q271" s="1037"/>
      <c r="R271" s="1037"/>
      <c r="S271" s="1037"/>
      <c r="T271" s="1037"/>
      <c r="U271" s="1037"/>
      <c r="V271" s="1037"/>
      <c r="W271" s="1037"/>
      <c r="X271" s="1037"/>
      <c r="Y271" s="1037"/>
      <c r="Z271" s="1037"/>
      <c r="AA271" s="1037"/>
      <c r="AB271" s="1037"/>
      <c r="AC271" s="1037"/>
      <c r="AD271" s="1037"/>
      <c r="AE271" s="1037"/>
      <c r="AF271" s="1037"/>
      <c r="AG271" s="1037"/>
      <c r="AH271" s="1037"/>
      <c r="AI271" s="1037"/>
      <c r="AJ271" s="1037"/>
      <c r="AK271" s="1037"/>
      <c r="AL271" s="1037"/>
      <c r="AM271" s="1037"/>
      <c r="AN271" s="1037"/>
      <c r="AO271" s="1037"/>
      <c r="AP271" s="1037"/>
      <c r="AQ271" s="1037"/>
      <c r="AR271" s="1037"/>
      <c r="AS271" s="1037"/>
      <c r="AT271" s="1037"/>
      <c r="AU271" s="1037"/>
      <c r="AV271" s="1037"/>
      <c r="AW271" s="1037"/>
      <c r="AX271" s="1037"/>
      <c r="AY271" s="1037"/>
      <c r="AZ271" s="1037"/>
      <c r="BA271" s="1037"/>
      <c r="BB271" s="1037"/>
      <c r="BC271" s="1037"/>
      <c r="BD271" s="1037"/>
      <c r="BE271" s="1037"/>
      <c r="BF271" s="1037"/>
      <c r="BG271" s="1037"/>
      <c r="BH271" s="1037"/>
      <c r="BI271" s="1037"/>
      <c r="BJ271" s="1037"/>
      <c r="BK271" s="1037"/>
      <c r="BL271" s="1037"/>
      <c r="BM271" s="1037"/>
      <c r="BN271" s="1037"/>
      <c r="BO271" s="1037"/>
      <c r="BP271" s="1037"/>
      <c r="BQ271" s="1037"/>
      <c r="BR271" s="1037"/>
      <c r="BS271" s="1037"/>
      <c r="BT271" s="1037"/>
      <c r="BU271" s="1037"/>
      <c r="BV271" s="1037"/>
      <c r="BW271" s="1037"/>
      <c r="BX271" s="1037"/>
      <c r="BY271" s="1037"/>
      <c r="BZ271" s="1037"/>
      <c r="CA271" s="1037"/>
      <c r="CB271" s="1037"/>
      <c r="CC271" s="1037"/>
      <c r="CD271" s="1037"/>
      <c r="CE271" s="1037"/>
      <c r="CF271" s="1037"/>
      <c r="CG271" s="1037"/>
      <c r="CH271" s="1037"/>
      <c r="CI271" s="1037"/>
      <c r="CJ271" s="1037"/>
      <c r="CK271" s="1037"/>
      <c r="CL271" s="1037"/>
      <c r="CM271" s="1037"/>
      <c r="CN271" s="1037"/>
      <c r="CO271" s="1037"/>
      <c r="CP271" s="1037"/>
      <c r="CQ271" s="1037"/>
      <c r="CR271" s="1037"/>
      <c r="CS271" s="1037"/>
      <c r="CT271" s="1037"/>
      <c r="CU271" s="1037"/>
      <c r="CV271" s="1037"/>
      <c r="CW271" s="1037"/>
      <c r="CX271" s="1037"/>
      <c r="CY271" s="1037"/>
      <c r="CZ271" s="1037"/>
      <c r="DA271" s="1037"/>
      <c r="DB271" s="1037"/>
      <c r="DC271" s="1037"/>
      <c r="DD271" s="1037"/>
      <c r="DE271" s="1037"/>
      <c r="DF271" s="1037"/>
      <c r="DG271" s="1037"/>
      <c r="DH271" s="1037"/>
      <c r="DI271" s="1037"/>
      <c r="DJ271" s="1037"/>
      <c r="DK271" s="1037"/>
      <c r="DL271" s="1037"/>
      <c r="DM271" s="1037"/>
      <c r="DN271" s="1037"/>
      <c r="DO271" s="1037"/>
      <c r="DP271" s="1037"/>
      <c r="DQ271" s="1037"/>
      <c r="DR271" s="1037"/>
      <c r="DS271" s="1037"/>
      <c r="DT271" s="1037"/>
      <c r="DU271" s="1037"/>
      <c r="DV271" s="1037"/>
      <c r="DW271" s="1037"/>
      <c r="DX271" s="1037"/>
      <c r="DY271" s="1037"/>
      <c r="DZ271" s="1037"/>
      <c r="EA271" s="1037"/>
      <c r="EB271" s="1037"/>
      <c r="EC271" s="1037"/>
      <c r="ED271" s="1037"/>
      <c r="EE271" s="1037"/>
      <c r="EF271" s="1037"/>
      <c r="EG271" s="1037"/>
      <c r="EH271" s="1037"/>
      <c r="EI271" s="1037"/>
      <c r="EJ271" s="1037"/>
      <c r="EK271" s="1037"/>
      <c r="EL271" s="1037"/>
      <c r="EM271" s="1037"/>
      <c r="EN271" s="1037"/>
      <c r="EO271" s="1037"/>
      <c r="EP271" s="1037"/>
      <c r="EQ271" s="1037"/>
      <c r="ER271" s="1037"/>
      <c r="ES271" s="1037"/>
      <c r="ET271" s="1037"/>
      <c r="EU271" s="1037"/>
      <c r="EV271" s="1037"/>
      <c r="EW271" s="1037"/>
      <c r="EX271" s="1037"/>
      <c r="EY271" s="1037"/>
      <c r="EZ271" s="1037"/>
      <c r="FA271" s="1037"/>
      <c r="FB271" s="1037"/>
      <c r="FC271" s="1037"/>
      <c r="FD271" s="1037"/>
      <c r="FE271" s="1037"/>
      <c r="FF271" s="1037"/>
      <c r="FG271" s="1037"/>
      <c r="FH271" s="1037"/>
      <c r="FI271" s="1037"/>
      <c r="FJ271" s="1037"/>
      <c r="FK271" s="1037"/>
      <c r="FL271" s="1037"/>
      <c r="FM271" s="1037"/>
      <c r="FN271" s="1037"/>
      <c r="FO271" s="1037"/>
      <c r="FP271" s="1037"/>
      <c r="FQ271" s="1037"/>
      <c r="FR271" s="1037"/>
      <c r="FS271" s="1037"/>
      <c r="FT271" s="1037"/>
      <c r="FU271" s="1037"/>
      <c r="FV271" s="1037"/>
      <c r="FW271" s="1037"/>
      <c r="FX271" s="1037"/>
      <c r="FY271" s="1037"/>
      <c r="FZ271" s="1037"/>
      <c r="GA271" s="1037"/>
      <c r="GB271" s="1037"/>
      <c r="GC271" s="1037"/>
      <c r="GD271" s="1037"/>
      <c r="GE271" s="1037"/>
      <c r="GF271" s="1037"/>
      <c r="GG271" s="1037"/>
      <c r="GH271" s="1037"/>
      <c r="GI271" s="1037"/>
      <c r="GJ271" s="1037"/>
      <c r="GK271" s="1037"/>
      <c r="GL271" s="1037"/>
      <c r="GM271" s="1037"/>
      <c r="GN271" s="1037"/>
      <c r="GO271" s="1037"/>
      <c r="GP271" s="1037"/>
      <c r="GQ271" s="1037"/>
      <c r="GR271" s="1037"/>
      <c r="GS271" s="1037"/>
      <c r="GT271" s="1037"/>
      <c r="GU271" s="1037"/>
      <c r="GV271" s="1037"/>
      <c r="GW271" s="1037"/>
      <c r="GX271" s="1037"/>
      <c r="GY271" s="1037"/>
      <c r="GZ271" s="1037"/>
      <c r="HA271" s="1037"/>
      <c r="HB271" s="1037"/>
      <c r="HC271" s="1037"/>
      <c r="HD271" s="1037"/>
      <c r="HE271" s="1037"/>
      <c r="HF271" s="1037"/>
      <c r="HG271" s="1037"/>
      <c r="HH271" s="1037"/>
      <c r="HI271" s="1037"/>
      <c r="HJ271" s="1037"/>
      <c r="HK271" s="1037"/>
      <c r="HL271" s="1037"/>
      <c r="HM271" s="1037"/>
      <c r="HN271" s="1037"/>
      <c r="HO271" s="1037"/>
      <c r="HP271" s="1037"/>
      <c r="HQ271" s="1037"/>
      <c r="HR271" s="1037"/>
      <c r="HS271" s="1037"/>
      <c r="HT271" s="1037"/>
      <c r="HU271" s="1037"/>
      <c r="HV271" s="1037"/>
      <c r="HW271" s="1037"/>
      <c r="HX271" s="1037"/>
      <c r="HY271" s="1037"/>
      <c r="HZ271" s="1037"/>
      <c r="IA271" s="1037"/>
      <c r="IB271" s="1037"/>
      <c r="IC271" s="1037"/>
      <c r="ID271" s="1037"/>
      <c r="IE271" s="1037"/>
      <c r="IF271" s="1037"/>
      <c r="IG271" s="1037"/>
      <c r="IH271" s="1037"/>
      <c r="II271" s="1037"/>
      <c r="IJ271" s="1037"/>
      <c r="IK271" s="1037"/>
      <c r="IL271" s="1037"/>
      <c r="IM271" s="1037"/>
      <c r="IN271" s="1037"/>
    </row>
    <row r="272" spans="1:248" s="1034" customFormat="1" ht="30" customHeight="1">
      <c r="A272" s="2158" t="s">
        <v>2872</v>
      </c>
      <c r="B272" s="2159"/>
      <c r="C272" s="2159"/>
      <c r="D272" s="2159"/>
      <c r="E272" s="2159"/>
      <c r="F272" s="2159"/>
      <c r="G272" s="2160"/>
      <c r="H272" s="1036"/>
      <c r="I272" s="1035"/>
    </row>
    <row r="273" spans="1:8">
      <c r="A273" s="2161"/>
      <c r="B273" s="2161"/>
      <c r="C273" s="2161"/>
      <c r="D273" s="2161"/>
      <c r="E273" s="2161"/>
      <c r="F273" s="2161"/>
      <c r="G273" s="2161"/>
      <c r="H273" s="27"/>
    </row>
    <row r="274" spans="1:8">
      <c r="B274" s="1033"/>
      <c r="D274" s="1033"/>
    </row>
  </sheetData>
  <mergeCells count="9">
    <mergeCell ref="A272:G272"/>
    <mergeCell ref="A273:G273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7" orientation="portrait" verticalDpi="0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8"/>
  <sheetViews>
    <sheetView showGridLines="0" view="pageBreakPreview" zoomScaleNormal="70" zoomScaleSheetLayoutView="100" workbookViewId="0">
      <pane ySplit="17" topLeftCell="A198" activePane="bottomLeft" state="frozen"/>
      <selection activeCell="G291" sqref="G291"/>
      <selection pane="bottomLeft" activeCell="D210" sqref="D210"/>
    </sheetView>
  </sheetViews>
  <sheetFormatPr defaultColWidth="8.88671875" defaultRowHeight="13.2"/>
  <cols>
    <col min="1" max="1" width="9.6640625" style="1768" customWidth="1"/>
    <col min="2" max="3" width="13" style="1767" customWidth="1"/>
    <col min="4" max="4" width="8.88671875" style="1767"/>
    <col min="5" max="5" width="10.88671875" style="1767" customWidth="1"/>
    <col min="6" max="7" width="8.88671875" style="1767"/>
    <col min="8" max="8" width="10.33203125" style="1767" customWidth="1"/>
    <col min="9" max="9" width="10.6640625" style="1767" customWidth="1"/>
    <col min="10" max="10" width="12.33203125" style="1767" customWidth="1"/>
    <col min="11" max="11" width="10.88671875" style="1767" customWidth="1"/>
    <col min="12" max="12" width="10.6640625" style="1767" customWidth="1"/>
    <col min="13" max="13" width="11.33203125" style="1767" customWidth="1"/>
    <col min="14" max="14" width="10.6640625" style="1767" customWidth="1"/>
    <col min="15" max="15" width="10.88671875" style="1767" customWidth="1"/>
    <col min="16" max="16" width="10.44140625" style="1767" customWidth="1"/>
    <col min="17" max="17" width="10.88671875" style="1767" customWidth="1"/>
    <col min="18" max="18" width="16" style="1767" customWidth="1"/>
    <col min="19" max="19" width="17.88671875" style="1767" customWidth="1"/>
    <col min="20" max="20" width="14.5546875" style="1767" customWidth="1"/>
    <col min="21" max="21" width="13.88671875" style="1767" customWidth="1"/>
    <col min="22" max="22" width="16" style="1767" customWidth="1"/>
    <col min="23" max="23" width="16.5546875" style="1767" customWidth="1"/>
    <col min="24" max="24" width="11.33203125" style="1767" customWidth="1"/>
    <col min="25" max="29" width="10.6640625" style="1767" customWidth="1"/>
    <col min="30" max="30" width="10.88671875" style="1767" customWidth="1"/>
    <col min="31" max="31" width="11.44140625" style="1767" customWidth="1"/>
    <col min="32" max="32" width="11" style="1767" customWidth="1"/>
    <col min="33" max="33" width="10.88671875" style="1767" customWidth="1"/>
    <col min="34" max="34" width="11.6640625" style="1767" customWidth="1"/>
    <col min="35" max="37" width="10.88671875" style="1767" customWidth="1"/>
    <col min="38" max="38" width="10.5546875" style="1767" customWidth="1"/>
    <col min="39" max="39" width="16.33203125" style="1767" customWidth="1"/>
    <col min="40" max="40" width="14.109375" style="1767" customWidth="1"/>
    <col min="41" max="41" width="10.88671875" style="1767" customWidth="1"/>
    <col min="42" max="42" width="10.33203125" style="1767" customWidth="1"/>
    <col min="43" max="47" width="11.109375" style="1767" customWidth="1"/>
    <col min="48" max="48" width="10.5546875" style="1767" customWidth="1"/>
    <col min="49" max="49" width="10.88671875" style="1767" customWidth="1"/>
    <col min="50" max="50" width="11" style="1767" customWidth="1"/>
    <col min="51" max="51" width="10.88671875" style="1767" customWidth="1"/>
    <col min="52" max="52" width="10.6640625" style="1767" customWidth="1"/>
    <col min="53" max="53" width="11.33203125" style="1767" customWidth="1"/>
    <col min="54" max="54" width="13.5546875" style="1767" customWidth="1"/>
    <col min="55" max="55" width="15" style="1767" bestFit="1" customWidth="1"/>
    <col min="56" max="56" width="14.44140625" style="1767" customWidth="1"/>
    <col min="57" max="57" width="16" style="1767" customWidth="1"/>
    <col min="58" max="58" width="16.5546875" style="1767" customWidth="1"/>
    <col min="59" max="59" width="14.33203125" style="1767" customWidth="1"/>
    <col min="60" max="60" width="10.6640625" style="1767" customWidth="1"/>
    <col min="61" max="61" width="10.88671875" style="1767" customWidth="1"/>
    <col min="62" max="63" width="11" style="1767" customWidth="1"/>
    <col min="64" max="64" width="10.6640625" style="1767" customWidth="1"/>
    <col min="65" max="65" width="10.88671875" style="1767" customWidth="1"/>
    <col min="66" max="16384" width="8.88671875" style="1767"/>
  </cols>
  <sheetData>
    <row r="2" spans="1:65" ht="33.75" customHeight="1">
      <c r="A2" s="2717" t="s">
        <v>3440</v>
      </c>
      <c r="B2" s="2717"/>
      <c r="C2" s="2717"/>
      <c r="D2" s="2717"/>
      <c r="E2" s="2717"/>
      <c r="F2" s="2717"/>
      <c r="G2" s="2717"/>
      <c r="H2" s="2717"/>
      <c r="I2" s="2717"/>
      <c r="J2" s="2717"/>
      <c r="K2" s="2717"/>
      <c r="L2" s="2717"/>
      <c r="M2" s="2717"/>
      <c r="N2" s="2717"/>
      <c r="O2" s="2717"/>
      <c r="P2" s="2717"/>
      <c r="Q2" s="2717"/>
      <c r="R2" s="2717"/>
      <c r="S2" s="2717"/>
      <c r="T2" s="2717"/>
      <c r="U2" s="2717"/>
      <c r="V2" s="2717"/>
      <c r="W2" s="2717"/>
      <c r="X2" s="2717"/>
      <c r="Y2" s="2717"/>
      <c r="Z2" s="2717"/>
      <c r="AA2" s="2717"/>
      <c r="AB2" s="2717"/>
      <c r="AC2" s="2717"/>
      <c r="AD2" s="2717"/>
      <c r="AE2" s="2717"/>
      <c r="AF2" s="2717"/>
      <c r="AG2" s="2717"/>
      <c r="AH2" s="2717"/>
      <c r="AI2" s="2717"/>
      <c r="AJ2" s="2717"/>
      <c r="AK2" s="2717"/>
      <c r="AL2" s="2717"/>
      <c r="AM2" s="2717"/>
      <c r="AN2" s="2717"/>
      <c r="AO2" s="2717"/>
      <c r="AP2" s="2717"/>
      <c r="AQ2" s="2717"/>
      <c r="AR2" s="2717"/>
      <c r="AS2" s="2717"/>
      <c r="AT2" s="2717"/>
      <c r="AU2" s="2717"/>
      <c r="AV2" s="2717"/>
      <c r="AW2" s="2717"/>
      <c r="AX2" s="2717"/>
      <c r="AY2" s="2717"/>
      <c r="AZ2" s="2717"/>
      <c r="BA2" s="2717"/>
      <c r="BB2" s="2717"/>
      <c r="BC2" s="2717"/>
      <c r="BD2" s="2717"/>
      <c r="BE2" s="2717"/>
      <c r="BF2" s="2717"/>
      <c r="BG2" s="2717"/>
      <c r="BH2" s="2717"/>
      <c r="BI2" s="2717"/>
      <c r="BJ2" s="2717"/>
      <c r="BK2" s="2717"/>
      <c r="BL2" s="2717"/>
      <c r="BM2" s="2717"/>
    </row>
    <row r="3" spans="1:65" ht="33.75" customHeight="1">
      <c r="A3" s="2718" t="s">
        <v>3441</v>
      </c>
      <c r="B3" s="2718"/>
      <c r="C3" s="2718"/>
      <c r="D3" s="2718"/>
      <c r="E3" s="2718"/>
      <c r="F3" s="2718"/>
      <c r="G3" s="2718"/>
      <c r="H3" s="2718"/>
      <c r="I3" s="2718"/>
      <c r="J3" s="2718"/>
      <c r="K3" s="2718"/>
      <c r="L3" s="2718"/>
      <c r="M3" s="2718"/>
      <c r="N3" s="2718"/>
      <c r="O3" s="2718"/>
      <c r="P3" s="2718"/>
      <c r="Q3" s="2718"/>
      <c r="R3" s="2718"/>
      <c r="S3" s="2718"/>
      <c r="T3" s="2718"/>
      <c r="U3" s="2718"/>
      <c r="V3" s="2718"/>
      <c r="W3" s="2718"/>
      <c r="X3" s="2718"/>
      <c r="Y3" s="2718"/>
      <c r="Z3" s="2718"/>
      <c r="AA3" s="2718"/>
      <c r="AB3" s="2718"/>
      <c r="AC3" s="2718"/>
      <c r="AD3" s="2718"/>
      <c r="AE3" s="2718"/>
      <c r="AF3" s="2718"/>
      <c r="AG3" s="2718"/>
      <c r="AH3" s="2718"/>
      <c r="AI3" s="2718"/>
      <c r="AJ3" s="2718"/>
      <c r="AK3" s="2718"/>
      <c r="AL3" s="2718"/>
      <c r="AM3" s="2718"/>
      <c r="AN3" s="2718"/>
      <c r="AO3" s="2718"/>
      <c r="AP3" s="2718"/>
      <c r="AQ3" s="2718"/>
      <c r="AR3" s="2718"/>
      <c r="AS3" s="2718"/>
      <c r="AT3" s="2718"/>
      <c r="AU3" s="2718"/>
      <c r="AV3" s="2718"/>
      <c r="AW3" s="2718"/>
      <c r="AX3" s="2718"/>
      <c r="AY3" s="2718"/>
      <c r="AZ3" s="2718"/>
      <c r="BA3" s="2718"/>
      <c r="BB3" s="2718"/>
      <c r="BC3" s="2718"/>
      <c r="BD3" s="2718"/>
      <c r="BE3" s="2718"/>
      <c r="BF3" s="2718"/>
      <c r="BG3" s="2718"/>
      <c r="BH3" s="2718"/>
      <c r="BI3" s="2718"/>
      <c r="BJ3" s="2718"/>
      <c r="BK3" s="2718"/>
      <c r="BL3" s="2718"/>
      <c r="BM3" s="2718"/>
    </row>
    <row r="4" spans="1:65" ht="14.25" customHeight="1">
      <c r="A4" s="1882"/>
      <c r="B4" s="1882"/>
      <c r="C4" s="1882"/>
      <c r="D4" s="1882"/>
      <c r="E4" s="1882"/>
      <c r="F4" s="1882"/>
      <c r="G4" s="1882"/>
      <c r="H4" s="1882"/>
      <c r="I4" s="1882"/>
      <c r="J4" s="1882"/>
      <c r="K4" s="1882"/>
      <c r="L4" s="1882"/>
      <c r="M4" s="1882"/>
      <c r="N4" s="1882"/>
      <c r="O4" s="1882"/>
      <c r="P4" s="1882"/>
      <c r="Q4" s="1882"/>
      <c r="R4" s="1882"/>
      <c r="S4" s="1882"/>
      <c r="T4" s="1882"/>
      <c r="U4" s="1882"/>
      <c r="V4" s="1882"/>
      <c r="W4" s="1882"/>
      <c r="X4" s="1882"/>
      <c r="Y4" s="1882"/>
      <c r="Z4" s="1882"/>
      <c r="AA4" s="1882"/>
      <c r="AB4" s="1882"/>
      <c r="AC4" s="1882"/>
      <c r="AD4" s="1882"/>
      <c r="AE4" s="1882"/>
      <c r="AF4" s="1882"/>
      <c r="AG4" s="1882"/>
      <c r="AH4" s="1882"/>
      <c r="AI4" s="1882"/>
      <c r="AJ4" s="1882"/>
      <c r="AK4" s="1882"/>
      <c r="AL4" s="1882"/>
      <c r="AM4" s="1882"/>
      <c r="AN4" s="1882"/>
      <c r="AO4" s="1882"/>
      <c r="AP4" s="1882"/>
      <c r="AQ4" s="1882"/>
      <c r="AR4" s="1882"/>
      <c r="AS4" s="1882"/>
      <c r="AT4" s="1882"/>
      <c r="AU4" s="1882"/>
      <c r="AV4" s="1882"/>
      <c r="AW4" s="1882"/>
      <c r="AX4" s="1882"/>
      <c r="AY4" s="1882"/>
      <c r="AZ4" s="1882"/>
      <c r="BA4" s="1882"/>
      <c r="BB4" s="1882"/>
      <c r="BC4" s="1882"/>
      <c r="BD4" s="1882"/>
      <c r="BE4" s="1882"/>
      <c r="BF4" s="1882"/>
      <c r="BG4" s="1882"/>
      <c r="BH4" s="1882"/>
      <c r="BI4" s="1882"/>
      <c r="BJ4" s="1882"/>
      <c r="BK4" s="1882"/>
      <c r="BL4" s="1882"/>
      <c r="BM4" s="1882"/>
    </row>
    <row r="5" spans="1:65" ht="14.25" customHeight="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  <c r="AA5" s="599"/>
      <c r="AB5" s="599"/>
      <c r="AC5" s="599"/>
      <c r="AD5" s="599"/>
      <c r="AE5" s="599"/>
      <c r="AF5" s="599"/>
      <c r="AG5" s="599"/>
      <c r="AH5" s="599"/>
      <c r="AI5" s="599"/>
      <c r="AJ5" s="599"/>
      <c r="AK5" s="599"/>
      <c r="AL5" s="599"/>
      <c r="AM5" s="599"/>
      <c r="AN5" s="599"/>
      <c r="AO5" s="599"/>
      <c r="AP5" s="599"/>
      <c r="AQ5" s="599"/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599"/>
      <c r="BF5" s="599"/>
      <c r="BG5" s="599"/>
      <c r="BH5" s="599"/>
      <c r="BI5" s="599"/>
      <c r="BJ5" s="599"/>
      <c r="BK5" s="599"/>
      <c r="BL5" s="599"/>
      <c r="BM5" s="599"/>
    </row>
    <row r="6" spans="1:65" s="1768" customFormat="1" ht="57" customHeight="1">
      <c r="A6" s="2719" t="s">
        <v>182</v>
      </c>
      <c r="B6" s="2720" t="s">
        <v>2856</v>
      </c>
      <c r="C6" s="2721"/>
      <c r="D6" s="2715" t="s">
        <v>1004</v>
      </c>
      <c r="E6" s="2715"/>
      <c r="F6" s="2715"/>
      <c r="G6" s="2715"/>
      <c r="H6" s="2709" t="s">
        <v>1171</v>
      </c>
      <c r="I6" s="2710"/>
      <c r="J6" s="2709" t="s">
        <v>2852</v>
      </c>
      <c r="K6" s="2722"/>
      <c r="L6" s="2722"/>
      <c r="M6" s="2722"/>
      <c r="N6" s="2722"/>
      <c r="O6" s="2722"/>
      <c r="P6" s="2722"/>
      <c r="Q6" s="2722"/>
      <c r="R6" s="2722"/>
      <c r="S6" s="2722"/>
      <c r="T6" s="2722"/>
      <c r="U6" s="2722"/>
      <c r="V6" s="2722"/>
      <c r="W6" s="2710"/>
      <c r="X6" s="2720" t="s">
        <v>2855</v>
      </c>
      <c r="Y6" s="2723"/>
      <c r="Z6" s="2723"/>
      <c r="AA6" s="2723"/>
      <c r="AB6" s="2723"/>
      <c r="AC6" s="2721"/>
      <c r="AD6" s="2708" t="s">
        <v>1046</v>
      </c>
      <c r="AE6" s="2708"/>
      <c r="AF6" s="2709" t="s">
        <v>2857</v>
      </c>
      <c r="AG6" s="2722"/>
      <c r="AH6" s="2722"/>
      <c r="AI6" s="2722"/>
      <c r="AJ6" s="2722"/>
      <c r="AK6" s="2722"/>
      <c r="AL6" s="2722"/>
      <c r="AM6" s="2722"/>
      <c r="AN6" s="2722"/>
      <c r="AO6" s="2710"/>
      <c r="AP6" s="2720" t="s">
        <v>2855</v>
      </c>
      <c r="AQ6" s="2723"/>
      <c r="AR6" s="2723"/>
      <c r="AS6" s="2723"/>
      <c r="AT6" s="2723"/>
      <c r="AU6" s="2721"/>
      <c r="AV6" s="2708" t="s">
        <v>1047</v>
      </c>
      <c r="AW6" s="2708"/>
      <c r="AX6" s="2709" t="s">
        <v>2854</v>
      </c>
      <c r="AY6" s="2722"/>
      <c r="AZ6" s="2722"/>
      <c r="BA6" s="2722"/>
      <c r="BB6" s="2722"/>
      <c r="BC6" s="2722"/>
      <c r="BD6" s="2722"/>
      <c r="BE6" s="2722"/>
      <c r="BF6" s="2722"/>
      <c r="BG6" s="2710"/>
      <c r="BH6" s="2720" t="s">
        <v>2855</v>
      </c>
      <c r="BI6" s="2723"/>
      <c r="BJ6" s="2723"/>
      <c r="BK6" s="2723"/>
      <c r="BL6" s="2723"/>
      <c r="BM6" s="2721"/>
    </row>
    <row r="7" spans="1:65" s="1768" customFormat="1" ht="27" customHeight="1">
      <c r="A7" s="2719"/>
      <c r="B7" s="2711"/>
      <c r="C7" s="2712"/>
      <c r="D7" s="2716" t="s">
        <v>1005</v>
      </c>
      <c r="E7" s="2716"/>
      <c r="F7" s="2716"/>
      <c r="G7" s="2708" t="s">
        <v>1006</v>
      </c>
      <c r="H7" s="2708" t="s">
        <v>1007</v>
      </c>
      <c r="I7" s="2708" t="s">
        <v>2853</v>
      </c>
      <c r="J7" s="2708" t="s">
        <v>1048</v>
      </c>
      <c r="K7" s="2708"/>
      <c r="L7" s="2708"/>
      <c r="M7" s="2708"/>
      <c r="N7" s="2709" t="s">
        <v>1049</v>
      </c>
      <c r="O7" s="2722"/>
      <c r="P7" s="2722"/>
      <c r="Q7" s="2722"/>
      <c r="R7" s="2722"/>
      <c r="S7" s="2722"/>
      <c r="T7" s="2722"/>
      <c r="U7" s="2722"/>
      <c r="V7" s="2722"/>
      <c r="W7" s="2710"/>
      <c r="X7" s="2713"/>
      <c r="Y7" s="2724"/>
      <c r="Z7" s="2724"/>
      <c r="AA7" s="2724"/>
      <c r="AB7" s="2724"/>
      <c r="AC7" s="2714"/>
      <c r="AD7" s="2708"/>
      <c r="AE7" s="2708"/>
      <c r="AF7" s="2708" t="s">
        <v>3383</v>
      </c>
      <c r="AG7" s="2708"/>
      <c r="AH7" s="2708" t="s">
        <v>1050</v>
      </c>
      <c r="AI7" s="2708"/>
      <c r="AJ7" s="2708" t="s">
        <v>144</v>
      </c>
      <c r="AK7" s="2708"/>
      <c r="AL7" s="2708" t="s">
        <v>2179</v>
      </c>
      <c r="AM7" s="2708"/>
      <c r="AN7" s="2708" t="s">
        <v>3504</v>
      </c>
      <c r="AO7" s="2708"/>
      <c r="AP7" s="2713"/>
      <c r="AQ7" s="2724"/>
      <c r="AR7" s="2724"/>
      <c r="AS7" s="2724"/>
      <c r="AT7" s="2724"/>
      <c r="AU7" s="2714"/>
      <c r="AV7" s="2708"/>
      <c r="AW7" s="2708"/>
      <c r="AX7" s="2708" t="s">
        <v>3383</v>
      </c>
      <c r="AY7" s="2708"/>
      <c r="AZ7" s="2708" t="s">
        <v>1050</v>
      </c>
      <c r="BA7" s="2708"/>
      <c r="BB7" s="2708" t="s">
        <v>144</v>
      </c>
      <c r="BC7" s="2708"/>
      <c r="BD7" s="2708" t="s">
        <v>2181</v>
      </c>
      <c r="BE7" s="2708"/>
      <c r="BF7" s="2708" t="s">
        <v>3504</v>
      </c>
      <c r="BG7" s="2708"/>
      <c r="BH7" s="2713"/>
      <c r="BI7" s="2724"/>
      <c r="BJ7" s="2724"/>
      <c r="BK7" s="2724"/>
      <c r="BL7" s="2724"/>
      <c r="BM7" s="2714"/>
    </row>
    <row r="8" spans="1:65" s="1768" customFormat="1" ht="28.5" customHeight="1">
      <c r="A8" s="2719"/>
      <c r="B8" s="2711"/>
      <c r="C8" s="2712"/>
      <c r="D8" s="2715" t="s">
        <v>1162</v>
      </c>
      <c r="E8" s="2715" t="s">
        <v>4021</v>
      </c>
      <c r="F8" s="2716" t="s">
        <v>1163</v>
      </c>
      <c r="G8" s="2708"/>
      <c r="H8" s="2708"/>
      <c r="I8" s="2708"/>
      <c r="J8" s="2708" t="s">
        <v>3383</v>
      </c>
      <c r="K8" s="2708"/>
      <c r="L8" s="2708" t="s">
        <v>1050</v>
      </c>
      <c r="M8" s="2708"/>
      <c r="N8" s="2708" t="s">
        <v>3383</v>
      </c>
      <c r="O8" s="2708"/>
      <c r="P8" s="2708" t="s">
        <v>1050</v>
      </c>
      <c r="Q8" s="2708"/>
      <c r="R8" s="2708" t="s">
        <v>144</v>
      </c>
      <c r="S8" s="2708"/>
      <c r="T8" s="2708" t="s">
        <v>2179</v>
      </c>
      <c r="U8" s="2708"/>
      <c r="V8" s="2708" t="s">
        <v>3504</v>
      </c>
      <c r="W8" s="2708"/>
      <c r="X8" s="2709" t="s">
        <v>155</v>
      </c>
      <c r="Y8" s="2710"/>
      <c r="Z8" s="2709" t="s">
        <v>1048</v>
      </c>
      <c r="AA8" s="2710"/>
      <c r="AB8" s="2709" t="s">
        <v>3869</v>
      </c>
      <c r="AC8" s="2710"/>
      <c r="AD8" s="2708" t="s">
        <v>1007</v>
      </c>
      <c r="AE8" s="2708" t="s">
        <v>2853</v>
      </c>
      <c r="AF8" s="2708" t="s">
        <v>1007</v>
      </c>
      <c r="AG8" s="2708" t="s">
        <v>2853</v>
      </c>
      <c r="AH8" s="2708" t="s">
        <v>1007</v>
      </c>
      <c r="AI8" s="2708" t="s">
        <v>2853</v>
      </c>
      <c r="AJ8" s="2711" t="s">
        <v>3155</v>
      </c>
      <c r="AK8" s="2712"/>
      <c r="AL8" s="2708" t="s">
        <v>1007</v>
      </c>
      <c r="AM8" s="2708" t="s">
        <v>2853</v>
      </c>
      <c r="AN8" s="2708" t="s">
        <v>1007</v>
      </c>
      <c r="AO8" s="2708" t="s">
        <v>2853</v>
      </c>
      <c r="AP8" s="2709" t="s">
        <v>155</v>
      </c>
      <c r="AQ8" s="2710"/>
      <c r="AR8" s="2709" t="s">
        <v>1048</v>
      </c>
      <c r="AS8" s="2710"/>
      <c r="AT8" s="2709" t="s">
        <v>3869</v>
      </c>
      <c r="AU8" s="2710"/>
      <c r="AV8" s="2708" t="s">
        <v>1007</v>
      </c>
      <c r="AW8" s="2708" t="s">
        <v>2853</v>
      </c>
      <c r="AX8" s="2708" t="s">
        <v>1007</v>
      </c>
      <c r="AY8" s="2708" t="s">
        <v>2853</v>
      </c>
      <c r="AZ8" s="2708" t="s">
        <v>1007</v>
      </c>
      <c r="BA8" s="2708" t="s">
        <v>2853</v>
      </c>
      <c r="BB8" s="2711" t="s">
        <v>3155</v>
      </c>
      <c r="BC8" s="2712"/>
      <c r="BD8" s="2708" t="s">
        <v>1007</v>
      </c>
      <c r="BE8" s="2708" t="s">
        <v>2853</v>
      </c>
      <c r="BF8" s="2708" t="s">
        <v>1007</v>
      </c>
      <c r="BG8" s="2708" t="s">
        <v>2853</v>
      </c>
      <c r="BH8" s="2709" t="s">
        <v>155</v>
      </c>
      <c r="BI8" s="2710"/>
      <c r="BJ8" s="2709" t="s">
        <v>1048</v>
      </c>
      <c r="BK8" s="2710"/>
      <c r="BL8" s="2709" t="s">
        <v>3869</v>
      </c>
      <c r="BM8" s="2710"/>
    </row>
    <row r="9" spans="1:65" s="1768" customFormat="1" ht="27" customHeight="1">
      <c r="A9" s="2719"/>
      <c r="B9" s="2708" t="s">
        <v>155</v>
      </c>
      <c r="C9" s="2708" t="s">
        <v>3870</v>
      </c>
      <c r="D9" s="2715"/>
      <c r="E9" s="2715"/>
      <c r="F9" s="2716"/>
      <c r="G9" s="2708"/>
      <c r="H9" s="2708"/>
      <c r="I9" s="2708"/>
      <c r="J9" s="2706" t="s">
        <v>1007</v>
      </c>
      <c r="K9" s="2706" t="s">
        <v>2853</v>
      </c>
      <c r="L9" s="2706" t="s">
        <v>1007</v>
      </c>
      <c r="M9" s="2706" t="s">
        <v>2853</v>
      </c>
      <c r="N9" s="2706" t="s">
        <v>1007</v>
      </c>
      <c r="O9" s="2706" t="s">
        <v>2853</v>
      </c>
      <c r="P9" s="2706" t="s">
        <v>1007</v>
      </c>
      <c r="Q9" s="2706" t="s">
        <v>2853</v>
      </c>
      <c r="R9" s="2708" t="s">
        <v>3155</v>
      </c>
      <c r="S9" s="2708"/>
      <c r="T9" s="2706" t="s">
        <v>1007</v>
      </c>
      <c r="U9" s="2706" t="s">
        <v>2853</v>
      </c>
      <c r="V9" s="2706" t="s">
        <v>1007</v>
      </c>
      <c r="W9" s="2706" t="s">
        <v>2853</v>
      </c>
      <c r="X9" s="2706" t="s">
        <v>1007</v>
      </c>
      <c r="Y9" s="2706" t="s">
        <v>2853</v>
      </c>
      <c r="Z9" s="2706" t="s">
        <v>1007</v>
      </c>
      <c r="AA9" s="2706" t="s">
        <v>2853</v>
      </c>
      <c r="AB9" s="2706" t="s">
        <v>1007</v>
      </c>
      <c r="AC9" s="2706" t="s">
        <v>2853</v>
      </c>
      <c r="AD9" s="2708"/>
      <c r="AE9" s="2708"/>
      <c r="AF9" s="2708"/>
      <c r="AG9" s="2708"/>
      <c r="AH9" s="2708"/>
      <c r="AI9" s="2708"/>
      <c r="AJ9" s="2713"/>
      <c r="AK9" s="2714"/>
      <c r="AL9" s="2708"/>
      <c r="AM9" s="2708"/>
      <c r="AN9" s="2708"/>
      <c r="AO9" s="2708"/>
      <c r="AP9" s="2706" t="s">
        <v>1007</v>
      </c>
      <c r="AQ9" s="2706" t="s">
        <v>2853</v>
      </c>
      <c r="AR9" s="2706" t="s">
        <v>1007</v>
      </c>
      <c r="AS9" s="2706" t="s">
        <v>2853</v>
      </c>
      <c r="AT9" s="2706" t="s">
        <v>1007</v>
      </c>
      <c r="AU9" s="2706" t="s">
        <v>2853</v>
      </c>
      <c r="AV9" s="2708"/>
      <c r="AW9" s="2708"/>
      <c r="AX9" s="2708"/>
      <c r="AY9" s="2708"/>
      <c r="AZ9" s="2708"/>
      <c r="BA9" s="2708"/>
      <c r="BB9" s="2713"/>
      <c r="BC9" s="2714"/>
      <c r="BD9" s="2708"/>
      <c r="BE9" s="2708"/>
      <c r="BF9" s="2708"/>
      <c r="BG9" s="2708"/>
      <c r="BH9" s="2706" t="s">
        <v>1007</v>
      </c>
      <c r="BI9" s="2706" t="s">
        <v>2853</v>
      </c>
      <c r="BJ9" s="2706" t="s">
        <v>1007</v>
      </c>
      <c r="BK9" s="2706" t="s">
        <v>2853</v>
      </c>
      <c r="BL9" s="2706" t="s">
        <v>1007</v>
      </c>
      <c r="BM9" s="2706" t="s">
        <v>2853</v>
      </c>
    </row>
    <row r="10" spans="1:65" s="1768" customFormat="1" ht="27.75" customHeight="1">
      <c r="A10" s="2719"/>
      <c r="B10" s="2708"/>
      <c r="C10" s="2708"/>
      <c r="D10" s="2715"/>
      <c r="E10" s="2715"/>
      <c r="F10" s="2716"/>
      <c r="G10" s="2708"/>
      <c r="H10" s="2708"/>
      <c r="I10" s="2708"/>
      <c r="J10" s="2707"/>
      <c r="K10" s="2707"/>
      <c r="L10" s="2707"/>
      <c r="M10" s="2707"/>
      <c r="N10" s="2707"/>
      <c r="O10" s="2707"/>
      <c r="P10" s="2707"/>
      <c r="Q10" s="2707"/>
      <c r="R10" s="1760" t="s">
        <v>1007</v>
      </c>
      <c r="S10" s="1760" t="s">
        <v>2853</v>
      </c>
      <c r="T10" s="2707"/>
      <c r="U10" s="2707"/>
      <c r="V10" s="2707"/>
      <c r="W10" s="2707"/>
      <c r="X10" s="2707"/>
      <c r="Y10" s="2707"/>
      <c r="Z10" s="2707"/>
      <c r="AA10" s="2707"/>
      <c r="AB10" s="2707"/>
      <c r="AC10" s="2707"/>
      <c r="AD10" s="2708"/>
      <c r="AE10" s="2708"/>
      <c r="AF10" s="2708"/>
      <c r="AG10" s="2708"/>
      <c r="AH10" s="2708"/>
      <c r="AI10" s="2708"/>
      <c r="AJ10" s="1760" t="s">
        <v>1007</v>
      </c>
      <c r="AK10" s="1760" t="s">
        <v>2853</v>
      </c>
      <c r="AL10" s="2708"/>
      <c r="AM10" s="2708"/>
      <c r="AN10" s="2708"/>
      <c r="AO10" s="2708"/>
      <c r="AP10" s="2707"/>
      <c r="AQ10" s="2707"/>
      <c r="AR10" s="2707"/>
      <c r="AS10" s="2707"/>
      <c r="AT10" s="2707"/>
      <c r="AU10" s="2707"/>
      <c r="AV10" s="2708"/>
      <c r="AW10" s="2708"/>
      <c r="AX10" s="2708"/>
      <c r="AY10" s="2708"/>
      <c r="AZ10" s="2708"/>
      <c r="BA10" s="2708"/>
      <c r="BB10" s="1760" t="s">
        <v>1007</v>
      </c>
      <c r="BC10" s="1760" t="s">
        <v>2853</v>
      </c>
      <c r="BD10" s="2708"/>
      <c r="BE10" s="2708"/>
      <c r="BF10" s="2708"/>
      <c r="BG10" s="2708"/>
      <c r="BH10" s="2707"/>
      <c r="BI10" s="2707"/>
      <c r="BJ10" s="2707"/>
      <c r="BK10" s="2707"/>
      <c r="BL10" s="2707"/>
      <c r="BM10" s="2707"/>
    </row>
    <row r="11" spans="1:65" ht="36" customHeight="1">
      <c r="A11" s="2702" t="s">
        <v>304</v>
      </c>
      <c r="B11" s="2688" t="s">
        <v>1214</v>
      </c>
      <c r="C11" s="2692"/>
      <c r="D11" s="2703" t="s">
        <v>1051</v>
      </c>
      <c r="E11" s="2703"/>
      <c r="F11" s="2703"/>
      <c r="G11" s="2703"/>
      <c r="H11" s="2690" t="s">
        <v>1052</v>
      </c>
      <c r="I11" s="2690"/>
      <c r="J11" s="2697" t="s">
        <v>2858</v>
      </c>
      <c r="K11" s="2701"/>
      <c r="L11" s="2701"/>
      <c r="M11" s="2701"/>
      <c r="N11" s="2701"/>
      <c r="O11" s="2701"/>
      <c r="P11" s="2701"/>
      <c r="Q11" s="2701"/>
      <c r="R11" s="2701"/>
      <c r="S11" s="2701"/>
      <c r="T11" s="2701"/>
      <c r="U11" s="2701"/>
      <c r="V11" s="2701"/>
      <c r="W11" s="2698"/>
      <c r="X11" s="2688" t="s">
        <v>2859</v>
      </c>
      <c r="Y11" s="2699"/>
      <c r="Z11" s="2699"/>
      <c r="AA11" s="2699"/>
      <c r="AB11" s="2699"/>
      <c r="AC11" s="2692"/>
      <c r="AD11" s="2690" t="s">
        <v>1008</v>
      </c>
      <c r="AE11" s="2690"/>
      <c r="AF11" s="2697" t="s">
        <v>1053</v>
      </c>
      <c r="AG11" s="2701"/>
      <c r="AH11" s="2701"/>
      <c r="AI11" s="2701"/>
      <c r="AJ11" s="2701"/>
      <c r="AK11" s="2701"/>
      <c r="AL11" s="2701"/>
      <c r="AM11" s="2701"/>
      <c r="AN11" s="2701"/>
      <c r="AO11" s="2698"/>
      <c r="AP11" s="2688" t="s">
        <v>2859</v>
      </c>
      <c r="AQ11" s="2699"/>
      <c r="AR11" s="2699"/>
      <c r="AS11" s="2699"/>
      <c r="AT11" s="2699"/>
      <c r="AU11" s="2692"/>
      <c r="AV11" s="2690" t="s">
        <v>3156</v>
      </c>
      <c r="AW11" s="2690"/>
      <c r="AX11" s="2697" t="s">
        <v>1054</v>
      </c>
      <c r="AY11" s="2701"/>
      <c r="AZ11" s="2701"/>
      <c r="BA11" s="2701"/>
      <c r="BB11" s="2701"/>
      <c r="BC11" s="2701"/>
      <c r="BD11" s="2701"/>
      <c r="BE11" s="2701"/>
      <c r="BF11" s="2701"/>
      <c r="BG11" s="2698"/>
      <c r="BH11" s="2688" t="s">
        <v>2859</v>
      </c>
      <c r="BI11" s="2699"/>
      <c r="BJ11" s="2699"/>
      <c r="BK11" s="2699"/>
      <c r="BL11" s="2699"/>
      <c r="BM11" s="2692"/>
    </row>
    <row r="12" spans="1:65" ht="26.25" customHeight="1">
      <c r="A12" s="2702"/>
      <c r="B12" s="2689"/>
      <c r="C12" s="2693"/>
      <c r="D12" s="2704" t="s">
        <v>1055</v>
      </c>
      <c r="E12" s="2704"/>
      <c r="F12" s="2704"/>
      <c r="G12" s="2690" t="s">
        <v>1056</v>
      </c>
      <c r="H12" s="2690" t="s">
        <v>1009</v>
      </c>
      <c r="I12" s="2690" t="s">
        <v>1010</v>
      </c>
      <c r="J12" s="2690" t="s">
        <v>1057</v>
      </c>
      <c r="K12" s="2690"/>
      <c r="L12" s="2690"/>
      <c r="M12" s="2690"/>
      <c r="N12" s="2697" t="s">
        <v>1058</v>
      </c>
      <c r="O12" s="2701"/>
      <c r="P12" s="2701"/>
      <c r="Q12" s="2701"/>
      <c r="R12" s="2701"/>
      <c r="S12" s="2701"/>
      <c r="T12" s="2701"/>
      <c r="U12" s="2701"/>
      <c r="V12" s="2701"/>
      <c r="W12" s="2698"/>
      <c r="X12" s="2689"/>
      <c r="Y12" s="2700"/>
      <c r="Z12" s="2700"/>
      <c r="AA12" s="2700"/>
      <c r="AB12" s="2700"/>
      <c r="AC12" s="2693"/>
      <c r="AD12" s="2690"/>
      <c r="AE12" s="2690"/>
      <c r="AF12" s="2690" t="s">
        <v>1059</v>
      </c>
      <c r="AG12" s="2690"/>
      <c r="AH12" s="2690" t="s">
        <v>3384</v>
      </c>
      <c r="AI12" s="2690"/>
      <c r="AJ12" s="2697" t="s">
        <v>1038</v>
      </c>
      <c r="AK12" s="2698"/>
      <c r="AL12" s="2697" t="s">
        <v>2180</v>
      </c>
      <c r="AM12" s="2698"/>
      <c r="AN12" s="2697" t="s">
        <v>3505</v>
      </c>
      <c r="AO12" s="2698"/>
      <c r="AP12" s="2689"/>
      <c r="AQ12" s="2700"/>
      <c r="AR12" s="2700"/>
      <c r="AS12" s="2700"/>
      <c r="AT12" s="2700"/>
      <c r="AU12" s="2693"/>
      <c r="AV12" s="2690"/>
      <c r="AW12" s="2690"/>
      <c r="AX12" s="2690" t="s">
        <v>1060</v>
      </c>
      <c r="AY12" s="2690"/>
      <c r="AZ12" s="2690" t="s">
        <v>3384</v>
      </c>
      <c r="BA12" s="2690"/>
      <c r="BB12" s="2697" t="s">
        <v>1038</v>
      </c>
      <c r="BC12" s="2698"/>
      <c r="BD12" s="2697" t="s">
        <v>2180</v>
      </c>
      <c r="BE12" s="2698"/>
      <c r="BF12" s="2697" t="s">
        <v>3505</v>
      </c>
      <c r="BG12" s="2698"/>
      <c r="BH12" s="2689"/>
      <c r="BI12" s="2700"/>
      <c r="BJ12" s="2700"/>
      <c r="BK12" s="2700"/>
      <c r="BL12" s="2700"/>
      <c r="BM12" s="2693"/>
    </row>
    <row r="13" spans="1:65" ht="34.5" customHeight="1">
      <c r="A13" s="2702"/>
      <c r="B13" s="2695" t="s">
        <v>105</v>
      </c>
      <c r="C13" s="2695" t="s">
        <v>4101</v>
      </c>
      <c r="D13" s="2703" t="s">
        <v>1061</v>
      </c>
      <c r="E13" s="2703" t="s">
        <v>1161</v>
      </c>
      <c r="F13" s="2704" t="s">
        <v>1062</v>
      </c>
      <c r="G13" s="2690"/>
      <c r="H13" s="2690"/>
      <c r="I13" s="2690"/>
      <c r="J13" s="2690" t="s">
        <v>1059</v>
      </c>
      <c r="K13" s="2690"/>
      <c r="L13" s="2690" t="s">
        <v>3384</v>
      </c>
      <c r="M13" s="2690"/>
      <c r="N13" s="2690" t="s">
        <v>1059</v>
      </c>
      <c r="O13" s="2690"/>
      <c r="P13" s="2690" t="s">
        <v>3384</v>
      </c>
      <c r="Q13" s="2690"/>
      <c r="R13" s="2697" t="s">
        <v>1038</v>
      </c>
      <c r="S13" s="2698"/>
      <c r="T13" s="2697" t="s">
        <v>2180</v>
      </c>
      <c r="U13" s="2698"/>
      <c r="V13" s="2697" t="s">
        <v>3505</v>
      </c>
      <c r="W13" s="2698"/>
      <c r="X13" s="2697" t="s">
        <v>105</v>
      </c>
      <c r="Y13" s="2698"/>
      <c r="Z13" s="2697" t="s">
        <v>1057</v>
      </c>
      <c r="AA13" s="2698"/>
      <c r="AB13" s="2697" t="s">
        <v>1058</v>
      </c>
      <c r="AC13" s="2698"/>
      <c r="AD13" s="2690" t="s">
        <v>1009</v>
      </c>
      <c r="AE13" s="2690" t="s">
        <v>1010</v>
      </c>
      <c r="AF13" s="2690" t="s">
        <v>1009</v>
      </c>
      <c r="AG13" s="2690" t="s">
        <v>1010</v>
      </c>
      <c r="AH13" s="2690" t="s">
        <v>1009</v>
      </c>
      <c r="AI13" s="2690" t="s">
        <v>1010</v>
      </c>
      <c r="AJ13" s="2697" t="s">
        <v>4100</v>
      </c>
      <c r="AK13" s="2698"/>
      <c r="AL13" s="2690" t="s">
        <v>1009</v>
      </c>
      <c r="AM13" s="2690" t="s">
        <v>1010</v>
      </c>
      <c r="AN13" s="2690" t="s">
        <v>1009</v>
      </c>
      <c r="AO13" s="2690" t="s">
        <v>1010</v>
      </c>
      <c r="AP13" s="2697" t="s">
        <v>105</v>
      </c>
      <c r="AQ13" s="2698"/>
      <c r="AR13" s="2697" t="s">
        <v>1057</v>
      </c>
      <c r="AS13" s="2698"/>
      <c r="AT13" s="2697" t="s">
        <v>1058</v>
      </c>
      <c r="AU13" s="2698"/>
      <c r="AV13" s="2690" t="s">
        <v>1009</v>
      </c>
      <c r="AW13" s="2690" t="s">
        <v>1010</v>
      </c>
      <c r="AX13" s="2690" t="s">
        <v>1009</v>
      </c>
      <c r="AY13" s="2690" t="s">
        <v>1010</v>
      </c>
      <c r="AZ13" s="2690" t="s">
        <v>1009</v>
      </c>
      <c r="BA13" s="2690" t="s">
        <v>1010</v>
      </c>
      <c r="BB13" s="2697" t="s">
        <v>4100</v>
      </c>
      <c r="BC13" s="2698"/>
      <c r="BD13" s="2690" t="s">
        <v>1009</v>
      </c>
      <c r="BE13" s="2690" t="s">
        <v>1010</v>
      </c>
      <c r="BF13" s="2690" t="s">
        <v>1009</v>
      </c>
      <c r="BG13" s="2690" t="s">
        <v>1010</v>
      </c>
      <c r="BH13" s="2697" t="s">
        <v>105</v>
      </c>
      <c r="BI13" s="2698"/>
      <c r="BJ13" s="2697" t="s">
        <v>1057</v>
      </c>
      <c r="BK13" s="2698"/>
      <c r="BL13" s="2697" t="s">
        <v>1058</v>
      </c>
      <c r="BM13" s="2698"/>
    </row>
    <row r="14" spans="1:65" ht="34.5" customHeight="1">
      <c r="A14" s="2702"/>
      <c r="B14" s="2705"/>
      <c r="C14" s="2705"/>
      <c r="D14" s="2703"/>
      <c r="E14" s="2703"/>
      <c r="F14" s="2704"/>
      <c r="G14" s="2690"/>
      <c r="H14" s="2690"/>
      <c r="I14" s="2690"/>
      <c r="J14" s="2695" t="s">
        <v>1009</v>
      </c>
      <c r="K14" s="2695" t="s">
        <v>1010</v>
      </c>
      <c r="L14" s="2695" t="s">
        <v>1009</v>
      </c>
      <c r="M14" s="2695" t="s">
        <v>1010</v>
      </c>
      <c r="N14" s="2695" t="s">
        <v>1009</v>
      </c>
      <c r="O14" s="2695" t="s">
        <v>1010</v>
      </c>
      <c r="P14" s="2695" t="s">
        <v>1009</v>
      </c>
      <c r="Q14" s="2695" t="s">
        <v>1010</v>
      </c>
      <c r="R14" s="2697" t="s">
        <v>4100</v>
      </c>
      <c r="S14" s="2698"/>
      <c r="T14" s="2688" t="s">
        <v>1009</v>
      </c>
      <c r="U14" s="2690" t="s">
        <v>1010</v>
      </c>
      <c r="V14" s="2688" t="s">
        <v>1009</v>
      </c>
      <c r="W14" s="2690" t="s">
        <v>1010</v>
      </c>
      <c r="X14" s="2690" t="s">
        <v>1009</v>
      </c>
      <c r="Y14" s="2690" t="s">
        <v>1010</v>
      </c>
      <c r="Z14" s="2690" t="s">
        <v>1009</v>
      </c>
      <c r="AA14" s="2690" t="s">
        <v>1010</v>
      </c>
      <c r="AB14" s="2690" t="s">
        <v>1009</v>
      </c>
      <c r="AC14" s="2690" t="s">
        <v>1010</v>
      </c>
      <c r="AD14" s="2690"/>
      <c r="AE14" s="2690"/>
      <c r="AF14" s="2690"/>
      <c r="AG14" s="2690"/>
      <c r="AH14" s="2690"/>
      <c r="AI14" s="2690"/>
      <c r="AJ14" s="2688" t="s">
        <v>1009</v>
      </c>
      <c r="AK14" s="2690" t="s">
        <v>1010</v>
      </c>
      <c r="AL14" s="2690"/>
      <c r="AM14" s="2690"/>
      <c r="AN14" s="2690"/>
      <c r="AO14" s="2690"/>
      <c r="AP14" s="2690" t="s">
        <v>1009</v>
      </c>
      <c r="AQ14" s="2692" t="s">
        <v>1010</v>
      </c>
      <c r="AR14" s="2690" t="s">
        <v>1009</v>
      </c>
      <c r="AS14" s="2690" t="s">
        <v>1010</v>
      </c>
      <c r="AT14" s="2690" t="s">
        <v>1009</v>
      </c>
      <c r="AU14" s="2690" t="s">
        <v>1010</v>
      </c>
      <c r="AV14" s="2690"/>
      <c r="AW14" s="2690"/>
      <c r="AX14" s="2690"/>
      <c r="AY14" s="2690"/>
      <c r="AZ14" s="2690"/>
      <c r="BA14" s="2690"/>
      <c r="BB14" s="2690" t="s">
        <v>1009</v>
      </c>
      <c r="BC14" s="2692" t="s">
        <v>1010</v>
      </c>
      <c r="BD14" s="2690"/>
      <c r="BE14" s="2690"/>
      <c r="BF14" s="2690"/>
      <c r="BG14" s="2690"/>
      <c r="BH14" s="2688" t="s">
        <v>1009</v>
      </c>
      <c r="BI14" s="2690" t="s">
        <v>1010</v>
      </c>
      <c r="BJ14" s="2688" t="s">
        <v>1009</v>
      </c>
      <c r="BK14" s="2690" t="s">
        <v>1010</v>
      </c>
      <c r="BL14" s="2688" t="s">
        <v>1009</v>
      </c>
      <c r="BM14" s="2690" t="s">
        <v>1010</v>
      </c>
    </row>
    <row r="15" spans="1:65" ht="50.25" customHeight="1">
      <c r="A15" s="2702"/>
      <c r="B15" s="2696"/>
      <c r="C15" s="2696"/>
      <c r="D15" s="2703"/>
      <c r="E15" s="2703"/>
      <c r="F15" s="2704"/>
      <c r="G15" s="2690"/>
      <c r="H15" s="2690"/>
      <c r="I15" s="2690"/>
      <c r="J15" s="2696"/>
      <c r="K15" s="2696"/>
      <c r="L15" s="2696"/>
      <c r="M15" s="2696"/>
      <c r="N15" s="2696"/>
      <c r="O15" s="2696"/>
      <c r="P15" s="2696"/>
      <c r="Q15" s="2696"/>
      <c r="R15" s="1761" t="s">
        <v>1009</v>
      </c>
      <c r="S15" s="1761" t="s">
        <v>1010</v>
      </c>
      <c r="T15" s="2694"/>
      <c r="U15" s="2690"/>
      <c r="V15" s="2694"/>
      <c r="W15" s="2690"/>
      <c r="X15" s="2690"/>
      <c r="Y15" s="2690"/>
      <c r="Z15" s="2690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89"/>
      <c r="AK15" s="2690"/>
      <c r="AL15" s="2690"/>
      <c r="AM15" s="2690"/>
      <c r="AN15" s="2690"/>
      <c r="AO15" s="2690"/>
      <c r="AP15" s="2690"/>
      <c r="AQ15" s="2693"/>
      <c r="AR15" s="2690"/>
      <c r="AS15" s="2690"/>
      <c r="AT15" s="2690"/>
      <c r="AU15" s="2690"/>
      <c r="AV15" s="2690"/>
      <c r="AW15" s="2690"/>
      <c r="AX15" s="2690"/>
      <c r="AY15" s="2690"/>
      <c r="AZ15" s="2690"/>
      <c r="BA15" s="2690"/>
      <c r="BB15" s="2690"/>
      <c r="BC15" s="2693"/>
      <c r="BD15" s="2690"/>
      <c r="BE15" s="2690"/>
      <c r="BF15" s="2690"/>
      <c r="BG15" s="2690"/>
      <c r="BH15" s="2689"/>
      <c r="BI15" s="2690"/>
      <c r="BJ15" s="2689"/>
      <c r="BK15" s="2690"/>
      <c r="BL15" s="2689"/>
      <c r="BM15" s="2690"/>
    </row>
    <row r="16" spans="1:65" ht="38.25" hidden="1" customHeight="1">
      <c r="A16" s="1881" t="s">
        <v>114</v>
      </c>
      <c r="B16" s="1879">
        <v>3626</v>
      </c>
      <c r="C16" s="1879"/>
      <c r="D16" s="1879"/>
      <c r="E16" s="1879"/>
      <c r="F16" s="1879"/>
      <c r="G16" s="1879">
        <v>103.4</v>
      </c>
      <c r="H16" s="1879">
        <v>38510</v>
      </c>
      <c r="I16" s="1879">
        <v>4122</v>
      </c>
      <c r="J16" s="1879">
        <v>36272</v>
      </c>
      <c r="K16" s="1879">
        <v>3575</v>
      </c>
      <c r="L16" s="1879">
        <v>500</v>
      </c>
      <c r="M16" s="1879">
        <v>224</v>
      </c>
      <c r="N16" s="1879">
        <v>500</v>
      </c>
      <c r="O16" s="1879">
        <v>17</v>
      </c>
      <c r="P16" s="1879">
        <v>288</v>
      </c>
      <c r="Q16" s="1879">
        <v>66</v>
      </c>
      <c r="R16" s="1761" t="s">
        <v>1009</v>
      </c>
      <c r="S16" s="1761" t="s">
        <v>1010</v>
      </c>
      <c r="T16" s="2689"/>
      <c r="U16" s="2690"/>
      <c r="V16" s="2689"/>
      <c r="W16" s="2690"/>
      <c r="X16" s="1879">
        <v>950</v>
      </c>
      <c r="Y16" s="1879">
        <v>240</v>
      </c>
      <c r="Z16" s="1879"/>
      <c r="AA16" s="1879"/>
      <c r="AB16" s="1879"/>
      <c r="AC16" s="1879"/>
      <c r="AD16" s="1879">
        <v>36861</v>
      </c>
      <c r="AE16" s="1879">
        <v>3671</v>
      </c>
      <c r="AF16" s="1879">
        <v>35844</v>
      </c>
      <c r="AG16" s="1879">
        <v>3420</v>
      </c>
      <c r="AH16" s="1879">
        <v>672</v>
      </c>
      <c r="AI16" s="1879">
        <v>187</v>
      </c>
      <c r="AJ16" s="1879"/>
      <c r="AK16" s="1879"/>
      <c r="AL16" s="1879"/>
      <c r="AM16" s="1879"/>
      <c r="AN16" s="1879"/>
      <c r="AO16" s="1879"/>
      <c r="AP16" s="1879"/>
      <c r="AQ16" s="1879"/>
      <c r="AR16" s="1879"/>
      <c r="AS16" s="1879"/>
      <c r="AT16" s="1879"/>
      <c r="AU16" s="1879"/>
      <c r="AV16" s="1879">
        <v>1648</v>
      </c>
      <c r="AW16" s="1879">
        <v>452</v>
      </c>
      <c r="AX16" s="1879">
        <v>927</v>
      </c>
      <c r="AY16" s="1879">
        <v>172</v>
      </c>
      <c r="AZ16" s="1879"/>
      <c r="BA16" s="1879"/>
      <c r="BB16" s="1879"/>
      <c r="BC16" s="1879"/>
      <c r="BD16" s="1879"/>
      <c r="BE16" s="1879"/>
      <c r="BF16" s="1879"/>
      <c r="BG16" s="1879"/>
      <c r="BH16" s="1879">
        <v>116</v>
      </c>
      <c r="BI16" s="693">
        <v>103</v>
      </c>
      <c r="BJ16" s="1879"/>
      <c r="BK16" s="1879"/>
      <c r="BL16" s="1879"/>
      <c r="BM16" s="693"/>
    </row>
    <row r="17" spans="1:65" hidden="1">
      <c r="A17" s="1880" t="s">
        <v>43</v>
      </c>
      <c r="B17" s="1878">
        <v>3974</v>
      </c>
      <c r="C17" s="1878"/>
      <c r="D17" s="1878"/>
      <c r="E17" s="1878"/>
      <c r="F17" s="1878"/>
      <c r="G17" s="1878">
        <v>129</v>
      </c>
      <c r="H17" s="1878">
        <v>45291</v>
      </c>
      <c r="I17" s="1878">
        <v>5454</v>
      </c>
      <c r="J17" s="1878">
        <v>41838</v>
      </c>
      <c r="K17" s="1878">
        <v>4794</v>
      </c>
      <c r="L17" s="1878">
        <v>526</v>
      </c>
      <c r="M17" s="1878">
        <v>240</v>
      </c>
      <c r="N17" s="1878">
        <v>803</v>
      </c>
      <c r="O17" s="1878">
        <v>30</v>
      </c>
      <c r="P17" s="1878">
        <v>798</v>
      </c>
      <c r="Q17" s="1878">
        <v>92</v>
      </c>
      <c r="R17" s="1879"/>
      <c r="S17" s="1879"/>
      <c r="T17" s="1878"/>
      <c r="U17" s="1878"/>
      <c r="V17" s="1878"/>
      <c r="W17" s="1878"/>
      <c r="X17" s="1878">
        <v>1326</v>
      </c>
      <c r="Y17" s="1878">
        <v>298</v>
      </c>
      <c r="Z17" s="1878"/>
      <c r="AA17" s="1878"/>
      <c r="AB17" s="1878"/>
      <c r="AC17" s="1878"/>
      <c r="AD17" s="1878">
        <v>43299</v>
      </c>
      <c r="AE17" s="1878">
        <v>4922</v>
      </c>
      <c r="AF17" s="1878">
        <v>41745</v>
      </c>
      <c r="AG17" s="1878">
        <v>4653</v>
      </c>
      <c r="AH17" s="1878">
        <v>1157</v>
      </c>
      <c r="AI17" s="1878">
        <v>207</v>
      </c>
      <c r="AJ17" s="1878"/>
      <c r="AK17" s="1878"/>
      <c r="AL17" s="1878"/>
      <c r="AM17" s="1878"/>
      <c r="AN17" s="1878"/>
      <c r="AO17" s="1878"/>
      <c r="AP17" s="1878"/>
      <c r="AQ17" s="1878"/>
      <c r="AR17" s="1878"/>
      <c r="AS17" s="1878"/>
      <c r="AT17" s="1878"/>
      <c r="AU17" s="1878"/>
      <c r="AV17" s="1878">
        <v>1993</v>
      </c>
      <c r="AW17" s="1878">
        <v>533</v>
      </c>
      <c r="AX17" s="1878">
        <v>897</v>
      </c>
      <c r="AY17" s="1878">
        <v>172</v>
      </c>
      <c r="AZ17" s="1878"/>
      <c r="BA17" s="1878"/>
      <c r="BB17" s="1878"/>
      <c r="BC17" s="1878"/>
      <c r="BD17" s="1878"/>
      <c r="BE17" s="1878"/>
      <c r="BF17" s="1878"/>
      <c r="BG17" s="1878"/>
      <c r="BH17" s="1878">
        <v>167</v>
      </c>
      <c r="BI17" s="1877">
        <v>125</v>
      </c>
      <c r="BJ17" s="1878"/>
      <c r="BK17" s="1878"/>
      <c r="BL17" s="1878"/>
      <c r="BM17" s="1877"/>
    </row>
    <row r="18" spans="1:65">
      <c r="A18" s="1876">
        <v>2010</v>
      </c>
      <c r="B18" s="1811">
        <v>4231</v>
      </c>
      <c r="C18" s="1811"/>
      <c r="D18" s="1873">
        <v>2427</v>
      </c>
      <c r="E18" s="1873">
        <v>1260</v>
      </c>
      <c r="F18" s="1873">
        <v>410</v>
      </c>
      <c r="G18" s="1873">
        <v>134</v>
      </c>
      <c r="H18" s="1811">
        <f t="shared" ref="H18:Q18" si="0">SUM(H19:H30)</f>
        <v>46502</v>
      </c>
      <c r="I18" s="1811">
        <f t="shared" si="0"/>
        <v>6056</v>
      </c>
      <c r="J18" s="1811">
        <f t="shared" si="0"/>
        <v>42768</v>
      </c>
      <c r="K18" s="1811">
        <f t="shared" si="0"/>
        <v>5283</v>
      </c>
      <c r="L18" s="1811">
        <f t="shared" si="0"/>
        <v>444</v>
      </c>
      <c r="M18" s="1811">
        <f t="shared" si="0"/>
        <v>255</v>
      </c>
      <c r="N18" s="1811">
        <f t="shared" si="0"/>
        <v>939</v>
      </c>
      <c r="O18" s="1875">
        <f t="shared" si="0"/>
        <v>71</v>
      </c>
      <c r="P18" s="1811">
        <f t="shared" si="0"/>
        <v>563</v>
      </c>
      <c r="Q18" s="1874">
        <f t="shared" si="0"/>
        <v>78</v>
      </c>
      <c r="R18" s="1874"/>
      <c r="S18" s="1874"/>
      <c r="T18" s="1874"/>
      <c r="U18" s="1874"/>
      <c r="V18" s="1874"/>
      <c r="W18" s="1874"/>
      <c r="X18" s="1873">
        <f>SUM(X19:X30)</f>
        <v>1787</v>
      </c>
      <c r="Y18" s="1873">
        <f>SUM(Y19:Y30)</f>
        <v>369</v>
      </c>
      <c r="Z18" s="1873"/>
      <c r="AA18" s="1873"/>
      <c r="AB18" s="1873"/>
      <c r="AC18" s="1873"/>
      <c r="AD18" s="1811">
        <f t="shared" ref="AD18:AI18" si="1">SUM(AD19:AD30)</f>
        <v>44218</v>
      </c>
      <c r="AE18" s="1811">
        <f t="shared" si="1"/>
        <v>5430</v>
      </c>
      <c r="AF18" s="1811">
        <f t="shared" si="1"/>
        <v>42770</v>
      </c>
      <c r="AG18" s="1811">
        <f t="shared" si="1"/>
        <v>5133</v>
      </c>
      <c r="AH18" s="1811">
        <f t="shared" si="1"/>
        <v>804</v>
      </c>
      <c r="AI18" s="1811">
        <f t="shared" si="1"/>
        <v>195</v>
      </c>
      <c r="AJ18" s="1811"/>
      <c r="AK18" s="1811"/>
      <c r="AL18" s="1811"/>
      <c r="AM18" s="1811"/>
      <c r="AN18" s="1811"/>
      <c r="AO18" s="1811"/>
      <c r="AP18" s="1811"/>
      <c r="AQ18" s="1811"/>
      <c r="AR18" s="1811"/>
      <c r="AS18" s="1811"/>
      <c r="AT18" s="1811"/>
      <c r="AU18" s="1811"/>
      <c r="AV18" s="1811">
        <f t="shared" ref="AV18:BA18" si="2">SUM(AV19:AV30)</f>
        <v>2286</v>
      </c>
      <c r="AW18" s="1811">
        <f t="shared" si="2"/>
        <v>626</v>
      </c>
      <c r="AX18" s="1811">
        <f t="shared" si="2"/>
        <v>935</v>
      </c>
      <c r="AY18" s="1811">
        <f t="shared" si="2"/>
        <v>219</v>
      </c>
      <c r="AZ18" s="1811">
        <f t="shared" si="2"/>
        <v>205</v>
      </c>
      <c r="BA18" s="1811">
        <f t="shared" si="2"/>
        <v>137</v>
      </c>
      <c r="BB18" s="1811"/>
      <c r="BC18" s="1811"/>
      <c r="BD18" s="1811"/>
      <c r="BE18" s="1811"/>
      <c r="BF18" s="1811"/>
      <c r="BG18" s="1811"/>
      <c r="BH18" s="1811"/>
      <c r="BI18" s="1811"/>
      <c r="BJ18" s="1811"/>
      <c r="BK18" s="1811"/>
      <c r="BL18" s="1811"/>
      <c r="BM18" s="1811"/>
    </row>
    <row r="19" spans="1:65" hidden="1">
      <c r="A19" s="1854" t="s">
        <v>18</v>
      </c>
      <c r="B19" s="1811">
        <v>4016</v>
      </c>
      <c r="C19" s="1811"/>
      <c r="D19" s="1873">
        <v>2396</v>
      </c>
      <c r="E19" s="1873">
        <v>1183</v>
      </c>
      <c r="F19" s="1873">
        <v>321</v>
      </c>
      <c r="G19" s="1873">
        <v>116</v>
      </c>
      <c r="H19" s="1811">
        <v>2268</v>
      </c>
      <c r="I19" s="1811">
        <v>293</v>
      </c>
      <c r="J19" s="1811">
        <v>2038</v>
      </c>
      <c r="K19" s="1811">
        <v>243</v>
      </c>
      <c r="L19" s="1811">
        <v>19</v>
      </c>
      <c r="M19" s="1811">
        <v>16</v>
      </c>
      <c r="N19" s="1811">
        <v>52</v>
      </c>
      <c r="O19" s="1811">
        <v>3</v>
      </c>
      <c r="P19" s="1811">
        <v>34</v>
      </c>
      <c r="Q19" s="1874">
        <v>6</v>
      </c>
      <c r="R19" s="1874"/>
      <c r="S19" s="1874"/>
      <c r="T19" s="1874"/>
      <c r="U19" s="1874"/>
      <c r="V19" s="1874"/>
      <c r="W19" s="1874"/>
      <c r="X19" s="1873">
        <v>126</v>
      </c>
      <c r="Y19" s="1873">
        <v>26</v>
      </c>
      <c r="Z19" s="1873"/>
      <c r="AA19" s="1873"/>
      <c r="AB19" s="1873"/>
      <c r="AC19" s="1873"/>
      <c r="AD19" s="1811">
        <v>2105</v>
      </c>
      <c r="AE19" s="1811">
        <v>251</v>
      </c>
      <c r="AF19" s="1811">
        <v>2026</v>
      </c>
      <c r="AG19" s="1811">
        <v>232</v>
      </c>
      <c r="AH19" s="1811">
        <v>40</v>
      </c>
      <c r="AI19" s="1811">
        <v>13</v>
      </c>
      <c r="AJ19" s="1811"/>
      <c r="AK19" s="1811"/>
      <c r="AL19" s="1811"/>
      <c r="AM19" s="1811"/>
      <c r="AN19" s="1811"/>
      <c r="AO19" s="1811"/>
      <c r="AP19" s="1811"/>
      <c r="AQ19" s="1811"/>
      <c r="AR19" s="1811"/>
      <c r="AS19" s="1811"/>
      <c r="AT19" s="1811"/>
      <c r="AU19" s="1811"/>
      <c r="AV19" s="1811">
        <v>164</v>
      </c>
      <c r="AW19" s="1811">
        <v>42</v>
      </c>
      <c r="AX19" s="1811">
        <v>64</v>
      </c>
      <c r="AY19" s="1811">
        <v>13</v>
      </c>
      <c r="AZ19" s="1811">
        <v>13</v>
      </c>
      <c r="BA19" s="1811">
        <v>9</v>
      </c>
      <c r="BB19" s="1811"/>
      <c r="BC19" s="1811"/>
      <c r="BD19" s="1811"/>
      <c r="BE19" s="1811"/>
      <c r="BF19" s="1811"/>
      <c r="BG19" s="1811"/>
      <c r="BH19" s="1811"/>
      <c r="BI19" s="1811"/>
      <c r="BJ19" s="1811"/>
      <c r="BK19" s="1811"/>
      <c r="BL19" s="1811"/>
      <c r="BM19" s="1811"/>
    </row>
    <row r="20" spans="1:65" hidden="1">
      <c r="A20" s="1854" t="s">
        <v>19</v>
      </c>
      <c r="B20" s="1811">
        <v>4049</v>
      </c>
      <c r="C20" s="1811"/>
      <c r="D20" s="1873">
        <v>2403</v>
      </c>
      <c r="E20" s="1873">
        <v>1195</v>
      </c>
      <c r="F20" s="1873">
        <v>333</v>
      </c>
      <c r="G20" s="1873">
        <v>118</v>
      </c>
      <c r="H20" s="1811">
        <v>4008</v>
      </c>
      <c r="I20" s="1811">
        <v>494</v>
      </c>
      <c r="J20" s="1811">
        <v>3743</v>
      </c>
      <c r="K20" s="1811">
        <v>443</v>
      </c>
      <c r="L20" s="1811">
        <v>46</v>
      </c>
      <c r="M20" s="1811">
        <v>18</v>
      </c>
      <c r="N20" s="1811">
        <v>66</v>
      </c>
      <c r="O20" s="1811">
        <v>4</v>
      </c>
      <c r="P20" s="1811">
        <v>32</v>
      </c>
      <c r="Q20" s="1874">
        <v>6</v>
      </c>
      <c r="R20" s="1874"/>
      <c r="S20" s="1874"/>
      <c r="T20" s="1874"/>
      <c r="U20" s="1874"/>
      <c r="V20" s="1874"/>
      <c r="W20" s="1874"/>
      <c r="X20" s="1873">
        <v>120</v>
      </c>
      <c r="Y20" s="1873">
        <v>22</v>
      </c>
      <c r="Z20" s="1873"/>
      <c r="AA20" s="1873"/>
      <c r="AB20" s="1873"/>
      <c r="AC20" s="1873"/>
      <c r="AD20" s="1811">
        <v>3842</v>
      </c>
      <c r="AE20" s="1811">
        <v>452</v>
      </c>
      <c r="AF20" s="1811">
        <v>3742</v>
      </c>
      <c r="AG20" s="1811">
        <v>433</v>
      </c>
      <c r="AH20" s="1811">
        <v>63</v>
      </c>
      <c r="AI20" s="1811">
        <v>13</v>
      </c>
      <c r="AJ20" s="1811"/>
      <c r="AK20" s="1811"/>
      <c r="AL20" s="1811"/>
      <c r="AM20" s="1811"/>
      <c r="AN20" s="1811"/>
      <c r="AO20" s="1811"/>
      <c r="AP20" s="1811"/>
      <c r="AQ20" s="1811"/>
      <c r="AR20" s="1811"/>
      <c r="AS20" s="1811"/>
      <c r="AT20" s="1811"/>
      <c r="AU20" s="1811"/>
      <c r="AV20" s="1811">
        <v>166</v>
      </c>
      <c r="AW20" s="1811">
        <v>42</v>
      </c>
      <c r="AX20" s="1811">
        <v>67</v>
      </c>
      <c r="AY20" s="1811">
        <v>14</v>
      </c>
      <c r="AZ20" s="1811">
        <v>15</v>
      </c>
      <c r="BA20" s="1811">
        <v>10</v>
      </c>
      <c r="BB20" s="1811"/>
      <c r="BC20" s="1811"/>
      <c r="BD20" s="1811"/>
      <c r="BE20" s="1811"/>
      <c r="BF20" s="1811"/>
      <c r="BG20" s="1811"/>
      <c r="BH20" s="1811"/>
      <c r="BI20" s="1811"/>
      <c r="BJ20" s="1811"/>
      <c r="BK20" s="1811"/>
      <c r="BL20" s="1811"/>
      <c r="BM20" s="1811"/>
    </row>
    <row r="21" spans="1:65" hidden="1">
      <c r="A21" s="1854" t="s">
        <v>20</v>
      </c>
      <c r="B21" s="1811">
        <v>4058</v>
      </c>
      <c r="C21" s="1811"/>
      <c r="D21" s="1873">
        <v>2405</v>
      </c>
      <c r="E21" s="1873">
        <v>1191</v>
      </c>
      <c r="F21" s="1873">
        <v>348</v>
      </c>
      <c r="G21" s="1873">
        <v>114</v>
      </c>
      <c r="H21" s="1811">
        <v>4967</v>
      </c>
      <c r="I21" s="1811">
        <v>613</v>
      </c>
      <c r="J21" s="1811">
        <v>4638</v>
      </c>
      <c r="K21" s="1811">
        <v>549</v>
      </c>
      <c r="L21" s="1811">
        <v>52</v>
      </c>
      <c r="M21" s="1811">
        <v>23</v>
      </c>
      <c r="N21" s="1811">
        <v>80</v>
      </c>
      <c r="O21" s="1811">
        <v>5</v>
      </c>
      <c r="P21" s="1811">
        <v>41</v>
      </c>
      <c r="Q21" s="1874">
        <v>6</v>
      </c>
      <c r="R21" s="1874"/>
      <c r="S21" s="1874"/>
      <c r="T21" s="1874"/>
      <c r="U21" s="1874"/>
      <c r="V21" s="1874"/>
      <c r="W21" s="1874"/>
      <c r="X21" s="1873">
        <v>156</v>
      </c>
      <c r="Y21" s="1873">
        <v>30</v>
      </c>
      <c r="Z21" s="1873"/>
      <c r="AA21" s="1873"/>
      <c r="AB21" s="1873"/>
      <c r="AC21" s="1873"/>
      <c r="AD21" s="1811">
        <v>4765</v>
      </c>
      <c r="AE21" s="1811">
        <v>562</v>
      </c>
      <c r="AF21" s="1811">
        <v>4638</v>
      </c>
      <c r="AG21" s="1811">
        <v>536</v>
      </c>
      <c r="AH21" s="1811">
        <v>75</v>
      </c>
      <c r="AI21" s="1811">
        <v>18</v>
      </c>
      <c r="AJ21" s="1811"/>
      <c r="AK21" s="1811"/>
      <c r="AL21" s="1811"/>
      <c r="AM21" s="1811"/>
      <c r="AN21" s="1811"/>
      <c r="AO21" s="1811"/>
      <c r="AP21" s="1811"/>
      <c r="AQ21" s="1811"/>
      <c r="AR21" s="1811"/>
      <c r="AS21" s="1811"/>
      <c r="AT21" s="1811"/>
      <c r="AU21" s="1811"/>
      <c r="AV21" s="1811">
        <v>203</v>
      </c>
      <c r="AW21" s="1811">
        <v>52</v>
      </c>
      <c r="AX21" s="1811">
        <v>80</v>
      </c>
      <c r="AY21" s="1811">
        <v>17</v>
      </c>
      <c r="AZ21" s="1811">
        <v>18</v>
      </c>
      <c r="BA21" s="1811">
        <v>11</v>
      </c>
      <c r="BB21" s="1811"/>
      <c r="BC21" s="1811"/>
      <c r="BD21" s="1811"/>
      <c r="BE21" s="1811"/>
      <c r="BF21" s="1811"/>
      <c r="BG21" s="1811"/>
      <c r="BH21" s="1811"/>
      <c r="BI21" s="1811"/>
      <c r="BJ21" s="1811"/>
      <c r="BK21" s="1811"/>
      <c r="BL21" s="1811"/>
      <c r="BM21" s="1811"/>
    </row>
    <row r="22" spans="1:65" hidden="1">
      <c r="A22" s="1854" t="s">
        <v>21</v>
      </c>
      <c r="B22" s="1811">
        <v>4105</v>
      </c>
      <c r="C22" s="1811"/>
      <c r="D22" s="1873">
        <v>2426</v>
      </c>
      <c r="E22" s="1873">
        <v>1205</v>
      </c>
      <c r="F22" s="1873">
        <v>351</v>
      </c>
      <c r="G22" s="1873">
        <v>123</v>
      </c>
      <c r="H22" s="1811">
        <v>3426</v>
      </c>
      <c r="I22" s="1811">
        <v>434</v>
      </c>
      <c r="J22" s="1811">
        <v>3154</v>
      </c>
      <c r="K22" s="1811">
        <v>381</v>
      </c>
      <c r="L22" s="1811">
        <v>32</v>
      </c>
      <c r="M22" s="1811">
        <v>21</v>
      </c>
      <c r="N22" s="1811">
        <v>74</v>
      </c>
      <c r="O22" s="1811">
        <v>5</v>
      </c>
      <c r="P22" s="1811">
        <v>43</v>
      </c>
      <c r="Q22" s="1874">
        <v>5</v>
      </c>
      <c r="R22" s="1874"/>
      <c r="S22" s="1874"/>
      <c r="T22" s="1874"/>
      <c r="U22" s="1874"/>
      <c r="V22" s="1874"/>
      <c r="W22" s="1874"/>
      <c r="X22" s="1873">
        <v>123</v>
      </c>
      <c r="Y22" s="1873">
        <v>22</v>
      </c>
      <c r="Z22" s="1873"/>
      <c r="AA22" s="1873"/>
      <c r="AB22" s="1873"/>
      <c r="AC22" s="1873"/>
      <c r="AD22" s="1811">
        <v>3256</v>
      </c>
      <c r="AE22" s="1811">
        <v>390</v>
      </c>
      <c r="AF22" s="1811">
        <v>3154</v>
      </c>
      <c r="AG22" s="1811">
        <v>369</v>
      </c>
      <c r="AH22" s="1811">
        <v>60</v>
      </c>
      <c r="AI22" s="1811">
        <v>15</v>
      </c>
      <c r="AJ22" s="1811"/>
      <c r="AK22" s="1811"/>
      <c r="AL22" s="1811"/>
      <c r="AM22" s="1811"/>
      <c r="AN22" s="1811"/>
      <c r="AO22" s="1811"/>
      <c r="AP22" s="1811"/>
      <c r="AQ22" s="1811"/>
      <c r="AR22" s="1811"/>
      <c r="AS22" s="1811"/>
      <c r="AT22" s="1811"/>
      <c r="AU22" s="1811"/>
      <c r="AV22" s="1811">
        <v>169</v>
      </c>
      <c r="AW22" s="1811">
        <v>43</v>
      </c>
      <c r="AX22" s="1811">
        <v>74</v>
      </c>
      <c r="AY22" s="1811">
        <v>17</v>
      </c>
      <c r="AZ22" s="1811">
        <v>16</v>
      </c>
      <c r="BA22" s="1811">
        <v>11</v>
      </c>
      <c r="BB22" s="1811"/>
      <c r="BC22" s="1811"/>
      <c r="BD22" s="1811"/>
      <c r="BE22" s="1811"/>
      <c r="BF22" s="1811"/>
      <c r="BG22" s="1811"/>
      <c r="BH22" s="1811"/>
      <c r="BI22" s="1811"/>
      <c r="BJ22" s="1811"/>
      <c r="BK22" s="1811"/>
      <c r="BL22" s="1811"/>
      <c r="BM22" s="1811"/>
    </row>
    <row r="23" spans="1:65" hidden="1">
      <c r="A23" s="1854" t="s">
        <v>22</v>
      </c>
      <c r="B23" s="1811">
        <v>4120</v>
      </c>
      <c r="C23" s="1811"/>
      <c r="D23" s="1873">
        <v>2428</v>
      </c>
      <c r="E23" s="1873">
        <v>1202</v>
      </c>
      <c r="F23" s="1873">
        <v>363</v>
      </c>
      <c r="G23" s="1873">
        <v>127</v>
      </c>
      <c r="H23" s="1811">
        <v>3972</v>
      </c>
      <c r="I23" s="1811">
        <v>498</v>
      </c>
      <c r="J23" s="1811">
        <v>3661</v>
      </c>
      <c r="K23" s="1811">
        <v>440</v>
      </c>
      <c r="L23" s="1811">
        <v>37</v>
      </c>
      <c r="M23" s="1811">
        <v>21</v>
      </c>
      <c r="N23" s="1811">
        <v>85</v>
      </c>
      <c r="O23" s="1811">
        <v>5</v>
      </c>
      <c r="P23" s="1811">
        <v>57</v>
      </c>
      <c r="Q23" s="1874">
        <v>5</v>
      </c>
      <c r="R23" s="1874"/>
      <c r="S23" s="1874"/>
      <c r="T23" s="1874"/>
      <c r="U23" s="1874"/>
      <c r="V23" s="1874"/>
      <c r="W23" s="1874"/>
      <c r="X23" s="1873">
        <v>132</v>
      </c>
      <c r="Y23" s="1873">
        <v>25</v>
      </c>
      <c r="Z23" s="1873"/>
      <c r="AA23" s="1873"/>
      <c r="AB23" s="1873"/>
      <c r="AC23" s="1873"/>
      <c r="AD23" s="1811">
        <v>3794</v>
      </c>
      <c r="AE23" s="1811">
        <v>451</v>
      </c>
      <c r="AF23" s="1811">
        <v>3669</v>
      </c>
      <c r="AG23" s="1811">
        <v>429</v>
      </c>
      <c r="AH23" s="1811">
        <v>78</v>
      </c>
      <c r="AI23" s="1811">
        <v>16</v>
      </c>
      <c r="AJ23" s="1811"/>
      <c r="AK23" s="1811"/>
      <c r="AL23" s="1811"/>
      <c r="AM23" s="1811"/>
      <c r="AN23" s="1811"/>
      <c r="AO23" s="1811"/>
      <c r="AP23" s="1811"/>
      <c r="AQ23" s="1811"/>
      <c r="AR23" s="1811"/>
      <c r="AS23" s="1811"/>
      <c r="AT23" s="1811"/>
      <c r="AU23" s="1811"/>
      <c r="AV23" s="1811">
        <v>178</v>
      </c>
      <c r="AW23" s="1811">
        <v>47</v>
      </c>
      <c r="AX23" s="1811">
        <v>76</v>
      </c>
      <c r="AY23" s="1811">
        <v>17</v>
      </c>
      <c r="AZ23" s="1811">
        <v>16</v>
      </c>
      <c r="BA23" s="1811">
        <v>11</v>
      </c>
      <c r="BB23" s="1811"/>
      <c r="BC23" s="1811"/>
      <c r="BD23" s="1811"/>
      <c r="BE23" s="1811"/>
      <c r="BF23" s="1811"/>
      <c r="BG23" s="1811"/>
      <c r="BH23" s="1811"/>
      <c r="BI23" s="1811"/>
      <c r="BJ23" s="1811"/>
      <c r="BK23" s="1811"/>
      <c r="BL23" s="1811"/>
      <c r="BM23" s="1811"/>
    </row>
    <row r="24" spans="1:65" hidden="1">
      <c r="A24" s="1854" t="s">
        <v>23</v>
      </c>
      <c r="B24" s="1811">
        <v>4148</v>
      </c>
      <c r="C24" s="1811"/>
      <c r="D24" s="1873">
        <v>2437</v>
      </c>
      <c r="E24" s="1873">
        <v>1215</v>
      </c>
      <c r="F24" s="1873">
        <v>367</v>
      </c>
      <c r="G24" s="1873">
        <v>129</v>
      </c>
      <c r="H24" s="1811">
        <v>3499</v>
      </c>
      <c r="I24" s="1811">
        <v>454</v>
      </c>
      <c r="J24" s="1811">
        <v>3213</v>
      </c>
      <c r="K24" s="1811">
        <v>400</v>
      </c>
      <c r="L24" s="1811">
        <v>28</v>
      </c>
      <c r="M24" s="1811">
        <v>18</v>
      </c>
      <c r="N24" s="1811">
        <v>83</v>
      </c>
      <c r="O24" s="1811">
        <v>5</v>
      </c>
      <c r="P24" s="1811">
        <v>45</v>
      </c>
      <c r="Q24" s="1874">
        <v>6</v>
      </c>
      <c r="R24" s="1874"/>
      <c r="S24" s="1874"/>
      <c r="T24" s="1874"/>
      <c r="U24" s="1874"/>
      <c r="V24" s="1874"/>
      <c r="W24" s="1874"/>
      <c r="X24" s="1873">
        <v>130</v>
      </c>
      <c r="Y24" s="1873">
        <v>25</v>
      </c>
      <c r="Z24" s="1873"/>
      <c r="AA24" s="1873"/>
      <c r="AB24" s="1873"/>
      <c r="AC24" s="1873"/>
      <c r="AD24" s="1811">
        <v>3324</v>
      </c>
      <c r="AE24" s="1811">
        <v>409</v>
      </c>
      <c r="AF24" s="1811">
        <v>3218</v>
      </c>
      <c r="AG24" s="1811">
        <v>388</v>
      </c>
      <c r="AH24" s="1811">
        <v>58</v>
      </c>
      <c r="AI24" s="1811">
        <v>14</v>
      </c>
      <c r="AJ24" s="1811"/>
      <c r="AK24" s="1811"/>
      <c r="AL24" s="1811"/>
      <c r="AM24" s="1811"/>
      <c r="AN24" s="1811"/>
      <c r="AO24" s="1811"/>
      <c r="AP24" s="1811"/>
      <c r="AQ24" s="1811"/>
      <c r="AR24" s="1811"/>
      <c r="AS24" s="1811"/>
      <c r="AT24" s="1811"/>
      <c r="AU24" s="1811"/>
      <c r="AV24" s="1811">
        <v>175</v>
      </c>
      <c r="AW24" s="1811">
        <v>45</v>
      </c>
      <c r="AX24" s="1811">
        <v>78</v>
      </c>
      <c r="AY24" s="1811">
        <v>17</v>
      </c>
      <c r="AZ24" s="1811">
        <v>15</v>
      </c>
      <c r="BA24" s="1811">
        <v>10</v>
      </c>
      <c r="BB24" s="1811"/>
      <c r="BC24" s="1811"/>
      <c r="BD24" s="1811"/>
      <c r="BE24" s="1811"/>
      <c r="BF24" s="1811"/>
      <c r="BG24" s="1811"/>
      <c r="BH24" s="1811"/>
      <c r="BI24" s="1811"/>
      <c r="BJ24" s="1811"/>
      <c r="BK24" s="1811"/>
      <c r="BL24" s="1811"/>
      <c r="BM24" s="1811"/>
    </row>
    <row r="25" spans="1:65" hidden="1">
      <c r="A25" s="1854" t="s">
        <v>24</v>
      </c>
      <c r="B25" s="1811">
        <v>4155</v>
      </c>
      <c r="C25" s="1811"/>
      <c r="D25" s="1873">
        <v>2431</v>
      </c>
      <c r="E25" s="1873">
        <v>1220</v>
      </c>
      <c r="F25" s="1873">
        <v>374</v>
      </c>
      <c r="G25" s="1873">
        <v>130</v>
      </c>
      <c r="H25" s="1811">
        <v>4343</v>
      </c>
      <c r="I25" s="1811">
        <v>573</v>
      </c>
      <c r="J25" s="1811">
        <v>4032</v>
      </c>
      <c r="K25" s="1811">
        <v>512</v>
      </c>
      <c r="L25" s="1811">
        <v>40</v>
      </c>
      <c r="M25" s="1811">
        <v>21</v>
      </c>
      <c r="N25" s="1811">
        <v>83</v>
      </c>
      <c r="O25" s="1811">
        <v>6</v>
      </c>
      <c r="P25" s="1811">
        <v>45</v>
      </c>
      <c r="Q25" s="1874">
        <v>6</v>
      </c>
      <c r="R25" s="1874"/>
      <c r="S25" s="1874"/>
      <c r="T25" s="1874"/>
      <c r="U25" s="1874"/>
      <c r="V25" s="1874"/>
      <c r="W25" s="1874"/>
      <c r="X25" s="1873">
        <v>143</v>
      </c>
      <c r="Y25" s="1873">
        <v>29</v>
      </c>
      <c r="Z25" s="1873"/>
      <c r="AA25" s="1873"/>
      <c r="AB25" s="1873"/>
      <c r="AC25" s="1873"/>
      <c r="AD25" s="1811">
        <v>4159</v>
      </c>
      <c r="AE25" s="1811">
        <v>522</v>
      </c>
      <c r="AF25" s="1811">
        <v>4039</v>
      </c>
      <c r="AG25" s="1811">
        <v>499</v>
      </c>
      <c r="AH25" s="1811">
        <v>71</v>
      </c>
      <c r="AI25" s="1811">
        <v>16</v>
      </c>
      <c r="AJ25" s="1811"/>
      <c r="AK25" s="1811"/>
      <c r="AL25" s="1811"/>
      <c r="AM25" s="1811"/>
      <c r="AN25" s="1811"/>
      <c r="AO25" s="1811"/>
      <c r="AP25" s="1811"/>
      <c r="AQ25" s="1811"/>
      <c r="AR25" s="1811"/>
      <c r="AS25" s="1811"/>
      <c r="AT25" s="1811"/>
      <c r="AU25" s="1811"/>
      <c r="AV25" s="1811">
        <v>184</v>
      </c>
      <c r="AW25" s="1811">
        <v>51</v>
      </c>
      <c r="AX25" s="1811">
        <v>75</v>
      </c>
      <c r="AY25" s="1811">
        <v>18</v>
      </c>
      <c r="AZ25" s="1811">
        <v>15</v>
      </c>
      <c r="BA25" s="1811">
        <v>11</v>
      </c>
      <c r="BB25" s="1811"/>
      <c r="BC25" s="1811"/>
      <c r="BD25" s="1811"/>
      <c r="BE25" s="1811"/>
      <c r="BF25" s="1811"/>
      <c r="BG25" s="1811"/>
      <c r="BH25" s="1811"/>
      <c r="BI25" s="1811"/>
      <c r="BJ25" s="1811"/>
      <c r="BK25" s="1811"/>
      <c r="BL25" s="1811"/>
      <c r="BM25" s="1811"/>
    </row>
    <row r="26" spans="1:65" hidden="1">
      <c r="A26" s="1854" t="s">
        <v>25</v>
      </c>
      <c r="B26" s="1811">
        <v>4051</v>
      </c>
      <c r="C26" s="1811"/>
      <c r="D26" s="1873">
        <v>2292</v>
      </c>
      <c r="E26" s="1873">
        <v>1215</v>
      </c>
      <c r="F26" s="1873">
        <v>413</v>
      </c>
      <c r="G26" s="1873">
        <v>131</v>
      </c>
      <c r="H26" s="1811">
        <v>3509</v>
      </c>
      <c r="I26" s="1811">
        <v>456</v>
      </c>
      <c r="J26" s="1811">
        <v>3190</v>
      </c>
      <c r="K26" s="1811">
        <v>387</v>
      </c>
      <c r="L26" s="1811">
        <v>31</v>
      </c>
      <c r="M26" s="1811">
        <v>24</v>
      </c>
      <c r="N26" s="1811">
        <v>77</v>
      </c>
      <c r="O26" s="1811">
        <v>6</v>
      </c>
      <c r="P26" s="1811">
        <v>46</v>
      </c>
      <c r="Q26" s="1874">
        <v>5</v>
      </c>
      <c r="R26" s="1874"/>
      <c r="S26" s="1874"/>
      <c r="T26" s="1874"/>
      <c r="U26" s="1874"/>
      <c r="V26" s="1874"/>
      <c r="W26" s="1874"/>
      <c r="X26" s="1873">
        <v>165</v>
      </c>
      <c r="Y26" s="1873">
        <v>35</v>
      </c>
      <c r="Z26" s="1873"/>
      <c r="AA26" s="1873"/>
      <c r="AB26" s="1873"/>
      <c r="AC26" s="1873"/>
      <c r="AD26" s="1811">
        <v>3308</v>
      </c>
      <c r="AE26" s="1811">
        <v>400</v>
      </c>
      <c r="AF26" s="1811">
        <v>3189</v>
      </c>
      <c r="AG26" s="1811">
        <v>374</v>
      </c>
      <c r="AH26" s="1811">
        <v>61</v>
      </c>
      <c r="AI26" s="1811">
        <v>17</v>
      </c>
      <c r="AJ26" s="1811"/>
      <c r="AK26" s="1811"/>
      <c r="AL26" s="1811"/>
      <c r="AM26" s="1811"/>
      <c r="AN26" s="1811"/>
      <c r="AO26" s="1811"/>
      <c r="AP26" s="1811"/>
      <c r="AQ26" s="1811"/>
      <c r="AR26" s="1811"/>
      <c r="AS26" s="1811"/>
      <c r="AT26" s="1811"/>
      <c r="AU26" s="1811"/>
      <c r="AV26" s="1811">
        <v>202</v>
      </c>
      <c r="AW26" s="1811">
        <v>56</v>
      </c>
      <c r="AX26" s="1811">
        <v>78</v>
      </c>
      <c r="AY26" s="1811">
        <v>19</v>
      </c>
      <c r="AZ26" s="1811">
        <v>16</v>
      </c>
      <c r="BA26" s="1811">
        <v>12</v>
      </c>
      <c r="BB26" s="1811"/>
      <c r="BC26" s="1811"/>
      <c r="BD26" s="1811"/>
      <c r="BE26" s="1811"/>
      <c r="BF26" s="1811"/>
      <c r="BG26" s="1811"/>
      <c r="BH26" s="1811"/>
      <c r="BI26" s="1811"/>
      <c r="BJ26" s="1811"/>
      <c r="BK26" s="1811"/>
      <c r="BL26" s="1811"/>
      <c r="BM26" s="1811"/>
    </row>
    <row r="27" spans="1:65" hidden="1">
      <c r="A27" s="1854" t="s">
        <v>26</v>
      </c>
      <c r="B27" s="1811">
        <v>4059</v>
      </c>
      <c r="C27" s="1811"/>
      <c r="D27" s="1873">
        <v>2263</v>
      </c>
      <c r="E27" s="1873">
        <v>1234</v>
      </c>
      <c r="F27" s="1873">
        <v>426</v>
      </c>
      <c r="G27" s="1873">
        <v>136</v>
      </c>
      <c r="H27" s="1811">
        <v>3804</v>
      </c>
      <c r="I27" s="1811">
        <v>491</v>
      </c>
      <c r="J27" s="1811">
        <v>3478</v>
      </c>
      <c r="K27" s="1811">
        <v>423</v>
      </c>
      <c r="L27" s="1811">
        <v>41</v>
      </c>
      <c r="M27" s="1811">
        <v>25</v>
      </c>
      <c r="N27" s="1811">
        <v>75</v>
      </c>
      <c r="O27" s="1811">
        <v>6</v>
      </c>
      <c r="P27" s="1811">
        <v>45</v>
      </c>
      <c r="Q27" s="1874">
        <v>6</v>
      </c>
      <c r="R27" s="1874"/>
      <c r="S27" s="1874"/>
      <c r="T27" s="1874"/>
      <c r="U27" s="1874"/>
      <c r="V27" s="1874"/>
      <c r="W27" s="1874"/>
      <c r="X27" s="1873">
        <v>165</v>
      </c>
      <c r="Y27" s="1873">
        <v>32</v>
      </c>
      <c r="Z27" s="1873"/>
      <c r="AA27" s="1873"/>
      <c r="AB27" s="1873"/>
      <c r="AC27" s="1873"/>
      <c r="AD27" s="1811">
        <v>3603</v>
      </c>
      <c r="AE27" s="1811">
        <v>435</v>
      </c>
      <c r="AF27" s="1811">
        <v>3472</v>
      </c>
      <c r="AG27" s="1811">
        <v>409</v>
      </c>
      <c r="AH27" s="1811">
        <v>69</v>
      </c>
      <c r="AI27" s="1811">
        <v>17</v>
      </c>
      <c r="AJ27" s="1811"/>
      <c r="AK27" s="1811"/>
      <c r="AL27" s="1811"/>
      <c r="AM27" s="1811"/>
      <c r="AN27" s="1811"/>
      <c r="AO27" s="1811"/>
      <c r="AP27" s="1811"/>
      <c r="AQ27" s="1811"/>
      <c r="AR27" s="1811"/>
      <c r="AS27" s="1811"/>
      <c r="AT27" s="1811"/>
      <c r="AU27" s="1811"/>
      <c r="AV27" s="1811">
        <v>201</v>
      </c>
      <c r="AW27" s="1811">
        <v>56</v>
      </c>
      <c r="AX27" s="1811">
        <v>81</v>
      </c>
      <c r="AY27" s="1811">
        <v>20</v>
      </c>
      <c r="AZ27" s="1811">
        <v>17</v>
      </c>
      <c r="BA27" s="1811">
        <v>13</v>
      </c>
      <c r="BB27" s="1811"/>
      <c r="BC27" s="1811"/>
      <c r="BD27" s="1811"/>
      <c r="BE27" s="1811"/>
      <c r="BF27" s="1811"/>
      <c r="BG27" s="1811"/>
      <c r="BH27" s="1811"/>
      <c r="BI27" s="1811"/>
      <c r="BJ27" s="1811"/>
      <c r="BK27" s="1811"/>
      <c r="BL27" s="1811"/>
      <c r="BM27" s="1811"/>
    </row>
    <row r="28" spans="1:65" hidden="1">
      <c r="A28" s="1854" t="s">
        <v>27</v>
      </c>
      <c r="B28" s="1811">
        <v>4103</v>
      </c>
      <c r="C28" s="1811"/>
      <c r="D28" s="1873">
        <v>2319</v>
      </c>
      <c r="E28" s="1873">
        <v>1231</v>
      </c>
      <c r="F28" s="1873">
        <v>419</v>
      </c>
      <c r="G28" s="1873">
        <v>134</v>
      </c>
      <c r="H28" s="1811">
        <v>3910</v>
      </c>
      <c r="I28" s="1811">
        <v>509</v>
      </c>
      <c r="J28" s="1811">
        <v>3579</v>
      </c>
      <c r="K28" s="1811">
        <v>445</v>
      </c>
      <c r="L28" s="1811">
        <v>37</v>
      </c>
      <c r="M28" s="1811">
        <v>20</v>
      </c>
      <c r="N28" s="1811">
        <v>80</v>
      </c>
      <c r="O28" s="1811">
        <v>7</v>
      </c>
      <c r="P28" s="1811">
        <v>49</v>
      </c>
      <c r="Q28" s="1874">
        <v>6</v>
      </c>
      <c r="R28" s="1874"/>
      <c r="S28" s="1874"/>
      <c r="T28" s="1874"/>
      <c r="U28" s="1874"/>
      <c r="V28" s="1874"/>
      <c r="W28" s="1874"/>
      <c r="X28" s="1873">
        <v>164</v>
      </c>
      <c r="Y28" s="1873">
        <v>31</v>
      </c>
      <c r="Z28" s="1873"/>
      <c r="AA28" s="1873"/>
      <c r="AB28" s="1873"/>
      <c r="AC28" s="1873"/>
      <c r="AD28" s="1811">
        <v>3708</v>
      </c>
      <c r="AE28" s="1811">
        <v>457</v>
      </c>
      <c r="AF28" s="1811">
        <v>3576</v>
      </c>
      <c r="AG28" s="1811">
        <v>431</v>
      </c>
      <c r="AH28" s="1811">
        <v>68</v>
      </c>
      <c r="AI28" s="1811">
        <v>16</v>
      </c>
      <c r="AJ28" s="1811"/>
      <c r="AK28" s="1811"/>
      <c r="AL28" s="1811"/>
      <c r="AM28" s="1811"/>
      <c r="AN28" s="1811"/>
      <c r="AO28" s="1811"/>
      <c r="AP28" s="1811"/>
      <c r="AQ28" s="1811"/>
      <c r="AR28" s="1811"/>
      <c r="AS28" s="1811"/>
      <c r="AT28" s="1811"/>
      <c r="AU28" s="1811"/>
      <c r="AV28" s="1811">
        <v>202</v>
      </c>
      <c r="AW28" s="1811">
        <v>52</v>
      </c>
      <c r="AX28" s="1811">
        <v>83</v>
      </c>
      <c r="AY28" s="1811">
        <v>20</v>
      </c>
      <c r="AZ28" s="1811">
        <v>19</v>
      </c>
      <c r="BA28" s="1811">
        <v>10</v>
      </c>
      <c r="BB28" s="1811"/>
      <c r="BC28" s="1811"/>
      <c r="BD28" s="1811"/>
      <c r="BE28" s="1811"/>
      <c r="BF28" s="1811"/>
      <c r="BG28" s="1811"/>
      <c r="BH28" s="1811"/>
      <c r="BI28" s="1811"/>
      <c r="BJ28" s="1811"/>
      <c r="BK28" s="1811"/>
      <c r="BL28" s="1811"/>
      <c r="BM28" s="1811"/>
    </row>
    <row r="29" spans="1:65" hidden="1">
      <c r="A29" s="1854" t="s">
        <v>28</v>
      </c>
      <c r="B29" s="1811">
        <v>4209</v>
      </c>
      <c r="C29" s="1811"/>
      <c r="D29" s="1873">
        <v>2417</v>
      </c>
      <c r="E29" s="1873">
        <v>1254</v>
      </c>
      <c r="F29" s="1873">
        <v>403</v>
      </c>
      <c r="G29" s="1873">
        <v>135</v>
      </c>
      <c r="H29" s="1811">
        <v>3557</v>
      </c>
      <c r="I29" s="1811">
        <v>486</v>
      </c>
      <c r="J29" s="1811">
        <v>3220</v>
      </c>
      <c r="K29" s="1811">
        <v>419</v>
      </c>
      <c r="L29" s="1811">
        <v>29</v>
      </c>
      <c r="M29" s="1811">
        <v>22</v>
      </c>
      <c r="N29" s="1811">
        <v>82</v>
      </c>
      <c r="O29" s="1875">
        <v>8</v>
      </c>
      <c r="P29" s="1811">
        <v>53</v>
      </c>
      <c r="Q29" s="1874">
        <v>7</v>
      </c>
      <c r="R29" s="1874"/>
      <c r="S29" s="1874"/>
      <c r="T29" s="1874"/>
      <c r="U29" s="1874"/>
      <c r="V29" s="1874"/>
      <c r="W29" s="1874"/>
      <c r="X29" s="1873">
        <v>172</v>
      </c>
      <c r="Y29" s="1873">
        <v>32</v>
      </c>
      <c r="Z29" s="1873"/>
      <c r="AA29" s="1873"/>
      <c r="AB29" s="1873"/>
      <c r="AC29" s="1873"/>
      <c r="AD29" s="1811">
        <v>3341</v>
      </c>
      <c r="AE29" s="1811">
        <v>429</v>
      </c>
      <c r="AF29" s="1811">
        <v>3214</v>
      </c>
      <c r="AG29" s="1811">
        <v>404</v>
      </c>
      <c r="AH29" s="1811">
        <v>62</v>
      </c>
      <c r="AI29" s="1811">
        <v>16</v>
      </c>
      <c r="AJ29" s="1811"/>
      <c r="AK29" s="1811"/>
      <c r="AL29" s="1811"/>
      <c r="AM29" s="1811"/>
      <c r="AN29" s="1811"/>
      <c r="AO29" s="1811"/>
      <c r="AP29" s="1811"/>
      <c r="AQ29" s="1811"/>
      <c r="AR29" s="1811"/>
      <c r="AS29" s="1811"/>
      <c r="AT29" s="1811"/>
      <c r="AU29" s="1811"/>
      <c r="AV29" s="1811">
        <v>215</v>
      </c>
      <c r="AW29" s="1811">
        <v>57</v>
      </c>
      <c r="AX29" s="1811">
        <v>87</v>
      </c>
      <c r="AY29" s="1811">
        <v>22</v>
      </c>
      <c r="AZ29" s="1811">
        <v>20</v>
      </c>
      <c r="BA29" s="1811">
        <v>12</v>
      </c>
      <c r="BB29" s="1811"/>
      <c r="BC29" s="1811"/>
      <c r="BD29" s="1811"/>
      <c r="BE29" s="1811"/>
      <c r="BF29" s="1811"/>
      <c r="BG29" s="1811"/>
      <c r="BH29" s="1811"/>
      <c r="BI29" s="1811"/>
      <c r="BJ29" s="1811"/>
      <c r="BK29" s="1811"/>
      <c r="BL29" s="1811"/>
      <c r="BM29" s="1811"/>
    </row>
    <row r="30" spans="1:65" hidden="1">
      <c r="A30" s="1854" t="s">
        <v>29</v>
      </c>
      <c r="B30" s="1811">
        <v>4231</v>
      </c>
      <c r="C30" s="1811"/>
      <c r="D30" s="1873">
        <v>2427</v>
      </c>
      <c r="E30" s="1873">
        <v>1260</v>
      </c>
      <c r="F30" s="1873">
        <v>410</v>
      </c>
      <c r="G30" s="1873">
        <v>134</v>
      </c>
      <c r="H30" s="1811">
        <v>5239</v>
      </c>
      <c r="I30" s="1811">
        <v>755</v>
      </c>
      <c r="J30" s="1811">
        <v>4822</v>
      </c>
      <c r="K30" s="1811">
        <v>641</v>
      </c>
      <c r="L30" s="1811">
        <v>52</v>
      </c>
      <c r="M30" s="1811">
        <v>26</v>
      </c>
      <c r="N30" s="1811">
        <v>102</v>
      </c>
      <c r="O30" s="1875">
        <v>11</v>
      </c>
      <c r="P30" s="1811">
        <v>73</v>
      </c>
      <c r="Q30" s="1874">
        <v>14</v>
      </c>
      <c r="R30" s="1874"/>
      <c r="S30" s="1874"/>
      <c r="T30" s="1874"/>
      <c r="U30" s="1874"/>
      <c r="V30" s="1874"/>
      <c r="W30" s="1874"/>
      <c r="X30" s="1873">
        <v>191</v>
      </c>
      <c r="Y30" s="1873">
        <v>60</v>
      </c>
      <c r="Z30" s="1873"/>
      <c r="AA30" s="1873"/>
      <c r="AB30" s="1873"/>
      <c r="AC30" s="1873"/>
      <c r="AD30" s="1811">
        <v>5013</v>
      </c>
      <c r="AE30" s="1811">
        <v>672</v>
      </c>
      <c r="AF30" s="1811">
        <v>4833</v>
      </c>
      <c r="AG30" s="1811">
        <v>629</v>
      </c>
      <c r="AH30" s="1811">
        <v>99</v>
      </c>
      <c r="AI30" s="1811">
        <v>24</v>
      </c>
      <c r="AJ30" s="1811"/>
      <c r="AK30" s="1811"/>
      <c r="AL30" s="1811"/>
      <c r="AM30" s="1811"/>
      <c r="AN30" s="1811"/>
      <c r="AO30" s="1811"/>
      <c r="AP30" s="1811"/>
      <c r="AQ30" s="1811"/>
      <c r="AR30" s="1811"/>
      <c r="AS30" s="1811"/>
      <c r="AT30" s="1811"/>
      <c r="AU30" s="1811"/>
      <c r="AV30" s="1811">
        <v>227</v>
      </c>
      <c r="AW30" s="1811">
        <v>83</v>
      </c>
      <c r="AX30" s="1811">
        <v>92</v>
      </c>
      <c r="AY30" s="1811">
        <v>25</v>
      </c>
      <c r="AZ30" s="1811">
        <v>25</v>
      </c>
      <c r="BA30" s="1811">
        <v>17</v>
      </c>
      <c r="BB30" s="1811"/>
      <c r="BC30" s="1811"/>
      <c r="BD30" s="1811"/>
      <c r="BE30" s="1811"/>
      <c r="BF30" s="1811"/>
      <c r="BG30" s="1811"/>
      <c r="BH30" s="1811"/>
      <c r="BI30" s="1811"/>
      <c r="BJ30" s="1811"/>
      <c r="BK30" s="1811"/>
      <c r="BL30" s="1811"/>
      <c r="BM30" s="1811"/>
    </row>
    <row r="31" spans="1:65">
      <c r="A31" s="1872">
        <v>2011</v>
      </c>
      <c r="B31" s="1871">
        <v>4580.2439999999988</v>
      </c>
      <c r="C31" s="1871"/>
      <c r="D31" s="1859">
        <v>2522.4079999999999</v>
      </c>
      <c r="E31" s="1859">
        <v>1330.162</v>
      </c>
      <c r="F31" s="1859">
        <v>546.93499999999995</v>
      </c>
      <c r="G31" s="1859">
        <v>180.739</v>
      </c>
      <c r="H31" s="1871">
        <f t="shared" ref="H31:Q31" si="3">SUM(H32:H43)</f>
        <v>50953.898000000001</v>
      </c>
      <c r="I31" s="1871">
        <f t="shared" si="3"/>
        <v>7229.7502510000004</v>
      </c>
      <c r="J31" s="1871">
        <f t="shared" si="3"/>
        <v>45409.581000000006</v>
      </c>
      <c r="K31" s="1871">
        <f t="shared" si="3"/>
        <v>6263.2250279999998</v>
      </c>
      <c r="L31" s="1871">
        <f t="shared" si="3"/>
        <v>327.41100000000006</v>
      </c>
      <c r="M31" s="1871">
        <f t="shared" si="3"/>
        <v>281.05847300000005</v>
      </c>
      <c r="N31" s="1871">
        <f t="shared" si="3"/>
        <v>1117.7339999999999</v>
      </c>
      <c r="O31" s="1871">
        <f t="shared" si="3"/>
        <v>124.80497600000001</v>
      </c>
      <c r="P31" s="1871">
        <f t="shared" si="3"/>
        <v>1509.971</v>
      </c>
      <c r="Q31" s="1871">
        <f t="shared" si="3"/>
        <v>107.858282</v>
      </c>
      <c r="R31" s="1871"/>
      <c r="S31" s="1871"/>
      <c r="T31" s="1871"/>
      <c r="U31" s="1871"/>
      <c r="V31" s="1871"/>
      <c r="W31" s="1871"/>
      <c r="X31" s="1871">
        <f>SUM(X32:X43)</f>
        <v>2590.201</v>
      </c>
      <c r="Y31" s="1871">
        <f>SUM(Y32:Y43)</f>
        <v>453.83956500000005</v>
      </c>
      <c r="Z31" s="1871"/>
      <c r="AA31" s="1871"/>
      <c r="AB31" s="1871"/>
      <c r="AC31" s="1871"/>
      <c r="AD31" s="1871">
        <f t="shared" ref="AD31:AI31" si="4">SUM(AD32:AD43)</f>
        <v>48129.445</v>
      </c>
      <c r="AE31" s="1871">
        <f t="shared" si="4"/>
        <v>6457.1501229999994</v>
      </c>
      <c r="AF31" s="1871">
        <f t="shared" si="4"/>
        <v>45473.182000000001</v>
      </c>
      <c r="AG31" s="1871">
        <f t="shared" si="4"/>
        <v>6094.4443510000001</v>
      </c>
      <c r="AH31" s="1871">
        <f t="shared" si="4"/>
        <v>1460.885</v>
      </c>
      <c r="AI31" s="1871">
        <f t="shared" si="4"/>
        <v>224.14711800000001</v>
      </c>
      <c r="AJ31" s="1871"/>
      <c r="AK31" s="1871"/>
      <c r="AL31" s="1871"/>
      <c r="AM31" s="1871"/>
      <c r="AN31" s="1871"/>
      <c r="AO31" s="1871"/>
      <c r="AP31" s="1871"/>
      <c r="AQ31" s="1871"/>
      <c r="AR31" s="1871"/>
      <c r="AS31" s="1871"/>
      <c r="AT31" s="1871"/>
      <c r="AU31" s="1871"/>
      <c r="AV31" s="1871">
        <f t="shared" ref="AV31:BA31" si="5">SUM(AV32:AV43)</f>
        <v>2824.453</v>
      </c>
      <c r="AW31" s="1871">
        <f t="shared" si="5"/>
        <v>772.59985700000004</v>
      </c>
      <c r="AX31" s="1871">
        <f t="shared" si="5"/>
        <v>1053.1329999999998</v>
      </c>
      <c r="AY31" s="1871">
        <f t="shared" si="5"/>
        <v>293.548653</v>
      </c>
      <c r="AZ31" s="1871">
        <f t="shared" si="5"/>
        <v>357.45500000000004</v>
      </c>
      <c r="BA31" s="1871">
        <f t="shared" si="5"/>
        <v>171.15694099999999</v>
      </c>
      <c r="BB31" s="1871"/>
      <c r="BC31" s="1871"/>
      <c r="BD31" s="1871"/>
      <c r="BE31" s="1871"/>
      <c r="BF31" s="1871"/>
      <c r="BG31" s="1871"/>
      <c r="BH31" s="1871"/>
      <c r="BI31" s="1871"/>
      <c r="BJ31" s="1871"/>
      <c r="BK31" s="1871"/>
      <c r="BL31" s="1871"/>
      <c r="BM31" s="1871"/>
    </row>
    <row r="32" spans="1:65" hidden="1">
      <c r="A32" s="1854" t="s">
        <v>18</v>
      </c>
      <c r="B32" s="1871">
        <v>4252.7299999999996</v>
      </c>
      <c r="C32" s="1871"/>
      <c r="D32" s="1866">
        <v>2430.3519999999999</v>
      </c>
      <c r="E32" s="1866">
        <v>1260.866</v>
      </c>
      <c r="F32" s="1866">
        <v>426.47699999999998</v>
      </c>
      <c r="G32" s="1859">
        <v>135.035</v>
      </c>
      <c r="H32" s="1866">
        <v>3410.5369999999998</v>
      </c>
      <c r="I32" s="1866">
        <v>447.96898299999998</v>
      </c>
      <c r="J32" s="1871">
        <v>3037.817</v>
      </c>
      <c r="K32" s="1859">
        <v>380.45024599999999</v>
      </c>
      <c r="L32" s="1871">
        <v>27.811</v>
      </c>
      <c r="M32" s="1871">
        <v>18.396101999999999</v>
      </c>
      <c r="N32" s="1871">
        <v>82.926000000000002</v>
      </c>
      <c r="O32" s="1871">
        <v>7.8182320000000001</v>
      </c>
      <c r="P32" s="1871">
        <v>73.075000000000003</v>
      </c>
      <c r="Q32" s="1866">
        <v>6.6364999999999998</v>
      </c>
      <c r="R32" s="1866"/>
      <c r="S32" s="1866"/>
      <c r="T32" s="1866"/>
      <c r="U32" s="1866"/>
      <c r="V32" s="1866"/>
      <c r="W32" s="1866"/>
      <c r="X32" s="1859">
        <v>188.90799999999999</v>
      </c>
      <c r="Y32" s="1859">
        <v>34.667901000000001</v>
      </c>
      <c r="Z32" s="1859"/>
      <c r="AA32" s="1859"/>
      <c r="AB32" s="1859"/>
      <c r="AC32" s="1859"/>
      <c r="AD32" s="1871">
        <v>3183.3449999999998</v>
      </c>
      <c r="AE32" s="1871">
        <v>389.68070599999999</v>
      </c>
      <c r="AF32" s="1871">
        <v>3040.1120000000001</v>
      </c>
      <c r="AG32" s="1871">
        <v>367.68272200000001</v>
      </c>
      <c r="AH32" s="1871">
        <v>79.346000000000004</v>
      </c>
      <c r="AI32" s="1871">
        <v>13.785693</v>
      </c>
      <c r="AJ32" s="1871"/>
      <c r="AK32" s="1871"/>
      <c r="AL32" s="1871"/>
      <c r="AM32" s="1871"/>
      <c r="AN32" s="1871"/>
      <c r="AO32" s="1871"/>
      <c r="AP32" s="1871"/>
      <c r="AQ32" s="1871"/>
      <c r="AR32" s="1871"/>
      <c r="AS32" s="1871"/>
      <c r="AT32" s="1871"/>
      <c r="AU32" s="1871"/>
      <c r="AV32" s="1871">
        <v>227.19200000000001</v>
      </c>
      <c r="AW32" s="1871">
        <v>58.288276000000003</v>
      </c>
      <c r="AX32" s="1871">
        <v>80.631</v>
      </c>
      <c r="AY32" s="1871">
        <v>20.585757000000001</v>
      </c>
      <c r="AZ32" s="1871">
        <v>21.54</v>
      </c>
      <c r="BA32" s="1871">
        <v>11.246907999999999</v>
      </c>
      <c r="BB32" s="1871"/>
      <c r="BC32" s="1871"/>
      <c r="BD32" s="1871"/>
      <c r="BE32" s="1871"/>
      <c r="BF32" s="1871"/>
      <c r="BG32" s="1871"/>
      <c r="BH32" s="1871"/>
      <c r="BI32" s="1871"/>
      <c r="BJ32" s="1871"/>
      <c r="BK32" s="1871"/>
      <c r="BL32" s="1871"/>
      <c r="BM32" s="1871"/>
    </row>
    <row r="33" spans="1:65" hidden="1">
      <c r="A33" s="1854" t="s">
        <v>19</v>
      </c>
      <c r="B33" s="1871">
        <v>4284.6490000000003</v>
      </c>
      <c r="C33" s="1871"/>
      <c r="D33" s="1866">
        <v>2442.2489999999998</v>
      </c>
      <c r="E33" s="1859">
        <v>1272.0160000000001</v>
      </c>
      <c r="F33" s="1859">
        <v>433.36399999999998</v>
      </c>
      <c r="G33" s="1859">
        <v>137.02000000000001</v>
      </c>
      <c r="H33" s="1871">
        <v>4057.027</v>
      </c>
      <c r="I33" s="1871">
        <v>543.08880099999999</v>
      </c>
      <c r="J33" s="1859">
        <v>3713.1729999999998</v>
      </c>
      <c r="K33" s="1859">
        <v>479.57183900000001</v>
      </c>
      <c r="L33" s="1859">
        <v>27.247</v>
      </c>
      <c r="M33" s="1859">
        <v>21.510093999999999</v>
      </c>
      <c r="N33" s="1859">
        <v>90.841999999999999</v>
      </c>
      <c r="O33" s="1871">
        <v>7.2239170000000001</v>
      </c>
      <c r="P33" s="1871">
        <v>68.899000000000001</v>
      </c>
      <c r="Q33" s="1866">
        <v>6.442196</v>
      </c>
      <c r="R33" s="1866"/>
      <c r="S33" s="1866"/>
      <c r="T33" s="1866"/>
      <c r="U33" s="1866"/>
      <c r="V33" s="1866"/>
      <c r="W33" s="1866"/>
      <c r="X33" s="1859">
        <v>156.86600000000001</v>
      </c>
      <c r="Y33" s="1859">
        <v>28.397755</v>
      </c>
      <c r="Z33" s="1859"/>
      <c r="AA33" s="1859"/>
      <c r="AB33" s="1859"/>
      <c r="AC33" s="1859"/>
      <c r="AD33" s="1871">
        <v>3856.7750000000001</v>
      </c>
      <c r="AE33" s="1871">
        <v>488.79816599999998</v>
      </c>
      <c r="AF33" s="1871">
        <v>3722.578</v>
      </c>
      <c r="AG33" s="1871">
        <v>466.03239200000002</v>
      </c>
      <c r="AH33" s="1871">
        <v>75.012</v>
      </c>
      <c r="AI33" s="1871">
        <v>16.346263</v>
      </c>
      <c r="AJ33" s="1871"/>
      <c r="AK33" s="1871"/>
      <c r="AL33" s="1871"/>
      <c r="AM33" s="1871"/>
      <c r="AN33" s="1871"/>
      <c r="AO33" s="1871"/>
      <c r="AP33" s="1871"/>
      <c r="AQ33" s="1871"/>
      <c r="AR33" s="1871"/>
      <c r="AS33" s="1871"/>
      <c r="AT33" s="1871"/>
      <c r="AU33" s="1871"/>
      <c r="AV33" s="1871">
        <v>200.25200000000001</v>
      </c>
      <c r="AW33" s="1871">
        <v>54.290633999999997</v>
      </c>
      <c r="AX33" s="1871">
        <v>81.436999999999998</v>
      </c>
      <c r="AY33" s="1871">
        <v>20.706363</v>
      </c>
      <c r="AZ33" s="1871">
        <v>21.134</v>
      </c>
      <c r="BA33" s="1871">
        <v>11.606026</v>
      </c>
      <c r="BB33" s="1871"/>
      <c r="BC33" s="1871"/>
      <c r="BD33" s="1871"/>
      <c r="BE33" s="1871"/>
      <c r="BF33" s="1871"/>
      <c r="BG33" s="1871"/>
      <c r="BH33" s="1871"/>
      <c r="BI33" s="1871"/>
      <c r="BJ33" s="1871"/>
      <c r="BK33" s="1871"/>
      <c r="BL33" s="1871"/>
      <c r="BM33" s="1871"/>
    </row>
    <row r="34" spans="1:65" hidden="1">
      <c r="A34" s="1854" t="s">
        <v>20</v>
      </c>
      <c r="B34" s="1871">
        <v>4342.1840000000002</v>
      </c>
      <c r="C34" s="1871"/>
      <c r="D34" s="1859">
        <v>2475.6590000000001</v>
      </c>
      <c r="E34" s="1859">
        <v>1289.0509999999999</v>
      </c>
      <c r="F34" s="1859">
        <v>436.55599999999998</v>
      </c>
      <c r="G34" s="1859">
        <v>140.91800000000001</v>
      </c>
      <c r="H34" s="1871">
        <v>4973.241</v>
      </c>
      <c r="I34" s="1871">
        <v>670.89475400000003</v>
      </c>
      <c r="J34" s="1859">
        <v>4515.9539999999997</v>
      </c>
      <c r="K34" s="1859">
        <v>586.62978199999998</v>
      </c>
      <c r="L34" s="1859">
        <v>33.479999999999997</v>
      </c>
      <c r="M34" s="1859">
        <v>27.089735999999998</v>
      </c>
      <c r="N34" s="1859">
        <v>106.033</v>
      </c>
      <c r="O34" s="1871">
        <v>8.5282509999999991</v>
      </c>
      <c r="P34" s="1859">
        <v>97.367999999999995</v>
      </c>
      <c r="Q34" s="1866">
        <v>7.2160000000000002</v>
      </c>
      <c r="R34" s="1866"/>
      <c r="S34" s="1866"/>
      <c r="T34" s="1866"/>
      <c r="U34" s="1866"/>
      <c r="V34" s="1866"/>
      <c r="W34" s="1866"/>
      <c r="X34" s="1859">
        <v>220.40600000000001</v>
      </c>
      <c r="Y34" s="1859">
        <v>41.430723</v>
      </c>
      <c r="Z34" s="1859"/>
      <c r="AA34" s="1859"/>
      <c r="AB34" s="1859"/>
      <c r="AC34" s="1859"/>
      <c r="AD34" s="1871">
        <v>4727.2460000000001</v>
      </c>
      <c r="AE34" s="1871">
        <v>605.02852099999996</v>
      </c>
      <c r="AF34" s="1871">
        <v>4530.3389999999999</v>
      </c>
      <c r="AG34" s="1871">
        <v>572.18353999999999</v>
      </c>
      <c r="AH34" s="1871">
        <v>104.649</v>
      </c>
      <c r="AI34" s="1871">
        <v>20.598258999999999</v>
      </c>
      <c r="AJ34" s="1871"/>
      <c r="AK34" s="1871"/>
      <c r="AL34" s="1871"/>
      <c r="AM34" s="1871"/>
      <c r="AN34" s="1871"/>
      <c r="AO34" s="1871"/>
      <c r="AP34" s="1871"/>
      <c r="AQ34" s="1871"/>
      <c r="AR34" s="1871"/>
      <c r="AS34" s="1871"/>
      <c r="AT34" s="1871"/>
      <c r="AU34" s="1871"/>
      <c r="AV34" s="1871">
        <v>245.995</v>
      </c>
      <c r="AW34" s="1871">
        <v>65.866232999999994</v>
      </c>
      <c r="AX34" s="1871">
        <v>91.647999999999996</v>
      </c>
      <c r="AY34" s="1871">
        <v>22.974492999999999</v>
      </c>
      <c r="AZ34" s="1871">
        <v>26.199000000000002</v>
      </c>
      <c r="BA34" s="1871">
        <v>13.707736000000001</v>
      </c>
      <c r="BB34" s="1871"/>
      <c r="BC34" s="1871"/>
      <c r="BD34" s="1871"/>
      <c r="BE34" s="1871"/>
      <c r="BF34" s="1871"/>
      <c r="BG34" s="1871"/>
      <c r="BH34" s="1871"/>
      <c r="BI34" s="1871"/>
      <c r="BJ34" s="1871"/>
      <c r="BK34" s="1871"/>
      <c r="BL34" s="1871"/>
      <c r="BM34" s="1871"/>
    </row>
    <row r="35" spans="1:65" hidden="1">
      <c r="A35" s="1854" t="s">
        <v>21</v>
      </c>
      <c r="B35" s="1871">
        <v>4352.7209999999995</v>
      </c>
      <c r="C35" s="1871"/>
      <c r="D35" s="1859">
        <v>2476.6239999999998</v>
      </c>
      <c r="E35" s="1859">
        <v>1293.992</v>
      </c>
      <c r="F35" s="1859">
        <v>449.13499999999999</v>
      </c>
      <c r="G35" s="1859">
        <v>132.97</v>
      </c>
      <c r="H35" s="1859">
        <v>3654.4830000000002</v>
      </c>
      <c r="I35" s="1859">
        <v>505.51462099999998</v>
      </c>
      <c r="J35" s="1859">
        <v>3248.6170000000002</v>
      </c>
      <c r="K35" s="1859">
        <v>433.27697600000005</v>
      </c>
      <c r="L35" s="1859">
        <v>23.478000000000002</v>
      </c>
      <c r="M35" s="1859">
        <v>23.787675</v>
      </c>
      <c r="N35" s="1859">
        <v>81.483999999999995</v>
      </c>
      <c r="O35" s="1859">
        <v>9.282157999999999</v>
      </c>
      <c r="P35" s="1859">
        <v>118.991</v>
      </c>
      <c r="Q35" s="1859">
        <v>8.0168929999999996</v>
      </c>
      <c r="R35" s="1859"/>
      <c r="S35" s="1859"/>
      <c r="T35" s="1859"/>
      <c r="U35" s="1859"/>
      <c r="V35" s="1859"/>
      <c r="W35" s="1859"/>
      <c r="X35" s="1859">
        <v>181.91300000000001</v>
      </c>
      <c r="Y35" s="1859">
        <v>31.150919000000002</v>
      </c>
      <c r="Z35" s="1859"/>
      <c r="AA35" s="1859"/>
      <c r="AB35" s="1859"/>
      <c r="AC35" s="1859"/>
      <c r="AD35" s="1866">
        <v>3460.058</v>
      </c>
      <c r="AE35" s="1866">
        <v>450.33194799999995</v>
      </c>
      <c r="AF35" s="1866">
        <v>3254.8359999999998</v>
      </c>
      <c r="AG35" s="1866">
        <v>421.99725699999999</v>
      </c>
      <c r="AH35" s="1866">
        <v>99.004999999999995</v>
      </c>
      <c r="AI35" s="1866">
        <v>23.937512999999999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U35" s="1866"/>
      <c r="AV35" s="1866">
        <v>194.42500000000001</v>
      </c>
      <c r="AW35" s="1866">
        <v>55.182673000000001</v>
      </c>
      <c r="AX35" s="1866">
        <v>75.265000000000001</v>
      </c>
      <c r="AY35" s="1866">
        <v>20.561876999999999</v>
      </c>
      <c r="AZ35" s="1866">
        <v>24.422000000000001</v>
      </c>
      <c r="BA35" s="1866">
        <v>14.248882999999999</v>
      </c>
      <c r="BB35" s="1866"/>
      <c r="BC35" s="1866"/>
      <c r="BD35" s="1866"/>
      <c r="BE35" s="1866"/>
      <c r="BF35" s="1866"/>
      <c r="BG35" s="1866"/>
      <c r="BH35" s="1866"/>
      <c r="BI35" s="1866"/>
      <c r="BJ35" s="1866"/>
      <c r="BK35" s="1866"/>
      <c r="BL35" s="1866"/>
      <c r="BM35" s="1866"/>
    </row>
    <row r="36" spans="1:65" hidden="1">
      <c r="A36" s="1854" t="s">
        <v>22</v>
      </c>
      <c r="B36" s="1871">
        <v>4384.5479999999998</v>
      </c>
      <c r="C36" s="1871"/>
      <c r="D36" s="1859">
        <v>2479.8620000000001</v>
      </c>
      <c r="E36" s="1859">
        <v>1305.96</v>
      </c>
      <c r="F36" s="1859">
        <v>459.85599999999999</v>
      </c>
      <c r="G36" s="1859">
        <v>138.87</v>
      </c>
      <c r="H36" s="1859">
        <v>4389.1499999999996</v>
      </c>
      <c r="I36" s="1859">
        <v>582.36800000000005</v>
      </c>
      <c r="J36" s="1859">
        <v>3907.4340000000002</v>
      </c>
      <c r="K36" s="1859">
        <v>506.94799999999998</v>
      </c>
      <c r="L36" s="1859">
        <v>23.559000000000001</v>
      </c>
      <c r="M36" s="1859">
        <v>22.327725000000001</v>
      </c>
      <c r="N36" s="1859">
        <v>101.86799999999999</v>
      </c>
      <c r="O36" s="1859">
        <v>8.8640000000000008</v>
      </c>
      <c r="P36" s="1859">
        <v>144.268</v>
      </c>
      <c r="Q36" s="1859">
        <v>8.7127920000000003</v>
      </c>
      <c r="R36" s="1859"/>
      <c r="S36" s="1859"/>
      <c r="T36" s="1859"/>
      <c r="U36" s="1859"/>
      <c r="V36" s="1859"/>
      <c r="W36" s="1859"/>
      <c r="X36" s="1859">
        <v>212.02099999999999</v>
      </c>
      <c r="Y36" s="1859">
        <v>35.514823</v>
      </c>
      <c r="Z36" s="1859"/>
      <c r="AA36" s="1859"/>
      <c r="AB36" s="1859"/>
      <c r="AC36" s="1859"/>
      <c r="AD36" s="1866">
        <v>4163.2380000000003</v>
      </c>
      <c r="AE36" s="1866">
        <v>523.53572899999995</v>
      </c>
      <c r="AF36" s="1866">
        <v>3921.8829999999998</v>
      </c>
      <c r="AG36" s="1866">
        <v>493.37799999999999</v>
      </c>
      <c r="AH36" s="1866">
        <v>139.02799999999999</v>
      </c>
      <c r="AI36" s="1866">
        <v>16.911000000000001</v>
      </c>
      <c r="AJ36" s="1866"/>
      <c r="AK36" s="1866"/>
      <c r="AL36" s="1866"/>
      <c r="AM36" s="1866"/>
      <c r="AN36" s="1866"/>
      <c r="AO36" s="1866"/>
      <c r="AP36" s="1866"/>
      <c r="AQ36" s="1866"/>
      <c r="AR36" s="1866"/>
      <c r="AS36" s="1866"/>
      <c r="AT36" s="1866"/>
      <c r="AU36" s="1866"/>
      <c r="AV36" s="1866">
        <v>225.91200000000001</v>
      </c>
      <c r="AW36" s="1866">
        <v>58.832000000000001</v>
      </c>
      <c r="AX36" s="1866">
        <v>87.418999999999997</v>
      </c>
      <c r="AY36" s="1866">
        <v>22.434000000000001</v>
      </c>
      <c r="AZ36" s="1866">
        <v>28.798999999999999</v>
      </c>
      <c r="BA36" s="1866">
        <v>14.128</v>
      </c>
      <c r="BB36" s="1866"/>
      <c r="BC36" s="1866"/>
      <c r="BD36" s="1866"/>
      <c r="BE36" s="1866"/>
      <c r="BF36" s="1866"/>
      <c r="BG36" s="1866"/>
      <c r="BH36" s="1866"/>
      <c r="BI36" s="1866"/>
      <c r="BJ36" s="1866"/>
      <c r="BK36" s="1866"/>
      <c r="BL36" s="1866"/>
      <c r="BM36" s="1866"/>
    </row>
    <row r="37" spans="1:65" hidden="1">
      <c r="A37" s="1854" t="s">
        <v>23</v>
      </c>
      <c r="B37" s="1871">
        <v>4393.0119999999997</v>
      </c>
      <c r="C37" s="1871"/>
      <c r="D37" s="1859">
        <v>2467.415</v>
      </c>
      <c r="E37" s="1859">
        <v>1324.5889999999999</v>
      </c>
      <c r="F37" s="1859">
        <v>458.40499999999997</v>
      </c>
      <c r="G37" s="1859">
        <v>142.60300000000001</v>
      </c>
      <c r="H37" s="1859">
        <v>3829.9560000000001</v>
      </c>
      <c r="I37" s="1859">
        <v>551.66715299999998</v>
      </c>
      <c r="J37" s="1859">
        <v>3391.8649999999998</v>
      </c>
      <c r="K37" s="1859">
        <v>468.52484199999998</v>
      </c>
      <c r="L37" s="1859">
        <v>25.024000000000001</v>
      </c>
      <c r="M37" s="1859">
        <v>22.544018000000001</v>
      </c>
      <c r="N37" s="1859">
        <v>92.793000000000006</v>
      </c>
      <c r="O37" s="1859">
        <v>11.613941000000001</v>
      </c>
      <c r="P37" s="1859">
        <v>124.898</v>
      </c>
      <c r="Q37" s="1859">
        <v>8.8638150000000007</v>
      </c>
      <c r="R37" s="1859"/>
      <c r="S37" s="1859"/>
      <c r="T37" s="1859"/>
      <c r="U37" s="1859"/>
      <c r="V37" s="1859"/>
      <c r="W37" s="1859"/>
      <c r="X37" s="1859">
        <v>195.376</v>
      </c>
      <c r="Y37" s="1859">
        <v>40.120536999999999</v>
      </c>
      <c r="Z37" s="1859"/>
      <c r="AA37" s="1859"/>
      <c r="AB37" s="1859"/>
      <c r="AC37" s="1859"/>
      <c r="AD37" s="1866">
        <v>3615.0569999999998</v>
      </c>
      <c r="AE37" s="1866">
        <v>487.47078399999998</v>
      </c>
      <c r="AF37" s="1866">
        <v>3399.174</v>
      </c>
      <c r="AG37" s="1866">
        <v>455.83594399999998</v>
      </c>
      <c r="AH37" s="1866">
        <v>122.014</v>
      </c>
      <c r="AI37" s="1866">
        <v>17.185701000000002</v>
      </c>
      <c r="AJ37" s="1866"/>
      <c r="AK37" s="1866"/>
      <c r="AL37" s="1866"/>
      <c r="AM37" s="1866"/>
      <c r="AN37" s="1866"/>
      <c r="AO37" s="1866"/>
      <c r="AP37" s="1866"/>
      <c r="AQ37" s="1866"/>
      <c r="AR37" s="1866"/>
      <c r="AS37" s="1866"/>
      <c r="AT37" s="1866"/>
      <c r="AU37" s="1866"/>
      <c r="AV37" s="1866">
        <v>214.899</v>
      </c>
      <c r="AW37" s="1866">
        <v>64.196369000000004</v>
      </c>
      <c r="AX37" s="1866">
        <v>85.483999999999995</v>
      </c>
      <c r="AY37" s="1866">
        <v>24.302838999999999</v>
      </c>
      <c r="AZ37" s="1866">
        <v>27.908000000000001</v>
      </c>
      <c r="BA37" s="1866">
        <v>14.222132</v>
      </c>
      <c r="BB37" s="1866"/>
      <c r="BC37" s="1866"/>
      <c r="BD37" s="1866"/>
      <c r="BE37" s="1866"/>
      <c r="BF37" s="1866"/>
      <c r="BG37" s="1866"/>
      <c r="BH37" s="1866"/>
      <c r="BI37" s="1866"/>
      <c r="BJ37" s="1866"/>
      <c r="BK37" s="1866"/>
      <c r="BL37" s="1866"/>
      <c r="BM37" s="1866"/>
    </row>
    <row r="38" spans="1:65" hidden="1">
      <c r="A38" s="1854" t="s">
        <v>24</v>
      </c>
      <c r="B38" s="1871">
        <v>4428.9809999999998</v>
      </c>
      <c r="C38" s="1871"/>
      <c r="D38" s="1859">
        <v>2488.2240000000002</v>
      </c>
      <c r="E38" s="1859">
        <v>1319.8610000000001</v>
      </c>
      <c r="F38" s="1859">
        <v>473.149</v>
      </c>
      <c r="G38" s="1859">
        <v>147.74600000000001</v>
      </c>
      <c r="H38" s="1859">
        <v>4323.0749999999998</v>
      </c>
      <c r="I38" s="1859">
        <v>645.25484700000004</v>
      </c>
      <c r="J38" s="1859">
        <v>3884.2350000000001</v>
      </c>
      <c r="K38" s="1859">
        <v>566.73355500000002</v>
      </c>
      <c r="L38" s="1859">
        <v>23.565000000000001</v>
      </c>
      <c r="M38" s="1859">
        <v>23.219964000000001</v>
      </c>
      <c r="N38" s="1859">
        <v>88.543000000000006</v>
      </c>
      <c r="O38" s="1859">
        <v>10.595152000000001</v>
      </c>
      <c r="P38" s="1859">
        <v>121.026</v>
      </c>
      <c r="Q38" s="1859">
        <v>7.9558809999999998</v>
      </c>
      <c r="R38" s="1859"/>
      <c r="S38" s="1859"/>
      <c r="T38" s="1859"/>
      <c r="U38" s="1859"/>
      <c r="V38" s="1859"/>
      <c r="W38" s="1859"/>
      <c r="X38" s="1859">
        <v>205.70599999999999</v>
      </c>
      <c r="Y38" s="1859">
        <v>36.750295000000001</v>
      </c>
      <c r="Z38" s="1859"/>
      <c r="AA38" s="1859"/>
      <c r="AB38" s="1859"/>
      <c r="AC38" s="1859"/>
      <c r="AD38" s="1866">
        <v>4103.5529999999999</v>
      </c>
      <c r="AE38" s="1866">
        <v>584.37103500000001</v>
      </c>
      <c r="AF38" s="1866">
        <v>3888.8809999999999</v>
      </c>
      <c r="AG38" s="1866">
        <v>553.39298099999996</v>
      </c>
      <c r="AH38" s="1866">
        <v>116.533</v>
      </c>
      <c r="AI38" s="1866">
        <v>18.220611000000002</v>
      </c>
      <c r="AJ38" s="1866"/>
      <c r="AK38" s="1866"/>
      <c r="AL38" s="1866"/>
      <c r="AM38" s="1866"/>
      <c r="AN38" s="1866"/>
      <c r="AO38" s="1866"/>
      <c r="AP38" s="1866"/>
      <c r="AQ38" s="1866"/>
      <c r="AR38" s="1866"/>
      <c r="AS38" s="1866"/>
      <c r="AT38" s="1866"/>
      <c r="AU38" s="1866"/>
      <c r="AV38" s="1866">
        <v>219.52199999999999</v>
      </c>
      <c r="AW38" s="1866">
        <v>60.883813000000004</v>
      </c>
      <c r="AX38" s="1866">
        <v>83.897000000000006</v>
      </c>
      <c r="AY38" s="1866">
        <v>23.935725999999999</v>
      </c>
      <c r="AZ38" s="1866">
        <v>28.058</v>
      </c>
      <c r="BA38" s="1866">
        <v>12.955235</v>
      </c>
      <c r="BB38" s="1866"/>
      <c r="BC38" s="1866"/>
      <c r="BD38" s="1866"/>
      <c r="BE38" s="1866"/>
      <c r="BF38" s="1866"/>
      <c r="BG38" s="1866"/>
      <c r="BH38" s="1866"/>
      <c r="BI38" s="1866"/>
      <c r="BJ38" s="1866"/>
      <c r="BK38" s="1866"/>
      <c r="BL38" s="1866"/>
      <c r="BM38" s="1866"/>
    </row>
    <row r="39" spans="1:65" hidden="1">
      <c r="A39" s="1854" t="s">
        <v>25</v>
      </c>
      <c r="B39" s="1871">
        <v>4448.0190000000002</v>
      </c>
      <c r="C39" s="1871"/>
      <c r="D39" s="1859">
        <v>2488.627</v>
      </c>
      <c r="E39" s="1859">
        <v>1318.1210000000001</v>
      </c>
      <c r="F39" s="1859">
        <v>487.238</v>
      </c>
      <c r="G39" s="1859">
        <v>154.03299999999999</v>
      </c>
      <c r="H39" s="1859">
        <v>4764.0420000000004</v>
      </c>
      <c r="I39" s="1859">
        <v>691.81965200000002</v>
      </c>
      <c r="J39" s="1859">
        <v>4304.7139999999999</v>
      </c>
      <c r="K39" s="1859">
        <v>601.89690900000005</v>
      </c>
      <c r="L39" s="1859">
        <v>30.565000000000001</v>
      </c>
      <c r="M39" s="1859">
        <v>25.642455000000002</v>
      </c>
      <c r="N39" s="1859">
        <v>90.87</v>
      </c>
      <c r="O39" s="1859">
        <v>11.329613999999999</v>
      </c>
      <c r="P39" s="1859">
        <v>120.236</v>
      </c>
      <c r="Q39" s="1859">
        <v>8.308662</v>
      </c>
      <c r="R39" s="1859"/>
      <c r="S39" s="1859"/>
      <c r="T39" s="1859"/>
      <c r="U39" s="1859"/>
      <c r="V39" s="1859"/>
      <c r="W39" s="1859"/>
      <c r="X39" s="1859">
        <v>217.65700000000001</v>
      </c>
      <c r="Y39" s="1859">
        <v>44.642009999999999</v>
      </c>
      <c r="Z39" s="1859"/>
      <c r="AA39" s="1859"/>
      <c r="AB39" s="1859"/>
      <c r="AC39" s="1859"/>
      <c r="AD39" s="1866">
        <v>4529.5240000000003</v>
      </c>
      <c r="AE39" s="1866">
        <v>621.28248299999996</v>
      </c>
      <c r="AF39" s="1866">
        <v>4310.38</v>
      </c>
      <c r="AG39" s="1866">
        <v>587.99785599999996</v>
      </c>
      <c r="AH39" s="1866">
        <v>122.607</v>
      </c>
      <c r="AI39" s="1866">
        <v>19.957851999999999</v>
      </c>
      <c r="AJ39" s="1866"/>
      <c r="AK39" s="1866"/>
      <c r="AL39" s="1866"/>
      <c r="AM39" s="1866"/>
      <c r="AN39" s="1866"/>
      <c r="AO39" s="1866"/>
      <c r="AP39" s="1866"/>
      <c r="AQ39" s="1866"/>
      <c r="AR39" s="1866"/>
      <c r="AS39" s="1866"/>
      <c r="AT39" s="1866"/>
      <c r="AU39" s="1866"/>
      <c r="AV39" s="1866">
        <v>234.518</v>
      </c>
      <c r="AW39" s="1866">
        <v>70.537169000000006</v>
      </c>
      <c r="AX39" s="1866">
        <v>85.203999999999994</v>
      </c>
      <c r="AY39" s="1866">
        <v>25.228667000000002</v>
      </c>
      <c r="AZ39" s="1866">
        <v>28.193999999999999</v>
      </c>
      <c r="BA39" s="1866">
        <v>14</v>
      </c>
      <c r="BB39" s="1866"/>
      <c r="BC39" s="1866"/>
      <c r="BD39" s="1866"/>
      <c r="BE39" s="1866"/>
      <c r="BF39" s="1866"/>
      <c r="BG39" s="1866"/>
      <c r="BH39" s="1866"/>
      <c r="BI39" s="1866"/>
      <c r="BJ39" s="1866"/>
      <c r="BK39" s="1866"/>
      <c r="BL39" s="1866"/>
      <c r="BM39" s="1866"/>
    </row>
    <row r="40" spans="1:65" hidden="1">
      <c r="A40" s="1854" t="s">
        <v>26</v>
      </c>
      <c r="B40" s="1871">
        <v>4459</v>
      </c>
      <c r="C40" s="1871"/>
      <c r="D40" s="1859">
        <v>2481.6660000000002</v>
      </c>
      <c r="E40" s="1859">
        <v>1315.912</v>
      </c>
      <c r="F40" s="1859">
        <v>505.54399999999998</v>
      </c>
      <c r="G40" s="1859">
        <v>156.358</v>
      </c>
      <c r="H40" s="1859">
        <v>4350.4009999999998</v>
      </c>
      <c r="I40" s="1859">
        <v>626.45797700000003</v>
      </c>
      <c r="J40" s="1859">
        <v>3841.1219999999998</v>
      </c>
      <c r="K40" s="1859">
        <v>532.28027699999996</v>
      </c>
      <c r="L40" s="1859">
        <v>25.414999999999999</v>
      </c>
      <c r="M40" s="1859">
        <v>25.027923000000001</v>
      </c>
      <c r="N40" s="1859">
        <v>97.18</v>
      </c>
      <c r="O40" s="1859">
        <v>11.196202</v>
      </c>
      <c r="P40" s="1859">
        <v>146.667</v>
      </c>
      <c r="Q40" s="1859">
        <v>11.428144</v>
      </c>
      <c r="R40" s="1859"/>
      <c r="S40" s="1859"/>
      <c r="T40" s="1859"/>
      <c r="U40" s="1859"/>
      <c r="V40" s="1859"/>
      <c r="W40" s="1859"/>
      <c r="X40" s="1859">
        <v>240.017</v>
      </c>
      <c r="Y40" s="1859">
        <v>46.525430999999998</v>
      </c>
      <c r="Z40" s="1859"/>
      <c r="AA40" s="1859"/>
      <c r="AB40" s="1859"/>
      <c r="AC40" s="1859"/>
      <c r="AD40" s="1866">
        <v>4083.2379999999998</v>
      </c>
      <c r="AE40" s="1866">
        <v>548.66510400000004</v>
      </c>
      <c r="AF40" s="1866">
        <v>3840.4690000000001</v>
      </c>
      <c r="AG40" s="1866">
        <v>515.57756199999994</v>
      </c>
      <c r="AH40" s="1866">
        <v>137.75700000000001</v>
      </c>
      <c r="AI40" s="1866">
        <v>19.474556</v>
      </c>
      <c r="AJ40" s="1866"/>
      <c r="AK40" s="1866"/>
      <c r="AL40" s="1866"/>
      <c r="AM40" s="1866"/>
      <c r="AN40" s="1866"/>
      <c r="AO40" s="1866"/>
      <c r="AP40" s="1866"/>
      <c r="AQ40" s="1866"/>
      <c r="AR40" s="1866"/>
      <c r="AS40" s="1866"/>
      <c r="AT40" s="1866"/>
      <c r="AU40" s="1866"/>
      <c r="AV40" s="1866">
        <v>267.16300000000001</v>
      </c>
      <c r="AW40" s="1866">
        <v>77.792873999999998</v>
      </c>
      <c r="AX40" s="1866">
        <v>97.832999999999998</v>
      </c>
      <c r="AY40" s="1866">
        <v>27.898917000000001</v>
      </c>
      <c r="AZ40" s="1866">
        <v>34.325000000000003</v>
      </c>
      <c r="BA40" s="1866">
        <v>16.981511999999999</v>
      </c>
      <c r="BB40" s="1866"/>
      <c r="BC40" s="1866"/>
      <c r="BD40" s="1866"/>
      <c r="BE40" s="1866"/>
      <c r="BF40" s="1866"/>
      <c r="BG40" s="1866"/>
      <c r="BH40" s="1866"/>
      <c r="BI40" s="1866"/>
      <c r="BJ40" s="1866"/>
      <c r="BK40" s="1866"/>
      <c r="BL40" s="1866"/>
      <c r="BM40" s="1866"/>
    </row>
    <row r="41" spans="1:65" hidden="1">
      <c r="A41" s="1854" t="s">
        <v>27</v>
      </c>
      <c r="B41" s="1871">
        <v>4471</v>
      </c>
      <c r="C41" s="1871"/>
      <c r="D41" s="1859">
        <v>2449</v>
      </c>
      <c r="E41" s="1859">
        <v>1305</v>
      </c>
      <c r="F41" s="1859">
        <v>553</v>
      </c>
      <c r="G41" s="1859">
        <v>164</v>
      </c>
      <c r="H41" s="1859">
        <v>4063</v>
      </c>
      <c r="I41" s="1859">
        <v>585</v>
      </c>
      <c r="J41" s="1859">
        <v>3547</v>
      </c>
      <c r="K41" s="1859">
        <v>503</v>
      </c>
      <c r="L41" s="1859">
        <v>24</v>
      </c>
      <c r="M41" s="1859">
        <v>21</v>
      </c>
      <c r="N41" s="1859">
        <v>97</v>
      </c>
      <c r="O41" s="1859">
        <v>13</v>
      </c>
      <c r="P41" s="1859">
        <v>147</v>
      </c>
      <c r="Q41" s="1859">
        <v>11</v>
      </c>
      <c r="R41" s="1859"/>
      <c r="S41" s="1859"/>
      <c r="T41" s="1859"/>
      <c r="U41" s="1859"/>
      <c r="V41" s="1859"/>
      <c r="W41" s="1859"/>
      <c r="X41" s="1859">
        <v>249</v>
      </c>
      <c r="Y41" s="1859">
        <v>38</v>
      </c>
      <c r="Z41" s="1859"/>
      <c r="AA41" s="1859"/>
      <c r="AB41" s="1859"/>
      <c r="AC41" s="1859"/>
      <c r="AD41" s="1866">
        <v>3806</v>
      </c>
      <c r="AE41" s="1866">
        <v>518</v>
      </c>
      <c r="AF41" s="1866">
        <v>3549</v>
      </c>
      <c r="AG41" s="1866">
        <v>488</v>
      </c>
      <c r="AH41" s="1866">
        <v>137</v>
      </c>
      <c r="AI41" s="1866">
        <v>17</v>
      </c>
      <c r="AJ41" s="1866"/>
      <c r="AK41" s="1866"/>
      <c r="AL41" s="1866"/>
      <c r="AM41" s="1866"/>
      <c r="AN41" s="1866"/>
      <c r="AO41" s="1866"/>
      <c r="AP41" s="1866"/>
      <c r="AQ41" s="1866"/>
      <c r="AR41" s="1866"/>
      <c r="AS41" s="1866"/>
      <c r="AT41" s="1866"/>
      <c r="AU41" s="1866"/>
      <c r="AV41" s="1866">
        <v>257</v>
      </c>
      <c r="AW41" s="1866">
        <v>67</v>
      </c>
      <c r="AX41" s="1866">
        <v>94</v>
      </c>
      <c r="AY41" s="1866">
        <v>28</v>
      </c>
      <c r="AZ41" s="1866">
        <v>34</v>
      </c>
      <c r="BA41" s="1866">
        <v>15</v>
      </c>
      <c r="BB41" s="1866"/>
      <c r="BC41" s="1866"/>
      <c r="BD41" s="1866"/>
      <c r="BE41" s="1866"/>
      <c r="BF41" s="1866"/>
      <c r="BG41" s="1866"/>
      <c r="BH41" s="1866"/>
      <c r="BI41" s="1866"/>
      <c r="BJ41" s="1866"/>
      <c r="BK41" s="1866"/>
      <c r="BL41" s="1866"/>
      <c r="BM41" s="1866"/>
    </row>
    <row r="42" spans="1:65" hidden="1">
      <c r="A42" s="1854" t="s">
        <v>28</v>
      </c>
      <c r="B42" s="1871">
        <v>4534.9269999999997</v>
      </c>
      <c r="C42" s="1871"/>
      <c r="D42" s="1859">
        <v>2534.4430000000002</v>
      </c>
      <c r="E42" s="1859">
        <v>1313.1279999999999</v>
      </c>
      <c r="F42" s="1859">
        <v>521.11</v>
      </c>
      <c r="G42" s="1859">
        <v>166.24600000000001</v>
      </c>
      <c r="H42" s="1859">
        <v>4071.16</v>
      </c>
      <c r="I42" s="1859">
        <v>608.63821099999996</v>
      </c>
      <c r="J42" s="1859">
        <v>3539.9769999999999</v>
      </c>
      <c r="K42" s="1859">
        <v>527.42243800000006</v>
      </c>
      <c r="L42" s="1859">
        <v>27.838000000000001</v>
      </c>
      <c r="M42" s="1859">
        <v>21.732614999999999</v>
      </c>
      <c r="N42" s="1859">
        <v>93.819000000000003</v>
      </c>
      <c r="O42" s="1859">
        <v>12.075663</v>
      </c>
      <c r="P42" s="1859">
        <v>162.209</v>
      </c>
      <c r="Q42" s="1859">
        <v>10.444584000000001</v>
      </c>
      <c r="R42" s="1859"/>
      <c r="S42" s="1859"/>
      <c r="T42" s="1859"/>
      <c r="U42" s="1859"/>
      <c r="V42" s="1859"/>
      <c r="W42" s="1859"/>
      <c r="X42" s="1859">
        <v>247.31700000000001</v>
      </c>
      <c r="Y42" s="1859">
        <v>36.942912</v>
      </c>
      <c r="Z42" s="1859"/>
      <c r="AA42" s="1859"/>
      <c r="AB42" s="1859"/>
      <c r="AC42" s="1859"/>
      <c r="AD42" s="1866">
        <v>3810.848</v>
      </c>
      <c r="AE42" s="1866">
        <v>542.70891600000004</v>
      </c>
      <c r="AF42" s="1866">
        <v>3540.6210000000001</v>
      </c>
      <c r="AG42" s="1866">
        <v>512.24898499999995</v>
      </c>
      <c r="AH42" s="1866">
        <v>151.999</v>
      </c>
      <c r="AI42" s="1866">
        <v>17.458600000000001</v>
      </c>
      <c r="AJ42" s="1866"/>
      <c r="AK42" s="1866"/>
      <c r="AL42" s="1866"/>
      <c r="AM42" s="1866"/>
      <c r="AN42" s="1866"/>
      <c r="AO42" s="1866"/>
      <c r="AP42" s="1866"/>
      <c r="AQ42" s="1866"/>
      <c r="AR42" s="1866"/>
      <c r="AS42" s="1866"/>
      <c r="AT42" s="1866"/>
      <c r="AU42" s="1866"/>
      <c r="AV42" s="1866">
        <v>260.31200000000001</v>
      </c>
      <c r="AW42" s="1866">
        <v>65.929294999999996</v>
      </c>
      <c r="AX42" s="1866">
        <v>93.174999999999997</v>
      </c>
      <c r="AY42" s="1866">
        <v>27.269116</v>
      </c>
      <c r="AZ42" s="1866">
        <v>38.048000000000002</v>
      </c>
      <c r="BA42" s="1866">
        <v>14.718598</v>
      </c>
      <c r="BB42" s="1866"/>
      <c r="BC42" s="1866"/>
      <c r="BD42" s="1866"/>
      <c r="BE42" s="1866"/>
      <c r="BF42" s="1866"/>
      <c r="BG42" s="1866"/>
      <c r="BH42" s="1866"/>
      <c r="BI42" s="1866"/>
      <c r="BJ42" s="1866"/>
      <c r="BK42" s="1866"/>
      <c r="BL42" s="1866"/>
      <c r="BM42" s="1866"/>
    </row>
    <row r="43" spans="1:65" hidden="1">
      <c r="A43" s="1854" t="s">
        <v>29</v>
      </c>
      <c r="B43" s="1871">
        <v>4580.2439999999988</v>
      </c>
      <c r="C43" s="1871"/>
      <c r="D43" s="1859">
        <v>2522.4079999999999</v>
      </c>
      <c r="E43" s="1859">
        <v>1330.162</v>
      </c>
      <c r="F43" s="1859">
        <v>546.93499999999995</v>
      </c>
      <c r="G43" s="1859">
        <v>180.739</v>
      </c>
      <c r="H43" s="1859">
        <v>5067.826</v>
      </c>
      <c r="I43" s="1859">
        <v>771.07725200000004</v>
      </c>
      <c r="J43" s="1859">
        <v>4477.6729999999998</v>
      </c>
      <c r="K43" s="1859">
        <v>676.49016400000005</v>
      </c>
      <c r="L43" s="1859">
        <v>35.429000000000002</v>
      </c>
      <c r="M43" s="1859">
        <v>28.780166000000001</v>
      </c>
      <c r="N43" s="1859">
        <v>94.376000000000005</v>
      </c>
      <c r="O43" s="1859">
        <v>13.277846</v>
      </c>
      <c r="P43" s="1859">
        <v>185.334</v>
      </c>
      <c r="Q43" s="1859">
        <v>12.832815</v>
      </c>
      <c r="R43" s="1859"/>
      <c r="S43" s="1859"/>
      <c r="T43" s="1859"/>
      <c r="U43" s="1859"/>
      <c r="V43" s="1859"/>
      <c r="W43" s="1859"/>
      <c r="X43" s="1859">
        <v>275.01400000000001</v>
      </c>
      <c r="Y43" s="1859">
        <v>39.696258999999998</v>
      </c>
      <c r="Z43" s="1859"/>
      <c r="AA43" s="1859"/>
      <c r="AB43" s="1859"/>
      <c r="AC43" s="1859"/>
      <c r="AD43" s="1866">
        <v>4790.5630000000001</v>
      </c>
      <c r="AE43" s="1866">
        <v>697.27673100000004</v>
      </c>
      <c r="AF43" s="1866">
        <v>4474.9089999999997</v>
      </c>
      <c r="AG43" s="1866">
        <v>660.11711200000002</v>
      </c>
      <c r="AH43" s="1866">
        <v>175.935</v>
      </c>
      <c r="AI43" s="1866">
        <v>23.271070000000002</v>
      </c>
      <c r="AJ43" s="1866"/>
      <c r="AK43" s="1866"/>
      <c r="AL43" s="1866"/>
      <c r="AM43" s="1866"/>
      <c r="AN43" s="1866"/>
      <c r="AO43" s="1866"/>
      <c r="AP43" s="1866"/>
      <c r="AQ43" s="1866"/>
      <c r="AR43" s="1866"/>
      <c r="AS43" s="1866"/>
      <c r="AT43" s="1866"/>
      <c r="AU43" s="1866"/>
      <c r="AV43" s="1866">
        <v>277.26299999999998</v>
      </c>
      <c r="AW43" s="1866">
        <v>73.800521000000003</v>
      </c>
      <c r="AX43" s="1866">
        <v>97.14</v>
      </c>
      <c r="AY43" s="1866">
        <v>29.650898000000002</v>
      </c>
      <c r="AZ43" s="1866">
        <v>44.828000000000003</v>
      </c>
      <c r="BA43" s="1866">
        <v>18.341911</v>
      </c>
      <c r="BB43" s="1866"/>
      <c r="BC43" s="1866"/>
      <c r="BD43" s="1866"/>
      <c r="BE43" s="1866"/>
      <c r="BF43" s="1866"/>
      <c r="BG43" s="1866"/>
      <c r="BH43" s="1866"/>
      <c r="BI43" s="1866"/>
      <c r="BJ43" s="1866"/>
      <c r="BK43" s="1866"/>
      <c r="BL43" s="1866"/>
      <c r="BM43" s="1866"/>
    </row>
    <row r="44" spans="1:65">
      <c r="A44" s="1872">
        <v>2012</v>
      </c>
      <c r="B44" s="1871">
        <v>5008.107</v>
      </c>
      <c r="C44" s="1871"/>
      <c r="D44" s="1866">
        <v>2560.1529999999998</v>
      </c>
      <c r="E44" s="1866">
        <v>1360.665</v>
      </c>
      <c r="F44" s="1866">
        <v>679.346</v>
      </c>
      <c r="G44" s="1859">
        <v>407.94299999999998</v>
      </c>
      <c r="H44" s="1871">
        <f t="shared" ref="H44:Q44" si="6">SUM(H45:H56)</f>
        <v>57169.155000000006</v>
      </c>
      <c r="I44" s="1871">
        <f t="shared" si="6"/>
        <v>8826.7582270000003</v>
      </c>
      <c r="J44" s="1871">
        <f t="shared" si="6"/>
        <v>48118.047999999995</v>
      </c>
      <c r="K44" s="1871">
        <f t="shared" si="6"/>
        <v>7457.2838199999997</v>
      </c>
      <c r="L44" s="1871">
        <f t="shared" si="6"/>
        <v>348.64699999999999</v>
      </c>
      <c r="M44" s="1871">
        <f t="shared" si="6"/>
        <v>421.470707</v>
      </c>
      <c r="N44" s="1871">
        <f t="shared" si="6"/>
        <v>679.76199999999994</v>
      </c>
      <c r="O44" s="1871">
        <f t="shared" si="6"/>
        <v>172.56598429999997</v>
      </c>
      <c r="P44" s="1871">
        <f t="shared" si="6"/>
        <v>4323.5349999999999</v>
      </c>
      <c r="Q44" s="1871">
        <f t="shared" si="6"/>
        <v>177.06827799999999</v>
      </c>
      <c r="R44" s="1871"/>
      <c r="S44" s="1871"/>
      <c r="T44" s="1871"/>
      <c r="U44" s="1871"/>
      <c r="V44" s="1871"/>
      <c r="W44" s="1871"/>
      <c r="X44" s="1871">
        <f>SUM(X45:X56)</f>
        <v>3700.027</v>
      </c>
      <c r="Y44" s="1871">
        <f>SUM(Y45:Y56)</f>
        <v>597.81121200000007</v>
      </c>
      <c r="Z44" s="1871"/>
      <c r="AA44" s="1871"/>
      <c r="AB44" s="1871"/>
      <c r="AC44" s="1871"/>
      <c r="AD44" s="1871">
        <f t="shared" ref="AD44:AI44" si="7">SUM(AD45:AD56)</f>
        <v>52976.212999999996</v>
      </c>
      <c r="AE44" s="1871">
        <f t="shared" si="7"/>
        <v>7759.549930000001</v>
      </c>
      <c r="AF44" s="1871">
        <f t="shared" si="7"/>
        <v>47347.949000000001</v>
      </c>
      <c r="AG44" s="1871">
        <f t="shared" si="7"/>
        <v>7209.892992</v>
      </c>
      <c r="AH44" s="1871">
        <f t="shared" si="7"/>
        <v>3794.3559999999998</v>
      </c>
      <c r="AI44" s="1871">
        <f t="shared" si="7"/>
        <v>375.39755600000001</v>
      </c>
      <c r="AJ44" s="1871"/>
      <c r="AK44" s="1871"/>
      <c r="AL44" s="1871"/>
      <c r="AM44" s="1871"/>
      <c r="AN44" s="1871"/>
      <c r="AO44" s="1871"/>
      <c r="AP44" s="1871"/>
      <c r="AQ44" s="1871"/>
      <c r="AR44" s="1871"/>
      <c r="AS44" s="1871"/>
      <c r="AT44" s="1871"/>
      <c r="AU44" s="1871"/>
      <c r="AV44" s="1871">
        <f t="shared" ref="AV44:BA44" si="8">SUM(AV45:AV56)</f>
        <v>4192.7960000000003</v>
      </c>
      <c r="AW44" s="1871">
        <f t="shared" si="8"/>
        <v>1067.208286</v>
      </c>
      <c r="AX44" s="1871">
        <f t="shared" si="8"/>
        <v>1449.8610000000001</v>
      </c>
      <c r="AY44" s="1871">
        <f t="shared" si="8"/>
        <v>420.54502000000002</v>
      </c>
      <c r="AZ44" s="1871">
        <f t="shared" si="8"/>
        <v>877.81600000000003</v>
      </c>
      <c r="BA44" s="1871">
        <f t="shared" si="8"/>
        <v>223.14142999999999</v>
      </c>
      <c r="BB44" s="1871"/>
      <c r="BC44" s="1871"/>
      <c r="BD44" s="1871"/>
      <c r="BE44" s="1871"/>
      <c r="BF44" s="1871"/>
      <c r="BG44" s="1871"/>
      <c r="BH44" s="1871"/>
      <c r="BI44" s="1871"/>
      <c r="BJ44" s="1871"/>
      <c r="BK44" s="1871"/>
      <c r="BL44" s="1871"/>
      <c r="BM44" s="1871"/>
    </row>
    <row r="45" spans="1:65" hidden="1">
      <c r="A45" s="1854" t="s">
        <v>18</v>
      </c>
      <c r="B45" s="1871">
        <v>4621.4960000000001</v>
      </c>
      <c r="C45" s="1871"/>
      <c r="D45" s="1866">
        <v>2534.0239999999999</v>
      </c>
      <c r="E45" s="1866">
        <v>1345.943</v>
      </c>
      <c r="F45" s="1866">
        <v>557.10599999999999</v>
      </c>
      <c r="G45" s="1859">
        <v>184.423</v>
      </c>
      <c r="H45" s="1866">
        <v>3541.4879999999998</v>
      </c>
      <c r="I45" s="1866">
        <v>531.18804499999999</v>
      </c>
      <c r="J45" s="1871">
        <v>2960.9479999999999</v>
      </c>
      <c r="K45" s="1859">
        <v>437.67669000000001</v>
      </c>
      <c r="L45" s="1871">
        <v>24.54</v>
      </c>
      <c r="M45" s="1871">
        <v>19.885237</v>
      </c>
      <c r="N45" s="1871">
        <v>65.472999999999999</v>
      </c>
      <c r="O45" s="1871">
        <v>11.105435999999999</v>
      </c>
      <c r="P45" s="1871">
        <v>205.49799999999999</v>
      </c>
      <c r="Q45" s="1866">
        <v>11.618316999999999</v>
      </c>
      <c r="R45" s="1866"/>
      <c r="S45" s="1866"/>
      <c r="T45" s="1866"/>
      <c r="U45" s="1866"/>
      <c r="V45" s="1866"/>
      <c r="W45" s="1866"/>
      <c r="X45" s="1859">
        <v>285.029</v>
      </c>
      <c r="Y45" s="1859">
        <v>50.902365000000003</v>
      </c>
      <c r="Z45" s="1859"/>
      <c r="AA45" s="1859"/>
      <c r="AB45" s="1859"/>
      <c r="AC45" s="1859"/>
      <c r="AD45" s="1871">
        <v>3269.3029999999999</v>
      </c>
      <c r="AE45" s="1871">
        <v>454.71205400000002</v>
      </c>
      <c r="AF45" s="1871">
        <v>2940.6</v>
      </c>
      <c r="AG45" s="1871">
        <v>422.88017300000001</v>
      </c>
      <c r="AH45" s="1871">
        <v>185.37</v>
      </c>
      <c r="AI45" s="1871">
        <v>15.904249</v>
      </c>
      <c r="AJ45" s="1871"/>
      <c r="AK45" s="1871"/>
      <c r="AL45" s="1871"/>
      <c r="AM45" s="1871"/>
      <c r="AN45" s="1871"/>
      <c r="AO45" s="1871"/>
      <c r="AP45" s="1871"/>
      <c r="AQ45" s="1871"/>
      <c r="AR45" s="1871"/>
      <c r="AS45" s="1871"/>
      <c r="AT45" s="1871"/>
      <c r="AU45" s="1871"/>
      <c r="AV45" s="1871">
        <v>272.185</v>
      </c>
      <c r="AW45" s="1871">
        <v>76.475990999999993</v>
      </c>
      <c r="AX45" s="1871">
        <v>85.820999999999998</v>
      </c>
      <c r="AY45" s="1871">
        <v>25.901952999999999</v>
      </c>
      <c r="AZ45" s="1871">
        <v>44.667999999999999</v>
      </c>
      <c r="BA45" s="1871">
        <v>15.599304999999999</v>
      </c>
      <c r="BB45" s="1871"/>
      <c r="BC45" s="1871"/>
      <c r="BD45" s="1871"/>
      <c r="BE45" s="1871"/>
      <c r="BF45" s="1871"/>
      <c r="BG45" s="1871"/>
      <c r="BH45" s="1871"/>
      <c r="BI45" s="1871"/>
      <c r="BJ45" s="1871"/>
      <c r="BK45" s="1871"/>
      <c r="BL45" s="1871"/>
      <c r="BM45" s="1871"/>
    </row>
    <row r="46" spans="1:65" hidden="1">
      <c r="A46" s="1854" t="s">
        <v>19</v>
      </c>
      <c r="B46" s="1871">
        <v>4626.6279999999997</v>
      </c>
      <c r="C46" s="1871"/>
      <c r="D46" s="1866">
        <v>2515.5720000000001</v>
      </c>
      <c r="E46" s="1866">
        <v>1351.2570000000001</v>
      </c>
      <c r="F46" s="1866">
        <v>567.11199999999997</v>
      </c>
      <c r="G46" s="1859">
        <v>192.68700000000001</v>
      </c>
      <c r="H46" s="1866">
        <v>4597.6530000000002</v>
      </c>
      <c r="I46" s="1866">
        <v>693.72887000000003</v>
      </c>
      <c r="J46" s="1871">
        <v>4021.2220000000002</v>
      </c>
      <c r="K46" s="1859">
        <v>604.01845600000001</v>
      </c>
      <c r="L46" s="1871">
        <v>29.651</v>
      </c>
      <c r="M46" s="1871">
        <v>24.714974999999999</v>
      </c>
      <c r="N46" s="1871">
        <v>53.344000000000001</v>
      </c>
      <c r="O46" s="1871">
        <v>11.712740999999999</v>
      </c>
      <c r="P46" s="1871">
        <v>244.22399999999999</v>
      </c>
      <c r="Q46" s="1866">
        <v>10.773033</v>
      </c>
      <c r="R46" s="1866"/>
      <c r="S46" s="1866"/>
      <c r="T46" s="1866"/>
      <c r="U46" s="1866"/>
      <c r="V46" s="1866"/>
      <c r="W46" s="1866"/>
      <c r="X46" s="1859">
        <v>249.21199999999999</v>
      </c>
      <c r="Y46" s="1859">
        <v>42.509666000000003</v>
      </c>
      <c r="Z46" s="1859"/>
      <c r="AA46" s="1859"/>
      <c r="AB46" s="1859"/>
      <c r="AC46" s="1859"/>
      <c r="AD46" s="1871">
        <v>4341.6419999999998</v>
      </c>
      <c r="AE46" s="1871">
        <v>624.55278399999997</v>
      </c>
      <c r="AF46" s="1871">
        <v>3990.24</v>
      </c>
      <c r="AG46" s="1871">
        <v>589.63792599999999</v>
      </c>
      <c r="AH46" s="1871">
        <v>227.80600000000001</v>
      </c>
      <c r="AI46" s="1871">
        <v>19.678934000000002</v>
      </c>
      <c r="AJ46" s="1871"/>
      <c r="AK46" s="1871"/>
      <c r="AL46" s="1871"/>
      <c r="AM46" s="1871"/>
      <c r="AN46" s="1871"/>
      <c r="AO46" s="1871"/>
      <c r="AP46" s="1871"/>
      <c r="AQ46" s="1871"/>
      <c r="AR46" s="1871"/>
      <c r="AS46" s="1871"/>
      <c r="AT46" s="1871"/>
      <c r="AU46" s="1871"/>
      <c r="AV46" s="1871">
        <v>256.01100000000002</v>
      </c>
      <c r="AW46" s="1871">
        <v>69.176085999999998</v>
      </c>
      <c r="AX46" s="1871">
        <v>84.325999999999993</v>
      </c>
      <c r="AY46" s="1871">
        <v>26.09327</v>
      </c>
      <c r="AZ46" s="1871">
        <v>46.069000000000003</v>
      </c>
      <c r="BA46" s="1871">
        <v>15.809074000000001</v>
      </c>
      <c r="BB46" s="1871"/>
      <c r="BC46" s="1871"/>
      <c r="BD46" s="1871"/>
      <c r="BE46" s="1871"/>
      <c r="BF46" s="1871"/>
      <c r="BG46" s="1871"/>
      <c r="BH46" s="1871"/>
      <c r="BI46" s="1871"/>
      <c r="BJ46" s="1871"/>
      <c r="BK46" s="1871"/>
      <c r="BL46" s="1871"/>
      <c r="BM46" s="1871"/>
    </row>
    <row r="47" spans="1:65" hidden="1">
      <c r="A47" s="1854" t="s">
        <v>20</v>
      </c>
      <c r="B47" s="1871">
        <v>4659.9939999999997</v>
      </c>
      <c r="C47" s="1871"/>
      <c r="D47" s="1866">
        <v>2518.846</v>
      </c>
      <c r="E47" s="1866">
        <v>1356.348</v>
      </c>
      <c r="F47" s="1866">
        <v>582.37699999999995</v>
      </c>
      <c r="G47" s="1859">
        <v>202.441</v>
      </c>
      <c r="H47" s="1866">
        <v>5273.5640000000003</v>
      </c>
      <c r="I47" s="1866">
        <v>784.077901</v>
      </c>
      <c r="J47" s="1871">
        <v>4565.1880000000001</v>
      </c>
      <c r="K47" s="1859">
        <v>680.83150599999999</v>
      </c>
      <c r="L47" s="1871">
        <v>28.931000000000001</v>
      </c>
      <c r="M47" s="1871">
        <v>27.501636000000001</v>
      </c>
      <c r="N47" s="1871">
        <v>58.459000000000003</v>
      </c>
      <c r="O47" s="1871">
        <v>13.028211000000001</v>
      </c>
      <c r="P47" s="1871">
        <v>298.54599999999999</v>
      </c>
      <c r="Q47" s="1866">
        <v>13.789465</v>
      </c>
      <c r="R47" s="1866"/>
      <c r="S47" s="1866"/>
      <c r="T47" s="1866"/>
      <c r="U47" s="1866"/>
      <c r="V47" s="1866"/>
      <c r="W47" s="1866"/>
      <c r="X47" s="1859">
        <v>322.44</v>
      </c>
      <c r="Y47" s="1859">
        <v>48.927083000000003</v>
      </c>
      <c r="Z47" s="1859"/>
      <c r="AA47" s="1859"/>
      <c r="AB47" s="1859"/>
      <c r="AC47" s="1859"/>
      <c r="AD47" s="1871">
        <v>4959.6689999999999</v>
      </c>
      <c r="AE47" s="1871">
        <v>703.27717500000006</v>
      </c>
      <c r="AF47" s="1871">
        <v>4523.4669999999996</v>
      </c>
      <c r="AG47" s="1871">
        <v>663.46863099999996</v>
      </c>
      <c r="AH47" s="1871">
        <v>270.76799999999997</v>
      </c>
      <c r="AI47" s="1871">
        <v>22.226908000000002</v>
      </c>
      <c r="AJ47" s="1871"/>
      <c r="AK47" s="1871"/>
      <c r="AL47" s="1871"/>
      <c r="AM47" s="1871"/>
      <c r="AN47" s="1871"/>
      <c r="AO47" s="1871"/>
      <c r="AP47" s="1871"/>
      <c r="AQ47" s="1871"/>
      <c r="AR47" s="1871"/>
      <c r="AS47" s="1871"/>
      <c r="AT47" s="1871"/>
      <c r="AU47" s="1871"/>
      <c r="AV47" s="1871">
        <v>313.89499999999998</v>
      </c>
      <c r="AW47" s="1871">
        <v>80.800725</v>
      </c>
      <c r="AX47" s="1871">
        <v>100.18</v>
      </c>
      <c r="AY47" s="1871">
        <v>30.391086000000001</v>
      </c>
      <c r="AZ47" s="1871">
        <v>56.709000000000003</v>
      </c>
      <c r="BA47" s="1871">
        <v>19.064193</v>
      </c>
      <c r="BB47" s="1871"/>
      <c r="BC47" s="1871"/>
      <c r="BD47" s="1871"/>
      <c r="BE47" s="1871"/>
      <c r="BF47" s="1871"/>
      <c r="BG47" s="1871"/>
      <c r="BH47" s="1871"/>
      <c r="BI47" s="1871"/>
      <c r="BJ47" s="1871"/>
      <c r="BK47" s="1871"/>
      <c r="BL47" s="1871"/>
      <c r="BM47" s="1871"/>
    </row>
    <row r="48" spans="1:65" hidden="1">
      <c r="A48" s="1854" t="s">
        <v>21</v>
      </c>
      <c r="B48" s="1871">
        <v>4749.8490000000002</v>
      </c>
      <c r="C48" s="1871"/>
      <c r="D48" s="1866">
        <v>2584.8359999999998</v>
      </c>
      <c r="E48" s="1866">
        <v>1360</v>
      </c>
      <c r="F48" s="1866">
        <v>590.15599999999995</v>
      </c>
      <c r="G48" s="1859">
        <v>214.76</v>
      </c>
      <c r="H48" s="1866">
        <v>4240.826</v>
      </c>
      <c r="I48" s="1866">
        <v>647.43153600000005</v>
      </c>
      <c r="J48" s="1871">
        <v>3549.7979999999998</v>
      </c>
      <c r="K48" s="1859">
        <v>544.69808699999999</v>
      </c>
      <c r="L48" s="1871">
        <v>29.515000000000001</v>
      </c>
      <c r="M48" s="1871">
        <v>31.253577</v>
      </c>
      <c r="N48" s="1871">
        <v>55.625</v>
      </c>
      <c r="O48" s="1871">
        <v>13.304930000000001</v>
      </c>
      <c r="P48" s="1871">
        <v>320.98099999999999</v>
      </c>
      <c r="Q48" s="1866">
        <v>12.775935</v>
      </c>
      <c r="R48" s="1866"/>
      <c r="S48" s="1866"/>
      <c r="T48" s="1866"/>
      <c r="U48" s="1866"/>
      <c r="V48" s="1866"/>
      <c r="W48" s="1866"/>
      <c r="X48" s="1859">
        <v>284.90699999999998</v>
      </c>
      <c r="Y48" s="1859">
        <v>45.399006</v>
      </c>
      <c r="Z48" s="1859"/>
      <c r="AA48" s="1859"/>
      <c r="AB48" s="1859"/>
      <c r="AC48" s="1859"/>
      <c r="AD48" s="1871">
        <v>3944.752</v>
      </c>
      <c r="AE48" s="1871">
        <v>567.07636300000001</v>
      </c>
      <c r="AF48" s="1871">
        <v>3504.788</v>
      </c>
      <c r="AG48" s="1871">
        <v>527.21926199999996</v>
      </c>
      <c r="AH48" s="1871">
        <v>293.44299999999998</v>
      </c>
      <c r="AI48" s="1871">
        <v>25.687453999999999</v>
      </c>
      <c r="AJ48" s="1871"/>
      <c r="AK48" s="1871"/>
      <c r="AL48" s="1871"/>
      <c r="AM48" s="1871"/>
      <c r="AN48" s="1871"/>
      <c r="AO48" s="1871"/>
      <c r="AP48" s="1871"/>
      <c r="AQ48" s="1871"/>
      <c r="AR48" s="1871"/>
      <c r="AS48" s="1871"/>
      <c r="AT48" s="1871"/>
      <c r="AU48" s="1871"/>
      <c r="AV48" s="1871">
        <v>296.07400000000001</v>
      </c>
      <c r="AW48" s="1871">
        <v>80.355172999999994</v>
      </c>
      <c r="AX48" s="1871">
        <v>100.63500000000001</v>
      </c>
      <c r="AY48" s="1871">
        <v>30.783754999999999</v>
      </c>
      <c r="AZ48" s="1871">
        <v>57.052999999999997</v>
      </c>
      <c r="BA48" s="1871">
        <v>18.342058000000002</v>
      </c>
      <c r="BB48" s="1871"/>
      <c r="BC48" s="1871"/>
      <c r="BD48" s="1871"/>
      <c r="BE48" s="1871"/>
      <c r="BF48" s="1871"/>
      <c r="BG48" s="1871"/>
      <c r="BH48" s="1871"/>
      <c r="BI48" s="1871"/>
      <c r="BJ48" s="1871"/>
      <c r="BK48" s="1871"/>
      <c r="BL48" s="1871"/>
      <c r="BM48" s="1871"/>
    </row>
    <row r="49" spans="1:65" hidden="1">
      <c r="A49" s="1854" t="s">
        <v>22</v>
      </c>
      <c r="B49" s="1871">
        <v>4807.4709999999995</v>
      </c>
      <c r="C49" s="1871"/>
      <c r="D49" s="1866">
        <v>2575.223</v>
      </c>
      <c r="E49" s="1866">
        <v>1385.432</v>
      </c>
      <c r="F49" s="1866">
        <v>616.53099999999995</v>
      </c>
      <c r="G49" s="1859">
        <v>230.285</v>
      </c>
      <c r="H49" s="1866">
        <v>5051.1239999999998</v>
      </c>
      <c r="I49" s="1866">
        <v>740.24115400000005</v>
      </c>
      <c r="J49" s="1871">
        <v>4223.9449999999997</v>
      </c>
      <c r="K49" s="1859">
        <v>640.44742399999996</v>
      </c>
      <c r="L49" s="1871">
        <v>27.922999999999998</v>
      </c>
      <c r="M49" s="1871">
        <v>27.007358</v>
      </c>
      <c r="N49" s="1871">
        <v>56.308999999999997</v>
      </c>
      <c r="O49" s="1871">
        <v>14.487467000000001</v>
      </c>
      <c r="P49" s="1871">
        <v>438.411</v>
      </c>
      <c r="Q49" s="1866">
        <v>14.873061999999999</v>
      </c>
      <c r="R49" s="1866"/>
      <c r="S49" s="1866"/>
      <c r="T49" s="1866"/>
      <c r="U49" s="1866"/>
      <c r="V49" s="1866"/>
      <c r="W49" s="1866"/>
      <c r="X49" s="1859">
        <v>304.536</v>
      </c>
      <c r="Y49" s="1859">
        <v>43.425843999999998</v>
      </c>
      <c r="Z49" s="1859"/>
      <c r="AA49" s="1859"/>
      <c r="AB49" s="1859"/>
      <c r="AC49" s="1859"/>
      <c r="AD49" s="1871">
        <v>4716.6509999999998</v>
      </c>
      <c r="AE49" s="1871">
        <v>656.66059800000005</v>
      </c>
      <c r="AF49" s="1871">
        <v>4162.2659999999996</v>
      </c>
      <c r="AG49" s="1871">
        <v>619.59087699999998</v>
      </c>
      <c r="AH49" s="1871">
        <v>398.18799999999999</v>
      </c>
      <c r="AI49" s="1871">
        <v>22.128466</v>
      </c>
      <c r="AJ49" s="1871"/>
      <c r="AK49" s="1871"/>
      <c r="AL49" s="1871"/>
      <c r="AM49" s="1871"/>
      <c r="AN49" s="1871"/>
      <c r="AO49" s="1871"/>
      <c r="AP49" s="1871"/>
      <c r="AQ49" s="1871"/>
      <c r="AR49" s="1871"/>
      <c r="AS49" s="1871"/>
      <c r="AT49" s="1871"/>
      <c r="AU49" s="1871"/>
      <c r="AV49" s="1871">
        <v>334.47300000000001</v>
      </c>
      <c r="AW49" s="1871">
        <v>83.580556999999999</v>
      </c>
      <c r="AX49" s="1871">
        <v>117.988</v>
      </c>
      <c r="AY49" s="1871">
        <v>35.374014000000003</v>
      </c>
      <c r="AZ49" s="1871">
        <v>68.146000000000001</v>
      </c>
      <c r="BA49" s="1871">
        <v>19.751954000000001</v>
      </c>
      <c r="BB49" s="1871"/>
      <c r="BC49" s="1871"/>
      <c r="BD49" s="1871"/>
      <c r="BE49" s="1871"/>
      <c r="BF49" s="1871"/>
      <c r="BG49" s="1871"/>
      <c r="BH49" s="1871"/>
      <c r="BI49" s="1871"/>
      <c r="BJ49" s="1871"/>
      <c r="BK49" s="1871"/>
      <c r="BL49" s="1871"/>
      <c r="BM49" s="1871"/>
    </row>
    <row r="50" spans="1:65" hidden="1">
      <c r="A50" s="1854" t="s">
        <v>23</v>
      </c>
      <c r="B50" s="1871">
        <v>4825.6509999999998</v>
      </c>
      <c r="C50" s="1871"/>
      <c r="D50" s="1866">
        <v>2537.9789999999998</v>
      </c>
      <c r="E50" s="1866">
        <v>1352.0119999999999</v>
      </c>
      <c r="F50" s="1866">
        <v>688.39700000000005</v>
      </c>
      <c r="G50" s="1859">
        <v>247.26300000000001</v>
      </c>
      <c r="H50" s="1866">
        <v>4405.1189999999997</v>
      </c>
      <c r="I50" s="1866">
        <v>676.27633700000001</v>
      </c>
      <c r="J50" s="1871">
        <v>3740.8620000000001</v>
      </c>
      <c r="K50" s="1859">
        <v>579.857709</v>
      </c>
      <c r="L50" s="1871">
        <v>24.995000000000001</v>
      </c>
      <c r="M50" s="1871">
        <v>24.486464000000002</v>
      </c>
      <c r="N50" s="1871">
        <v>51.517000000000003</v>
      </c>
      <c r="O50" s="1871">
        <v>13.699736</v>
      </c>
      <c r="P50" s="1871">
        <v>314.93400000000003</v>
      </c>
      <c r="Q50" s="1866">
        <v>15.048664</v>
      </c>
      <c r="R50" s="1866"/>
      <c r="S50" s="1866"/>
      <c r="T50" s="1866"/>
      <c r="U50" s="1866"/>
      <c r="V50" s="1866"/>
      <c r="W50" s="1866"/>
      <c r="X50" s="1859">
        <v>273.67500000000001</v>
      </c>
      <c r="Y50" s="1859">
        <v>43.183763999999996</v>
      </c>
      <c r="Z50" s="1859"/>
      <c r="AA50" s="1859"/>
      <c r="AB50" s="1859"/>
      <c r="AC50" s="1859"/>
      <c r="AD50" s="1871">
        <v>4101.25</v>
      </c>
      <c r="AE50" s="1871">
        <v>594.05816800000002</v>
      </c>
      <c r="AF50" s="1871">
        <v>3688.8760000000002</v>
      </c>
      <c r="AG50" s="1871">
        <v>562.04636500000004</v>
      </c>
      <c r="AH50" s="1871">
        <v>276.16800000000001</v>
      </c>
      <c r="AI50" s="1871">
        <v>20.548152000000002</v>
      </c>
      <c r="AJ50" s="1871"/>
      <c r="AK50" s="1871"/>
      <c r="AL50" s="1871"/>
      <c r="AM50" s="1871"/>
      <c r="AN50" s="1871"/>
      <c r="AO50" s="1871"/>
      <c r="AP50" s="1871"/>
      <c r="AQ50" s="1871"/>
      <c r="AR50" s="1871"/>
      <c r="AS50" s="1871"/>
      <c r="AT50" s="1871"/>
      <c r="AU50" s="1871"/>
      <c r="AV50" s="1871">
        <v>303.72300000000001</v>
      </c>
      <c r="AW50" s="1871">
        <v>82.218159999999997</v>
      </c>
      <c r="AX50" s="1871">
        <v>103.503</v>
      </c>
      <c r="AY50" s="1871">
        <v>31.511081000000001</v>
      </c>
      <c r="AZ50" s="1871">
        <v>63.750999999999998</v>
      </c>
      <c r="BA50" s="1871">
        <v>18.986977</v>
      </c>
      <c r="BB50" s="1871"/>
      <c r="BC50" s="1871"/>
      <c r="BD50" s="1871"/>
      <c r="BE50" s="1871"/>
      <c r="BF50" s="1871"/>
      <c r="BG50" s="1871"/>
      <c r="BH50" s="1871"/>
      <c r="BI50" s="1871"/>
      <c r="BJ50" s="1871"/>
      <c r="BK50" s="1871"/>
      <c r="BL50" s="1871"/>
      <c r="BM50" s="1871"/>
    </row>
    <row r="51" spans="1:65" hidden="1">
      <c r="A51" s="1854" t="s">
        <v>24</v>
      </c>
      <c r="B51" s="1871">
        <v>4807.8869999999997</v>
      </c>
      <c r="C51" s="1871"/>
      <c r="D51" s="1866">
        <v>2537.4059999999999</v>
      </c>
      <c r="E51" s="1866">
        <v>1361.731</v>
      </c>
      <c r="F51" s="1866">
        <v>629.89499999999998</v>
      </c>
      <c r="G51" s="1859">
        <v>278.85500000000002</v>
      </c>
      <c r="H51" s="1866">
        <v>5018.5600000000004</v>
      </c>
      <c r="I51" s="1866">
        <v>811.19195999999999</v>
      </c>
      <c r="J51" s="1871">
        <v>4291.2219999999998</v>
      </c>
      <c r="K51" s="1859">
        <v>697.97575300000005</v>
      </c>
      <c r="L51" s="1871">
        <v>27.584</v>
      </c>
      <c r="M51" s="1871">
        <v>38.248265000000004</v>
      </c>
      <c r="N51" s="1871">
        <v>53.045000000000002</v>
      </c>
      <c r="O51" s="1871">
        <v>16.009340999999999</v>
      </c>
      <c r="P51" s="1871">
        <v>343.59399999999999</v>
      </c>
      <c r="Q51" s="1866">
        <v>12.950625</v>
      </c>
      <c r="R51" s="1866"/>
      <c r="S51" s="1866"/>
      <c r="T51" s="1866"/>
      <c r="U51" s="1866"/>
      <c r="V51" s="1866"/>
      <c r="W51" s="1866"/>
      <c r="X51" s="1859">
        <v>303.11500000000001</v>
      </c>
      <c r="Y51" s="1859">
        <v>46.007975999999999</v>
      </c>
      <c r="Z51" s="1859"/>
      <c r="AA51" s="1859"/>
      <c r="AB51" s="1859"/>
      <c r="AC51" s="1859"/>
      <c r="AD51" s="1871">
        <v>4663.1109999999999</v>
      </c>
      <c r="AE51" s="1871">
        <v>721.83555100000001</v>
      </c>
      <c r="AF51" s="1871">
        <v>4217.4480000000003</v>
      </c>
      <c r="AG51" s="1871">
        <v>675.15063299999997</v>
      </c>
      <c r="AH51" s="1871">
        <v>301.56400000000002</v>
      </c>
      <c r="AI51" s="1871">
        <v>34.223683999999999</v>
      </c>
      <c r="AJ51" s="1871"/>
      <c r="AK51" s="1871"/>
      <c r="AL51" s="1871"/>
      <c r="AM51" s="1871"/>
      <c r="AN51" s="1871"/>
      <c r="AO51" s="1871"/>
      <c r="AP51" s="1871"/>
      <c r="AQ51" s="1871"/>
      <c r="AR51" s="1871"/>
      <c r="AS51" s="1871"/>
      <c r="AT51" s="1871"/>
      <c r="AU51" s="1871"/>
      <c r="AV51" s="1871">
        <v>355.44900000000001</v>
      </c>
      <c r="AW51" s="1871">
        <v>89.356408999999999</v>
      </c>
      <c r="AX51" s="1871">
        <v>126.819</v>
      </c>
      <c r="AY51" s="1871">
        <v>38.83446</v>
      </c>
      <c r="AZ51" s="1871">
        <v>69.614000000000004</v>
      </c>
      <c r="BA51" s="1871">
        <v>16.975207000000001</v>
      </c>
      <c r="BB51" s="1871"/>
      <c r="BC51" s="1871"/>
      <c r="BD51" s="1871"/>
      <c r="BE51" s="1871"/>
      <c r="BF51" s="1871"/>
      <c r="BG51" s="1871"/>
      <c r="BH51" s="1871"/>
      <c r="BI51" s="1871"/>
      <c r="BJ51" s="1871"/>
      <c r="BK51" s="1871"/>
      <c r="BL51" s="1871"/>
      <c r="BM51" s="1871"/>
    </row>
    <row r="52" spans="1:65" hidden="1">
      <c r="A52" s="1854" t="s">
        <v>25</v>
      </c>
      <c r="B52" s="1871">
        <v>4842.277</v>
      </c>
      <c r="C52" s="1871"/>
      <c r="D52" s="1866">
        <v>2627.5439999999999</v>
      </c>
      <c r="E52" s="1866">
        <v>1360.1110000000001</v>
      </c>
      <c r="F52" s="1866">
        <v>564.84500000000003</v>
      </c>
      <c r="G52" s="1859">
        <v>289.77699999999999</v>
      </c>
      <c r="H52" s="1866">
        <v>4461.357</v>
      </c>
      <c r="I52" s="1866">
        <v>718.60421899999994</v>
      </c>
      <c r="J52" s="1871">
        <v>3694.6840000000002</v>
      </c>
      <c r="K52" s="1859">
        <v>580.02710000000002</v>
      </c>
      <c r="L52" s="1871">
        <v>27.373000000000001</v>
      </c>
      <c r="M52" s="1871">
        <v>43.265681000000001</v>
      </c>
      <c r="N52" s="1871">
        <v>51.197000000000003</v>
      </c>
      <c r="O52" s="1871">
        <v>15.094471</v>
      </c>
      <c r="P52" s="1871">
        <v>362.70400000000001</v>
      </c>
      <c r="Q52" s="1866">
        <v>14.350149999999999</v>
      </c>
      <c r="R52" s="1866"/>
      <c r="S52" s="1866"/>
      <c r="T52" s="1866"/>
      <c r="U52" s="1866"/>
      <c r="V52" s="1866"/>
      <c r="W52" s="1866"/>
      <c r="X52" s="1859">
        <v>325.399</v>
      </c>
      <c r="Y52" s="1859">
        <v>65.866816999999998</v>
      </c>
      <c r="Z52" s="1859"/>
      <c r="AA52" s="1859"/>
      <c r="AB52" s="1859"/>
      <c r="AC52" s="1859"/>
      <c r="AD52" s="1871">
        <v>4085.375</v>
      </c>
      <c r="AE52" s="1871">
        <v>613.08758999999998</v>
      </c>
      <c r="AF52" s="1871">
        <v>3623.4369999999999</v>
      </c>
      <c r="AG52" s="1871">
        <v>558.96905000000004</v>
      </c>
      <c r="AH52" s="1871">
        <v>314.38499999999999</v>
      </c>
      <c r="AI52" s="1871">
        <v>39.395105999999998</v>
      </c>
      <c r="AJ52" s="1871"/>
      <c r="AK52" s="1871"/>
      <c r="AL52" s="1871"/>
      <c r="AM52" s="1871"/>
      <c r="AN52" s="1871"/>
      <c r="AO52" s="1871"/>
      <c r="AP52" s="1871"/>
      <c r="AQ52" s="1871"/>
      <c r="AR52" s="1871"/>
      <c r="AS52" s="1871"/>
      <c r="AT52" s="1871"/>
      <c r="AU52" s="1871"/>
      <c r="AV52" s="1871">
        <v>375.98200000000003</v>
      </c>
      <c r="AW52" s="1871">
        <v>105.516628</v>
      </c>
      <c r="AX52" s="1871">
        <v>122.444</v>
      </c>
      <c r="AY52" s="1871">
        <v>36.152521</v>
      </c>
      <c r="AZ52" s="1871">
        <v>75.691999999999993</v>
      </c>
      <c r="BA52" s="1871">
        <v>18.220725000000002</v>
      </c>
      <c r="BB52" s="1871"/>
      <c r="BC52" s="1871"/>
      <c r="BD52" s="1871"/>
      <c r="BE52" s="1871"/>
      <c r="BF52" s="1871"/>
      <c r="BG52" s="1871"/>
      <c r="BH52" s="1871"/>
      <c r="BI52" s="1871"/>
      <c r="BJ52" s="1871"/>
      <c r="BK52" s="1871"/>
      <c r="BL52" s="1871"/>
      <c r="BM52" s="1871"/>
    </row>
    <row r="53" spans="1:65" hidden="1">
      <c r="A53" s="1854" t="s">
        <v>26</v>
      </c>
      <c r="B53" s="1871">
        <v>4920.2030000000004</v>
      </c>
      <c r="C53" s="1871"/>
      <c r="D53" s="1866">
        <v>2541.2649999999999</v>
      </c>
      <c r="E53" s="1866">
        <v>1336.89</v>
      </c>
      <c r="F53" s="1866">
        <v>724.38800000000003</v>
      </c>
      <c r="G53" s="1859">
        <v>317.66000000000003</v>
      </c>
      <c r="H53" s="1866">
        <v>4689.97</v>
      </c>
      <c r="I53" s="1866">
        <v>734.43695500000001</v>
      </c>
      <c r="J53" s="1871">
        <v>3968.4740000000002</v>
      </c>
      <c r="K53" s="1859">
        <v>603.55264799999998</v>
      </c>
      <c r="L53" s="1871">
        <v>32.234000000000002</v>
      </c>
      <c r="M53" s="1871">
        <v>45.427461999999998</v>
      </c>
      <c r="N53" s="1871">
        <v>50.372999999999998</v>
      </c>
      <c r="O53" s="1871">
        <v>15.3953563</v>
      </c>
      <c r="P53" s="1871">
        <v>349.47300000000001</v>
      </c>
      <c r="Q53" s="1866">
        <v>14.623037999999999</v>
      </c>
      <c r="R53" s="1866"/>
      <c r="S53" s="1866"/>
      <c r="T53" s="1866"/>
      <c r="U53" s="1866"/>
      <c r="V53" s="1866"/>
      <c r="W53" s="1866"/>
      <c r="X53" s="1859">
        <v>289.416</v>
      </c>
      <c r="Y53" s="1859">
        <v>54.880223999999998</v>
      </c>
      <c r="Z53" s="1859"/>
      <c r="AA53" s="1859"/>
      <c r="AB53" s="1859"/>
      <c r="AC53" s="1859"/>
      <c r="AD53" s="1871">
        <v>4330.8010000000004</v>
      </c>
      <c r="AE53" s="1871">
        <v>635.51498100000003</v>
      </c>
      <c r="AF53" s="1871">
        <v>3886.9050000000002</v>
      </c>
      <c r="AG53" s="1871">
        <v>580.99990400000002</v>
      </c>
      <c r="AH53" s="1871">
        <v>304.399</v>
      </c>
      <c r="AI53" s="1871">
        <v>42.100679999999997</v>
      </c>
      <c r="AJ53" s="1871"/>
      <c r="AK53" s="1871"/>
      <c r="AL53" s="1871"/>
      <c r="AM53" s="1871"/>
      <c r="AN53" s="1871"/>
      <c r="AO53" s="1871"/>
      <c r="AP53" s="1871"/>
      <c r="AQ53" s="1871"/>
      <c r="AR53" s="1871"/>
      <c r="AS53" s="1871"/>
      <c r="AT53" s="1871"/>
      <c r="AU53" s="1871"/>
      <c r="AV53" s="1871">
        <v>359.16899999999998</v>
      </c>
      <c r="AW53" s="1871">
        <v>98.921974000000006</v>
      </c>
      <c r="AX53" s="1871">
        <v>131.94200000000001</v>
      </c>
      <c r="AY53" s="1871">
        <v>38.506307999999997</v>
      </c>
      <c r="AZ53" s="1871">
        <v>77.308000000000007</v>
      </c>
      <c r="BA53" s="1871">
        <v>17.949819000000002</v>
      </c>
      <c r="BB53" s="1871"/>
      <c r="BC53" s="1871"/>
      <c r="BD53" s="1871"/>
      <c r="BE53" s="1871"/>
      <c r="BF53" s="1871"/>
      <c r="BG53" s="1871"/>
      <c r="BH53" s="1871"/>
      <c r="BI53" s="1871"/>
      <c r="BJ53" s="1871"/>
      <c r="BK53" s="1871"/>
      <c r="BL53" s="1871"/>
      <c r="BM53" s="1871"/>
    </row>
    <row r="54" spans="1:65" hidden="1">
      <c r="A54" s="1854" t="s">
        <v>27</v>
      </c>
      <c r="B54" s="1871">
        <v>4964.7910000000002</v>
      </c>
      <c r="C54" s="1871"/>
      <c r="D54" s="1866">
        <v>2536.2310000000002</v>
      </c>
      <c r="E54" s="1866">
        <v>1330.194</v>
      </c>
      <c r="F54" s="1866">
        <v>752.23</v>
      </c>
      <c r="G54" s="1859">
        <v>346.13600000000002</v>
      </c>
      <c r="H54" s="1866">
        <v>5139.3149999999996</v>
      </c>
      <c r="I54" s="1866">
        <v>794.73158599999999</v>
      </c>
      <c r="J54" s="1871">
        <v>4258.1549999999997</v>
      </c>
      <c r="K54" s="1859">
        <v>657.14827100000002</v>
      </c>
      <c r="L54" s="1871">
        <v>30.638999999999999</v>
      </c>
      <c r="M54" s="1871">
        <v>45.571235000000001</v>
      </c>
      <c r="N54" s="1871">
        <v>57.244999999999997</v>
      </c>
      <c r="O54" s="1871">
        <v>18.210353999999999</v>
      </c>
      <c r="P54" s="1871">
        <v>436.017</v>
      </c>
      <c r="Q54" s="1866">
        <v>17.794743</v>
      </c>
      <c r="R54" s="1866"/>
      <c r="S54" s="1866"/>
      <c r="T54" s="1866"/>
      <c r="U54" s="1866"/>
      <c r="V54" s="1866"/>
      <c r="W54" s="1866"/>
      <c r="X54" s="1859">
        <v>357.25900000000001</v>
      </c>
      <c r="Y54" s="1859">
        <v>56.006982999999998</v>
      </c>
      <c r="Z54" s="1859"/>
      <c r="AA54" s="1859"/>
      <c r="AB54" s="1859"/>
      <c r="AC54" s="1859"/>
      <c r="AD54" s="1871">
        <v>4703.7560000000003</v>
      </c>
      <c r="AE54" s="1871">
        <v>688.89851499999997</v>
      </c>
      <c r="AF54" s="1871">
        <v>4158.799</v>
      </c>
      <c r="AG54" s="1871">
        <v>631.12466300000006</v>
      </c>
      <c r="AH54" s="1871">
        <v>370.25799999999998</v>
      </c>
      <c r="AI54" s="1871">
        <v>43.289771000000002</v>
      </c>
      <c r="AJ54" s="1871"/>
      <c r="AK54" s="1871"/>
      <c r="AL54" s="1871"/>
      <c r="AM54" s="1871"/>
      <c r="AN54" s="1871"/>
      <c r="AO54" s="1871"/>
      <c r="AP54" s="1871"/>
      <c r="AQ54" s="1871"/>
      <c r="AR54" s="1871"/>
      <c r="AS54" s="1871"/>
      <c r="AT54" s="1871"/>
      <c r="AU54" s="1871"/>
      <c r="AV54" s="1871">
        <v>435.55900000000003</v>
      </c>
      <c r="AW54" s="1871">
        <v>105.833071</v>
      </c>
      <c r="AX54" s="1871">
        <v>156.601</v>
      </c>
      <c r="AY54" s="1871">
        <v>44.233961999999998</v>
      </c>
      <c r="AZ54" s="1871">
        <v>96.397999999999996</v>
      </c>
      <c r="BA54" s="1871">
        <v>20.076208000000001</v>
      </c>
      <c r="BB54" s="1871"/>
      <c r="BC54" s="1871"/>
      <c r="BD54" s="1871"/>
      <c r="BE54" s="1871"/>
      <c r="BF54" s="1871"/>
      <c r="BG54" s="1871"/>
      <c r="BH54" s="1871"/>
      <c r="BI54" s="1871"/>
      <c r="BJ54" s="1871"/>
      <c r="BK54" s="1871"/>
      <c r="BL54" s="1871"/>
      <c r="BM54" s="1871"/>
    </row>
    <row r="55" spans="1:65" hidden="1">
      <c r="A55" s="1854" t="s">
        <v>28</v>
      </c>
      <c r="B55" s="1871">
        <v>5071.3789999999999</v>
      </c>
      <c r="C55" s="1871"/>
      <c r="D55" s="1866">
        <v>2550.9169999999999</v>
      </c>
      <c r="E55" s="1866">
        <v>1353.4159999999999</v>
      </c>
      <c r="F55" s="1866">
        <v>790.37099999999998</v>
      </c>
      <c r="G55" s="1859">
        <v>376.67500000000001</v>
      </c>
      <c r="H55" s="1866">
        <v>4996.8789999999999</v>
      </c>
      <c r="I55" s="1866">
        <v>768.87706900000001</v>
      </c>
      <c r="J55" s="1871">
        <v>4103.74</v>
      </c>
      <c r="K55" s="1859">
        <v>639.66684499999997</v>
      </c>
      <c r="L55" s="1871">
        <v>29.411000000000001</v>
      </c>
      <c r="M55" s="1871">
        <v>41.556666</v>
      </c>
      <c r="N55" s="1871">
        <v>60.856000000000002</v>
      </c>
      <c r="O55" s="1871">
        <v>18.336504000000001</v>
      </c>
      <c r="P55" s="1871">
        <v>452.62900000000002</v>
      </c>
      <c r="Q55" s="1866">
        <v>17.189774</v>
      </c>
      <c r="R55" s="1866"/>
      <c r="S55" s="1866"/>
      <c r="T55" s="1866"/>
      <c r="U55" s="1866"/>
      <c r="V55" s="1866"/>
      <c r="W55" s="1866"/>
      <c r="X55" s="1859">
        <v>350.24299999999999</v>
      </c>
      <c r="Y55" s="1859">
        <v>52.127279999999999</v>
      </c>
      <c r="Z55" s="1859"/>
      <c r="AA55" s="1859"/>
      <c r="AB55" s="1859"/>
      <c r="AC55" s="1859"/>
      <c r="AD55" s="1871">
        <v>4586.3249999999998</v>
      </c>
      <c r="AE55" s="1871">
        <v>674.71586300000001</v>
      </c>
      <c r="AF55" s="1871">
        <v>4025.808</v>
      </c>
      <c r="AG55" s="1871">
        <v>618.10031200000003</v>
      </c>
      <c r="AH55" s="1871">
        <v>384.87799999999999</v>
      </c>
      <c r="AI55" s="1871">
        <v>39.344493999999997</v>
      </c>
      <c r="AJ55" s="1871"/>
      <c r="AK55" s="1871"/>
      <c r="AL55" s="1871"/>
      <c r="AM55" s="1871"/>
      <c r="AN55" s="1871"/>
      <c r="AO55" s="1871"/>
      <c r="AP55" s="1871"/>
      <c r="AQ55" s="1871"/>
      <c r="AR55" s="1871"/>
      <c r="AS55" s="1871"/>
      <c r="AT55" s="1871"/>
      <c r="AU55" s="1871"/>
      <c r="AV55" s="1871">
        <v>410.55399999999997</v>
      </c>
      <c r="AW55" s="1871">
        <v>94.161204999999995</v>
      </c>
      <c r="AX55" s="1871">
        <v>138.78800000000001</v>
      </c>
      <c r="AY55" s="1871">
        <v>39.903038000000002</v>
      </c>
      <c r="AZ55" s="1871">
        <v>97.162000000000006</v>
      </c>
      <c r="BA55" s="1871">
        <v>19.401945000000001</v>
      </c>
      <c r="BB55" s="1871"/>
      <c r="BC55" s="1871"/>
      <c r="BD55" s="1871"/>
      <c r="BE55" s="1871"/>
      <c r="BF55" s="1871"/>
      <c r="BG55" s="1871"/>
      <c r="BH55" s="1871"/>
      <c r="BI55" s="1871"/>
      <c r="BJ55" s="1871"/>
      <c r="BK55" s="1871"/>
      <c r="BL55" s="1871"/>
      <c r="BM55" s="1871"/>
    </row>
    <row r="56" spans="1:65" hidden="1">
      <c r="A56" s="1854" t="s">
        <v>29</v>
      </c>
      <c r="B56" s="1871">
        <v>5008.107</v>
      </c>
      <c r="C56" s="1871"/>
      <c r="D56" s="1866">
        <v>2560.1529999999998</v>
      </c>
      <c r="E56" s="1866">
        <v>1360.665</v>
      </c>
      <c r="F56" s="1866">
        <v>679.346</v>
      </c>
      <c r="G56" s="1859">
        <v>407.94299999999998</v>
      </c>
      <c r="H56" s="1866">
        <v>5753.3</v>
      </c>
      <c r="I56" s="1866">
        <v>925.97259499999996</v>
      </c>
      <c r="J56" s="1871">
        <v>4739.8100000000004</v>
      </c>
      <c r="K56" s="1859">
        <v>791.383331</v>
      </c>
      <c r="L56" s="1871">
        <v>35.850999999999999</v>
      </c>
      <c r="M56" s="1871">
        <v>52.552151000000002</v>
      </c>
      <c r="N56" s="1871">
        <v>66.319000000000003</v>
      </c>
      <c r="O56" s="1871">
        <v>12.181437000000001</v>
      </c>
      <c r="P56" s="1871">
        <v>556.524</v>
      </c>
      <c r="Q56" s="1866">
        <v>21.281472000000001</v>
      </c>
      <c r="R56" s="1866"/>
      <c r="S56" s="1866"/>
      <c r="T56" s="1866"/>
      <c r="U56" s="1866"/>
      <c r="V56" s="1866"/>
      <c r="W56" s="1866"/>
      <c r="X56" s="1859">
        <v>354.79599999999999</v>
      </c>
      <c r="Y56" s="1859">
        <v>48.574204000000002</v>
      </c>
      <c r="Z56" s="1859"/>
      <c r="AA56" s="1859"/>
      <c r="AB56" s="1859"/>
      <c r="AC56" s="1859"/>
      <c r="AD56" s="1871">
        <v>5273.5780000000004</v>
      </c>
      <c r="AE56" s="1871">
        <v>825.16028800000004</v>
      </c>
      <c r="AF56" s="1871">
        <v>4625.3149999999996</v>
      </c>
      <c r="AG56" s="1871">
        <v>760.705196</v>
      </c>
      <c r="AH56" s="1871">
        <v>467.12900000000002</v>
      </c>
      <c r="AI56" s="1871">
        <v>50.869658000000001</v>
      </c>
      <c r="AJ56" s="1871"/>
      <c r="AK56" s="1871"/>
      <c r="AL56" s="1871"/>
      <c r="AM56" s="1871"/>
      <c r="AN56" s="1871"/>
      <c r="AO56" s="1871"/>
      <c r="AP56" s="1871"/>
      <c r="AQ56" s="1871"/>
      <c r="AR56" s="1871"/>
      <c r="AS56" s="1871"/>
      <c r="AT56" s="1871"/>
      <c r="AU56" s="1871"/>
      <c r="AV56" s="1871">
        <v>479.72199999999998</v>
      </c>
      <c r="AW56" s="1871">
        <v>100.812307</v>
      </c>
      <c r="AX56" s="1871">
        <v>180.81399999999999</v>
      </c>
      <c r="AY56" s="1871">
        <v>42.859572</v>
      </c>
      <c r="AZ56" s="1871">
        <v>125.246</v>
      </c>
      <c r="BA56" s="1871">
        <v>22.963965000000002</v>
      </c>
      <c r="BB56" s="1871"/>
      <c r="BC56" s="1871"/>
      <c r="BD56" s="1871"/>
      <c r="BE56" s="1871"/>
      <c r="BF56" s="1871"/>
      <c r="BG56" s="1871"/>
      <c r="BH56" s="1871"/>
      <c r="BI56" s="1871"/>
      <c r="BJ56" s="1871"/>
      <c r="BK56" s="1871"/>
      <c r="BL56" s="1871"/>
      <c r="BM56" s="1871"/>
    </row>
    <row r="57" spans="1:65">
      <c r="A57" s="1872">
        <v>2013</v>
      </c>
      <c r="B57" s="1871">
        <v>5672.6170000000002</v>
      </c>
      <c r="C57" s="1871"/>
      <c r="D57" s="1866">
        <v>2504.9650000000001</v>
      </c>
      <c r="E57" s="1866">
        <v>1437.0409999999999</v>
      </c>
      <c r="F57" s="1866">
        <v>788.15499999999997</v>
      </c>
      <c r="G57" s="1859">
        <v>942.45600000000002</v>
      </c>
      <c r="H57" s="1871">
        <f t="shared" ref="H57:Q57" si="9">SUM(H58:H69)</f>
        <v>67810.095000000016</v>
      </c>
      <c r="I57" s="1871">
        <f t="shared" si="9"/>
        <v>10296.677221999998</v>
      </c>
      <c r="J57" s="1871">
        <f t="shared" si="9"/>
        <v>51008.037000000011</v>
      </c>
      <c r="K57" s="1871">
        <f t="shared" si="9"/>
        <v>8371.1870689999996</v>
      </c>
      <c r="L57" s="1871">
        <f t="shared" si="9"/>
        <v>318.12099999999998</v>
      </c>
      <c r="M57" s="1871">
        <f t="shared" si="9"/>
        <v>593.71614299999999</v>
      </c>
      <c r="N57" s="1871">
        <f t="shared" si="9"/>
        <v>628.14800000000002</v>
      </c>
      <c r="O57" s="1871">
        <f t="shared" si="9"/>
        <v>195.744778</v>
      </c>
      <c r="P57" s="1871">
        <f t="shared" si="9"/>
        <v>10879.55</v>
      </c>
      <c r="Q57" s="1871">
        <f t="shared" si="9"/>
        <v>382.773528</v>
      </c>
      <c r="R57" s="1871"/>
      <c r="S57" s="1871"/>
      <c r="T57" s="1871"/>
      <c r="U57" s="1871"/>
      <c r="V57" s="1871"/>
      <c r="W57" s="1871"/>
      <c r="X57" s="1871">
        <f>SUM(X58:X69)</f>
        <v>4974.16</v>
      </c>
      <c r="Y57" s="1871">
        <f>SUM(Y58:Y69)</f>
        <v>752.38747259999991</v>
      </c>
      <c r="Z57" s="1871"/>
      <c r="AA57" s="1871"/>
      <c r="AB57" s="1871"/>
      <c r="AC57" s="1871"/>
      <c r="AD57" s="1871">
        <f t="shared" ref="AD57:AI57" si="10">SUM(AD58:AD69)</f>
        <v>57325.821000000004</v>
      </c>
      <c r="AE57" s="1871">
        <f t="shared" si="10"/>
        <v>8564.8646469999985</v>
      </c>
      <c r="AF57" s="1871">
        <f t="shared" si="10"/>
        <v>48342.428</v>
      </c>
      <c r="AG57" s="1871">
        <f t="shared" si="10"/>
        <v>7791.6236289999997</v>
      </c>
      <c r="AH57" s="1871">
        <f t="shared" si="10"/>
        <v>6329.0809999999992</v>
      </c>
      <c r="AI57" s="1871">
        <f t="shared" si="10"/>
        <v>561.500675</v>
      </c>
      <c r="AJ57" s="1871"/>
      <c r="AK57" s="1871"/>
      <c r="AL57" s="1871"/>
      <c r="AM57" s="1871"/>
      <c r="AN57" s="1871"/>
      <c r="AO57" s="1871"/>
      <c r="AP57" s="1871"/>
      <c r="AQ57" s="1871"/>
      <c r="AR57" s="1871"/>
      <c r="AS57" s="1871"/>
      <c r="AT57" s="1871"/>
      <c r="AU57" s="1871"/>
      <c r="AV57" s="1871">
        <f t="shared" ref="AV57:BA57" si="11">SUM(AV58:AV69)</f>
        <v>10484.333999999999</v>
      </c>
      <c r="AW57" s="1871">
        <f t="shared" si="11"/>
        <v>1731.8849649999997</v>
      </c>
      <c r="AX57" s="1871">
        <f t="shared" si="11"/>
        <v>3293.7570000000001</v>
      </c>
      <c r="AY57" s="1871">
        <f t="shared" si="11"/>
        <v>776.24705800000004</v>
      </c>
      <c r="AZ57" s="1871">
        <f t="shared" si="11"/>
        <v>4870.5400000000009</v>
      </c>
      <c r="BA57" s="1871">
        <f t="shared" si="11"/>
        <v>414.98973500000005</v>
      </c>
      <c r="BB57" s="1871"/>
      <c r="BC57" s="1871"/>
      <c r="BD57" s="1871"/>
      <c r="BE57" s="1871"/>
      <c r="BF57" s="1871"/>
      <c r="BG57" s="1871"/>
      <c r="BH57" s="1871"/>
      <c r="BI57" s="1871"/>
      <c r="BJ57" s="1871"/>
      <c r="BK57" s="1871"/>
      <c r="BL57" s="1871"/>
      <c r="BM57" s="1871"/>
    </row>
    <row r="58" spans="1:65" hidden="1">
      <c r="A58" s="1854" t="s">
        <v>18</v>
      </c>
      <c r="B58" s="1857">
        <v>5025.7719999999999</v>
      </c>
      <c r="C58" s="1857"/>
      <c r="D58" s="1865">
        <v>2557</v>
      </c>
      <c r="E58" s="1865">
        <v>1348</v>
      </c>
      <c r="F58" s="1865">
        <v>693.5</v>
      </c>
      <c r="G58" s="1850">
        <v>427.27199999999999</v>
      </c>
      <c r="H58" s="1865">
        <v>4264.5129999999999</v>
      </c>
      <c r="I58" s="1865">
        <v>622.71491800000001</v>
      </c>
      <c r="J58" s="1857">
        <v>3251.7150000000001</v>
      </c>
      <c r="K58" s="1850">
        <v>494.86780900000002</v>
      </c>
      <c r="L58" s="1857">
        <v>18.436</v>
      </c>
      <c r="M58" s="1857">
        <v>37.220861999999997</v>
      </c>
      <c r="N58" s="1857">
        <v>52.5</v>
      </c>
      <c r="O58" s="1857">
        <v>13.716703000000001</v>
      </c>
      <c r="P58" s="1857">
        <v>575.42899999999997</v>
      </c>
      <c r="Q58" s="1865">
        <v>21.620916000000001</v>
      </c>
      <c r="R58" s="1865"/>
      <c r="S58" s="1865"/>
      <c r="T58" s="1865"/>
      <c r="U58" s="1865"/>
      <c r="V58" s="1865"/>
      <c r="W58" s="1865"/>
      <c r="X58" s="1850">
        <v>366.43299999999999</v>
      </c>
      <c r="Y58" s="1850">
        <v>55.288692599999997</v>
      </c>
      <c r="Z58" s="1850"/>
      <c r="AA58" s="1850"/>
      <c r="AB58" s="1850"/>
      <c r="AC58" s="1850"/>
      <c r="AD58" s="1857">
        <v>3762.8119999999999</v>
      </c>
      <c r="AE58" s="1857">
        <v>523.06359299999997</v>
      </c>
      <c r="AF58" s="1857">
        <v>3137.35</v>
      </c>
      <c r="AG58" s="1857">
        <v>469.64514100000002</v>
      </c>
      <c r="AH58" s="1857">
        <v>446.69600000000003</v>
      </c>
      <c r="AI58" s="1857">
        <v>38.392682999999998</v>
      </c>
      <c r="AJ58" s="1857"/>
      <c r="AK58" s="1857"/>
      <c r="AL58" s="1857"/>
      <c r="AM58" s="1857"/>
      <c r="AN58" s="1857"/>
      <c r="AO58" s="1857"/>
      <c r="AP58" s="1857"/>
      <c r="AQ58" s="1857"/>
      <c r="AR58" s="1857"/>
      <c r="AS58" s="1857"/>
      <c r="AT58" s="1857"/>
      <c r="AU58" s="1857"/>
      <c r="AV58" s="1857">
        <v>501.70100000000002</v>
      </c>
      <c r="AW58" s="1857">
        <v>99.651325</v>
      </c>
      <c r="AX58" s="1857">
        <v>166.86500000000001</v>
      </c>
      <c r="AY58" s="1857">
        <v>38.939371999999999</v>
      </c>
      <c r="AZ58" s="1857">
        <v>147.16900000000001</v>
      </c>
      <c r="BA58" s="1857">
        <v>20.449095</v>
      </c>
      <c r="BB58" s="1857"/>
      <c r="BC58" s="1857"/>
      <c r="BD58" s="1857"/>
      <c r="BE58" s="1857"/>
      <c r="BF58" s="1857"/>
      <c r="BG58" s="1857"/>
      <c r="BH58" s="1857"/>
      <c r="BI58" s="1857"/>
      <c r="BJ58" s="1857"/>
      <c r="BK58" s="1857"/>
      <c r="BL58" s="1857"/>
      <c r="BM58" s="1857"/>
    </row>
    <row r="59" spans="1:65" hidden="1">
      <c r="A59" s="1854" t="s">
        <v>19</v>
      </c>
      <c r="B59" s="1857">
        <v>5205.1660000000002</v>
      </c>
      <c r="C59" s="1857"/>
      <c r="D59" s="1865">
        <v>2563.174</v>
      </c>
      <c r="E59" s="1865">
        <v>1358.9169999999999</v>
      </c>
      <c r="F59" s="1865">
        <v>801.19100000000003</v>
      </c>
      <c r="G59" s="1850">
        <v>481.88400000000001</v>
      </c>
      <c r="H59" s="1865">
        <v>5335.7340000000004</v>
      </c>
      <c r="I59" s="1865">
        <v>819.62766599999998</v>
      </c>
      <c r="J59" s="1857">
        <v>4322.5749999999998</v>
      </c>
      <c r="K59" s="1850">
        <v>687.73810600000002</v>
      </c>
      <c r="L59" s="1857">
        <v>40.558999999999997</v>
      </c>
      <c r="M59" s="1857">
        <v>46.927861</v>
      </c>
      <c r="N59" s="1857">
        <v>60.774000000000001</v>
      </c>
      <c r="O59" s="1857">
        <v>16.678438</v>
      </c>
      <c r="P59" s="1857">
        <v>579.93600000000004</v>
      </c>
      <c r="Q59" s="1865">
        <v>21.887217</v>
      </c>
      <c r="R59" s="1865"/>
      <c r="S59" s="1865"/>
      <c r="T59" s="1865"/>
      <c r="U59" s="1865"/>
      <c r="V59" s="1865"/>
      <c r="W59" s="1865"/>
      <c r="X59" s="1850">
        <v>331.89</v>
      </c>
      <c r="Y59" s="1850">
        <v>46.396042999999999</v>
      </c>
      <c r="Z59" s="1850"/>
      <c r="AA59" s="1850"/>
      <c r="AB59" s="1850"/>
      <c r="AC59" s="1850"/>
      <c r="AD59" s="1857">
        <v>4841.3220000000001</v>
      </c>
      <c r="AE59" s="1857">
        <v>714.82638099999997</v>
      </c>
      <c r="AF59" s="1857">
        <v>4200.9380000000001</v>
      </c>
      <c r="AG59" s="1857">
        <v>656.52498400000002</v>
      </c>
      <c r="AH59" s="1857">
        <v>469.39800000000002</v>
      </c>
      <c r="AI59" s="1857">
        <v>45.714945</v>
      </c>
      <c r="AJ59" s="1857"/>
      <c r="AK59" s="1857"/>
      <c r="AL59" s="1857"/>
      <c r="AM59" s="1857"/>
      <c r="AN59" s="1857"/>
      <c r="AO59" s="1857"/>
      <c r="AP59" s="1857"/>
      <c r="AQ59" s="1857"/>
      <c r="AR59" s="1857"/>
      <c r="AS59" s="1857"/>
      <c r="AT59" s="1857"/>
      <c r="AU59" s="1857"/>
      <c r="AV59" s="1857">
        <v>494.41199999999998</v>
      </c>
      <c r="AW59" s="1857">
        <v>104.80128499999999</v>
      </c>
      <c r="AX59" s="1857">
        <v>182.411</v>
      </c>
      <c r="AY59" s="1857">
        <v>47.891559999999998</v>
      </c>
      <c r="AZ59" s="1857">
        <v>151.09700000000001</v>
      </c>
      <c r="BA59" s="1857">
        <v>23.100131999999999</v>
      </c>
      <c r="BB59" s="1857"/>
      <c r="BC59" s="1857"/>
      <c r="BD59" s="1857"/>
      <c r="BE59" s="1857"/>
      <c r="BF59" s="1857"/>
      <c r="BG59" s="1857"/>
      <c r="BH59" s="1857"/>
      <c r="BI59" s="1857"/>
      <c r="BJ59" s="1857"/>
      <c r="BK59" s="1857"/>
      <c r="BL59" s="1857"/>
      <c r="BM59" s="1857"/>
    </row>
    <row r="60" spans="1:65" hidden="1">
      <c r="A60" s="1854" t="s">
        <v>20</v>
      </c>
      <c r="B60" s="1857">
        <v>5174.8670000000002</v>
      </c>
      <c r="C60" s="1857"/>
      <c r="D60" s="1865">
        <v>2556.4430000000002</v>
      </c>
      <c r="E60" s="1865">
        <v>1346.896</v>
      </c>
      <c r="F60" s="1865">
        <v>746.83699999999999</v>
      </c>
      <c r="G60" s="1850">
        <v>524.69100000000003</v>
      </c>
      <c r="H60" s="1865">
        <v>5541.482</v>
      </c>
      <c r="I60" s="1865">
        <v>864.83740299999999</v>
      </c>
      <c r="J60" s="1857">
        <v>4493.7110000000002</v>
      </c>
      <c r="K60" s="1850">
        <v>712.928044</v>
      </c>
      <c r="L60" s="1857">
        <v>39.545999999999999</v>
      </c>
      <c r="M60" s="1857">
        <v>44.671734999999998</v>
      </c>
      <c r="N60" s="1857">
        <v>51.743000000000002</v>
      </c>
      <c r="O60" s="1857">
        <v>13.042884000000001</v>
      </c>
      <c r="P60" s="1857">
        <v>570.63800000000003</v>
      </c>
      <c r="Q60" s="1865">
        <v>24.586275000000001</v>
      </c>
      <c r="R60" s="1865"/>
      <c r="S60" s="1865"/>
      <c r="T60" s="1865"/>
      <c r="U60" s="1865"/>
      <c r="V60" s="1865"/>
      <c r="W60" s="1865"/>
      <c r="X60" s="1850">
        <v>385.84399999999999</v>
      </c>
      <c r="Y60" s="1850">
        <v>69.608463</v>
      </c>
      <c r="Z60" s="1850"/>
      <c r="AA60" s="1850"/>
      <c r="AB60" s="1850"/>
      <c r="AC60" s="1850"/>
      <c r="AD60" s="1857">
        <v>4950.4949999999999</v>
      </c>
      <c r="AE60" s="1857">
        <v>737.54371500000002</v>
      </c>
      <c r="AF60" s="1857">
        <v>4331.6139999999996</v>
      </c>
      <c r="AG60" s="1857">
        <v>674.87821099999996</v>
      </c>
      <c r="AH60" s="1857">
        <v>426.548</v>
      </c>
      <c r="AI60" s="1857">
        <v>43.338313999999997</v>
      </c>
      <c r="AJ60" s="1857"/>
      <c r="AK60" s="1857"/>
      <c r="AL60" s="1857"/>
      <c r="AM60" s="1857"/>
      <c r="AN60" s="1857"/>
      <c r="AO60" s="1857"/>
      <c r="AP60" s="1857"/>
      <c r="AQ60" s="1857"/>
      <c r="AR60" s="1857"/>
      <c r="AS60" s="1857"/>
      <c r="AT60" s="1857"/>
      <c r="AU60" s="1857"/>
      <c r="AV60" s="1857">
        <v>590.98699999999997</v>
      </c>
      <c r="AW60" s="1857">
        <v>127.29368700000001</v>
      </c>
      <c r="AX60" s="1857">
        <v>213.84</v>
      </c>
      <c r="AY60" s="1857">
        <v>51.092717</v>
      </c>
      <c r="AZ60" s="1857">
        <v>183.636</v>
      </c>
      <c r="BA60" s="1857">
        <v>25.919696999999999</v>
      </c>
      <c r="BB60" s="1857"/>
      <c r="BC60" s="1857"/>
      <c r="BD60" s="1857"/>
      <c r="BE60" s="1857"/>
      <c r="BF60" s="1857"/>
      <c r="BG60" s="1857"/>
      <c r="BH60" s="1857"/>
      <c r="BI60" s="1857"/>
      <c r="BJ60" s="1857"/>
      <c r="BK60" s="1857"/>
      <c r="BL60" s="1857"/>
      <c r="BM60" s="1857"/>
    </row>
    <row r="61" spans="1:65" hidden="1">
      <c r="A61" s="1854" t="s">
        <v>21</v>
      </c>
      <c r="B61" s="1857">
        <v>5270.2240000000002</v>
      </c>
      <c r="C61" s="1857"/>
      <c r="D61" s="1865">
        <v>2556.9119999999998</v>
      </c>
      <c r="E61" s="1865">
        <v>1381.001</v>
      </c>
      <c r="F61" s="1865">
        <v>680.87800000000004</v>
      </c>
      <c r="G61" s="1850">
        <v>651.43299999999999</v>
      </c>
      <c r="H61" s="1865">
        <v>5230.6180000000004</v>
      </c>
      <c r="I61" s="1865">
        <v>796.30200000000002</v>
      </c>
      <c r="J61" s="1857">
        <v>4020.509</v>
      </c>
      <c r="K61" s="1850">
        <v>638.57005000000004</v>
      </c>
      <c r="L61" s="1857">
        <v>25.602</v>
      </c>
      <c r="M61" s="1857">
        <v>46.122796999999998</v>
      </c>
      <c r="N61" s="1857">
        <v>49.972999999999999</v>
      </c>
      <c r="O61" s="1857">
        <v>13.458605</v>
      </c>
      <c r="P61" s="1857">
        <v>736.05700000000002</v>
      </c>
      <c r="Q61" s="1865">
        <v>27.672536000000001</v>
      </c>
      <c r="R61" s="1865"/>
      <c r="S61" s="1865"/>
      <c r="T61" s="1865"/>
      <c r="U61" s="1865"/>
      <c r="V61" s="1865"/>
      <c r="W61" s="1865"/>
      <c r="X61" s="1850">
        <v>398.47699999999998</v>
      </c>
      <c r="Y61" s="1850">
        <v>70.478123999999994</v>
      </c>
      <c r="Z61" s="1850"/>
      <c r="AA61" s="1850"/>
      <c r="AB61" s="1850"/>
      <c r="AC61" s="1850"/>
      <c r="AD61" s="1857">
        <v>4557.308</v>
      </c>
      <c r="AE61" s="1857">
        <v>654.14490699999999</v>
      </c>
      <c r="AF61" s="1857">
        <v>3845.4540000000002</v>
      </c>
      <c r="AG61" s="1857">
        <v>598.65804000000003</v>
      </c>
      <c r="AH61" s="1857">
        <v>510.51</v>
      </c>
      <c r="AI61" s="1857">
        <v>41.684600000000003</v>
      </c>
      <c r="AJ61" s="1857"/>
      <c r="AK61" s="1857"/>
      <c r="AL61" s="1857"/>
      <c r="AM61" s="1857"/>
      <c r="AN61" s="1857"/>
      <c r="AO61" s="1857"/>
      <c r="AP61" s="1857"/>
      <c r="AQ61" s="1857"/>
      <c r="AR61" s="1857"/>
      <c r="AS61" s="1857"/>
      <c r="AT61" s="1857"/>
      <c r="AU61" s="1857"/>
      <c r="AV61" s="1857">
        <v>673.31</v>
      </c>
      <c r="AW61" s="1857">
        <v>142.15720999999999</v>
      </c>
      <c r="AX61" s="1857">
        <v>225.02799999999999</v>
      </c>
      <c r="AY61" s="1857">
        <v>53.370618999999998</v>
      </c>
      <c r="AZ61" s="1857">
        <v>251.149</v>
      </c>
      <c r="BA61" s="1857">
        <v>32.110733000000003</v>
      </c>
      <c r="BB61" s="1857"/>
      <c r="BC61" s="1857"/>
      <c r="BD61" s="1857"/>
      <c r="BE61" s="1857"/>
      <c r="BF61" s="1857"/>
      <c r="BG61" s="1857"/>
      <c r="BH61" s="1857"/>
      <c r="BI61" s="1857"/>
      <c r="BJ61" s="1857"/>
      <c r="BK61" s="1857"/>
      <c r="BL61" s="1857"/>
      <c r="BM61" s="1857"/>
    </row>
    <row r="62" spans="1:65" hidden="1">
      <c r="A62" s="1854" t="s">
        <v>22</v>
      </c>
      <c r="B62" s="1857">
        <v>5240.8339999999998</v>
      </c>
      <c r="C62" s="1857"/>
      <c r="D62" s="1865">
        <v>2555.5770000000002</v>
      </c>
      <c r="E62" s="1865">
        <v>1380.4010000000001</v>
      </c>
      <c r="F62" s="1865">
        <v>711.42499999999995</v>
      </c>
      <c r="G62" s="1850">
        <v>593.43100000000004</v>
      </c>
      <c r="H62" s="1865">
        <v>5689.86</v>
      </c>
      <c r="I62" s="1865">
        <v>848.11787500000003</v>
      </c>
      <c r="J62" s="1857">
        <v>4332.5259999999998</v>
      </c>
      <c r="K62" s="1850">
        <v>691.01401799999996</v>
      </c>
      <c r="L62" s="1857">
        <v>24.344000000000001</v>
      </c>
      <c r="M62" s="1857">
        <v>47.025016999999998</v>
      </c>
      <c r="N62" s="1857">
        <v>52.762999999999998</v>
      </c>
      <c r="O62" s="1857">
        <v>17.706526</v>
      </c>
      <c r="P62" s="1857">
        <v>876.21500000000003</v>
      </c>
      <c r="Q62" s="1865">
        <v>36.211143999999997</v>
      </c>
      <c r="R62" s="1865"/>
      <c r="S62" s="1865"/>
      <c r="T62" s="1865"/>
      <c r="U62" s="1865"/>
      <c r="V62" s="1865"/>
      <c r="W62" s="1865"/>
      <c r="X62" s="1850">
        <v>402.02100000000002</v>
      </c>
      <c r="Y62" s="1850">
        <v>56.161168000000004</v>
      </c>
      <c r="Z62" s="1850"/>
      <c r="AA62" s="1850"/>
      <c r="AB62" s="1850"/>
      <c r="AC62" s="1850"/>
      <c r="AD62" s="1857">
        <v>4851.37</v>
      </c>
      <c r="AE62" s="1857">
        <v>699.36296300000004</v>
      </c>
      <c r="AF62" s="1857">
        <v>4117.8459999999995</v>
      </c>
      <c r="AG62" s="1857">
        <v>643.28921400000002</v>
      </c>
      <c r="AH62" s="1857">
        <v>524.30799999999999</v>
      </c>
      <c r="AI62" s="1857">
        <v>41.150613</v>
      </c>
      <c r="AJ62" s="1857"/>
      <c r="AK62" s="1857"/>
      <c r="AL62" s="1857"/>
      <c r="AM62" s="1857"/>
      <c r="AN62" s="1857"/>
      <c r="AO62" s="1857"/>
      <c r="AP62" s="1857"/>
      <c r="AQ62" s="1857"/>
      <c r="AR62" s="1857"/>
      <c r="AS62" s="1857"/>
      <c r="AT62" s="1857"/>
      <c r="AU62" s="1857"/>
      <c r="AV62" s="1857">
        <v>838.49</v>
      </c>
      <c r="AW62" s="1857">
        <v>148.75491099999999</v>
      </c>
      <c r="AX62" s="1857">
        <v>267.44299999999998</v>
      </c>
      <c r="AY62" s="1857">
        <v>65.431330000000003</v>
      </c>
      <c r="AZ62" s="1857">
        <v>378.25099999999998</v>
      </c>
      <c r="BA62" s="1857">
        <v>42.085546999999998</v>
      </c>
      <c r="BB62" s="1857"/>
      <c r="BC62" s="1857"/>
      <c r="BD62" s="1857"/>
      <c r="BE62" s="1857"/>
      <c r="BF62" s="1857"/>
      <c r="BG62" s="1857"/>
      <c r="BH62" s="1857"/>
      <c r="BI62" s="1857"/>
      <c r="BJ62" s="1857"/>
      <c r="BK62" s="1857"/>
      <c r="BL62" s="1857"/>
      <c r="BM62" s="1857"/>
    </row>
    <row r="63" spans="1:65" hidden="1">
      <c r="A63" s="1854" t="s">
        <v>23</v>
      </c>
      <c r="B63" s="1857">
        <v>5300.7629999999999</v>
      </c>
      <c r="C63" s="1857"/>
      <c r="D63" s="1865">
        <v>2554.1179999999999</v>
      </c>
      <c r="E63" s="1865">
        <v>1383.6369999999999</v>
      </c>
      <c r="F63" s="1865">
        <v>727.30799999999999</v>
      </c>
      <c r="G63" s="1850">
        <v>635.70000000000005</v>
      </c>
      <c r="H63" s="1865">
        <v>5094.01</v>
      </c>
      <c r="I63" s="1865">
        <v>772.75281099999995</v>
      </c>
      <c r="J63" s="1857">
        <v>3895.2530000000002</v>
      </c>
      <c r="K63" s="1850">
        <v>634.92416600000001</v>
      </c>
      <c r="L63" s="1857">
        <v>23.501999999999999</v>
      </c>
      <c r="M63" s="1857">
        <v>44.209269999999997</v>
      </c>
      <c r="N63" s="1857">
        <v>46.975000000000001</v>
      </c>
      <c r="O63" s="1857">
        <v>14.375405000000001</v>
      </c>
      <c r="P63" s="1857">
        <v>781.81700000000001</v>
      </c>
      <c r="Q63" s="1865">
        <v>33.002355000000001</v>
      </c>
      <c r="R63" s="1865"/>
      <c r="S63" s="1865"/>
      <c r="T63" s="1865"/>
      <c r="U63" s="1865"/>
      <c r="V63" s="1865"/>
      <c r="W63" s="1865"/>
      <c r="X63" s="1850">
        <v>346.46300000000002</v>
      </c>
      <c r="Y63" s="1850">
        <v>46.241613000000001</v>
      </c>
      <c r="Z63" s="1850"/>
      <c r="AA63" s="1850"/>
      <c r="AB63" s="1850"/>
      <c r="AC63" s="1850"/>
      <c r="AD63" s="1857">
        <v>4379.5349999999999</v>
      </c>
      <c r="AE63" s="1857">
        <v>649.13668500000006</v>
      </c>
      <c r="AF63" s="1857">
        <v>3699.8429999999998</v>
      </c>
      <c r="AG63" s="1857">
        <v>593.54223100000002</v>
      </c>
      <c r="AH63" s="1857">
        <v>486.125</v>
      </c>
      <c r="AI63" s="1857">
        <v>40.685842000000001</v>
      </c>
      <c r="AJ63" s="1857"/>
      <c r="AK63" s="1857"/>
      <c r="AL63" s="1857"/>
      <c r="AM63" s="1857"/>
      <c r="AN63" s="1857"/>
      <c r="AO63" s="1857"/>
      <c r="AP63" s="1857"/>
      <c r="AQ63" s="1857"/>
      <c r="AR63" s="1857"/>
      <c r="AS63" s="1857"/>
      <c r="AT63" s="1857"/>
      <c r="AU63" s="1857"/>
      <c r="AV63" s="1857">
        <v>714.47500000000002</v>
      </c>
      <c r="AW63" s="1857">
        <v>123.61612599999999</v>
      </c>
      <c r="AX63" s="1857">
        <v>242.38499999999999</v>
      </c>
      <c r="AY63" s="1857">
        <v>55.757339999999999</v>
      </c>
      <c r="AZ63" s="1857">
        <v>319.19400000000002</v>
      </c>
      <c r="BA63" s="1857">
        <v>36.525784000000002</v>
      </c>
      <c r="BB63" s="1857"/>
      <c r="BC63" s="1857"/>
      <c r="BD63" s="1857"/>
      <c r="BE63" s="1857"/>
      <c r="BF63" s="1857"/>
      <c r="BG63" s="1857"/>
      <c r="BH63" s="1857"/>
      <c r="BI63" s="1857"/>
      <c r="BJ63" s="1857"/>
      <c r="BK63" s="1857"/>
      <c r="BL63" s="1857"/>
      <c r="BM63" s="1857"/>
    </row>
    <row r="64" spans="1:65" hidden="1">
      <c r="A64" s="1854" t="s">
        <v>24</v>
      </c>
      <c r="B64" s="1857">
        <v>5374.902</v>
      </c>
      <c r="C64" s="1857"/>
      <c r="D64" s="1865">
        <v>2545.9740000000002</v>
      </c>
      <c r="E64" s="1865">
        <v>1389.3409999999999</v>
      </c>
      <c r="F64" s="1865">
        <v>753.82100000000003</v>
      </c>
      <c r="G64" s="1850">
        <v>685.75599999999997</v>
      </c>
      <c r="H64" s="1865">
        <v>5981.7449999999999</v>
      </c>
      <c r="I64" s="1865">
        <v>920.41632900000002</v>
      </c>
      <c r="J64" s="1857">
        <v>4396.3159999999998</v>
      </c>
      <c r="K64" s="1850">
        <v>755.11724300000003</v>
      </c>
      <c r="L64" s="1857">
        <v>24.469000000000001</v>
      </c>
      <c r="M64" s="1857">
        <v>54.326723999999999</v>
      </c>
      <c r="N64" s="1857">
        <v>54.606999999999999</v>
      </c>
      <c r="O64" s="1857">
        <v>16.160079</v>
      </c>
      <c r="P64" s="1857">
        <v>1066.2829999999999</v>
      </c>
      <c r="Q64" s="1865">
        <v>32.166069999999998</v>
      </c>
      <c r="R64" s="1865"/>
      <c r="S64" s="1865"/>
      <c r="T64" s="1865"/>
      <c r="U64" s="1865"/>
      <c r="V64" s="1865"/>
      <c r="W64" s="1865"/>
      <c r="X64" s="1850">
        <v>440.07</v>
      </c>
      <c r="Y64" s="1850">
        <v>62.646210000000004</v>
      </c>
      <c r="Z64" s="1850"/>
      <c r="AA64" s="1850"/>
      <c r="AB64" s="1850"/>
      <c r="AC64" s="1850"/>
      <c r="AD64" s="1857">
        <v>4977.5</v>
      </c>
      <c r="AE64" s="1857">
        <v>772.35737300000005</v>
      </c>
      <c r="AF64" s="1857">
        <v>4151.4709999999995</v>
      </c>
      <c r="AG64" s="1857">
        <v>701.30616799999996</v>
      </c>
      <c r="AH64" s="1857">
        <v>589.30499999999995</v>
      </c>
      <c r="AI64" s="1857">
        <v>51.181260999999999</v>
      </c>
      <c r="AJ64" s="1857"/>
      <c r="AK64" s="1857"/>
      <c r="AL64" s="1857"/>
      <c r="AM64" s="1857"/>
      <c r="AN64" s="1857"/>
      <c r="AO64" s="1857"/>
      <c r="AP64" s="1857"/>
      <c r="AQ64" s="1857"/>
      <c r="AR64" s="1857"/>
      <c r="AS64" s="1857"/>
      <c r="AT64" s="1857"/>
      <c r="AU64" s="1857"/>
      <c r="AV64" s="1857">
        <v>1004.245</v>
      </c>
      <c r="AW64" s="1857">
        <v>148.058955</v>
      </c>
      <c r="AX64" s="1857">
        <v>299.452</v>
      </c>
      <c r="AY64" s="1857">
        <v>69.971153999999999</v>
      </c>
      <c r="AZ64" s="1857">
        <v>501.447</v>
      </c>
      <c r="BA64" s="1857">
        <v>35.311534000000002</v>
      </c>
      <c r="BB64" s="1857"/>
      <c r="BC64" s="1857"/>
      <c r="BD64" s="1857"/>
      <c r="BE64" s="1857"/>
      <c r="BF64" s="1857"/>
      <c r="BG64" s="1857"/>
      <c r="BH64" s="1857"/>
      <c r="BI64" s="1857"/>
      <c r="BJ64" s="1857"/>
      <c r="BK64" s="1857"/>
      <c r="BL64" s="1857"/>
      <c r="BM64" s="1857"/>
    </row>
    <row r="65" spans="1:65" hidden="1">
      <c r="A65" s="1854" t="s">
        <v>25</v>
      </c>
      <c r="B65" s="1857">
        <v>5331.0360000000001</v>
      </c>
      <c r="C65" s="1857"/>
      <c r="D65" s="1865">
        <v>2428.7190000000001</v>
      </c>
      <c r="E65" s="1865">
        <v>1388.473</v>
      </c>
      <c r="F65" s="1865">
        <v>793.97699999999998</v>
      </c>
      <c r="G65" s="1850">
        <v>719.86699999999996</v>
      </c>
      <c r="H65" s="1865">
        <v>5745.9189999999999</v>
      </c>
      <c r="I65" s="1865">
        <v>844.87986899999999</v>
      </c>
      <c r="J65" s="1857">
        <v>4232.8760000000002</v>
      </c>
      <c r="K65" s="1850">
        <v>682.03125899999998</v>
      </c>
      <c r="L65" s="1857">
        <v>22.024000000000001</v>
      </c>
      <c r="M65" s="1857">
        <v>48.519308000000002</v>
      </c>
      <c r="N65" s="1857">
        <v>46.759</v>
      </c>
      <c r="O65" s="1857">
        <v>14.897868000000001</v>
      </c>
      <c r="P65" s="1857">
        <v>1003.278</v>
      </c>
      <c r="Q65" s="1865">
        <v>30.222178</v>
      </c>
      <c r="R65" s="1865"/>
      <c r="S65" s="1865"/>
      <c r="T65" s="1865"/>
      <c r="U65" s="1865"/>
      <c r="V65" s="1865"/>
      <c r="W65" s="1865"/>
      <c r="X65" s="1850">
        <v>440.98200000000003</v>
      </c>
      <c r="Y65" s="1850">
        <v>69.209254000000001</v>
      </c>
      <c r="Z65" s="1850"/>
      <c r="AA65" s="1850"/>
      <c r="AB65" s="1850"/>
      <c r="AC65" s="1850"/>
      <c r="AD65" s="1857">
        <v>4779.41</v>
      </c>
      <c r="AE65" s="1857">
        <v>701.60636499999998</v>
      </c>
      <c r="AF65" s="1857">
        <v>4016.6550000000002</v>
      </c>
      <c r="AG65" s="1857">
        <v>636.50743</v>
      </c>
      <c r="AH65" s="1857">
        <v>529.66999999999996</v>
      </c>
      <c r="AI65" s="1857">
        <v>44.929417000000001</v>
      </c>
      <c r="AJ65" s="1857"/>
      <c r="AK65" s="1857"/>
      <c r="AL65" s="1857"/>
      <c r="AM65" s="1857"/>
      <c r="AN65" s="1857"/>
      <c r="AO65" s="1857"/>
      <c r="AP65" s="1857"/>
      <c r="AQ65" s="1857"/>
      <c r="AR65" s="1857"/>
      <c r="AS65" s="1857"/>
      <c r="AT65" s="1857"/>
      <c r="AU65" s="1857"/>
      <c r="AV65" s="1857">
        <v>966.50900000000001</v>
      </c>
      <c r="AW65" s="1857">
        <v>143.27350300000001</v>
      </c>
      <c r="AX65" s="1857">
        <v>262.98</v>
      </c>
      <c r="AY65" s="1857">
        <v>60.421697000000002</v>
      </c>
      <c r="AZ65" s="1857">
        <v>495.63200000000001</v>
      </c>
      <c r="BA65" s="1857">
        <v>33.812069000000001</v>
      </c>
      <c r="BB65" s="1857"/>
      <c r="BC65" s="1857"/>
      <c r="BD65" s="1857"/>
      <c r="BE65" s="1857"/>
      <c r="BF65" s="1857"/>
      <c r="BG65" s="1857"/>
      <c r="BH65" s="1857"/>
      <c r="BI65" s="1857"/>
      <c r="BJ65" s="1857"/>
      <c r="BK65" s="1857"/>
      <c r="BL65" s="1857"/>
      <c r="BM65" s="1857"/>
    </row>
    <row r="66" spans="1:65" hidden="1">
      <c r="A66" s="1854" t="s">
        <v>26</v>
      </c>
      <c r="B66" s="1857">
        <v>5346.7740000000003</v>
      </c>
      <c r="C66" s="1857"/>
      <c r="D66" s="1865">
        <v>2367.8359999999998</v>
      </c>
      <c r="E66" s="1865">
        <v>1410.7449999999999</v>
      </c>
      <c r="F66" s="1865">
        <v>799.88300000000004</v>
      </c>
      <c r="G66" s="1850">
        <v>768.31</v>
      </c>
      <c r="H66" s="1865">
        <v>5617.5649999999996</v>
      </c>
      <c r="I66" s="1865">
        <v>832.99279000000001</v>
      </c>
      <c r="J66" s="1857">
        <v>4135.3530000000001</v>
      </c>
      <c r="K66" s="1850">
        <v>673.57920200000001</v>
      </c>
      <c r="L66" s="1857">
        <v>21.292000000000002</v>
      </c>
      <c r="M66" s="1857">
        <v>47.34064</v>
      </c>
      <c r="N66" s="1857">
        <v>46.615000000000002</v>
      </c>
      <c r="O66" s="1857">
        <v>18.371998000000001</v>
      </c>
      <c r="P66" s="1857">
        <v>1004.782</v>
      </c>
      <c r="Q66" s="1865">
        <v>33.289437</v>
      </c>
      <c r="R66" s="1865"/>
      <c r="S66" s="1865"/>
      <c r="T66" s="1865"/>
      <c r="U66" s="1865"/>
      <c r="V66" s="1865"/>
      <c r="W66" s="1865"/>
      <c r="X66" s="1850">
        <v>409.52300000000002</v>
      </c>
      <c r="Y66" s="1850">
        <v>60.411512000000002</v>
      </c>
      <c r="Z66" s="1850"/>
      <c r="AA66" s="1850"/>
      <c r="AB66" s="1850"/>
      <c r="AC66" s="1850"/>
      <c r="AD66" s="1857">
        <v>4589.6970000000001</v>
      </c>
      <c r="AE66" s="1857">
        <v>682.06382599999995</v>
      </c>
      <c r="AF66" s="1857">
        <v>3864.402</v>
      </c>
      <c r="AG66" s="1857">
        <v>616.71338300000002</v>
      </c>
      <c r="AH66" s="1857">
        <v>498.87599999999998</v>
      </c>
      <c r="AI66" s="1857">
        <v>44.232174000000001</v>
      </c>
      <c r="AJ66" s="1857"/>
      <c r="AK66" s="1857"/>
      <c r="AL66" s="1857"/>
      <c r="AM66" s="1857"/>
      <c r="AN66" s="1857"/>
      <c r="AO66" s="1857"/>
      <c r="AP66" s="1857"/>
      <c r="AQ66" s="1857"/>
      <c r="AR66" s="1857"/>
      <c r="AS66" s="1857"/>
      <c r="AT66" s="1857"/>
      <c r="AU66" s="1857"/>
      <c r="AV66" s="1857">
        <v>1027.8679999999999</v>
      </c>
      <c r="AW66" s="1857">
        <v>150.92896400000001</v>
      </c>
      <c r="AX66" s="1857">
        <v>317.56599999999997</v>
      </c>
      <c r="AY66" s="1857">
        <v>75.237817000000007</v>
      </c>
      <c r="AZ66" s="1857">
        <v>527</v>
      </c>
      <c r="BA66" s="1857">
        <v>36.396999999999998</v>
      </c>
      <c r="BB66" s="1857"/>
      <c r="BC66" s="1857"/>
      <c r="BD66" s="1857"/>
      <c r="BE66" s="1857"/>
      <c r="BF66" s="1857"/>
      <c r="BG66" s="1857"/>
      <c r="BH66" s="1857"/>
      <c r="BI66" s="1857"/>
      <c r="BJ66" s="1857"/>
      <c r="BK66" s="1857"/>
      <c r="BL66" s="1857"/>
      <c r="BM66" s="1857"/>
    </row>
    <row r="67" spans="1:65" hidden="1">
      <c r="A67" s="1854" t="s">
        <v>27</v>
      </c>
      <c r="B67" s="1857">
        <v>5362.835</v>
      </c>
      <c r="C67" s="1857"/>
      <c r="D67" s="1865">
        <v>2403.5369999999998</v>
      </c>
      <c r="E67" s="1865">
        <v>1421.64</v>
      </c>
      <c r="F67" s="1865">
        <v>738.90099999999995</v>
      </c>
      <c r="G67" s="1850">
        <v>798.70699999999999</v>
      </c>
      <c r="H67" s="1865">
        <v>6101.152</v>
      </c>
      <c r="I67" s="1865">
        <v>901.20827799999995</v>
      </c>
      <c r="J67" s="1857">
        <v>4418.9250000000002</v>
      </c>
      <c r="K67" s="1850">
        <v>733.78445399999998</v>
      </c>
      <c r="L67" s="1857">
        <v>24.603999999999999</v>
      </c>
      <c r="M67" s="1857">
        <v>50.368462000000001</v>
      </c>
      <c r="N67" s="1857">
        <v>50.399000000000001</v>
      </c>
      <c r="O67" s="1857">
        <v>19.121523</v>
      </c>
      <c r="P67" s="1857">
        <v>1142.8579999999999</v>
      </c>
      <c r="Q67" s="1865">
        <v>37.986564999999999</v>
      </c>
      <c r="R67" s="1865"/>
      <c r="S67" s="1865"/>
      <c r="T67" s="1865"/>
      <c r="U67" s="1865"/>
      <c r="V67" s="1865"/>
      <c r="W67" s="1865"/>
      <c r="X67" s="1850">
        <v>464.36599999999999</v>
      </c>
      <c r="Y67" s="1850">
        <v>60.019272000000001</v>
      </c>
      <c r="Z67" s="1850"/>
      <c r="AA67" s="1850"/>
      <c r="AB67" s="1850"/>
      <c r="AC67" s="1850"/>
      <c r="AD67" s="1857">
        <v>4963.7</v>
      </c>
      <c r="AE67" s="1857">
        <v>740.93455500000005</v>
      </c>
      <c r="AF67" s="1857">
        <v>4128.567</v>
      </c>
      <c r="AG67" s="1857">
        <v>672.95449199999996</v>
      </c>
      <c r="AH67" s="1857">
        <v>579.41399999999999</v>
      </c>
      <c r="AI67" s="1857">
        <v>49.031638000000001</v>
      </c>
      <c r="AJ67" s="1857"/>
      <c r="AK67" s="1857"/>
      <c r="AL67" s="1857"/>
      <c r="AM67" s="1857"/>
      <c r="AN67" s="1857"/>
      <c r="AO67" s="1857"/>
      <c r="AP67" s="1857"/>
      <c r="AQ67" s="1857"/>
      <c r="AR67" s="1857"/>
      <c r="AS67" s="1857"/>
      <c r="AT67" s="1857"/>
      <c r="AU67" s="1857"/>
      <c r="AV67" s="1857">
        <v>1137.452</v>
      </c>
      <c r="AW67" s="1857">
        <v>160.34572299999999</v>
      </c>
      <c r="AX67" s="1857">
        <v>340.75700000000001</v>
      </c>
      <c r="AY67" s="1857">
        <v>79.951483999999994</v>
      </c>
      <c r="AZ67" s="1857">
        <v>588.048</v>
      </c>
      <c r="BA67" s="1857">
        <v>39.323388999999999</v>
      </c>
      <c r="BB67" s="1857"/>
      <c r="BC67" s="1857"/>
      <c r="BD67" s="1857"/>
      <c r="BE67" s="1857"/>
      <c r="BF67" s="1857"/>
      <c r="BG67" s="1857"/>
      <c r="BH67" s="1857"/>
      <c r="BI67" s="1857"/>
      <c r="BJ67" s="1857"/>
      <c r="BK67" s="1857"/>
      <c r="BL67" s="1857"/>
      <c r="BM67" s="1857"/>
    </row>
    <row r="68" spans="1:65" hidden="1">
      <c r="A68" s="1854" t="s">
        <v>28</v>
      </c>
      <c r="B68" s="1857">
        <v>5515.0029999999997</v>
      </c>
      <c r="C68" s="1857"/>
      <c r="D68" s="1865">
        <v>2472.6729999999998</v>
      </c>
      <c r="E68" s="1865">
        <v>1430.798</v>
      </c>
      <c r="F68" s="1865">
        <v>748.74300000000005</v>
      </c>
      <c r="G68" s="1850">
        <v>862.78899999999999</v>
      </c>
      <c r="H68" s="1865">
        <v>6011.5640000000003</v>
      </c>
      <c r="I68" s="1865">
        <v>923.412283</v>
      </c>
      <c r="J68" s="1857">
        <v>4323.6790000000001</v>
      </c>
      <c r="K68" s="1850">
        <v>729.64671799999996</v>
      </c>
      <c r="L68" s="1857">
        <v>22.957000000000001</v>
      </c>
      <c r="M68" s="1857">
        <v>56.267467000000003</v>
      </c>
      <c r="N68" s="1857">
        <v>49.640999999999998</v>
      </c>
      <c r="O68" s="1857">
        <v>19.854140000000001</v>
      </c>
      <c r="P68" s="1857">
        <v>1142.2570000000001</v>
      </c>
      <c r="Q68" s="1865">
        <v>36.689835000000002</v>
      </c>
      <c r="R68" s="1865"/>
      <c r="S68" s="1865"/>
      <c r="T68" s="1865"/>
      <c r="U68" s="1865"/>
      <c r="V68" s="1865"/>
      <c r="W68" s="1865"/>
      <c r="X68" s="1850">
        <v>473.03</v>
      </c>
      <c r="Y68" s="1850">
        <v>80.954121000000001</v>
      </c>
      <c r="Z68" s="1850"/>
      <c r="AA68" s="1850"/>
      <c r="AB68" s="1850"/>
      <c r="AC68" s="1850"/>
      <c r="AD68" s="1857">
        <v>4856.9080000000004</v>
      </c>
      <c r="AE68" s="1857">
        <v>743.48459500000001</v>
      </c>
      <c r="AF68" s="1857">
        <v>4034.567</v>
      </c>
      <c r="AG68" s="1857">
        <v>671.52391</v>
      </c>
      <c r="AH68" s="1857">
        <v>561.78499999999997</v>
      </c>
      <c r="AI68" s="1857">
        <v>52.575800999999998</v>
      </c>
      <c r="AJ68" s="1857"/>
      <c r="AK68" s="1857"/>
      <c r="AL68" s="1857"/>
      <c r="AM68" s="1857"/>
      <c r="AN68" s="1857"/>
      <c r="AO68" s="1857"/>
      <c r="AP68" s="1857"/>
      <c r="AQ68" s="1857"/>
      <c r="AR68" s="1857"/>
      <c r="AS68" s="1857"/>
      <c r="AT68" s="1857"/>
      <c r="AU68" s="1857"/>
      <c r="AV68" s="1857">
        <v>1154.6559999999999</v>
      </c>
      <c r="AW68" s="1857">
        <v>179.92768799999999</v>
      </c>
      <c r="AX68" s="1857">
        <v>338.75299999999999</v>
      </c>
      <c r="AY68" s="1857">
        <v>77.976949000000005</v>
      </c>
      <c r="AZ68" s="1857">
        <v>603.42899999999997</v>
      </c>
      <c r="BA68" s="1857">
        <v>40.381501</v>
      </c>
      <c r="BB68" s="1857"/>
      <c r="BC68" s="1857"/>
      <c r="BD68" s="1857"/>
      <c r="BE68" s="1857"/>
      <c r="BF68" s="1857"/>
      <c r="BG68" s="1857"/>
      <c r="BH68" s="1857"/>
      <c r="BI68" s="1857"/>
      <c r="BJ68" s="1857"/>
      <c r="BK68" s="1857"/>
      <c r="BL68" s="1857"/>
      <c r="BM68" s="1857"/>
    </row>
    <row r="69" spans="1:65" hidden="1">
      <c r="A69" s="1854" t="s">
        <v>29</v>
      </c>
      <c r="B69" s="1857">
        <v>5672.6170000000002</v>
      </c>
      <c r="C69" s="1857"/>
      <c r="D69" s="1865">
        <v>2504.9650000000001</v>
      </c>
      <c r="E69" s="1865">
        <v>1437.0409999999999</v>
      </c>
      <c r="F69" s="1865">
        <v>788.15499999999997</v>
      </c>
      <c r="G69" s="1850">
        <v>942.45600000000002</v>
      </c>
      <c r="H69" s="1865">
        <v>7195.933</v>
      </c>
      <c r="I69" s="1865">
        <v>1149.415</v>
      </c>
      <c r="J69" s="1857">
        <v>5184.5990000000002</v>
      </c>
      <c r="K69" s="1850">
        <v>936.98599999999999</v>
      </c>
      <c r="L69" s="1857">
        <v>30.786000000000001</v>
      </c>
      <c r="M69" s="1857">
        <v>70.715999999999994</v>
      </c>
      <c r="N69" s="1857">
        <v>65.399000000000001</v>
      </c>
      <c r="O69" s="1857">
        <v>18.360609</v>
      </c>
      <c r="P69" s="1857">
        <v>1400</v>
      </c>
      <c r="Q69" s="1865">
        <v>47.439</v>
      </c>
      <c r="R69" s="1865"/>
      <c r="S69" s="1865"/>
      <c r="T69" s="1865"/>
      <c r="U69" s="1865"/>
      <c r="V69" s="1865"/>
      <c r="W69" s="1865"/>
      <c r="X69" s="1850">
        <v>515.06100000000004</v>
      </c>
      <c r="Y69" s="1850">
        <v>74.972999999999999</v>
      </c>
      <c r="Z69" s="1850"/>
      <c r="AA69" s="1850"/>
      <c r="AB69" s="1850"/>
      <c r="AC69" s="1850"/>
      <c r="AD69" s="1857">
        <v>5815.7640000000001</v>
      </c>
      <c r="AE69" s="1857">
        <v>946.33968900000002</v>
      </c>
      <c r="AF69" s="1857">
        <v>4813.7209999999995</v>
      </c>
      <c r="AG69" s="1857">
        <v>856.08042499999999</v>
      </c>
      <c r="AH69" s="1857">
        <v>706.44600000000003</v>
      </c>
      <c r="AI69" s="1857">
        <v>68.583387000000002</v>
      </c>
      <c r="AJ69" s="1857"/>
      <c r="AK69" s="1857"/>
      <c r="AL69" s="1857"/>
      <c r="AM69" s="1857"/>
      <c r="AN69" s="1857"/>
      <c r="AO69" s="1857"/>
      <c r="AP69" s="1857"/>
      <c r="AQ69" s="1857"/>
      <c r="AR69" s="1857"/>
      <c r="AS69" s="1857"/>
      <c r="AT69" s="1857"/>
      <c r="AU69" s="1857"/>
      <c r="AV69" s="1857">
        <v>1380.229</v>
      </c>
      <c r="AW69" s="1857">
        <v>203.07558800000001</v>
      </c>
      <c r="AX69" s="1857">
        <v>436.27699999999999</v>
      </c>
      <c r="AY69" s="1857">
        <v>100.20501899999999</v>
      </c>
      <c r="AZ69" s="1857">
        <v>724.48800000000006</v>
      </c>
      <c r="BA69" s="1857">
        <v>49.573253999999999</v>
      </c>
      <c r="BB69" s="1857"/>
      <c r="BC69" s="1857"/>
      <c r="BD69" s="1857"/>
      <c r="BE69" s="1857"/>
      <c r="BF69" s="1857"/>
      <c r="BG69" s="1857"/>
      <c r="BH69" s="1857"/>
      <c r="BI69" s="1857"/>
      <c r="BJ69" s="1857"/>
      <c r="BK69" s="1857"/>
      <c r="BL69" s="1857"/>
      <c r="BM69" s="1857"/>
    </row>
    <row r="70" spans="1:65">
      <c r="A70" s="1872">
        <v>2014</v>
      </c>
      <c r="B70" s="1871">
        <v>5965.2070000000003</v>
      </c>
      <c r="C70" s="1871"/>
      <c r="D70" s="1866">
        <v>2426.3000000000002</v>
      </c>
      <c r="E70" s="1866">
        <v>1443.6769999999999</v>
      </c>
      <c r="F70" s="1866">
        <v>793.53200000000004</v>
      </c>
      <c r="G70" s="1859">
        <v>1301.6980000000001</v>
      </c>
      <c r="H70" s="1871">
        <f t="shared" ref="H70:Q70" si="12">SUM(H71:H82)</f>
        <v>79228.133000000002</v>
      </c>
      <c r="I70" s="1871">
        <f t="shared" si="12"/>
        <v>11870.469365000001</v>
      </c>
      <c r="J70" s="1871">
        <f t="shared" si="12"/>
        <v>54452.952000000005</v>
      </c>
      <c r="K70" s="1871">
        <f t="shared" si="12"/>
        <v>9566.2038940000002</v>
      </c>
      <c r="L70" s="1871">
        <f t="shared" si="12"/>
        <v>309.55900000000003</v>
      </c>
      <c r="M70" s="1871">
        <f t="shared" si="12"/>
        <v>727.02784700000007</v>
      </c>
      <c r="N70" s="1871">
        <f t="shared" si="12"/>
        <v>591.43900000000008</v>
      </c>
      <c r="O70" s="1871">
        <f t="shared" si="12"/>
        <v>249.74949900000001</v>
      </c>
      <c r="P70" s="1871">
        <f t="shared" si="12"/>
        <v>10399.359999999999</v>
      </c>
      <c r="Q70" s="1871">
        <f t="shared" si="12"/>
        <v>395.57607999999999</v>
      </c>
      <c r="R70" s="1871"/>
      <c r="S70" s="1334"/>
      <c r="T70" s="1871">
        <v>7639</v>
      </c>
      <c r="U70" s="1871">
        <v>151</v>
      </c>
      <c r="V70" s="1871"/>
      <c r="W70" s="1871"/>
      <c r="X70" s="1871">
        <f>SUM(X71:X82)</f>
        <v>6255.9063999999998</v>
      </c>
      <c r="Y70" s="1871">
        <f>SUM(Y71:Y82)</f>
        <v>784.08735200000001</v>
      </c>
      <c r="Z70" s="1871"/>
      <c r="AA70" s="1871"/>
      <c r="AB70" s="1871"/>
      <c r="AC70" s="1871"/>
      <c r="AD70" s="1871">
        <f t="shared" ref="AD70:AI70" si="13">SUM(AD71:AD82)</f>
        <v>62011.4</v>
      </c>
      <c r="AE70" s="1871">
        <f t="shared" si="13"/>
        <v>9523.5500710000015</v>
      </c>
      <c r="AF70" s="1871">
        <f t="shared" si="13"/>
        <v>49539.234000000004</v>
      </c>
      <c r="AG70" s="1871">
        <f t="shared" si="13"/>
        <v>8561.6427029999995</v>
      </c>
      <c r="AH70" s="1871">
        <f t="shared" si="13"/>
        <v>3501.3059999999991</v>
      </c>
      <c r="AI70" s="1871">
        <f t="shared" si="13"/>
        <v>611.69937099999993</v>
      </c>
      <c r="AJ70" s="1871"/>
      <c r="AK70" s="1871"/>
      <c r="AL70" s="1871">
        <v>5584</v>
      </c>
      <c r="AM70" s="1871">
        <v>79</v>
      </c>
      <c r="AN70" s="1871"/>
      <c r="AO70" s="1871"/>
      <c r="AP70" s="1871">
        <v>3531.259</v>
      </c>
      <c r="AQ70" s="1871">
        <v>275.13348300000001</v>
      </c>
      <c r="AR70" s="1871"/>
      <c r="AS70" s="1871"/>
      <c r="AT70" s="1871"/>
      <c r="AU70" s="1871"/>
      <c r="AV70" s="1871">
        <f t="shared" ref="AV70:BA70" si="14">SUM(AV71:AV82)</f>
        <v>17216.718000000001</v>
      </c>
      <c r="AW70" s="1871">
        <f t="shared" si="14"/>
        <v>2346.9042710000003</v>
      </c>
      <c r="AX70" s="1871">
        <f t="shared" si="14"/>
        <v>5505.7739999999994</v>
      </c>
      <c r="AY70" s="1871">
        <f t="shared" si="14"/>
        <v>1254.3110570000001</v>
      </c>
      <c r="AZ70" s="1871">
        <f t="shared" si="14"/>
        <v>7202.6130000000003</v>
      </c>
      <c r="BA70" s="1871">
        <f t="shared" si="14"/>
        <v>510.908345</v>
      </c>
      <c r="BB70" s="1871"/>
      <c r="BC70" s="1871"/>
      <c r="BD70" s="1871">
        <v>2055</v>
      </c>
      <c r="BE70" s="1871">
        <v>73</v>
      </c>
      <c r="BF70" s="1871"/>
      <c r="BG70" s="1871"/>
      <c r="BH70" s="1871">
        <v>2728.692</v>
      </c>
      <c r="BI70" s="1871">
        <v>511.182952</v>
      </c>
      <c r="BJ70" s="1871"/>
      <c r="BK70" s="1871"/>
      <c r="BL70" s="1871"/>
      <c r="BM70" s="1871"/>
    </row>
    <row r="71" spans="1:65" hidden="1">
      <c r="A71" s="1854" t="s">
        <v>18</v>
      </c>
      <c r="B71" s="1857">
        <v>5752.3389999999999</v>
      </c>
      <c r="C71" s="1857"/>
      <c r="D71" s="1865">
        <v>2533.7620000000002</v>
      </c>
      <c r="E71" s="1865">
        <v>1431.9939999999999</v>
      </c>
      <c r="F71" s="1865">
        <v>819.29200000000003</v>
      </c>
      <c r="G71" s="1850">
        <v>967.29100000000005</v>
      </c>
      <c r="H71" s="1865">
        <v>5533.8450000000003</v>
      </c>
      <c r="I71" s="1865">
        <v>777.78954499999998</v>
      </c>
      <c r="J71" s="1857">
        <v>3695.9560000000001</v>
      </c>
      <c r="K71" s="1850">
        <v>610.03151700000001</v>
      </c>
      <c r="L71" s="1857">
        <v>22.62</v>
      </c>
      <c r="M71" s="1857">
        <v>42.971169000000003</v>
      </c>
      <c r="N71" s="1857">
        <v>48.238</v>
      </c>
      <c r="O71" s="1857">
        <v>16.713816999999999</v>
      </c>
      <c r="P71" s="1857">
        <v>1216.3140000000001</v>
      </c>
      <c r="Q71" s="1865">
        <v>38.103057999999997</v>
      </c>
      <c r="R71" s="1865"/>
      <c r="S71" s="1335"/>
      <c r="T71" s="1865"/>
      <c r="U71" s="1865"/>
      <c r="V71" s="1871"/>
      <c r="W71" s="1871"/>
      <c r="X71" s="1850">
        <v>505.71699999999998</v>
      </c>
      <c r="Y71" s="1850">
        <v>69.969982999999999</v>
      </c>
      <c r="Z71" s="1850"/>
      <c r="AA71" s="1850"/>
      <c r="AB71" s="1850"/>
      <c r="AC71" s="1850"/>
      <c r="AD71" s="1857">
        <v>4281.6260000000002</v>
      </c>
      <c r="AE71" s="1857">
        <v>610.313671</v>
      </c>
      <c r="AF71" s="1857">
        <v>3389.62</v>
      </c>
      <c r="AG71" s="1857">
        <v>548.63338699999997</v>
      </c>
      <c r="AH71" s="1857">
        <v>613.59</v>
      </c>
      <c r="AI71" s="1857">
        <v>41.291817000000002</v>
      </c>
      <c r="AJ71" s="1857"/>
      <c r="AK71" s="1857"/>
      <c r="AL71" s="1857"/>
      <c r="AM71" s="1857"/>
      <c r="AN71" s="1857"/>
      <c r="AO71" s="1857"/>
      <c r="AP71" s="1857"/>
      <c r="AQ71" s="1857"/>
      <c r="AR71" s="1857"/>
      <c r="AS71" s="1857"/>
      <c r="AT71" s="1857"/>
      <c r="AU71" s="1857"/>
      <c r="AV71" s="1857">
        <v>1252.2190000000001</v>
      </c>
      <c r="AW71" s="1857">
        <v>167.475874</v>
      </c>
      <c r="AX71" s="1857">
        <v>354.57400000000001</v>
      </c>
      <c r="AY71" s="1857">
        <v>78.111947000000001</v>
      </c>
      <c r="AZ71" s="1857">
        <v>670.34400000000005</v>
      </c>
      <c r="BA71" s="1857">
        <v>39.782411000000003</v>
      </c>
      <c r="BB71" s="1857"/>
      <c r="BC71" s="1857"/>
      <c r="BD71" s="1857"/>
      <c r="BE71" s="1857"/>
      <c r="BF71" s="1857"/>
      <c r="BG71" s="1857"/>
      <c r="BH71" s="1857"/>
      <c r="BI71" s="1857"/>
      <c r="BJ71" s="1857"/>
      <c r="BK71" s="1857"/>
      <c r="BL71" s="1857"/>
      <c r="BM71" s="1857"/>
    </row>
    <row r="72" spans="1:65" hidden="1">
      <c r="A72" s="1854" t="s">
        <v>19</v>
      </c>
      <c r="B72" s="1857">
        <v>5808.0280000000002</v>
      </c>
      <c r="C72" s="1857"/>
      <c r="D72" s="1865">
        <v>2550.8980000000001</v>
      </c>
      <c r="E72" s="1865">
        <v>1417.3710000000001</v>
      </c>
      <c r="F72" s="1865">
        <v>832.73299999999995</v>
      </c>
      <c r="G72" s="1850">
        <v>1007.026</v>
      </c>
      <c r="H72" s="1865">
        <v>6206.2579999999998</v>
      </c>
      <c r="I72" s="1865">
        <v>941.40361199999995</v>
      </c>
      <c r="J72" s="1857">
        <v>4373.9369999999999</v>
      </c>
      <c r="K72" s="1850">
        <v>764.04607499999997</v>
      </c>
      <c r="L72" s="1857">
        <v>27.242000000000001</v>
      </c>
      <c r="M72" s="1857">
        <v>54.947603999999998</v>
      </c>
      <c r="N72" s="1857">
        <v>50.643999999999998</v>
      </c>
      <c r="O72" s="1857">
        <v>17.764603000000001</v>
      </c>
      <c r="P72" s="1857">
        <v>773.81</v>
      </c>
      <c r="Q72" s="1865">
        <v>27.783197000000001</v>
      </c>
      <c r="R72" s="1865"/>
      <c r="S72" s="1335"/>
      <c r="T72" s="1865"/>
      <c r="U72" s="1865"/>
      <c r="V72" s="1871"/>
      <c r="W72" s="1871"/>
      <c r="X72" s="1850">
        <v>445.23899999999998</v>
      </c>
      <c r="Y72" s="1850">
        <v>66.289141999999998</v>
      </c>
      <c r="Z72" s="1850"/>
      <c r="AA72" s="1850"/>
      <c r="AB72" s="1850"/>
      <c r="AC72" s="1850"/>
      <c r="AD72" s="1857">
        <v>4974.415</v>
      </c>
      <c r="AE72" s="1857">
        <v>767.48937100000001</v>
      </c>
      <c r="AF72" s="1857">
        <v>4064.482</v>
      </c>
      <c r="AG72" s="1857">
        <v>698.295751</v>
      </c>
      <c r="AH72" s="1857">
        <v>243.26400000000001</v>
      </c>
      <c r="AI72" s="1857">
        <v>45.578893999999998</v>
      </c>
      <c r="AJ72" s="1857"/>
      <c r="AK72" s="1857"/>
      <c r="AL72" s="1857"/>
      <c r="AM72" s="1857"/>
      <c r="AN72" s="1857"/>
      <c r="AO72" s="1857"/>
      <c r="AP72" s="1857"/>
      <c r="AQ72" s="1857"/>
      <c r="AR72" s="1857"/>
      <c r="AS72" s="1857"/>
      <c r="AT72" s="1857"/>
      <c r="AU72" s="1857"/>
      <c r="AV72" s="1857">
        <v>1231.8430000000001</v>
      </c>
      <c r="AW72" s="1857">
        <v>173.91424000000001</v>
      </c>
      <c r="AX72" s="1857">
        <v>360.09899999999999</v>
      </c>
      <c r="AY72" s="1857">
        <v>83.514927</v>
      </c>
      <c r="AZ72" s="1857">
        <v>557.78800000000001</v>
      </c>
      <c r="BA72" s="1857">
        <v>37.151905999999997</v>
      </c>
      <c r="BB72" s="1857"/>
      <c r="BC72" s="1857"/>
      <c r="BD72" s="1857"/>
      <c r="BE72" s="1857"/>
      <c r="BF72" s="1857"/>
      <c r="BG72" s="1857"/>
      <c r="BH72" s="1857"/>
      <c r="BI72" s="1857"/>
      <c r="BJ72" s="1857"/>
      <c r="BK72" s="1857"/>
      <c r="BL72" s="1857"/>
      <c r="BM72" s="1857"/>
    </row>
    <row r="73" spans="1:65" hidden="1">
      <c r="A73" s="1854" t="s">
        <v>20</v>
      </c>
      <c r="B73" s="1857">
        <v>5853.4970000000003</v>
      </c>
      <c r="C73" s="1857"/>
      <c r="D73" s="1865">
        <v>2553.4490000000001</v>
      </c>
      <c r="E73" s="1865">
        <v>1405.7190000000001</v>
      </c>
      <c r="F73" s="1865">
        <v>861.96600000000001</v>
      </c>
      <c r="G73" s="1850">
        <v>1032.3630000000001</v>
      </c>
      <c r="H73" s="1865">
        <v>6800.6790000000001</v>
      </c>
      <c r="I73" s="1865">
        <v>1018.96</v>
      </c>
      <c r="J73" s="1857">
        <v>4790.24</v>
      </c>
      <c r="K73" s="1850">
        <v>832.61</v>
      </c>
      <c r="L73" s="1857">
        <v>26.219000000000001</v>
      </c>
      <c r="M73" s="1857">
        <v>56.023285000000001</v>
      </c>
      <c r="N73" s="1857">
        <v>44.244</v>
      </c>
      <c r="O73" s="1857">
        <v>19.522029</v>
      </c>
      <c r="P73" s="1857">
        <v>828.34799999999996</v>
      </c>
      <c r="Q73" s="1865">
        <v>33.023595</v>
      </c>
      <c r="R73" s="1865"/>
      <c r="S73" s="1335"/>
      <c r="T73" s="1865"/>
      <c r="U73" s="1865"/>
      <c r="V73" s="1871"/>
      <c r="W73" s="1871"/>
      <c r="X73" s="1850">
        <v>510.20699999999999</v>
      </c>
      <c r="Y73" s="1850">
        <v>64.013991000000004</v>
      </c>
      <c r="Z73" s="1850"/>
      <c r="AA73" s="1850"/>
      <c r="AB73" s="1850"/>
      <c r="AC73" s="1850"/>
      <c r="AD73" s="1857">
        <v>5412.634</v>
      </c>
      <c r="AE73" s="1857">
        <v>832.09489900000005</v>
      </c>
      <c r="AF73" s="1857">
        <v>4410.2550000000001</v>
      </c>
      <c r="AG73" s="1857">
        <v>754.75607000000002</v>
      </c>
      <c r="AH73" s="1857">
        <v>234.19900000000001</v>
      </c>
      <c r="AI73" s="1857">
        <v>48.905000000000001</v>
      </c>
      <c r="AJ73" s="1857"/>
      <c r="AK73" s="1857"/>
      <c r="AL73" s="1857"/>
      <c r="AM73" s="1857"/>
      <c r="AN73" s="1857"/>
      <c r="AO73" s="1857"/>
      <c r="AP73" s="1857"/>
      <c r="AQ73" s="1857"/>
      <c r="AR73" s="1857"/>
      <c r="AS73" s="1857"/>
      <c r="AT73" s="1857"/>
      <c r="AU73" s="1857"/>
      <c r="AV73" s="1857">
        <v>1388.0450000000001</v>
      </c>
      <c r="AW73" s="1857">
        <v>186.86524800000001</v>
      </c>
      <c r="AX73" s="1857">
        <v>424.22899999999998</v>
      </c>
      <c r="AY73" s="1857">
        <v>97.376327000000003</v>
      </c>
      <c r="AZ73" s="1857">
        <v>620.36800000000005</v>
      </c>
      <c r="BA73" s="1857">
        <v>40.141840000000002</v>
      </c>
      <c r="BB73" s="1857"/>
      <c r="BC73" s="1857"/>
      <c r="BD73" s="1857"/>
      <c r="BE73" s="1857"/>
      <c r="BF73" s="1857"/>
      <c r="BG73" s="1857"/>
      <c r="BH73" s="1857"/>
      <c r="BI73" s="1857"/>
      <c r="BJ73" s="1857"/>
      <c r="BK73" s="1857"/>
      <c r="BL73" s="1857"/>
      <c r="BM73" s="1857"/>
    </row>
    <row r="74" spans="1:65" hidden="1">
      <c r="A74" s="1854" t="s">
        <v>21</v>
      </c>
      <c r="B74" s="1857">
        <v>5908.1469999999999</v>
      </c>
      <c r="C74" s="1857"/>
      <c r="D74" s="1865">
        <v>2566.92</v>
      </c>
      <c r="E74" s="1865">
        <v>1412.123</v>
      </c>
      <c r="F74" s="1865">
        <v>860.79300000000001</v>
      </c>
      <c r="G74" s="1850">
        <v>1068.3109999999999</v>
      </c>
      <c r="H74" s="1865">
        <v>6349.5219999999999</v>
      </c>
      <c r="I74" s="1865">
        <v>938.31736599999999</v>
      </c>
      <c r="J74" s="1857">
        <v>4407.1279999999997</v>
      </c>
      <c r="K74" s="1850">
        <v>758.79992900000002</v>
      </c>
      <c r="L74" s="1857">
        <v>27.887</v>
      </c>
      <c r="M74" s="1857">
        <v>62.992308000000001</v>
      </c>
      <c r="N74" s="1857">
        <v>56.844999999999999</v>
      </c>
      <c r="O74" s="1857">
        <v>20.392423000000001</v>
      </c>
      <c r="P74" s="1857">
        <v>779.10799999999995</v>
      </c>
      <c r="Q74" s="1865">
        <v>28.236070000000002</v>
      </c>
      <c r="R74" s="1865"/>
      <c r="S74" s="1335"/>
      <c r="T74" s="1865"/>
      <c r="U74" s="1865"/>
      <c r="V74" s="1871"/>
      <c r="W74" s="1871"/>
      <c r="X74" s="1850">
        <v>466.59899999999999</v>
      </c>
      <c r="Y74" s="1850">
        <v>55.041131999999998</v>
      </c>
      <c r="Z74" s="1850"/>
      <c r="AA74" s="1850"/>
      <c r="AB74" s="1850"/>
      <c r="AC74" s="1850"/>
      <c r="AD74" s="1857">
        <v>5024.57</v>
      </c>
      <c r="AE74" s="1857">
        <v>757.26842799999997</v>
      </c>
      <c r="AF74" s="1857">
        <v>4043.2649999999999</v>
      </c>
      <c r="AG74" s="1857">
        <v>681.03487199999995</v>
      </c>
      <c r="AH74" s="1857">
        <v>225.45400000000001</v>
      </c>
      <c r="AI74" s="1857">
        <v>51.021918999999997</v>
      </c>
      <c r="AJ74" s="1857"/>
      <c r="AK74" s="1857"/>
      <c r="AL74" s="1857"/>
      <c r="AM74" s="1857"/>
      <c r="AN74" s="1857"/>
      <c r="AO74" s="1857"/>
      <c r="AP74" s="1857"/>
      <c r="AQ74" s="1857"/>
      <c r="AR74" s="1857"/>
      <c r="AS74" s="1857"/>
      <c r="AT74" s="1857"/>
      <c r="AU74" s="1857"/>
      <c r="AV74" s="1857">
        <v>1324.952</v>
      </c>
      <c r="AW74" s="1857">
        <v>181.04893799999999</v>
      </c>
      <c r="AX74" s="1857">
        <v>420.70800000000003</v>
      </c>
      <c r="AY74" s="1857">
        <v>98.157480000000007</v>
      </c>
      <c r="AZ74" s="1857">
        <v>581.54100000000005</v>
      </c>
      <c r="BA74" s="1857">
        <v>40.206000000000003</v>
      </c>
      <c r="BB74" s="1857"/>
      <c r="BC74" s="1857"/>
      <c r="BD74" s="1857"/>
      <c r="BE74" s="1857"/>
      <c r="BF74" s="1857"/>
      <c r="BG74" s="1857"/>
      <c r="BH74" s="1857"/>
      <c r="BI74" s="1857"/>
      <c r="BJ74" s="1857"/>
      <c r="BK74" s="1857"/>
      <c r="BL74" s="1857"/>
      <c r="BM74" s="1857"/>
    </row>
    <row r="75" spans="1:65" hidden="1">
      <c r="A75" s="1854" t="s">
        <v>22</v>
      </c>
      <c r="B75" s="1857">
        <v>5967.4179999999997</v>
      </c>
      <c r="C75" s="1857"/>
      <c r="D75" s="1865">
        <v>2560.3919999999998</v>
      </c>
      <c r="E75" s="1865">
        <v>1400.6089999999999</v>
      </c>
      <c r="F75" s="1865">
        <v>889.12800000000004</v>
      </c>
      <c r="G75" s="1850">
        <v>1117.289</v>
      </c>
      <c r="H75" s="1865">
        <v>6634.1120000000001</v>
      </c>
      <c r="I75" s="1865">
        <v>988.182456</v>
      </c>
      <c r="J75" s="1857">
        <v>4657.4930000000004</v>
      </c>
      <c r="K75" s="1850">
        <v>806.77167799999995</v>
      </c>
      <c r="L75" s="1857">
        <v>26.236999999999998</v>
      </c>
      <c r="M75" s="1857">
        <v>59.758896999999997</v>
      </c>
      <c r="N75" s="1857">
        <v>48.899000000000001</v>
      </c>
      <c r="O75" s="1857">
        <v>20.608657999999998</v>
      </c>
      <c r="P75" s="1857">
        <v>820.10799999999995</v>
      </c>
      <c r="Q75" s="1865">
        <v>30.940999999999999</v>
      </c>
      <c r="R75" s="1865"/>
      <c r="S75" s="1335"/>
      <c r="T75" s="1865"/>
      <c r="U75" s="1865"/>
      <c r="V75" s="1871"/>
      <c r="W75" s="1871"/>
      <c r="X75" s="1850">
        <v>484.97300000000001</v>
      </c>
      <c r="Y75" s="1850">
        <v>59.445628999999997</v>
      </c>
      <c r="Z75" s="1850"/>
      <c r="AA75" s="1850"/>
      <c r="AB75" s="1850"/>
      <c r="AC75" s="1850"/>
      <c r="AD75" s="1857">
        <v>5223.01</v>
      </c>
      <c r="AE75" s="1857">
        <v>794.25419399999998</v>
      </c>
      <c r="AF75" s="1857">
        <v>4238.3190000000004</v>
      </c>
      <c r="AG75" s="1857">
        <v>719.22864000000004</v>
      </c>
      <c r="AH75" s="1857">
        <v>239.119</v>
      </c>
      <c r="AI75" s="1857">
        <v>48.339646999999999</v>
      </c>
      <c r="AJ75" s="1857"/>
      <c r="AK75" s="1857"/>
      <c r="AL75" s="1857"/>
      <c r="AM75" s="1857"/>
      <c r="AN75" s="1857"/>
      <c r="AO75" s="1857"/>
      <c r="AP75" s="1857"/>
      <c r="AQ75" s="1857"/>
      <c r="AR75" s="1857"/>
      <c r="AS75" s="1857"/>
      <c r="AT75" s="1857"/>
      <c r="AU75" s="1857"/>
      <c r="AV75" s="1857">
        <v>1411.1120000000001</v>
      </c>
      <c r="AW75" s="1857">
        <v>193.928</v>
      </c>
      <c r="AX75" s="1857">
        <v>468.07299999999998</v>
      </c>
      <c r="AY75" s="1857">
        <v>108.151696</v>
      </c>
      <c r="AZ75" s="1857">
        <v>607.226</v>
      </c>
      <c r="BA75" s="1857">
        <v>42.365780000000001</v>
      </c>
      <c r="BB75" s="1857"/>
      <c r="BC75" s="1857"/>
      <c r="BD75" s="1857"/>
      <c r="BE75" s="1857"/>
      <c r="BF75" s="1857"/>
      <c r="BG75" s="1857"/>
      <c r="BH75" s="1857"/>
      <c r="BI75" s="1857"/>
      <c r="BJ75" s="1857"/>
      <c r="BK75" s="1857"/>
      <c r="BL75" s="1857"/>
      <c r="BM75" s="1857"/>
    </row>
    <row r="76" spans="1:65" hidden="1">
      <c r="A76" s="1854" t="s">
        <v>23</v>
      </c>
      <c r="B76" s="1857">
        <v>6003.4769999999999</v>
      </c>
      <c r="C76" s="1857"/>
      <c r="D76" s="1865">
        <v>2556.2449999999999</v>
      </c>
      <c r="E76" s="1865">
        <v>1400.7539999999999</v>
      </c>
      <c r="F76" s="1865">
        <v>902.25300000000004</v>
      </c>
      <c r="G76" s="1850">
        <v>1144.2249999999999</v>
      </c>
      <c r="H76" s="1865">
        <v>6406.6549999999997</v>
      </c>
      <c r="I76" s="1865">
        <v>970.25821800000006</v>
      </c>
      <c r="J76" s="1857">
        <v>4431.7539999999999</v>
      </c>
      <c r="K76" s="1850">
        <v>791.62618699999996</v>
      </c>
      <c r="L76" s="1857">
        <v>26.25</v>
      </c>
      <c r="M76" s="1857">
        <v>60.414999999999999</v>
      </c>
      <c r="N76" s="1857">
        <v>49.667000000000002</v>
      </c>
      <c r="O76" s="1857">
        <v>22.308340000000001</v>
      </c>
      <c r="P76" s="1857">
        <v>816.66499999999996</v>
      </c>
      <c r="Q76" s="1865">
        <v>30.410530000000001</v>
      </c>
      <c r="R76" s="1865"/>
      <c r="S76" s="1335"/>
      <c r="T76" s="1865"/>
      <c r="U76" s="1865"/>
      <c r="V76" s="1871"/>
      <c r="W76" s="1871"/>
      <c r="X76" s="1850">
        <v>482.06200000000001</v>
      </c>
      <c r="Y76" s="1850">
        <v>55.004539999999999</v>
      </c>
      <c r="Z76" s="1850"/>
      <c r="AA76" s="1850"/>
      <c r="AB76" s="1850"/>
      <c r="AC76" s="1850"/>
      <c r="AD76" s="1857">
        <v>5009.924</v>
      </c>
      <c r="AE76" s="1857">
        <v>786.19960000000003</v>
      </c>
      <c r="AF76" s="1857">
        <v>4037.0830000000001</v>
      </c>
      <c r="AG76" s="1857">
        <v>710.12895600000002</v>
      </c>
      <c r="AH76" s="1857">
        <v>236.53</v>
      </c>
      <c r="AI76" s="1857">
        <v>49.625608999999997</v>
      </c>
      <c r="AJ76" s="1857"/>
      <c r="AK76" s="1857"/>
      <c r="AL76" s="1857"/>
      <c r="AM76" s="1857"/>
      <c r="AN76" s="1857"/>
      <c r="AO76" s="1857"/>
      <c r="AP76" s="1857"/>
      <c r="AQ76" s="1857"/>
      <c r="AR76" s="1857"/>
      <c r="AS76" s="1857"/>
      <c r="AT76" s="1857"/>
      <c r="AU76" s="1857"/>
      <c r="AV76" s="1857">
        <v>1396.731</v>
      </c>
      <c r="AW76" s="1857">
        <v>184.058618</v>
      </c>
      <c r="AX76" s="1857">
        <v>444.33800000000002</v>
      </c>
      <c r="AY76" s="1857">
        <v>103.805571</v>
      </c>
      <c r="AZ76" s="1857">
        <v>606.38499999999999</v>
      </c>
      <c r="BA76" s="1857">
        <v>41.201155999999997</v>
      </c>
      <c r="BB76" s="1857"/>
      <c r="BC76" s="1857"/>
      <c r="BD76" s="1857"/>
      <c r="BE76" s="1857"/>
      <c r="BF76" s="1857"/>
      <c r="BG76" s="1857"/>
      <c r="BH76" s="1857"/>
      <c r="BI76" s="1857"/>
      <c r="BJ76" s="1857"/>
      <c r="BK76" s="1857"/>
      <c r="BL76" s="1857"/>
      <c r="BM76" s="1857"/>
    </row>
    <row r="77" spans="1:65" hidden="1">
      <c r="A77" s="1854" t="s">
        <v>24</v>
      </c>
      <c r="B77" s="1857">
        <v>5827.1059999999998</v>
      </c>
      <c r="C77" s="1857"/>
      <c r="D77" s="1865">
        <v>2558.5909999999999</v>
      </c>
      <c r="E77" s="1865">
        <v>1398.3430000000001</v>
      </c>
      <c r="F77" s="1865">
        <v>712.61900000000003</v>
      </c>
      <c r="G77" s="1850">
        <v>1157.5530000000001</v>
      </c>
      <c r="H77" s="1865">
        <v>6893.5590000000002</v>
      </c>
      <c r="I77" s="1865">
        <v>1090.081764</v>
      </c>
      <c r="J77" s="1857">
        <v>4678.5879999999997</v>
      </c>
      <c r="K77" s="1850">
        <v>879.25116300000002</v>
      </c>
      <c r="L77" s="1857">
        <v>24.997</v>
      </c>
      <c r="M77" s="1857">
        <v>67.824709999999996</v>
      </c>
      <c r="N77" s="1857">
        <v>51.656999999999996</v>
      </c>
      <c r="O77" s="1857">
        <v>22.274963</v>
      </c>
      <c r="P77" s="1857">
        <v>919.93799999999999</v>
      </c>
      <c r="Q77" s="1865">
        <v>37.223067999999998</v>
      </c>
      <c r="R77" s="1865"/>
      <c r="S77" s="1335"/>
      <c r="T77" s="1865"/>
      <c r="U77" s="1865"/>
      <c r="V77" s="1871"/>
      <c r="W77" s="1871"/>
      <c r="X77" s="1850">
        <v>525.67899999999997</v>
      </c>
      <c r="Y77" s="1850">
        <v>71.622197999999997</v>
      </c>
      <c r="Z77" s="1850"/>
      <c r="AA77" s="1850"/>
      <c r="AB77" s="1850"/>
      <c r="AC77" s="1850"/>
      <c r="AD77" s="1857">
        <v>5357.8490000000002</v>
      </c>
      <c r="AE77" s="1857">
        <v>877.22832900000003</v>
      </c>
      <c r="AF77" s="1857">
        <v>4264.45</v>
      </c>
      <c r="AG77" s="1857">
        <v>789.21132899999998</v>
      </c>
      <c r="AH77" s="1857">
        <v>287.49700000000001</v>
      </c>
      <c r="AI77" s="1857">
        <v>56.321154</v>
      </c>
      <c r="AJ77" s="1857"/>
      <c r="AK77" s="1857"/>
      <c r="AL77" s="1857"/>
      <c r="AM77" s="1857"/>
      <c r="AN77" s="1857"/>
      <c r="AO77" s="1857"/>
      <c r="AP77" s="1857"/>
      <c r="AQ77" s="1857"/>
      <c r="AR77" s="1857"/>
      <c r="AS77" s="1857"/>
      <c r="AT77" s="1857"/>
      <c r="AU77" s="1857"/>
      <c r="AV77" s="1857">
        <v>1535.71</v>
      </c>
      <c r="AW77" s="1857">
        <v>212.85343399999999</v>
      </c>
      <c r="AX77" s="1857">
        <v>465.79500000000002</v>
      </c>
      <c r="AY77" s="1857">
        <v>112.314797</v>
      </c>
      <c r="AZ77" s="1857">
        <v>657.43799999999999</v>
      </c>
      <c r="BA77" s="1857">
        <v>48.726624000000001</v>
      </c>
      <c r="BB77" s="1857"/>
      <c r="BC77" s="1857"/>
      <c r="BD77" s="1857"/>
      <c r="BE77" s="1857"/>
      <c r="BF77" s="1857"/>
      <c r="BG77" s="1857"/>
      <c r="BH77" s="1857"/>
      <c r="BI77" s="1857"/>
      <c r="BJ77" s="1857"/>
      <c r="BK77" s="1857"/>
      <c r="BL77" s="1857"/>
      <c r="BM77" s="1857"/>
    </row>
    <row r="78" spans="1:65" hidden="1">
      <c r="A78" s="1854" t="s">
        <v>25</v>
      </c>
      <c r="B78" s="1857">
        <v>5866.16</v>
      </c>
      <c r="C78" s="1857"/>
      <c r="D78" s="1865">
        <v>2544.2950000000001</v>
      </c>
      <c r="E78" s="1865">
        <v>1401.1790000000001</v>
      </c>
      <c r="F78" s="1865">
        <v>739.89599999999996</v>
      </c>
      <c r="G78" s="1850">
        <v>1180.79</v>
      </c>
      <c r="H78" s="1865">
        <v>6351.0209999999997</v>
      </c>
      <c r="I78" s="1865">
        <v>949.64862000000005</v>
      </c>
      <c r="J78" s="1857">
        <v>4264.5240000000003</v>
      </c>
      <c r="K78" s="1850">
        <v>750.14443400000005</v>
      </c>
      <c r="L78" s="1857">
        <v>23.231999999999999</v>
      </c>
      <c r="M78" s="1857">
        <v>58.360143999999998</v>
      </c>
      <c r="N78" s="1857">
        <v>49.838000000000001</v>
      </c>
      <c r="O78" s="1857">
        <v>23.671796000000001</v>
      </c>
      <c r="P78" s="1857">
        <v>820.74699999999996</v>
      </c>
      <c r="Q78" s="1865">
        <v>28.4</v>
      </c>
      <c r="R78" s="1865"/>
      <c r="S78" s="1335"/>
      <c r="T78" s="1865"/>
      <c r="U78" s="1865"/>
      <c r="V78" s="1871"/>
      <c r="W78" s="1871"/>
      <c r="X78" s="1850">
        <v>536.29999999999995</v>
      </c>
      <c r="Y78" s="1850">
        <v>77.400000000000006</v>
      </c>
      <c r="Z78" s="1850"/>
      <c r="AA78" s="1850"/>
      <c r="AB78" s="1850"/>
      <c r="AC78" s="1850"/>
      <c r="AD78" s="1857">
        <v>4899.7</v>
      </c>
      <c r="AE78" s="1857">
        <v>750.9</v>
      </c>
      <c r="AF78" s="1857">
        <v>3875</v>
      </c>
      <c r="AG78" s="1857">
        <v>672.40764899999999</v>
      </c>
      <c r="AH78" s="1857">
        <v>257.91199999999998</v>
      </c>
      <c r="AI78" s="1857">
        <v>45.103380999999999</v>
      </c>
      <c r="AJ78" s="1857"/>
      <c r="AK78" s="1857"/>
      <c r="AL78" s="1857"/>
      <c r="AM78" s="1857"/>
      <c r="AN78" s="1857"/>
      <c r="AO78" s="1857"/>
      <c r="AP78" s="1857"/>
      <c r="AQ78" s="1857"/>
      <c r="AR78" s="1857"/>
      <c r="AS78" s="1857"/>
      <c r="AT78" s="1857"/>
      <c r="AU78" s="1857"/>
      <c r="AV78" s="1857">
        <v>1451.296</v>
      </c>
      <c r="AW78" s="1857">
        <v>198.73371599999999</v>
      </c>
      <c r="AX78" s="1857">
        <v>439.01499999999999</v>
      </c>
      <c r="AY78" s="1857">
        <v>101.408581</v>
      </c>
      <c r="AZ78" s="1857">
        <v>586.06700000000001</v>
      </c>
      <c r="BA78" s="1857">
        <v>41.654286999999997</v>
      </c>
      <c r="BB78" s="1857"/>
      <c r="BC78" s="1857"/>
      <c r="BD78" s="1857"/>
      <c r="BE78" s="1857"/>
      <c r="BF78" s="1857"/>
      <c r="BG78" s="1857"/>
      <c r="BH78" s="1857"/>
      <c r="BI78" s="1857"/>
      <c r="BJ78" s="1857"/>
      <c r="BK78" s="1857"/>
      <c r="BL78" s="1857"/>
      <c r="BM78" s="1857"/>
    </row>
    <row r="79" spans="1:65" hidden="1">
      <c r="A79" s="1854" t="s">
        <v>26</v>
      </c>
      <c r="B79" s="1857">
        <v>5990.8469999999998</v>
      </c>
      <c r="C79" s="1857"/>
      <c r="D79" s="1865">
        <v>2557.9380000000001</v>
      </c>
      <c r="E79" s="1865">
        <v>1412.5309999999999</v>
      </c>
      <c r="F79" s="1865">
        <v>766.62800000000004</v>
      </c>
      <c r="G79" s="1850">
        <v>1253.75</v>
      </c>
      <c r="H79" s="1865">
        <v>6667.9870000000001</v>
      </c>
      <c r="I79" s="1865">
        <v>983.95674299999996</v>
      </c>
      <c r="J79" s="1857">
        <v>4600.4399999999996</v>
      </c>
      <c r="K79" s="1850">
        <v>783.49029700000006</v>
      </c>
      <c r="L79" s="1857">
        <v>23.631</v>
      </c>
      <c r="M79" s="1857">
        <v>60.741444999999999</v>
      </c>
      <c r="N79" s="1857">
        <v>51.423999999999999</v>
      </c>
      <c r="O79" s="1857">
        <v>23.729980000000001</v>
      </c>
      <c r="P79" s="1857">
        <v>802.79700000000003</v>
      </c>
      <c r="Q79" s="1865">
        <v>32.122777999999997</v>
      </c>
      <c r="R79" s="1865"/>
      <c r="S79" s="1335"/>
      <c r="T79" s="1865"/>
      <c r="U79" s="1865"/>
      <c r="V79" s="1871"/>
      <c r="W79" s="1871"/>
      <c r="X79" s="1850">
        <v>530.255</v>
      </c>
      <c r="Y79" s="1850">
        <v>71.416880000000006</v>
      </c>
      <c r="Z79" s="1850"/>
      <c r="AA79" s="1850"/>
      <c r="AB79" s="1850"/>
      <c r="AC79" s="1850"/>
      <c r="AD79" s="1857">
        <v>5202.5600000000004</v>
      </c>
      <c r="AE79" s="1857">
        <v>776.71330799999998</v>
      </c>
      <c r="AF79" s="1857">
        <v>4145.9629999999997</v>
      </c>
      <c r="AG79" s="1857">
        <v>693.11076600000001</v>
      </c>
      <c r="AH79" s="1857">
        <v>283.19600000000003</v>
      </c>
      <c r="AI79" s="1857">
        <v>51.682613000000003</v>
      </c>
      <c r="AJ79" s="1857"/>
      <c r="AK79" s="1857"/>
      <c r="AL79" s="1857"/>
      <c r="AM79" s="1857"/>
      <c r="AN79" s="1857"/>
      <c r="AO79" s="1857"/>
      <c r="AP79" s="1857"/>
      <c r="AQ79" s="1857"/>
      <c r="AR79" s="1857"/>
      <c r="AS79" s="1857"/>
      <c r="AT79" s="1857"/>
      <c r="AU79" s="1857"/>
      <c r="AV79" s="1857">
        <v>1465.4269999999999</v>
      </c>
      <c r="AW79" s="1857">
        <v>207.24343500000001</v>
      </c>
      <c r="AX79" s="1857">
        <v>505.90100000000001</v>
      </c>
      <c r="AY79" s="1857">
        <v>114.109511</v>
      </c>
      <c r="AZ79" s="1857">
        <v>543.23199999999997</v>
      </c>
      <c r="BA79" s="1857">
        <v>41.181609000000002</v>
      </c>
      <c r="BB79" s="1857"/>
      <c r="BC79" s="1857"/>
      <c r="BD79" s="1857"/>
      <c r="BE79" s="1857"/>
      <c r="BF79" s="1857"/>
      <c r="BG79" s="1857"/>
      <c r="BH79" s="1857"/>
      <c r="BI79" s="1857"/>
      <c r="BJ79" s="1857"/>
      <c r="BK79" s="1857"/>
      <c r="BL79" s="1857"/>
      <c r="BM79" s="1857"/>
    </row>
    <row r="80" spans="1:65" hidden="1">
      <c r="A80" s="1854" t="s">
        <v>27</v>
      </c>
      <c r="B80" s="1857">
        <v>5864.0619999999999</v>
      </c>
      <c r="C80" s="1857"/>
      <c r="D80" s="1865">
        <v>2478.5169999999998</v>
      </c>
      <c r="E80" s="1865">
        <v>1409.1959999999999</v>
      </c>
      <c r="F80" s="1865">
        <v>750.66899999999998</v>
      </c>
      <c r="G80" s="1850">
        <v>1225.68</v>
      </c>
      <c r="H80" s="1865">
        <v>6708.83</v>
      </c>
      <c r="I80" s="1865">
        <v>989.34461099999999</v>
      </c>
      <c r="J80" s="1857">
        <v>4602</v>
      </c>
      <c r="K80" s="1850">
        <v>797.06431699999996</v>
      </c>
      <c r="L80" s="1857">
        <v>23.274999999999999</v>
      </c>
      <c r="M80" s="1857">
        <v>60.100195999999997</v>
      </c>
      <c r="N80" s="1857">
        <v>45.237000000000002</v>
      </c>
      <c r="O80" s="1857">
        <v>17.626608000000001</v>
      </c>
      <c r="P80" s="1857">
        <v>797.827</v>
      </c>
      <c r="Q80" s="1865">
        <v>32.818995999999999</v>
      </c>
      <c r="R80" s="1865"/>
      <c r="S80" s="1335"/>
      <c r="T80" s="1865"/>
      <c r="U80" s="1865"/>
      <c r="V80" s="1871"/>
      <c r="W80" s="1871"/>
      <c r="X80" s="1850">
        <v>544.66600000000005</v>
      </c>
      <c r="Y80" s="1850">
        <v>65.045432000000005</v>
      </c>
      <c r="Z80" s="1850"/>
      <c r="AA80" s="1850"/>
      <c r="AB80" s="1850"/>
      <c r="AC80" s="1850"/>
      <c r="AD80" s="1857">
        <v>5236.8370000000004</v>
      </c>
      <c r="AE80" s="1857">
        <v>787.70974799999999</v>
      </c>
      <c r="AF80" s="1857">
        <v>4130.4610000000002</v>
      </c>
      <c r="AG80" s="1857">
        <v>703.81917499999997</v>
      </c>
      <c r="AH80" s="1857">
        <v>287.16000000000003</v>
      </c>
      <c r="AI80" s="1857">
        <v>51.287520999999998</v>
      </c>
      <c r="AJ80" s="1857"/>
      <c r="AK80" s="1857"/>
      <c r="AL80" s="1857"/>
      <c r="AM80" s="1857"/>
      <c r="AN80" s="1857"/>
      <c r="AO80" s="1857"/>
      <c r="AP80" s="1857"/>
      <c r="AQ80" s="1857"/>
      <c r="AR80" s="1857"/>
      <c r="AS80" s="1857"/>
      <c r="AT80" s="1857"/>
      <c r="AU80" s="1857"/>
      <c r="AV80" s="1857">
        <v>1471.9929999999999</v>
      </c>
      <c r="AW80" s="1857">
        <v>201.634862</v>
      </c>
      <c r="AX80" s="1857">
        <v>517.74</v>
      </c>
      <c r="AY80" s="1857">
        <v>110.87174899999999</v>
      </c>
      <c r="AZ80" s="1857">
        <v>533.94200000000001</v>
      </c>
      <c r="BA80" s="1857">
        <v>41.631672000000002</v>
      </c>
      <c r="BB80" s="1857"/>
      <c r="BC80" s="1857"/>
      <c r="BD80" s="1857"/>
      <c r="BE80" s="1857"/>
      <c r="BF80" s="1857"/>
      <c r="BG80" s="1857"/>
      <c r="BH80" s="1857"/>
      <c r="BI80" s="1857"/>
      <c r="BJ80" s="1857"/>
      <c r="BK80" s="1857"/>
      <c r="BL80" s="1857"/>
      <c r="BM80" s="1857"/>
    </row>
    <row r="81" spans="1:65" hidden="1">
      <c r="A81" s="1854" t="s">
        <v>28</v>
      </c>
      <c r="B81" s="1857">
        <v>5948.3630000000003</v>
      </c>
      <c r="C81" s="1857"/>
      <c r="D81" s="1865">
        <v>2483.1170000000002</v>
      </c>
      <c r="E81" s="1865">
        <v>1429.067</v>
      </c>
      <c r="F81" s="1865">
        <v>771.33600000000001</v>
      </c>
      <c r="G81" s="1850">
        <v>1264.8430000000001</v>
      </c>
      <c r="H81" s="1865">
        <v>6645.29</v>
      </c>
      <c r="I81" s="1865">
        <v>977.29217700000004</v>
      </c>
      <c r="J81" s="1857">
        <v>4467.9949999999999</v>
      </c>
      <c r="K81" s="1850">
        <v>786.07399899999996</v>
      </c>
      <c r="L81" s="1857">
        <v>25.094000000000001</v>
      </c>
      <c r="M81" s="1857">
        <v>59.149683000000003</v>
      </c>
      <c r="N81" s="1857">
        <v>44.024000000000001</v>
      </c>
      <c r="O81" s="1857">
        <v>19.20298</v>
      </c>
      <c r="P81" s="1857">
        <v>836.14800000000002</v>
      </c>
      <c r="Q81" s="1865">
        <v>35.140304999999998</v>
      </c>
      <c r="R81" s="1865"/>
      <c r="S81" s="1335"/>
      <c r="T81" s="1865"/>
      <c r="U81" s="1865"/>
      <c r="V81" s="1871"/>
      <c r="W81" s="1871"/>
      <c r="X81" s="1850">
        <v>568.37800000000004</v>
      </c>
      <c r="Y81" s="1850">
        <v>59.757213</v>
      </c>
      <c r="Z81" s="1850"/>
      <c r="AA81" s="1850"/>
      <c r="AB81" s="1850"/>
      <c r="AC81" s="1850"/>
      <c r="AD81" s="1857">
        <v>5128.607</v>
      </c>
      <c r="AE81" s="1857">
        <v>783.63996299999997</v>
      </c>
      <c r="AF81" s="1857">
        <v>4024.0329999999999</v>
      </c>
      <c r="AG81" s="1857">
        <v>700.80901200000005</v>
      </c>
      <c r="AH81" s="1857">
        <v>227.12899999999999</v>
      </c>
      <c r="AI81" s="1857">
        <v>50.469031000000001</v>
      </c>
      <c r="AJ81" s="1857"/>
      <c r="AK81" s="1857"/>
      <c r="AL81" s="1857"/>
      <c r="AM81" s="1857"/>
      <c r="AN81" s="1857"/>
      <c r="AO81" s="1857"/>
      <c r="AP81" s="1857"/>
      <c r="AQ81" s="1857"/>
      <c r="AR81" s="1857"/>
      <c r="AS81" s="1857"/>
      <c r="AT81" s="1857"/>
      <c r="AU81" s="1857"/>
      <c r="AV81" s="1857">
        <v>1516.683</v>
      </c>
      <c r="AW81" s="1857">
        <v>193.65221399999999</v>
      </c>
      <c r="AX81" s="1857">
        <v>487.98599999999999</v>
      </c>
      <c r="AY81" s="1857">
        <v>104.467967</v>
      </c>
      <c r="AZ81" s="1857">
        <v>584.11300000000006</v>
      </c>
      <c r="BA81" s="1857">
        <v>43.820957</v>
      </c>
      <c r="BB81" s="1857"/>
      <c r="BC81" s="1857"/>
      <c r="BD81" s="1857"/>
      <c r="BE81" s="1857"/>
      <c r="BF81" s="1857"/>
      <c r="BG81" s="1857"/>
      <c r="BH81" s="1857"/>
      <c r="BI81" s="1857"/>
      <c r="BJ81" s="1857"/>
      <c r="BK81" s="1857"/>
      <c r="BL81" s="1857"/>
      <c r="BM81" s="1857"/>
    </row>
    <row r="82" spans="1:65" hidden="1">
      <c r="A82" s="1854" t="s">
        <v>29</v>
      </c>
      <c r="B82" s="1857">
        <v>5965.2070000000003</v>
      </c>
      <c r="C82" s="1857"/>
      <c r="D82" s="1865">
        <v>2426.3000000000002</v>
      </c>
      <c r="E82" s="1865">
        <v>1443.6769999999999</v>
      </c>
      <c r="F82" s="1865">
        <v>793.53200000000004</v>
      </c>
      <c r="G82" s="1850">
        <v>1301.6980000000001</v>
      </c>
      <c r="H82" s="1865">
        <v>8030.375</v>
      </c>
      <c r="I82" s="1865">
        <v>1245.2342530000001</v>
      </c>
      <c r="J82" s="1857">
        <v>5482.8969999999999</v>
      </c>
      <c r="K82" s="1850">
        <v>1006.294298</v>
      </c>
      <c r="L82" s="1857">
        <v>32.875</v>
      </c>
      <c r="M82" s="1857">
        <v>83.743405999999993</v>
      </c>
      <c r="N82" s="1857">
        <v>50.722000000000001</v>
      </c>
      <c r="O82" s="1857">
        <v>25.933302000000001</v>
      </c>
      <c r="P82" s="1857">
        <v>987.55</v>
      </c>
      <c r="Q82" s="1865">
        <v>41.373483</v>
      </c>
      <c r="R82" s="1865"/>
      <c r="S82" s="1335"/>
      <c r="T82" s="1865"/>
      <c r="U82" s="1865"/>
      <c r="V82" s="1871"/>
      <c r="W82" s="1871"/>
      <c r="X82" s="1850">
        <v>655.83140000000003</v>
      </c>
      <c r="Y82" s="1850">
        <v>69.081211999999994</v>
      </c>
      <c r="Z82" s="1850"/>
      <c r="AA82" s="1850"/>
      <c r="AB82" s="1850"/>
      <c r="AC82" s="1850"/>
      <c r="AD82" s="1857">
        <v>6259.6679999999997</v>
      </c>
      <c r="AE82" s="1857">
        <v>999.73856000000001</v>
      </c>
      <c r="AF82" s="1857">
        <v>4916.3029999999999</v>
      </c>
      <c r="AG82" s="1857">
        <v>890.20709599999998</v>
      </c>
      <c r="AH82" s="1857">
        <v>366.25599999999997</v>
      </c>
      <c r="AI82" s="1857">
        <v>72.072784999999996</v>
      </c>
      <c r="AJ82" s="1857"/>
      <c r="AK82" s="1857"/>
      <c r="AL82" s="1857"/>
      <c r="AM82" s="1857"/>
      <c r="AN82" s="1857"/>
      <c r="AO82" s="1857"/>
      <c r="AP82" s="1857"/>
      <c r="AQ82" s="1857"/>
      <c r="AR82" s="1857"/>
      <c r="AS82" s="1857"/>
      <c r="AT82" s="1857"/>
      <c r="AU82" s="1857"/>
      <c r="AV82" s="1857">
        <v>1770.7070000000001</v>
      </c>
      <c r="AW82" s="1857">
        <v>245.49569199999999</v>
      </c>
      <c r="AX82" s="1857">
        <v>617.31600000000003</v>
      </c>
      <c r="AY82" s="1857">
        <v>142.02050399999999</v>
      </c>
      <c r="AZ82" s="1857">
        <v>654.16899999999998</v>
      </c>
      <c r="BA82" s="1857">
        <v>53.044103</v>
      </c>
      <c r="BB82" s="1857"/>
      <c r="BC82" s="1857"/>
      <c r="BD82" s="1857"/>
      <c r="BE82" s="1857"/>
      <c r="BF82" s="1857"/>
      <c r="BG82" s="1857"/>
      <c r="BH82" s="1857"/>
      <c r="BI82" s="1857"/>
      <c r="BJ82" s="1857"/>
      <c r="BK82" s="1857"/>
      <c r="BL82" s="1857"/>
      <c r="BM82" s="1857"/>
    </row>
    <row r="83" spans="1:65">
      <c r="A83" s="1854" t="s">
        <v>1855</v>
      </c>
      <c r="B83" s="1866">
        <v>5659.4589999999998</v>
      </c>
      <c r="C83" s="1866"/>
      <c r="D83" s="1866">
        <v>2451.259</v>
      </c>
      <c r="E83" s="1866">
        <v>1466.752</v>
      </c>
      <c r="F83" s="1866">
        <v>731.75400000000002</v>
      </c>
      <c r="G83" s="1859">
        <v>1009.736</v>
      </c>
      <c r="H83" s="1871">
        <f t="shared" ref="H83:Q83" si="15">SUM(H84:H95)</f>
        <v>85218.361000000004</v>
      </c>
      <c r="I83" s="1871">
        <f t="shared" si="15"/>
        <v>12471.956833732002</v>
      </c>
      <c r="J83" s="1871">
        <f t="shared" si="15"/>
        <v>56306.697999999997</v>
      </c>
      <c r="K83" s="1871">
        <f t="shared" si="15"/>
        <v>9736.3427420499993</v>
      </c>
      <c r="L83" s="1871">
        <f t="shared" si="15"/>
        <v>341.74600000000004</v>
      </c>
      <c r="M83" s="1871">
        <f t="shared" si="15"/>
        <v>816.44843787999991</v>
      </c>
      <c r="N83" s="1871">
        <f t="shared" si="15"/>
        <v>676.26700000000005</v>
      </c>
      <c r="O83" s="1871">
        <f t="shared" si="15"/>
        <v>337.079791</v>
      </c>
      <c r="P83" s="1871">
        <f t="shared" si="15"/>
        <v>9748.8070000000025</v>
      </c>
      <c r="Q83" s="1871">
        <f t="shared" si="15"/>
        <v>394.40349600000002</v>
      </c>
      <c r="R83" s="1871"/>
      <c r="S83" s="1334"/>
      <c r="T83" s="1871">
        <v>11539</v>
      </c>
      <c r="U83" s="1871">
        <v>283</v>
      </c>
      <c r="V83" s="1871"/>
      <c r="W83" s="1871"/>
      <c r="X83" s="1871">
        <f>SUM(X84:X95)</f>
        <v>6634.9660000000003</v>
      </c>
      <c r="Y83" s="1871">
        <f>SUM(Y84:Y95)</f>
        <v>836.05634299999997</v>
      </c>
      <c r="Z83" s="1871"/>
      <c r="AA83" s="1871"/>
      <c r="AB83" s="1871"/>
      <c r="AC83" s="1871"/>
      <c r="AD83" s="1871">
        <f t="shared" ref="AD83:AI83" si="16">SUM(AD84:AD95)</f>
        <v>67739.304999999993</v>
      </c>
      <c r="AE83" s="1871">
        <f t="shared" si="16"/>
        <v>10185.014447000001</v>
      </c>
      <c r="AF83" s="1871">
        <f t="shared" si="16"/>
        <v>51718.557000000008</v>
      </c>
      <c r="AG83" s="1871">
        <f t="shared" si="16"/>
        <v>8995.4527550000003</v>
      </c>
      <c r="AH83" s="1871">
        <f t="shared" si="16"/>
        <v>3850.3139999999999</v>
      </c>
      <c r="AI83" s="1871">
        <f t="shared" si="16"/>
        <v>706.29400400000009</v>
      </c>
      <c r="AJ83" s="1871"/>
      <c r="AK83" s="1871"/>
      <c r="AL83" s="1871">
        <v>8518</v>
      </c>
      <c r="AM83" s="1871">
        <v>141</v>
      </c>
      <c r="AN83" s="1871"/>
      <c r="AO83" s="1871"/>
      <c r="AP83" s="1871">
        <v>3681.576</v>
      </c>
      <c r="AQ83" s="1871">
        <v>342.88858299999998</v>
      </c>
      <c r="AR83" s="1871"/>
      <c r="AS83" s="1871"/>
      <c r="AT83" s="1871"/>
      <c r="AU83" s="1871"/>
      <c r="AV83" s="1871">
        <f t="shared" ref="AV83:BA83" si="17">SUM(AV84:AV95)</f>
        <v>17478.786</v>
      </c>
      <c r="AW83" s="1871">
        <f t="shared" si="17"/>
        <v>2286.9423790000001</v>
      </c>
      <c r="AX83" s="1871">
        <f t="shared" si="17"/>
        <v>5264.4079999999994</v>
      </c>
      <c r="AY83" s="1871">
        <f t="shared" si="17"/>
        <v>1146.2038340000001</v>
      </c>
      <c r="AZ83" s="1871">
        <f t="shared" si="17"/>
        <v>6239.9260000000004</v>
      </c>
      <c r="BA83" s="1871">
        <f t="shared" si="17"/>
        <v>504.55709599999989</v>
      </c>
      <c r="BB83" s="1871"/>
      <c r="BC83" s="1871"/>
      <c r="BD83" s="1871">
        <v>3020</v>
      </c>
      <c r="BE83" s="1871">
        <v>142</v>
      </c>
      <c r="BF83" s="1871"/>
      <c r="BG83" s="1871"/>
      <c r="BH83" s="1871">
        <v>2953.39</v>
      </c>
      <c r="BI83" s="1871">
        <v>493.16776299999998</v>
      </c>
      <c r="BJ83" s="1871"/>
      <c r="BK83" s="1871"/>
      <c r="BL83" s="1871"/>
      <c r="BM83" s="1871"/>
    </row>
    <row r="84" spans="1:65" hidden="1">
      <c r="A84" s="1854" t="s">
        <v>18</v>
      </c>
      <c r="B84" s="1857">
        <v>6017.7079999999996</v>
      </c>
      <c r="C84" s="1857"/>
      <c r="D84" s="1865">
        <v>2440.6060000000002</v>
      </c>
      <c r="E84" s="1865">
        <v>1437.8430000000001</v>
      </c>
      <c r="F84" s="1865">
        <v>817.50199999999995</v>
      </c>
      <c r="G84" s="1850">
        <v>1321.7570000000001</v>
      </c>
      <c r="H84" s="1865">
        <v>6417.7430000000004</v>
      </c>
      <c r="I84" s="1865">
        <v>899.36582799999996</v>
      </c>
      <c r="J84" s="1857">
        <v>4041.748</v>
      </c>
      <c r="K84" s="1850">
        <v>696.41009899999995</v>
      </c>
      <c r="L84" s="1857">
        <v>25.907</v>
      </c>
      <c r="M84" s="1857">
        <v>57.691527999999998</v>
      </c>
      <c r="N84" s="1857">
        <v>44.396999999999998</v>
      </c>
      <c r="O84" s="1857">
        <v>24.051625000000001</v>
      </c>
      <c r="P84" s="1857">
        <v>858.274</v>
      </c>
      <c r="Q84" s="1865">
        <v>32.528063000000003</v>
      </c>
      <c r="R84" s="1865"/>
      <c r="S84" s="1335"/>
      <c r="T84" s="1865"/>
      <c r="U84" s="1865"/>
      <c r="V84" s="1865"/>
      <c r="W84" s="1865"/>
      <c r="X84" s="1850">
        <v>628.63300000000004</v>
      </c>
      <c r="Y84" s="1850">
        <v>69.630151999999995</v>
      </c>
      <c r="Z84" s="1850"/>
      <c r="AA84" s="1850"/>
      <c r="AB84" s="1850"/>
      <c r="AC84" s="1850"/>
      <c r="AD84" s="1857">
        <v>4771.5389999999998</v>
      </c>
      <c r="AE84" s="1857">
        <v>685.66134</v>
      </c>
      <c r="AF84" s="1857">
        <v>3533.788</v>
      </c>
      <c r="AG84" s="1857">
        <v>604.04528600000003</v>
      </c>
      <c r="AH84" s="1857">
        <v>302.839</v>
      </c>
      <c r="AI84" s="1857">
        <v>46.949672</v>
      </c>
      <c r="AJ84" s="1857"/>
      <c r="AK84" s="1857"/>
      <c r="AL84" s="1857"/>
      <c r="AM84" s="1857"/>
      <c r="AN84" s="1857"/>
      <c r="AO84" s="1857"/>
      <c r="AP84" s="1857"/>
      <c r="AQ84" s="1857"/>
      <c r="AR84" s="1857"/>
      <c r="AS84" s="1857"/>
      <c r="AT84" s="1857"/>
      <c r="AU84" s="1857"/>
      <c r="AV84" s="1857">
        <v>1646.204</v>
      </c>
      <c r="AW84" s="1857">
        <v>213.704487</v>
      </c>
      <c r="AX84" s="1857">
        <v>552.35699999999997</v>
      </c>
      <c r="AY84" s="1857">
        <v>116.416439</v>
      </c>
      <c r="AZ84" s="1857">
        <v>581.34199999999998</v>
      </c>
      <c r="BA84" s="1857">
        <v>43.269919000000002</v>
      </c>
      <c r="BB84" s="1857"/>
      <c r="BC84" s="1857"/>
      <c r="BD84" s="1857"/>
      <c r="BE84" s="1857"/>
      <c r="BF84" s="1857"/>
      <c r="BG84" s="1857"/>
      <c r="BH84" s="1857"/>
      <c r="BI84" s="1857"/>
      <c r="BJ84" s="1857"/>
      <c r="BK84" s="1857"/>
      <c r="BL84" s="1857"/>
      <c r="BM84" s="1857"/>
    </row>
    <row r="85" spans="1:65" hidden="1">
      <c r="A85" s="1854" t="s">
        <v>19</v>
      </c>
      <c r="B85" s="1865">
        <v>6032.3149999999996</v>
      </c>
      <c r="C85" s="1865"/>
      <c r="D85" s="1865">
        <v>2447.0970000000002</v>
      </c>
      <c r="E85" s="1865">
        <v>1441.21</v>
      </c>
      <c r="F85" s="1865">
        <v>834.34199999999998</v>
      </c>
      <c r="G85" s="1850">
        <v>1318.5070000000001</v>
      </c>
      <c r="H85" s="1865">
        <v>6838.2219999999998</v>
      </c>
      <c r="I85" s="1865">
        <v>1077.4183390000001</v>
      </c>
      <c r="J85" s="1857">
        <v>4592.2790000000005</v>
      </c>
      <c r="K85" s="1850">
        <v>848.78621399999997</v>
      </c>
      <c r="L85" s="1857">
        <v>31.491</v>
      </c>
      <c r="M85" s="1857">
        <v>93.452937000000006</v>
      </c>
      <c r="N85" s="1857">
        <v>47.731999999999999</v>
      </c>
      <c r="O85" s="1857">
        <v>26.222273999999999</v>
      </c>
      <c r="P85" s="1857">
        <v>831.19799999999998</v>
      </c>
      <c r="Q85" s="1865">
        <v>30.648026000000002</v>
      </c>
      <c r="R85" s="1865"/>
      <c r="S85" s="1335"/>
      <c r="T85" s="1865"/>
      <c r="U85" s="1865"/>
      <c r="V85" s="1865"/>
      <c r="W85" s="1865"/>
      <c r="X85" s="1850">
        <v>526.22</v>
      </c>
      <c r="Y85" s="1850">
        <v>58.248010999999998</v>
      </c>
      <c r="Z85" s="1850"/>
      <c r="AA85" s="1850"/>
      <c r="AB85" s="1850"/>
      <c r="AC85" s="1850"/>
      <c r="AD85" s="1857">
        <v>5321.5159999999996</v>
      </c>
      <c r="AE85" s="1857">
        <v>866.60880099999997</v>
      </c>
      <c r="AF85" s="1857">
        <v>4138.37</v>
      </c>
      <c r="AG85" s="1857">
        <v>760.02604899999994</v>
      </c>
      <c r="AH85" s="1857">
        <v>293.53899999999999</v>
      </c>
      <c r="AI85" s="1857">
        <v>72.389578999999998</v>
      </c>
      <c r="AJ85" s="1857"/>
      <c r="AK85" s="1857"/>
      <c r="AL85" s="1857"/>
      <c r="AM85" s="1857"/>
      <c r="AN85" s="1857"/>
      <c r="AO85" s="1857"/>
      <c r="AP85" s="1857"/>
      <c r="AQ85" s="1857"/>
      <c r="AR85" s="1857"/>
      <c r="AS85" s="1857"/>
      <c r="AT85" s="1857"/>
      <c r="AU85" s="1857"/>
      <c r="AV85" s="1857">
        <v>1516.7059999999999</v>
      </c>
      <c r="AW85" s="1857">
        <v>210.80953700000001</v>
      </c>
      <c r="AX85" s="1857">
        <v>501.64100000000002</v>
      </c>
      <c r="AY85" s="1857">
        <v>114.982439</v>
      </c>
      <c r="AZ85" s="1857">
        <v>569.15</v>
      </c>
      <c r="BA85" s="1857">
        <v>51.711384000000002</v>
      </c>
      <c r="BB85" s="1857"/>
      <c r="BC85" s="1857"/>
      <c r="BD85" s="1857"/>
      <c r="BE85" s="1857"/>
      <c r="BF85" s="1857"/>
      <c r="BG85" s="1857"/>
      <c r="BH85" s="1857"/>
      <c r="BI85" s="1857"/>
      <c r="BJ85" s="1857"/>
      <c r="BK85" s="1857"/>
      <c r="BL85" s="1857"/>
      <c r="BM85" s="1857"/>
    </row>
    <row r="86" spans="1:65" hidden="1">
      <c r="A86" s="1854" t="s">
        <v>20</v>
      </c>
      <c r="B86" s="1865">
        <v>6037.6459999999997</v>
      </c>
      <c r="C86" s="1865"/>
      <c r="D86" s="1865">
        <v>2460.817</v>
      </c>
      <c r="E86" s="1865">
        <v>1441.748</v>
      </c>
      <c r="F86" s="1865">
        <v>853.70100000000002</v>
      </c>
      <c r="G86" s="1850">
        <v>1281.3800000000001</v>
      </c>
      <c r="H86" s="1865">
        <v>7636.8320000000003</v>
      </c>
      <c r="I86" s="1865">
        <v>1136.897874</v>
      </c>
      <c r="J86" s="1857">
        <v>5123.07</v>
      </c>
      <c r="K86" s="1850">
        <v>894.35684400000002</v>
      </c>
      <c r="L86" s="1857">
        <v>29.030999999999999</v>
      </c>
      <c r="M86" s="1857">
        <v>82.639399999999995</v>
      </c>
      <c r="N86" s="1857">
        <v>47.948</v>
      </c>
      <c r="O86" s="1857">
        <v>24.205006000000001</v>
      </c>
      <c r="P86" s="1857">
        <v>908.44299999999998</v>
      </c>
      <c r="Q86" s="1865">
        <v>34.388142000000002</v>
      </c>
      <c r="R86" s="1865"/>
      <c r="S86" s="1335"/>
      <c r="T86" s="1865"/>
      <c r="U86" s="1865"/>
      <c r="V86" s="1865"/>
      <c r="W86" s="1865"/>
      <c r="X86" s="1850">
        <v>579.50300000000004</v>
      </c>
      <c r="Y86" s="1850">
        <v>80.210808999999998</v>
      </c>
      <c r="Z86" s="1850"/>
      <c r="AA86" s="1850"/>
      <c r="AB86" s="1850"/>
      <c r="AC86" s="1850"/>
      <c r="AD86" s="1857">
        <v>6039.13</v>
      </c>
      <c r="AE86" s="1857">
        <v>917.564978</v>
      </c>
      <c r="AF86" s="1857">
        <v>4679.2870000000003</v>
      </c>
      <c r="AG86" s="1857">
        <v>811.52276099999995</v>
      </c>
      <c r="AH86" s="1857">
        <v>328.096</v>
      </c>
      <c r="AI86" s="1857">
        <v>65.745133999999993</v>
      </c>
      <c r="AJ86" s="1857"/>
      <c r="AK86" s="1857"/>
      <c r="AL86" s="1857"/>
      <c r="AM86" s="1857"/>
      <c r="AN86" s="1857"/>
      <c r="AO86" s="1857"/>
      <c r="AP86" s="1857"/>
      <c r="AQ86" s="1857"/>
      <c r="AR86" s="1857"/>
      <c r="AS86" s="1857"/>
      <c r="AT86" s="1857"/>
      <c r="AU86" s="1857"/>
      <c r="AV86" s="1857">
        <v>1597.702</v>
      </c>
      <c r="AW86" s="1857">
        <v>219.33289600000001</v>
      </c>
      <c r="AX86" s="1857">
        <v>491.73099999999999</v>
      </c>
      <c r="AY86" s="1857">
        <v>107.039089</v>
      </c>
      <c r="AZ86" s="1857">
        <v>609.37800000000004</v>
      </c>
      <c r="BA86" s="1857">
        <v>51.282407999999997</v>
      </c>
      <c r="BB86" s="1857"/>
      <c r="BC86" s="1857"/>
      <c r="BD86" s="1857"/>
      <c r="BE86" s="1857"/>
      <c r="BF86" s="1857"/>
      <c r="BG86" s="1857"/>
      <c r="BH86" s="1857"/>
      <c r="BI86" s="1857"/>
      <c r="BJ86" s="1857"/>
      <c r="BK86" s="1857"/>
      <c r="BL86" s="1857"/>
      <c r="BM86" s="1857"/>
    </row>
    <row r="87" spans="1:65" hidden="1">
      <c r="A87" s="1854" t="s">
        <v>21</v>
      </c>
      <c r="B87" s="1865">
        <v>6048.616</v>
      </c>
      <c r="C87" s="1865"/>
      <c r="D87" s="1865">
        <v>2471.239</v>
      </c>
      <c r="E87" s="1865">
        <v>1443.7339999999999</v>
      </c>
      <c r="F87" s="1865">
        <v>869.91399999999999</v>
      </c>
      <c r="G87" s="1850">
        <v>1263.729</v>
      </c>
      <c r="H87" s="1865">
        <v>7074.6549999999997</v>
      </c>
      <c r="I87" s="1865">
        <v>1052.7459140000001</v>
      </c>
      <c r="J87" s="1857">
        <v>4689.3289999999997</v>
      </c>
      <c r="K87" s="1850">
        <v>831.17927899999995</v>
      </c>
      <c r="L87" s="1857">
        <v>31.338000000000001</v>
      </c>
      <c r="M87" s="1857">
        <v>82.119279000000006</v>
      </c>
      <c r="N87" s="1857">
        <v>47.079000000000001</v>
      </c>
      <c r="O87" s="1857">
        <v>26.654919</v>
      </c>
      <c r="P87" s="1857">
        <v>830.83600000000001</v>
      </c>
      <c r="Q87" s="1865">
        <v>29.812194000000002</v>
      </c>
      <c r="R87" s="1865"/>
      <c r="S87" s="1335"/>
      <c r="T87" s="1865"/>
      <c r="U87" s="1865"/>
      <c r="V87" s="1865"/>
      <c r="W87" s="1865"/>
      <c r="X87" s="1850">
        <v>510.47300000000001</v>
      </c>
      <c r="Y87" s="1850">
        <v>61.955136000000003</v>
      </c>
      <c r="Z87" s="1850"/>
      <c r="AA87" s="1850"/>
      <c r="AB87" s="1850"/>
      <c r="AC87" s="1850"/>
      <c r="AD87" s="1857">
        <v>5554.665</v>
      </c>
      <c r="AE87" s="1857">
        <v>857.85576500000002</v>
      </c>
      <c r="AF87" s="1857">
        <v>4264.45</v>
      </c>
      <c r="AG87" s="1857">
        <v>754.82326699999999</v>
      </c>
      <c r="AH87" s="1857">
        <v>302.75799999999998</v>
      </c>
      <c r="AI87" s="1857">
        <v>66.721624000000006</v>
      </c>
      <c r="AJ87" s="1857"/>
      <c r="AK87" s="1857"/>
      <c r="AL87" s="1857"/>
      <c r="AM87" s="1857"/>
      <c r="AN87" s="1857"/>
      <c r="AO87" s="1857"/>
      <c r="AP87" s="1857"/>
      <c r="AQ87" s="1857"/>
      <c r="AR87" s="1857"/>
      <c r="AS87" s="1857"/>
      <c r="AT87" s="1857"/>
      <c r="AU87" s="1857"/>
      <c r="AV87" s="1857">
        <v>1519.99</v>
      </c>
      <c r="AW87" s="1857">
        <v>194.89014900000001</v>
      </c>
      <c r="AX87" s="1857">
        <v>471.95800000000003</v>
      </c>
      <c r="AY87" s="1857">
        <v>103.010931</v>
      </c>
      <c r="AZ87" s="1857">
        <v>559.41600000000005</v>
      </c>
      <c r="BA87" s="1857">
        <v>45.209848000000001</v>
      </c>
      <c r="BB87" s="1857"/>
      <c r="BC87" s="1857"/>
      <c r="BD87" s="1857"/>
      <c r="BE87" s="1857"/>
      <c r="BF87" s="1857"/>
      <c r="BG87" s="1857"/>
      <c r="BH87" s="1857"/>
      <c r="BI87" s="1857"/>
      <c r="BJ87" s="1857"/>
      <c r="BK87" s="1857"/>
      <c r="BL87" s="1857"/>
      <c r="BM87" s="1857"/>
    </row>
    <row r="88" spans="1:65" hidden="1">
      <c r="A88" s="1854" t="s">
        <v>22</v>
      </c>
      <c r="B88" s="1865">
        <v>6073.7290000000003</v>
      </c>
      <c r="C88" s="1865"/>
      <c r="D88" s="1865">
        <v>2482.0529999999999</v>
      </c>
      <c r="E88" s="1865">
        <v>1450.202</v>
      </c>
      <c r="F88" s="1865">
        <v>873.60699999999997</v>
      </c>
      <c r="G88" s="1850">
        <v>1267.867</v>
      </c>
      <c r="H88" s="1865">
        <v>7067.6930000000002</v>
      </c>
      <c r="I88" s="1865">
        <v>982.52083500000003</v>
      </c>
      <c r="J88" s="1857">
        <v>4672.4369999999999</v>
      </c>
      <c r="K88" s="1850">
        <v>792.80112399999996</v>
      </c>
      <c r="L88" s="1857">
        <v>26.442</v>
      </c>
      <c r="M88" s="1857">
        <v>54.423495000000003</v>
      </c>
      <c r="N88" s="1857">
        <v>48.56</v>
      </c>
      <c r="O88" s="1857">
        <v>25.659988999999999</v>
      </c>
      <c r="P88" s="1857">
        <v>898.07299999999998</v>
      </c>
      <c r="Q88" s="1865">
        <v>30.734183999999999</v>
      </c>
      <c r="R88" s="1865"/>
      <c r="S88" s="1335"/>
      <c r="T88" s="1865"/>
      <c r="U88" s="1865"/>
      <c r="V88" s="1865"/>
      <c r="W88" s="1865"/>
      <c r="X88" s="1850">
        <v>489.53</v>
      </c>
      <c r="Y88" s="1850">
        <v>58.954884999999997</v>
      </c>
      <c r="Z88" s="1850"/>
      <c r="AA88" s="1850"/>
      <c r="AB88" s="1850"/>
      <c r="AC88" s="1850"/>
      <c r="AD88" s="1857">
        <v>5556.174</v>
      </c>
      <c r="AE88" s="1857">
        <v>807.00143700000001</v>
      </c>
      <c r="AF88" s="1857">
        <v>4278.6570000000002</v>
      </c>
      <c r="AG88" s="1857">
        <v>725.74611800000002</v>
      </c>
      <c r="AH88" s="1857">
        <v>325.64499999999998</v>
      </c>
      <c r="AI88" s="1857">
        <v>46.280754999999999</v>
      </c>
      <c r="AJ88" s="1857"/>
      <c r="AK88" s="1857"/>
      <c r="AL88" s="1857"/>
      <c r="AM88" s="1857"/>
      <c r="AN88" s="1857"/>
      <c r="AO88" s="1857"/>
      <c r="AP88" s="1857"/>
      <c r="AQ88" s="1857"/>
      <c r="AR88" s="1857"/>
      <c r="AS88" s="1857"/>
      <c r="AT88" s="1857"/>
      <c r="AU88" s="1857"/>
      <c r="AV88" s="1857">
        <v>1511.519</v>
      </c>
      <c r="AW88" s="1857">
        <v>175.519398</v>
      </c>
      <c r="AX88" s="1857">
        <v>442.34</v>
      </c>
      <c r="AY88" s="1857">
        <v>92.714994000000004</v>
      </c>
      <c r="AZ88" s="1857">
        <v>598.70000000000005</v>
      </c>
      <c r="BA88" s="1857">
        <v>38.876924000000002</v>
      </c>
      <c r="BB88" s="1857"/>
      <c r="BC88" s="1857"/>
      <c r="BD88" s="1857"/>
      <c r="BE88" s="1857"/>
      <c r="BF88" s="1857"/>
      <c r="BG88" s="1857"/>
      <c r="BH88" s="1857"/>
      <c r="BI88" s="1857"/>
      <c r="BJ88" s="1857"/>
      <c r="BK88" s="1857"/>
      <c r="BL88" s="1857"/>
      <c r="BM88" s="1857"/>
    </row>
    <row r="89" spans="1:65" hidden="1">
      <c r="A89" s="1854" t="s">
        <v>23</v>
      </c>
      <c r="B89" s="1865">
        <v>6088.39</v>
      </c>
      <c r="C89" s="1865"/>
      <c r="D89" s="1865">
        <v>2484.4679999999998</v>
      </c>
      <c r="E89" s="1865">
        <v>1452.2560000000001</v>
      </c>
      <c r="F89" s="1865">
        <v>907.40300000000002</v>
      </c>
      <c r="G89" s="1850">
        <v>1244.2629999999999</v>
      </c>
      <c r="H89" s="1865">
        <v>6951.9650000000001</v>
      </c>
      <c r="I89" s="1865">
        <v>985.266167</v>
      </c>
      <c r="J89" s="1857">
        <v>4548.2579999999998</v>
      </c>
      <c r="K89" s="1850">
        <v>785.29303300000004</v>
      </c>
      <c r="L89" s="1857">
        <v>24.771999999999998</v>
      </c>
      <c r="M89" s="1857">
        <v>56.171588</v>
      </c>
      <c r="N89" s="1857">
        <v>49.046999999999997</v>
      </c>
      <c r="O89" s="1857">
        <v>23.791639</v>
      </c>
      <c r="P89" s="1857">
        <v>857.99300000000005</v>
      </c>
      <c r="Q89" s="1865">
        <v>33.814489999999999</v>
      </c>
      <c r="R89" s="1865"/>
      <c r="S89" s="1335"/>
      <c r="T89" s="1865"/>
      <c r="U89" s="1865"/>
      <c r="V89" s="1865"/>
      <c r="W89" s="1865"/>
      <c r="X89" s="1850">
        <v>520.11300000000006</v>
      </c>
      <c r="Y89" s="1850">
        <v>64.705067999999997</v>
      </c>
      <c r="Z89" s="1850"/>
      <c r="AA89" s="1850"/>
      <c r="AB89" s="1850"/>
      <c r="AC89" s="1850"/>
      <c r="AD89" s="1857">
        <v>5469.34</v>
      </c>
      <c r="AE89" s="1857">
        <v>805.86586899999998</v>
      </c>
      <c r="AF89" s="1857">
        <v>4171.4269999999997</v>
      </c>
      <c r="AG89" s="1857">
        <v>716.52207399999998</v>
      </c>
      <c r="AH89" s="1857">
        <v>319.28899999999999</v>
      </c>
      <c r="AI89" s="1857">
        <v>52.443016</v>
      </c>
      <c r="AJ89" s="1857"/>
      <c r="AK89" s="1857"/>
      <c r="AL89" s="1857"/>
      <c r="AM89" s="1857"/>
      <c r="AN89" s="1857"/>
      <c r="AO89" s="1857"/>
      <c r="AP89" s="1857"/>
      <c r="AQ89" s="1857"/>
      <c r="AR89" s="1857"/>
      <c r="AS89" s="1857"/>
      <c r="AT89" s="1857"/>
      <c r="AU89" s="1857"/>
      <c r="AV89" s="1857">
        <v>1482.355</v>
      </c>
      <c r="AW89" s="1857">
        <v>179.40029799999999</v>
      </c>
      <c r="AX89" s="1857">
        <v>425.87799999999999</v>
      </c>
      <c r="AY89" s="1857">
        <v>92.562597999999994</v>
      </c>
      <c r="AZ89" s="1857">
        <v>563.476</v>
      </c>
      <c r="BA89" s="1857">
        <v>37.543033000000001</v>
      </c>
      <c r="BB89" s="1857"/>
      <c r="BC89" s="1857"/>
      <c r="BD89" s="1857"/>
      <c r="BE89" s="1857"/>
      <c r="BF89" s="1857"/>
      <c r="BG89" s="1857"/>
      <c r="BH89" s="1857"/>
      <c r="BI89" s="1857"/>
      <c r="BJ89" s="1857"/>
      <c r="BK89" s="1857"/>
      <c r="BL89" s="1857"/>
      <c r="BM89" s="1857"/>
    </row>
    <row r="90" spans="1:65" hidden="1">
      <c r="A90" s="1854" t="s">
        <v>24</v>
      </c>
      <c r="B90" s="1865">
        <v>5855.8990000000003</v>
      </c>
      <c r="C90" s="1865"/>
      <c r="D90" s="1865">
        <v>2486.2600000000002</v>
      </c>
      <c r="E90" s="1865">
        <v>1474.749</v>
      </c>
      <c r="F90" s="1865">
        <v>703.92200000000003</v>
      </c>
      <c r="G90" s="1850">
        <v>1190.9680000000001</v>
      </c>
      <c r="H90" s="1865">
        <v>7358.7659999999996</v>
      </c>
      <c r="I90" s="1865">
        <v>1123.5674529999999</v>
      </c>
      <c r="J90" s="1857">
        <v>4777.2169999999996</v>
      </c>
      <c r="K90" s="1850">
        <v>887.26299700000004</v>
      </c>
      <c r="L90" s="1857">
        <v>28.36</v>
      </c>
      <c r="M90" s="1857">
        <v>70.181286999999998</v>
      </c>
      <c r="N90" s="1857">
        <v>51.164000000000001</v>
      </c>
      <c r="O90" s="1857">
        <v>26.048669</v>
      </c>
      <c r="P90" s="1857">
        <v>897.61099999999999</v>
      </c>
      <c r="Q90" s="1865">
        <v>34.942127999999997</v>
      </c>
      <c r="R90" s="1865"/>
      <c r="S90" s="1335"/>
      <c r="T90" s="1865"/>
      <c r="U90" s="1865"/>
      <c r="V90" s="1865"/>
      <c r="W90" s="1865"/>
      <c r="X90" s="1850">
        <v>564.37699999999995</v>
      </c>
      <c r="Y90" s="1850">
        <v>80.819238999999996</v>
      </c>
      <c r="Z90" s="1850"/>
      <c r="AA90" s="1850"/>
      <c r="AB90" s="1850"/>
      <c r="AC90" s="1850"/>
      <c r="AD90" s="1857">
        <v>5844.8969999999999</v>
      </c>
      <c r="AE90" s="1857">
        <v>932.17335100000003</v>
      </c>
      <c r="AF90" s="1857">
        <v>4411.9380000000001</v>
      </c>
      <c r="AG90" s="1857">
        <v>824.72488799999996</v>
      </c>
      <c r="AH90" s="1857">
        <v>354.90699999999998</v>
      </c>
      <c r="AI90" s="1857">
        <v>64.468579000000005</v>
      </c>
      <c r="AJ90" s="1857"/>
      <c r="AK90" s="1857"/>
      <c r="AL90" s="1857"/>
      <c r="AM90" s="1857"/>
      <c r="AN90" s="1857"/>
      <c r="AO90" s="1857"/>
      <c r="AP90" s="1857"/>
      <c r="AQ90" s="1857"/>
      <c r="AR90" s="1857"/>
      <c r="AS90" s="1857"/>
      <c r="AT90" s="1857"/>
      <c r="AU90" s="1857"/>
      <c r="AV90" s="1857">
        <v>1513.8689999999999</v>
      </c>
      <c r="AW90" s="1857">
        <v>191.394102</v>
      </c>
      <c r="AX90" s="1857">
        <v>416.44299999999998</v>
      </c>
      <c r="AY90" s="1857">
        <v>88.586779000000007</v>
      </c>
      <c r="AZ90" s="1857">
        <v>571.06399999999996</v>
      </c>
      <c r="BA90" s="1857">
        <v>40.654836000000003</v>
      </c>
      <c r="BB90" s="1857"/>
      <c r="BC90" s="1857"/>
      <c r="BD90" s="1857"/>
      <c r="BE90" s="1857"/>
      <c r="BF90" s="1857"/>
      <c r="BG90" s="1857"/>
      <c r="BH90" s="1857"/>
      <c r="BI90" s="1857"/>
      <c r="BJ90" s="1857"/>
      <c r="BK90" s="1857"/>
      <c r="BL90" s="1857"/>
      <c r="BM90" s="1857"/>
    </row>
    <row r="91" spans="1:65" hidden="1">
      <c r="A91" s="1854" t="s">
        <v>25</v>
      </c>
      <c r="B91" s="1865">
        <v>5759.4290000000001</v>
      </c>
      <c r="C91" s="1865"/>
      <c r="D91" s="1865">
        <v>2455.9029999999998</v>
      </c>
      <c r="E91" s="1865">
        <v>1465.1579999999999</v>
      </c>
      <c r="F91" s="1865">
        <v>677.80799999999999</v>
      </c>
      <c r="G91" s="1850">
        <v>1160.56</v>
      </c>
      <c r="H91" s="1865">
        <v>6785.0780000000004</v>
      </c>
      <c r="I91" s="1865">
        <v>996.88386355199998</v>
      </c>
      <c r="J91" s="1857">
        <v>4283.6099999999997</v>
      </c>
      <c r="K91" s="1850">
        <v>756.00812005</v>
      </c>
      <c r="L91" s="1857">
        <v>28.756</v>
      </c>
      <c r="M91" s="1857">
        <v>65.422921579999993</v>
      </c>
      <c r="N91" s="1857">
        <v>51.064999999999998</v>
      </c>
      <c r="O91" s="1857">
        <v>26.512035999999998</v>
      </c>
      <c r="P91" s="1857">
        <v>853.899</v>
      </c>
      <c r="Q91" s="1865">
        <v>31.915308</v>
      </c>
      <c r="R91" s="1865"/>
      <c r="S91" s="1335"/>
      <c r="T91" s="1865"/>
      <c r="U91" s="1865"/>
      <c r="V91" s="1865"/>
      <c r="W91" s="1865"/>
      <c r="X91" s="1850">
        <v>608.22799999999995</v>
      </c>
      <c r="Y91" s="1850">
        <v>91.240618999999995</v>
      </c>
      <c r="Z91" s="1850"/>
      <c r="AA91" s="1850"/>
      <c r="AB91" s="1850"/>
      <c r="AC91" s="1850"/>
      <c r="AD91" s="1857">
        <v>5245.085</v>
      </c>
      <c r="AE91" s="1857">
        <v>793.16433700000005</v>
      </c>
      <c r="AF91" s="1857">
        <v>3907.0279999999998</v>
      </c>
      <c r="AG91" s="1857">
        <v>689.40557799999999</v>
      </c>
      <c r="AH91" s="1857">
        <v>312.303</v>
      </c>
      <c r="AI91" s="1857">
        <v>56.008146000000004</v>
      </c>
      <c r="AJ91" s="1857"/>
      <c r="AK91" s="1857"/>
      <c r="AL91" s="1857"/>
      <c r="AM91" s="1857"/>
      <c r="AN91" s="1857"/>
      <c r="AO91" s="1857"/>
      <c r="AP91" s="1857"/>
      <c r="AQ91" s="1857"/>
      <c r="AR91" s="1857"/>
      <c r="AS91" s="1857"/>
      <c r="AT91" s="1857"/>
      <c r="AU91" s="1857"/>
      <c r="AV91" s="1857">
        <v>1539.9929999999999</v>
      </c>
      <c r="AW91" s="1857">
        <v>203.719525</v>
      </c>
      <c r="AX91" s="1857">
        <v>427.64699999999999</v>
      </c>
      <c r="AY91" s="1857">
        <v>93.114576999999997</v>
      </c>
      <c r="AZ91" s="1857">
        <v>570.35199999999998</v>
      </c>
      <c r="BA91" s="1857">
        <v>41.330083000000002</v>
      </c>
      <c r="BB91" s="1857"/>
      <c r="BC91" s="1857"/>
      <c r="BD91" s="1857"/>
      <c r="BE91" s="1857"/>
      <c r="BF91" s="1857"/>
      <c r="BG91" s="1857"/>
      <c r="BH91" s="1857"/>
      <c r="BI91" s="1857"/>
      <c r="BJ91" s="1857"/>
      <c r="BK91" s="1857"/>
      <c r="BL91" s="1857"/>
      <c r="BM91" s="1857"/>
    </row>
    <row r="92" spans="1:65" hidden="1">
      <c r="A92" s="1854" t="s">
        <v>26</v>
      </c>
      <c r="B92" s="1865">
        <v>5647.3069999999998</v>
      </c>
      <c r="C92" s="1865"/>
      <c r="D92" s="1865">
        <v>2386.44</v>
      </c>
      <c r="E92" s="1865">
        <v>1470.549</v>
      </c>
      <c r="F92" s="1865">
        <v>656.83900000000006</v>
      </c>
      <c r="G92" s="1850">
        <v>1133.479</v>
      </c>
      <c r="H92" s="1865">
        <v>7002.4930000000004</v>
      </c>
      <c r="I92" s="1865">
        <v>962.385896</v>
      </c>
      <c r="J92" s="1857">
        <v>4598.8329999999996</v>
      </c>
      <c r="K92" s="1850">
        <v>748.074928</v>
      </c>
      <c r="L92" s="1857">
        <v>27.83</v>
      </c>
      <c r="M92" s="1857">
        <v>56.655070000000002</v>
      </c>
      <c r="N92" s="1857">
        <v>52.71</v>
      </c>
      <c r="O92" s="1857">
        <v>29.062552</v>
      </c>
      <c r="P92" s="1857">
        <v>834.45699999999999</v>
      </c>
      <c r="Q92" s="1865">
        <v>33.769742999999998</v>
      </c>
      <c r="R92" s="1865"/>
      <c r="S92" s="1335"/>
      <c r="T92" s="1865"/>
      <c r="U92" s="1865"/>
      <c r="V92" s="1865"/>
      <c r="W92" s="1865"/>
      <c r="X92" s="1850">
        <v>518.93299999999999</v>
      </c>
      <c r="Y92" s="1850">
        <v>69.694760000000002</v>
      </c>
      <c r="Z92" s="1850"/>
      <c r="AA92" s="1850"/>
      <c r="AB92" s="1850"/>
      <c r="AC92" s="1850"/>
      <c r="AD92" s="1857">
        <v>5540.0020000000004</v>
      </c>
      <c r="AE92" s="1857">
        <v>783.74276699999996</v>
      </c>
      <c r="AF92" s="1857">
        <v>4237.9889999999996</v>
      </c>
      <c r="AG92" s="1857">
        <v>691.08805299999995</v>
      </c>
      <c r="AH92" s="1857">
        <v>312.56299999999999</v>
      </c>
      <c r="AI92" s="1857">
        <v>52.691738000000001</v>
      </c>
      <c r="AJ92" s="1857"/>
      <c r="AK92" s="1857"/>
      <c r="AL92" s="1857"/>
      <c r="AM92" s="1857"/>
      <c r="AN92" s="1857"/>
      <c r="AO92" s="1857"/>
      <c r="AP92" s="1857"/>
      <c r="AQ92" s="1857"/>
      <c r="AR92" s="1857"/>
      <c r="AS92" s="1857"/>
      <c r="AT92" s="1857"/>
      <c r="AU92" s="1857"/>
      <c r="AV92" s="1857">
        <v>1462.491</v>
      </c>
      <c r="AW92" s="1857">
        <v>178.64312799999999</v>
      </c>
      <c r="AX92" s="1857">
        <v>413.55399999999997</v>
      </c>
      <c r="AY92" s="1857">
        <v>86.049425999999997</v>
      </c>
      <c r="AZ92" s="1857">
        <v>549.72400000000005</v>
      </c>
      <c r="BA92" s="1857">
        <v>37.733074999999999</v>
      </c>
      <c r="BB92" s="1857"/>
      <c r="BC92" s="1857"/>
      <c r="BD92" s="1857"/>
      <c r="BE92" s="1857"/>
      <c r="BF92" s="1857"/>
      <c r="BG92" s="1857"/>
      <c r="BH92" s="1857"/>
      <c r="BI92" s="1857"/>
      <c r="BJ92" s="1857"/>
      <c r="BK92" s="1857"/>
      <c r="BL92" s="1857"/>
      <c r="BM92" s="1857"/>
    </row>
    <row r="93" spans="1:65" hidden="1">
      <c r="A93" s="1854" t="s">
        <v>27</v>
      </c>
      <c r="B93" s="1865">
        <v>5685.1149999999998</v>
      </c>
      <c r="C93" s="1865"/>
      <c r="D93" s="1865">
        <v>2425.2420000000002</v>
      </c>
      <c r="E93" s="1865">
        <v>1483.4839999999999</v>
      </c>
      <c r="F93" s="1865">
        <v>663.30600000000004</v>
      </c>
      <c r="G93" s="1850">
        <v>1113.0830000000001</v>
      </c>
      <c r="H93" s="1865">
        <v>7401.5879999999997</v>
      </c>
      <c r="I93" s="1865">
        <v>1028.980057</v>
      </c>
      <c r="J93" s="1857">
        <v>5076.9799999999996</v>
      </c>
      <c r="K93" s="1850">
        <v>813.30048999999997</v>
      </c>
      <c r="L93" s="1857">
        <v>26.893999999999998</v>
      </c>
      <c r="M93" s="1857">
        <v>60.823455000000003</v>
      </c>
      <c r="N93" s="1857">
        <v>89.126000000000005</v>
      </c>
      <c r="O93" s="1857">
        <v>31.896750999999998</v>
      </c>
      <c r="P93" s="1857">
        <v>666.77</v>
      </c>
      <c r="Q93" s="1865">
        <v>32.990642000000001</v>
      </c>
      <c r="R93" s="1865"/>
      <c r="S93" s="1335"/>
      <c r="T93" s="1865"/>
      <c r="U93" s="1865"/>
      <c r="V93" s="1865"/>
      <c r="W93" s="1865"/>
      <c r="X93" s="1850">
        <v>541.53800000000001</v>
      </c>
      <c r="Y93" s="1850">
        <v>62.980297999999998</v>
      </c>
      <c r="Z93" s="1850"/>
      <c r="AA93" s="1850"/>
      <c r="AB93" s="1850"/>
      <c r="AC93" s="1850"/>
      <c r="AD93" s="1857">
        <v>6128.7330000000002</v>
      </c>
      <c r="AE93" s="1857">
        <v>862.72563700000001</v>
      </c>
      <c r="AF93" s="1857">
        <v>4773.027</v>
      </c>
      <c r="AG93" s="1857">
        <v>764.26900000000001</v>
      </c>
      <c r="AH93" s="1857">
        <v>310.315</v>
      </c>
      <c r="AI93" s="1857">
        <v>57.968201000000001</v>
      </c>
      <c r="AJ93" s="1857"/>
      <c r="AK93" s="1857"/>
      <c r="AL93" s="1857"/>
      <c r="AM93" s="1857"/>
      <c r="AN93" s="1857"/>
      <c r="AO93" s="1857"/>
      <c r="AP93" s="1857"/>
      <c r="AQ93" s="1857"/>
      <c r="AR93" s="1857"/>
      <c r="AS93" s="1857"/>
      <c r="AT93" s="1857"/>
      <c r="AU93" s="1857"/>
      <c r="AV93" s="1857">
        <v>1272.855</v>
      </c>
      <c r="AW93" s="1857">
        <v>166.25441900000001</v>
      </c>
      <c r="AX93" s="1857">
        <v>393.07900000000001</v>
      </c>
      <c r="AY93" s="1857">
        <v>80.927852000000001</v>
      </c>
      <c r="AZ93" s="1857">
        <v>383.34899999999999</v>
      </c>
      <c r="BA93" s="1857">
        <v>35.845896000000003</v>
      </c>
      <c r="BB93" s="1857"/>
      <c r="BC93" s="1857"/>
      <c r="BD93" s="1857"/>
      <c r="BE93" s="1857"/>
      <c r="BF93" s="1857"/>
      <c r="BG93" s="1857"/>
      <c r="BH93" s="1857"/>
      <c r="BI93" s="1857"/>
      <c r="BJ93" s="1857"/>
      <c r="BK93" s="1857"/>
      <c r="BL93" s="1857"/>
      <c r="BM93" s="1857"/>
    </row>
    <row r="94" spans="1:65" hidden="1">
      <c r="A94" s="1854" t="s">
        <v>28</v>
      </c>
      <c r="B94" s="1865">
        <v>5678.5829999999996</v>
      </c>
      <c r="C94" s="1865"/>
      <c r="D94" s="1865">
        <v>2447.7910000000002</v>
      </c>
      <c r="E94" s="1865">
        <v>1473.1220000000001</v>
      </c>
      <c r="F94" s="1865">
        <v>669.11099999999999</v>
      </c>
      <c r="G94" s="1850">
        <v>1088.559</v>
      </c>
      <c r="H94" s="1865">
        <v>6872.3829999999998</v>
      </c>
      <c r="I94" s="1865">
        <v>976.09532718000003</v>
      </c>
      <c r="J94" s="1857">
        <v>4567.3389999999999</v>
      </c>
      <c r="K94" s="1850">
        <v>776.81800899999996</v>
      </c>
      <c r="L94" s="1857">
        <v>25.216000000000001</v>
      </c>
      <c r="M94" s="1857">
        <v>48.122407000000003</v>
      </c>
      <c r="N94" s="1857">
        <v>69.983999999999995</v>
      </c>
      <c r="O94" s="1857">
        <v>30.014154999999999</v>
      </c>
      <c r="P94" s="1857">
        <v>613.07299999999998</v>
      </c>
      <c r="Q94" s="1865">
        <v>30.859254</v>
      </c>
      <c r="R94" s="1865"/>
      <c r="S94" s="1335"/>
      <c r="T94" s="1865"/>
      <c r="U94" s="1865"/>
      <c r="V94" s="1865"/>
      <c r="W94" s="1865"/>
      <c r="X94" s="1850">
        <v>594.00699999999995</v>
      </c>
      <c r="Y94" s="1850">
        <v>63.424655999999999</v>
      </c>
      <c r="Z94" s="1850"/>
      <c r="AA94" s="1850"/>
      <c r="AB94" s="1850"/>
      <c r="AC94" s="1850"/>
      <c r="AD94" s="1857">
        <v>5660.5789999999997</v>
      </c>
      <c r="AE94" s="1857">
        <v>816.03335800000002</v>
      </c>
      <c r="AF94" s="1857">
        <v>4268.76</v>
      </c>
      <c r="AG94" s="1857">
        <v>728.57474100000002</v>
      </c>
      <c r="AH94" s="1857">
        <v>310.31400000000002</v>
      </c>
      <c r="AI94" s="1857">
        <v>45.519970999999998</v>
      </c>
      <c r="AJ94" s="1857"/>
      <c r="AK94" s="1857"/>
      <c r="AL94" s="1857"/>
      <c r="AM94" s="1857"/>
      <c r="AN94" s="1857"/>
      <c r="AO94" s="1857"/>
      <c r="AP94" s="1857"/>
      <c r="AQ94" s="1857"/>
      <c r="AR94" s="1857"/>
      <c r="AS94" s="1857"/>
      <c r="AT94" s="1857"/>
      <c r="AU94" s="1857"/>
      <c r="AV94" s="1857">
        <v>1211.8040000000001</v>
      </c>
      <c r="AW94" s="1857">
        <v>160.06196800000001</v>
      </c>
      <c r="AX94" s="1857">
        <v>368.56299999999999</v>
      </c>
      <c r="AY94" s="1857">
        <v>78.257423000000003</v>
      </c>
      <c r="AZ94" s="1857">
        <v>327.97500000000002</v>
      </c>
      <c r="BA94" s="1857">
        <v>33.461689999999997</v>
      </c>
      <c r="BB94" s="1857"/>
      <c r="BC94" s="1857"/>
      <c r="BD94" s="1857"/>
      <c r="BE94" s="1857"/>
      <c r="BF94" s="1857"/>
      <c r="BG94" s="1857"/>
      <c r="BH94" s="1857"/>
      <c r="BI94" s="1857"/>
      <c r="BJ94" s="1857"/>
      <c r="BK94" s="1857"/>
      <c r="BL94" s="1857"/>
      <c r="BM94" s="1857"/>
    </row>
    <row r="95" spans="1:65" hidden="1">
      <c r="A95" s="1854" t="s">
        <v>29</v>
      </c>
      <c r="B95" s="1865">
        <v>5659.4589999999998</v>
      </c>
      <c r="C95" s="1865"/>
      <c r="D95" s="1865">
        <v>2451.259</v>
      </c>
      <c r="E95" s="1865">
        <v>1466.752</v>
      </c>
      <c r="F95" s="1865">
        <v>731.75400000000002</v>
      </c>
      <c r="G95" s="1850">
        <v>1009.736</v>
      </c>
      <c r="H95" s="1865">
        <v>7810.9430000000002</v>
      </c>
      <c r="I95" s="1865">
        <v>1249.8292799999999</v>
      </c>
      <c r="J95" s="1857">
        <v>5335.598</v>
      </c>
      <c r="K95" s="1850">
        <v>906.051605</v>
      </c>
      <c r="L95" s="1857">
        <v>35.709000000000003</v>
      </c>
      <c r="M95" s="1857">
        <v>88.745070299999995</v>
      </c>
      <c r="N95" s="1857">
        <v>77.454999999999998</v>
      </c>
      <c r="O95" s="1857">
        <v>42.960175999999997</v>
      </c>
      <c r="P95" s="1857">
        <v>698.18</v>
      </c>
      <c r="Q95" s="1865">
        <v>38.001322000000002</v>
      </c>
      <c r="R95" s="1865"/>
      <c r="S95" s="1335"/>
      <c r="T95" s="1865"/>
      <c r="U95" s="1865"/>
      <c r="V95" s="1865"/>
      <c r="W95" s="1865"/>
      <c r="X95" s="1850">
        <v>553.41099999999994</v>
      </c>
      <c r="Y95" s="1850">
        <v>74.192710000000005</v>
      </c>
      <c r="Z95" s="1850"/>
      <c r="AA95" s="1850"/>
      <c r="AB95" s="1850"/>
      <c r="AC95" s="1850"/>
      <c r="AD95" s="1857">
        <v>6607.6450000000004</v>
      </c>
      <c r="AE95" s="1857">
        <v>1056.6168070000001</v>
      </c>
      <c r="AF95" s="1857">
        <v>5053.8360000000002</v>
      </c>
      <c r="AG95" s="1857">
        <v>924.70493999999997</v>
      </c>
      <c r="AH95" s="1857">
        <v>377.74599999999998</v>
      </c>
      <c r="AI95" s="1857">
        <v>79.107589000000004</v>
      </c>
      <c r="AJ95" s="1857"/>
      <c r="AK95" s="1857"/>
      <c r="AL95" s="1857"/>
      <c r="AM95" s="1857"/>
      <c r="AN95" s="1857"/>
      <c r="AO95" s="1857"/>
      <c r="AP95" s="1857"/>
      <c r="AQ95" s="1857"/>
      <c r="AR95" s="1857"/>
      <c r="AS95" s="1857"/>
      <c r="AT95" s="1857"/>
      <c r="AU95" s="1857"/>
      <c r="AV95" s="1857">
        <v>1203.298</v>
      </c>
      <c r="AW95" s="1857">
        <v>193.21247199999999</v>
      </c>
      <c r="AX95" s="1857">
        <v>359.21699999999998</v>
      </c>
      <c r="AY95" s="1857">
        <v>92.541286999999997</v>
      </c>
      <c r="AZ95" s="1857">
        <v>356</v>
      </c>
      <c r="BA95" s="1857">
        <v>47.637999999999998</v>
      </c>
      <c r="BB95" s="1857"/>
      <c r="BC95" s="1857"/>
      <c r="BD95" s="1857"/>
      <c r="BE95" s="1857"/>
      <c r="BF95" s="1857"/>
      <c r="BG95" s="1857"/>
      <c r="BH95" s="1857"/>
      <c r="BI95" s="1857"/>
      <c r="BJ95" s="1857"/>
      <c r="BK95" s="1857"/>
      <c r="BL95" s="1857"/>
      <c r="BM95" s="1857"/>
    </row>
    <row r="96" spans="1:65">
      <c r="A96" s="1854" t="s">
        <v>1879</v>
      </c>
      <c r="B96" s="1866">
        <v>5359.3450000000003</v>
      </c>
      <c r="C96" s="1866">
        <v>90.37</v>
      </c>
      <c r="D96" s="1866">
        <v>2552.415</v>
      </c>
      <c r="E96" s="1866">
        <v>1545.5609999999999</v>
      </c>
      <c r="F96" s="1866">
        <v>630.26700000000005</v>
      </c>
      <c r="G96" s="1859">
        <v>631.10199999999998</v>
      </c>
      <c r="H96" s="1871">
        <f t="shared" ref="H96:S96" si="18">SUM(H97:H108)</f>
        <v>83736.798999999999</v>
      </c>
      <c r="I96" s="1871">
        <f t="shared" si="18"/>
        <v>12829.088643272502</v>
      </c>
      <c r="J96" s="1871">
        <f t="shared" si="18"/>
        <v>55040.283000000003</v>
      </c>
      <c r="K96" s="1871">
        <f t="shared" si="18"/>
        <v>9894.0476295344997</v>
      </c>
      <c r="L96" s="1871">
        <f t="shared" si="18"/>
        <v>475.59000000000003</v>
      </c>
      <c r="M96" s="1871">
        <f t="shared" si="18"/>
        <v>781.53734557899998</v>
      </c>
      <c r="N96" s="1871">
        <f t="shared" si="18"/>
        <v>966.13999999999987</v>
      </c>
      <c r="O96" s="1871">
        <f t="shared" si="18"/>
        <v>330.98298455770004</v>
      </c>
      <c r="P96" s="1871">
        <f t="shared" si="18"/>
        <v>8848.0339999999997</v>
      </c>
      <c r="Q96" s="1871">
        <f t="shared" si="18"/>
        <v>527.44429030369997</v>
      </c>
      <c r="R96" s="1871">
        <f t="shared" si="18"/>
        <v>15.409000000000002</v>
      </c>
      <c r="S96" s="1867">
        <f t="shared" si="18"/>
        <v>0.29341801000000001</v>
      </c>
      <c r="T96" s="1871">
        <v>12344</v>
      </c>
      <c r="U96" s="1871">
        <v>325</v>
      </c>
      <c r="W96" s="1871"/>
      <c r="X96" s="1871">
        <f t="shared" ref="X96:AM96" si="19">SUM(X97:X108)</f>
        <v>5989.6</v>
      </c>
      <c r="Y96" s="1871">
        <f t="shared" si="19"/>
        <v>968.93676570059984</v>
      </c>
      <c r="Z96" s="1871">
        <f t="shared" si="19"/>
        <v>606.68600000000004</v>
      </c>
      <c r="AA96" s="1871">
        <f t="shared" si="19"/>
        <v>218.65526863099998</v>
      </c>
      <c r="AB96" s="1871">
        <f t="shared" si="19"/>
        <v>5382.9139999999998</v>
      </c>
      <c r="AC96" s="1871">
        <f t="shared" si="19"/>
        <v>750.28149706960005</v>
      </c>
      <c r="AD96" s="1871">
        <f t="shared" si="19"/>
        <v>73067.209999999992</v>
      </c>
      <c r="AE96" s="1871">
        <f t="shared" si="19"/>
        <v>11076.9920635705</v>
      </c>
      <c r="AF96" s="1871">
        <f t="shared" si="19"/>
        <v>53710.014000000003</v>
      </c>
      <c r="AG96" s="1871">
        <f t="shared" si="19"/>
        <v>9561.9941494212999</v>
      </c>
      <c r="AH96" s="1871">
        <f t="shared" si="19"/>
        <v>5898.4779999999992</v>
      </c>
      <c r="AI96" s="1871">
        <f t="shared" si="19"/>
        <v>853.85749960789997</v>
      </c>
      <c r="AJ96" s="1871">
        <f t="shared" si="19"/>
        <v>12.175999999999998</v>
      </c>
      <c r="AK96" s="1871">
        <f t="shared" si="19"/>
        <v>0.18758993000000002</v>
      </c>
      <c r="AL96" s="1871">
        <f t="shared" si="19"/>
        <v>9855.7649999999994</v>
      </c>
      <c r="AM96" s="1871">
        <f t="shared" si="19"/>
        <v>209.92891228470003</v>
      </c>
      <c r="AN96" s="1871"/>
      <c r="AO96" s="1871"/>
      <c r="AP96" s="1871">
        <f t="shared" ref="AP96:BH96" si="20">SUM(AP97:AP108)</f>
        <v>3602.9529999999995</v>
      </c>
      <c r="AQ96" s="1871">
        <f t="shared" si="20"/>
        <v>451.2115022566</v>
      </c>
      <c r="AR96" s="1871">
        <f t="shared" si="20"/>
        <v>389.4</v>
      </c>
      <c r="AS96" s="1871">
        <f t="shared" si="20"/>
        <v>131.85014132059999</v>
      </c>
      <c r="AT96" s="1871">
        <f t="shared" si="20"/>
        <v>3213.5530000000003</v>
      </c>
      <c r="AU96" s="1871">
        <f t="shared" si="20"/>
        <v>319.36136093599998</v>
      </c>
      <c r="AV96" s="1871">
        <f t="shared" si="20"/>
        <v>10669.589</v>
      </c>
      <c r="AW96" s="1871">
        <f t="shared" si="20"/>
        <v>1752.0965797020001</v>
      </c>
      <c r="AX96" s="1871">
        <f t="shared" si="20"/>
        <v>2296.4090000000001</v>
      </c>
      <c r="AY96" s="1871">
        <f t="shared" si="20"/>
        <v>663.03646467090005</v>
      </c>
      <c r="AZ96" s="1871">
        <f t="shared" si="20"/>
        <v>3425.1460000000002</v>
      </c>
      <c r="BA96" s="1871">
        <f t="shared" si="20"/>
        <v>455.12413627480004</v>
      </c>
      <c r="BB96" s="1871">
        <f t="shared" si="20"/>
        <v>3.2329999999999997</v>
      </c>
      <c r="BC96" s="1871">
        <f t="shared" si="20"/>
        <v>0.10582808</v>
      </c>
      <c r="BD96" s="1871">
        <f t="shared" si="20"/>
        <v>2561.3870000000002</v>
      </c>
      <c r="BE96" s="1871">
        <f t="shared" si="20"/>
        <v>116.21071531229998</v>
      </c>
      <c r="BF96" s="1871">
        <f t="shared" si="20"/>
        <v>0</v>
      </c>
      <c r="BG96" s="1871">
        <f t="shared" si="20"/>
        <v>0</v>
      </c>
      <c r="BH96" s="1871">
        <f t="shared" si="20"/>
        <v>2386.6469999999999</v>
      </c>
      <c r="BI96" s="1871">
        <v>517.382972</v>
      </c>
      <c r="BJ96" s="1871">
        <f>SUM(BJ97:BJ108)</f>
        <v>217.28599999999997</v>
      </c>
      <c r="BK96" s="1871">
        <v>518.382972</v>
      </c>
      <c r="BL96" s="1871">
        <f>SUM(BL97:BL108)</f>
        <v>2169.3609999999999</v>
      </c>
      <c r="BM96" s="1871">
        <v>519.382972</v>
      </c>
    </row>
    <row r="97" spans="1:65">
      <c r="A97" s="1854" t="s">
        <v>18</v>
      </c>
      <c r="B97" s="1865">
        <v>5403.6989999999996</v>
      </c>
      <c r="C97" s="1865">
        <v>40.841000000000001</v>
      </c>
      <c r="D97" s="1865">
        <v>2444.2260000000001</v>
      </c>
      <c r="E97" s="1865">
        <v>1460.1220000000001</v>
      </c>
      <c r="F97" s="1865">
        <v>690.15599999999995</v>
      </c>
      <c r="G97" s="1850">
        <v>809.19500000000005</v>
      </c>
      <c r="H97" s="1865">
        <v>5962.6</v>
      </c>
      <c r="I97" s="1865">
        <v>878.79689751000001</v>
      </c>
      <c r="J97" s="1857">
        <v>3822.404</v>
      </c>
      <c r="K97" s="1850">
        <v>630.55555375999995</v>
      </c>
      <c r="L97" s="1857">
        <v>36.69</v>
      </c>
      <c r="M97" s="1857">
        <v>80.136979449999998</v>
      </c>
      <c r="N97" s="1857">
        <v>47.503</v>
      </c>
      <c r="O97" s="1857">
        <v>32.5468069</v>
      </c>
      <c r="P97" s="1857">
        <v>650.6</v>
      </c>
      <c r="Q97" s="1865">
        <v>36.62345509</v>
      </c>
      <c r="R97" s="1865">
        <v>0.52600000000000002</v>
      </c>
      <c r="S97" s="1864">
        <v>9.7900000000000001E-3</v>
      </c>
      <c r="T97" s="1865">
        <v>986.56</v>
      </c>
      <c r="U97" s="1865">
        <v>24.575057099999999</v>
      </c>
      <c r="V97" s="1865"/>
      <c r="W97" s="1865"/>
      <c r="X97" s="1850">
        <v>418.84300000000002</v>
      </c>
      <c r="Y97" s="1850">
        <v>74.359045210000005</v>
      </c>
      <c r="Z97" s="1850">
        <v>53.744</v>
      </c>
      <c r="AA97" s="1850">
        <v>19.891607270000002</v>
      </c>
      <c r="AB97" s="1850">
        <v>365.09899999999999</v>
      </c>
      <c r="AC97" s="1850">
        <v>54.467437939999996</v>
      </c>
      <c r="AD97" s="1857">
        <v>4936.2730000000001</v>
      </c>
      <c r="AE97" s="1857">
        <v>702.87473940999996</v>
      </c>
      <c r="AF97" s="1857">
        <v>3618.549</v>
      </c>
      <c r="AG97" s="1857">
        <v>594.59500447000005</v>
      </c>
      <c r="AH97" s="1857">
        <v>337.66199999999998</v>
      </c>
      <c r="AI97" s="1857">
        <v>62.303456160000003</v>
      </c>
      <c r="AJ97" s="1857">
        <v>0.42199999999999999</v>
      </c>
      <c r="AK97" s="1857">
        <v>7.0349999999999996E-3</v>
      </c>
      <c r="AL97" s="1857">
        <v>740.14499999999998</v>
      </c>
      <c r="AM97" s="1857">
        <v>13.136674599999999</v>
      </c>
      <c r="AN97" s="1857"/>
      <c r="AO97" s="1857"/>
      <c r="AP97" s="1857">
        <v>239.917</v>
      </c>
      <c r="AQ97" s="1857">
        <v>32.839604180000002</v>
      </c>
      <c r="AR97" s="1857">
        <v>33.515000000000001</v>
      </c>
      <c r="AS97" s="1857">
        <v>11.371708400000001</v>
      </c>
      <c r="AT97" s="1857">
        <v>206.40199999999999</v>
      </c>
      <c r="AU97" s="1857">
        <v>21.467895780000003</v>
      </c>
      <c r="AV97" s="1857">
        <v>1026.327</v>
      </c>
      <c r="AW97" s="1857">
        <v>175.92215809999999</v>
      </c>
      <c r="AX97" s="1857">
        <v>251.358</v>
      </c>
      <c r="AY97" s="1857">
        <v>68.507356189999996</v>
      </c>
      <c r="AZ97" s="1857">
        <v>349.62799999999999</v>
      </c>
      <c r="BA97" s="1857">
        <v>54.456978380000002</v>
      </c>
      <c r="BB97" s="1774">
        <v>0.104</v>
      </c>
      <c r="BC97" s="1863">
        <v>2.7550000000000001E-3</v>
      </c>
      <c r="BD97" s="1857">
        <v>246.41499999999999</v>
      </c>
      <c r="BE97" s="1857">
        <v>11.438382499999999</v>
      </c>
      <c r="BF97" s="1857"/>
      <c r="BG97" s="1857"/>
      <c r="BH97" s="1857">
        <v>178.92599999999999</v>
      </c>
      <c r="BI97" s="1857">
        <v>41.519441030000003</v>
      </c>
      <c r="BJ97" s="1857">
        <v>20.228999999999999</v>
      </c>
      <c r="BK97" s="1857">
        <v>8.5198988699999987</v>
      </c>
      <c r="BL97" s="1857">
        <v>158.697</v>
      </c>
      <c r="BM97" s="1857">
        <v>32.999542160000004</v>
      </c>
    </row>
    <row r="98" spans="1:65">
      <c r="A98" s="1854" t="s">
        <v>19</v>
      </c>
      <c r="B98" s="1865">
        <v>5398.6279999999997</v>
      </c>
      <c r="C98" s="1865">
        <v>45.982999999999997</v>
      </c>
      <c r="D98" s="1865">
        <v>2422.77</v>
      </c>
      <c r="E98" s="1865">
        <v>1498.124</v>
      </c>
      <c r="F98" s="1865">
        <v>686.07399999999996</v>
      </c>
      <c r="G98" s="1850">
        <v>791.66</v>
      </c>
      <c r="H98" s="1865">
        <v>6519.8149999999996</v>
      </c>
      <c r="I98" s="1865">
        <v>982.54100122</v>
      </c>
      <c r="J98" s="1857">
        <v>4432.9650000000001</v>
      </c>
      <c r="K98" s="1850">
        <v>786.07709034000004</v>
      </c>
      <c r="L98" s="1857">
        <v>37.244</v>
      </c>
      <c r="M98" s="1857">
        <v>60.4752297</v>
      </c>
      <c r="N98" s="1857">
        <v>53.707999999999998</v>
      </c>
      <c r="O98" s="1857">
        <v>20.480360399999999</v>
      </c>
      <c r="P98" s="1857">
        <v>528.51099999999997</v>
      </c>
      <c r="Q98" s="1865">
        <v>27.067653</v>
      </c>
      <c r="R98" s="1865">
        <v>1.2649999999999999</v>
      </c>
      <c r="S98" s="1864">
        <v>1.1972E-2</v>
      </c>
      <c r="T98" s="1865">
        <v>1022.384</v>
      </c>
      <c r="U98" s="1865">
        <v>22.3777382</v>
      </c>
      <c r="V98" s="1865"/>
      <c r="W98" s="1865"/>
      <c r="X98" s="1850">
        <v>445.00299999999999</v>
      </c>
      <c r="Y98" s="1850">
        <v>66.062929580000002</v>
      </c>
      <c r="Z98" s="1850">
        <v>49.353000000000002</v>
      </c>
      <c r="AA98" s="1850">
        <v>18.2087617</v>
      </c>
      <c r="AB98" s="1850">
        <v>395.65</v>
      </c>
      <c r="AC98" s="1850">
        <v>47.854167879999999</v>
      </c>
      <c r="AD98" s="1857">
        <v>5678.21</v>
      </c>
      <c r="AE98" s="1857">
        <v>854.59222421000004</v>
      </c>
      <c r="AF98" s="1857">
        <v>4297.2</v>
      </c>
      <c r="AG98" s="1857">
        <v>756.22561072999997</v>
      </c>
      <c r="AH98" s="1857">
        <v>311.60700000000003</v>
      </c>
      <c r="AI98" s="1857">
        <v>54.092570989999999</v>
      </c>
      <c r="AJ98" s="1857">
        <v>1.0820000000000001</v>
      </c>
      <c r="AK98" s="1857">
        <v>7.5560000000000002E-3</v>
      </c>
      <c r="AL98" s="1857">
        <v>798.779</v>
      </c>
      <c r="AM98" s="1857">
        <v>12.817811300000001</v>
      </c>
      <c r="AN98" s="1857"/>
      <c r="AO98" s="1857"/>
      <c r="AP98" s="1857">
        <v>270.62400000000002</v>
      </c>
      <c r="AQ98" s="1857">
        <v>31.45623119</v>
      </c>
      <c r="AR98" s="1857">
        <v>31.754000000000001</v>
      </c>
      <c r="AS98" s="1857">
        <v>11.12778984</v>
      </c>
      <c r="AT98" s="1857">
        <v>238.87</v>
      </c>
      <c r="AU98" s="1857">
        <v>20.328441350000002</v>
      </c>
      <c r="AV98" s="1857">
        <v>841.60500000000002</v>
      </c>
      <c r="AW98" s="1857">
        <v>127.94877701</v>
      </c>
      <c r="AX98" s="1857">
        <v>189.47300000000001</v>
      </c>
      <c r="AY98" s="1857">
        <v>50.331840010000001</v>
      </c>
      <c r="AZ98" s="1857">
        <v>254.148</v>
      </c>
      <c r="BA98" s="1857">
        <v>33.450311710000001</v>
      </c>
      <c r="BB98" s="1774">
        <v>0.183</v>
      </c>
      <c r="BC98" s="1863">
        <v>4.4159999999999998E-3</v>
      </c>
      <c r="BD98" s="1857">
        <v>223.60499999999999</v>
      </c>
      <c r="BE98" s="1857">
        <v>9.5599269000000007</v>
      </c>
      <c r="BF98" s="1857"/>
      <c r="BG98" s="1857"/>
      <c r="BH98" s="1857">
        <v>174.37899999999999</v>
      </c>
      <c r="BI98" s="1857">
        <v>34.606698389999998</v>
      </c>
      <c r="BJ98" s="1857">
        <v>17.599</v>
      </c>
      <c r="BK98" s="1857">
        <v>7.08097186</v>
      </c>
      <c r="BL98" s="1857">
        <v>156.78</v>
      </c>
      <c r="BM98" s="1857">
        <v>27.52572653</v>
      </c>
    </row>
    <row r="99" spans="1:65">
      <c r="A99" s="1854" t="s">
        <v>20</v>
      </c>
      <c r="B99" s="1865">
        <v>5445.5829999999996</v>
      </c>
      <c r="C99" s="1865">
        <v>48.615000000000002</v>
      </c>
      <c r="D99" s="1865">
        <v>2439.2849999999999</v>
      </c>
      <c r="E99" s="1865">
        <v>1532.8879999999999</v>
      </c>
      <c r="F99" s="1865">
        <v>693.49800000000005</v>
      </c>
      <c r="G99" s="1850">
        <v>779.91200000000003</v>
      </c>
      <c r="H99" s="1865">
        <v>7338.875</v>
      </c>
      <c r="I99" s="1865">
        <v>1098.9443959600001</v>
      </c>
      <c r="J99" s="1857">
        <v>4943.8450000000003</v>
      </c>
      <c r="K99" s="1850">
        <v>873.79492988000004</v>
      </c>
      <c r="L99" s="1857">
        <v>43.390999999999998</v>
      </c>
      <c r="M99" s="1857">
        <v>64.779101260000004</v>
      </c>
      <c r="N99" s="1857">
        <v>55.418999999999997</v>
      </c>
      <c r="O99" s="1857">
        <v>21.061043479999999</v>
      </c>
      <c r="P99" s="1857">
        <v>607.39800000000002</v>
      </c>
      <c r="Q99" s="1865">
        <v>36.964396669999999</v>
      </c>
      <c r="R99" s="1865">
        <v>1.3360000000000001</v>
      </c>
      <c r="S99" s="1864">
        <v>1.5609329999999999E-2</v>
      </c>
      <c r="T99" s="1865">
        <v>1129.924</v>
      </c>
      <c r="U99" s="1865">
        <v>24.699587439999998</v>
      </c>
      <c r="V99" s="1865"/>
      <c r="W99" s="1865"/>
      <c r="X99" s="1850">
        <v>558.89800000000002</v>
      </c>
      <c r="Y99" s="1850">
        <v>77.645337229999996</v>
      </c>
      <c r="Z99" s="1850">
        <v>53.65</v>
      </c>
      <c r="AA99" s="1850">
        <v>18.012206819999999</v>
      </c>
      <c r="AB99" s="1850">
        <v>505.24799999999999</v>
      </c>
      <c r="AC99" s="1850">
        <v>59.63313041</v>
      </c>
      <c r="AD99" s="1857">
        <v>6470.2060000000001</v>
      </c>
      <c r="AE99" s="1857">
        <v>956.39525653999999</v>
      </c>
      <c r="AF99" s="1857">
        <v>4816.76</v>
      </c>
      <c r="AG99" s="1857">
        <v>842.85713931999999</v>
      </c>
      <c r="AH99" s="1857">
        <v>383.56099999999998</v>
      </c>
      <c r="AI99" s="1857">
        <v>63.633386950000002</v>
      </c>
      <c r="AJ99" s="1857">
        <v>1.171</v>
      </c>
      <c r="AK99" s="1857">
        <v>1.1338330000000001E-2</v>
      </c>
      <c r="AL99" s="1857">
        <v>914.375</v>
      </c>
      <c r="AM99" s="1857">
        <v>15.118826500000001</v>
      </c>
      <c r="AN99" s="1857"/>
      <c r="AO99" s="1857"/>
      <c r="AP99" s="1857">
        <v>355.51</v>
      </c>
      <c r="AQ99" s="1857">
        <v>34.785903769999997</v>
      </c>
      <c r="AR99" s="1857">
        <v>33.869</v>
      </c>
      <c r="AS99" s="1857">
        <v>10.668974009999999</v>
      </c>
      <c r="AT99" s="1857">
        <v>321.64100000000002</v>
      </c>
      <c r="AU99" s="1857">
        <v>24.116929760000001</v>
      </c>
      <c r="AV99" s="1857">
        <v>868.66899999999998</v>
      </c>
      <c r="AW99" s="1857">
        <v>142.54913941999999</v>
      </c>
      <c r="AX99" s="1857">
        <v>182.50399999999999</v>
      </c>
      <c r="AY99" s="1857">
        <v>51.998834039999998</v>
      </c>
      <c r="AZ99" s="1857">
        <v>267.22800000000001</v>
      </c>
      <c r="BA99" s="1857">
        <v>38.110110980000002</v>
      </c>
      <c r="BB99" s="1774">
        <v>0.16500000000000001</v>
      </c>
      <c r="BC99" s="1863">
        <v>4.2709999999999996E-3</v>
      </c>
      <c r="BD99" s="1857">
        <v>215.54900000000001</v>
      </c>
      <c r="BE99" s="1857">
        <v>9.5807609399999993</v>
      </c>
      <c r="BF99" s="1857"/>
      <c r="BG99" s="1857"/>
      <c r="BH99" s="1857">
        <v>203.38800000000001</v>
      </c>
      <c r="BI99" s="1857">
        <v>42.859433459999998</v>
      </c>
      <c r="BJ99" s="1857">
        <v>19.780999999999999</v>
      </c>
      <c r="BK99" s="1857">
        <v>7.3432328099999999</v>
      </c>
      <c r="BL99" s="1857">
        <v>183.607</v>
      </c>
      <c r="BM99" s="1857">
        <v>35.516200650000002</v>
      </c>
    </row>
    <row r="100" spans="1:65">
      <c r="A100" s="1854" t="s">
        <v>21</v>
      </c>
      <c r="B100" s="1865">
        <v>5453.4350000000004</v>
      </c>
      <c r="C100" s="1865">
        <v>53.430999999999997</v>
      </c>
      <c r="D100" s="1865">
        <v>2473.9949999999999</v>
      </c>
      <c r="E100" s="1865">
        <v>1492.6980000000001</v>
      </c>
      <c r="F100" s="1865">
        <v>731.93100000000004</v>
      </c>
      <c r="G100" s="1850">
        <v>754.81100000000004</v>
      </c>
      <c r="H100" s="1865">
        <v>6580.2619999999997</v>
      </c>
      <c r="I100" s="1865">
        <v>973.03676429999996</v>
      </c>
      <c r="J100" s="1857">
        <v>4400.808</v>
      </c>
      <c r="K100" s="1850">
        <v>776.13256869999998</v>
      </c>
      <c r="L100" s="1857">
        <v>38.298000000000002</v>
      </c>
      <c r="M100" s="1857">
        <v>55.247871799999999</v>
      </c>
      <c r="N100" s="1857">
        <v>72.385000000000005</v>
      </c>
      <c r="O100" s="1857">
        <v>23.266798900000001</v>
      </c>
      <c r="P100" s="1857">
        <v>755.39300000000003</v>
      </c>
      <c r="Q100" s="1865">
        <v>34.075863599999998</v>
      </c>
      <c r="R100" s="1865">
        <v>1.2989999999999999</v>
      </c>
      <c r="S100" s="1864">
        <v>2.9964999999999999E-2</v>
      </c>
      <c r="T100" s="1865">
        <v>882.70600000000002</v>
      </c>
      <c r="U100" s="1865">
        <v>21.9358325</v>
      </c>
      <c r="V100" s="1865"/>
      <c r="W100" s="1865"/>
      <c r="X100" s="1850">
        <v>430.67200000000003</v>
      </c>
      <c r="Y100" s="1850">
        <v>62.377828800000003</v>
      </c>
      <c r="Z100" s="1850">
        <v>47.436</v>
      </c>
      <c r="AA100" s="1850">
        <v>15.087858199999999</v>
      </c>
      <c r="AB100" s="1850">
        <v>383.23599999999999</v>
      </c>
      <c r="AC100" s="1850">
        <v>47.289970600000004</v>
      </c>
      <c r="AD100" s="1857">
        <v>5750.3950000000004</v>
      </c>
      <c r="AE100" s="1857">
        <v>845.17703589999996</v>
      </c>
      <c r="AF100" s="1857">
        <v>4292.8490000000002</v>
      </c>
      <c r="AG100" s="1857">
        <v>746.80658879999999</v>
      </c>
      <c r="AH100" s="1857">
        <v>526.24300000000005</v>
      </c>
      <c r="AI100" s="1857">
        <v>56.685355100000002</v>
      </c>
      <c r="AJ100" s="1857">
        <v>1.0640000000000001</v>
      </c>
      <c r="AK100" s="1857">
        <v>1.3386E-2</v>
      </c>
      <c r="AL100" s="1857">
        <v>674.59799999999996</v>
      </c>
      <c r="AM100" s="1857">
        <v>12.677512800000001</v>
      </c>
      <c r="AN100" s="1857"/>
      <c r="AO100" s="1857"/>
      <c r="AP100" s="1857">
        <v>256.70499999999998</v>
      </c>
      <c r="AQ100" s="1857">
        <v>29.007579199999999</v>
      </c>
      <c r="AR100" s="1857">
        <v>30.009</v>
      </c>
      <c r="AS100" s="1857">
        <v>8.6537810999999998</v>
      </c>
      <c r="AT100" s="1857">
        <v>226.696</v>
      </c>
      <c r="AU100" s="1857">
        <v>20.353798100000002</v>
      </c>
      <c r="AV100" s="1857">
        <v>829.86699999999996</v>
      </c>
      <c r="AW100" s="1857">
        <v>127.85972839999999</v>
      </c>
      <c r="AX100" s="1857">
        <v>180.34399999999999</v>
      </c>
      <c r="AY100" s="1857">
        <v>52.592778799999998</v>
      </c>
      <c r="AZ100" s="1857">
        <v>267.44799999999998</v>
      </c>
      <c r="BA100" s="1857">
        <v>32.638380300000001</v>
      </c>
      <c r="BB100" s="1774">
        <v>0.23499999999999999</v>
      </c>
      <c r="BC100" s="1863">
        <v>1.6579E-2</v>
      </c>
      <c r="BD100" s="1857">
        <v>208.108</v>
      </c>
      <c r="BE100" s="1857">
        <v>9.2583196999999995</v>
      </c>
      <c r="BF100" s="1857"/>
      <c r="BG100" s="1857"/>
      <c r="BH100" s="1857">
        <v>173.96700000000001</v>
      </c>
      <c r="BI100" s="1857">
        <v>33.370249600000001</v>
      </c>
      <c r="BJ100" s="1857">
        <v>17.427</v>
      </c>
      <c r="BK100" s="1857">
        <v>6.4340770999999997</v>
      </c>
      <c r="BL100" s="1857">
        <v>156.54</v>
      </c>
      <c r="BM100" s="1857">
        <v>26.936172500000001</v>
      </c>
    </row>
    <row r="101" spans="1:65">
      <c r="A101" s="1854" t="s">
        <v>22</v>
      </c>
      <c r="B101" s="1865">
        <v>5434.3630000000003</v>
      </c>
      <c r="C101" s="1865">
        <v>60.798999999999999</v>
      </c>
      <c r="D101" s="1865">
        <v>2477.819</v>
      </c>
      <c r="E101" s="1865">
        <v>1541.204</v>
      </c>
      <c r="F101" s="1865">
        <v>673.73</v>
      </c>
      <c r="G101" s="1850">
        <v>741.61</v>
      </c>
      <c r="H101" s="1865">
        <v>7063.384</v>
      </c>
      <c r="I101" s="1865">
        <v>1052.3024849991</v>
      </c>
      <c r="J101" s="1857">
        <v>4715.857</v>
      </c>
      <c r="K101" s="1850">
        <v>837.41501875999995</v>
      </c>
      <c r="L101" s="1857">
        <v>35.776000000000003</v>
      </c>
      <c r="M101" s="1857">
        <v>53.297657123699999</v>
      </c>
      <c r="N101" s="1857">
        <v>83.182000000000002</v>
      </c>
      <c r="O101" s="1857">
        <v>23.1639670281</v>
      </c>
      <c r="P101" s="1857">
        <v>816.274</v>
      </c>
      <c r="Q101" s="1865">
        <v>38.712619994199997</v>
      </c>
      <c r="R101" s="1865">
        <v>1.3129999999999999</v>
      </c>
      <c r="S101" s="1864">
        <v>2.6942900000000002E-2</v>
      </c>
      <c r="T101" s="1865">
        <v>909.26700000000005</v>
      </c>
      <c r="U101" s="1865">
        <v>21.776039113700001</v>
      </c>
      <c r="V101" s="1865"/>
      <c r="W101" s="1865"/>
      <c r="X101" s="1850">
        <v>503.02800000000002</v>
      </c>
      <c r="Y101" s="1850">
        <v>77.937182979400006</v>
      </c>
      <c r="Z101" s="1850">
        <v>51.845999999999997</v>
      </c>
      <c r="AA101" s="1850">
        <v>17.717383313499997</v>
      </c>
      <c r="AB101" s="1850">
        <v>451.18200000000002</v>
      </c>
      <c r="AC101" s="1850">
        <v>60.219799665899998</v>
      </c>
      <c r="AD101" s="1857">
        <v>6173.1350000000002</v>
      </c>
      <c r="AE101" s="1857">
        <v>916.32209469379995</v>
      </c>
      <c r="AF101" s="1857">
        <v>4602.4809999999998</v>
      </c>
      <c r="AG101" s="1857">
        <v>807.61100299110001</v>
      </c>
      <c r="AH101" s="1857">
        <v>574.95299999999997</v>
      </c>
      <c r="AI101" s="1857">
        <v>60.007763003900003</v>
      </c>
      <c r="AJ101" s="1857">
        <v>1.0109999999999999</v>
      </c>
      <c r="AK101" s="1857">
        <v>1.54062E-2</v>
      </c>
      <c r="AL101" s="1857">
        <v>699.96699999999998</v>
      </c>
      <c r="AM101" s="1857">
        <v>12.6122363355</v>
      </c>
      <c r="AN101" s="1857"/>
      <c r="AO101" s="1857"/>
      <c r="AP101" s="1857">
        <v>295.73399999999998</v>
      </c>
      <c r="AQ101" s="1857">
        <v>36.0910923633</v>
      </c>
      <c r="AR101" s="1857">
        <v>32.613</v>
      </c>
      <c r="AS101" s="1857">
        <v>10.605342587899999</v>
      </c>
      <c r="AT101" s="1857">
        <v>263.12099999999998</v>
      </c>
      <c r="AU101" s="1857">
        <v>25.485749775399999</v>
      </c>
      <c r="AV101" s="1857">
        <v>890.24900000000002</v>
      </c>
      <c r="AW101" s="1857">
        <v>135.98039030530001</v>
      </c>
      <c r="AX101" s="1857">
        <v>196.55799999999999</v>
      </c>
      <c r="AY101" s="1857">
        <v>52.967982796999998</v>
      </c>
      <c r="AZ101" s="1857">
        <v>277.09699999999998</v>
      </c>
      <c r="BA101" s="1857">
        <v>32.002514114</v>
      </c>
      <c r="BB101" s="1774">
        <v>0.30199999999999999</v>
      </c>
      <c r="BC101" s="1863">
        <v>1.15367E-2</v>
      </c>
      <c r="BD101" s="1857">
        <v>209.3</v>
      </c>
      <c r="BE101" s="1857">
        <v>9.1638027782000009</v>
      </c>
      <c r="BF101" s="1857"/>
      <c r="BG101" s="1857"/>
      <c r="BH101" s="1857">
        <v>207.29400000000001</v>
      </c>
      <c r="BI101" s="1857">
        <v>41.8460906161</v>
      </c>
      <c r="BJ101" s="1857">
        <v>19.233000000000001</v>
      </c>
      <c r="BK101" s="1857">
        <v>7.1120407255999991</v>
      </c>
      <c r="BL101" s="1857">
        <v>188.06100000000001</v>
      </c>
      <c r="BM101" s="1857">
        <v>34.734049890500003</v>
      </c>
    </row>
    <row r="102" spans="1:65">
      <c r="A102" s="1854" t="s">
        <v>23</v>
      </c>
      <c r="B102" s="1865">
        <v>5479.6980000000003</v>
      </c>
      <c r="C102" s="1865">
        <v>65.923000000000002</v>
      </c>
      <c r="D102" s="1865">
        <v>2493.3719999999998</v>
      </c>
      <c r="E102" s="1865">
        <v>1541.521</v>
      </c>
      <c r="F102" s="1865">
        <v>663.12900000000002</v>
      </c>
      <c r="G102" s="1850">
        <v>781.67600000000004</v>
      </c>
      <c r="H102" s="1865">
        <v>7002.8680000000004</v>
      </c>
      <c r="I102" s="1865">
        <v>1048.5094405519001</v>
      </c>
      <c r="J102" s="1857">
        <v>4573.4629999999997</v>
      </c>
      <c r="K102" s="1850">
        <v>817.26723701000003</v>
      </c>
      <c r="L102" s="1857">
        <v>34.706000000000003</v>
      </c>
      <c r="M102" s="1857">
        <v>62.187665561999999</v>
      </c>
      <c r="N102" s="1857">
        <v>86.149000000000001</v>
      </c>
      <c r="O102" s="1857">
        <v>23.191707844900002</v>
      </c>
      <c r="P102" s="1857">
        <v>667.50699999999995</v>
      </c>
      <c r="Q102" s="1865">
        <v>41.193660116700002</v>
      </c>
      <c r="R102" s="1865">
        <v>1.431</v>
      </c>
      <c r="S102" s="1864">
        <v>7.0485199999999998E-2</v>
      </c>
      <c r="T102" s="1865">
        <v>1161.1379999999999</v>
      </c>
      <c r="U102" s="1865">
        <v>29.446231082400001</v>
      </c>
      <c r="V102" s="1865"/>
      <c r="W102" s="1865"/>
      <c r="X102" s="1850">
        <v>479.90499999999997</v>
      </c>
      <c r="Y102" s="1850">
        <v>75.222938935900004</v>
      </c>
      <c r="Z102" s="1850">
        <v>48.448999999999998</v>
      </c>
      <c r="AA102" s="1850">
        <v>16.452569512700002</v>
      </c>
      <c r="AB102" s="1850">
        <v>431.45600000000002</v>
      </c>
      <c r="AC102" s="1850">
        <v>58.770369423200002</v>
      </c>
      <c r="AD102" s="1857">
        <v>6095.5630000000001</v>
      </c>
      <c r="AE102" s="1857">
        <v>905.06305173689998</v>
      </c>
      <c r="AF102" s="1857">
        <v>4457.3370000000004</v>
      </c>
      <c r="AG102" s="1857">
        <v>786.12699134779996</v>
      </c>
      <c r="AH102" s="1857">
        <v>413.09300000000002</v>
      </c>
      <c r="AI102" s="1857">
        <v>64.849258133199996</v>
      </c>
      <c r="AJ102" s="1857">
        <v>1.101</v>
      </c>
      <c r="AK102" s="1857">
        <v>5.2089999999999997E-2</v>
      </c>
      <c r="AL102" s="1857">
        <v>939.99400000000003</v>
      </c>
      <c r="AM102" s="1857">
        <v>19.2445842124</v>
      </c>
      <c r="AN102" s="1857"/>
      <c r="AO102" s="1857"/>
      <c r="AP102" s="1857">
        <v>285.13900000000001</v>
      </c>
      <c r="AQ102" s="1857">
        <v>34.842218043499997</v>
      </c>
      <c r="AR102" s="1857">
        <v>30.21</v>
      </c>
      <c r="AS102" s="1857">
        <v>9.295344762700001</v>
      </c>
      <c r="AT102" s="1857">
        <v>254.929</v>
      </c>
      <c r="AU102" s="1857">
        <v>25.5468732808</v>
      </c>
      <c r="AV102" s="1857">
        <v>907.30499999999995</v>
      </c>
      <c r="AW102" s="1857">
        <v>143.44638881500001</v>
      </c>
      <c r="AX102" s="1857">
        <v>202.27500000000001</v>
      </c>
      <c r="AY102" s="1857">
        <v>54.331953507100003</v>
      </c>
      <c r="AZ102" s="1857">
        <v>289.12</v>
      </c>
      <c r="BA102" s="1857">
        <v>38.532067545499999</v>
      </c>
      <c r="BB102" s="1774">
        <v>0.33</v>
      </c>
      <c r="BC102" s="1863">
        <v>1.83952E-2</v>
      </c>
      <c r="BD102" s="1857">
        <v>221.14400000000001</v>
      </c>
      <c r="BE102" s="1857">
        <v>10.201646869999999</v>
      </c>
      <c r="BF102" s="1857"/>
      <c r="BG102" s="1857"/>
      <c r="BH102" s="1857">
        <v>194.76599999999999</v>
      </c>
      <c r="BI102" s="1857">
        <v>40.380720892399999</v>
      </c>
      <c r="BJ102" s="1857">
        <v>18.239000000000001</v>
      </c>
      <c r="BK102" s="1857">
        <v>7.1572247500000001</v>
      </c>
      <c r="BL102" s="1857">
        <v>176.52699999999999</v>
      </c>
      <c r="BM102" s="1857">
        <v>33.223496142399995</v>
      </c>
    </row>
    <row r="103" spans="1:65">
      <c r="A103" s="1854" t="s">
        <v>24</v>
      </c>
      <c r="B103" s="1865">
        <v>5445.9589999999998</v>
      </c>
      <c r="C103" s="1865">
        <v>69.822000000000003</v>
      </c>
      <c r="D103" s="1865">
        <v>2496.9540000000002</v>
      </c>
      <c r="E103" s="1865">
        <v>1544.088</v>
      </c>
      <c r="F103" s="1865">
        <v>661.27300000000002</v>
      </c>
      <c r="G103" s="1850">
        <v>743.64400000000001</v>
      </c>
      <c r="H103" s="1865">
        <v>7047.2250000000004</v>
      </c>
      <c r="I103" s="1865">
        <v>1157.3505587476</v>
      </c>
      <c r="J103" s="1857">
        <v>4721.3459999999995</v>
      </c>
      <c r="K103" s="1850">
        <v>912.54396154000005</v>
      </c>
      <c r="L103" s="1857">
        <v>35.122</v>
      </c>
      <c r="M103" s="1857">
        <v>63.755566906200002</v>
      </c>
      <c r="N103" s="1857">
        <v>73.718999999999994</v>
      </c>
      <c r="O103" s="1857">
        <v>27.678435288700001</v>
      </c>
      <c r="P103" s="1857">
        <v>653.22299999999996</v>
      </c>
      <c r="Q103" s="1865">
        <v>41.318352435199998</v>
      </c>
      <c r="R103" s="1865">
        <v>1.22</v>
      </c>
      <c r="S103" s="1864">
        <v>1.8154759999999999E-2</v>
      </c>
      <c r="T103" s="1865">
        <v>1101.1489999999999</v>
      </c>
      <c r="U103" s="1865">
        <v>27.551255563400002</v>
      </c>
      <c r="V103" s="1865"/>
      <c r="W103" s="1865"/>
      <c r="X103" s="1850">
        <v>462.666</v>
      </c>
      <c r="Y103" s="1850">
        <v>84.5029870141</v>
      </c>
      <c r="Z103" s="1850">
        <v>40.274000000000001</v>
      </c>
      <c r="AA103" s="1850">
        <v>14.5609832993</v>
      </c>
      <c r="AB103" s="1850">
        <v>422.392</v>
      </c>
      <c r="AC103" s="1850">
        <v>69.942003714799995</v>
      </c>
      <c r="AD103" s="1857">
        <v>6193.9880000000003</v>
      </c>
      <c r="AE103" s="1857">
        <v>1009.7974601612</v>
      </c>
      <c r="AF103" s="1857">
        <v>4614.2669999999998</v>
      </c>
      <c r="AG103" s="1857">
        <v>885.2740400074</v>
      </c>
      <c r="AH103" s="1857">
        <v>422.71199999999999</v>
      </c>
      <c r="AI103" s="1857">
        <v>69.736290413899994</v>
      </c>
      <c r="AJ103" s="1857">
        <v>0.95699999999999996</v>
      </c>
      <c r="AK103" s="1857">
        <v>1.2803799999999999E-2</v>
      </c>
      <c r="AL103" s="1857">
        <v>885.75699999999995</v>
      </c>
      <c r="AM103" s="1857">
        <v>17.049618073400001</v>
      </c>
      <c r="AN103" s="1857"/>
      <c r="AO103" s="1857"/>
      <c r="AP103" s="1857">
        <v>271.25200000000001</v>
      </c>
      <c r="AQ103" s="1857">
        <v>37.737511666499998</v>
      </c>
      <c r="AR103" s="1857">
        <v>24.795000000000002</v>
      </c>
      <c r="AS103" s="1857">
        <v>8.2182392165000007</v>
      </c>
      <c r="AT103" s="1857">
        <v>246.45699999999999</v>
      </c>
      <c r="AU103" s="1857">
        <v>29.519272449999999</v>
      </c>
      <c r="AV103" s="1857">
        <v>853.23699999999997</v>
      </c>
      <c r="AW103" s="1857">
        <v>147.55309858640001</v>
      </c>
      <c r="AX103" s="1857">
        <v>180.798</v>
      </c>
      <c r="AY103" s="1857">
        <v>54.948356821300003</v>
      </c>
      <c r="AZ103" s="1857">
        <v>265.63299999999998</v>
      </c>
      <c r="BA103" s="1857">
        <v>35.337628927499999</v>
      </c>
      <c r="BB103" s="1774">
        <v>0.26300000000000001</v>
      </c>
      <c r="BC103" s="1863">
        <v>5.3509600000000001E-3</v>
      </c>
      <c r="BD103" s="1857">
        <v>215.392</v>
      </c>
      <c r="BE103" s="1857">
        <v>10.50163749</v>
      </c>
      <c r="BF103" s="1857"/>
      <c r="BG103" s="1857"/>
      <c r="BH103" s="1857">
        <v>191.41399999999999</v>
      </c>
      <c r="BI103" s="1857">
        <v>46.765475347600002</v>
      </c>
      <c r="BJ103" s="1857">
        <v>15.478999999999999</v>
      </c>
      <c r="BK103" s="1857">
        <v>6.3427440828000003</v>
      </c>
      <c r="BL103" s="1857">
        <v>175.935</v>
      </c>
      <c r="BM103" s="1857">
        <v>40.422731264799999</v>
      </c>
    </row>
    <row r="104" spans="1:65">
      <c r="A104" s="1854" t="s">
        <v>25</v>
      </c>
      <c r="B104" s="1865">
        <v>5291.1090000000004</v>
      </c>
      <c r="C104" s="1865">
        <v>73.004999999999995</v>
      </c>
      <c r="D104" s="1865">
        <v>2362.8939999999998</v>
      </c>
      <c r="E104" s="1865">
        <v>1551.201</v>
      </c>
      <c r="F104" s="1865">
        <v>648.55100000000004</v>
      </c>
      <c r="G104" s="1850">
        <v>728.46299999999997</v>
      </c>
      <c r="H104" s="1865">
        <v>6831.6790000000001</v>
      </c>
      <c r="I104" s="1865">
        <v>1106.8770754831</v>
      </c>
      <c r="J104" s="1857">
        <v>4283.8059999999996</v>
      </c>
      <c r="K104" s="1850">
        <v>787.63200553000001</v>
      </c>
      <c r="L104" s="1857">
        <v>40.69</v>
      </c>
      <c r="M104" s="1857">
        <v>74.542827130999996</v>
      </c>
      <c r="N104" s="1857">
        <v>102.205</v>
      </c>
      <c r="O104" s="1857">
        <v>42.553382300800003</v>
      </c>
      <c r="P104" s="1857">
        <v>699.92499999999995</v>
      </c>
      <c r="Q104" s="1865">
        <v>55.081308701300003</v>
      </c>
      <c r="R104" s="1865">
        <v>1.522</v>
      </c>
      <c r="S104" s="1864">
        <v>2.54921E-2</v>
      </c>
      <c r="T104" s="1865">
        <v>1161.6510000000001</v>
      </c>
      <c r="U104" s="1865">
        <v>34.746976968399998</v>
      </c>
      <c r="V104" s="1865"/>
      <c r="W104" s="1865"/>
      <c r="X104" s="1850">
        <v>543.40200000000004</v>
      </c>
      <c r="Y104" s="1850">
        <v>112.3205748516</v>
      </c>
      <c r="Z104" s="1850">
        <v>49.148000000000003</v>
      </c>
      <c r="AA104" s="1850">
        <v>19.4813004148</v>
      </c>
      <c r="AB104" s="1850">
        <v>494.25400000000002</v>
      </c>
      <c r="AC104" s="1850">
        <v>92.839274436799982</v>
      </c>
      <c r="AD104" s="1857">
        <v>5885.5029999999997</v>
      </c>
      <c r="AE104" s="1857">
        <v>919.23461538909999</v>
      </c>
      <c r="AF104" s="1857">
        <v>4185.7120000000004</v>
      </c>
      <c r="AG104" s="1857">
        <v>761.79066702540001</v>
      </c>
      <c r="AH104" s="1857">
        <v>457.72899999999998</v>
      </c>
      <c r="AI104" s="1857">
        <v>84.466778645399998</v>
      </c>
      <c r="AJ104" s="1857">
        <v>1.256</v>
      </c>
      <c r="AK104" s="1857">
        <v>1.6150899999999999E-2</v>
      </c>
      <c r="AL104" s="1857">
        <v>932.11</v>
      </c>
      <c r="AM104" s="1857">
        <v>22.232953638400001</v>
      </c>
      <c r="AN104" s="1857"/>
      <c r="AO104" s="1857"/>
      <c r="AP104" s="1857">
        <v>309.952</v>
      </c>
      <c r="AQ104" s="1857">
        <v>50.744216079899999</v>
      </c>
      <c r="AR104" s="1857">
        <v>30.064</v>
      </c>
      <c r="AS104" s="1857">
        <v>11.7265342715</v>
      </c>
      <c r="AT104" s="1857">
        <v>279.88799999999998</v>
      </c>
      <c r="AU104" s="1857">
        <v>39.017681808400006</v>
      </c>
      <c r="AV104" s="1857">
        <v>946.17600000000004</v>
      </c>
      <c r="AW104" s="1857">
        <v>187.642460094</v>
      </c>
      <c r="AX104" s="1857">
        <v>200.29900000000001</v>
      </c>
      <c r="AY104" s="1857">
        <v>68.394720805399999</v>
      </c>
      <c r="AZ104" s="1857">
        <v>282.88600000000002</v>
      </c>
      <c r="BA104" s="1857">
        <v>45.157357186900001</v>
      </c>
      <c r="BB104" s="1774">
        <v>0.26600000000000001</v>
      </c>
      <c r="BC104" s="1863">
        <v>9.3412000000000009E-3</v>
      </c>
      <c r="BD104" s="1857">
        <v>229.541</v>
      </c>
      <c r="BE104" s="1857">
        <v>12.514023330000001</v>
      </c>
      <c r="BF104" s="1857"/>
      <c r="BG104" s="1857"/>
      <c r="BH104" s="1857">
        <v>233.45</v>
      </c>
      <c r="BI104" s="1857">
        <v>61.576358771700001</v>
      </c>
      <c r="BJ104" s="1857">
        <v>19.084</v>
      </c>
      <c r="BK104" s="1857">
        <v>7.7547661432999995</v>
      </c>
      <c r="BL104" s="1857">
        <v>214.36600000000001</v>
      </c>
      <c r="BM104" s="1857">
        <v>53.821592628399998</v>
      </c>
    </row>
    <row r="105" spans="1:65">
      <c r="A105" s="1854" t="s">
        <v>26</v>
      </c>
      <c r="B105" s="1865">
        <v>5191.7749999999996</v>
      </c>
      <c r="C105" s="1865">
        <v>75.534000000000006</v>
      </c>
      <c r="D105" s="1865">
        <v>2284.2579999999998</v>
      </c>
      <c r="E105" s="1865">
        <v>1555.2090000000001</v>
      </c>
      <c r="F105" s="1865">
        <v>644.59100000000001</v>
      </c>
      <c r="G105" s="1850">
        <v>707.71699999999998</v>
      </c>
      <c r="H105" s="1865">
        <v>6817.2920000000004</v>
      </c>
      <c r="I105" s="1865">
        <v>1037.8344895881</v>
      </c>
      <c r="J105" s="1857">
        <v>4510.777</v>
      </c>
      <c r="K105" s="1850">
        <v>785.90835002389997</v>
      </c>
      <c r="L105" s="1857">
        <v>42.341999999999999</v>
      </c>
      <c r="M105" s="1857">
        <v>59.3901243197</v>
      </c>
      <c r="N105" s="1857">
        <v>81.486999999999995</v>
      </c>
      <c r="O105" s="1857">
        <v>27.283746149799999</v>
      </c>
      <c r="P105" s="1857">
        <v>637.91099999999994</v>
      </c>
      <c r="Q105" s="1865">
        <v>51.386968876600001</v>
      </c>
      <c r="R105" s="1865">
        <v>1.069</v>
      </c>
      <c r="S105" s="1864">
        <v>1.68922E-2</v>
      </c>
      <c r="T105" s="1865">
        <v>1075.3869999999999</v>
      </c>
      <c r="U105" s="1865">
        <v>31.679907845900001</v>
      </c>
      <c r="V105" s="1865"/>
      <c r="W105" s="1865"/>
      <c r="X105" s="1850">
        <v>469.38799999999998</v>
      </c>
      <c r="Y105" s="1850">
        <v>82.185392372199999</v>
      </c>
      <c r="Z105" s="1850">
        <v>48.823</v>
      </c>
      <c r="AA105" s="1850">
        <v>19.130180170200003</v>
      </c>
      <c r="AB105" s="1850">
        <v>420.565</v>
      </c>
      <c r="AC105" s="1850">
        <v>63.055212202000007</v>
      </c>
      <c r="AD105" s="1857">
        <v>5962.0039999999999</v>
      </c>
      <c r="AE105" s="1857">
        <v>895.46268808570005</v>
      </c>
      <c r="AF105" s="1857">
        <v>4409.4009999999998</v>
      </c>
      <c r="AG105" s="1857">
        <v>760.27650764350005</v>
      </c>
      <c r="AH105" s="1857">
        <v>414.82400000000001</v>
      </c>
      <c r="AI105" s="1857">
        <v>74.552109769899999</v>
      </c>
      <c r="AJ105" s="1857">
        <v>0.71299999999999997</v>
      </c>
      <c r="AK105" s="1857">
        <v>5.2924000000000001E-3</v>
      </c>
      <c r="AL105" s="1857">
        <v>863.59900000000005</v>
      </c>
      <c r="AM105" s="1857">
        <v>23.083664999900002</v>
      </c>
      <c r="AN105" s="1857"/>
      <c r="AO105" s="1857"/>
      <c r="AP105" s="1857">
        <v>274.18</v>
      </c>
      <c r="AQ105" s="1857">
        <v>37.550405672399997</v>
      </c>
      <c r="AR105" s="1857">
        <v>31.545000000000002</v>
      </c>
      <c r="AS105" s="1857">
        <v>11.6457175445</v>
      </c>
      <c r="AT105" s="1857">
        <v>242.63499999999999</v>
      </c>
      <c r="AU105" s="1857">
        <v>25.904688127900002</v>
      </c>
      <c r="AV105" s="1857">
        <v>855.28800000000001</v>
      </c>
      <c r="AW105" s="1857">
        <v>142.37180150239999</v>
      </c>
      <c r="AX105" s="1857">
        <v>182.863</v>
      </c>
      <c r="AY105" s="1857">
        <v>52.915588530199997</v>
      </c>
      <c r="AZ105" s="1857">
        <v>265.42899999999997</v>
      </c>
      <c r="BA105" s="1857">
        <v>36.224983426400001</v>
      </c>
      <c r="BB105" s="1774">
        <v>0.35599999999999998</v>
      </c>
      <c r="BC105" s="1863">
        <v>1.1599799999999999E-2</v>
      </c>
      <c r="BD105" s="1857">
        <v>211.78800000000001</v>
      </c>
      <c r="BE105" s="1857">
        <v>8.5962428460000009</v>
      </c>
      <c r="BF105" s="1857"/>
      <c r="BG105" s="1857"/>
      <c r="BH105" s="1857">
        <v>195.208</v>
      </c>
      <c r="BI105" s="1857">
        <v>44.634986699800002</v>
      </c>
      <c r="BJ105" s="1857">
        <v>17.277999999999999</v>
      </c>
      <c r="BK105" s="1857">
        <v>7.4844626257</v>
      </c>
      <c r="BL105" s="1857">
        <v>177.93</v>
      </c>
      <c r="BM105" s="1857">
        <v>37.150524074100005</v>
      </c>
    </row>
    <row r="106" spans="1:65">
      <c r="A106" s="1854" t="s">
        <v>27</v>
      </c>
      <c r="B106" s="1865">
        <v>5355.07</v>
      </c>
      <c r="C106" s="1865">
        <v>79.600999999999999</v>
      </c>
      <c r="D106" s="1865">
        <v>2506.9459999999999</v>
      </c>
      <c r="E106" s="1865">
        <v>1537.2280000000001</v>
      </c>
      <c r="F106" s="1865">
        <v>623.03499999999997</v>
      </c>
      <c r="G106" s="1850">
        <v>687.86099999999999</v>
      </c>
      <c r="H106" s="1865">
        <v>7152.7650000000003</v>
      </c>
      <c r="I106" s="1865">
        <v>1078.1654557539</v>
      </c>
      <c r="J106" s="1857">
        <v>4703.9229999999998</v>
      </c>
      <c r="K106" s="1850">
        <v>830.46069273759997</v>
      </c>
      <c r="L106" s="1857">
        <v>37.960999999999999</v>
      </c>
      <c r="M106" s="1857">
        <v>60.236431684000003</v>
      </c>
      <c r="N106" s="1857">
        <v>91.453999999999994</v>
      </c>
      <c r="O106" s="1857">
        <v>25.816800997200001</v>
      </c>
      <c r="P106" s="1857">
        <v>654.03700000000003</v>
      </c>
      <c r="Q106" s="1865">
        <v>49.141744086700001</v>
      </c>
      <c r="R106" s="1865">
        <v>1.115</v>
      </c>
      <c r="S106" s="1864">
        <v>1.207925E-2</v>
      </c>
      <c r="T106" s="1865">
        <v>1121.297</v>
      </c>
      <c r="U106" s="1865">
        <v>27.496240710999999</v>
      </c>
      <c r="V106" s="1865"/>
      <c r="W106" s="1865"/>
      <c r="X106" s="1850">
        <v>544.09299999999996</v>
      </c>
      <c r="Y106" s="1850">
        <v>85.013545537400006</v>
      </c>
      <c r="Z106" s="1850">
        <v>55.018000000000001</v>
      </c>
      <c r="AA106" s="1850">
        <v>18.973224580499998</v>
      </c>
      <c r="AB106" s="1850">
        <v>489.07499999999999</v>
      </c>
      <c r="AC106" s="1850">
        <v>66.040320956900004</v>
      </c>
      <c r="AD106" s="1857">
        <v>6305.3010000000004</v>
      </c>
      <c r="AE106" s="1857">
        <v>946.61242395399995</v>
      </c>
      <c r="AF106" s="1857">
        <v>4626.4189999999999</v>
      </c>
      <c r="AG106" s="1857">
        <v>808.54888861740005</v>
      </c>
      <c r="AH106" s="1857">
        <v>435.51</v>
      </c>
      <c r="AI106" s="1857">
        <v>78.506153494599999</v>
      </c>
      <c r="AJ106" s="1857">
        <v>0.80300000000000005</v>
      </c>
      <c r="AK106" s="1857">
        <v>6.2233500000000008E-3</v>
      </c>
      <c r="AL106" s="1857">
        <v>909.41600000000005</v>
      </c>
      <c r="AM106" s="1857">
        <v>19.271641820999999</v>
      </c>
      <c r="AN106" s="1857"/>
      <c r="AO106" s="1857"/>
      <c r="AP106" s="1857">
        <v>333.95600000000002</v>
      </c>
      <c r="AQ106" s="1857">
        <v>40.285740021000002</v>
      </c>
      <c r="AR106" s="1857">
        <v>37.183999999999997</v>
      </c>
      <c r="AS106" s="1857">
        <v>11.8241903475</v>
      </c>
      <c r="AT106" s="1857">
        <v>296.77199999999999</v>
      </c>
      <c r="AU106" s="1857">
        <v>28.461549673500002</v>
      </c>
      <c r="AV106" s="1857">
        <v>847.46400000000006</v>
      </c>
      <c r="AW106" s="1857">
        <v>131.5530317999</v>
      </c>
      <c r="AX106" s="1857">
        <v>168.958</v>
      </c>
      <c r="AY106" s="1857">
        <v>47.728605117400001</v>
      </c>
      <c r="AZ106" s="1857">
        <v>256.488</v>
      </c>
      <c r="BA106" s="1857">
        <v>30.872022276100001</v>
      </c>
      <c r="BB106" s="1774">
        <v>0.312</v>
      </c>
      <c r="BC106" s="1863">
        <v>5.8558999999999998E-3</v>
      </c>
      <c r="BD106" s="1857">
        <v>211.881</v>
      </c>
      <c r="BE106" s="1857">
        <v>8.2245988899999993</v>
      </c>
      <c r="BF106" s="1857"/>
      <c r="BG106" s="1857"/>
      <c r="BH106" s="1857">
        <v>210.137</v>
      </c>
      <c r="BI106" s="1857">
        <v>44.727805516399997</v>
      </c>
      <c r="BJ106" s="1857">
        <v>17.834</v>
      </c>
      <c r="BK106" s="1857">
        <v>7.1490342330000001</v>
      </c>
      <c r="BL106" s="1857">
        <v>192.303</v>
      </c>
      <c r="BM106" s="1857">
        <v>37.578771283400002</v>
      </c>
    </row>
    <row r="107" spans="1:65">
      <c r="A107" s="1854" t="s">
        <v>28</v>
      </c>
      <c r="B107" s="1865">
        <v>5361.3729999999996</v>
      </c>
      <c r="C107" s="1865">
        <v>85.131</v>
      </c>
      <c r="D107" s="1865">
        <v>2516.1680000000001</v>
      </c>
      <c r="E107" s="1865">
        <v>1536.288</v>
      </c>
      <c r="F107" s="1865">
        <v>638.62900000000002</v>
      </c>
      <c r="G107" s="1850">
        <v>670.28800000000001</v>
      </c>
      <c r="H107" s="1865">
        <v>7278.8860000000004</v>
      </c>
      <c r="I107" s="1865">
        <v>1105.1408355686001</v>
      </c>
      <c r="J107" s="1857">
        <v>4589.317</v>
      </c>
      <c r="K107" s="1850">
        <v>835.08913948999998</v>
      </c>
      <c r="L107" s="1857">
        <v>39.231000000000002</v>
      </c>
      <c r="M107" s="1857">
        <v>65.460357560000006</v>
      </c>
      <c r="N107" s="1857">
        <v>108.756</v>
      </c>
      <c r="O107" s="1857">
        <v>30.964626154499999</v>
      </c>
      <c r="P107" s="1857">
        <v>1044.4280000000001</v>
      </c>
      <c r="Q107" s="1865">
        <v>55.917575790000001</v>
      </c>
      <c r="R107" s="1865">
        <v>1.4059999999999999</v>
      </c>
      <c r="S107" s="1864">
        <v>1.8520910000000002E-2</v>
      </c>
      <c r="T107" s="1865">
        <v>915.41300000000001</v>
      </c>
      <c r="U107" s="1865">
        <v>28.714395184099999</v>
      </c>
      <c r="V107" s="1865"/>
      <c r="W107" s="1865"/>
      <c r="X107" s="1850">
        <v>581.74099999999999</v>
      </c>
      <c r="Y107" s="1850">
        <v>88.994741390000002</v>
      </c>
      <c r="Z107" s="1850">
        <v>54.076999999999998</v>
      </c>
      <c r="AA107" s="1850">
        <v>19.30531731</v>
      </c>
      <c r="AB107" s="1850">
        <v>527.66399999999999</v>
      </c>
      <c r="AC107" s="1850">
        <v>69.689424079999995</v>
      </c>
      <c r="AD107" s="1857">
        <v>6382.1710000000003</v>
      </c>
      <c r="AE107" s="1857">
        <v>963.09608964359995</v>
      </c>
      <c r="AF107" s="1857">
        <v>4523.4570000000003</v>
      </c>
      <c r="AG107" s="1857">
        <v>815.60263970949995</v>
      </c>
      <c r="AH107" s="1857">
        <v>766.59400000000005</v>
      </c>
      <c r="AI107" s="1857">
        <v>84.534124669999997</v>
      </c>
      <c r="AJ107" s="1857">
        <v>1.024</v>
      </c>
      <c r="AK107" s="1857">
        <v>1.024535E-2</v>
      </c>
      <c r="AL107" s="1857">
        <v>731.44600000000003</v>
      </c>
      <c r="AM107" s="1857">
        <v>20.4479835241</v>
      </c>
      <c r="AN107" s="1857"/>
      <c r="AO107" s="1857"/>
      <c r="AP107" s="1857">
        <v>360.67399999999998</v>
      </c>
      <c r="AQ107" s="1857">
        <v>42.511341739999999</v>
      </c>
      <c r="AR107" s="1857">
        <v>35.954000000000001</v>
      </c>
      <c r="AS107" s="1857">
        <v>11.99685275</v>
      </c>
      <c r="AT107" s="1857">
        <v>324.72000000000003</v>
      </c>
      <c r="AU107" s="1857">
        <v>30.514488989999997</v>
      </c>
      <c r="AV107" s="1857">
        <v>896.71500000000003</v>
      </c>
      <c r="AW107" s="1857">
        <v>142.044745925</v>
      </c>
      <c r="AX107" s="1857">
        <v>174.61600000000001</v>
      </c>
      <c r="AY107" s="1857">
        <v>50.451125935</v>
      </c>
      <c r="AZ107" s="1857">
        <v>317.065</v>
      </c>
      <c r="BA107" s="1857">
        <v>36.843808680000002</v>
      </c>
      <c r="BB107" s="1774">
        <v>0.38200000000000001</v>
      </c>
      <c r="BC107" s="1863">
        <v>8.2755599999999995E-3</v>
      </c>
      <c r="BD107" s="1857">
        <v>183.96700000000001</v>
      </c>
      <c r="BE107" s="1857">
        <v>8.2664116599999993</v>
      </c>
      <c r="BF107" s="1857"/>
      <c r="BG107" s="1857"/>
      <c r="BH107" s="1857">
        <v>221.06700000000001</v>
      </c>
      <c r="BI107" s="1857">
        <v>46.483399650000003</v>
      </c>
      <c r="BJ107" s="1857">
        <v>18.123000000000001</v>
      </c>
      <c r="BK107" s="1857">
        <v>7.30846456</v>
      </c>
      <c r="BL107" s="1857">
        <v>202.94399999999999</v>
      </c>
      <c r="BM107" s="1857">
        <v>39.174935089999998</v>
      </c>
    </row>
    <row r="108" spans="1:65">
      <c r="A108" s="1854" t="s">
        <v>29</v>
      </c>
      <c r="B108" s="1865">
        <v>5359.3450000000003</v>
      </c>
      <c r="C108" s="1865">
        <v>90.37</v>
      </c>
      <c r="D108" s="1865">
        <v>2552.415</v>
      </c>
      <c r="E108" s="1865">
        <v>1545.5609999999999</v>
      </c>
      <c r="F108" s="1865">
        <v>630.26700000000005</v>
      </c>
      <c r="G108" s="1850">
        <v>631.10199999999998</v>
      </c>
      <c r="H108" s="1865">
        <v>8141.1480000000001</v>
      </c>
      <c r="I108" s="1865">
        <v>1309.5892435902001</v>
      </c>
      <c r="J108" s="1857">
        <v>5341.7719999999999</v>
      </c>
      <c r="K108" s="1850">
        <v>1021.171081763</v>
      </c>
      <c r="L108" s="1857">
        <v>54.139000000000003</v>
      </c>
      <c r="M108" s="1857">
        <v>82.027533082399998</v>
      </c>
      <c r="N108" s="1857">
        <v>110.173</v>
      </c>
      <c r="O108" s="1857">
        <v>32.9753091137</v>
      </c>
      <c r="P108" s="1857">
        <v>1132.827</v>
      </c>
      <c r="Q108" s="1865">
        <v>59.960691943</v>
      </c>
      <c r="R108" s="1865">
        <v>1.907</v>
      </c>
      <c r="S108" s="1864">
        <v>3.7514359999999997E-2</v>
      </c>
      <c r="T108" s="1865">
        <v>950.27599999999995</v>
      </c>
      <c r="U108" s="1865">
        <v>31.1403658881</v>
      </c>
      <c r="V108" s="1865"/>
      <c r="W108" s="1865"/>
      <c r="X108" s="1850">
        <v>551.96100000000001</v>
      </c>
      <c r="Y108" s="1850">
        <v>82.314261799999997</v>
      </c>
      <c r="Z108" s="1850">
        <v>54.868000000000002</v>
      </c>
      <c r="AA108" s="1850">
        <v>21.83387604</v>
      </c>
      <c r="AB108" s="1850">
        <v>497.09300000000002</v>
      </c>
      <c r="AC108" s="1850">
        <v>60.480385759999997</v>
      </c>
      <c r="AD108" s="1857">
        <v>7234.4610000000002</v>
      </c>
      <c r="AE108" s="1857">
        <v>1162.3643838462001</v>
      </c>
      <c r="AF108" s="1857">
        <v>5265.5820000000003</v>
      </c>
      <c r="AG108" s="1857">
        <v>996.27906875919996</v>
      </c>
      <c r="AH108" s="1857">
        <v>853.99</v>
      </c>
      <c r="AI108" s="1857">
        <v>100.490252277</v>
      </c>
      <c r="AJ108" s="1857">
        <v>1.5720000000000001</v>
      </c>
      <c r="AK108" s="1857">
        <v>3.0062599999999998E-2</v>
      </c>
      <c r="AL108" s="1857">
        <v>765.57899999999995</v>
      </c>
      <c r="AM108" s="1857">
        <v>22.23540448</v>
      </c>
      <c r="AN108" s="1857"/>
      <c r="AO108" s="1857"/>
      <c r="AP108" s="1857">
        <v>349.31</v>
      </c>
      <c r="AQ108" s="1857">
        <v>43.359658330000002</v>
      </c>
      <c r="AR108" s="1857">
        <v>37.887999999999998</v>
      </c>
      <c r="AS108" s="1857">
        <v>14.71566649</v>
      </c>
      <c r="AT108" s="1857">
        <v>311.42200000000003</v>
      </c>
      <c r="AU108" s="1857">
        <v>28.643991839999998</v>
      </c>
      <c r="AV108" s="1857">
        <v>906.68700000000001</v>
      </c>
      <c r="AW108" s="1857">
        <v>147.22485974400001</v>
      </c>
      <c r="AX108" s="1857">
        <v>186.363</v>
      </c>
      <c r="AY108" s="1857">
        <v>57.867322117500002</v>
      </c>
      <c r="AZ108" s="1857">
        <v>332.976</v>
      </c>
      <c r="BA108" s="1857">
        <v>41.497972748400002</v>
      </c>
      <c r="BB108" s="1774">
        <v>0.33500000000000002</v>
      </c>
      <c r="BC108" s="1863">
        <v>7.45176E-3</v>
      </c>
      <c r="BD108" s="1857">
        <v>184.697</v>
      </c>
      <c r="BE108" s="1857">
        <v>8.9049614081000001</v>
      </c>
      <c r="BF108" s="1857"/>
      <c r="BG108" s="1857"/>
      <c r="BH108" s="1857">
        <v>202.65100000000001</v>
      </c>
      <c r="BI108" s="1857">
        <v>38.954603470000002</v>
      </c>
      <c r="BJ108" s="1857">
        <v>16.98</v>
      </c>
      <c r="BK108" s="1857">
        <v>7.1182095499999996</v>
      </c>
      <c r="BL108" s="1857">
        <v>185.67099999999999</v>
      </c>
      <c r="BM108" s="1857">
        <v>31.836393920000003</v>
      </c>
    </row>
    <row r="109" spans="1:65">
      <c r="A109" s="1854" t="s">
        <v>1942</v>
      </c>
      <c r="B109" s="1866">
        <v>5873.6769999999997</v>
      </c>
      <c r="C109" s="1866">
        <v>323</v>
      </c>
      <c r="D109" s="1866">
        <v>2535.3690000000001</v>
      </c>
      <c r="E109" s="1866">
        <v>1848.9</v>
      </c>
      <c r="F109" s="1866">
        <v>866.39700000000005</v>
      </c>
      <c r="G109" s="1859">
        <v>623.01099999999997</v>
      </c>
      <c r="H109" s="1871">
        <f t="shared" ref="H109:U109" si="21">SUM(H110:H121)</f>
        <v>97557.371999999988</v>
      </c>
      <c r="I109" s="1871">
        <f t="shared" si="21"/>
        <v>14890.884557246198</v>
      </c>
      <c r="J109" s="1871">
        <f t="shared" si="21"/>
        <v>59998.541999999994</v>
      </c>
      <c r="K109" s="1871">
        <f t="shared" si="21"/>
        <v>11349.7536068642</v>
      </c>
      <c r="L109" s="1871">
        <f t="shared" si="21"/>
        <v>393.35899999999998</v>
      </c>
      <c r="M109" s="1871">
        <f t="shared" si="21"/>
        <v>746.05929980650012</v>
      </c>
      <c r="N109" s="1871">
        <f t="shared" si="21"/>
        <v>1640.338</v>
      </c>
      <c r="O109" s="1871">
        <f t="shared" si="21"/>
        <v>340.46754406529993</v>
      </c>
      <c r="P109" s="1871">
        <f t="shared" si="21"/>
        <v>11181.092999999999</v>
      </c>
      <c r="Q109" s="1871">
        <f t="shared" si="21"/>
        <v>808.20550245990012</v>
      </c>
      <c r="R109" s="1871">
        <f t="shared" si="21"/>
        <v>193.91900000000001</v>
      </c>
      <c r="S109" s="1871">
        <f t="shared" si="21"/>
        <v>5.8747151799999999</v>
      </c>
      <c r="T109" s="1871">
        <f t="shared" si="21"/>
        <v>17410.233</v>
      </c>
      <c r="U109" s="1871">
        <f t="shared" si="21"/>
        <v>622.05893844369996</v>
      </c>
      <c r="V109" s="1871"/>
      <c r="W109" s="1871"/>
      <c r="X109" s="1871">
        <f t="shared" ref="X109:AM109" si="22">SUM(X110:X121)</f>
        <v>6933.8069999999989</v>
      </c>
      <c r="Y109" s="1871">
        <f t="shared" si="22"/>
        <v>1024.3396656067</v>
      </c>
      <c r="Z109" s="1871">
        <f t="shared" si="22"/>
        <v>545.43899999999996</v>
      </c>
      <c r="AA109" s="1871">
        <f t="shared" si="22"/>
        <v>200.90640376170001</v>
      </c>
      <c r="AB109" s="1871">
        <f t="shared" si="22"/>
        <v>6388.3680000000004</v>
      </c>
      <c r="AC109" s="1871">
        <f t="shared" si="22"/>
        <v>823.43326184496539</v>
      </c>
      <c r="AD109" s="1871">
        <f t="shared" si="22"/>
        <v>87968.95</v>
      </c>
      <c r="AE109" s="1871">
        <f t="shared" si="22"/>
        <v>13423.859041142699</v>
      </c>
      <c r="AF109" s="1871">
        <f t="shared" si="22"/>
        <v>59401.968999999997</v>
      </c>
      <c r="AG109" s="1871">
        <f t="shared" si="22"/>
        <v>11194.477753297</v>
      </c>
      <c r="AH109" s="1871">
        <f t="shared" si="22"/>
        <v>8645.527</v>
      </c>
      <c r="AI109" s="1871">
        <f t="shared" si="22"/>
        <v>1179.1559324873999</v>
      </c>
      <c r="AJ109" s="1871">
        <f t="shared" si="22"/>
        <v>154.98900000000003</v>
      </c>
      <c r="AK109" s="1871">
        <f t="shared" si="22"/>
        <v>4.13303858</v>
      </c>
      <c r="AL109" s="1871">
        <f t="shared" si="22"/>
        <v>14925.348</v>
      </c>
      <c r="AM109" s="1871">
        <f t="shared" si="22"/>
        <v>441.18354021680005</v>
      </c>
      <c r="AN109" s="1871"/>
      <c r="AO109" s="1871"/>
      <c r="AP109" s="1871">
        <f t="shared" ref="AP109:BM109" si="23">SUM(AP110:AP121)</f>
        <v>4996.1059999999998</v>
      </c>
      <c r="AQ109" s="1871">
        <f t="shared" si="23"/>
        <v>609.04181514150002</v>
      </c>
      <c r="AR109" s="1871">
        <f t="shared" si="23"/>
        <v>404.35399999999998</v>
      </c>
      <c r="AS109" s="1871">
        <f t="shared" si="23"/>
        <v>135.60580123299999</v>
      </c>
      <c r="AT109" s="1871">
        <f t="shared" si="23"/>
        <v>4591.7519999999995</v>
      </c>
      <c r="AU109" s="1871">
        <f t="shared" si="23"/>
        <v>473.43601390846521</v>
      </c>
      <c r="AV109" s="1871">
        <f t="shared" si="23"/>
        <v>9588.4220000000005</v>
      </c>
      <c r="AW109" s="1871">
        <f t="shared" si="23"/>
        <v>1467.0255161035</v>
      </c>
      <c r="AX109" s="1871">
        <f t="shared" si="23"/>
        <v>2236.9110000000001</v>
      </c>
      <c r="AY109" s="1871">
        <f t="shared" si="23"/>
        <v>495.74339763249998</v>
      </c>
      <c r="AZ109" s="1871">
        <f t="shared" si="23"/>
        <v>2928.9250000000002</v>
      </c>
      <c r="BA109" s="1871">
        <f t="shared" si="23"/>
        <v>375.10886977900003</v>
      </c>
      <c r="BB109" s="1871">
        <f t="shared" si="23"/>
        <v>38.93</v>
      </c>
      <c r="BC109" s="1871">
        <f t="shared" si="23"/>
        <v>1.7416766000000001</v>
      </c>
      <c r="BD109" s="1871">
        <f t="shared" si="23"/>
        <v>2484.8849999999998</v>
      </c>
      <c r="BE109" s="1871">
        <f t="shared" si="23"/>
        <v>180.8753982268</v>
      </c>
      <c r="BF109" s="1871">
        <f t="shared" si="23"/>
        <v>0</v>
      </c>
      <c r="BG109" s="1871">
        <f t="shared" si="23"/>
        <v>0</v>
      </c>
      <c r="BH109" s="1871">
        <f t="shared" si="23"/>
        <v>1937.701</v>
      </c>
      <c r="BI109" s="1871">
        <f t="shared" si="23"/>
        <v>415.29785046519999</v>
      </c>
      <c r="BJ109" s="1871">
        <f t="shared" si="23"/>
        <v>141.08500000000001</v>
      </c>
      <c r="BK109" s="1871">
        <f t="shared" si="23"/>
        <v>65.300602528699997</v>
      </c>
      <c r="BL109" s="1871">
        <f t="shared" si="23"/>
        <v>1796.616</v>
      </c>
      <c r="BM109" s="1871">
        <f t="shared" si="23"/>
        <v>349.9972479365</v>
      </c>
    </row>
    <row r="110" spans="1:65">
      <c r="A110" s="1854" t="s">
        <v>18</v>
      </c>
      <c r="B110" s="1865">
        <v>5367.4059999999999</v>
      </c>
      <c r="C110" s="1865">
        <v>111.18</v>
      </c>
      <c r="D110" s="1865">
        <v>2534.4720000000002</v>
      </c>
      <c r="E110" s="1865">
        <v>1580.546</v>
      </c>
      <c r="F110" s="1865">
        <v>683.39</v>
      </c>
      <c r="G110" s="1850">
        <v>568.99800000000005</v>
      </c>
      <c r="H110" s="1865">
        <v>6504.4840000000004</v>
      </c>
      <c r="I110" s="1865">
        <v>931.94370984620002</v>
      </c>
      <c r="J110" s="1857">
        <v>3839.2640000000001</v>
      </c>
      <c r="K110" s="1850">
        <v>682.20806934999996</v>
      </c>
      <c r="L110" s="1857">
        <v>24.51</v>
      </c>
      <c r="M110" s="1857">
        <v>45.101363744300002</v>
      </c>
      <c r="N110" s="1857">
        <v>109.678</v>
      </c>
      <c r="O110" s="1857">
        <v>27.880774467399998</v>
      </c>
      <c r="P110" s="1857">
        <v>1110.171</v>
      </c>
      <c r="Q110" s="1865">
        <v>57.079334854000003</v>
      </c>
      <c r="R110" s="1865">
        <v>1.724</v>
      </c>
      <c r="S110" s="1867">
        <v>3.140983E-2</v>
      </c>
      <c r="T110" s="1865">
        <v>903.54100000000005</v>
      </c>
      <c r="U110" s="1865">
        <v>30.690220930500001</v>
      </c>
      <c r="V110" s="1865"/>
      <c r="W110" s="1865"/>
      <c r="X110" s="1850">
        <v>517.32000000000005</v>
      </c>
      <c r="Y110" s="1850">
        <v>88.983946500000002</v>
      </c>
      <c r="Z110" s="1850">
        <v>49.856000000000002</v>
      </c>
      <c r="AA110" s="1850">
        <v>20.043058219999999</v>
      </c>
      <c r="AB110" s="1850">
        <v>467.464</v>
      </c>
      <c r="AC110" s="1850">
        <v>68.940888279999996</v>
      </c>
      <c r="AD110" s="1857">
        <v>5746.5959999999995</v>
      </c>
      <c r="AE110" s="1857">
        <v>818.99632950579996</v>
      </c>
      <c r="AF110" s="1857">
        <v>3805.6959999999999</v>
      </c>
      <c r="AG110" s="1857">
        <v>670.60386466</v>
      </c>
      <c r="AH110" s="1857">
        <v>846.60699999999997</v>
      </c>
      <c r="AI110" s="1857">
        <v>75.654201475299999</v>
      </c>
      <c r="AJ110" s="1857">
        <v>1.45</v>
      </c>
      <c r="AK110" s="1645">
        <v>2.5833189999999999E-2</v>
      </c>
      <c r="AL110" s="1857">
        <v>727.45500000000004</v>
      </c>
      <c r="AM110" s="1857">
        <v>23.2139369205</v>
      </c>
      <c r="AN110" s="1857"/>
      <c r="AO110" s="1857"/>
      <c r="AP110" s="1857">
        <v>366.83800000000002</v>
      </c>
      <c r="AQ110" s="1857">
        <v>49.524326449999997</v>
      </c>
      <c r="AR110" s="1857">
        <v>38.514000000000003</v>
      </c>
      <c r="AS110" s="1857">
        <v>14.61452448</v>
      </c>
      <c r="AT110" s="1857">
        <v>328.32400000000001</v>
      </c>
      <c r="AU110" s="1857">
        <v>34.909801969999997</v>
      </c>
      <c r="AV110" s="1857">
        <v>757.88800000000003</v>
      </c>
      <c r="AW110" s="1857">
        <v>112.9473803404</v>
      </c>
      <c r="AX110" s="1857">
        <v>143.24600000000001</v>
      </c>
      <c r="AY110" s="1857">
        <v>39.484979157399998</v>
      </c>
      <c r="AZ110" s="1857">
        <v>288.07400000000001</v>
      </c>
      <c r="BA110" s="1857">
        <v>26.526497122999999</v>
      </c>
      <c r="BB110" s="1857">
        <v>0.27400000000000002</v>
      </c>
      <c r="BC110" s="1863">
        <v>5.5766399999999999E-3</v>
      </c>
      <c r="BD110" s="1857">
        <v>176.08600000000001</v>
      </c>
      <c r="BE110" s="1857">
        <v>7.4762840099999996</v>
      </c>
      <c r="BF110" s="1857"/>
      <c r="BG110" s="1857"/>
      <c r="BH110" s="1857">
        <v>150.482</v>
      </c>
      <c r="BI110" s="1857">
        <v>39.459620049999998</v>
      </c>
      <c r="BJ110" s="1857">
        <v>11.342000000000001</v>
      </c>
      <c r="BK110" s="1857">
        <v>5.4285337400000007</v>
      </c>
      <c r="BL110" s="1857">
        <v>139.13999999999999</v>
      </c>
      <c r="BM110" s="1857">
        <v>34.031086309999999</v>
      </c>
    </row>
    <row r="111" spans="1:65">
      <c r="A111" s="1854" t="s">
        <v>19</v>
      </c>
      <c r="B111" s="1865">
        <v>5456.0590000000002</v>
      </c>
      <c r="C111" s="1865">
        <v>132.923</v>
      </c>
      <c r="D111" s="1865">
        <v>2545.3040000000001</v>
      </c>
      <c r="E111" s="1865">
        <v>1639.5260000000001</v>
      </c>
      <c r="F111" s="1865">
        <v>696.63800000000003</v>
      </c>
      <c r="G111" s="1850">
        <v>574.59100000000001</v>
      </c>
      <c r="H111" s="1865">
        <v>7204.4949999999999</v>
      </c>
      <c r="I111" s="1865">
        <v>1123.9301336786</v>
      </c>
      <c r="J111" s="1857">
        <v>4610.634</v>
      </c>
      <c r="K111" s="1850">
        <v>879.01149484999996</v>
      </c>
      <c r="L111" s="1857">
        <v>34.106000000000002</v>
      </c>
      <c r="M111" s="1857">
        <v>55.063941430500002</v>
      </c>
      <c r="N111" s="1857">
        <v>100.303</v>
      </c>
      <c r="O111" s="1857">
        <v>23.923222490499999</v>
      </c>
      <c r="P111" s="1857">
        <v>1085.277</v>
      </c>
      <c r="Q111" s="1865">
        <v>60.643223636800002</v>
      </c>
      <c r="R111" s="1865">
        <v>3.9870000000000001</v>
      </c>
      <c r="S111" s="1867">
        <v>0.10633138</v>
      </c>
      <c r="T111" s="1865">
        <v>922.70600000000002</v>
      </c>
      <c r="U111" s="1865">
        <v>37.641955290799999</v>
      </c>
      <c r="V111" s="1865"/>
      <c r="W111" s="1865"/>
      <c r="X111" s="1850">
        <v>451.46899999999999</v>
      </c>
      <c r="Y111" s="1850">
        <v>67.646295980000005</v>
      </c>
      <c r="Z111" s="1850">
        <v>41.337000000000003</v>
      </c>
      <c r="AA111" s="1850">
        <v>19.327814800000002</v>
      </c>
      <c r="AB111" s="1850">
        <v>410.13200000000001</v>
      </c>
      <c r="AC111" s="1850">
        <v>48.318481179999999</v>
      </c>
      <c r="AD111" s="1857">
        <v>6512.8909999999996</v>
      </c>
      <c r="AE111" s="1857">
        <v>1022.2702603934</v>
      </c>
      <c r="AF111" s="1857">
        <v>4571.6170000000002</v>
      </c>
      <c r="AG111" s="1857">
        <v>867.22719753479998</v>
      </c>
      <c r="AH111" s="1857">
        <v>852.12099999999998</v>
      </c>
      <c r="AI111" s="1857">
        <v>86.913372627800001</v>
      </c>
      <c r="AJ111" s="1857">
        <v>3.6640000000000001</v>
      </c>
      <c r="AK111" s="1645">
        <v>9.2527789999999999E-2</v>
      </c>
      <c r="AL111" s="1857">
        <v>765.56899999999996</v>
      </c>
      <c r="AM111" s="1857">
        <v>30.962557190799998</v>
      </c>
      <c r="AN111" s="1857"/>
      <c r="AO111" s="1857"/>
      <c r="AP111" s="1857">
        <v>323.584</v>
      </c>
      <c r="AQ111" s="1857">
        <v>37.167133040000003</v>
      </c>
      <c r="AR111" s="1857">
        <v>29.648</v>
      </c>
      <c r="AS111" s="1857">
        <v>10.361727419999999</v>
      </c>
      <c r="AT111" s="1857">
        <v>293.93599999999998</v>
      </c>
      <c r="AU111" s="1857">
        <v>26.805405619999998</v>
      </c>
      <c r="AV111" s="1857">
        <v>691.60400000000004</v>
      </c>
      <c r="AW111" s="1857">
        <v>101.65987328520001</v>
      </c>
      <c r="AX111" s="1857">
        <v>139.32</v>
      </c>
      <c r="AY111" s="1857">
        <v>35.707519805700002</v>
      </c>
      <c r="AZ111" s="1857">
        <v>267.262</v>
      </c>
      <c r="BA111" s="1857">
        <v>28.793792439499999</v>
      </c>
      <c r="BB111" s="1857">
        <v>0.32300000000000001</v>
      </c>
      <c r="BC111" s="1863">
        <v>1.3803590000000001E-2</v>
      </c>
      <c r="BD111" s="1857">
        <v>157.137</v>
      </c>
      <c r="BE111" s="1857">
        <v>6.6793981000000002</v>
      </c>
      <c r="BF111" s="1857"/>
      <c r="BG111" s="1857"/>
      <c r="BH111" s="1857">
        <v>127.88500000000001</v>
      </c>
      <c r="BI111" s="1857">
        <v>30.479162939999998</v>
      </c>
      <c r="BJ111" s="1857">
        <v>11.689</v>
      </c>
      <c r="BK111" s="1857">
        <v>8.9660873800000012</v>
      </c>
      <c r="BL111" s="1857">
        <v>116.196</v>
      </c>
      <c r="BM111" s="1857">
        <v>21.513075560000001</v>
      </c>
    </row>
    <row r="112" spans="1:65">
      <c r="A112" s="1854" t="s">
        <v>20</v>
      </c>
      <c r="B112" s="1865">
        <v>5522.6580000000004</v>
      </c>
      <c r="C112" s="1865">
        <v>154.50299999999999</v>
      </c>
      <c r="D112" s="1865">
        <v>2559.6669999999999</v>
      </c>
      <c r="E112" s="1865">
        <v>1651.7190000000001</v>
      </c>
      <c r="F112" s="1865">
        <v>732.14700000000005</v>
      </c>
      <c r="G112" s="1850">
        <v>579.125</v>
      </c>
      <c r="H112" s="1865">
        <v>8526.0540000000001</v>
      </c>
      <c r="I112" s="1865">
        <v>1315.1897780684001</v>
      </c>
      <c r="J112" s="1857">
        <v>5505.8190000000004</v>
      </c>
      <c r="K112" s="1850">
        <v>1043.7747139600001</v>
      </c>
      <c r="L112" s="1857">
        <v>41.371000000000002</v>
      </c>
      <c r="M112" s="1857">
        <v>63.944595878299999</v>
      </c>
      <c r="N112" s="1857">
        <v>105.03100000000001</v>
      </c>
      <c r="O112" s="1857">
        <v>18.982983894499998</v>
      </c>
      <c r="P112" s="1857">
        <v>1263.423</v>
      </c>
      <c r="Q112" s="1865">
        <v>72.752166740800007</v>
      </c>
      <c r="R112" s="1865">
        <v>7.7089999999999996</v>
      </c>
      <c r="S112" s="1867">
        <v>0.25342701000000001</v>
      </c>
      <c r="T112" s="1865">
        <v>1068.9749999999999</v>
      </c>
      <c r="U112" s="1865">
        <v>34.519784768299999</v>
      </c>
      <c r="V112" s="1865"/>
      <c r="W112" s="1865"/>
      <c r="X112" s="1850">
        <v>541.43499999999995</v>
      </c>
      <c r="Y112" s="1850">
        <v>81.215532826599997</v>
      </c>
      <c r="Z112" s="1850">
        <v>44.484999999999999</v>
      </c>
      <c r="AA112" s="1850">
        <v>15.232690890000001</v>
      </c>
      <c r="AB112" s="1850">
        <v>496.95</v>
      </c>
      <c r="AC112" s="1850">
        <v>65.982841936565208</v>
      </c>
      <c r="AD112" s="1857">
        <v>7734.5910000000003</v>
      </c>
      <c r="AE112" s="1857">
        <v>1201.9431127749999</v>
      </c>
      <c r="AF112" s="1857">
        <v>5443.7950000000001</v>
      </c>
      <c r="AG112" s="1857">
        <v>1028.0015741944001</v>
      </c>
      <c r="AH112" s="1857">
        <v>1013.283</v>
      </c>
      <c r="AI112" s="1857">
        <v>103.2189925688</v>
      </c>
      <c r="AJ112" s="1857">
        <v>6.665</v>
      </c>
      <c r="AK112" s="1645">
        <v>0.18923432000000001</v>
      </c>
      <c r="AL112" s="1857">
        <v>892.28800000000001</v>
      </c>
      <c r="AM112" s="1857">
        <v>23.871534185200002</v>
      </c>
      <c r="AN112" s="1857"/>
      <c r="AO112" s="1857"/>
      <c r="AP112" s="1857">
        <v>385.22500000000002</v>
      </c>
      <c r="AQ112" s="1857">
        <v>46.851011826600001</v>
      </c>
      <c r="AR112" s="1857">
        <v>33.158999999999999</v>
      </c>
      <c r="AS112" s="1857">
        <v>10.31700163</v>
      </c>
      <c r="AT112" s="1857">
        <v>352.06599999999997</v>
      </c>
      <c r="AU112" s="1857">
        <v>36.534010196565198</v>
      </c>
      <c r="AV112" s="1857">
        <v>791.46299999999997</v>
      </c>
      <c r="AW112" s="1857">
        <v>113.2466652934</v>
      </c>
      <c r="AX112" s="1857">
        <v>167.05500000000001</v>
      </c>
      <c r="AY112" s="1857">
        <v>34.756123660100002</v>
      </c>
      <c r="AZ112" s="1857">
        <v>291.51100000000002</v>
      </c>
      <c r="BA112" s="1857">
        <v>33.477770050300002</v>
      </c>
      <c r="BB112" s="1857">
        <v>1.044</v>
      </c>
      <c r="BC112" s="1863">
        <v>6.4192689999999997E-2</v>
      </c>
      <c r="BD112" s="1857">
        <v>176.68700000000001</v>
      </c>
      <c r="BE112" s="1857">
        <v>10.648250582999999</v>
      </c>
      <c r="BF112" s="1857"/>
      <c r="BG112" s="1857"/>
      <c r="BH112" s="1857">
        <v>156.21</v>
      </c>
      <c r="BI112" s="1857">
        <v>34.364521000000003</v>
      </c>
      <c r="BJ112" s="1857">
        <v>11.326000000000001</v>
      </c>
      <c r="BK112" s="1857">
        <v>4.9156892599999997</v>
      </c>
      <c r="BL112" s="1857">
        <v>144.88399999999999</v>
      </c>
      <c r="BM112" s="1857">
        <v>29.448831740000003</v>
      </c>
    </row>
    <row r="113" spans="1:65">
      <c r="A113" s="1854" t="s">
        <v>21</v>
      </c>
      <c r="B113" s="1865">
        <v>5562.2290000000003</v>
      </c>
      <c r="C113" s="1865">
        <v>167.64599999999999</v>
      </c>
      <c r="D113" s="1865">
        <v>2547.3789999999999</v>
      </c>
      <c r="E113" s="1865">
        <v>1679.5429999999999</v>
      </c>
      <c r="F113" s="1865">
        <v>750.01499999999999</v>
      </c>
      <c r="G113" s="1850">
        <v>585.29200000000003</v>
      </c>
      <c r="H113" s="1865">
        <v>7454.3190000000004</v>
      </c>
      <c r="I113" s="1865">
        <v>1113.4786856464</v>
      </c>
      <c r="J113" s="1857">
        <v>4694.6940000000004</v>
      </c>
      <c r="K113" s="1850">
        <v>875.36337562000006</v>
      </c>
      <c r="L113" s="1857">
        <v>29.535</v>
      </c>
      <c r="M113" s="1857">
        <v>57.7898462319</v>
      </c>
      <c r="N113" s="1857">
        <v>93.387</v>
      </c>
      <c r="O113" s="1857">
        <v>18.930635905399999</v>
      </c>
      <c r="P113" s="1857">
        <v>979.77599999999995</v>
      </c>
      <c r="Q113" s="1865">
        <v>60.991423721399997</v>
      </c>
      <c r="R113" s="1865">
        <v>7.7759999999999998</v>
      </c>
      <c r="S113" s="1867">
        <v>0.24739896</v>
      </c>
      <c r="T113" s="1865">
        <v>1122.817</v>
      </c>
      <c r="U113" s="1865">
        <v>34.931524320100003</v>
      </c>
      <c r="V113" s="1865"/>
      <c r="W113" s="1865"/>
      <c r="X113" s="1850">
        <v>534.11</v>
      </c>
      <c r="Y113" s="1850">
        <v>65.471879847599993</v>
      </c>
      <c r="Z113" s="1850">
        <v>44.457000000000001</v>
      </c>
      <c r="AA113" s="1850">
        <v>14.660865852700001</v>
      </c>
      <c r="AB113" s="1850">
        <v>489.65300000000002</v>
      </c>
      <c r="AC113" s="1850">
        <v>50.811013994900001</v>
      </c>
      <c r="AD113" s="1857">
        <v>6705.3959999999997</v>
      </c>
      <c r="AE113" s="1857">
        <v>1007.7756243835</v>
      </c>
      <c r="AF113" s="1857">
        <v>4617.9690000000001</v>
      </c>
      <c r="AG113" s="1857">
        <v>858.13002951500005</v>
      </c>
      <c r="AH113" s="1857">
        <v>758.70600000000002</v>
      </c>
      <c r="AI113" s="1857">
        <v>87.173045960799996</v>
      </c>
      <c r="AJ113" s="1857">
        <v>6.5490000000000004</v>
      </c>
      <c r="AK113" s="1645">
        <v>0.18945728000000001</v>
      </c>
      <c r="AL113" s="1857">
        <v>939.29300000000001</v>
      </c>
      <c r="AM113" s="1857">
        <v>24.129905816299999</v>
      </c>
      <c r="AN113" s="1857"/>
      <c r="AO113" s="1857"/>
      <c r="AP113" s="1857">
        <v>389.428</v>
      </c>
      <c r="AQ113" s="1857">
        <v>38.342643091399999</v>
      </c>
      <c r="AR113" s="1857">
        <v>33.472999999999999</v>
      </c>
      <c r="AS113" s="1857">
        <v>9.7596238899000003</v>
      </c>
      <c r="AT113" s="1857">
        <v>355.95499999999998</v>
      </c>
      <c r="AU113" s="1857">
        <v>28.583019201499997</v>
      </c>
      <c r="AV113" s="1857">
        <v>748.923</v>
      </c>
      <c r="AW113" s="1857">
        <v>105.70306126289999</v>
      </c>
      <c r="AX113" s="1857">
        <v>170.11199999999999</v>
      </c>
      <c r="AY113" s="1857">
        <v>36.163982010399998</v>
      </c>
      <c r="AZ113" s="1857">
        <v>250.60499999999999</v>
      </c>
      <c r="BA113" s="1857">
        <v>31.608223992500001</v>
      </c>
      <c r="BB113" s="1857">
        <v>1.2270000000000001</v>
      </c>
      <c r="BC113" s="1863">
        <v>5.7941680000000002E-2</v>
      </c>
      <c r="BD113" s="1857">
        <v>183.524</v>
      </c>
      <c r="BE113" s="1857">
        <v>10.8016185038</v>
      </c>
      <c r="BF113" s="1857"/>
      <c r="BG113" s="1857"/>
      <c r="BH113" s="1857">
        <v>144.68199999999999</v>
      </c>
      <c r="BI113" s="1857">
        <v>27.129236756200001</v>
      </c>
      <c r="BJ113" s="1857">
        <v>10.984</v>
      </c>
      <c r="BK113" s="1857">
        <v>4.9012419627999995</v>
      </c>
      <c r="BL113" s="1857">
        <v>133.69800000000001</v>
      </c>
      <c r="BM113" s="1857">
        <v>22.227994793399997</v>
      </c>
    </row>
    <row r="114" spans="1:65">
      <c r="A114" s="1854" t="s">
        <v>22</v>
      </c>
      <c r="B114" s="1865">
        <v>5591.2280000000001</v>
      </c>
      <c r="C114" s="1865">
        <v>192.845</v>
      </c>
      <c r="D114" s="1865">
        <v>2545.1550000000002</v>
      </c>
      <c r="E114" s="1865">
        <v>1722.1030000000001</v>
      </c>
      <c r="F114" s="1865">
        <v>757.92499999999995</v>
      </c>
      <c r="G114" s="1850">
        <v>566.04499999999996</v>
      </c>
      <c r="H114" s="1865">
        <v>8397.4220000000005</v>
      </c>
      <c r="I114" s="1865">
        <v>1244.6049035299</v>
      </c>
      <c r="J114" s="1857">
        <v>5173.6279999999997</v>
      </c>
      <c r="K114" s="1850">
        <v>954.11767041999997</v>
      </c>
      <c r="L114" s="1857">
        <v>39.948999999999998</v>
      </c>
      <c r="M114" s="1857">
        <v>75.388806677199995</v>
      </c>
      <c r="N114" s="1857">
        <v>148.066</v>
      </c>
      <c r="O114" s="1857">
        <v>27.222198386799999</v>
      </c>
      <c r="P114" s="1857">
        <v>841.10199999999998</v>
      </c>
      <c r="Q114" s="1865">
        <v>62.907137449300002</v>
      </c>
      <c r="R114" s="1865">
        <v>11.757999999999999</v>
      </c>
      <c r="S114" s="1867">
        <v>0.37819399999999997</v>
      </c>
      <c r="T114" s="1865">
        <v>1599.846</v>
      </c>
      <c r="U114" s="1865">
        <v>43.219501293</v>
      </c>
      <c r="V114" s="1865"/>
      <c r="W114" s="1865"/>
      <c r="X114" s="1850">
        <v>594.83100000000002</v>
      </c>
      <c r="Y114" s="1850">
        <v>81.749589303600004</v>
      </c>
      <c r="Z114" s="1850">
        <v>50.372999999999998</v>
      </c>
      <c r="AA114" s="1850">
        <v>17.5171045765</v>
      </c>
      <c r="AB114" s="1850">
        <v>544.45799999999997</v>
      </c>
      <c r="AC114" s="1850">
        <v>64.232484727100001</v>
      </c>
      <c r="AD114" s="1857">
        <v>7600.9660000000003</v>
      </c>
      <c r="AE114" s="1857">
        <v>1126.4487710645001</v>
      </c>
      <c r="AF114" s="1857">
        <v>5154.2449999999999</v>
      </c>
      <c r="AG114" s="1857">
        <v>945.65916549799999</v>
      </c>
      <c r="AH114" s="1857">
        <v>621.50199999999995</v>
      </c>
      <c r="AI114" s="1857">
        <v>102.21691123479999</v>
      </c>
      <c r="AJ114" s="1857">
        <v>9.8379999999999992</v>
      </c>
      <c r="AK114" s="1645">
        <v>0.28007599999999999</v>
      </c>
      <c r="AL114" s="1857">
        <v>1393.644</v>
      </c>
      <c r="AM114" s="1857">
        <v>29.938652872999999</v>
      </c>
      <c r="AN114" s="1857"/>
      <c r="AO114" s="1857"/>
      <c r="AP114" s="1857">
        <v>431.57499999999999</v>
      </c>
      <c r="AQ114" s="1857">
        <v>48.634041458699997</v>
      </c>
      <c r="AR114" s="1857">
        <v>38.128</v>
      </c>
      <c r="AS114" s="1857">
        <v>11.8046186909</v>
      </c>
      <c r="AT114" s="1857">
        <v>393.447</v>
      </c>
      <c r="AU114" s="1857">
        <v>36.829422767800004</v>
      </c>
      <c r="AV114" s="1857">
        <v>796.45600000000002</v>
      </c>
      <c r="AW114" s="1857">
        <v>118.15613246540001</v>
      </c>
      <c r="AX114" s="1857">
        <v>167.44900000000001</v>
      </c>
      <c r="AY114" s="1857">
        <v>35.680703308799998</v>
      </c>
      <c r="AZ114" s="1857">
        <v>259.54899999999998</v>
      </c>
      <c r="BA114" s="1857">
        <v>36.079032891700002</v>
      </c>
      <c r="BB114" s="1857">
        <v>1.92</v>
      </c>
      <c r="BC114" s="1863">
        <v>9.8117999999999997E-2</v>
      </c>
      <c r="BD114" s="1857">
        <v>206.202</v>
      </c>
      <c r="BE114" s="1857">
        <v>13.28084842</v>
      </c>
      <c r="BF114" s="1857"/>
      <c r="BG114" s="1857"/>
      <c r="BH114" s="1857">
        <v>163.256</v>
      </c>
      <c r="BI114" s="1857">
        <v>33.1155478449</v>
      </c>
      <c r="BJ114" s="1857">
        <v>12.244999999999999</v>
      </c>
      <c r="BK114" s="1857">
        <v>5.7124858855999996</v>
      </c>
      <c r="BL114" s="1857">
        <v>151.011</v>
      </c>
      <c r="BM114" s="1857">
        <v>27.403061959299997</v>
      </c>
    </row>
    <row r="115" spans="1:65">
      <c r="A115" s="1854" t="s">
        <v>23</v>
      </c>
      <c r="B115" s="1865">
        <v>5542.3680000000004</v>
      </c>
      <c r="C115" s="1865">
        <v>221.47200000000001</v>
      </c>
      <c r="D115" s="1865">
        <v>2489.6930000000002</v>
      </c>
      <c r="E115" s="1865">
        <v>1729.0989999999999</v>
      </c>
      <c r="F115" s="1865">
        <v>761.56100000000004</v>
      </c>
      <c r="G115" s="1850">
        <v>562.01499999999999</v>
      </c>
      <c r="H115" s="1865">
        <v>8225.9940000000006</v>
      </c>
      <c r="I115" s="1865">
        <v>1266.1334171792</v>
      </c>
      <c r="J115" s="1857">
        <v>5160.6689999999999</v>
      </c>
      <c r="K115" s="1850">
        <v>991.09177051999995</v>
      </c>
      <c r="L115" s="1857">
        <v>35.417000000000002</v>
      </c>
      <c r="M115" s="1857">
        <v>63.863443543599999</v>
      </c>
      <c r="N115" s="1857">
        <v>134.768</v>
      </c>
      <c r="O115" s="1857">
        <v>28.769434443400002</v>
      </c>
      <c r="P115" s="1857">
        <v>830.56700000000001</v>
      </c>
      <c r="Q115" s="1865">
        <v>58.065896578699999</v>
      </c>
      <c r="R115" s="1865">
        <v>17.427</v>
      </c>
      <c r="S115" s="1867">
        <v>0.45588200000000001</v>
      </c>
      <c r="T115" s="1865">
        <v>1545.23</v>
      </c>
      <c r="U115" s="1865">
        <v>46.981112007</v>
      </c>
      <c r="V115" s="1865"/>
      <c r="W115" s="1865"/>
      <c r="X115" s="1850">
        <v>519.34299999999996</v>
      </c>
      <c r="Y115" s="1850">
        <v>77.361760086499999</v>
      </c>
      <c r="Z115" s="1850">
        <v>42.405999999999999</v>
      </c>
      <c r="AA115" s="1850">
        <v>15.054470634600001</v>
      </c>
      <c r="AB115" s="1850">
        <v>476.93700000000001</v>
      </c>
      <c r="AC115" s="1850">
        <v>62.307289451900004</v>
      </c>
      <c r="AD115" s="1857">
        <v>7499.2160000000003</v>
      </c>
      <c r="AE115" s="1857">
        <v>1158.6504359226999</v>
      </c>
      <c r="AF115" s="1857">
        <v>5138.6369999999997</v>
      </c>
      <c r="AG115" s="1857">
        <v>985.51749040200002</v>
      </c>
      <c r="AH115" s="1857">
        <v>633.95500000000004</v>
      </c>
      <c r="AI115" s="1857">
        <v>94.442534965600004</v>
      </c>
      <c r="AJ115" s="1857">
        <v>14.539</v>
      </c>
      <c r="AK115" s="1645">
        <v>0.327542</v>
      </c>
      <c r="AL115" s="1857">
        <v>1344.6510000000001</v>
      </c>
      <c r="AM115" s="1857">
        <v>32.240892267</v>
      </c>
      <c r="AN115" s="1857"/>
      <c r="AO115" s="1857"/>
      <c r="AP115" s="1857">
        <v>381.97300000000001</v>
      </c>
      <c r="AQ115" s="1857">
        <v>46.449518288100002</v>
      </c>
      <c r="AR115" s="1857">
        <v>32.390999999999998</v>
      </c>
      <c r="AS115" s="1857">
        <v>10.6377425044</v>
      </c>
      <c r="AT115" s="1857">
        <v>349.58199999999999</v>
      </c>
      <c r="AU115" s="1857">
        <v>35.811775783700007</v>
      </c>
      <c r="AV115" s="1857">
        <v>726.77800000000002</v>
      </c>
      <c r="AW115" s="1857">
        <v>107.4829812565</v>
      </c>
      <c r="AX115" s="1857">
        <v>156.80000000000001</v>
      </c>
      <c r="AY115" s="1857">
        <v>34.343714561399999</v>
      </c>
      <c r="AZ115" s="1857">
        <v>232.029</v>
      </c>
      <c r="BA115" s="1857">
        <v>27.486805156700001</v>
      </c>
      <c r="BB115" s="1857">
        <v>2.8879999999999999</v>
      </c>
      <c r="BC115" s="1863">
        <v>0.12834000000000001</v>
      </c>
      <c r="BD115" s="1857">
        <v>200.57900000000001</v>
      </c>
      <c r="BE115" s="1857">
        <v>14.740219740000001</v>
      </c>
      <c r="BF115" s="1857"/>
      <c r="BG115" s="1857"/>
      <c r="BH115" s="1857">
        <v>137.37</v>
      </c>
      <c r="BI115" s="1857">
        <v>30.9122417984</v>
      </c>
      <c r="BJ115" s="1857">
        <v>10.015000000000001</v>
      </c>
      <c r="BK115" s="1857">
        <v>4.4167281301999992</v>
      </c>
      <c r="BL115" s="1857">
        <v>127.355</v>
      </c>
      <c r="BM115" s="1857">
        <v>26.495513668200001</v>
      </c>
    </row>
    <row r="116" spans="1:65">
      <c r="A116" s="1854" t="s">
        <v>24</v>
      </c>
      <c r="B116" s="1865">
        <v>5604.0069999999996</v>
      </c>
      <c r="C116" s="1865">
        <v>260.827</v>
      </c>
      <c r="D116" s="1865">
        <v>2532.9929999999999</v>
      </c>
      <c r="E116" s="1865">
        <v>1750.683</v>
      </c>
      <c r="F116" s="1865">
        <v>753.71799999999996</v>
      </c>
      <c r="G116" s="1850">
        <v>566.61300000000006</v>
      </c>
      <c r="H116" s="1865">
        <v>8181.4009999999998</v>
      </c>
      <c r="I116" s="1865">
        <v>1292.8765905765999</v>
      </c>
      <c r="J116" s="1857">
        <v>4989.7079999999996</v>
      </c>
      <c r="K116" s="1850">
        <v>989.62821176880004</v>
      </c>
      <c r="L116" s="1857">
        <v>31.515000000000001</v>
      </c>
      <c r="M116" s="1857">
        <v>59.6632794625</v>
      </c>
      <c r="N116" s="1857">
        <v>143.37100000000001</v>
      </c>
      <c r="O116" s="1857">
        <v>29.7468363672</v>
      </c>
      <c r="P116" s="1857">
        <v>814.11900000000003</v>
      </c>
      <c r="Q116" s="1865">
        <v>64.117534067899996</v>
      </c>
      <c r="R116" s="1865">
        <v>19.721</v>
      </c>
      <c r="S116" s="1867">
        <v>0.55771599999999999</v>
      </c>
      <c r="T116" s="1865">
        <v>1650.21</v>
      </c>
      <c r="U116" s="1865">
        <v>53.887427416000001</v>
      </c>
      <c r="V116" s="1865"/>
      <c r="W116" s="1865"/>
      <c r="X116" s="1850">
        <v>552.47799999999995</v>
      </c>
      <c r="Y116" s="1850">
        <v>95.833301494200001</v>
      </c>
      <c r="Z116" s="1850">
        <v>38.234000000000002</v>
      </c>
      <c r="AA116" s="1850">
        <v>14.3376799748</v>
      </c>
      <c r="AB116" s="1850">
        <v>514.24400000000003</v>
      </c>
      <c r="AC116" s="1850">
        <v>81.495621519400004</v>
      </c>
      <c r="AD116" s="1857">
        <v>7409.9979999999996</v>
      </c>
      <c r="AE116" s="1857">
        <v>1171.7865905643</v>
      </c>
      <c r="AF116" s="1857">
        <v>4960.0060000000003</v>
      </c>
      <c r="AG116" s="1857">
        <v>981.90482899740005</v>
      </c>
      <c r="AH116" s="1857">
        <v>622.04999999999995</v>
      </c>
      <c r="AI116" s="1857">
        <v>96.643315693399998</v>
      </c>
      <c r="AJ116" s="1857">
        <v>14.768000000000001</v>
      </c>
      <c r="AK116" s="1645">
        <v>0.38022099999999998</v>
      </c>
      <c r="AL116" s="1857">
        <v>1429.547</v>
      </c>
      <c r="AM116" s="1857">
        <v>34.695971526000001</v>
      </c>
      <c r="AN116" s="1857"/>
      <c r="AO116" s="1857"/>
      <c r="AP116" s="1857">
        <v>398.39499999999998</v>
      </c>
      <c r="AQ116" s="1857">
        <v>58.542474347499997</v>
      </c>
      <c r="AR116" s="1857">
        <v>28.21</v>
      </c>
      <c r="AS116" s="1857">
        <v>9.6805085695999988</v>
      </c>
      <c r="AT116" s="1857">
        <v>370.185</v>
      </c>
      <c r="AU116" s="1857">
        <v>48.861965777900004</v>
      </c>
      <c r="AV116" s="1857">
        <v>771.40300000000002</v>
      </c>
      <c r="AW116" s="1857">
        <v>121.0900000123</v>
      </c>
      <c r="AX116" s="1857">
        <v>173.07300000000001</v>
      </c>
      <c r="AY116" s="1857">
        <v>37.470219138600001</v>
      </c>
      <c r="AZ116" s="1857">
        <v>223.584</v>
      </c>
      <c r="BA116" s="1857">
        <v>27.137497837000002</v>
      </c>
      <c r="BB116" s="1857">
        <v>4.9530000000000003</v>
      </c>
      <c r="BC116" s="1863">
        <v>0.17749500000000001</v>
      </c>
      <c r="BD116" s="1857">
        <v>220.66300000000001</v>
      </c>
      <c r="BE116" s="1857">
        <v>19.19145589</v>
      </c>
      <c r="BF116" s="1857"/>
      <c r="BG116" s="1857"/>
      <c r="BH116" s="1857">
        <v>154.083</v>
      </c>
      <c r="BI116" s="1857">
        <v>37.290827146700003</v>
      </c>
      <c r="BJ116" s="1857">
        <v>10.023999999999999</v>
      </c>
      <c r="BK116" s="1857">
        <v>4.6571714051999997</v>
      </c>
      <c r="BL116" s="1857">
        <v>144.059</v>
      </c>
      <c r="BM116" s="1857">
        <v>32.6336557415</v>
      </c>
    </row>
    <row r="117" spans="1:65">
      <c r="A117" s="1854" t="s">
        <v>25</v>
      </c>
      <c r="B117" s="1865">
        <v>5643.78</v>
      </c>
      <c r="C117" s="1865">
        <v>271.98</v>
      </c>
      <c r="D117" s="1865">
        <v>2514.7310000000002</v>
      </c>
      <c r="E117" s="1865">
        <v>1764.9970000000001</v>
      </c>
      <c r="F117" s="1865">
        <v>787.99599999999998</v>
      </c>
      <c r="G117" s="1850">
        <v>576.05600000000004</v>
      </c>
      <c r="H117" s="1865">
        <v>8191.5439999999999</v>
      </c>
      <c r="I117" s="1865">
        <v>1257.6864089059</v>
      </c>
      <c r="J117" s="1857">
        <v>4839.308</v>
      </c>
      <c r="K117" s="1850">
        <v>912.43046282119997</v>
      </c>
      <c r="L117" s="1857">
        <v>32.063000000000002</v>
      </c>
      <c r="M117" s="1857">
        <v>59.376621099099999</v>
      </c>
      <c r="N117" s="1857">
        <v>145.71</v>
      </c>
      <c r="O117" s="1857">
        <v>31.344366047000001</v>
      </c>
      <c r="P117" s="1857">
        <v>849.55399999999997</v>
      </c>
      <c r="Q117" s="1865">
        <v>69.041191081700006</v>
      </c>
      <c r="R117" s="1865">
        <v>21.558</v>
      </c>
      <c r="S117" s="1867">
        <v>0.59857400000000005</v>
      </c>
      <c r="T117" s="1865">
        <v>1696.9190000000001</v>
      </c>
      <c r="U117" s="1865">
        <v>68.373046223900005</v>
      </c>
      <c r="V117" s="1865"/>
      <c r="W117" s="1865"/>
      <c r="X117" s="1850">
        <v>627.99</v>
      </c>
      <c r="Y117" s="1850">
        <v>117.120721633</v>
      </c>
      <c r="Z117" s="1850">
        <v>43.012999999999998</v>
      </c>
      <c r="AA117" s="1850">
        <v>16.701589876499998</v>
      </c>
      <c r="AB117" s="1850">
        <v>584.97699999999998</v>
      </c>
      <c r="AC117" s="1850">
        <v>100.41913175650001</v>
      </c>
      <c r="AD117" s="1857">
        <v>7351.9780000000001</v>
      </c>
      <c r="AE117" s="1857">
        <v>1114.8772793357</v>
      </c>
      <c r="AF117" s="1857">
        <v>4782.9650000000001</v>
      </c>
      <c r="AG117" s="1857">
        <v>900.59653920120002</v>
      </c>
      <c r="AH117" s="1857">
        <v>652.33500000000004</v>
      </c>
      <c r="AI117" s="1857">
        <v>98.650680064499994</v>
      </c>
      <c r="AJ117" s="1857">
        <v>17.303999999999998</v>
      </c>
      <c r="AK117" s="1645">
        <v>0.44031900000000002</v>
      </c>
      <c r="AL117" s="1857">
        <v>1469.9169999999999</v>
      </c>
      <c r="AM117" s="1857">
        <v>45.9493621039</v>
      </c>
      <c r="AN117" s="1857"/>
      <c r="AO117" s="1857"/>
      <c r="AP117" s="1857">
        <v>446.76100000000002</v>
      </c>
      <c r="AQ117" s="1857">
        <v>69.680697966099999</v>
      </c>
      <c r="AR117" s="1857">
        <v>31.888000000000002</v>
      </c>
      <c r="AS117" s="1857">
        <v>11.645223768899999</v>
      </c>
      <c r="AT117" s="1857">
        <v>414.87299999999999</v>
      </c>
      <c r="AU117" s="1857">
        <v>58.035474197200003</v>
      </c>
      <c r="AV117" s="1857">
        <v>839.56600000000003</v>
      </c>
      <c r="AW117" s="1857">
        <v>142.80912957020001</v>
      </c>
      <c r="AX117" s="1857">
        <v>202.053</v>
      </c>
      <c r="AY117" s="1857">
        <v>43.178289667000001</v>
      </c>
      <c r="AZ117" s="1857">
        <v>229.28200000000001</v>
      </c>
      <c r="BA117" s="1857">
        <v>29.767132116300001</v>
      </c>
      <c r="BB117" s="1857">
        <v>4.2539999999999996</v>
      </c>
      <c r="BC117" s="1863">
        <v>0.15825500000000001</v>
      </c>
      <c r="BD117" s="1857">
        <v>227.00200000000001</v>
      </c>
      <c r="BE117" s="1857">
        <v>22.423684120000001</v>
      </c>
      <c r="BF117" s="1857"/>
      <c r="BG117" s="1857"/>
      <c r="BH117" s="1857">
        <v>181.22900000000001</v>
      </c>
      <c r="BI117" s="1857">
        <v>47.440023666899997</v>
      </c>
      <c r="BJ117" s="1857">
        <v>11.125</v>
      </c>
      <c r="BK117" s="1857">
        <v>5.0563661075999997</v>
      </c>
      <c r="BL117" s="1857">
        <v>170.10400000000001</v>
      </c>
      <c r="BM117" s="1857">
        <v>42.383657559299998</v>
      </c>
    </row>
    <row r="118" spans="1:65">
      <c r="A118" s="1854" t="s">
        <v>26</v>
      </c>
      <c r="B118" s="1865">
        <v>5701.1490000000003</v>
      </c>
      <c r="C118" s="1865">
        <v>283.08800000000002</v>
      </c>
      <c r="D118" s="1865">
        <v>2544.2460000000001</v>
      </c>
      <c r="E118" s="1865">
        <v>1777.3050000000001</v>
      </c>
      <c r="F118" s="1865">
        <v>799.42700000000002</v>
      </c>
      <c r="G118" s="1850">
        <v>580.17100000000005</v>
      </c>
      <c r="H118" s="1865">
        <v>8001.2439999999997</v>
      </c>
      <c r="I118" s="1865">
        <v>1191.0694149572</v>
      </c>
      <c r="J118" s="1857">
        <v>4907.9040000000005</v>
      </c>
      <c r="K118" s="1850">
        <v>892.53935381999997</v>
      </c>
      <c r="L118" s="1857">
        <v>27.945</v>
      </c>
      <c r="M118" s="1857">
        <v>57.948252866200001</v>
      </c>
      <c r="N118" s="1857">
        <v>145.023</v>
      </c>
      <c r="O118" s="1857">
        <v>29.739533959999999</v>
      </c>
      <c r="P118" s="1857">
        <v>776.30799999999999</v>
      </c>
      <c r="Q118" s="1865">
        <v>64.749877928199993</v>
      </c>
      <c r="R118" s="1865">
        <v>18.361000000000001</v>
      </c>
      <c r="S118" s="1867">
        <v>0.56934700000000005</v>
      </c>
      <c r="T118" s="1865">
        <v>1573.64</v>
      </c>
      <c r="U118" s="1865">
        <v>58.824490961599999</v>
      </c>
      <c r="V118" s="1865"/>
      <c r="W118" s="1865"/>
      <c r="X118" s="1850">
        <v>570.42399999999998</v>
      </c>
      <c r="Y118" s="1850">
        <v>87.267905421199998</v>
      </c>
      <c r="Z118" s="1850">
        <v>43.286999999999999</v>
      </c>
      <c r="AA118" s="1850">
        <v>16.398241852600002</v>
      </c>
      <c r="AB118" s="1850">
        <v>527.13699999999994</v>
      </c>
      <c r="AC118" s="1850">
        <v>70.869663568600004</v>
      </c>
      <c r="AD118" s="1857">
        <v>7206.1059999999998</v>
      </c>
      <c r="AE118" s="1857">
        <v>1067.0985677067999</v>
      </c>
      <c r="AF118" s="1857">
        <v>4845.1530000000002</v>
      </c>
      <c r="AG118" s="1857">
        <v>878.33618758</v>
      </c>
      <c r="AH118" s="1857">
        <v>597.38699999999994</v>
      </c>
      <c r="AI118" s="1857">
        <v>93.357909270099995</v>
      </c>
      <c r="AJ118" s="1857">
        <v>14.351000000000001</v>
      </c>
      <c r="AK118" s="1645">
        <v>0.40809200000000001</v>
      </c>
      <c r="AL118" s="1857">
        <v>1354.116</v>
      </c>
      <c r="AM118" s="1857">
        <v>41.913874301600003</v>
      </c>
      <c r="AN118" s="1857"/>
      <c r="AO118" s="1857"/>
      <c r="AP118" s="1857">
        <v>409.45</v>
      </c>
      <c r="AQ118" s="1857">
        <v>53.490596555099998</v>
      </c>
      <c r="AR118" s="1857">
        <v>32.052999999999997</v>
      </c>
      <c r="AS118" s="1857">
        <v>11.6614324606</v>
      </c>
      <c r="AT118" s="1857">
        <v>377.39699999999999</v>
      </c>
      <c r="AU118" s="1857">
        <v>41.829164094500008</v>
      </c>
      <c r="AV118" s="1857">
        <v>795.13800000000003</v>
      </c>
      <c r="AW118" s="1857">
        <v>123.9708472504</v>
      </c>
      <c r="AX118" s="1857">
        <v>207.774</v>
      </c>
      <c r="AY118" s="1857">
        <v>43.942700199999997</v>
      </c>
      <c r="AZ118" s="1857">
        <v>206.86600000000001</v>
      </c>
      <c r="BA118" s="1857">
        <v>29.340221524299999</v>
      </c>
      <c r="BB118" s="1857">
        <v>4.01</v>
      </c>
      <c r="BC118" s="1863">
        <v>0.16125500000000001</v>
      </c>
      <c r="BD118" s="1857">
        <v>219.524</v>
      </c>
      <c r="BE118" s="1857">
        <v>16.910616659999999</v>
      </c>
      <c r="BF118" s="1857"/>
      <c r="BG118" s="1857"/>
      <c r="BH118" s="1857">
        <v>160.97399999999999</v>
      </c>
      <c r="BI118" s="1857">
        <v>33.7773088661</v>
      </c>
      <c r="BJ118" s="1857">
        <v>11.234</v>
      </c>
      <c r="BK118" s="1857">
        <v>4.7368093919999996</v>
      </c>
      <c r="BL118" s="1857">
        <v>149.74</v>
      </c>
      <c r="BM118" s="1857">
        <v>29.040499474100002</v>
      </c>
    </row>
    <row r="119" spans="1:65">
      <c r="A119" s="1854" t="s">
        <v>27</v>
      </c>
      <c r="B119" s="1865">
        <v>5755.0559999999996</v>
      </c>
      <c r="C119" s="1865">
        <v>299.428</v>
      </c>
      <c r="D119" s="1865">
        <v>2531.0520000000001</v>
      </c>
      <c r="E119" s="1865">
        <v>1809.5530000000001</v>
      </c>
      <c r="F119" s="1865">
        <v>816.00099999999998</v>
      </c>
      <c r="G119" s="1850">
        <v>598.45000000000005</v>
      </c>
      <c r="H119" s="1865">
        <v>8790.1470000000008</v>
      </c>
      <c r="I119" s="1865">
        <v>1294.9222654811001</v>
      </c>
      <c r="J119" s="1857">
        <v>5298.2690000000002</v>
      </c>
      <c r="K119" s="1850">
        <v>972.29327512999998</v>
      </c>
      <c r="L119" s="1857">
        <v>30.582000000000001</v>
      </c>
      <c r="M119" s="1857">
        <v>63.044018885299998</v>
      </c>
      <c r="N119" s="1857">
        <v>170.72399999999999</v>
      </c>
      <c r="O119" s="1857">
        <v>33.092025521099998</v>
      </c>
      <c r="P119" s="1857">
        <v>857.64599999999996</v>
      </c>
      <c r="Q119" s="1865">
        <v>75.940282234500003</v>
      </c>
      <c r="R119" s="1865">
        <v>25.488</v>
      </c>
      <c r="S119" s="1867">
        <v>0.83426800000000001</v>
      </c>
      <c r="T119" s="1865">
        <v>1761.691</v>
      </c>
      <c r="U119" s="1865">
        <v>63.321004563700001</v>
      </c>
      <c r="V119" s="1865"/>
      <c r="W119" s="1865"/>
      <c r="X119" s="1850">
        <v>671.23500000000001</v>
      </c>
      <c r="Y119" s="1850">
        <v>87.231659146499993</v>
      </c>
      <c r="Z119" s="1850">
        <v>51.667999999999999</v>
      </c>
      <c r="AA119" s="1850">
        <v>18.262833664000002</v>
      </c>
      <c r="AB119" s="1850">
        <v>619.56700000000001</v>
      </c>
      <c r="AC119" s="1850">
        <v>68.968825482500009</v>
      </c>
      <c r="AD119" s="1857">
        <v>7915.9520000000002</v>
      </c>
      <c r="AE119" s="1857">
        <v>1160.8580525967</v>
      </c>
      <c r="AF119" s="1857">
        <v>5246.2139999999999</v>
      </c>
      <c r="AG119" s="1857">
        <v>957.52368448000004</v>
      </c>
      <c r="AH119" s="1857">
        <v>664.13</v>
      </c>
      <c r="AI119" s="1857">
        <v>105.1256286613</v>
      </c>
      <c r="AJ119" s="1857">
        <v>19.945</v>
      </c>
      <c r="AK119" s="1857">
        <v>0.50530600000000003</v>
      </c>
      <c r="AL119" s="1857">
        <v>1524.057</v>
      </c>
      <c r="AM119" s="1857">
        <v>45.2186597237</v>
      </c>
      <c r="AN119" s="1857"/>
      <c r="AO119" s="1857"/>
      <c r="AP119" s="1857">
        <v>481.55099999999999</v>
      </c>
      <c r="AQ119" s="1857">
        <v>52.9900797317</v>
      </c>
      <c r="AR119" s="1857">
        <v>37.264000000000003</v>
      </c>
      <c r="AS119" s="1857">
        <v>12.5327209316</v>
      </c>
      <c r="AT119" s="1857">
        <v>444.28699999999998</v>
      </c>
      <c r="AU119" s="1857">
        <v>40.457358800099996</v>
      </c>
      <c r="AV119" s="1857">
        <v>874.19500000000005</v>
      </c>
      <c r="AW119" s="1857">
        <v>134.06421288440001</v>
      </c>
      <c r="AX119" s="1857">
        <v>222.779</v>
      </c>
      <c r="AY119" s="1857">
        <v>47.861616171100003</v>
      </c>
      <c r="AZ119" s="1857">
        <v>224.09800000000001</v>
      </c>
      <c r="BA119" s="1857">
        <v>33.858672458500003</v>
      </c>
      <c r="BB119" s="1857">
        <v>5.5430000000000001</v>
      </c>
      <c r="BC119" s="1863">
        <v>0.32896199999999998</v>
      </c>
      <c r="BD119" s="1857">
        <v>237.63399999999999</v>
      </c>
      <c r="BE119" s="1857">
        <v>18.102344840000001</v>
      </c>
      <c r="BF119" s="1857"/>
      <c r="BG119" s="1857"/>
      <c r="BH119" s="1857">
        <v>189.684</v>
      </c>
      <c r="BI119" s="1857">
        <v>34.2415794148</v>
      </c>
      <c r="BJ119" s="1857">
        <v>14.404</v>
      </c>
      <c r="BK119" s="1857">
        <v>5.7301127324000003</v>
      </c>
      <c r="BL119" s="1857">
        <v>175.28</v>
      </c>
      <c r="BM119" s="1857">
        <v>28.511466682400002</v>
      </c>
    </row>
    <row r="120" spans="1:65">
      <c r="A120" s="1854" t="s">
        <v>28</v>
      </c>
      <c r="B120" s="1865">
        <v>5841.1660000000002</v>
      </c>
      <c r="C120" s="1865">
        <v>310.06700000000001</v>
      </c>
      <c r="D120" s="1865">
        <v>2527.268</v>
      </c>
      <c r="E120" s="1865">
        <v>1842.463</v>
      </c>
      <c r="F120" s="1865">
        <v>851.351</v>
      </c>
      <c r="G120" s="1850">
        <v>620.08399999999995</v>
      </c>
      <c r="H120" s="1865">
        <v>8543.9169999999995</v>
      </c>
      <c r="I120" s="1865">
        <v>1288.3203881236</v>
      </c>
      <c r="J120" s="1857">
        <v>5046.2650000000003</v>
      </c>
      <c r="K120" s="1850">
        <v>959.56308523999996</v>
      </c>
      <c r="L120" s="1857">
        <v>29.521999999999998</v>
      </c>
      <c r="M120" s="1857">
        <v>60.0247481177</v>
      </c>
      <c r="N120" s="1857">
        <v>169.26</v>
      </c>
      <c r="O120" s="1857">
        <v>33.291807581999997</v>
      </c>
      <c r="P120" s="1857">
        <v>854.23900000000003</v>
      </c>
      <c r="Q120" s="1865">
        <v>76.443934364699999</v>
      </c>
      <c r="R120" s="1865">
        <v>28.082999999999998</v>
      </c>
      <c r="S120" s="1867">
        <v>0.88503500000000002</v>
      </c>
      <c r="T120" s="1865">
        <v>1734.414</v>
      </c>
      <c r="U120" s="1865">
        <v>69.600420371699997</v>
      </c>
      <c r="V120" s="1865"/>
      <c r="W120" s="1865"/>
      <c r="X120" s="1850">
        <v>710.21699999999998</v>
      </c>
      <c r="Y120" s="1850">
        <v>89.396392447500006</v>
      </c>
      <c r="Z120" s="1850">
        <v>49.466999999999999</v>
      </c>
      <c r="AA120" s="1850">
        <v>16.5533313488</v>
      </c>
      <c r="AB120" s="1850">
        <v>660.75</v>
      </c>
      <c r="AC120" s="1850">
        <v>72.843061098700005</v>
      </c>
      <c r="AD120" s="1857">
        <v>7660.6620000000003</v>
      </c>
      <c r="AE120" s="1857">
        <v>1151.2307307144999</v>
      </c>
      <c r="AF120" s="1857">
        <v>4985.6409999999996</v>
      </c>
      <c r="AG120" s="1857">
        <v>943.51892303</v>
      </c>
      <c r="AH120" s="1857">
        <v>661.11599999999999</v>
      </c>
      <c r="AI120" s="1857">
        <v>101.9734603425</v>
      </c>
      <c r="AJ120" s="1857">
        <v>22.199000000000002</v>
      </c>
      <c r="AK120" s="1857">
        <v>0.64075099999999996</v>
      </c>
      <c r="AL120" s="1857">
        <v>1499.1890000000001</v>
      </c>
      <c r="AM120" s="1857">
        <v>50.677213011699997</v>
      </c>
      <c r="AN120" s="1857"/>
      <c r="AO120" s="1857"/>
      <c r="AP120" s="1857">
        <v>514.71600000000001</v>
      </c>
      <c r="AQ120" s="1857">
        <v>55.0611343303</v>
      </c>
      <c r="AR120" s="1857">
        <v>35.807000000000002</v>
      </c>
      <c r="AS120" s="1857">
        <v>11.255068293700001</v>
      </c>
      <c r="AT120" s="1857">
        <v>478.90899999999999</v>
      </c>
      <c r="AU120" s="1857">
        <v>43.806066036600001</v>
      </c>
      <c r="AV120" s="1857">
        <v>883.255</v>
      </c>
      <c r="AW120" s="1857">
        <v>137.0896574091</v>
      </c>
      <c r="AX120" s="1857">
        <v>229.88399999999999</v>
      </c>
      <c r="AY120" s="1857">
        <v>49.335969792</v>
      </c>
      <c r="AZ120" s="1857">
        <v>222.64500000000001</v>
      </c>
      <c r="BA120" s="1857">
        <v>34.495222139900001</v>
      </c>
      <c r="BB120" s="1857">
        <v>5.8840000000000003</v>
      </c>
      <c r="BC120" s="1863">
        <v>0.244284</v>
      </c>
      <c r="BD120" s="1857">
        <v>235.22499999999999</v>
      </c>
      <c r="BE120" s="1857">
        <v>18.923207359999999</v>
      </c>
      <c r="BF120" s="1857"/>
      <c r="BG120" s="1857"/>
      <c r="BH120" s="1857">
        <v>195.501</v>
      </c>
      <c r="BI120" s="1857">
        <v>34.335258117199999</v>
      </c>
      <c r="BJ120" s="1857">
        <v>13.66</v>
      </c>
      <c r="BK120" s="1857">
        <v>5.2982630551000005</v>
      </c>
      <c r="BL120" s="1857">
        <v>181.84100000000001</v>
      </c>
      <c r="BM120" s="1857">
        <v>29.036995062100001</v>
      </c>
    </row>
    <row r="121" spans="1:65">
      <c r="A121" s="1854" t="s">
        <v>29</v>
      </c>
      <c r="B121" s="1865">
        <v>5873.6769999999997</v>
      </c>
      <c r="C121" s="1865">
        <v>323.16199999999998</v>
      </c>
      <c r="D121" s="1865">
        <v>2535.3690000000001</v>
      </c>
      <c r="E121" s="1865">
        <v>1848.9</v>
      </c>
      <c r="F121" s="1865">
        <v>866.39700000000005</v>
      </c>
      <c r="G121" s="1850">
        <v>623.01099999999997</v>
      </c>
      <c r="H121" s="1865">
        <v>9536.3510000000006</v>
      </c>
      <c r="I121" s="1865">
        <v>1570.7288612530999</v>
      </c>
      <c r="J121" s="1857">
        <v>5932.38</v>
      </c>
      <c r="K121" s="1850">
        <v>1197.7321233642001</v>
      </c>
      <c r="L121" s="1857">
        <v>36.844000000000001</v>
      </c>
      <c r="M121" s="1857">
        <v>84.850381869900005</v>
      </c>
      <c r="N121" s="1857">
        <v>175.017</v>
      </c>
      <c r="O121" s="1857">
        <v>37.543725000000002</v>
      </c>
      <c r="P121" s="1857">
        <v>918.91099999999994</v>
      </c>
      <c r="Q121" s="1865">
        <v>85.473499801900005</v>
      </c>
      <c r="R121" s="1865">
        <v>30.327000000000002</v>
      </c>
      <c r="S121" s="1867">
        <v>0.95713199999999998</v>
      </c>
      <c r="T121" s="1865">
        <v>1830.2439999999999</v>
      </c>
      <c r="U121" s="1865">
        <v>80.0684502971</v>
      </c>
      <c r="V121" s="1865"/>
      <c r="W121" s="1865"/>
      <c r="X121" s="1850">
        <v>642.95500000000004</v>
      </c>
      <c r="Y121" s="1850">
        <v>85.060680919999996</v>
      </c>
      <c r="Z121" s="1850">
        <v>46.856000000000002</v>
      </c>
      <c r="AA121" s="1850">
        <v>16.816722071199997</v>
      </c>
      <c r="AB121" s="1850">
        <v>596.09900000000005</v>
      </c>
      <c r="AC121" s="1850">
        <v>68.243958848800006</v>
      </c>
      <c r="AD121" s="1857">
        <v>8624.598</v>
      </c>
      <c r="AE121" s="1857">
        <v>1421.9232861798</v>
      </c>
      <c r="AF121" s="1857">
        <v>5850.0309999999999</v>
      </c>
      <c r="AG121" s="1857">
        <v>1177.4582682042001</v>
      </c>
      <c r="AH121" s="1857">
        <v>722.33500000000004</v>
      </c>
      <c r="AI121" s="1857">
        <v>133.7858796225</v>
      </c>
      <c r="AJ121" s="1857">
        <v>23.716999999999999</v>
      </c>
      <c r="AK121" s="1857">
        <v>0.65367900000000001</v>
      </c>
      <c r="AL121" s="1857">
        <v>1585.6220000000001</v>
      </c>
      <c r="AM121" s="1857">
        <v>58.370980297099997</v>
      </c>
      <c r="AN121" s="1857"/>
      <c r="AO121" s="1857"/>
      <c r="AP121" s="1857">
        <v>466.61</v>
      </c>
      <c r="AQ121" s="1857">
        <v>52.308158056000003</v>
      </c>
      <c r="AR121" s="1857">
        <v>33.819000000000003</v>
      </c>
      <c r="AS121" s="1857">
        <v>11.3356085934</v>
      </c>
      <c r="AT121" s="1857">
        <v>432.791</v>
      </c>
      <c r="AU121" s="1857">
        <v>40.9725494626</v>
      </c>
      <c r="AV121" s="1857">
        <v>911.75300000000004</v>
      </c>
      <c r="AW121" s="1857">
        <v>148.80557507329999</v>
      </c>
      <c r="AX121" s="1857">
        <v>257.36599999999999</v>
      </c>
      <c r="AY121" s="1857">
        <v>57.817580159999999</v>
      </c>
      <c r="AZ121" s="1857">
        <v>233.42</v>
      </c>
      <c r="BA121" s="1857">
        <v>36.538002049299998</v>
      </c>
      <c r="BB121" s="1857">
        <v>6.61</v>
      </c>
      <c r="BC121" s="1863">
        <v>0.30345299999999997</v>
      </c>
      <c r="BD121" s="1857">
        <v>244.62200000000001</v>
      </c>
      <c r="BE121" s="1857">
        <v>21.697469999999999</v>
      </c>
      <c r="BF121" s="1857"/>
      <c r="BG121" s="1857"/>
      <c r="BH121" s="1857">
        <v>176.345</v>
      </c>
      <c r="BI121" s="1857">
        <v>32.752522863999999</v>
      </c>
      <c r="BJ121" s="1857">
        <v>13.037000000000001</v>
      </c>
      <c r="BK121" s="1857">
        <v>5.4811134778000001</v>
      </c>
      <c r="BL121" s="1857">
        <v>163.30799999999999</v>
      </c>
      <c r="BM121" s="1857">
        <v>27.271409386199998</v>
      </c>
    </row>
    <row r="122" spans="1:65">
      <c r="A122" s="1854" t="s">
        <v>2078</v>
      </c>
      <c r="B122" s="1866">
        <v>6656.9430000000002</v>
      </c>
      <c r="C122" s="1866">
        <v>666</v>
      </c>
      <c r="D122" s="1866">
        <v>2522.2919999999999</v>
      </c>
      <c r="E122" s="1866">
        <v>2058.2930000000001</v>
      </c>
      <c r="F122" s="1866">
        <v>1216.6300000000001</v>
      </c>
      <c r="G122" s="1859">
        <v>859.72799999999995</v>
      </c>
      <c r="H122" s="1866">
        <f t="shared" ref="H122:U122" si="24">SUM(H123:H134)</f>
        <v>118753.755</v>
      </c>
      <c r="I122" s="1866">
        <f t="shared" si="24"/>
        <v>18147.2510531919</v>
      </c>
      <c r="J122" s="1866">
        <f t="shared" si="24"/>
        <v>66241.286999999997</v>
      </c>
      <c r="K122" s="1866">
        <f t="shared" si="24"/>
        <v>13098.03893986</v>
      </c>
      <c r="L122" s="1866">
        <f t="shared" si="24"/>
        <v>350.59300000000002</v>
      </c>
      <c r="M122" s="1866">
        <f t="shared" si="24"/>
        <v>842.12150009199991</v>
      </c>
      <c r="N122" s="1866">
        <f t="shared" si="24"/>
        <v>1413.556</v>
      </c>
      <c r="O122" s="1866">
        <f t="shared" si="24"/>
        <v>226.41323733999999</v>
      </c>
      <c r="P122" s="1866">
        <f t="shared" si="24"/>
        <v>14734.543000000001</v>
      </c>
      <c r="Q122" s="1866">
        <f t="shared" si="24"/>
        <v>1118.4751860271999</v>
      </c>
      <c r="R122" s="1866">
        <f t="shared" si="24"/>
        <v>850.93000000000018</v>
      </c>
      <c r="S122" s="1866">
        <f t="shared" si="24"/>
        <v>23.08491848000001</v>
      </c>
      <c r="T122" s="1866">
        <f t="shared" si="24"/>
        <v>26562.073000000004</v>
      </c>
      <c r="U122" s="1866">
        <f t="shared" si="24"/>
        <v>1670.9113431075002</v>
      </c>
      <c r="V122" s="1866"/>
      <c r="W122" s="1866"/>
      <c r="X122" s="1866">
        <f t="shared" ref="X122:AM122" si="25">SUM(X123:X134)</f>
        <v>9451.7029999999995</v>
      </c>
      <c r="Y122" s="1866">
        <f t="shared" si="25"/>
        <v>1191.2908467652001</v>
      </c>
      <c r="Z122" s="1866">
        <f t="shared" si="25"/>
        <v>560.14499999999998</v>
      </c>
      <c r="AA122" s="1866">
        <f t="shared" si="25"/>
        <v>205.26599283320002</v>
      </c>
      <c r="AB122" s="1866">
        <f t="shared" si="25"/>
        <v>8891.5580000000009</v>
      </c>
      <c r="AC122" s="1866">
        <f t="shared" si="25"/>
        <v>986.02485393200004</v>
      </c>
      <c r="AD122" s="1866">
        <f t="shared" si="25"/>
        <v>105050.39000000001</v>
      </c>
      <c r="AE122" s="1866">
        <f t="shared" si="25"/>
        <v>16208.725249180701</v>
      </c>
      <c r="AF122" s="1866">
        <f t="shared" si="25"/>
        <v>63663.211999999992</v>
      </c>
      <c r="AG122" s="1866">
        <f t="shared" si="25"/>
        <v>12575.250722509998</v>
      </c>
      <c r="AH122" s="1866">
        <f t="shared" si="25"/>
        <v>11212.448</v>
      </c>
      <c r="AI122" s="1866">
        <f t="shared" si="25"/>
        <v>1523.6173217945</v>
      </c>
      <c r="AJ122" s="1866">
        <f t="shared" si="25"/>
        <v>689.33299999999997</v>
      </c>
      <c r="AK122" s="1866">
        <f t="shared" si="25"/>
        <v>16.668889610000008</v>
      </c>
      <c r="AL122" s="1866">
        <f t="shared" si="25"/>
        <v>22945.278999999999</v>
      </c>
      <c r="AM122" s="1866">
        <f t="shared" si="25"/>
        <v>1290.2136349510001</v>
      </c>
      <c r="AN122" s="1866"/>
      <c r="AO122" s="1866"/>
      <c r="AP122" s="1866">
        <f t="shared" ref="AP122:BM122" si="26">SUM(AP123:AP134)</f>
        <v>7229.451</v>
      </c>
      <c r="AQ122" s="1866">
        <f t="shared" si="26"/>
        <v>819.64356992520004</v>
      </c>
      <c r="AR122" s="1866">
        <f t="shared" si="26"/>
        <v>433.11400000000003</v>
      </c>
      <c r="AS122" s="1866">
        <f t="shared" si="26"/>
        <v>153.49273203549998</v>
      </c>
      <c r="AT122" s="1866">
        <f t="shared" si="26"/>
        <v>6796.3370000000004</v>
      </c>
      <c r="AU122" s="1866">
        <f t="shared" si="26"/>
        <v>666.15083788970003</v>
      </c>
      <c r="AV122" s="1866">
        <f t="shared" si="26"/>
        <v>13703.364999999998</v>
      </c>
      <c r="AW122" s="1866">
        <f t="shared" si="26"/>
        <v>1938.5258040112001</v>
      </c>
      <c r="AX122" s="1866">
        <f t="shared" si="26"/>
        <v>3991.6310000000003</v>
      </c>
      <c r="AY122" s="1866">
        <f t="shared" si="26"/>
        <v>749.20145469000011</v>
      </c>
      <c r="AZ122" s="1866">
        <f t="shared" si="26"/>
        <v>3872.6879999999996</v>
      </c>
      <c r="BA122" s="1866">
        <f t="shared" si="26"/>
        <v>436.97936432469999</v>
      </c>
      <c r="BB122" s="1866">
        <f t="shared" si="26"/>
        <v>161.59699999999998</v>
      </c>
      <c r="BC122" s="1866">
        <f t="shared" si="26"/>
        <v>6.4160288699999999</v>
      </c>
      <c r="BD122" s="1866">
        <f t="shared" si="26"/>
        <v>3616.7939999999999</v>
      </c>
      <c r="BE122" s="1866">
        <f t="shared" si="26"/>
        <v>380.69770815650003</v>
      </c>
      <c r="BF122" s="1866">
        <f t="shared" si="26"/>
        <v>0</v>
      </c>
      <c r="BG122" s="1866">
        <f t="shared" si="26"/>
        <v>0</v>
      </c>
      <c r="BH122" s="1866">
        <f t="shared" si="26"/>
        <v>2222.252</v>
      </c>
      <c r="BI122" s="1866">
        <f t="shared" si="26"/>
        <v>371.64727684000002</v>
      </c>
      <c r="BJ122" s="1866">
        <f t="shared" si="26"/>
        <v>127.03100000000001</v>
      </c>
      <c r="BK122" s="1866">
        <f t="shared" si="26"/>
        <v>51.773260797700011</v>
      </c>
      <c r="BL122" s="1866">
        <f t="shared" si="26"/>
        <v>2095.221</v>
      </c>
      <c r="BM122" s="1866">
        <f t="shared" si="26"/>
        <v>319.87401604230001</v>
      </c>
    </row>
    <row r="123" spans="1:65">
      <c r="A123" s="1854" t="s">
        <v>18</v>
      </c>
      <c r="B123" s="1865">
        <v>5896.57</v>
      </c>
      <c r="C123" s="1865">
        <v>345.89800000000002</v>
      </c>
      <c r="D123" s="1865">
        <v>2516.9699999999998</v>
      </c>
      <c r="E123" s="1865">
        <v>1864.248</v>
      </c>
      <c r="F123" s="1865">
        <v>860.43</v>
      </c>
      <c r="G123" s="1865">
        <v>654.92200000000003</v>
      </c>
      <c r="H123" s="1865">
        <v>8191.6080000000002</v>
      </c>
      <c r="I123" s="1865">
        <v>1162.2975350412</v>
      </c>
      <c r="J123" s="1865">
        <v>4425.8990000000003</v>
      </c>
      <c r="K123" s="1865">
        <v>814.69999079000002</v>
      </c>
      <c r="L123" s="1865">
        <v>27.890999999999998</v>
      </c>
      <c r="M123" s="1865">
        <v>51.824391590799998</v>
      </c>
      <c r="N123" s="1865">
        <v>114.99299999999999</v>
      </c>
      <c r="O123" s="1865">
        <v>29.263342999999999</v>
      </c>
      <c r="P123" s="1865">
        <v>948.04300000000001</v>
      </c>
      <c r="Q123" s="1865">
        <v>75.996830641200006</v>
      </c>
      <c r="R123" s="1865">
        <v>37.703000000000003</v>
      </c>
      <c r="S123" s="1867">
        <v>1.25207</v>
      </c>
      <c r="T123" s="1865">
        <v>1997.299</v>
      </c>
      <c r="U123" s="1865">
        <v>88.320910407400007</v>
      </c>
      <c r="V123" s="1865"/>
      <c r="W123" s="1865"/>
      <c r="X123" s="1865">
        <v>677.48299999999995</v>
      </c>
      <c r="Y123" s="1865">
        <v>102.1920686118</v>
      </c>
      <c r="Z123" s="1865">
        <v>44.844999999999999</v>
      </c>
      <c r="AA123" s="1865">
        <v>15.717952835999998</v>
      </c>
      <c r="AB123" s="1865">
        <v>632.63800000000003</v>
      </c>
      <c r="AC123" s="1865">
        <v>86.474115775799987</v>
      </c>
      <c r="AD123" s="1865">
        <v>7231.2060000000001</v>
      </c>
      <c r="AE123" s="1865">
        <v>1020.6759023161</v>
      </c>
      <c r="AF123" s="1865">
        <v>4307.0029999999997</v>
      </c>
      <c r="AG123" s="1865">
        <v>796.92316620999998</v>
      </c>
      <c r="AH123" s="1865">
        <v>722.66899999999998</v>
      </c>
      <c r="AI123" s="1865">
        <v>97.628724101100005</v>
      </c>
      <c r="AJ123" s="1865">
        <v>29.497</v>
      </c>
      <c r="AK123" s="1867">
        <v>0.87579399999999996</v>
      </c>
      <c r="AL123" s="1865">
        <v>1709.194</v>
      </c>
      <c r="AM123" s="1865">
        <v>63.721058557399999</v>
      </c>
      <c r="AN123" s="1865"/>
      <c r="AO123" s="1865"/>
      <c r="AP123" s="1865">
        <v>492.34</v>
      </c>
      <c r="AQ123" s="1865">
        <v>62.402953447599998</v>
      </c>
      <c r="AR123" s="1865">
        <v>32.442</v>
      </c>
      <c r="AS123" s="1865">
        <v>10.605321137100001</v>
      </c>
      <c r="AT123" s="1865">
        <v>459.89800000000002</v>
      </c>
      <c r="AU123" s="1865">
        <v>51.797632310499999</v>
      </c>
      <c r="AV123" s="1865">
        <v>960.40200000000004</v>
      </c>
      <c r="AW123" s="1865">
        <v>141.6216327251</v>
      </c>
      <c r="AX123" s="1865">
        <v>233.88900000000001</v>
      </c>
      <c r="AY123" s="1865">
        <v>47.040167580000002</v>
      </c>
      <c r="AZ123" s="1865">
        <v>253.26499999999999</v>
      </c>
      <c r="BA123" s="1865">
        <v>30.192498130899999</v>
      </c>
      <c r="BB123" s="1865">
        <v>8.2059999999999995</v>
      </c>
      <c r="BC123" s="1774">
        <v>0.376276</v>
      </c>
      <c r="BD123" s="1865">
        <v>288.10500000000002</v>
      </c>
      <c r="BE123" s="1865">
        <v>24.59985185</v>
      </c>
      <c r="BF123" s="1865"/>
      <c r="BG123" s="1865"/>
      <c r="BH123" s="1865">
        <v>185.143</v>
      </c>
      <c r="BI123" s="1865">
        <v>39.789115164199998</v>
      </c>
      <c r="BJ123" s="1865">
        <v>12.403</v>
      </c>
      <c r="BK123" s="1865">
        <v>5.1126316989000005</v>
      </c>
      <c r="BL123" s="1865">
        <v>172.74</v>
      </c>
      <c r="BM123" s="1865">
        <v>34.676483465299995</v>
      </c>
    </row>
    <row r="124" spans="1:65">
      <c r="A124" s="1854" t="s">
        <v>19</v>
      </c>
      <c r="B124" s="1865">
        <v>5963.9459999999999</v>
      </c>
      <c r="C124" s="1865">
        <v>358.90699999999998</v>
      </c>
      <c r="D124" s="1865">
        <v>2521.9720000000002</v>
      </c>
      <c r="E124" s="1865">
        <v>1902.991</v>
      </c>
      <c r="F124" s="1865">
        <v>865.63800000000003</v>
      </c>
      <c r="G124" s="1850">
        <v>673.34500000000003</v>
      </c>
      <c r="H124" s="1865">
        <v>8540.5930000000008</v>
      </c>
      <c r="I124" s="1865">
        <v>1349.0955521625001</v>
      </c>
      <c r="J124" s="1857">
        <v>5073.8059999999996</v>
      </c>
      <c r="K124" s="1850">
        <v>993.58148462999998</v>
      </c>
      <c r="L124" s="1857">
        <v>30.927</v>
      </c>
      <c r="M124" s="1857">
        <v>89.483618359999994</v>
      </c>
      <c r="N124" s="1857">
        <v>103.402</v>
      </c>
      <c r="O124" s="1857">
        <v>16.482165999999999</v>
      </c>
      <c r="P124" s="1857">
        <v>861.44</v>
      </c>
      <c r="Q124" s="1865">
        <v>73.269039815499994</v>
      </c>
      <c r="R124" s="1865">
        <v>40.073999999999998</v>
      </c>
      <c r="S124" s="1867">
        <v>1.1221110000000001</v>
      </c>
      <c r="T124" s="1865">
        <v>1878.904</v>
      </c>
      <c r="U124" s="1865">
        <v>98.802990443599995</v>
      </c>
      <c r="V124" s="1865"/>
      <c r="W124" s="1865"/>
      <c r="X124" s="1850">
        <v>592.11400000000003</v>
      </c>
      <c r="Y124" s="1850">
        <v>77.476252913400003</v>
      </c>
      <c r="Z124" s="1850">
        <v>38.326000000000001</v>
      </c>
      <c r="AA124" s="1850">
        <v>16.1757191172</v>
      </c>
      <c r="AB124" s="1850">
        <v>553.78800000000001</v>
      </c>
      <c r="AC124" s="1850">
        <v>61.3005337962</v>
      </c>
      <c r="AD124" s="1857">
        <v>7651.1469999999999</v>
      </c>
      <c r="AE124" s="1857">
        <v>1186.0416596639</v>
      </c>
      <c r="AF124" s="1857">
        <v>4937.1620000000003</v>
      </c>
      <c r="AG124" s="1857">
        <v>958.99678218999998</v>
      </c>
      <c r="AH124" s="1857">
        <v>669.18399999999997</v>
      </c>
      <c r="AI124" s="1857">
        <v>102.38482084269999</v>
      </c>
      <c r="AJ124" s="1857">
        <v>32.43</v>
      </c>
      <c r="AK124" s="1774">
        <v>0.80185499999999998</v>
      </c>
      <c r="AL124" s="1857">
        <v>1615.0519999999999</v>
      </c>
      <c r="AM124" s="1857">
        <v>75.699854503599994</v>
      </c>
      <c r="AN124" s="1857"/>
      <c r="AO124" s="1857"/>
      <c r="AP124" s="1857">
        <v>429.74900000000002</v>
      </c>
      <c r="AQ124" s="1857">
        <v>48.960202127599999</v>
      </c>
      <c r="AR124" s="1857">
        <v>27.423999999999999</v>
      </c>
      <c r="AS124" s="1857">
        <v>11.4972356684</v>
      </c>
      <c r="AT124" s="1857">
        <v>402.32499999999999</v>
      </c>
      <c r="AU124" s="1857">
        <v>37.462966459199997</v>
      </c>
      <c r="AV124" s="1857">
        <v>889.44600000000003</v>
      </c>
      <c r="AW124" s="1857">
        <v>163.05389249859999</v>
      </c>
      <c r="AX124" s="1857">
        <v>240.04599999999999</v>
      </c>
      <c r="AY124" s="1857">
        <v>51.06686844</v>
      </c>
      <c r="AZ124" s="1857">
        <v>223.18299999999999</v>
      </c>
      <c r="BA124" s="1857">
        <v>60.367837332800001</v>
      </c>
      <c r="BB124" s="1857">
        <v>7.6440000000000001</v>
      </c>
      <c r="BC124" s="1774">
        <v>0.32025599999999999</v>
      </c>
      <c r="BD124" s="1857">
        <v>263.85199999999998</v>
      </c>
      <c r="BE124" s="1857">
        <v>23.103135940000001</v>
      </c>
      <c r="BF124" s="1857"/>
      <c r="BG124" s="1857"/>
      <c r="BH124" s="1857">
        <v>162.36500000000001</v>
      </c>
      <c r="BI124" s="1857">
        <v>28.516050785800001</v>
      </c>
      <c r="BJ124" s="1857">
        <v>10.901999999999999</v>
      </c>
      <c r="BK124" s="1857">
        <v>4.6784834488000007</v>
      </c>
      <c r="BL124" s="1857">
        <v>151.46299999999999</v>
      </c>
      <c r="BM124" s="1857">
        <v>23.837567337000003</v>
      </c>
    </row>
    <row r="125" spans="1:65">
      <c r="A125" s="1854" t="s">
        <v>20</v>
      </c>
      <c r="B125" s="1865">
        <v>6019.65</v>
      </c>
      <c r="C125" s="1865">
        <v>369.93900000000002</v>
      </c>
      <c r="D125" s="1865">
        <v>2512.6689999999999</v>
      </c>
      <c r="E125" s="1865">
        <v>1915.4849999999999</v>
      </c>
      <c r="F125" s="1865">
        <v>878.245</v>
      </c>
      <c r="G125" s="1850">
        <v>713.25099999999998</v>
      </c>
      <c r="H125" s="1865">
        <v>10090.708000000001</v>
      </c>
      <c r="I125" s="1865">
        <v>1542.7114686847999</v>
      </c>
      <c r="J125" s="1857">
        <v>6043.9629999999997</v>
      </c>
      <c r="K125" s="1850">
        <v>1170.27077074</v>
      </c>
      <c r="L125" s="1857">
        <v>35.247</v>
      </c>
      <c r="M125" s="1857">
        <v>60.9209931149</v>
      </c>
      <c r="N125" s="1857">
        <v>105.22799999999999</v>
      </c>
      <c r="O125" s="1857">
        <v>17.050311000000001</v>
      </c>
      <c r="P125" s="1857">
        <v>1034.8589999999999</v>
      </c>
      <c r="Q125" s="1865">
        <v>89.675095082699997</v>
      </c>
      <c r="R125" s="1865">
        <v>44.276000000000003</v>
      </c>
      <c r="S125" s="1867">
        <v>1.3271660000000001</v>
      </c>
      <c r="T125" s="1865">
        <v>2140.2260000000001</v>
      </c>
      <c r="U125" s="1865">
        <v>106.83484859719999</v>
      </c>
      <c r="V125" s="1865"/>
      <c r="W125" s="1865"/>
      <c r="X125" s="1850">
        <v>731.18499999999995</v>
      </c>
      <c r="Y125" s="1850">
        <v>97.959450149999995</v>
      </c>
      <c r="Z125" s="1850">
        <v>46.552999999999997</v>
      </c>
      <c r="AA125" s="1850">
        <v>17.66054038</v>
      </c>
      <c r="AB125" s="1850">
        <v>684.63199999999995</v>
      </c>
      <c r="AC125" s="1850">
        <v>80.298909769999995</v>
      </c>
      <c r="AD125" s="1857">
        <v>9036.9760000000006</v>
      </c>
      <c r="AE125" s="1857">
        <v>1380.7979559247999</v>
      </c>
      <c r="AF125" s="1857">
        <v>5859.0709999999999</v>
      </c>
      <c r="AG125" s="1857">
        <v>1127.4884654499999</v>
      </c>
      <c r="AH125" s="1857">
        <v>810.03399999999999</v>
      </c>
      <c r="AI125" s="1857">
        <v>115.11793933760001</v>
      </c>
      <c r="AJ125" s="1857">
        <v>35.454999999999998</v>
      </c>
      <c r="AK125" s="1774">
        <v>0.93624399999999997</v>
      </c>
      <c r="AL125" s="1857">
        <v>1839.81</v>
      </c>
      <c r="AM125" s="1857">
        <v>78.768295667199993</v>
      </c>
      <c r="AN125" s="1857"/>
      <c r="AO125" s="1857"/>
      <c r="AP125" s="1857">
        <v>528.06100000000004</v>
      </c>
      <c r="AQ125" s="1857">
        <v>59.423255470000001</v>
      </c>
      <c r="AR125" s="1857">
        <v>33.241</v>
      </c>
      <c r="AS125" s="1857">
        <v>11.90568264</v>
      </c>
      <c r="AT125" s="1857">
        <v>494.82</v>
      </c>
      <c r="AU125" s="1857">
        <v>47.517572829999999</v>
      </c>
      <c r="AV125" s="1857">
        <v>1053.732</v>
      </c>
      <c r="AW125" s="1857">
        <v>161.91351276</v>
      </c>
      <c r="AX125" s="1857">
        <v>290.12</v>
      </c>
      <c r="AY125" s="1857">
        <v>59.832616289999997</v>
      </c>
      <c r="AZ125" s="1857">
        <v>260.072</v>
      </c>
      <c r="BA125" s="1857">
        <v>35.478148859999997</v>
      </c>
      <c r="BB125" s="1857">
        <v>8.8209999999999997</v>
      </c>
      <c r="BC125" s="1774">
        <v>0.39092199999999999</v>
      </c>
      <c r="BD125" s="1857">
        <v>300.416</v>
      </c>
      <c r="BE125" s="1857">
        <v>28.06655293</v>
      </c>
      <c r="BF125" s="1857"/>
      <c r="BG125" s="1857"/>
      <c r="BH125" s="1857">
        <v>203.124</v>
      </c>
      <c r="BI125" s="1857">
        <v>38.536194680000001</v>
      </c>
      <c r="BJ125" s="1857">
        <v>13.311999999999999</v>
      </c>
      <c r="BK125" s="1857">
        <v>5.7548577400000003</v>
      </c>
      <c r="BL125" s="1857">
        <v>189.81200000000001</v>
      </c>
      <c r="BM125" s="1857">
        <v>32.781336940000003</v>
      </c>
    </row>
    <row r="126" spans="1:65">
      <c r="A126" s="1854" t="s">
        <v>21</v>
      </c>
      <c r="B126" s="1865">
        <v>6116.8980000000001</v>
      </c>
      <c r="C126" s="1865">
        <v>380.851</v>
      </c>
      <c r="D126" s="1865">
        <v>2511.48</v>
      </c>
      <c r="E126" s="1865">
        <v>1912.5229999999999</v>
      </c>
      <c r="F126" s="1865">
        <v>938.05100000000004</v>
      </c>
      <c r="G126" s="1850">
        <v>754.84400000000005</v>
      </c>
      <c r="H126" s="1865">
        <v>9042.2150000000001</v>
      </c>
      <c r="I126" s="1865">
        <v>1391.4545231018001</v>
      </c>
      <c r="J126" s="1857">
        <v>5111.6689999999999</v>
      </c>
      <c r="K126" s="1850">
        <v>1011.2048344900001</v>
      </c>
      <c r="L126" s="1857">
        <v>31.635999999999999</v>
      </c>
      <c r="M126" s="1857">
        <v>72.064995836799994</v>
      </c>
      <c r="N126" s="1857">
        <v>102.709</v>
      </c>
      <c r="O126" s="1857">
        <v>17.595891000000002</v>
      </c>
      <c r="P126" s="1857">
        <v>1002.228</v>
      </c>
      <c r="Q126" s="1865">
        <v>83.620510154000002</v>
      </c>
      <c r="R126" s="1865">
        <v>48.015999999999998</v>
      </c>
      <c r="S126" s="1867">
        <v>1.5059100000000001</v>
      </c>
      <c r="T126" s="1865">
        <v>2106.5740000000001</v>
      </c>
      <c r="U126" s="1865">
        <v>123.387781191</v>
      </c>
      <c r="V126" s="1865"/>
      <c r="W126" s="1865"/>
      <c r="X126" s="1850">
        <v>687.399</v>
      </c>
      <c r="Y126" s="1850">
        <v>83.580510430000004</v>
      </c>
      <c r="Z126" s="1850">
        <v>43.548999999999999</v>
      </c>
      <c r="AA126" s="1850">
        <v>16.482983230000002</v>
      </c>
      <c r="AB126" s="1850">
        <v>643.85</v>
      </c>
      <c r="AC126" s="1850">
        <v>67.097527200000002</v>
      </c>
      <c r="AD126" s="1857">
        <v>7949.8130000000001</v>
      </c>
      <c r="AE126" s="1857">
        <v>1230.0955685517999</v>
      </c>
      <c r="AF126" s="1857">
        <v>4879.049</v>
      </c>
      <c r="AG126" s="1857">
        <v>960.75598794999996</v>
      </c>
      <c r="AH126" s="1857">
        <v>768.78899999999999</v>
      </c>
      <c r="AI126" s="1857">
        <v>120.0589435408</v>
      </c>
      <c r="AJ126" s="1857">
        <v>39.045000000000002</v>
      </c>
      <c r="AK126" s="1774">
        <v>1.090873</v>
      </c>
      <c r="AL126" s="1857">
        <v>1794.8979999999999</v>
      </c>
      <c r="AM126" s="1857">
        <v>94.640909340999997</v>
      </c>
      <c r="AN126" s="1857"/>
      <c r="AO126" s="1857"/>
      <c r="AP126" s="1857">
        <v>507.077</v>
      </c>
      <c r="AQ126" s="1857">
        <v>54.639727720000003</v>
      </c>
      <c r="AR126" s="1857">
        <v>31.754999999999999</v>
      </c>
      <c r="AS126" s="1857">
        <v>11.47164926</v>
      </c>
      <c r="AT126" s="1857">
        <v>475.322</v>
      </c>
      <c r="AU126" s="1857">
        <v>43.168078460000004</v>
      </c>
      <c r="AV126" s="1857">
        <v>1092.402</v>
      </c>
      <c r="AW126" s="1857">
        <v>161.35895454999999</v>
      </c>
      <c r="AX126" s="1857">
        <v>335.32900000000001</v>
      </c>
      <c r="AY126" s="1857">
        <v>68.04473754</v>
      </c>
      <c r="AZ126" s="1857">
        <v>265.07499999999999</v>
      </c>
      <c r="BA126" s="1857">
        <v>35.626562450000002</v>
      </c>
      <c r="BB126" s="1857">
        <v>8.9710000000000001</v>
      </c>
      <c r="BC126" s="1774">
        <v>0.41503699999999999</v>
      </c>
      <c r="BD126" s="1857">
        <v>311.67599999999999</v>
      </c>
      <c r="BE126" s="1857">
        <v>28.746871850000002</v>
      </c>
      <c r="BF126" s="1857"/>
      <c r="BG126" s="1857"/>
      <c r="BH126" s="1857">
        <v>180.322</v>
      </c>
      <c r="BI126" s="1857">
        <v>28.940782710000001</v>
      </c>
      <c r="BJ126" s="1857">
        <v>11.794</v>
      </c>
      <c r="BK126" s="1857">
        <v>5.0113339699999999</v>
      </c>
      <c r="BL126" s="1857">
        <v>168.52799999999999</v>
      </c>
      <c r="BM126" s="1857">
        <v>23.929448740000002</v>
      </c>
    </row>
    <row r="127" spans="1:65">
      <c r="A127" s="1854" t="s">
        <v>22</v>
      </c>
      <c r="B127" s="1865">
        <v>6174.8909999999996</v>
      </c>
      <c r="C127" s="1865">
        <v>398.53199999999998</v>
      </c>
      <c r="D127" s="1865">
        <v>2513.223</v>
      </c>
      <c r="E127" s="1865">
        <v>1900.6020000000001</v>
      </c>
      <c r="F127" s="1865">
        <v>977.51499999999999</v>
      </c>
      <c r="G127" s="1850">
        <v>783.55100000000004</v>
      </c>
      <c r="H127" s="1865">
        <v>9991.2060000000001</v>
      </c>
      <c r="I127" s="1865">
        <v>1514.4655764237</v>
      </c>
      <c r="J127" s="1857">
        <v>5661.4679999999998</v>
      </c>
      <c r="K127" s="1850">
        <v>1110.2853761399999</v>
      </c>
      <c r="L127" s="1857">
        <v>31.745000000000001</v>
      </c>
      <c r="M127" s="1857">
        <v>66.6715366488</v>
      </c>
      <c r="N127" s="1857">
        <v>116.727</v>
      </c>
      <c r="O127" s="1857">
        <v>18.351497999999999</v>
      </c>
      <c r="P127" s="1857">
        <v>1192.951</v>
      </c>
      <c r="Q127" s="1865">
        <v>91.730972502900002</v>
      </c>
      <c r="R127" s="1865">
        <v>60.732999999999997</v>
      </c>
      <c r="S127" s="1867">
        <v>1.71526983</v>
      </c>
      <c r="T127" s="1865">
        <v>2250.4140000000002</v>
      </c>
      <c r="U127" s="1865">
        <v>132.566158742</v>
      </c>
      <c r="V127" s="1865"/>
      <c r="W127" s="1865"/>
      <c r="X127" s="1850">
        <v>737.90099999999995</v>
      </c>
      <c r="Y127" s="1850">
        <v>94.860034389999996</v>
      </c>
      <c r="Z127" s="1850">
        <v>49.545999999999999</v>
      </c>
      <c r="AA127" s="1850">
        <v>18.38653493</v>
      </c>
      <c r="AB127" s="1850">
        <v>688.35500000000002</v>
      </c>
      <c r="AC127" s="1850">
        <v>76.473499460000014</v>
      </c>
      <c r="AD127" s="1857">
        <v>8786.2790000000005</v>
      </c>
      <c r="AE127" s="1857">
        <v>1344.1246877025001</v>
      </c>
      <c r="AF127" s="1857">
        <v>5415.1959999999999</v>
      </c>
      <c r="AG127" s="1857">
        <v>1058.4276867200001</v>
      </c>
      <c r="AH127" s="1857">
        <v>907.02800000000002</v>
      </c>
      <c r="AI127" s="1857">
        <v>124.23439119050001</v>
      </c>
      <c r="AJ127" s="1857">
        <v>49.279000000000003</v>
      </c>
      <c r="AK127" s="1774">
        <v>1.18975673</v>
      </c>
      <c r="AL127" s="1857">
        <v>1926.778</v>
      </c>
      <c r="AM127" s="1857">
        <v>100.090134162</v>
      </c>
      <c r="AN127" s="1857"/>
      <c r="AO127" s="1857"/>
      <c r="AP127" s="1857">
        <v>537.27700000000004</v>
      </c>
      <c r="AQ127" s="1857">
        <v>61.372475629999997</v>
      </c>
      <c r="AR127" s="1857">
        <v>35.677</v>
      </c>
      <c r="AS127" s="1857">
        <v>12.843694259999999</v>
      </c>
      <c r="AT127" s="1857">
        <v>501.6</v>
      </c>
      <c r="AU127" s="1857">
        <v>48.528781370000004</v>
      </c>
      <c r="AV127" s="1857">
        <v>1204.9269999999999</v>
      </c>
      <c r="AW127" s="1857">
        <v>170.3408887212</v>
      </c>
      <c r="AX127" s="1857">
        <v>362.99900000000002</v>
      </c>
      <c r="AY127" s="1857">
        <v>70.209187420000006</v>
      </c>
      <c r="AZ127" s="1857">
        <v>317.66800000000001</v>
      </c>
      <c r="BA127" s="1857">
        <v>34.168117961199997</v>
      </c>
      <c r="BB127" s="1857">
        <v>11.454000000000001</v>
      </c>
      <c r="BC127" s="1774">
        <v>0.52551309999999996</v>
      </c>
      <c r="BD127" s="1857">
        <v>323.63600000000002</v>
      </c>
      <c r="BE127" s="1857">
        <v>32.476024580000001</v>
      </c>
      <c r="BF127" s="1857"/>
      <c r="BG127" s="1857"/>
      <c r="BH127" s="1857">
        <v>200.624</v>
      </c>
      <c r="BI127" s="1857">
        <v>33.487558759999999</v>
      </c>
      <c r="BJ127" s="1857">
        <v>13.869</v>
      </c>
      <c r="BK127" s="1857">
        <v>5.5428406700000004</v>
      </c>
      <c r="BL127" s="1857">
        <v>186.755</v>
      </c>
      <c r="BM127" s="1857">
        <v>27.944718089999999</v>
      </c>
    </row>
    <row r="128" spans="1:65">
      <c r="A128" s="1854" t="s">
        <v>23</v>
      </c>
      <c r="B128" s="1865">
        <v>6218.3230000000003</v>
      </c>
      <c r="C128" s="1865">
        <v>409.03199999999998</v>
      </c>
      <c r="D128" s="1865">
        <v>2520.848</v>
      </c>
      <c r="E128" s="1865">
        <v>1899.817</v>
      </c>
      <c r="F128" s="1865">
        <v>998.22400000000005</v>
      </c>
      <c r="G128" s="1850">
        <v>799.43399999999997</v>
      </c>
      <c r="H128" s="1865">
        <v>9529.4500000000007</v>
      </c>
      <c r="I128" s="1865">
        <v>1437.3650918444</v>
      </c>
      <c r="J128" s="1857">
        <v>5335.0690000000004</v>
      </c>
      <c r="K128" s="1850">
        <v>1055.4949325</v>
      </c>
      <c r="L128" s="1857">
        <v>32.442</v>
      </c>
      <c r="M128" s="1857">
        <v>61.522160419999999</v>
      </c>
      <c r="N128" s="1857">
        <v>108.80500000000001</v>
      </c>
      <c r="O128" s="1857">
        <v>17.043253</v>
      </c>
      <c r="P128" s="1857">
        <v>1177.0909999999999</v>
      </c>
      <c r="Q128" s="1865">
        <v>85.539243772999995</v>
      </c>
      <c r="R128" s="1865">
        <v>59.558</v>
      </c>
      <c r="S128" s="1867">
        <v>1.60352805</v>
      </c>
      <c r="T128" s="1865">
        <v>2180.377</v>
      </c>
      <c r="U128" s="1865">
        <v>126.7775011814</v>
      </c>
      <c r="V128" s="1865"/>
      <c r="W128" s="1865"/>
      <c r="X128" s="1850">
        <v>695.66600000000005</v>
      </c>
      <c r="Y128" s="1850">
        <v>90.988000970000002</v>
      </c>
      <c r="Z128" s="1850">
        <v>43.23</v>
      </c>
      <c r="AA128" s="1850">
        <v>16.334699839999999</v>
      </c>
      <c r="AB128" s="1850">
        <v>652.43600000000004</v>
      </c>
      <c r="AC128" s="1850">
        <v>74.653301129999988</v>
      </c>
      <c r="AD128" s="1857">
        <v>8369.6869999999999</v>
      </c>
      <c r="AE128" s="1857">
        <v>1272.5583930253999</v>
      </c>
      <c r="AF128" s="1857">
        <v>5092.4059999999999</v>
      </c>
      <c r="AG128" s="1857">
        <v>1004.83306109</v>
      </c>
      <c r="AH128" s="1857">
        <v>896.14300000000003</v>
      </c>
      <c r="AI128" s="1857">
        <v>114.228256774</v>
      </c>
      <c r="AJ128" s="1857">
        <v>48.447000000000003</v>
      </c>
      <c r="AK128" s="1774">
        <v>1.1521838500000001</v>
      </c>
      <c r="AL128" s="1857">
        <v>1873.3219999999999</v>
      </c>
      <c r="AM128" s="1857">
        <v>95.027557631400001</v>
      </c>
      <c r="AN128" s="1857"/>
      <c r="AO128" s="1857"/>
      <c r="AP128" s="1857">
        <v>507.81599999999997</v>
      </c>
      <c r="AQ128" s="1857">
        <v>58.469517529999997</v>
      </c>
      <c r="AR128" s="1857">
        <v>30.920999999999999</v>
      </c>
      <c r="AS128" s="1857">
        <v>11.01470829</v>
      </c>
      <c r="AT128" s="1857">
        <v>476.89499999999998</v>
      </c>
      <c r="AU128" s="1857">
        <v>47.454809239999996</v>
      </c>
      <c r="AV128" s="1857">
        <v>1159.7629999999999</v>
      </c>
      <c r="AW128" s="1857">
        <v>164.80669881899999</v>
      </c>
      <c r="AX128" s="1857">
        <v>351.46800000000002</v>
      </c>
      <c r="AY128" s="1857">
        <v>67.705124409999996</v>
      </c>
      <c r="AZ128" s="1857">
        <v>313.39</v>
      </c>
      <c r="BA128" s="1857">
        <v>32.833147418999999</v>
      </c>
      <c r="BB128" s="1857">
        <v>11.111000000000001</v>
      </c>
      <c r="BC128" s="1774">
        <v>0.45134420000000003</v>
      </c>
      <c r="BD128" s="1857">
        <v>307.05500000000001</v>
      </c>
      <c r="BE128" s="1857">
        <v>31.749943550000001</v>
      </c>
      <c r="BF128" s="1857"/>
      <c r="BG128" s="1857"/>
      <c r="BH128" s="1857">
        <v>187.85</v>
      </c>
      <c r="BI128" s="1857">
        <v>32.518483439999997</v>
      </c>
      <c r="BJ128" s="1857">
        <v>12.308999999999999</v>
      </c>
      <c r="BK128" s="1857">
        <v>5.3199915500000001</v>
      </c>
      <c r="BL128" s="1857">
        <v>175.541</v>
      </c>
      <c r="BM128" s="1857">
        <v>27.19849189</v>
      </c>
    </row>
    <row r="129" spans="1:65">
      <c r="A129" s="1854" t="s">
        <v>24</v>
      </c>
      <c r="B129" s="1865">
        <v>6289.0839999999998</v>
      </c>
      <c r="C129" s="1865">
        <v>436.19799999999998</v>
      </c>
      <c r="D129" s="1865">
        <v>2521.4029999999998</v>
      </c>
      <c r="E129" s="1865">
        <v>1929.5940000000001</v>
      </c>
      <c r="F129" s="1865">
        <v>1015.572</v>
      </c>
      <c r="G129" s="1850">
        <v>822.51499999999999</v>
      </c>
      <c r="H129" s="1865">
        <v>10486.421</v>
      </c>
      <c r="I129" s="1865">
        <v>1667.7806076464001</v>
      </c>
      <c r="J129" s="1857">
        <v>5776.5190000000002</v>
      </c>
      <c r="K129" s="1850">
        <v>1210.35304071</v>
      </c>
      <c r="L129" s="1857">
        <v>31.57</v>
      </c>
      <c r="M129" s="1857">
        <v>66.634042846400007</v>
      </c>
      <c r="N129" s="1857">
        <v>120.842</v>
      </c>
      <c r="O129" s="1857">
        <v>19.64424034</v>
      </c>
      <c r="P129" s="1857">
        <v>1328.4760000000001</v>
      </c>
      <c r="Q129" s="1865">
        <v>100.01048146799999</v>
      </c>
      <c r="R129" s="1865">
        <v>72.138000000000005</v>
      </c>
      <c r="S129" s="1867">
        <v>1.9641461299999998</v>
      </c>
      <c r="T129" s="1865">
        <v>2447.6390000000001</v>
      </c>
      <c r="U129" s="1865">
        <v>155.296983552</v>
      </c>
      <c r="V129" s="1865"/>
      <c r="W129" s="1865"/>
      <c r="X129" s="1850">
        <v>781.375</v>
      </c>
      <c r="Y129" s="1850">
        <v>115.84181873</v>
      </c>
      <c r="Z129" s="1850">
        <v>42.353999999999999</v>
      </c>
      <c r="AA129" s="1850">
        <v>15.872672919999999</v>
      </c>
      <c r="AB129" s="1850">
        <v>739.02099999999996</v>
      </c>
      <c r="AC129" s="1850">
        <v>99.969145810000001</v>
      </c>
      <c r="AD129" s="1857">
        <v>9202.893</v>
      </c>
      <c r="AE129" s="1857">
        <v>1470.1975376384</v>
      </c>
      <c r="AF129" s="1857">
        <v>5517.277</v>
      </c>
      <c r="AG129" s="1857">
        <v>1153.7622680100001</v>
      </c>
      <c r="AH129" s="1857">
        <v>1012.962</v>
      </c>
      <c r="AI129" s="1857">
        <v>128.8026833424</v>
      </c>
      <c r="AJ129" s="1857">
        <v>59.744</v>
      </c>
      <c r="AK129" s="1774">
        <v>1.4153429199999998</v>
      </c>
      <c r="AL129" s="1857">
        <v>2098.1999999999998</v>
      </c>
      <c r="AM129" s="1857">
        <v>110.955255596</v>
      </c>
      <c r="AN129" s="1857"/>
      <c r="AO129" s="1857"/>
      <c r="AP129" s="1857">
        <v>574.45399999999995</v>
      </c>
      <c r="AQ129" s="1857">
        <v>76.677330690000005</v>
      </c>
      <c r="AR129" s="1857">
        <v>30.951000000000001</v>
      </c>
      <c r="AS129" s="1857">
        <v>10.99333923</v>
      </c>
      <c r="AT129" s="1857">
        <v>543.50300000000004</v>
      </c>
      <c r="AU129" s="1857">
        <v>65.683991460000001</v>
      </c>
      <c r="AV129" s="1857">
        <v>1283.528</v>
      </c>
      <c r="AW129" s="1857">
        <v>197.58307000799999</v>
      </c>
      <c r="AX129" s="1857">
        <v>380.084</v>
      </c>
      <c r="AY129" s="1857">
        <v>76.235013039999998</v>
      </c>
      <c r="AZ129" s="1857">
        <v>347.084</v>
      </c>
      <c r="BA129" s="1857">
        <v>37.841840972</v>
      </c>
      <c r="BB129" s="1857">
        <v>12.394</v>
      </c>
      <c r="BC129" s="1774">
        <v>0.54880320999999999</v>
      </c>
      <c r="BD129" s="1857">
        <v>349.43900000000002</v>
      </c>
      <c r="BE129" s="1857">
        <v>44.341727956</v>
      </c>
      <c r="BF129" s="1857"/>
      <c r="BG129" s="1857"/>
      <c r="BH129" s="1857">
        <v>206.92099999999999</v>
      </c>
      <c r="BI129" s="1857">
        <v>39.164488040000002</v>
      </c>
      <c r="BJ129" s="1857">
        <v>11.403</v>
      </c>
      <c r="BK129" s="1857">
        <v>4.8793336900000002</v>
      </c>
      <c r="BL129" s="1857">
        <v>195.518</v>
      </c>
      <c r="BM129" s="1857">
        <v>34.285154349999999</v>
      </c>
    </row>
    <row r="130" spans="1:65">
      <c r="A130" s="1854" t="s">
        <v>25</v>
      </c>
      <c r="B130" s="1865">
        <v>6339.0479999999998</v>
      </c>
      <c r="C130" s="1865">
        <v>475.584</v>
      </c>
      <c r="D130" s="1865">
        <v>2504.8290000000002</v>
      </c>
      <c r="E130" s="1865">
        <v>1950.5840000000001</v>
      </c>
      <c r="F130" s="1865">
        <v>1047.7470000000001</v>
      </c>
      <c r="G130" s="1850">
        <v>835.88800000000003</v>
      </c>
      <c r="H130" s="1865">
        <v>9928.5580000000009</v>
      </c>
      <c r="I130" s="1865">
        <v>1547.4760278619999</v>
      </c>
      <c r="J130" s="1857">
        <v>5317.2839999999997</v>
      </c>
      <c r="K130" s="1850">
        <v>1068.2135549100001</v>
      </c>
      <c r="L130" s="1857">
        <v>31.341000000000001</v>
      </c>
      <c r="M130" s="1857">
        <v>75.345752676100005</v>
      </c>
      <c r="N130" s="1857">
        <v>119.70699999999999</v>
      </c>
      <c r="O130" s="1857">
        <v>19.718188000000001</v>
      </c>
      <c r="P130" s="1857">
        <v>1277.191</v>
      </c>
      <c r="Q130" s="1865">
        <v>95.562809027699998</v>
      </c>
      <c r="R130" s="1865">
        <v>66.509</v>
      </c>
      <c r="S130" s="1867">
        <v>1.7756633100000001</v>
      </c>
      <c r="T130" s="1865">
        <v>2294.9369999999999</v>
      </c>
      <c r="U130" s="1865">
        <v>157.3279477582</v>
      </c>
      <c r="V130" s="1865"/>
      <c r="W130" s="1865"/>
      <c r="X130" s="1850">
        <v>888.09799999999996</v>
      </c>
      <c r="Y130" s="1850">
        <v>131.30777549000001</v>
      </c>
      <c r="Z130" s="1850">
        <v>47.945999999999998</v>
      </c>
      <c r="AA130" s="1850">
        <v>17.54844473</v>
      </c>
      <c r="AB130" s="1850">
        <v>840.15200000000004</v>
      </c>
      <c r="AC130" s="1850">
        <v>113.75933076</v>
      </c>
      <c r="AD130" s="1857">
        <v>8568.5519999999997</v>
      </c>
      <c r="AE130" s="1857">
        <v>1334.8567996419999</v>
      </c>
      <c r="AF130" s="1857">
        <v>5016.8329999999996</v>
      </c>
      <c r="AG130" s="1857">
        <v>1003.1768399600001</v>
      </c>
      <c r="AH130" s="1857">
        <v>950.18100000000004</v>
      </c>
      <c r="AI130" s="1857">
        <v>131.48051346380001</v>
      </c>
      <c r="AJ130" s="1857">
        <v>53.031999999999996</v>
      </c>
      <c r="AK130" s="1774">
        <v>1.2350983200000001</v>
      </c>
      <c r="AL130" s="1857">
        <v>1954.116</v>
      </c>
      <c r="AM130" s="1857">
        <v>114.3125287182</v>
      </c>
      <c r="AN130" s="1857"/>
      <c r="AO130" s="1857"/>
      <c r="AP130" s="1857">
        <v>647.42200000000003</v>
      </c>
      <c r="AQ130" s="1857">
        <v>85.886917499999996</v>
      </c>
      <c r="AR130" s="1857">
        <v>35.216999999999999</v>
      </c>
      <c r="AS130" s="1857">
        <v>11.986780550000001</v>
      </c>
      <c r="AT130" s="1857">
        <v>612.20500000000004</v>
      </c>
      <c r="AU130" s="1857">
        <v>73.900136950000004</v>
      </c>
      <c r="AV130" s="1857">
        <v>1360.0060000000001</v>
      </c>
      <c r="AW130" s="1857">
        <v>212.61922822</v>
      </c>
      <c r="AX130" s="1857">
        <v>420.15800000000002</v>
      </c>
      <c r="AY130" s="1857">
        <v>84.754902950000002</v>
      </c>
      <c r="AZ130" s="1857">
        <v>358.351</v>
      </c>
      <c r="BA130" s="1857">
        <v>39.428048240000003</v>
      </c>
      <c r="BB130" s="1857">
        <v>13.477</v>
      </c>
      <c r="BC130" s="1774">
        <v>0.54056499000000002</v>
      </c>
      <c r="BD130" s="1857">
        <v>340.82100000000003</v>
      </c>
      <c r="BE130" s="1857">
        <v>43.015419039999998</v>
      </c>
      <c r="BF130" s="1857"/>
      <c r="BG130" s="1857"/>
      <c r="BH130" s="1857">
        <v>240.67599999999999</v>
      </c>
      <c r="BI130" s="1857">
        <v>45.420857990000002</v>
      </c>
      <c r="BJ130" s="1857">
        <v>12.728999999999999</v>
      </c>
      <c r="BK130" s="1857">
        <v>5.5616641799999993</v>
      </c>
      <c r="BL130" s="1857">
        <v>227.947</v>
      </c>
      <c r="BM130" s="1857">
        <v>39.859193810000001</v>
      </c>
    </row>
    <row r="131" spans="1:65">
      <c r="A131" s="1854" t="s">
        <v>26</v>
      </c>
      <c r="B131" s="1865">
        <v>6476.0590000000002</v>
      </c>
      <c r="C131" s="1865">
        <v>513.47799999999995</v>
      </c>
      <c r="D131" s="1865">
        <v>2547.2449999999999</v>
      </c>
      <c r="E131" s="1865">
        <v>2010.788</v>
      </c>
      <c r="F131" s="1865">
        <v>1134.856</v>
      </c>
      <c r="G131" s="1850">
        <v>783.17</v>
      </c>
      <c r="H131" s="1865">
        <v>9636.375</v>
      </c>
      <c r="I131" s="1865">
        <v>1439.5456659202</v>
      </c>
      <c r="J131" s="1857">
        <v>5387.0010000000002</v>
      </c>
      <c r="K131" s="1850">
        <v>1034.5232342100001</v>
      </c>
      <c r="L131" s="1857">
        <v>23.088000000000001</v>
      </c>
      <c r="M131" s="1857">
        <v>68.713806570000003</v>
      </c>
      <c r="N131" s="1857">
        <v>124.367</v>
      </c>
      <c r="O131" s="1857">
        <v>12.043042</v>
      </c>
      <c r="P131" s="1857">
        <v>1226.5250000000001</v>
      </c>
      <c r="Q131" s="1865">
        <v>89.547614936100004</v>
      </c>
      <c r="R131" s="1865">
        <v>79.771000000000001</v>
      </c>
      <c r="S131" s="1867">
        <v>1.96869041</v>
      </c>
      <c r="T131" s="1865">
        <v>2090.895</v>
      </c>
      <c r="U131" s="1865">
        <v>137.71113338410001</v>
      </c>
      <c r="V131" s="1865"/>
      <c r="W131" s="1865"/>
      <c r="X131" s="1850">
        <v>784.49900000000002</v>
      </c>
      <c r="Y131" s="1850">
        <v>97.006834819999995</v>
      </c>
      <c r="Z131" s="1850">
        <v>43.287999999999997</v>
      </c>
      <c r="AA131" s="1850">
        <v>15.864915310000001</v>
      </c>
      <c r="AB131" s="1850">
        <v>741.21100000000001</v>
      </c>
      <c r="AC131" s="1850">
        <v>81.141919509999994</v>
      </c>
      <c r="AD131" s="1857">
        <v>8597.8610000000008</v>
      </c>
      <c r="AE131" s="1857">
        <v>1304.5466832602001</v>
      </c>
      <c r="AF131" s="1857">
        <v>5193.0910000000003</v>
      </c>
      <c r="AG131" s="1857">
        <v>994.13284422000004</v>
      </c>
      <c r="AH131" s="1857">
        <v>931.24800000000005</v>
      </c>
      <c r="AI131" s="1857">
        <v>125.4516804661</v>
      </c>
      <c r="AJ131" s="1857">
        <v>65.317999999999998</v>
      </c>
      <c r="AK131" s="1774">
        <v>1.4103654999999999</v>
      </c>
      <c r="AL131" s="1857">
        <v>1834.7529999999999</v>
      </c>
      <c r="AM131" s="1857">
        <v>109.7246049141</v>
      </c>
      <c r="AN131" s="1857"/>
      <c r="AO131" s="1857"/>
      <c r="AP131" s="1857">
        <v>638.76900000000001</v>
      </c>
      <c r="AQ131" s="1857">
        <v>75.237553660000003</v>
      </c>
      <c r="AR131" s="1857">
        <v>36.682000000000002</v>
      </c>
      <c r="AS131" s="1857">
        <v>13.38771081</v>
      </c>
      <c r="AT131" s="1857">
        <v>602.08699999999999</v>
      </c>
      <c r="AU131" s="1857">
        <v>61.849842849999995</v>
      </c>
      <c r="AV131" s="1857">
        <v>1038.5139999999999</v>
      </c>
      <c r="AW131" s="1857">
        <v>134.99898266</v>
      </c>
      <c r="AX131" s="1857">
        <v>318.27699999999999</v>
      </c>
      <c r="AY131" s="1857">
        <v>52.433431990000003</v>
      </c>
      <c r="AZ131" s="1857">
        <v>318.36500000000001</v>
      </c>
      <c r="BA131" s="1857">
        <v>32.809741039999999</v>
      </c>
      <c r="BB131" s="1857">
        <v>14.452999999999999</v>
      </c>
      <c r="BC131" s="1774">
        <v>0.55832491000000006</v>
      </c>
      <c r="BD131" s="1857">
        <v>256.142</v>
      </c>
      <c r="BE131" s="1857">
        <v>27.98652847</v>
      </c>
      <c r="BF131" s="1857"/>
      <c r="BG131" s="1857"/>
      <c r="BH131" s="1857">
        <v>145.72999999999999</v>
      </c>
      <c r="BI131" s="1857">
        <v>21.769281159999998</v>
      </c>
      <c r="BJ131" s="1857">
        <v>6.6059999999999999</v>
      </c>
      <c r="BK131" s="1857">
        <v>2.4772045</v>
      </c>
      <c r="BL131" s="1857">
        <v>139.124</v>
      </c>
      <c r="BM131" s="1857">
        <v>19.292076659999999</v>
      </c>
    </row>
    <row r="132" spans="1:65">
      <c r="A132" s="1854" t="s">
        <v>27</v>
      </c>
      <c r="B132" s="1865">
        <v>6562.848</v>
      </c>
      <c r="C132" s="1865">
        <v>529.74400000000003</v>
      </c>
      <c r="D132" s="1865">
        <v>2545.3809999999999</v>
      </c>
      <c r="E132" s="1865">
        <v>2050.386</v>
      </c>
      <c r="F132" s="1865">
        <v>1163.9259999999999</v>
      </c>
      <c r="G132" s="1850">
        <v>803.15499999999997</v>
      </c>
      <c r="H132" s="1865">
        <v>10895.864</v>
      </c>
      <c r="I132" s="1865">
        <v>1622.9343211574001</v>
      </c>
      <c r="J132" s="1857">
        <v>5839.3029999999999</v>
      </c>
      <c r="K132" s="1850">
        <v>1136.4412956900001</v>
      </c>
      <c r="L132" s="1857">
        <v>23.876000000000001</v>
      </c>
      <c r="M132" s="1857">
        <v>74.546484439300002</v>
      </c>
      <c r="N132" s="1857">
        <v>146.40299999999999</v>
      </c>
      <c r="O132" s="1857">
        <v>20.608124</v>
      </c>
      <c r="P132" s="1857">
        <v>1501.7</v>
      </c>
      <c r="Q132" s="1865">
        <v>109.6390294368</v>
      </c>
      <c r="R132" s="1865">
        <v>122.828</v>
      </c>
      <c r="S132" s="1867">
        <v>3.1476221099999999</v>
      </c>
      <c r="T132" s="1865">
        <v>2408.5349999999999</v>
      </c>
      <c r="U132" s="1865">
        <v>173.70501668130001</v>
      </c>
      <c r="V132" s="1865"/>
      <c r="W132" s="1865"/>
      <c r="X132" s="1850">
        <v>976.04700000000003</v>
      </c>
      <c r="Y132" s="1850">
        <v>107.99437091</v>
      </c>
      <c r="Z132" s="1850">
        <v>57.023000000000003</v>
      </c>
      <c r="AA132" s="1850">
        <v>19.431121530000002</v>
      </c>
      <c r="AB132" s="1850">
        <v>919.024</v>
      </c>
      <c r="AC132" s="1850">
        <v>88.563249380000002</v>
      </c>
      <c r="AD132" s="1857">
        <v>9730.6489999999994</v>
      </c>
      <c r="AE132" s="1857">
        <v>1484.4343069469001</v>
      </c>
      <c r="AF132" s="1857">
        <v>5653.9709999999995</v>
      </c>
      <c r="AG132" s="1857">
        <v>1104.04442868</v>
      </c>
      <c r="AH132" s="1857">
        <v>1148.7629999999999</v>
      </c>
      <c r="AI132" s="1857">
        <v>152.90376358610001</v>
      </c>
      <c r="AJ132" s="1857">
        <v>103.038</v>
      </c>
      <c r="AK132" s="1774">
        <v>2.4759246400000001</v>
      </c>
      <c r="AL132" s="1857">
        <v>2119.0030000000002</v>
      </c>
      <c r="AM132" s="1857">
        <v>141.9531589108</v>
      </c>
      <c r="AN132" s="1857"/>
      <c r="AO132" s="1857"/>
      <c r="AP132" s="1857">
        <v>808.91200000000003</v>
      </c>
      <c r="AQ132" s="1857">
        <v>85.532955770000001</v>
      </c>
      <c r="AR132" s="1857">
        <v>49.148000000000003</v>
      </c>
      <c r="AS132" s="1857">
        <v>16.90463523</v>
      </c>
      <c r="AT132" s="1857">
        <v>759.76400000000001</v>
      </c>
      <c r="AU132" s="1857">
        <v>68.62832053999999</v>
      </c>
      <c r="AV132" s="1857">
        <v>1165.2149999999999</v>
      </c>
      <c r="AW132" s="1857">
        <v>138.50001421050001</v>
      </c>
      <c r="AX132" s="1857">
        <v>331.73500000000001</v>
      </c>
      <c r="AY132" s="1857">
        <v>53.004991009999998</v>
      </c>
      <c r="AZ132" s="1857">
        <v>376.81299999999999</v>
      </c>
      <c r="BA132" s="1857">
        <v>31.281750290000002</v>
      </c>
      <c r="BB132" s="1857">
        <v>19.79</v>
      </c>
      <c r="BC132" s="1774">
        <v>0.67169747000000002</v>
      </c>
      <c r="BD132" s="1857">
        <v>289.53199999999998</v>
      </c>
      <c r="BE132" s="1857">
        <v>31.751857770499999</v>
      </c>
      <c r="BF132" s="1857"/>
      <c r="BG132" s="1857"/>
      <c r="BH132" s="1857">
        <v>167.13499999999999</v>
      </c>
      <c r="BI132" s="1857">
        <v>22.46141514</v>
      </c>
      <c r="BJ132" s="1857">
        <v>7.875</v>
      </c>
      <c r="BK132" s="1857">
        <v>2.5264862999999997</v>
      </c>
      <c r="BL132" s="1857">
        <v>159.26</v>
      </c>
      <c r="BM132" s="1857">
        <v>19.934928840000001</v>
      </c>
    </row>
    <row r="133" spans="1:65">
      <c r="A133" s="1854" t="s">
        <v>28</v>
      </c>
      <c r="B133" s="1865">
        <v>6618.4849999999997</v>
      </c>
      <c r="C133" s="1865">
        <v>548.024</v>
      </c>
      <c r="D133" s="1865">
        <v>2531.7919999999999</v>
      </c>
      <c r="E133" s="1865">
        <v>2059.6320000000001</v>
      </c>
      <c r="F133" s="1865">
        <v>1192.1679999999999</v>
      </c>
      <c r="G133" s="1850">
        <v>834.89300000000003</v>
      </c>
      <c r="H133" s="1865">
        <v>10605.295</v>
      </c>
      <c r="I133" s="1865">
        <v>1593.7609340535</v>
      </c>
      <c r="J133" s="1857">
        <v>5658.1130000000003</v>
      </c>
      <c r="K133" s="1850">
        <v>1122.95866475</v>
      </c>
      <c r="L133" s="1857">
        <v>22.434000000000001</v>
      </c>
      <c r="M133" s="1857">
        <v>64.238800490900005</v>
      </c>
      <c r="N133" s="1857">
        <v>127.511</v>
      </c>
      <c r="O133" s="1857">
        <v>18.986373</v>
      </c>
      <c r="P133" s="1857">
        <v>1487.952</v>
      </c>
      <c r="Q133" s="1865">
        <v>104.5811356621</v>
      </c>
      <c r="R133" s="1865">
        <v>102.18600000000001</v>
      </c>
      <c r="S133" s="1867">
        <v>2.5935636800000004</v>
      </c>
      <c r="T133" s="1865">
        <v>2311.712</v>
      </c>
      <c r="U133" s="1865">
        <v>182.03190875050001</v>
      </c>
      <c r="V133" s="1865"/>
      <c r="W133" s="1865"/>
      <c r="X133" s="1850">
        <v>997.57299999999998</v>
      </c>
      <c r="Y133" s="1850">
        <v>100.9640514</v>
      </c>
      <c r="Z133" s="1850">
        <v>52.375</v>
      </c>
      <c r="AA133" s="1850">
        <v>17.71942331</v>
      </c>
      <c r="AB133" s="1850">
        <v>945.19799999999998</v>
      </c>
      <c r="AC133" s="1850">
        <v>83.244628090000006</v>
      </c>
      <c r="AD133" s="1857">
        <v>9396.7810000000009</v>
      </c>
      <c r="AE133" s="1857">
        <v>1454.8914102834999</v>
      </c>
      <c r="AF133" s="1857">
        <v>5436.25</v>
      </c>
      <c r="AG133" s="1857">
        <v>1085.6968297599999</v>
      </c>
      <c r="AH133" s="1857">
        <v>1116.8009999999999</v>
      </c>
      <c r="AI133" s="1857">
        <v>139.60006255299999</v>
      </c>
      <c r="AJ133" s="1857">
        <v>81.474000000000004</v>
      </c>
      <c r="AK133" s="1774">
        <v>1.87700519</v>
      </c>
      <c r="AL133" s="1857">
        <v>2027.6949999999999</v>
      </c>
      <c r="AM133" s="1857">
        <v>150.45056568050001</v>
      </c>
      <c r="AN133" s="1857"/>
      <c r="AO133" s="1857"/>
      <c r="AP133" s="1857">
        <v>816.03499999999997</v>
      </c>
      <c r="AQ133" s="1857">
        <v>79.143952290000001</v>
      </c>
      <c r="AR133" s="1857">
        <v>45.216999999999999</v>
      </c>
      <c r="AS133" s="1857">
        <v>15.32287436</v>
      </c>
      <c r="AT133" s="1857">
        <v>770.81799999999998</v>
      </c>
      <c r="AU133" s="1857">
        <v>63.821077930000008</v>
      </c>
      <c r="AV133" s="1857">
        <v>1208.5139999999999</v>
      </c>
      <c r="AW133" s="1857">
        <v>138.86952377</v>
      </c>
      <c r="AX133" s="1857">
        <v>349.37400000000002</v>
      </c>
      <c r="AY133" s="1857">
        <v>56.248207989999997</v>
      </c>
      <c r="AZ133" s="1857">
        <v>393.58499999999998</v>
      </c>
      <c r="BA133" s="1857">
        <v>29.2198736</v>
      </c>
      <c r="BB133" s="1857">
        <v>20.712</v>
      </c>
      <c r="BC133" s="1774">
        <v>0.71655848999999994</v>
      </c>
      <c r="BD133" s="1857">
        <v>284.017</v>
      </c>
      <c r="BE133" s="1857">
        <v>31.581343069999999</v>
      </c>
      <c r="BF133" s="1857"/>
      <c r="BG133" s="1857"/>
      <c r="BH133" s="1857">
        <v>181.53800000000001</v>
      </c>
      <c r="BI133" s="1857">
        <v>21.820099110000001</v>
      </c>
      <c r="BJ133" s="1857">
        <v>7.1580000000000004</v>
      </c>
      <c r="BK133" s="1857">
        <v>2.3965489500000001</v>
      </c>
      <c r="BL133" s="1857">
        <v>174.38</v>
      </c>
      <c r="BM133" s="1857">
        <v>19.423550160000001</v>
      </c>
    </row>
    <row r="134" spans="1:65">
      <c r="A134" s="1854" t="s">
        <v>29</v>
      </c>
      <c r="B134" s="1865">
        <v>6656.9430000000002</v>
      </c>
      <c r="C134" s="1865">
        <v>665.56</v>
      </c>
      <c r="D134" s="1865">
        <v>2522.2919999999999</v>
      </c>
      <c r="E134" s="1865">
        <v>2058.2930000000001</v>
      </c>
      <c r="F134" s="1865">
        <v>1216.6300000000001</v>
      </c>
      <c r="G134" s="1850">
        <v>859.72799999999995</v>
      </c>
      <c r="H134" s="1865">
        <v>11815.462</v>
      </c>
      <c r="I134" s="1865">
        <v>1878.3637492939999</v>
      </c>
      <c r="J134" s="1857">
        <v>6611.1930000000002</v>
      </c>
      <c r="K134" s="1850">
        <v>1370.0117603000001</v>
      </c>
      <c r="L134" s="1857">
        <v>28.396000000000001</v>
      </c>
      <c r="M134" s="1857">
        <v>90.154917097999999</v>
      </c>
      <c r="N134" s="1857">
        <v>122.86199999999999</v>
      </c>
      <c r="O134" s="1857">
        <v>19.626808</v>
      </c>
      <c r="P134" s="1857">
        <v>1696.087</v>
      </c>
      <c r="Q134" s="1865">
        <v>119.30242352720001</v>
      </c>
      <c r="R134" s="1865">
        <v>117.13800000000001</v>
      </c>
      <c r="S134" s="1867">
        <v>3.10917796000001</v>
      </c>
      <c r="T134" s="1865">
        <v>2454.5610000000001</v>
      </c>
      <c r="U134" s="1865">
        <v>188.14816241880001</v>
      </c>
      <c r="V134" s="1865"/>
      <c r="W134" s="1865"/>
      <c r="X134" s="1850">
        <v>902.36300000000006</v>
      </c>
      <c r="Y134" s="1850">
        <v>91.119677949999996</v>
      </c>
      <c r="Z134" s="1850">
        <v>51.11</v>
      </c>
      <c r="AA134" s="1850">
        <v>18.0709847</v>
      </c>
      <c r="AB134" s="1850">
        <v>851.25300000000004</v>
      </c>
      <c r="AC134" s="1850">
        <v>73.048693249999999</v>
      </c>
      <c r="AD134" s="1857">
        <v>10528.546</v>
      </c>
      <c r="AE134" s="1857">
        <v>1725.5043442251999</v>
      </c>
      <c r="AF134" s="1857">
        <v>6355.9030000000002</v>
      </c>
      <c r="AG134" s="1857">
        <v>1327.01236227</v>
      </c>
      <c r="AH134" s="1857">
        <v>1278.646</v>
      </c>
      <c r="AI134" s="1857">
        <v>171.7255425964</v>
      </c>
      <c r="AJ134" s="1857">
        <v>92.573999999999998</v>
      </c>
      <c r="AK134" s="1774">
        <v>2.20844646000001</v>
      </c>
      <c r="AL134" s="1857">
        <v>2152.4580000000001</v>
      </c>
      <c r="AM134" s="1857">
        <v>154.86971126879999</v>
      </c>
      <c r="AN134" s="1857"/>
      <c r="AO134" s="1857"/>
      <c r="AP134" s="1857">
        <v>741.53899999999999</v>
      </c>
      <c r="AQ134" s="1857">
        <v>71.896728089999996</v>
      </c>
      <c r="AR134" s="1857">
        <v>44.439</v>
      </c>
      <c r="AS134" s="1857">
        <v>15.559100599999999</v>
      </c>
      <c r="AT134" s="1857">
        <v>697.1</v>
      </c>
      <c r="AU134" s="1857">
        <v>56.337627489999996</v>
      </c>
      <c r="AV134" s="1857">
        <v>1286.9159999999999</v>
      </c>
      <c r="AW134" s="1857">
        <v>152.85940506879999</v>
      </c>
      <c r="AX134" s="1857">
        <v>378.15199999999999</v>
      </c>
      <c r="AY134" s="1857">
        <v>62.626206029999999</v>
      </c>
      <c r="AZ134" s="1857">
        <v>445.83699999999999</v>
      </c>
      <c r="BA134" s="1857">
        <v>37.7317980288</v>
      </c>
      <c r="BB134" s="1857">
        <v>24.564</v>
      </c>
      <c r="BC134" s="1774">
        <v>0.90073150000000002</v>
      </c>
      <c r="BD134" s="1857">
        <v>302.10300000000001</v>
      </c>
      <c r="BE134" s="1857">
        <v>33.278451150000002</v>
      </c>
      <c r="BF134" s="1857"/>
      <c r="BG134" s="1857"/>
      <c r="BH134" s="1857">
        <v>160.82400000000001</v>
      </c>
      <c r="BI134" s="1857">
        <v>19.22294986</v>
      </c>
      <c r="BJ134" s="1857">
        <v>6.6710000000000003</v>
      </c>
      <c r="BK134" s="1857">
        <v>2.5118841000000001</v>
      </c>
      <c r="BL134" s="1857">
        <v>154.15299999999999</v>
      </c>
      <c r="BM134" s="1857">
        <v>16.71106576</v>
      </c>
    </row>
    <row r="135" spans="1:65">
      <c r="A135" s="1854" t="s">
        <v>2171</v>
      </c>
      <c r="B135" s="1866">
        <v>7544.759</v>
      </c>
      <c r="C135" s="1866">
        <v>1501</v>
      </c>
      <c r="D135" s="1866">
        <v>2383.087</v>
      </c>
      <c r="E135" s="1866">
        <v>2339.1480000000001</v>
      </c>
      <c r="F135" s="1866">
        <v>2025.0509999999999</v>
      </c>
      <c r="G135" s="1866">
        <v>797.47299999999996</v>
      </c>
      <c r="H135" s="1866">
        <f t="shared" ref="H135:U135" si="27">SUM(H136:H147)</f>
        <v>163724.78899999999</v>
      </c>
      <c r="I135" s="1866">
        <f t="shared" si="27"/>
        <v>23808.045415665401</v>
      </c>
      <c r="J135" s="1866">
        <f t="shared" si="27"/>
        <v>76113.963999999993</v>
      </c>
      <c r="K135" s="1866">
        <f t="shared" si="27"/>
        <v>16569.7509087</v>
      </c>
      <c r="L135" s="1866">
        <f t="shared" si="27"/>
        <v>313.92199999999997</v>
      </c>
      <c r="M135" s="1866">
        <f t="shared" si="27"/>
        <v>997.5366671290999</v>
      </c>
      <c r="N135" s="1866">
        <f t="shared" si="27"/>
        <v>419.57499999999999</v>
      </c>
      <c r="O135" s="1866">
        <f t="shared" si="27"/>
        <v>91.812926258499985</v>
      </c>
      <c r="P135" s="1866">
        <f t="shared" si="27"/>
        <v>25404.917999999998</v>
      </c>
      <c r="Q135" s="1866">
        <f t="shared" si="27"/>
        <v>1336.1824225856001</v>
      </c>
      <c r="R135" s="1866">
        <f t="shared" si="27"/>
        <v>4339.5069999999996</v>
      </c>
      <c r="S135" s="1866">
        <f t="shared" si="27"/>
        <v>91.119110309999428</v>
      </c>
      <c r="T135" s="1866">
        <f t="shared" si="27"/>
        <v>45050.972000000002</v>
      </c>
      <c r="U135" s="1866">
        <f t="shared" si="27"/>
        <v>3334.1704274432004</v>
      </c>
      <c r="V135" s="1866"/>
      <c r="W135" s="1866"/>
      <c r="X135" s="1866">
        <f t="shared" ref="X135:AM135" si="28">SUM(X136:X147)</f>
        <v>16421.437999999998</v>
      </c>
      <c r="Y135" s="1866">
        <f t="shared" si="28"/>
        <v>1478.5920635490002</v>
      </c>
      <c r="Z135" s="1866">
        <f t="shared" si="28"/>
        <v>611.61900000000003</v>
      </c>
      <c r="AA135" s="1866">
        <f t="shared" si="28"/>
        <v>206.42245402629996</v>
      </c>
      <c r="AB135" s="1866">
        <f t="shared" si="28"/>
        <v>15809.818999999998</v>
      </c>
      <c r="AC135" s="1866">
        <f t="shared" si="28"/>
        <v>1272.1696095226998</v>
      </c>
      <c r="AD135" s="1866">
        <f t="shared" si="28"/>
        <v>144878.08900000001</v>
      </c>
      <c r="AE135" s="1866">
        <f t="shared" si="28"/>
        <v>22208.109298787895</v>
      </c>
      <c r="AF135" s="1866">
        <f t="shared" si="28"/>
        <v>73007.940999999992</v>
      </c>
      <c r="AG135" s="1866">
        <f t="shared" si="28"/>
        <v>16105.590534958501</v>
      </c>
      <c r="AH135" s="1866">
        <f t="shared" si="28"/>
        <v>18582.659</v>
      </c>
      <c r="AI135" s="1866">
        <f t="shared" si="28"/>
        <v>1927.9710408672001</v>
      </c>
      <c r="AJ135" s="1866">
        <f t="shared" si="28"/>
        <v>3360.7429999999999</v>
      </c>
      <c r="AK135" s="1866">
        <f t="shared" si="28"/>
        <v>64.494714169999398</v>
      </c>
      <c r="AL135" s="1866">
        <f t="shared" si="28"/>
        <v>38990.495999999999</v>
      </c>
      <c r="AM135" s="1866">
        <f t="shared" si="28"/>
        <v>2930.4711481449003</v>
      </c>
      <c r="AN135" s="1866"/>
      <c r="AO135" s="1866"/>
      <c r="AP135" s="1866">
        <f t="shared" ref="AP135:BE135" si="29">SUM(AP136:AP147)</f>
        <v>14296.992999999999</v>
      </c>
      <c r="AQ135" s="1866">
        <f t="shared" si="29"/>
        <v>1244.0765748173003</v>
      </c>
      <c r="AR135" s="1866">
        <f t="shared" si="29"/>
        <v>565.52800000000002</v>
      </c>
      <c r="AS135" s="1866">
        <f t="shared" si="29"/>
        <v>186.72775867110002</v>
      </c>
      <c r="AT135" s="1866">
        <f t="shared" si="29"/>
        <v>13731.465</v>
      </c>
      <c r="AU135" s="1866">
        <f t="shared" si="29"/>
        <v>1057.3488161462001</v>
      </c>
      <c r="AV135" s="1866">
        <f t="shared" si="29"/>
        <v>18846.7</v>
      </c>
      <c r="AW135" s="1866">
        <f t="shared" si="29"/>
        <v>1599.9361168774999</v>
      </c>
      <c r="AX135" s="1866">
        <f t="shared" si="29"/>
        <v>3525.598</v>
      </c>
      <c r="AY135" s="1866">
        <f t="shared" si="29"/>
        <v>555.97329999999999</v>
      </c>
      <c r="AZ135" s="1866">
        <f t="shared" si="29"/>
        <v>7136.1809999999996</v>
      </c>
      <c r="BA135" s="1866">
        <f t="shared" si="29"/>
        <v>405.7480488475</v>
      </c>
      <c r="BB135" s="1866">
        <f t="shared" si="29"/>
        <v>978.76400000000001</v>
      </c>
      <c r="BC135" s="1866">
        <f t="shared" si="29"/>
        <v>26.624396140000002</v>
      </c>
      <c r="BD135" s="1866">
        <f t="shared" si="29"/>
        <v>6060.4759999999997</v>
      </c>
      <c r="BE135" s="1866">
        <f t="shared" si="29"/>
        <v>403.69927929829993</v>
      </c>
      <c r="BF135" s="1866"/>
      <c r="BG135" s="1866"/>
      <c r="BH135" s="1866">
        <f t="shared" ref="BH135:BM135" si="30">SUM(BH136:BH147)</f>
        <v>2124.4450000000002</v>
      </c>
      <c r="BI135" s="1866">
        <f t="shared" si="30"/>
        <v>234.5154887317</v>
      </c>
      <c r="BJ135" s="1866">
        <f t="shared" si="30"/>
        <v>46.091000000000008</v>
      </c>
      <c r="BK135" s="1866">
        <f t="shared" si="30"/>
        <v>19.694695355200004</v>
      </c>
      <c r="BL135" s="1866">
        <f t="shared" si="30"/>
        <v>2078.3540000000003</v>
      </c>
      <c r="BM135" s="1866">
        <f t="shared" si="30"/>
        <v>214.82079337650001</v>
      </c>
    </row>
    <row r="136" spans="1:65">
      <c r="A136" s="1856" t="s">
        <v>18</v>
      </c>
      <c r="B136" s="1869">
        <v>6703.5820000000003</v>
      </c>
      <c r="C136" s="1869">
        <v>694.63199999999995</v>
      </c>
      <c r="D136" s="1869">
        <v>2520.3890000000001</v>
      </c>
      <c r="E136" s="1869">
        <v>2070.3919999999998</v>
      </c>
      <c r="F136" s="1869">
        <v>1240.2239999999999</v>
      </c>
      <c r="G136" s="1869">
        <v>872.577</v>
      </c>
      <c r="H136" s="1869">
        <v>10690.169</v>
      </c>
      <c r="I136" s="1869">
        <v>1472.3373272844999</v>
      </c>
      <c r="J136" s="1858">
        <v>5108.0609999999997</v>
      </c>
      <c r="K136" s="1868">
        <v>992.89431000000002</v>
      </c>
      <c r="L136" s="1858">
        <v>18.992999999999999</v>
      </c>
      <c r="M136" s="1858">
        <v>59.349707112499999</v>
      </c>
      <c r="N136" s="1858">
        <v>24.289000000000001</v>
      </c>
      <c r="O136" s="1858">
        <v>7.0807960000000003</v>
      </c>
      <c r="P136" s="1858">
        <v>1849.011</v>
      </c>
      <c r="Q136" s="1869">
        <v>107.4031759655</v>
      </c>
      <c r="R136" s="1869">
        <v>132.233</v>
      </c>
      <c r="S136" s="1870">
        <v>3.2956303900000101</v>
      </c>
      <c r="T136" s="1869">
        <v>2671.9160000000002</v>
      </c>
      <c r="U136" s="1869">
        <v>196.06330623650001</v>
      </c>
      <c r="V136" s="1869"/>
      <c r="W136" s="1869"/>
      <c r="X136" s="1868">
        <v>1017.899</v>
      </c>
      <c r="Y136" s="1868">
        <v>109.54603197</v>
      </c>
      <c r="Z136" s="1868">
        <v>50.457000000000001</v>
      </c>
      <c r="AA136" s="1868">
        <v>17.669706379999997</v>
      </c>
      <c r="AB136" s="1868">
        <v>967.44200000000001</v>
      </c>
      <c r="AC136" s="1868">
        <v>91.876325590000008</v>
      </c>
      <c r="AD136" s="1858">
        <v>9296.7870000000003</v>
      </c>
      <c r="AE136" s="1858">
        <v>1332.2559498764999</v>
      </c>
      <c r="AF136" s="1858">
        <v>4745.7110000000002</v>
      </c>
      <c r="AG136" s="1858">
        <v>944.85860300000002</v>
      </c>
      <c r="AH136" s="1858">
        <v>1349.7370000000001</v>
      </c>
      <c r="AI136" s="1858">
        <v>137.46097277000001</v>
      </c>
      <c r="AJ136" s="1858">
        <v>102.56699999999999</v>
      </c>
      <c r="AK136" s="1773">
        <v>2.2848060800000098</v>
      </c>
      <c r="AL136" s="1858">
        <v>2358.0439999999999</v>
      </c>
      <c r="AM136" s="1858">
        <v>163.9499233265</v>
      </c>
      <c r="AN136" s="1858"/>
      <c r="AO136" s="1858"/>
      <c r="AP136" s="1858">
        <v>843.29499999999996</v>
      </c>
      <c r="AQ136" s="1858">
        <v>85.986450779999998</v>
      </c>
      <c r="AR136" s="1858">
        <v>44.386000000000003</v>
      </c>
      <c r="AS136" s="1858">
        <v>15.527965400000001</v>
      </c>
      <c r="AT136" s="1858">
        <v>798.90899999999999</v>
      </c>
      <c r="AU136" s="1858">
        <v>70.458485379999999</v>
      </c>
      <c r="AV136" s="1858">
        <v>1393.3820000000001</v>
      </c>
      <c r="AW136" s="1858">
        <v>140.08137740800001</v>
      </c>
      <c r="AX136" s="1858">
        <v>386.63900000000001</v>
      </c>
      <c r="AY136" s="1858">
        <v>55.116503000000002</v>
      </c>
      <c r="AZ136" s="1858">
        <v>518.26700000000005</v>
      </c>
      <c r="BA136" s="1858">
        <v>29.291910307999999</v>
      </c>
      <c r="BB136" s="1858">
        <v>29.666</v>
      </c>
      <c r="BC136" s="1858">
        <v>1.0108243100000001</v>
      </c>
      <c r="BD136" s="1858">
        <v>313.87200000000001</v>
      </c>
      <c r="BE136" s="1858">
        <v>32.113382909999999</v>
      </c>
      <c r="BF136" s="1858"/>
      <c r="BG136" s="1858"/>
      <c r="BH136" s="1858">
        <v>174.60400000000001</v>
      </c>
      <c r="BI136" s="1858">
        <v>23.559581189999999</v>
      </c>
      <c r="BJ136" s="1858">
        <v>6.0709999999999997</v>
      </c>
      <c r="BK136" s="1858">
        <v>2.1417409799999998</v>
      </c>
      <c r="BL136" s="1858">
        <v>168.53299999999999</v>
      </c>
      <c r="BM136" s="1858">
        <v>21.417840210000001</v>
      </c>
    </row>
    <row r="137" spans="1:65">
      <c r="A137" s="1856" t="s">
        <v>19</v>
      </c>
      <c r="B137" s="1869">
        <v>6788.1750000000002</v>
      </c>
      <c r="C137" s="1869">
        <v>726.39499999999998</v>
      </c>
      <c r="D137" s="1869">
        <v>2535.3290000000002</v>
      </c>
      <c r="E137" s="1869">
        <v>2102.4549999999999</v>
      </c>
      <c r="F137" s="1869">
        <v>1371.412</v>
      </c>
      <c r="G137" s="1869">
        <v>778.97900000000004</v>
      </c>
      <c r="H137" s="1869">
        <v>10886.927</v>
      </c>
      <c r="I137" s="1869">
        <v>1578.455758864</v>
      </c>
      <c r="J137" s="1858">
        <v>5601.7389999999996</v>
      </c>
      <c r="K137" s="1868">
        <v>1125.6259500000001</v>
      </c>
      <c r="L137" s="1858">
        <v>20.469000000000001</v>
      </c>
      <c r="M137" s="1858">
        <v>61.6913625615</v>
      </c>
      <c r="N137" s="1858">
        <v>26.152000000000001</v>
      </c>
      <c r="O137" s="1858">
        <v>5.9758319999999996</v>
      </c>
      <c r="P137" s="1858">
        <v>1421.433</v>
      </c>
      <c r="Q137" s="1869">
        <v>92.711489732000004</v>
      </c>
      <c r="R137" s="1869">
        <v>149.81399999999999</v>
      </c>
      <c r="S137" s="1870">
        <v>3.2965473600000101</v>
      </c>
      <c r="T137" s="1869">
        <v>2885.953</v>
      </c>
      <c r="U137" s="1869">
        <v>205.18893197049999</v>
      </c>
      <c r="V137" s="1869"/>
      <c r="W137" s="1869"/>
      <c r="X137" s="1868">
        <v>931.18100000000004</v>
      </c>
      <c r="Y137" s="1868">
        <v>87.262192600000006</v>
      </c>
      <c r="Z137" s="1868">
        <v>41.796999999999997</v>
      </c>
      <c r="AA137" s="1868">
        <v>15.07977736</v>
      </c>
      <c r="AB137" s="1868">
        <v>889.38400000000001</v>
      </c>
      <c r="AC137" s="1868">
        <v>72.182415239999997</v>
      </c>
      <c r="AD137" s="1858">
        <v>9825.0660000000007</v>
      </c>
      <c r="AE137" s="1858">
        <v>1474.5356902715</v>
      </c>
      <c r="AF137" s="1858">
        <v>5330.47</v>
      </c>
      <c r="AG137" s="1858">
        <v>1089.760053</v>
      </c>
      <c r="AH137" s="1858">
        <v>1102.8620000000001</v>
      </c>
      <c r="AI137" s="1858">
        <v>134.45753155349999</v>
      </c>
      <c r="AJ137" s="1858">
        <v>122.751</v>
      </c>
      <c r="AK137" s="1773">
        <v>2.41527874000001</v>
      </c>
      <c r="AL137" s="1858">
        <v>2568.9340000000002</v>
      </c>
      <c r="AM137" s="1858">
        <v>176.49731596800001</v>
      </c>
      <c r="AN137" s="1858"/>
      <c r="AO137" s="1858"/>
      <c r="AP137" s="1858">
        <v>822.8</v>
      </c>
      <c r="AQ137" s="1858">
        <v>73.820789750000003</v>
      </c>
      <c r="AR137" s="1858">
        <v>39.07</v>
      </c>
      <c r="AS137" s="1858">
        <v>13.930473340000001</v>
      </c>
      <c r="AT137" s="1858">
        <v>783.73</v>
      </c>
      <c r="AU137" s="1858">
        <v>59.890316409999997</v>
      </c>
      <c r="AV137" s="1858">
        <v>1061.8610000000001</v>
      </c>
      <c r="AW137" s="1858">
        <v>103.9200685925</v>
      </c>
      <c r="AX137" s="1858">
        <v>297.42099999999999</v>
      </c>
      <c r="AY137" s="1858">
        <v>41.841729000000001</v>
      </c>
      <c r="AZ137" s="1858">
        <v>339.04</v>
      </c>
      <c r="BA137" s="1858">
        <v>19.94532074</v>
      </c>
      <c r="BB137" s="1858">
        <v>27.062999999999999</v>
      </c>
      <c r="BC137" s="1858">
        <v>0.88126861999999995</v>
      </c>
      <c r="BD137" s="1858">
        <v>317.01900000000001</v>
      </c>
      <c r="BE137" s="1858">
        <v>28.691616002500002</v>
      </c>
      <c r="BF137" s="1858"/>
      <c r="BG137" s="1858"/>
      <c r="BH137" s="1858">
        <v>108.381</v>
      </c>
      <c r="BI137" s="1858">
        <v>13.441402849999999</v>
      </c>
      <c r="BJ137" s="1858">
        <v>2.7269999999999999</v>
      </c>
      <c r="BK137" s="1858">
        <v>1.14930402</v>
      </c>
      <c r="BL137" s="1858">
        <v>105.654</v>
      </c>
      <c r="BM137" s="1858">
        <v>12.29209883</v>
      </c>
    </row>
    <row r="138" spans="1:65">
      <c r="A138" s="1856" t="s">
        <v>20</v>
      </c>
      <c r="B138" s="1869">
        <v>6791.6350000000002</v>
      </c>
      <c r="C138" s="1869">
        <v>770.55899999999997</v>
      </c>
      <c r="D138" s="1869">
        <v>2535.576</v>
      </c>
      <c r="E138" s="1869">
        <v>2094.567</v>
      </c>
      <c r="F138" s="1869">
        <v>1375.615</v>
      </c>
      <c r="G138" s="1869">
        <v>785.87699999999995</v>
      </c>
      <c r="H138" s="1869">
        <v>12511.672</v>
      </c>
      <c r="I138" s="1869">
        <v>1815.3165284638001</v>
      </c>
      <c r="J138" s="1858">
        <v>6437.7809999999999</v>
      </c>
      <c r="K138" s="1868">
        <v>1304.374276</v>
      </c>
      <c r="L138" s="1858">
        <v>24.126000000000001</v>
      </c>
      <c r="M138" s="1858">
        <v>62.170356657799999</v>
      </c>
      <c r="N138" s="1858">
        <v>27.29</v>
      </c>
      <c r="O138" s="1858">
        <v>6.8375310000000002</v>
      </c>
      <c r="P138" s="1858">
        <v>1744.18</v>
      </c>
      <c r="Q138" s="1869">
        <v>112.55270235099999</v>
      </c>
      <c r="R138" s="1869">
        <v>186.11199999999999</v>
      </c>
      <c r="S138" s="1870">
        <v>4.2675884800000201</v>
      </c>
      <c r="T138" s="1869">
        <v>3167.355</v>
      </c>
      <c r="U138" s="1869">
        <v>216.99163655300001</v>
      </c>
      <c r="V138" s="1869"/>
      <c r="W138" s="1869"/>
      <c r="X138" s="1868">
        <v>1110.94</v>
      </c>
      <c r="Y138" s="1868">
        <v>112.390025902</v>
      </c>
      <c r="Z138" s="1868">
        <v>50.433</v>
      </c>
      <c r="AA138" s="1868">
        <v>17.355173342999997</v>
      </c>
      <c r="AB138" s="1868">
        <v>1060.5070000000001</v>
      </c>
      <c r="AC138" s="1868">
        <v>95.034852559000001</v>
      </c>
      <c r="AD138" s="1858">
        <v>11295.674999999999</v>
      </c>
      <c r="AE138" s="1858">
        <v>1694.0425075098001</v>
      </c>
      <c r="AF138" s="1858">
        <v>6138.8980000000001</v>
      </c>
      <c r="AG138" s="1858">
        <v>1264.120985</v>
      </c>
      <c r="AH138" s="1858">
        <v>1367.883</v>
      </c>
      <c r="AI138" s="1858">
        <v>148.58908603879999</v>
      </c>
      <c r="AJ138" s="1858">
        <v>151.61500000000001</v>
      </c>
      <c r="AK138" s="1773">
        <v>3.1941963000000198</v>
      </c>
      <c r="AL138" s="1858">
        <v>2808.4879999999998</v>
      </c>
      <c r="AM138" s="1858">
        <v>186.19946858899999</v>
      </c>
      <c r="AN138" s="1858"/>
      <c r="AO138" s="1858"/>
      <c r="AP138" s="1858">
        <v>980.40599999999995</v>
      </c>
      <c r="AQ138" s="1858">
        <v>95.132967882000003</v>
      </c>
      <c r="AR138" s="1858">
        <v>47.02</v>
      </c>
      <c r="AS138" s="1858">
        <v>15.886975653</v>
      </c>
      <c r="AT138" s="1858">
        <v>933.38599999999997</v>
      </c>
      <c r="AU138" s="1858">
        <v>79.245992228999995</v>
      </c>
      <c r="AV138" s="1858">
        <v>1215.9970000000001</v>
      </c>
      <c r="AW138" s="1858">
        <v>121.27402095399999</v>
      </c>
      <c r="AX138" s="1858">
        <v>326.173</v>
      </c>
      <c r="AY138" s="1858">
        <v>47.090822000000003</v>
      </c>
      <c r="AZ138" s="1858">
        <v>400.423</v>
      </c>
      <c r="BA138" s="1858">
        <v>26.133972969999999</v>
      </c>
      <c r="BB138" s="1858">
        <v>34.497</v>
      </c>
      <c r="BC138" s="1858">
        <v>1.0733921799999999</v>
      </c>
      <c r="BD138" s="1858">
        <v>358.86700000000002</v>
      </c>
      <c r="BE138" s="1858">
        <v>30.792167964000001</v>
      </c>
      <c r="BF138" s="1858"/>
      <c r="BG138" s="1858"/>
      <c r="BH138" s="1858">
        <v>130.53399999999999</v>
      </c>
      <c r="BI138" s="1858">
        <v>17.257058019999999</v>
      </c>
      <c r="BJ138" s="1858">
        <v>3.4129999999999998</v>
      </c>
      <c r="BK138" s="1858">
        <v>1.46819769</v>
      </c>
      <c r="BL138" s="1858">
        <v>127.121</v>
      </c>
      <c r="BM138" s="1858">
        <v>15.78886033</v>
      </c>
    </row>
    <row r="139" spans="1:65">
      <c r="A139" s="1856" t="s">
        <v>21</v>
      </c>
      <c r="B139" s="1869">
        <v>6940.9040000000005</v>
      </c>
      <c r="C139" s="1869">
        <v>876.43700000000001</v>
      </c>
      <c r="D139" s="1869">
        <v>2522.8829999999998</v>
      </c>
      <c r="E139" s="1869">
        <v>2111.2779999999998</v>
      </c>
      <c r="F139" s="1869">
        <v>1511.9159999999999</v>
      </c>
      <c r="G139" s="1869">
        <v>794.827</v>
      </c>
      <c r="H139" s="1869">
        <v>12606.822</v>
      </c>
      <c r="I139" s="1869">
        <v>1809.7966643709999</v>
      </c>
      <c r="J139" s="1858">
        <v>6067.4049999999997</v>
      </c>
      <c r="K139" s="1868">
        <v>1260.4296056999999</v>
      </c>
      <c r="L139" s="1858">
        <v>25.347000000000001</v>
      </c>
      <c r="M139" s="1858">
        <v>77.002975667000001</v>
      </c>
      <c r="N139" s="1858">
        <v>28.675999999999998</v>
      </c>
      <c r="O139" s="1858">
        <v>6.6531442209999998</v>
      </c>
      <c r="P139" s="1858">
        <v>1805.9079999999999</v>
      </c>
      <c r="Q139" s="1869">
        <v>106.052677299</v>
      </c>
      <c r="R139" s="1869">
        <v>229.21299999999999</v>
      </c>
      <c r="S139" s="1870">
        <v>4.6447979900000194</v>
      </c>
      <c r="T139" s="1869">
        <v>3474.0859999999998</v>
      </c>
      <c r="U139" s="1869">
        <v>254.07375280700001</v>
      </c>
      <c r="V139" s="1869"/>
      <c r="W139" s="1869"/>
      <c r="X139" s="1868">
        <v>1205.4000000000001</v>
      </c>
      <c r="Y139" s="1868">
        <v>105.584508677</v>
      </c>
      <c r="Z139" s="1868">
        <v>50.689</v>
      </c>
      <c r="AA139" s="1868">
        <v>17.231980935999999</v>
      </c>
      <c r="AB139" s="1868">
        <v>1154.711</v>
      </c>
      <c r="AC139" s="1868">
        <v>88.352527741000003</v>
      </c>
      <c r="AD139" s="1858">
        <v>11242.656999999999</v>
      </c>
      <c r="AE139" s="1858">
        <v>1677.2560989179999</v>
      </c>
      <c r="AF139" s="1858">
        <v>5714.0410000000002</v>
      </c>
      <c r="AG139" s="1858">
        <v>1213.054066921</v>
      </c>
      <c r="AH139" s="1858">
        <v>1400.6859999999999</v>
      </c>
      <c r="AI139" s="1858">
        <v>158.079754253</v>
      </c>
      <c r="AJ139" s="1858">
        <v>185.04</v>
      </c>
      <c r="AK139" s="1773">
        <v>3.4221168000000199</v>
      </c>
      <c r="AL139" s="1858">
        <v>3060.2809999999999</v>
      </c>
      <c r="AM139" s="1858">
        <v>215.33323413700001</v>
      </c>
      <c r="AN139" s="1858"/>
      <c r="AO139" s="1858"/>
      <c r="AP139" s="1858">
        <v>1067.6489999999999</v>
      </c>
      <c r="AQ139" s="1858">
        <v>90.789043606999996</v>
      </c>
      <c r="AR139" s="1858">
        <v>47.369</v>
      </c>
      <c r="AS139" s="1858">
        <v>15.785176536</v>
      </c>
      <c r="AT139" s="1858">
        <v>1020.28</v>
      </c>
      <c r="AU139" s="1858">
        <v>75.003867071000016</v>
      </c>
      <c r="AV139" s="1858">
        <v>1364.165</v>
      </c>
      <c r="AW139" s="1858">
        <v>132.540565453</v>
      </c>
      <c r="AX139" s="1858">
        <v>382.04</v>
      </c>
      <c r="AY139" s="1858">
        <v>54.028683000000001</v>
      </c>
      <c r="AZ139" s="1858">
        <v>430.56900000000002</v>
      </c>
      <c r="BA139" s="1858">
        <v>24.975898712999999</v>
      </c>
      <c r="BB139" s="1858">
        <v>44.173000000000002</v>
      </c>
      <c r="BC139" s="1858">
        <v>1.2226811899999999</v>
      </c>
      <c r="BD139" s="1858">
        <v>413.80500000000001</v>
      </c>
      <c r="BE139" s="1858">
        <v>38.74051867</v>
      </c>
      <c r="BF139" s="1858"/>
      <c r="BG139" s="1858"/>
      <c r="BH139" s="1858">
        <v>137.751</v>
      </c>
      <c r="BI139" s="1858">
        <v>14.795465070000001</v>
      </c>
      <c r="BJ139" s="1858">
        <v>3.32</v>
      </c>
      <c r="BK139" s="1858">
        <v>1.4468044</v>
      </c>
      <c r="BL139" s="1858">
        <v>134.43100000000001</v>
      </c>
      <c r="BM139" s="1858">
        <v>13.348660669999999</v>
      </c>
    </row>
    <row r="140" spans="1:65">
      <c r="A140" s="1856" t="s">
        <v>22</v>
      </c>
      <c r="B140" s="1869">
        <v>7192.7560000000003</v>
      </c>
      <c r="C140" s="1869">
        <v>952.19100000000003</v>
      </c>
      <c r="D140" s="1869">
        <v>2587.2919999999999</v>
      </c>
      <c r="E140" s="1869">
        <v>2126.9949999999999</v>
      </c>
      <c r="F140" s="1869">
        <v>1671.981</v>
      </c>
      <c r="G140" s="1869">
        <v>806.48800000000006</v>
      </c>
      <c r="H140" s="1869">
        <v>12696.094999999999</v>
      </c>
      <c r="I140" s="1869">
        <v>2051.6024144908001</v>
      </c>
      <c r="J140" s="1858">
        <v>5988.5150000000003</v>
      </c>
      <c r="K140" s="1868">
        <v>1448.3335179999999</v>
      </c>
      <c r="L140" s="1858">
        <v>46.624000000000002</v>
      </c>
      <c r="M140" s="1858">
        <v>106.88166409599999</v>
      </c>
      <c r="N140" s="1858">
        <v>30.881</v>
      </c>
      <c r="O140" s="1858">
        <v>6.8318909999999997</v>
      </c>
      <c r="P140" s="1858">
        <v>1903.5060000000001</v>
      </c>
      <c r="Q140" s="1869">
        <v>100.209486091</v>
      </c>
      <c r="R140" s="1869">
        <v>264.48</v>
      </c>
      <c r="S140" s="1870">
        <v>5.4136393700000198</v>
      </c>
      <c r="T140" s="1869">
        <v>3515.3310000000001</v>
      </c>
      <c r="U140" s="1869">
        <v>280.0725182292</v>
      </c>
      <c r="V140" s="1869"/>
      <c r="W140" s="1869"/>
      <c r="X140" s="1868">
        <v>1211.2380000000001</v>
      </c>
      <c r="Y140" s="1868">
        <v>109.27333707459999</v>
      </c>
      <c r="Z140" s="1868">
        <v>50.366999999999997</v>
      </c>
      <c r="AA140" s="1868">
        <v>16.2463777908</v>
      </c>
      <c r="AB140" s="1868">
        <v>1160.8710000000001</v>
      </c>
      <c r="AC140" s="1868">
        <v>93.026959283800011</v>
      </c>
      <c r="AD140" s="1858">
        <v>11311.055</v>
      </c>
      <c r="AE140" s="1858">
        <v>1912.4361348448001</v>
      </c>
      <c r="AF140" s="1858">
        <v>5690.8530000000001</v>
      </c>
      <c r="AG140" s="1858">
        <v>1396.194524</v>
      </c>
      <c r="AH140" s="1858">
        <v>1473.682</v>
      </c>
      <c r="AI140" s="1858">
        <v>178.2523053054</v>
      </c>
      <c r="AJ140" s="1858">
        <v>212.78299999999999</v>
      </c>
      <c r="AK140" s="1773">
        <v>3.9860707800000199</v>
      </c>
      <c r="AL140" s="1858">
        <v>3079.0509999999999</v>
      </c>
      <c r="AM140" s="1858">
        <v>244.4707936092</v>
      </c>
      <c r="AN140" s="1858"/>
      <c r="AO140" s="1858"/>
      <c r="AP140" s="1858">
        <v>1067.4690000000001</v>
      </c>
      <c r="AQ140" s="1858">
        <v>93.518511930200006</v>
      </c>
      <c r="AR140" s="1858">
        <v>47.064999999999998</v>
      </c>
      <c r="AS140" s="1858">
        <v>14.7697798456</v>
      </c>
      <c r="AT140" s="1858">
        <v>1020.404</v>
      </c>
      <c r="AU140" s="1858">
        <v>78.748732084600007</v>
      </c>
      <c r="AV140" s="1858">
        <v>1385.04</v>
      </c>
      <c r="AW140" s="1858">
        <v>139.16627964599999</v>
      </c>
      <c r="AX140" s="1858">
        <v>328.54300000000001</v>
      </c>
      <c r="AY140" s="1858">
        <v>58.970885000000003</v>
      </c>
      <c r="AZ140" s="1858">
        <v>476.44799999999998</v>
      </c>
      <c r="BA140" s="1858">
        <v>28.8388448816</v>
      </c>
      <c r="BB140" s="1858">
        <v>51.697000000000003</v>
      </c>
      <c r="BC140" s="1858">
        <v>1.4275685900000001</v>
      </c>
      <c r="BD140" s="1858">
        <v>436.28</v>
      </c>
      <c r="BE140" s="1858">
        <v>35.601724619999999</v>
      </c>
      <c r="BF140" s="1858"/>
      <c r="BG140" s="1858"/>
      <c r="BH140" s="1858">
        <v>143.76900000000001</v>
      </c>
      <c r="BI140" s="1858">
        <v>15.7548251444</v>
      </c>
      <c r="BJ140" s="1858">
        <v>3.302</v>
      </c>
      <c r="BK140" s="1858">
        <v>1.4765979452</v>
      </c>
      <c r="BL140" s="1858">
        <v>140.46700000000001</v>
      </c>
      <c r="BM140" s="1858">
        <v>14.2782271992</v>
      </c>
    </row>
    <row r="141" spans="1:65">
      <c r="A141" s="1856" t="s">
        <v>23</v>
      </c>
      <c r="B141" s="1869">
        <v>7240.1090000000004</v>
      </c>
      <c r="C141" s="1869">
        <v>998.36800000000005</v>
      </c>
      <c r="D141" s="1869">
        <v>2604.3380000000002</v>
      </c>
      <c r="E141" s="1869">
        <v>2160.221</v>
      </c>
      <c r="F141" s="1869">
        <v>1678.077</v>
      </c>
      <c r="G141" s="1869">
        <v>797.47299999999996</v>
      </c>
      <c r="H141" s="1869">
        <v>12281.236000000001</v>
      </c>
      <c r="I141" s="1869">
        <v>1735.7722432262001</v>
      </c>
      <c r="J141" s="1858">
        <v>5632.0540000000001</v>
      </c>
      <c r="K141" s="1868">
        <v>1200.969877</v>
      </c>
      <c r="L141" s="1858">
        <v>23.475999999999999</v>
      </c>
      <c r="M141" s="1858">
        <v>67.498395744000007</v>
      </c>
      <c r="N141" s="1858">
        <v>30.914000000000001</v>
      </c>
      <c r="O141" s="1858">
        <v>6.9402670000000004</v>
      </c>
      <c r="P141" s="1858">
        <v>1955.068</v>
      </c>
      <c r="Q141" s="1869">
        <v>95.508226630199999</v>
      </c>
      <c r="R141" s="1869">
        <v>285.577</v>
      </c>
      <c r="S141" s="1870">
        <v>5.7881257199999903</v>
      </c>
      <c r="T141" s="1869">
        <v>3525.0610000000001</v>
      </c>
      <c r="U141" s="1869">
        <v>261.0923162396</v>
      </c>
      <c r="V141" s="1869"/>
      <c r="W141" s="1869"/>
      <c r="X141" s="1868">
        <v>1114.663</v>
      </c>
      <c r="Y141" s="1868">
        <v>103.7631606124</v>
      </c>
      <c r="Z141" s="1868">
        <v>45.033999999999999</v>
      </c>
      <c r="AA141" s="1868">
        <v>15.174670743</v>
      </c>
      <c r="AB141" s="1868">
        <v>1069.6289999999999</v>
      </c>
      <c r="AC141" s="1868">
        <v>88.588489869399993</v>
      </c>
      <c r="AD141" s="1858">
        <v>10946.143</v>
      </c>
      <c r="AE141" s="1858">
        <v>1624.8407044588</v>
      </c>
      <c r="AF141" s="1858">
        <v>5437.9759999999997</v>
      </c>
      <c r="AG141" s="1858">
        <v>1172.0919180000001</v>
      </c>
      <c r="AH141" s="1858">
        <v>1460.1510000000001</v>
      </c>
      <c r="AI141" s="1858">
        <v>136.4574020984</v>
      </c>
      <c r="AJ141" s="1858">
        <v>231.39099999999999</v>
      </c>
      <c r="AK141" s="1773">
        <v>4.4166052899999899</v>
      </c>
      <c r="AL141" s="1858">
        <v>3066.4960000000001</v>
      </c>
      <c r="AM141" s="1858">
        <v>227.05517595960001</v>
      </c>
      <c r="AN141" s="1858"/>
      <c r="AO141" s="1858"/>
      <c r="AP141" s="1858">
        <v>981.52</v>
      </c>
      <c r="AQ141" s="1858">
        <v>89.236208400799995</v>
      </c>
      <c r="AR141" s="1858">
        <v>41.957000000000001</v>
      </c>
      <c r="AS141" s="1858">
        <v>13.912831933</v>
      </c>
      <c r="AT141" s="1858">
        <v>939.56299999999999</v>
      </c>
      <c r="AU141" s="1858">
        <v>75.323376467800003</v>
      </c>
      <c r="AV141" s="1858">
        <v>1335.0930000000001</v>
      </c>
      <c r="AW141" s="1858">
        <v>110.9315387674</v>
      </c>
      <c r="AX141" s="1858">
        <v>224.99199999999999</v>
      </c>
      <c r="AY141" s="1858">
        <v>35.818226000000003</v>
      </c>
      <c r="AZ141" s="1858">
        <v>518.39300000000003</v>
      </c>
      <c r="BA141" s="1858">
        <v>26.5492202758</v>
      </c>
      <c r="BB141" s="1858">
        <v>54.186</v>
      </c>
      <c r="BC141" s="1858">
        <v>1.3715204299999999</v>
      </c>
      <c r="BD141" s="1858">
        <v>458.565</v>
      </c>
      <c r="BE141" s="1858">
        <v>34.037140280000003</v>
      </c>
      <c r="BF141" s="1858"/>
      <c r="BG141" s="1858"/>
      <c r="BH141" s="1858">
        <v>133.143</v>
      </c>
      <c r="BI141" s="1858">
        <v>14.526952211599999</v>
      </c>
      <c r="BJ141" s="1858">
        <v>3.077</v>
      </c>
      <c r="BK141" s="1858">
        <v>1.26183881</v>
      </c>
      <c r="BL141" s="1858">
        <v>130.066</v>
      </c>
      <c r="BM141" s="1858">
        <v>13.265113401599999</v>
      </c>
    </row>
    <row r="142" spans="1:65">
      <c r="A142" s="1856" t="s">
        <v>24</v>
      </c>
      <c r="B142" s="1869">
        <v>7380.8069999999998</v>
      </c>
      <c r="C142" s="1869">
        <v>1061.298</v>
      </c>
      <c r="D142" s="1869">
        <v>2654.297</v>
      </c>
      <c r="E142" s="1869">
        <v>2168.2539999999999</v>
      </c>
      <c r="F142" s="1869">
        <v>1779.162</v>
      </c>
      <c r="G142" s="1869">
        <v>779.09400000000005</v>
      </c>
      <c r="H142" s="1869">
        <v>14987.907999999999</v>
      </c>
      <c r="I142" s="1869">
        <v>2248.3004251868001</v>
      </c>
      <c r="J142" s="1858">
        <v>6969.7380000000003</v>
      </c>
      <c r="K142" s="1868">
        <v>1573.449081</v>
      </c>
      <c r="L142" s="1858">
        <v>23.437999999999999</v>
      </c>
      <c r="M142" s="1858">
        <v>84.064894342800002</v>
      </c>
      <c r="N142" s="1858">
        <v>35.688000000000002</v>
      </c>
      <c r="O142" s="1858">
        <v>8.6610742639999998</v>
      </c>
      <c r="P142" s="1858">
        <v>2348.5459999999998</v>
      </c>
      <c r="Q142" s="1869">
        <v>114.18800046360001</v>
      </c>
      <c r="R142" s="1869">
        <v>381.94400000000002</v>
      </c>
      <c r="S142" s="1870">
        <v>7.8924315599999204</v>
      </c>
      <c r="T142" s="1869">
        <v>4201.5619999999999</v>
      </c>
      <c r="U142" s="1869">
        <v>317.51369640079997</v>
      </c>
      <c r="V142" s="1869"/>
      <c r="W142" s="1869"/>
      <c r="X142" s="1868">
        <v>1408.9359999999999</v>
      </c>
      <c r="Y142" s="1868">
        <v>150.4236787156</v>
      </c>
      <c r="Z142" s="1868">
        <v>51.505000000000003</v>
      </c>
      <c r="AA142" s="1868">
        <v>18.155897497999998</v>
      </c>
      <c r="AB142" s="1868">
        <v>1357.431</v>
      </c>
      <c r="AC142" s="1868">
        <v>132.26778121759997</v>
      </c>
      <c r="AD142" s="1858">
        <v>13512.866</v>
      </c>
      <c r="AE142" s="1858">
        <v>2130.7303815044002</v>
      </c>
      <c r="AF142" s="1858">
        <v>6785.2439999999997</v>
      </c>
      <c r="AG142" s="1858">
        <v>1544.9286592640001</v>
      </c>
      <c r="AH142" s="1858">
        <v>1799.4570000000001</v>
      </c>
      <c r="AI142" s="1858">
        <v>170.48799901960001</v>
      </c>
      <c r="AJ142" s="1858">
        <v>313.846</v>
      </c>
      <c r="AK142" s="1773">
        <v>6.1231154399999204</v>
      </c>
      <c r="AL142" s="1858">
        <v>3687.1350000000002</v>
      </c>
      <c r="AM142" s="1858">
        <v>285.13124023080002</v>
      </c>
      <c r="AN142" s="1858"/>
      <c r="AO142" s="1858"/>
      <c r="AP142" s="1858">
        <v>1241.03</v>
      </c>
      <c r="AQ142" s="1858">
        <v>130.18248299000001</v>
      </c>
      <c r="AR142" s="1858">
        <v>47.58</v>
      </c>
      <c r="AS142" s="1858">
        <v>16.475771427999998</v>
      </c>
      <c r="AT142" s="1858">
        <v>1193.45</v>
      </c>
      <c r="AU142" s="1858">
        <v>113.70671156200001</v>
      </c>
      <c r="AV142" s="1858">
        <v>1475.0419999999999</v>
      </c>
      <c r="AW142" s="1858">
        <v>117.5700436824</v>
      </c>
      <c r="AX142" s="1858">
        <v>220.18199999999999</v>
      </c>
      <c r="AY142" s="1858">
        <v>37.181496000000003</v>
      </c>
      <c r="AZ142" s="1858">
        <v>572.52700000000004</v>
      </c>
      <c r="BA142" s="1858">
        <v>27.7648957868</v>
      </c>
      <c r="BB142" s="1858">
        <v>68.097999999999999</v>
      </c>
      <c r="BC142" s="1858">
        <v>1.76931612</v>
      </c>
      <c r="BD142" s="1858">
        <v>514.42700000000002</v>
      </c>
      <c r="BE142" s="1858">
        <v>32.382456169999998</v>
      </c>
      <c r="BF142" s="1858"/>
      <c r="BG142" s="1858"/>
      <c r="BH142" s="1858">
        <v>167.90600000000001</v>
      </c>
      <c r="BI142" s="1858">
        <v>20.241195725600001</v>
      </c>
      <c r="BJ142" s="1858">
        <v>3.9249999999999998</v>
      </c>
      <c r="BK142" s="1858">
        <v>1.68012607</v>
      </c>
      <c r="BL142" s="1858">
        <v>163.98099999999999</v>
      </c>
      <c r="BM142" s="1858">
        <v>18.561069655600001</v>
      </c>
    </row>
    <row r="143" spans="1:65">
      <c r="A143" s="1854" t="s">
        <v>25</v>
      </c>
      <c r="B143" s="1865">
        <v>7460.3379999999997</v>
      </c>
      <c r="C143" s="1865">
        <v>1112.83</v>
      </c>
      <c r="D143" s="1865">
        <v>2692.9780000000001</v>
      </c>
      <c r="E143" s="1865">
        <v>2192.085</v>
      </c>
      <c r="F143" s="1865">
        <v>1804.575</v>
      </c>
      <c r="G143" s="1850">
        <v>770.7</v>
      </c>
      <c r="H143" s="1865">
        <v>13803.279</v>
      </c>
      <c r="I143" s="1865">
        <v>1950.3090841032999</v>
      </c>
      <c r="J143" s="1857">
        <v>6125.6610000000001</v>
      </c>
      <c r="K143" s="1850">
        <v>1302.5356859999999</v>
      </c>
      <c r="L143" s="1857">
        <v>23.817</v>
      </c>
      <c r="M143" s="1857">
        <v>79.006471591899995</v>
      </c>
      <c r="N143" s="1857">
        <v>36.69</v>
      </c>
      <c r="O143" s="1857">
        <v>8.3929128535000004</v>
      </c>
      <c r="P143" s="1857">
        <v>2137.6860000000001</v>
      </c>
      <c r="Q143" s="1865">
        <v>105.8260355733</v>
      </c>
      <c r="R143" s="1865">
        <v>386.18700000000001</v>
      </c>
      <c r="S143" s="1867">
        <v>7.7579009699999402</v>
      </c>
      <c r="T143" s="1865">
        <v>3988.01</v>
      </c>
      <c r="U143" s="1865">
        <v>289.85250730979999</v>
      </c>
      <c r="V143" s="1865"/>
      <c r="W143" s="1865"/>
      <c r="X143" s="1850">
        <v>1491.415</v>
      </c>
      <c r="Y143" s="1850">
        <v>164.69547077479999</v>
      </c>
      <c r="Z143" s="1850">
        <v>50.820999999999998</v>
      </c>
      <c r="AA143" s="1850">
        <v>17.9210530531</v>
      </c>
      <c r="AB143" s="1850">
        <v>1440.5940000000001</v>
      </c>
      <c r="AC143" s="1850">
        <v>146.77441772170002</v>
      </c>
      <c r="AD143" s="1857">
        <v>12139.974</v>
      </c>
      <c r="AE143" s="1857">
        <v>1815.9292133435999</v>
      </c>
      <c r="AF143" s="1857">
        <v>5910.7250000000004</v>
      </c>
      <c r="AG143" s="1857">
        <v>1268.0560048535001</v>
      </c>
      <c r="AH143" s="1857">
        <v>1518.393</v>
      </c>
      <c r="AI143" s="1857">
        <v>150.63738672810001</v>
      </c>
      <c r="AJ143" s="1857">
        <v>298.98200000000003</v>
      </c>
      <c r="AK143" s="1774">
        <v>5.6074290099999402</v>
      </c>
      <c r="AL143" s="1857">
        <v>3424.9850000000001</v>
      </c>
      <c r="AM143" s="1857">
        <v>259.29267723800001</v>
      </c>
      <c r="AN143" s="1857"/>
      <c r="AO143" s="1857"/>
      <c r="AP143" s="1857">
        <v>1285.8710000000001</v>
      </c>
      <c r="AQ143" s="1857">
        <v>137.94314452399999</v>
      </c>
      <c r="AR143" s="1857">
        <v>46.529000000000003</v>
      </c>
      <c r="AS143" s="1857">
        <v>16.224844553099999</v>
      </c>
      <c r="AT143" s="1857">
        <v>1239.3420000000001</v>
      </c>
      <c r="AU143" s="1857">
        <v>121.71829997090001</v>
      </c>
      <c r="AV143" s="1857">
        <v>1663.3050000000001</v>
      </c>
      <c r="AW143" s="1857">
        <v>134.3798707597</v>
      </c>
      <c r="AX143" s="1857">
        <v>251.626</v>
      </c>
      <c r="AY143" s="1857">
        <v>42.872593999999999</v>
      </c>
      <c r="AZ143" s="1857">
        <v>643.11</v>
      </c>
      <c r="BA143" s="1857">
        <v>34.195120437100002</v>
      </c>
      <c r="BB143" s="1857">
        <v>87.204999999999998</v>
      </c>
      <c r="BC143" s="1857">
        <v>2.15047196</v>
      </c>
      <c r="BD143" s="1857">
        <v>563.02499999999998</v>
      </c>
      <c r="BE143" s="1857">
        <v>30.5598300718</v>
      </c>
      <c r="BF143" s="1857"/>
      <c r="BG143" s="1857"/>
      <c r="BH143" s="1857">
        <v>205.54400000000001</v>
      </c>
      <c r="BI143" s="1857">
        <v>26.752326250799999</v>
      </c>
      <c r="BJ143" s="1857">
        <v>4.2919999999999998</v>
      </c>
      <c r="BK143" s="1857">
        <v>1.6962085</v>
      </c>
      <c r="BL143" s="1857">
        <v>201.25200000000001</v>
      </c>
      <c r="BM143" s="1857">
        <v>25.056117750799999</v>
      </c>
    </row>
    <row r="144" spans="1:65">
      <c r="A144" s="1854" t="s">
        <v>26</v>
      </c>
      <c r="B144" s="1865">
        <v>7526.9939999999997</v>
      </c>
      <c r="C144" s="1865">
        <v>1224.498</v>
      </c>
      <c r="D144" s="1865">
        <v>2653.9659999999999</v>
      </c>
      <c r="E144" s="1865">
        <v>2234.9560000000001</v>
      </c>
      <c r="F144" s="1865">
        <v>1874.72</v>
      </c>
      <c r="G144" s="1850">
        <v>763.35199999999998</v>
      </c>
      <c r="H144" s="1865">
        <v>14245.242</v>
      </c>
      <c r="I144" s="1865">
        <v>1954.3256379855</v>
      </c>
      <c r="J144" s="1857">
        <v>6404.8310000000001</v>
      </c>
      <c r="K144" s="1850">
        <v>1335.908518</v>
      </c>
      <c r="L144" s="1857">
        <v>22.853000000000002</v>
      </c>
      <c r="M144" s="1857">
        <v>78.045650315499998</v>
      </c>
      <c r="N144" s="1857">
        <v>38.564999999999998</v>
      </c>
      <c r="O144" s="1857">
        <v>7.8119573200000003</v>
      </c>
      <c r="P144" s="1857">
        <v>2229.9479999999999</v>
      </c>
      <c r="Q144" s="1865">
        <v>105.5293528448</v>
      </c>
      <c r="R144" s="1865">
        <v>457.375</v>
      </c>
      <c r="S144" s="1867">
        <v>9.1779652199998996</v>
      </c>
      <c r="T144" s="1865">
        <v>4013.9810000000002</v>
      </c>
      <c r="U144" s="1865">
        <v>288.95516631679999</v>
      </c>
      <c r="V144" s="1865"/>
      <c r="W144" s="1865"/>
      <c r="X144" s="1850">
        <v>1535.0640000000001</v>
      </c>
      <c r="Y144" s="1850">
        <v>138.07499318839999</v>
      </c>
      <c r="Z144" s="1850">
        <v>50.424999999999997</v>
      </c>
      <c r="AA144" s="1850">
        <v>18.160196022400001</v>
      </c>
      <c r="AB144" s="1850">
        <v>1484.6389999999999</v>
      </c>
      <c r="AC144" s="1850">
        <v>119.91479716600001</v>
      </c>
      <c r="AD144" s="1857">
        <v>12451.659</v>
      </c>
      <c r="AE144" s="1857">
        <v>1818.7605399639001</v>
      </c>
      <c r="AF144" s="1857">
        <v>6182.1260000000002</v>
      </c>
      <c r="AG144" s="1857">
        <v>1301.9629013199999</v>
      </c>
      <c r="AH144" s="1857">
        <v>1531.3720000000001</v>
      </c>
      <c r="AI144" s="1857">
        <v>144.5041137403</v>
      </c>
      <c r="AJ144" s="1857">
        <v>347.709</v>
      </c>
      <c r="AK144" s="1774">
        <v>6.3550025399999006</v>
      </c>
      <c r="AL144" s="1857">
        <v>3409.2379999999998</v>
      </c>
      <c r="AM144" s="1857">
        <v>257.40511703679999</v>
      </c>
      <c r="AN144" s="1857"/>
      <c r="AO144" s="1857"/>
      <c r="AP144" s="1857">
        <v>1328.923</v>
      </c>
      <c r="AQ144" s="1857">
        <v>114.88840786679999</v>
      </c>
      <c r="AR144" s="1857">
        <v>46.621000000000002</v>
      </c>
      <c r="AS144" s="1857">
        <v>16.3587477224</v>
      </c>
      <c r="AT144" s="1857">
        <v>1282.3019999999999</v>
      </c>
      <c r="AU144" s="1857">
        <v>98.529660144399998</v>
      </c>
      <c r="AV144" s="1857">
        <v>1793.5830000000001</v>
      </c>
      <c r="AW144" s="1857">
        <v>135.56509802159999</v>
      </c>
      <c r="AX144" s="1857">
        <v>261.27</v>
      </c>
      <c r="AY144" s="1857">
        <v>41.757573999999998</v>
      </c>
      <c r="AZ144" s="1857">
        <v>721.42899999999997</v>
      </c>
      <c r="BA144" s="1857">
        <v>39.07088942</v>
      </c>
      <c r="BB144" s="1857">
        <v>109.666</v>
      </c>
      <c r="BC144" s="1857">
        <v>2.8229626800000003</v>
      </c>
      <c r="BD144" s="1857">
        <v>604.74300000000005</v>
      </c>
      <c r="BE144" s="1857">
        <v>31.55004928</v>
      </c>
      <c r="BF144" s="1857"/>
      <c r="BG144" s="1857"/>
      <c r="BH144" s="1857">
        <v>206.14099999999999</v>
      </c>
      <c r="BI144" s="1857">
        <v>23.186585321599999</v>
      </c>
      <c r="BJ144" s="1857">
        <v>3.8039999999999998</v>
      </c>
      <c r="BK144" s="1857">
        <v>1.8014483000000001</v>
      </c>
      <c r="BL144" s="1857">
        <v>202.33699999999999</v>
      </c>
      <c r="BM144" s="1857">
        <v>21.385137021600002</v>
      </c>
    </row>
    <row r="145" spans="1:65">
      <c r="A145" s="1854" t="s">
        <v>27</v>
      </c>
      <c r="B145" s="1865">
        <v>7400.942</v>
      </c>
      <c r="C145" s="1865">
        <v>1291.617</v>
      </c>
      <c r="D145" s="1865">
        <v>2383.067</v>
      </c>
      <c r="E145" s="1865">
        <v>2299.2719999999999</v>
      </c>
      <c r="F145" s="1865">
        <v>1961.0519999999999</v>
      </c>
      <c r="G145" s="1850">
        <v>757.55100000000004</v>
      </c>
      <c r="H145" s="1865">
        <v>15460.852000000001</v>
      </c>
      <c r="I145" s="1865">
        <v>2216.5562001795001</v>
      </c>
      <c r="J145" s="1857">
        <v>6886.2060000000001</v>
      </c>
      <c r="K145" s="1850">
        <v>1516.5256400000001</v>
      </c>
      <c r="L145" s="1857">
        <v>26.852</v>
      </c>
      <c r="M145" s="1857">
        <v>103.30823526010001</v>
      </c>
      <c r="N145" s="1857">
        <v>43.350999999999999</v>
      </c>
      <c r="O145" s="1857">
        <v>8.1774705999999995</v>
      </c>
      <c r="P145" s="1857">
        <v>2432.203</v>
      </c>
      <c r="Q145" s="1865">
        <v>114.3563893452</v>
      </c>
      <c r="R145" s="1865">
        <v>554.15599999999995</v>
      </c>
      <c r="S145" s="1865">
        <v>10.9117558999999</v>
      </c>
      <c r="T145" s="1865">
        <v>4331.3890000000001</v>
      </c>
      <c r="U145" s="1865">
        <v>335.95567577000003</v>
      </c>
      <c r="V145" s="1865"/>
      <c r="W145" s="1865"/>
      <c r="X145" s="1850">
        <v>1740.8510000000001</v>
      </c>
      <c r="Y145" s="1850">
        <v>138.2327892042</v>
      </c>
      <c r="Z145" s="1850">
        <v>59.692999999999998</v>
      </c>
      <c r="AA145" s="1850">
        <v>19.201152459999999</v>
      </c>
      <c r="AB145" s="1850">
        <v>1681.1579999999999</v>
      </c>
      <c r="AC145" s="1850">
        <v>119.03163674419999</v>
      </c>
      <c r="AD145" s="1857">
        <v>13555.342000000001</v>
      </c>
      <c r="AE145" s="1857">
        <v>2071.4804946765998</v>
      </c>
      <c r="AF145" s="1857">
        <v>6662.7079999999996</v>
      </c>
      <c r="AG145" s="1857">
        <v>1481.0981196</v>
      </c>
      <c r="AH145" s="1857">
        <v>1688.89</v>
      </c>
      <c r="AI145" s="1857">
        <v>175.29777897010001</v>
      </c>
      <c r="AJ145" s="1857">
        <v>424.86799999999999</v>
      </c>
      <c r="AK145" s="1774">
        <v>7.6454124699998793</v>
      </c>
      <c r="AL145" s="1857">
        <v>3683.3980000000001</v>
      </c>
      <c r="AM145" s="1857">
        <v>299.49537229999999</v>
      </c>
      <c r="AN145" s="1857"/>
      <c r="AO145" s="1857"/>
      <c r="AP145" s="1857">
        <v>1520.346</v>
      </c>
      <c r="AQ145" s="1857">
        <v>115.5892238065</v>
      </c>
      <c r="AR145" s="1857">
        <v>55.191000000000003</v>
      </c>
      <c r="AS145" s="1857">
        <v>16.972960399999998</v>
      </c>
      <c r="AT145" s="1857">
        <v>1465.155</v>
      </c>
      <c r="AU145" s="1857">
        <v>98.616263406499996</v>
      </c>
      <c r="AV145" s="1857">
        <v>1905.51</v>
      </c>
      <c r="AW145" s="1857">
        <v>145.07570550290001</v>
      </c>
      <c r="AX145" s="1857">
        <v>266.84899999999999</v>
      </c>
      <c r="AY145" s="1857">
        <v>43.604990999999998</v>
      </c>
      <c r="AZ145" s="1857">
        <v>770.16499999999996</v>
      </c>
      <c r="BA145" s="1857">
        <v>42.366845635200001</v>
      </c>
      <c r="BB145" s="1857">
        <v>129.28800000000001</v>
      </c>
      <c r="BC145" s="1857">
        <v>3.26634343</v>
      </c>
      <c r="BD145" s="1857">
        <v>647.99099999999999</v>
      </c>
      <c r="BE145" s="1857">
        <v>36.460303469999999</v>
      </c>
      <c r="BF145" s="1857"/>
      <c r="BG145" s="1857"/>
      <c r="BH145" s="1857">
        <v>220.505</v>
      </c>
      <c r="BI145" s="1857">
        <v>22.643565397700002</v>
      </c>
      <c r="BJ145" s="1857">
        <v>4.5019999999999998</v>
      </c>
      <c r="BK145" s="1857">
        <v>2.22819206</v>
      </c>
      <c r="BL145" s="1857">
        <v>216.00299999999999</v>
      </c>
      <c r="BM145" s="1857">
        <v>20.4153733377</v>
      </c>
    </row>
    <row r="146" spans="1:65">
      <c r="A146" s="1854" t="s">
        <v>28</v>
      </c>
      <c r="B146" s="1865">
        <v>7474.991</v>
      </c>
      <c r="C146" s="1865">
        <v>1351.797</v>
      </c>
      <c r="D146" s="1865">
        <v>2408.8020000000001</v>
      </c>
      <c r="E146" s="1865">
        <v>2329.643</v>
      </c>
      <c r="F146" s="1865">
        <v>1985.06</v>
      </c>
      <c r="G146" s="1850">
        <v>751.48599999999999</v>
      </c>
      <c r="H146" s="1865">
        <v>14984.116</v>
      </c>
      <c r="I146" s="1865">
        <v>2150.9988404999999</v>
      </c>
      <c r="J146" s="1857">
        <v>6408.5860000000002</v>
      </c>
      <c r="K146" s="1850">
        <v>1485.679549</v>
      </c>
      <c r="L146" s="1857">
        <v>24.544</v>
      </c>
      <c r="M146" s="1857">
        <v>85.597268470000003</v>
      </c>
      <c r="N146" s="1857">
        <v>43.173000000000002</v>
      </c>
      <c r="O146" s="1857">
        <v>8.3913709999999995</v>
      </c>
      <c r="P146" s="1857">
        <v>2432.971</v>
      </c>
      <c r="Q146" s="1865">
        <v>116.68734487</v>
      </c>
      <c r="R146" s="1865">
        <v>595.43899999999996</v>
      </c>
      <c r="S146" s="1865">
        <v>12.837712629999901</v>
      </c>
      <c r="T146" s="1865">
        <v>4323.7169999999996</v>
      </c>
      <c r="U146" s="1865">
        <v>321.50474353999999</v>
      </c>
      <c r="V146" s="1865"/>
      <c r="W146" s="1865"/>
      <c r="X146" s="1850">
        <v>1751.125</v>
      </c>
      <c r="Y146" s="1850">
        <v>133.13856362000001</v>
      </c>
      <c r="Z146" s="1850">
        <v>55.097000000000001</v>
      </c>
      <c r="AA146" s="1850">
        <v>17.68224858</v>
      </c>
      <c r="AB146" s="1850">
        <v>1696.028</v>
      </c>
      <c r="AC146" s="1850">
        <v>115.45631504000001</v>
      </c>
      <c r="AD146" s="1857">
        <v>13023.793</v>
      </c>
      <c r="AE146" s="1857">
        <v>2003.8274899400001</v>
      </c>
      <c r="AF146" s="1857">
        <v>6183.8869999999997</v>
      </c>
      <c r="AG146" s="1857">
        <v>1449.1195399999999</v>
      </c>
      <c r="AH146" s="1857">
        <v>1661.173</v>
      </c>
      <c r="AI146" s="1857">
        <v>156.85300365000001</v>
      </c>
      <c r="AJ146" s="1857">
        <v>433.964</v>
      </c>
      <c r="AK146" s="1774">
        <v>8.3301051899998804</v>
      </c>
      <c r="AL146" s="1857">
        <v>3667.8040000000001</v>
      </c>
      <c r="AM146" s="1857">
        <v>288.06848934999999</v>
      </c>
      <c r="AN146" s="1857"/>
      <c r="AO146" s="1857"/>
      <c r="AP146" s="1857">
        <v>1510.9290000000001</v>
      </c>
      <c r="AQ146" s="1857">
        <v>109.78645693999999</v>
      </c>
      <c r="AR146" s="1857">
        <v>51.177</v>
      </c>
      <c r="AS146" s="1857">
        <v>16.004754130000002</v>
      </c>
      <c r="AT146" s="1857">
        <v>1459.752</v>
      </c>
      <c r="AU146" s="1857">
        <v>93.781702809999999</v>
      </c>
      <c r="AV146" s="1857">
        <v>1960.3230000000001</v>
      </c>
      <c r="AW146" s="1857">
        <v>147.17135056000001</v>
      </c>
      <c r="AX146" s="1857">
        <v>267.87200000000001</v>
      </c>
      <c r="AY146" s="1857">
        <v>44.95138</v>
      </c>
      <c r="AZ146" s="1857">
        <v>796.34199999999998</v>
      </c>
      <c r="BA146" s="1857">
        <v>45.431609690000002</v>
      </c>
      <c r="BB146" s="1857">
        <v>161.47499999999999</v>
      </c>
      <c r="BC146" s="1857">
        <v>4.5076074400000001</v>
      </c>
      <c r="BD146" s="1857">
        <v>655.91300000000001</v>
      </c>
      <c r="BE146" s="1857">
        <v>33.43625419</v>
      </c>
      <c r="BF146" s="1857"/>
      <c r="BG146" s="1857"/>
      <c r="BH146" s="1857">
        <v>240.196</v>
      </c>
      <c r="BI146" s="1857">
        <v>23.352106679999999</v>
      </c>
      <c r="BJ146" s="1857">
        <v>3.92</v>
      </c>
      <c r="BK146" s="1857">
        <v>1.67749445</v>
      </c>
      <c r="BL146" s="1857">
        <v>236.27600000000001</v>
      </c>
      <c r="BM146" s="1857">
        <v>21.674612230000001</v>
      </c>
    </row>
    <row r="147" spans="1:65">
      <c r="A147" s="1854" t="s">
        <v>29</v>
      </c>
      <c r="B147" s="1865">
        <v>7544.759</v>
      </c>
      <c r="C147" s="1865">
        <v>1501.095</v>
      </c>
      <c r="D147" s="1865">
        <v>2383.087</v>
      </c>
      <c r="E147" s="1865">
        <v>2339.1480000000001</v>
      </c>
      <c r="F147" s="1865">
        <v>2025.0509999999999</v>
      </c>
      <c r="G147" s="1850">
        <v>797.47299999999996</v>
      </c>
      <c r="H147" s="1865">
        <v>18570.471000000001</v>
      </c>
      <c r="I147" s="1865">
        <v>2824.2742910100001</v>
      </c>
      <c r="J147" s="1857">
        <v>8483.3870000000006</v>
      </c>
      <c r="K147" s="1850">
        <v>2023.0248979999999</v>
      </c>
      <c r="L147" s="1857">
        <v>33.383000000000003</v>
      </c>
      <c r="M147" s="1857">
        <v>132.91968531000001</v>
      </c>
      <c r="N147" s="1857">
        <v>53.905999999999999</v>
      </c>
      <c r="O147" s="1857">
        <v>10.058679</v>
      </c>
      <c r="P147" s="1857">
        <v>3144.4580000000001</v>
      </c>
      <c r="Q147" s="1865">
        <v>165.15754142</v>
      </c>
      <c r="R147" s="1865">
        <v>716.97699999999998</v>
      </c>
      <c r="S147" s="1865">
        <v>15.835014719999799</v>
      </c>
      <c r="T147" s="1865">
        <v>4952.6109999999999</v>
      </c>
      <c r="U147" s="1865">
        <v>366.90617607000001</v>
      </c>
      <c r="V147" s="1865"/>
      <c r="W147" s="1865"/>
      <c r="X147" s="1850">
        <v>1902.7260000000001</v>
      </c>
      <c r="Y147" s="1850">
        <v>126.20731121</v>
      </c>
      <c r="Z147" s="1850">
        <v>55.301000000000002</v>
      </c>
      <c r="AA147" s="1850">
        <v>16.544219859999998</v>
      </c>
      <c r="AB147" s="1850">
        <v>1847.425</v>
      </c>
      <c r="AC147" s="1850">
        <v>109.66309134999999</v>
      </c>
      <c r="AD147" s="1857">
        <v>16277.072</v>
      </c>
      <c r="AE147" s="1857">
        <v>2652.0140934800002</v>
      </c>
      <c r="AF147" s="1857">
        <v>8225.3019999999997</v>
      </c>
      <c r="AG147" s="1857">
        <v>1980.3451600000001</v>
      </c>
      <c r="AH147" s="1857">
        <v>2228.373</v>
      </c>
      <c r="AI147" s="1857">
        <v>236.89370674</v>
      </c>
      <c r="AJ147" s="1857">
        <v>535.22699999999998</v>
      </c>
      <c r="AK147" s="1857">
        <v>10.7145755299998</v>
      </c>
      <c r="AL147" s="1857">
        <v>4176.6419999999998</v>
      </c>
      <c r="AM147" s="1857">
        <v>327.57234039999997</v>
      </c>
      <c r="AN147" s="1857"/>
      <c r="AO147" s="1857"/>
      <c r="AP147" s="1857">
        <v>1646.7550000000001</v>
      </c>
      <c r="AQ147" s="1857">
        <v>107.20288634000001</v>
      </c>
      <c r="AR147" s="1857">
        <v>51.563000000000002</v>
      </c>
      <c r="AS147" s="1857">
        <v>14.877477730000001</v>
      </c>
      <c r="AT147" s="1857">
        <v>1595.192</v>
      </c>
      <c r="AU147" s="1857">
        <v>92.325408609999997</v>
      </c>
      <c r="AV147" s="1857">
        <v>2293.3989999999999</v>
      </c>
      <c r="AW147" s="1857">
        <v>172.26019753</v>
      </c>
      <c r="AX147" s="1857">
        <v>311.99099999999999</v>
      </c>
      <c r="AY147" s="1857">
        <v>52.738416999999998</v>
      </c>
      <c r="AZ147" s="1857">
        <v>949.46799999999996</v>
      </c>
      <c r="BA147" s="1857">
        <v>61.183519990000001</v>
      </c>
      <c r="BB147" s="1857">
        <v>181.75</v>
      </c>
      <c r="BC147" s="1857">
        <v>5.1204391900000008</v>
      </c>
      <c r="BD147" s="1857">
        <v>775.96900000000005</v>
      </c>
      <c r="BE147" s="1857">
        <v>39.333835669999999</v>
      </c>
      <c r="BF147" s="1857"/>
      <c r="BG147" s="1857"/>
      <c r="BH147" s="1857">
        <v>255.971</v>
      </c>
      <c r="BI147" s="1857">
        <v>19.004424870000001</v>
      </c>
      <c r="BJ147" s="1857">
        <v>3.738</v>
      </c>
      <c r="BK147" s="1857">
        <v>1.6667421299999998</v>
      </c>
      <c r="BL147" s="1857">
        <v>252.233</v>
      </c>
      <c r="BM147" s="1857">
        <v>17.337682740000002</v>
      </c>
    </row>
    <row r="148" spans="1:65">
      <c r="A148" s="1854" t="s">
        <v>2407</v>
      </c>
      <c r="B148" s="1866">
        <v>9571.1640000000007</v>
      </c>
      <c r="C148" s="1866">
        <v>3681</v>
      </c>
      <c r="D148" s="1866">
        <v>3443.3139999999999</v>
      </c>
      <c r="E148" s="1866">
        <v>2525.0369999999998</v>
      </c>
      <c r="F148" s="1866">
        <v>2510.0189999999998</v>
      </c>
      <c r="G148" s="1859">
        <v>1092.7940000000001</v>
      </c>
      <c r="H148" s="1855">
        <f t="shared" ref="H148:AM148" si="31">SUM(H149:H160)</f>
        <v>227838.75900000002</v>
      </c>
      <c r="I148" s="1855">
        <f t="shared" si="31"/>
        <v>29447.401445410003</v>
      </c>
      <c r="J148" s="1855">
        <f t="shared" si="31"/>
        <v>84480.773000000001</v>
      </c>
      <c r="K148" s="1855">
        <f t="shared" si="31"/>
        <v>20285.173201999998</v>
      </c>
      <c r="L148" s="1855">
        <f t="shared" si="31"/>
        <v>279.77600000000001</v>
      </c>
      <c r="M148" s="1855">
        <f t="shared" si="31"/>
        <v>1478.9906118500003</v>
      </c>
      <c r="N148" s="1855">
        <f t="shared" si="31"/>
        <v>316.25</v>
      </c>
      <c r="O148" s="1855">
        <f t="shared" si="31"/>
        <v>66.371478999999994</v>
      </c>
      <c r="P148" s="1855">
        <f t="shared" si="31"/>
        <v>48334.738000000005</v>
      </c>
      <c r="Q148" s="1855">
        <f t="shared" si="31"/>
        <v>2177.4736723800002</v>
      </c>
      <c r="R148" s="1855">
        <f t="shared" si="31"/>
        <v>18677.970999999998</v>
      </c>
      <c r="S148" s="1855">
        <f t="shared" si="31"/>
        <v>492.73606024999998</v>
      </c>
      <c r="T148" s="1855">
        <f t="shared" si="31"/>
        <v>69871.207999999999</v>
      </c>
      <c r="U148" s="1855">
        <f t="shared" si="31"/>
        <v>4139.17198345</v>
      </c>
      <c r="V148" s="1855">
        <f t="shared" si="31"/>
        <v>43.014000000000003</v>
      </c>
      <c r="W148" s="1862">
        <f t="shared" si="31"/>
        <v>1.1855390000000001</v>
      </c>
      <c r="X148" s="1855">
        <f t="shared" si="31"/>
        <v>24513</v>
      </c>
      <c r="Y148" s="1855">
        <f t="shared" si="31"/>
        <v>1299.0349577300001</v>
      </c>
      <c r="Z148" s="1855">
        <f t="shared" si="31"/>
        <v>392.04699999999997</v>
      </c>
      <c r="AA148" s="1855">
        <f t="shared" si="31"/>
        <v>145.0527252</v>
      </c>
      <c r="AB148" s="1855">
        <f t="shared" si="31"/>
        <v>24120.952999999998</v>
      </c>
      <c r="AC148" s="1855">
        <f t="shared" si="31"/>
        <v>1153.9822325299999</v>
      </c>
      <c r="AD148" s="1855">
        <f t="shared" si="31"/>
        <v>196108.016</v>
      </c>
      <c r="AE148" s="1855">
        <f t="shared" si="31"/>
        <v>27595.53177741</v>
      </c>
      <c r="AF148" s="1855">
        <f t="shared" si="31"/>
        <v>81980.297000000006</v>
      </c>
      <c r="AG148" s="1855">
        <f t="shared" si="31"/>
        <v>19876.800981</v>
      </c>
      <c r="AH148" s="1855">
        <f t="shared" si="31"/>
        <v>34826.089</v>
      </c>
      <c r="AI148" s="1855">
        <f t="shared" si="31"/>
        <v>2965.7463743499998</v>
      </c>
      <c r="AJ148" s="1855">
        <f t="shared" si="31"/>
        <v>13623.975999999999</v>
      </c>
      <c r="AK148" s="1855">
        <f t="shared" si="31"/>
        <v>356.96652434999999</v>
      </c>
      <c r="AL148" s="1855">
        <f t="shared" si="31"/>
        <v>58242.565999999999</v>
      </c>
      <c r="AM148" s="1855">
        <f t="shared" si="31"/>
        <v>3670.2351931400003</v>
      </c>
      <c r="AN148" s="1855">
        <f t="shared" ref="AN148:BM148" si="32">SUM(AN149:AN160)</f>
        <v>29.247000000000007</v>
      </c>
      <c r="AO148" s="1778">
        <f t="shared" si="32"/>
        <v>0.79795300000000002</v>
      </c>
      <c r="AP148" s="1855">
        <f t="shared" si="32"/>
        <v>20981.613000000005</v>
      </c>
      <c r="AQ148" s="1855">
        <f t="shared" si="32"/>
        <v>1080.27880592</v>
      </c>
      <c r="AR148" s="1855">
        <f t="shared" si="32"/>
        <v>372.38499999999999</v>
      </c>
      <c r="AS148" s="1855">
        <f t="shared" si="32"/>
        <v>136.71474859</v>
      </c>
      <c r="AT148" s="1855">
        <f t="shared" si="32"/>
        <v>20657.431999999997</v>
      </c>
      <c r="AU148" s="1855">
        <f t="shared" si="32"/>
        <v>945.23652732999994</v>
      </c>
      <c r="AV148" s="1855">
        <f t="shared" si="32"/>
        <v>31730.742999999995</v>
      </c>
      <c r="AW148" s="1855">
        <f t="shared" si="32"/>
        <v>1851.869668</v>
      </c>
      <c r="AX148" s="1855">
        <f t="shared" si="32"/>
        <v>2816.7260000000001</v>
      </c>
      <c r="AY148" s="1855">
        <f t="shared" si="32"/>
        <v>474.74369999999999</v>
      </c>
      <c r="AZ148" s="1855">
        <f t="shared" si="32"/>
        <v>13788.424999999997</v>
      </c>
      <c r="BA148" s="1855">
        <f t="shared" si="32"/>
        <v>690.71790987999998</v>
      </c>
      <c r="BB148" s="1855">
        <f t="shared" si="32"/>
        <v>5053.9949999999999</v>
      </c>
      <c r="BC148" s="1855">
        <f t="shared" si="32"/>
        <v>135.76953589999999</v>
      </c>
      <c r="BD148" s="1855">
        <f t="shared" si="32"/>
        <v>11628.642</v>
      </c>
      <c r="BE148" s="1855">
        <f t="shared" si="32"/>
        <v>468.93679030999999</v>
      </c>
      <c r="BF148" s="1855">
        <f t="shared" si="32"/>
        <v>13.766999999999999</v>
      </c>
      <c r="BG148" s="1862">
        <f t="shared" si="32"/>
        <v>0.38758600000000004</v>
      </c>
      <c r="BH148" s="1855">
        <f t="shared" si="32"/>
        <v>3483.183</v>
      </c>
      <c r="BI148" s="1855">
        <f t="shared" si="32"/>
        <v>217.08368180999997</v>
      </c>
      <c r="BJ148" s="1855">
        <f t="shared" si="32"/>
        <v>19.661999999999995</v>
      </c>
      <c r="BK148" s="1855">
        <f t="shared" si="32"/>
        <v>8.3379766100000019</v>
      </c>
      <c r="BL148" s="1855">
        <f t="shared" si="32"/>
        <v>3463.5209999999993</v>
      </c>
      <c r="BM148" s="1855">
        <f t="shared" si="32"/>
        <v>208.7457052</v>
      </c>
    </row>
    <row r="149" spans="1:65">
      <c r="A149" s="1854" t="s">
        <v>18</v>
      </c>
      <c r="B149" s="1865">
        <v>8008.9859999999999</v>
      </c>
      <c r="C149" s="1865">
        <v>1668.1379999999999</v>
      </c>
      <c r="D149" s="1865">
        <v>2707.355</v>
      </c>
      <c r="E149" s="1865">
        <v>2384.1550000000002</v>
      </c>
      <c r="F149" s="1865">
        <v>2088.357</v>
      </c>
      <c r="G149" s="1850">
        <v>829.11900000000003</v>
      </c>
      <c r="H149" s="1865">
        <v>15619.623</v>
      </c>
      <c r="I149" s="1865">
        <v>1931.87815275</v>
      </c>
      <c r="J149" s="1857">
        <v>5978.192</v>
      </c>
      <c r="K149" s="1850">
        <v>1279.8100730000001</v>
      </c>
      <c r="L149" s="1857">
        <v>19.193999999999999</v>
      </c>
      <c r="M149" s="1857">
        <v>67.633097100000001</v>
      </c>
      <c r="N149" s="1857">
        <v>57.375999999999998</v>
      </c>
      <c r="O149" s="1857">
        <v>9.7093520000000009</v>
      </c>
      <c r="P149" s="1857">
        <v>3037.8220000000001</v>
      </c>
      <c r="Q149" s="1865">
        <v>134.40345371999999</v>
      </c>
      <c r="R149" s="1865">
        <v>848.66200000000003</v>
      </c>
      <c r="S149" s="1865">
        <v>19.775222699999897</v>
      </c>
      <c r="T149" s="1865">
        <v>4665.8140000000003</v>
      </c>
      <c r="U149" s="1865">
        <v>297.40421937000002</v>
      </c>
      <c r="V149" s="1849"/>
      <c r="W149" s="1865"/>
      <c r="X149" s="1850">
        <v>1861.2249999999999</v>
      </c>
      <c r="Y149" s="1850">
        <v>142.91795755999999</v>
      </c>
      <c r="Z149" s="1850">
        <v>49.582999999999998</v>
      </c>
      <c r="AA149" s="1850">
        <v>16.966815960000002</v>
      </c>
      <c r="AB149" s="1850">
        <v>1811.6420000000001</v>
      </c>
      <c r="AC149" s="1850">
        <v>125.9511416</v>
      </c>
      <c r="AD149" s="1857">
        <v>13278.543</v>
      </c>
      <c r="AE149" s="1857">
        <v>1772.0139453700001</v>
      </c>
      <c r="AF149" s="1857">
        <v>5745.5680000000002</v>
      </c>
      <c r="AG149" s="1857">
        <v>1245.780831</v>
      </c>
      <c r="AH149" s="1857">
        <v>2063.7890000000002</v>
      </c>
      <c r="AI149" s="1857">
        <v>148.36639117999999</v>
      </c>
      <c r="AJ149" s="1857">
        <v>632.21699999999998</v>
      </c>
      <c r="AK149" s="1857">
        <v>14.0300677999999</v>
      </c>
      <c r="AL149" s="1857">
        <v>3870.46</v>
      </c>
      <c r="AM149" s="1857">
        <v>261.96300007999997</v>
      </c>
      <c r="AN149" s="1857"/>
      <c r="AO149" s="1857"/>
      <c r="AP149" s="1857">
        <v>1595.155</v>
      </c>
      <c r="AQ149" s="1857">
        <v>115.74769611000001</v>
      </c>
      <c r="AR149" s="1857">
        <v>46.087000000000003</v>
      </c>
      <c r="AS149" s="1857">
        <v>15.350044460000001</v>
      </c>
      <c r="AT149" s="1857">
        <v>1552.6389999999999</v>
      </c>
      <c r="AU149" s="1857">
        <v>100.55367865000001</v>
      </c>
      <c r="AV149" s="1857">
        <v>2341.08</v>
      </c>
      <c r="AW149" s="1857">
        <v>159.86420738000001</v>
      </c>
      <c r="AX149" s="1857">
        <v>290</v>
      </c>
      <c r="AY149" s="1857">
        <v>43.738593999999999</v>
      </c>
      <c r="AZ149" s="1857">
        <v>993.22699999999998</v>
      </c>
      <c r="BA149" s="1857">
        <v>53.670159640000001</v>
      </c>
      <c r="BB149" s="1857">
        <v>216.44499999999999</v>
      </c>
      <c r="BC149" s="1857">
        <v>5.7451549000000002</v>
      </c>
      <c r="BD149" s="1857">
        <v>795.35400000000004</v>
      </c>
      <c r="BE149" s="1857">
        <v>35.441219289999999</v>
      </c>
      <c r="BF149" s="1857"/>
      <c r="BG149" s="1857"/>
      <c r="BH149" s="1857">
        <v>262.49900000000002</v>
      </c>
      <c r="BI149" s="1857">
        <v>27.01423445</v>
      </c>
      <c r="BJ149" s="1857">
        <v>3.496</v>
      </c>
      <c r="BK149" s="1857">
        <v>1.6167715</v>
      </c>
      <c r="BL149" s="1857">
        <v>259.00299999999999</v>
      </c>
      <c r="BM149" s="1857">
        <v>25.397462949999998</v>
      </c>
    </row>
    <row r="150" spans="1:65">
      <c r="A150" s="1854" t="s">
        <v>19</v>
      </c>
      <c r="B150" s="1865">
        <v>8140.6880000000001</v>
      </c>
      <c r="C150" s="1865">
        <v>1789.7650000000001</v>
      </c>
      <c r="D150" s="1865">
        <v>2722.5329999999999</v>
      </c>
      <c r="E150" s="1865">
        <v>2370.9360000000001</v>
      </c>
      <c r="F150" s="1865">
        <v>2156.7399999999998</v>
      </c>
      <c r="G150" s="1850">
        <v>890.47900000000004</v>
      </c>
      <c r="H150" s="1865">
        <v>16146.291999999999</v>
      </c>
      <c r="I150" s="1865">
        <v>2271.3782596000001</v>
      </c>
      <c r="J150" s="1857">
        <v>6748.1109999999999</v>
      </c>
      <c r="K150" s="1850">
        <v>1628.6011639999999</v>
      </c>
      <c r="L150" s="1857">
        <v>26.93</v>
      </c>
      <c r="M150" s="1857">
        <v>75.463465560000003</v>
      </c>
      <c r="N150" s="1857">
        <v>25.558</v>
      </c>
      <c r="O150" s="1857">
        <v>6.4679979999999997</v>
      </c>
      <c r="P150" s="1857">
        <v>2980.5309999999999</v>
      </c>
      <c r="Q150" s="1865">
        <v>125.50047646</v>
      </c>
      <c r="R150" s="1865">
        <v>960.29899999999998</v>
      </c>
      <c r="S150" s="1865">
        <v>19.360981289999998</v>
      </c>
      <c r="T150" s="1865">
        <v>4656.5219999999999</v>
      </c>
      <c r="U150" s="1865">
        <v>318.97367985</v>
      </c>
      <c r="V150" s="1849"/>
      <c r="W150" s="1865"/>
      <c r="X150" s="1850">
        <v>1708.64</v>
      </c>
      <c r="Y150" s="1850">
        <v>116.37147573</v>
      </c>
      <c r="Z150" s="1850">
        <v>41.473999999999997</v>
      </c>
      <c r="AA150" s="1850">
        <v>15.25024453</v>
      </c>
      <c r="AB150" s="1850">
        <v>1667.1659999999999</v>
      </c>
      <c r="AC150" s="1850">
        <v>101.1212312</v>
      </c>
      <c r="AD150" s="1857">
        <v>13960.842000000001</v>
      </c>
      <c r="AE150" s="1857">
        <v>2123.9022767000001</v>
      </c>
      <c r="AF150" s="1857">
        <v>6525.3969999999999</v>
      </c>
      <c r="AG150" s="1857">
        <v>1592.1695130000001</v>
      </c>
      <c r="AH150" s="1857">
        <v>2063.8890000000001</v>
      </c>
      <c r="AI150" s="1857">
        <v>152.15108182</v>
      </c>
      <c r="AJ150" s="1857">
        <v>744.87400000000002</v>
      </c>
      <c r="AK150" s="1857">
        <v>13.525012289999999</v>
      </c>
      <c r="AL150" s="1857">
        <v>3893.5830000000001</v>
      </c>
      <c r="AM150" s="1857">
        <v>283.96029263999998</v>
      </c>
      <c r="AN150" s="1857"/>
      <c r="AO150" s="1857"/>
      <c r="AP150" s="1857">
        <v>1474.7339999999999</v>
      </c>
      <c r="AQ150" s="1857">
        <v>95.498312240000004</v>
      </c>
      <c r="AR150" s="1857">
        <v>38.783999999999999</v>
      </c>
      <c r="AS150" s="1857">
        <v>13.95390269</v>
      </c>
      <c r="AT150" s="1857">
        <v>1439.1890000000001</v>
      </c>
      <c r="AU150" s="1857">
        <v>81.667486549999992</v>
      </c>
      <c r="AV150" s="1857">
        <v>2185.4499999999998</v>
      </c>
      <c r="AW150" s="1857">
        <v>147.47598289999999</v>
      </c>
      <c r="AX150" s="1857">
        <v>248.27199999999999</v>
      </c>
      <c r="AY150" s="1857">
        <v>42.899648999999997</v>
      </c>
      <c r="AZ150" s="1857">
        <v>943.572</v>
      </c>
      <c r="BA150" s="1857">
        <v>48.812860200000003</v>
      </c>
      <c r="BB150" s="1857">
        <v>215.42500000000001</v>
      </c>
      <c r="BC150" s="1857">
        <v>5.8359690000000004</v>
      </c>
      <c r="BD150" s="1857">
        <v>762.93899999999996</v>
      </c>
      <c r="BE150" s="1857">
        <v>35.013387209999998</v>
      </c>
      <c r="BF150" s="1857"/>
      <c r="BG150" s="1857"/>
      <c r="BH150" s="1857">
        <v>230.667</v>
      </c>
      <c r="BI150" s="1857">
        <v>20.750086490000001</v>
      </c>
      <c r="BJ150" s="1857">
        <v>2.69</v>
      </c>
      <c r="BK150" s="1857">
        <v>1.2963418400000002</v>
      </c>
      <c r="BL150" s="1857">
        <v>227.977</v>
      </c>
      <c r="BM150" s="1857">
        <v>19.453744649999997</v>
      </c>
    </row>
    <row r="151" spans="1:65">
      <c r="A151" s="1854" t="s">
        <v>20</v>
      </c>
      <c r="B151" s="1865">
        <v>8166.6019999999999</v>
      </c>
      <c r="C151" s="1865">
        <v>1842.5029999999999</v>
      </c>
      <c r="D151" s="1865">
        <v>2754.4789999999998</v>
      </c>
      <c r="E151" s="1865">
        <v>2357.3879999999999</v>
      </c>
      <c r="F151" s="1865">
        <v>2124.83</v>
      </c>
      <c r="G151" s="1850">
        <v>929.90499999999997</v>
      </c>
      <c r="H151" s="1865">
        <v>18662.041000000001</v>
      </c>
      <c r="I151" s="1865">
        <v>2711.9116941500001</v>
      </c>
      <c r="J151" s="1857">
        <v>7919.43</v>
      </c>
      <c r="K151" s="1850">
        <v>1956.791457</v>
      </c>
      <c r="L151" s="1857">
        <v>33.228000000000002</v>
      </c>
      <c r="M151" s="1857">
        <v>125.96862036</v>
      </c>
      <c r="N151" s="1857">
        <v>25.765000000000001</v>
      </c>
      <c r="O151" s="1857">
        <v>7.4927130000000002</v>
      </c>
      <c r="P151" s="1857">
        <v>3598.9079999999999</v>
      </c>
      <c r="Q151" s="1865">
        <v>179.43078629999999</v>
      </c>
      <c r="R151" s="1865">
        <v>1011.36</v>
      </c>
      <c r="S151" s="1865">
        <v>25.018902030000103</v>
      </c>
      <c r="T151" s="1865">
        <v>5285.1210000000001</v>
      </c>
      <c r="U151" s="1865">
        <v>340.58879990000003</v>
      </c>
      <c r="V151" s="1849"/>
      <c r="W151" s="1865"/>
      <c r="X151" s="1850">
        <v>1799.5889999999999</v>
      </c>
      <c r="Y151" s="1850">
        <v>101.63931759</v>
      </c>
      <c r="Z151" s="1850">
        <v>44.186999999999998</v>
      </c>
      <c r="AA151" s="1850">
        <v>15.58099576</v>
      </c>
      <c r="AB151" s="1850">
        <v>1755.402</v>
      </c>
      <c r="AC151" s="1850">
        <v>86.058321829999997</v>
      </c>
      <c r="AD151" s="1857">
        <v>16258.643</v>
      </c>
      <c r="AE151" s="1857">
        <v>2551.1091143499998</v>
      </c>
      <c r="AF151" s="1857">
        <v>7697.9629999999997</v>
      </c>
      <c r="AG151" s="1857">
        <v>1919.0236299999999</v>
      </c>
      <c r="AH151" s="1857">
        <v>2547.2199999999998</v>
      </c>
      <c r="AI151" s="1857">
        <v>242.77703743999999</v>
      </c>
      <c r="AJ151" s="1857">
        <v>745.28700000000003</v>
      </c>
      <c r="AK151" s="1857">
        <v>16.6440960300001</v>
      </c>
      <c r="AL151" s="1857">
        <v>4446.5540000000001</v>
      </c>
      <c r="AM151" s="1857">
        <v>303.77800151000002</v>
      </c>
      <c r="AN151" s="1857"/>
      <c r="AO151" s="1857"/>
      <c r="AP151" s="1857">
        <v>1563.047</v>
      </c>
      <c r="AQ151" s="1857">
        <v>85.397842400000002</v>
      </c>
      <c r="AR151" s="1857">
        <v>41.734999999999999</v>
      </c>
      <c r="AS151" s="1857">
        <v>14.415457890000001</v>
      </c>
      <c r="AT151" s="1857">
        <v>1525.171</v>
      </c>
      <c r="AU151" s="1857">
        <v>71.114987510000006</v>
      </c>
      <c r="AV151" s="1857">
        <v>2403.3980000000001</v>
      </c>
      <c r="AW151" s="1857">
        <v>160.80257979999999</v>
      </c>
      <c r="AX151" s="1857">
        <v>247.232</v>
      </c>
      <c r="AY151" s="1857">
        <v>45.260539999999999</v>
      </c>
      <c r="AZ151" s="1857">
        <v>1084.9159999999999</v>
      </c>
      <c r="BA151" s="1857">
        <v>62.622369220000003</v>
      </c>
      <c r="BB151" s="1857">
        <v>266.07299999999998</v>
      </c>
      <c r="BC151" s="1857">
        <v>8.3748059999999995</v>
      </c>
      <c r="BD151" s="1857">
        <v>838.56700000000001</v>
      </c>
      <c r="BE151" s="1857">
        <v>36.810798390000002</v>
      </c>
      <c r="BF151" s="1857"/>
      <c r="BG151" s="1857"/>
      <c r="BH151" s="1857">
        <v>232.68299999999999</v>
      </c>
      <c r="BI151" s="1857">
        <v>16.10887219</v>
      </c>
      <c r="BJ151" s="1857">
        <v>2.452</v>
      </c>
      <c r="BK151" s="1857">
        <v>1.1655378700000001</v>
      </c>
      <c r="BL151" s="1857">
        <v>230.23099999999999</v>
      </c>
      <c r="BM151" s="1857">
        <v>14.94333432</v>
      </c>
    </row>
    <row r="152" spans="1:65">
      <c r="A152" s="1854" t="s">
        <v>21</v>
      </c>
      <c r="B152" s="1865">
        <v>8336.9069999999992</v>
      </c>
      <c r="C152" s="1865">
        <v>1888.9559999999999</v>
      </c>
      <c r="D152" s="1865">
        <v>3023.627</v>
      </c>
      <c r="E152" s="1865">
        <v>2355.6120000000001</v>
      </c>
      <c r="F152" s="1865">
        <v>2080.259</v>
      </c>
      <c r="G152" s="1850">
        <v>877.40899999999999</v>
      </c>
      <c r="H152" s="1865">
        <v>15749.464</v>
      </c>
      <c r="I152" s="1865">
        <v>1955.1039318799999</v>
      </c>
      <c r="J152" s="1857">
        <v>5769.9759999999997</v>
      </c>
      <c r="K152" s="1850">
        <v>1381.773831</v>
      </c>
      <c r="L152" s="1857">
        <v>15.414999999999999</v>
      </c>
      <c r="M152" s="1857">
        <v>59.861938019999997</v>
      </c>
      <c r="N152" s="1857">
        <v>24.905999999999999</v>
      </c>
      <c r="O152" s="1857">
        <v>4.9060170000000003</v>
      </c>
      <c r="P152" s="1857">
        <v>3393.7979999999998</v>
      </c>
      <c r="Q152" s="1865">
        <v>164.74278430000001</v>
      </c>
      <c r="R152" s="1865">
        <v>977.995</v>
      </c>
      <c r="S152" s="1865">
        <v>22.08130607</v>
      </c>
      <c r="T152" s="1865">
        <v>5186.0510000000004</v>
      </c>
      <c r="U152" s="1865">
        <v>280.18762992000001</v>
      </c>
      <c r="V152" s="1849"/>
      <c r="W152" s="1865"/>
      <c r="X152" s="1850">
        <v>1359.318</v>
      </c>
      <c r="Y152" s="1850">
        <v>63.631731639999998</v>
      </c>
      <c r="Z152" s="1850">
        <v>24.649000000000001</v>
      </c>
      <c r="AA152" s="1850">
        <v>8.82958496</v>
      </c>
      <c r="AB152" s="1850">
        <v>1334.6690000000001</v>
      </c>
      <c r="AC152" s="1850">
        <v>54.80214668</v>
      </c>
      <c r="AD152" s="1857">
        <v>13778.29</v>
      </c>
      <c r="AE152" s="1857">
        <v>1848.10779596</v>
      </c>
      <c r="AF152" s="1857">
        <v>5647.2280000000001</v>
      </c>
      <c r="AG152" s="1857">
        <v>1360.2828910000001</v>
      </c>
      <c r="AH152" s="1857">
        <v>2583.5569999999998</v>
      </c>
      <c r="AI152" s="1857">
        <v>190.1934645</v>
      </c>
      <c r="AJ152" s="1857">
        <v>750.23800000000006</v>
      </c>
      <c r="AK152" s="1857">
        <v>15.74234407</v>
      </c>
      <c r="AL152" s="1857">
        <v>4368.9960000000001</v>
      </c>
      <c r="AM152" s="1857">
        <v>244.28766049999999</v>
      </c>
      <c r="AN152" s="1857"/>
      <c r="AO152" s="1857"/>
      <c r="AP152" s="1857">
        <v>1175.6120000000001</v>
      </c>
      <c r="AQ152" s="1857">
        <v>53.260046959999997</v>
      </c>
      <c r="AR152" s="1857">
        <v>23.343</v>
      </c>
      <c r="AS152" s="1857">
        <v>8.1984125599999995</v>
      </c>
      <c r="AT152" s="1857">
        <v>1155.1659999999999</v>
      </c>
      <c r="AU152" s="1857">
        <v>45.145367399999998</v>
      </c>
      <c r="AV152" s="1857">
        <v>1971.174</v>
      </c>
      <c r="AW152" s="1857">
        <v>106.99613592</v>
      </c>
      <c r="AX152" s="1857">
        <v>147.654</v>
      </c>
      <c r="AY152" s="1857">
        <v>26.396957</v>
      </c>
      <c r="AZ152" s="1857">
        <v>825.65599999999995</v>
      </c>
      <c r="BA152" s="1857">
        <v>34.411257820000003</v>
      </c>
      <c r="BB152" s="1857">
        <v>227.75700000000001</v>
      </c>
      <c r="BC152" s="1857">
        <v>6.3389620000000004</v>
      </c>
      <c r="BD152" s="1857">
        <v>817.05499999999995</v>
      </c>
      <c r="BE152" s="1857">
        <v>35.899969419999998</v>
      </c>
      <c r="BF152" s="1857"/>
      <c r="BG152" s="1857"/>
      <c r="BH152" s="1857">
        <v>180.809</v>
      </c>
      <c r="BI152" s="1857">
        <v>10.287951680000001</v>
      </c>
      <c r="BJ152" s="1857">
        <v>1.306</v>
      </c>
      <c r="BK152" s="1857">
        <v>0.63117240000000008</v>
      </c>
      <c r="BL152" s="1857">
        <v>179.50299999999999</v>
      </c>
      <c r="BM152" s="1857">
        <v>9.6567792799999985</v>
      </c>
    </row>
    <row r="153" spans="1:65">
      <c r="A153" s="1854" t="s">
        <v>22</v>
      </c>
      <c r="B153" s="1865">
        <v>8787.241</v>
      </c>
      <c r="C153" s="1865">
        <v>2101.3580000000002</v>
      </c>
      <c r="D153" s="1865">
        <v>3429.92</v>
      </c>
      <c r="E153" s="1865">
        <v>2347.87</v>
      </c>
      <c r="F153" s="1865">
        <v>2097.3290000000002</v>
      </c>
      <c r="G153" s="1850">
        <v>912.12199999999996</v>
      </c>
      <c r="H153" s="1865">
        <v>18294.422999999999</v>
      </c>
      <c r="I153" s="1865">
        <v>2357.903855</v>
      </c>
      <c r="J153" s="1857">
        <v>7492.4030000000002</v>
      </c>
      <c r="K153" s="1850">
        <v>1742.426367</v>
      </c>
      <c r="L153" s="1857">
        <v>19.838000000000001</v>
      </c>
      <c r="M153" s="1857">
        <v>59.844197999999999</v>
      </c>
      <c r="N153" s="1857">
        <v>26.286999999999999</v>
      </c>
      <c r="O153" s="1857">
        <v>5.5121729999999998</v>
      </c>
      <c r="P153" s="1857">
        <v>3687.491</v>
      </c>
      <c r="Q153" s="1865">
        <v>175.67483100000001</v>
      </c>
      <c r="R153" s="1865">
        <v>1060.4639999999999</v>
      </c>
      <c r="S153" s="1865">
        <v>23.615728000000001</v>
      </c>
      <c r="T153" s="1865">
        <v>5503.0119999999997</v>
      </c>
      <c r="U153" s="1865">
        <v>301.88805300000001</v>
      </c>
      <c r="V153" s="1849"/>
      <c r="W153" s="1865"/>
      <c r="X153" s="1850">
        <v>1565.3920000000001</v>
      </c>
      <c r="Y153" s="1850">
        <v>72.558233000000001</v>
      </c>
      <c r="Z153" s="1850">
        <v>24.762</v>
      </c>
      <c r="AA153" s="1850">
        <v>8.6987780000000008</v>
      </c>
      <c r="AB153" s="1850">
        <v>1540.63</v>
      </c>
      <c r="AC153" s="1850">
        <v>63.859454999999997</v>
      </c>
      <c r="AD153" s="1857">
        <v>15907.776</v>
      </c>
      <c r="AE153" s="1857">
        <v>2224.8050029999999</v>
      </c>
      <c r="AF153" s="1857">
        <v>7317.3689999999997</v>
      </c>
      <c r="AG153" s="1857">
        <v>1715.3217959999999</v>
      </c>
      <c r="AH153" s="1857">
        <v>2666.63</v>
      </c>
      <c r="AI153" s="1857">
        <v>180.94201000000001</v>
      </c>
      <c r="AJ153" s="1857">
        <v>765.03499999999997</v>
      </c>
      <c r="AK153" s="1857">
        <v>15.604685999999999</v>
      </c>
      <c r="AL153" s="1857">
        <v>4574.9219999999996</v>
      </c>
      <c r="AM153" s="1857">
        <v>267.00664399999999</v>
      </c>
      <c r="AN153" s="1857"/>
      <c r="AO153" s="1857"/>
      <c r="AP153" s="1857">
        <v>1344.999</v>
      </c>
      <c r="AQ153" s="1857">
        <v>61.421467</v>
      </c>
      <c r="AR153" s="1857">
        <v>24.181999999999999</v>
      </c>
      <c r="AS153" s="1857">
        <v>8.3900629999999996</v>
      </c>
      <c r="AT153" s="1857">
        <v>1324.673</v>
      </c>
      <c r="AU153" s="1857">
        <v>53.144489999999998</v>
      </c>
      <c r="AV153" s="1857">
        <v>2386.6469999999999</v>
      </c>
      <c r="AW153" s="1857">
        <v>133.09885199999999</v>
      </c>
      <c r="AX153" s="1857">
        <v>201.321</v>
      </c>
      <c r="AY153" s="1857">
        <v>32.616743999999997</v>
      </c>
      <c r="AZ153" s="1857">
        <v>1040.6990000000001</v>
      </c>
      <c r="BA153" s="1857">
        <v>54.577019</v>
      </c>
      <c r="BB153" s="1857">
        <v>295.42899999999997</v>
      </c>
      <c r="BC153" s="1857">
        <v>8.0110419999999998</v>
      </c>
      <c r="BD153" s="1857">
        <v>928.09</v>
      </c>
      <c r="BE153" s="1857">
        <v>34.881408999999998</v>
      </c>
      <c r="BF153" s="1857"/>
      <c r="BG153" s="1857"/>
      <c r="BH153" s="1857">
        <v>216.53700000000001</v>
      </c>
      <c r="BI153" s="1857">
        <v>11.023680000000001</v>
      </c>
      <c r="BJ153" s="1857">
        <v>0.57999999999999996</v>
      </c>
      <c r="BK153" s="1857">
        <v>0.30871500000000002</v>
      </c>
      <c r="BL153" s="1857">
        <v>215.95699999999999</v>
      </c>
      <c r="BM153" s="1857">
        <v>10.714964999999999</v>
      </c>
    </row>
    <row r="154" spans="1:65">
      <c r="A154" s="1854" t="s">
        <v>23</v>
      </c>
      <c r="B154" s="1865">
        <v>8986.9950000000008</v>
      </c>
      <c r="C154" s="1865">
        <v>2347.7310000000002</v>
      </c>
      <c r="D154" s="1865">
        <v>3505.2429999999999</v>
      </c>
      <c r="E154" s="1865">
        <v>2414.12</v>
      </c>
      <c r="F154" s="1865">
        <v>2118.942</v>
      </c>
      <c r="G154" s="1850">
        <v>948.69</v>
      </c>
      <c r="H154" s="1865">
        <v>18682.89</v>
      </c>
      <c r="I154" s="1865">
        <v>2349.5640790000002</v>
      </c>
      <c r="J154" s="1857">
        <v>6761.16</v>
      </c>
      <c r="K154" s="1850">
        <v>1631.484177</v>
      </c>
      <c r="L154" s="1857">
        <v>24.091999999999999</v>
      </c>
      <c r="M154" s="1857">
        <v>124.843953</v>
      </c>
      <c r="N154" s="1857">
        <v>26.486000000000001</v>
      </c>
      <c r="O154" s="1857">
        <v>5.927899</v>
      </c>
      <c r="P154" s="1857">
        <v>4166.0129999999999</v>
      </c>
      <c r="Q154" s="1865">
        <v>173.95560499999999</v>
      </c>
      <c r="R154" s="1865">
        <v>1439.0319999999999</v>
      </c>
      <c r="S154" s="1865">
        <v>32.801513999999997</v>
      </c>
      <c r="T154" s="1865">
        <v>5940.6509999999998</v>
      </c>
      <c r="U154" s="1865">
        <v>341.13626299999999</v>
      </c>
      <c r="V154" s="1849">
        <v>1.8440000000000001</v>
      </c>
      <c r="W154" s="1864">
        <v>6.2872999999999998E-2</v>
      </c>
      <c r="X154" s="1850">
        <v>1762.644</v>
      </c>
      <c r="Y154" s="1850">
        <v>72.153308999999993</v>
      </c>
      <c r="Z154" s="1850">
        <v>29.114000000000001</v>
      </c>
      <c r="AA154" s="1850">
        <v>9.4616609999999994</v>
      </c>
      <c r="AB154" s="1850">
        <v>1733.53</v>
      </c>
      <c r="AC154" s="1850">
        <v>62.691648000000001</v>
      </c>
      <c r="AD154" s="1857">
        <v>16023.476000000001</v>
      </c>
      <c r="AE154" s="1857">
        <v>2210.0239339999998</v>
      </c>
      <c r="AF154" s="1857">
        <v>6555.5569999999998</v>
      </c>
      <c r="AG154" s="1857">
        <v>1599.54718</v>
      </c>
      <c r="AH154" s="1857">
        <v>3021.4969999999998</v>
      </c>
      <c r="AI154" s="1857">
        <v>244.34017800000001</v>
      </c>
      <c r="AJ154" s="1857">
        <v>1069.194</v>
      </c>
      <c r="AK154" s="1857">
        <v>23.520023999999999</v>
      </c>
      <c r="AL154" s="1857">
        <v>4929.4030000000002</v>
      </c>
      <c r="AM154" s="1857">
        <v>303.45389899999998</v>
      </c>
      <c r="AN154" s="1857">
        <v>1.4259999999999999</v>
      </c>
      <c r="AO154" s="1863">
        <v>3.3019E-2</v>
      </c>
      <c r="AP154" s="1857">
        <v>1511.7629999999999</v>
      </c>
      <c r="AQ154" s="1857">
        <v>62.529079000000003</v>
      </c>
      <c r="AR154" s="1857">
        <v>28.244</v>
      </c>
      <c r="AS154" s="1857">
        <v>9.2163699999999995</v>
      </c>
      <c r="AT154" s="1857">
        <v>1487.3489999999999</v>
      </c>
      <c r="AU154" s="1857">
        <v>53.433287999999997</v>
      </c>
      <c r="AV154" s="1857">
        <v>2659.4140000000002</v>
      </c>
      <c r="AW154" s="1857">
        <v>139.540145</v>
      </c>
      <c r="AX154" s="1857">
        <v>232.089</v>
      </c>
      <c r="AY154" s="1857">
        <v>37.864896000000002</v>
      </c>
      <c r="AZ154" s="1857">
        <v>1168.6079999999999</v>
      </c>
      <c r="BA154" s="1857">
        <v>54.459380000000003</v>
      </c>
      <c r="BB154" s="1857">
        <v>369.83800000000002</v>
      </c>
      <c r="BC154" s="1857">
        <v>9.2814899999999998</v>
      </c>
      <c r="BD154" s="1857">
        <v>1011.248</v>
      </c>
      <c r="BE154" s="1857">
        <v>37.682364</v>
      </c>
      <c r="BF154" s="1852">
        <v>0.41799999999999998</v>
      </c>
      <c r="BG154" s="1851">
        <v>2.9853999999999999E-2</v>
      </c>
      <c r="BH154" s="1857">
        <v>247.05099999999999</v>
      </c>
      <c r="BI154" s="1857">
        <v>9.5036509999999996</v>
      </c>
      <c r="BJ154" s="1851">
        <v>0.87</v>
      </c>
      <c r="BK154" s="1851">
        <v>0.24529100000000001</v>
      </c>
      <c r="BL154" s="1857">
        <v>246.18100000000001</v>
      </c>
      <c r="BM154" s="1857">
        <v>9.2583599999999997</v>
      </c>
    </row>
    <row r="155" spans="1:65">
      <c r="A155" s="1854" t="s">
        <v>24</v>
      </c>
      <c r="B155" s="1865">
        <v>9119.6540000000005</v>
      </c>
      <c r="C155" s="1865">
        <v>2453.9479999999999</v>
      </c>
      <c r="D155" s="1865">
        <v>3500.5219999999999</v>
      </c>
      <c r="E155" s="1865">
        <v>2444.6709999999998</v>
      </c>
      <c r="F155" s="1865">
        <v>2189.0970000000002</v>
      </c>
      <c r="G155" s="1850">
        <v>985.36400000000003</v>
      </c>
      <c r="H155" s="1865">
        <v>19400.391</v>
      </c>
      <c r="I155" s="1865">
        <v>2723.2378650000001</v>
      </c>
      <c r="J155" s="1857">
        <v>7256.1710000000003</v>
      </c>
      <c r="K155" s="1850">
        <v>1804.5969720000001</v>
      </c>
      <c r="L155" s="1857">
        <v>27.045000000000002</v>
      </c>
      <c r="M155" s="1857">
        <v>317.16351800000001</v>
      </c>
      <c r="N155" s="1857">
        <v>21.481999999999999</v>
      </c>
      <c r="O155" s="1857">
        <v>4.5839340000000002</v>
      </c>
      <c r="P155" s="1857">
        <v>3872.6480000000001</v>
      </c>
      <c r="Q155" s="1865">
        <v>142.585373</v>
      </c>
      <c r="R155" s="1865">
        <v>1532.482</v>
      </c>
      <c r="S155" s="1865">
        <v>31.323922</v>
      </c>
      <c r="T155" s="1865">
        <v>6134.4</v>
      </c>
      <c r="U155" s="1865">
        <v>350.50322299999999</v>
      </c>
      <c r="V155" s="1849">
        <v>6.3220000000000001</v>
      </c>
      <c r="W155" s="1864">
        <v>0.18315400000000001</v>
      </c>
      <c r="X155" s="1850">
        <v>2082.3229999999999</v>
      </c>
      <c r="Y155" s="1850">
        <v>103.621691</v>
      </c>
      <c r="Z155" s="1850">
        <v>29.79</v>
      </c>
      <c r="AA155" s="1850">
        <v>11.224579</v>
      </c>
      <c r="AB155" s="1850">
        <v>2052.5329999999999</v>
      </c>
      <c r="AC155" s="1850">
        <v>92.397112000000007</v>
      </c>
      <c r="AD155" s="1857">
        <v>16974.866999999998</v>
      </c>
      <c r="AE155" s="1857">
        <v>2594.6812100000002</v>
      </c>
      <c r="AF155" s="1857">
        <v>7090.875</v>
      </c>
      <c r="AG155" s="1857">
        <v>1777.7160140000001</v>
      </c>
      <c r="AH155" s="1857">
        <v>2901.7620000000002</v>
      </c>
      <c r="AI155" s="1857">
        <v>416.99421799999999</v>
      </c>
      <c r="AJ155" s="1857">
        <v>1168.085</v>
      </c>
      <c r="AK155" s="1857">
        <v>21.864367000000001</v>
      </c>
      <c r="AL155" s="1857">
        <v>5172.09</v>
      </c>
      <c r="AM155" s="1857">
        <v>313.02346199999999</v>
      </c>
      <c r="AN155" s="1857">
        <v>5.8470000000000004</v>
      </c>
      <c r="AO155" s="1863">
        <v>0.170212</v>
      </c>
      <c r="AP155" s="1857">
        <v>1799.876</v>
      </c>
      <c r="AQ155" s="1857">
        <v>86.631934999999999</v>
      </c>
      <c r="AR155" s="1857">
        <v>28.831</v>
      </c>
      <c r="AS155" s="1857">
        <v>10.823833</v>
      </c>
      <c r="AT155" s="1857">
        <v>1775.462</v>
      </c>
      <c r="AU155" s="1857">
        <v>75.953470999999993</v>
      </c>
      <c r="AV155" s="1857">
        <v>2425.5239999999999</v>
      </c>
      <c r="AW155" s="1857">
        <v>128.55665500000001</v>
      </c>
      <c r="AX155" s="1857">
        <v>186.77799999999999</v>
      </c>
      <c r="AY155" s="1857">
        <v>31.464891999999999</v>
      </c>
      <c r="AZ155" s="1857">
        <v>997.93100000000004</v>
      </c>
      <c r="BA155" s="1857">
        <v>42.754672999999997</v>
      </c>
      <c r="BB155" s="1857">
        <v>364.39699999999999</v>
      </c>
      <c r="BC155" s="1857">
        <v>9.4595549999999999</v>
      </c>
      <c r="BD155" s="1857">
        <v>962.31</v>
      </c>
      <c r="BE155" s="1857">
        <v>37.479761000000003</v>
      </c>
      <c r="BF155" s="1852">
        <v>0.47499999999999998</v>
      </c>
      <c r="BG155" s="1851">
        <v>1.2942E-2</v>
      </c>
      <c r="BH155" s="1857">
        <v>278.02999999999997</v>
      </c>
      <c r="BI155" s="1857">
        <v>16.844387000000001</v>
      </c>
      <c r="BJ155" s="1851">
        <v>0.95899999999999996</v>
      </c>
      <c r="BK155" s="1851">
        <v>0.40074599999999999</v>
      </c>
      <c r="BL155" s="1857">
        <v>277.07100000000003</v>
      </c>
      <c r="BM155" s="1857">
        <v>16.443641</v>
      </c>
    </row>
    <row r="156" spans="1:65">
      <c r="A156" s="1854" t="s">
        <v>25</v>
      </c>
      <c r="B156" s="1865">
        <v>9097.3220000000001</v>
      </c>
      <c r="C156" s="1865">
        <v>2752.0770000000002</v>
      </c>
      <c r="D156" s="1865">
        <v>3379.2130000000002</v>
      </c>
      <c r="E156" s="1865">
        <v>2459.5949999999998</v>
      </c>
      <c r="F156" s="1865">
        <v>2240.5410000000002</v>
      </c>
      <c r="G156" s="1850">
        <v>1017.973</v>
      </c>
      <c r="H156" s="1865">
        <v>20774.988000000001</v>
      </c>
      <c r="I156" s="1865">
        <v>2531.401621</v>
      </c>
      <c r="J156" s="1857">
        <v>7319.1019999999999</v>
      </c>
      <c r="K156" s="1850">
        <v>1679.8346819999999</v>
      </c>
      <c r="L156" s="1857">
        <v>22.988</v>
      </c>
      <c r="M156" s="1857">
        <v>163.384694</v>
      </c>
      <c r="N156" s="1857">
        <v>22.594999999999999</v>
      </c>
      <c r="O156" s="1857">
        <v>4.8047120000000003</v>
      </c>
      <c r="P156" s="1857">
        <v>4464.1689999999999</v>
      </c>
      <c r="Q156" s="1865">
        <v>179.34751299999999</v>
      </c>
      <c r="R156" s="1865">
        <v>1836.846</v>
      </c>
      <c r="S156" s="1865">
        <v>39.152150450000001</v>
      </c>
      <c r="T156" s="1865">
        <v>6479.7629999999999</v>
      </c>
      <c r="U156" s="1865">
        <v>373.16408999999999</v>
      </c>
      <c r="V156" s="1849">
        <v>7.1289999999999996</v>
      </c>
      <c r="W156" s="1864">
        <v>0.178096</v>
      </c>
      <c r="X156" s="1850">
        <v>2459.2420000000002</v>
      </c>
      <c r="Y156" s="1850">
        <v>130.68783400000001</v>
      </c>
      <c r="Z156" s="1850">
        <v>29.405999999999999</v>
      </c>
      <c r="AA156" s="1850">
        <v>12.052963999999999</v>
      </c>
      <c r="AB156" s="1850">
        <v>2429.8359999999998</v>
      </c>
      <c r="AC156" s="1850">
        <v>118.63487000000001</v>
      </c>
      <c r="AD156" s="1857">
        <v>18026.411</v>
      </c>
      <c r="AE156" s="1857">
        <v>2372.4023849999999</v>
      </c>
      <c r="AF156" s="1857">
        <v>7122.0320000000002</v>
      </c>
      <c r="AG156" s="1857">
        <v>1647.4519849999999</v>
      </c>
      <c r="AH156" s="1857">
        <v>3326.8760000000002</v>
      </c>
      <c r="AI156" s="1857">
        <v>283.82128499999999</v>
      </c>
      <c r="AJ156" s="1857">
        <v>1417.412</v>
      </c>
      <c r="AK156" s="1857">
        <v>28.16028945</v>
      </c>
      <c r="AL156" s="1857">
        <v>5452.6779999999999</v>
      </c>
      <c r="AM156" s="1857">
        <v>331.62051700000001</v>
      </c>
      <c r="AN156" s="1857">
        <v>6.4960000000000004</v>
      </c>
      <c r="AO156" s="1863">
        <v>0.148366</v>
      </c>
      <c r="AP156" s="1857">
        <v>2113.4459999999999</v>
      </c>
      <c r="AQ156" s="1857">
        <v>109.177346</v>
      </c>
      <c r="AR156" s="1857">
        <v>28.271000000000001</v>
      </c>
      <c r="AS156" s="1857">
        <v>11.674193000000001</v>
      </c>
      <c r="AT156" s="1857">
        <v>2090.058</v>
      </c>
      <c r="AU156" s="1857">
        <v>97.686038999999994</v>
      </c>
      <c r="AV156" s="1857">
        <v>2748.5770000000002</v>
      </c>
      <c r="AW156" s="1857">
        <v>158.999236</v>
      </c>
      <c r="AX156" s="1857">
        <v>219.66499999999999</v>
      </c>
      <c r="AY156" s="1857">
        <v>37.187409000000002</v>
      </c>
      <c r="AZ156" s="1857">
        <v>1160.2809999999999</v>
      </c>
      <c r="BA156" s="1857">
        <v>58.910921999999999</v>
      </c>
      <c r="BB156" s="1857">
        <v>419.43400000000003</v>
      </c>
      <c r="BC156" s="1857">
        <v>10.991861</v>
      </c>
      <c r="BD156" s="1857">
        <v>1027.085</v>
      </c>
      <c r="BE156" s="1857">
        <v>41.543573000000002</v>
      </c>
      <c r="BF156" s="1852">
        <v>0.63300000000000001</v>
      </c>
      <c r="BG156" s="1851">
        <v>2.9729999999999999E-2</v>
      </c>
      <c r="BH156" s="1857">
        <v>340.91300000000001</v>
      </c>
      <c r="BI156" s="1857">
        <v>21.327601999999999</v>
      </c>
      <c r="BJ156" s="1851">
        <v>1.135</v>
      </c>
      <c r="BK156" s="1851">
        <v>0.37877100000000002</v>
      </c>
      <c r="BL156" s="1857">
        <v>339.77800000000002</v>
      </c>
      <c r="BM156" s="1857">
        <v>20.948830999999998</v>
      </c>
    </row>
    <row r="157" spans="1:65">
      <c r="A157" s="1854" t="s">
        <v>26</v>
      </c>
      <c r="B157" s="1865">
        <v>9305.9459999999999</v>
      </c>
      <c r="C157" s="1865">
        <v>3011.799</v>
      </c>
      <c r="D157" s="1865">
        <v>3408.038</v>
      </c>
      <c r="E157" s="1865">
        <v>2502.5430000000001</v>
      </c>
      <c r="F157" s="1865">
        <v>2338.2089999999998</v>
      </c>
      <c r="G157" s="1850">
        <v>1057.1559999999999</v>
      </c>
      <c r="H157" s="1865">
        <v>20674.400000000001</v>
      </c>
      <c r="I157" s="1865">
        <v>2478.5402720000002</v>
      </c>
      <c r="J157" s="1857">
        <v>6990.16</v>
      </c>
      <c r="K157" s="1850">
        <v>1642.29602</v>
      </c>
      <c r="L157" s="1857">
        <v>20.739000000000001</v>
      </c>
      <c r="M157" s="1857">
        <v>112.876581</v>
      </c>
      <c r="N157" s="1857">
        <v>21.704000000000001</v>
      </c>
      <c r="O157" s="1857">
        <v>4.4210269999999996</v>
      </c>
      <c r="P157" s="1857">
        <v>4722.6639999999998</v>
      </c>
      <c r="Q157" s="1865">
        <v>206.76544699999999</v>
      </c>
      <c r="R157" s="1865">
        <v>1992.4749999999999</v>
      </c>
      <c r="S157" s="1865">
        <v>48.576447000000002</v>
      </c>
      <c r="T157" s="1865">
        <v>6392.7179999999998</v>
      </c>
      <c r="U157" s="1865">
        <v>377.49714799999998</v>
      </c>
      <c r="V157" s="1849">
        <v>7.61</v>
      </c>
      <c r="W157" s="1864">
        <v>0.22120999999999999</v>
      </c>
      <c r="X157" s="1850">
        <v>2518.8049999999998</v>
      </c>
      <c r="Y157" s="1850">
        <v>134.462839</v>
      </c>
      <c r="Z157" s="1850">
        <v>29.939</v>
      </c>
      <c r="AA157" s="1850">
        <v>12.607407</v>
      </c>
      <c r="AB157" s="1850">
        <v>2488.866</v>
      </c>
      <c r="AC157" s="1850">
        <v>121.85543199999999</v>
      </c>
      <c r="AD157" s="1857">
        <v>17565.598999999998</v>
      </c>
      <c r="AE157" s="1857">
        <v>2299.6619719999999</v>
      </c>
      <c r="AF157" s="1857">
        <v>6734.8329999999996</v>
      </c>
      <c r="AG157" s="1857">
        <v>1601.0193280000001</v>
      </c>
      <c r="AH157" s="1857">
        <v>3360.5940000000001</v>
      </c>
      <c r="AI157" s="1857">
        <v>250.52866900000001</v>
      </c>
      <c r="AJ157" s="1857">
        <v>1457.2080000000001</v>
      </c>
      <c r="AK157" s="1857">
        <v>34.725301000000002</v>
      </c>
      <c r="AL157" s="1857">
        <v>5303.2250000000004</v>
      </c>
      <c r="AM157" s="1857">
        <v>335.45137</v>
      </c>
      <c r="AN157" s="1857">
        <v>6.0940000000000003</v>
      </c>
      <c r="AO157" s="1863">
        <v>0.15751000000000001</v>
      </c>
      <c r="AP157" s="1857">
        <v>2156.4070000000002</v>
      </c>
      <c r="AQ157" s="1857">
        <v>112.34201</v>
      </c>
      <c r="AR157" s="1857">
        <v>28.571999999999999</v>
      </c>
      <c r="AS157" s="1857">
        <v>12.01135</v>
      </c>
      <c r="AT157" s="1857">
        <v>2132.2809999999999</v>
      </c>
      <c r="AU157" s="1857">
        <v>100.493745</v>
      </c>
      <c r="AV157" s="1857">
        <v>3108.8009999999999</v>
      </c>
      <c r="AW157" s="1857">
        <v>178.8783</v>
      </c>
      <c r="AX157" s="1857">
        <v>277.03100000000001</v>
      </c>
      <c r="AY157" s="1857">
        <v>45.697718999999999</v>
      </c>
      <c r="AZ157" s="1857">
        <v>1382.809</v>
      </c>
      <c r="BA157" s="1857">
        <v>69.113359000000003</v>
      </c>
      <c r="BB157" s="1857">
        <v>535.26700000000005</v>
      </c>
      <c r="BC157" s="1857">
        <v>13.851146</v>
      </c>
      <c r="BD157" s="1857">
        <v>1089.4929999999999</v>
      </c>
      <c r="BE157" s="1857">
        <v>42.045777999999999</v>
      </c>
      <c r="BF157" s="1852">
        <v>1.516</v>
      </c>
      <c r="BG157" s="1851">
        <v>6.3700000000000007E-2</v>
      </c>
      <c r="BH157" s="1857">
        <v>357.952</v>
      </c>
      <c r="BI157" s="1857">
        <v>21.957744000000002</v>
      </c>
      <c r="BJ157" s="1851">
        <v>1.367</v>
      </c>
      <c r="BK157" s="1851">
        <v>0.59605699999999995</v>
      </c>
      <c r="BL157" s="1857">
        <v>356.58499999999998</v>
      </c>
      <c r="BM157" s="1857">
        <v>21.361687</v>
      </c>
    </row>
    <row r="158" spans="1:65">
      <c r="A158" s="1854" t="s">
        <v>27</v>
      </c>
      <c r="B158" s="1865">
        <v>9452.6779999999999</v>
      </c>
      <c r="C158" s="1865">
        <v>3215.2429999999999</v>
      </c>
      <c r="D158" s="1865">
        <v>3423.8780000000002</v>
      </c>
      <c r="E158" s="1865">
        <v>2502.7449999999999</v>
      </c>
      <c r="F158" s="1865">
        <v>2459.605</v>
      </c>
      <c r="G158" s="1850">
        <v>1066.45</v>
      </c>
      <c r="H158" s="1865">
        <v>19203.418000000001</v>
      </c>
      <c r="I158" s="1865">
        <v>2417.7256790000001</v>
      </c>
      <c r="J158" s="1857">
        <v>6972.6360000000004</v>
      </c>
      <c r="K158" s="1850">
        <v>1678.585918</v>
      </c>
      <c r="L158" s="1857">
        <v>20.966999999999999</v>
      </c>
      <c r="M158" s="1857">
        <v>88.705933000000002</v>
      </c>
      <c r="N158" s="1857">
        <v>18.881</v>
      </c>
      <c r="O158" s="1857">
        <v>3.804745</v>
      </c>
      <c r="P158" s="1857">
        <v>4288.1210000000001</v>
      </c>
      <c r="Q158" s="1865">
        <v>200.70665399999999</v>
      </c>
      <c r="R158" s="1865">
        <v>2020.1389999999999</v>
      </c>
      <c r="S158" s="1865">
        <v>58.659925000000001</v>
      </c>
      <c r="T158" s="1865">
        <v>5857.8370000000004</v>
      </c>
      <c r="U158" s="1865">
        <v>341.360119</v>
      </c>
      <c r="V158" s="1849">
        <v>6.1550000000000002</v>
      </c>
      <c r="W158" s="1864">
        <v>0.148062</v>
      </c>
      <c r="X158" s="1850">
        <v>2038.8209999999999</v>
      </c>
      <c r="Y158" s="1850">
        <v>104.414248</v>
      </c>
      <c r="Z158" s="1850">
        <v>30.411000000000001</v>
      </c>
      <c r="AA158" s="1850">
        <v>11.670648</v>
      </c>
      <c r="AB158" s="1850">
        <v>2008.41</v>
      </c>
      <c r="AC158" s="1850">
        <v>92.743600000000001</v>
      </c>
      <c r="AD158" s="1857">
        <v>16369.124</v>
      </c>
      <c r="AE158" s="1857">
        <v>2261.3075530000001</v>
      </c>
      <c r="AF158" s="1857">
        <v>6739.0280000000002</v>
      </c>
      <c r="AG158" s="1857">
        <v>1640.8090090000001</v>
      </c>
      <c r="AH158" s="1857">
        <v>3046.1979999999999</v>
      </c>
      <c r="AI158" s="1857">
        <v>230.04723200000001</v>
      </c>
      <c r="AJ158" s="1857">
        <v>1391.2629999999999</v>
      </c>
      <c r="AK158" s="1857">
        <v>42.857540999999998</v>
      </c>
      <c r="AL158" s="1857">
        <v>4831.2020000000002</v>
      </c>
      <c r="AM158" s="1857">
        <v>302.93318399999998</v>
      </c>
      <c r="AN158" s="1857">
        <v>3.01</v>
      </c>
      <c r="AO158" s="1863">
        <v>8.1709000000000004E-2</v>
      </c>
      <c r="AP158" s="1857">
        <v>1746.1120000000001</v>
      </c>
      <c r="AQ158" s="1857">
        <v>87.314482999999996</v>
      </c>
      <c r="AR158" s="1857">
        <v>28.797999999999998</v>
      </c>
      <c r="AS158" s="1857">
        <v>11.117331</v>
      </c>
      <c r="AT158" s="1857">
        <v>1720.8879999999999</v>
      </c>
      <c r="AU158" s="1857">
        <v>76.319087999999994</v>
      </c>
      <c r="AV158" s="1857">
        <v>2834.2939999999999</v>
      </c>
      <c r="AW158" s="1857">
        <v>156.418126</v>
      </c>
      <c r="AX158" s="1857">
        <v>252.489</v>
      </c>
      <c r="AY158" s="1857">
        <v>41.581654</v>
      </c>
      <c r="AZ158" s="1857">
        <v>1262.8900000000001</v>
      </c>
      <c r="BA158" s="1857">
        <v>59.365355000000001</v>
      </c>
      <c r="BB158" s="1857">
        <v>628.87599999999998</v>
      </c>
      <c r="BC158" s="1857">
        <v>15.802384</v>
      </c>
      <c r="BD158" s="1857">
        <v>1026.635</v>
      </c>
      <c r="BE158" s="1857">
        <v>38.426935</v>
      </c>
      <c r="BF158" s="1852">
        <v>3.145</v>
      </c>
      <c r="BG158" s="1851">
        <v>6.6352999999999995E-2</v>
      </c>
      <c r="BH158" s="1857">
        <v>289.13499999999999</v>
      </c>
      <c r="BI158" s="1857">
        <v>16.977829</v>
      </c>
      <c r="BJ158" s="1851">
        <v>1.613</v>
      </c>
      <c r="BK158" s="1851">
        <v>0.55331699999999995</v>
      </c>
      <c r="BL158" s="1857">
        <v>287.52199999999999</v>
      </c>
      <c r="BM158" s="1857">
        <v>16.424512</v>
      </c>
    </row>
    <row r="159" spans="1:65">
      <c r="A159" s="1781">
        <v>11</v>
      </c>
      <c r="B159" s="1849">
        <v>9475.9750000000004</v>
      </c>
      <c r="C159" s="1849">
        <v>3445.0239999999999</v>
      </c>
      <c r="D159" s="1849">
        <v>3424.8130000000001</v>
      </c>
      <c r="E159" s="1849">
        <v>2519.2420000000002</v>
      </c>
      <c r="F159" s="1849">
        <v>2459.0349999999999</v>
      </c>
      <c r="G159" s="1849">
        <v>1072.885</v>
      </c>
      <c r="H159" s="1849">
        <v>20540.238000000001</v>
      </c>
      <c r="I159" s="1849">
        <v>2513.7848939999999</v>
      </c>
      <c r="J159" s="1849">
        <v>6975.174</v>
      </c>
      <c r="K159" s="1849">
        <v>1692.22912</v>
      </c>
      <c r="L159" s="1849">
        <v>19.385000000000002</v>
      </c>
      <c r="M159" s="1849">
        <v>102.336068</v>
      </c>
      <c r="N159" s="1849">
        <v>20.167999999999999</v>
      </c>
      <c r="O159" s="1849">
        <v>3.8771580000000001</v>
      </c>
      <c r="P159" s="1849">
        <v>4618.8469999999998</v>
      </c>
      <c r="Q159" s="1849">
        <v>226.136775</v>
      </c>
      <c r="R159" s="1849">
        <v>2168.0230000000001</v>
      </c>
      <c r="S159" s="1849">
        <v>70.913545499999998</v>
      </c>
      <c r="T159" s="1849">
        <v>6299.8720000000003</v>
      </c>
      <c r="U159" s="1849">
        <v>361.30739799999998</v>
      </c>
      <c r="V159" s="1849">
        <v>5.859</v>
      </c>
      <c r="W159" s="1853">
        <v>0.20042599999999999</v>
      </c>
      <c r="X159" s="1850">
        <v>2600.933</v>
      </c>
      <c r="Y159" s="1850">
        <v>127.69794899999999</v>
      </c>
      <c r="Z159" s="1850">
        <v>30.239000000000001</v>
      </c>
      <c r="AA159" s="1850">
        <v>11.438359</v>
      </c>
      <c r="AB159" s="1850">
        <v>2570.694</v>
      </c>
      <c r="AC159" s="1850">
        <v>116.25959</v>
      </c>
      <c r="AD159" s="1850">
        <v>17394.133000000002</v>
      </c>
      <c r="AE159" s="1850">
        <v>2334.7513669999998</v>
      </c>
      <c r="AF159" s="1850">
        <v>6745.7830000000004</v>
      </c>
      <c r="AG159" s="1850">
        <v>1654.9834350000001</v>
      </c>
      <c r="AH159" s="1850">
        <v>3286.777</v>
      </c>
      <c r="AI159" s="1850">
        <v>256.61196200000001</v>
      </c>
      <c r="AJ159" s="1850">
        <v>1526.673</v>
      </c>
      <c r="AK159" s="1850">
        <v>53.118834499999998</v>
      </c>
      <c r="AL159" s="1850">
        <v>5178.6270000000004</v>
      </c>
      <c r="AM159" s="1850">
        <v>318.550904</v>
      </c>
      <c r="AN159" s="1850">
        <v>2.3839999999999999</v>
      </c>
      <c r="AO159" s="1851">
        <v>0.107824</v>
      </c>
      <c r="AP159" s="1850">
        <v>2175.9180000000001</v>
      </c>
      <c r="AQ159" s="1850">
        <v>104.339814</v>
      </c>
      <c r="AR159" s="1850">
        <v>28.51</v>
      </c>
      <c r="AS159" s="1850">
        <v>10.822011</v>
      </c>
      <c r="AT159" s="1850">
        <v>2152.0520000000001</v>
      </c>
      <c r="AU159" s="1850">
        <v>93.675230999999997</v>
      </c>
      <c r="AV159" s="1850">
        <v>3146.105</v>
      </c>
      <c r="AW159" s="1850">
        <v>179.03352699999999</v>
      </c>
      <c r="AX159" s="1850">
        <v>249.559</v>
      </c>
      <c r="AY159" s="1850">
        <v>41.122843000000003</v>
      </c>
      <c r="AZ159" s="1850">
        <v>1351.4549999999999</v>
      </c>
      <c r="BA159" s="1850">
        <v>71.860881000000006</v>
      </c>
      <c r="BB159" s="1850">
        <v>641.35</v>
      </c>
      <c r="BC159" s="1850">
        <v>17.794711</v>
      </c>
      <c r="BD159" s="1850">
        <v>1121.2449999999999</v>
      </c>
      <c r="BE159" s="1850">
        <v>42.756494000000004</v>
      </c>
      <c r="BF159" s="1852">
        <v>3.4750000000000001</v>
      </c>
      <c r="BG159" s="1851">
        <v>9.2602000000000004E-2</v>
      </c>
      <c r="BH159" s="1850">
        <v>420.37099999999998</v>
      </c>
      <c r="BI159" s="1858">
        <v>23.200707000000001</v>
      </c>
      <c r="BJ159" s="1851">
        <v>1.7290000000000001</v>
      </c>
      <c r="BK159" s="1851">
        <v>0.61634800000000001</v>
      </c>
      <c r="BL159" s="1850">
        <v>418.642</v>
      </c>
      <c r="BM159" s="1858">
        <v>22.584358999999999</v>
      </c>
    </row>
    <row r="160" spans="1:65">
      <c r="A160" s="1781">
        <v>12</v>
      </c>
      <c r="B160" s="1849">
        <v>9571.1640000000007</v>
      </c>
      <c r="C160" s="1849">
        <v>3680.7280000000001</v>
      </c>
      <c r="D160" s="1849">
        <v>3443.3139999999999</v>
      </c>
      <c r="E160" s="1849">
        <v>2525.0369999999998</v>
      </c>
      <c r="F160" s="1849">
        <v>2510.0189999999998</v>
      </c>
      <c r="G160" s="1849">
        <v>1092.7940000000001</v>
      </c>
      <c r="H160" s="1849">
        <v>24090.591</v>
      </c>
      <c r="I160" s="1849">
        <v>3204.97114203</v>
      </c>
      <c r="J160" s="1849">
        <v>8298.2579999999998</v>
      </c>
      <c r="K160" s="1849">
        <v>2166.7434210000001</v>
      </c>
      <c r="L160" s="1849">
        <v>29.954999999999998</v>
      </c>
      <c r="M160" s="1849">
        <v>180.90854580999999</v>
      </c>
      <c r="N160" s="1849">
        <v>25.042000000000002</v>
      </c>
      <c r="O160" s="1849">
        <v>4.8637509999999997</v>
      </c>
      <c r="P160" s="1849">
        <v>5503.7259999999997</v>
      </c>
      <c r="Q160" s="1849">
        <v>268.22397360000002</v>
      </c>
      <c r="R160" s="1849">
        <v>2830.194</v>
      </c>
      <c r="S160" s="1849">
        <v>101.45641621</v>
      </c>
      <c r="T160" s="1849">
        <v>7469.4470000000001</v>
      </c>
      <c r="U160" s="1849">
        <v>455.16136040999999</v>
      </c>
      <c r="V160" s="1849">
        <v>8.0950000000000006</v>
      </c>
      <c r="W160" s="1853">
        <v>0.191718</v>
      </c>
      <c r="X160" s="1850">
        <v>2756.0680000000002</v>
      </c>
      <c r="Y160" s="1850">
        <v>128.87837221000001</v>
      </c>
      <c r="Z160" s="1850">
        <v>28.492999999999999</v>
      </c>
      <c r="AA160" s="1850">
        <v>11.270687990000001</v>
      </c>
      <c r="AB160" s="1850">
        <v>2727.5749999999998</v>
      </c>
      <c r="AC160" s="1850">
        <v>117.60768422</v>
      </c>
      <c r="AD160" s="1850">
        <v>20570.312000000002</v>
      </c>
      <c r="AE160" s="1850">
        <v>3002.7652210299998</v>
      </c>
      <c r="AF160" s="1850">
        <v>8058.6639999999998</v>
      </c>
      <c r="AG160" s="1850">
        <v>2122.695369</v>
      </c>
      <c r="AH160" s="1850">
        <v>3957.3</v>
      </c>
      <c r="AI160" s="1850">
        <v>368.97284540999999</v>
      </c>
      <c r="AJ160" s="1850">
        <v>1956.49</v>
      </c>
      <c r="AK160" s="1850">
        <v>77.173961209999987</v>
      </c>
      <c r="AL160" s="1850">
        <v>6220.826</v>
      </c>
      <c r="AM160" s="1850">
        <v>404.20625840999998</v>
      </c>
      <c r="AN160" s="1850">
        <v>3.99</v>
      </c>
      <c r="AO160" s="1851">
        <v>9.9312999999999999E-2</v>
      </c>
      <c r="AP160" s="1850">
        <v>2324.5439999999999</v>
      </c>
      <c r="AQ160" s="1850">
        <v>106.61877421</v>
      </c>
      <c r="AR160" s="1850">
        <v>27.027999999999999</v>
      </c>
      <c r="AS160" s="1850">
        <v>10.74177999</v>
      </c>
      <c r="AT160" s="1850">
        <v>2302.5039999999999</v>
      </c>
      <c r="AU160" s="1850">
        <v>96.049655220000005</v>
      </c>
      <c r="AV160" s="1850">
        <v>3520.279</v>
      </c>
      <c r="AW160" s="1850">
        <v>202.20592099999999</v>
      </c>
      <c r="AX160" s="1850">
        <v>264.63600000000002</v>
      </c>
      <c r="AY160" s="1850">
        <v>48.911802999999999</v>
      </c>
      <c r="AZ160" s="1850">
        <v>1576.3810000000001</v>
      </c>
      <c r="BA160" s="1850">
        <v>80.159673999999995</v>
      </c>
      <c r="BB160" s="1850">
        <v>873.70399999999995</v>
      </c>
      <c r="BC160" s="1850">
        <v>24.282454999999999</v>
      </c>
      <c r="BD160" s="1850">
        <v>1248.6210000000001</v>
      </c>
      <c r="BE160" s="1850">
        <v>50.955101999999997</v>
      </c>
      <c r="BF160" s="1852">
        <v>4.1050000000000004</v>
      </c>
      <c r="BG160" s="1851">
        <v>9.2405000000000001E-2</v>
      </c>
      <c r="BH160" s="1850">
        <v>426.536</v>
      </c>
      <c r="BI160" s="1858">
        <v>22.086936999999999</v>
      </c>
      <c r="BJ160" s="1851">
        <v>1.4650000000000001</v>
      </c>
      <c r="BK160" s="1851">
        <v>0.52890800000000004</v>
      </c>
      <c r="BL160" s="1850">
        <v>425.07100000000003</v>
      </c>
      <c r="BM160" s="1858">
        <v>21.558029000000001</v>
      </c>
    </row>
    <row r="161" spans="1:65">
      <c r="A161" s="1781">
        <v>2021</v>
      </c>
      <c r="B161" s="1855">
        <v>11480.316000000001</v>
      </c>
      <c r="C161" s="1855">
        <v>7481</v>
      </c>
      <c r="D161" s="1855">
        <v>3469.1590000000001</v>
      </c>
      <c r="E161" s="1855">
        <v>2627.3690000000001</v>
      </c>
      <c r="F161" s="1855">
        <v>3974.317</v>
      </c>
      <c r="G161" s="1855">
        <v>1409.471</v>
      </c>
      <c r="H161" s="1855">
        <f t="shared" ref="H161:AM161" si="33">SUM(H162:H173)</f>
        <v>356800.38299999997</v>
      </c>
      <c r="I161" s="1855">
        <f t="shared" si="33"/>
        <v>37972.953548607198</v>
      </c>
      <c r="J161" s="1855">
        <f t="shared" si="33"/>
        <v>99836.136999999988</v>
      </c>
      <c r="K161" s="1855">
        <f t="shared" si="33"/>
        <v>23510.59604715</v>
      </c>
      <c r="L161" s="1855">
        <f t="shared" si="33"/>
        <v>291.06399999999996</v>
      </c>
      <c r="M161" s="1855">
        <f t="shared" si="33"/>
        <v>1111.12516916</v>
      </c>
      <c r="N161" s="1855">
        <f t="shared" si="33"/>
        <v>136.51199999999997</v>
      </c>
      <c r="O161" s="1855">
        <f t="shared" si="33"/>
        <v>28.538134440000004</v>
      </c>
      <c r="P161" s="1855">
        <f t="shared" si="33"/>
        <v>105143.103</v>
      </c>
      <c r="Q161" s="1855">
        <f t="shared" si="33"/>
        <v>3931.2913734348003</v>
      </c>
      <c r="R161" s="1855">
        <f t="shared" si="33"/>
        <v>71820.837</v>
      </c>
      <c r="S161" s="1855">
        <f t="shared" si="33"/>
        <v>2409.2634418947068</v>
      </c>
      <c r="T161" s="1855">
        <f t="shared" si="33"/>
        <v>110095.22300000001</v>
      </c>
      <c r="U161" s="1855">
        <f t="shared" si="33"/>
        <v>7501.2473664433001</v>
      </c>
      <c r="V161" s="1855">
        <f t="shared" si="33"/>
        <v>247.46</v>
      </c>
      <c r="W161" s="1862">
        <f t="shared" si="33"/>
        <v>7.1047250000000002</v>
      </c>
      <c r="X161" s="1855">
        <f t="shared" si="33"/>
        <v>41050.373999999996</v>
      </c>
      <c r="Y161" s="1855">
        <f t="shared" si="33"/>
        <v>1882.9339679791001</v>
      </c>
      <c r="Z161" s="1855">
        <f t="shared" si="33"/>
        <v>543.86400000000003</v>
      </c>
      <c r="AA161" s="1855">
        <f t="shared" si="33"/>
        <v>147.58227605085401</v>
      </c>
      <c r="AB161" s="1855">
        <f t="shared" si="33"/>
        <v>40506.509999999995</v>
      </c>
      <c r="AC161" s="1855">
        <f t="shared" si="33"/>
        <v>1735.3516919282781</v>
      </c>
      <c r="AD161" s="1855">
        <f t="shared" si="33"/>
        <v>310341.42</v>
      </c>
      <c r="AE161" s="1855">
        <f t="shared" si="33"/>
        <v>35533.667371787305</v>
      </c>
      <c r="AF161" s="1855">
        <f t="shared" si="33"/>
        <v>96509.072</v>
      </c>
      <c r="AG161" s="1855">
        <f t="shared" si="33"/>
        <v>22978.59307237</v>
      </c>
      <c r="AH161" s="1855">
        <f t="shared" si="33"/>
        <v>80919.808999999994</v>
      </c>
      <c r="AI161" s="1855">
        <f t="shared" si="33"/>
        <v>3961.9341812055</v>
      </c>
      <c r="AJ161" s="1855">
        <f t="shared" si="33"/>
        <v>54701.217000000011</v>
      </c>
      <c r="AK161" s="1855">
        <f t="shared" si="33"/>
        <v>1864.1913579147072</v>
      </c>
      <c r="AL161" s="1855">
        <f t="shared" si="33"/>
        <v>95749.596999999994</v>
      </c>
      <c r="AM161" s="1855">
        <f t="shared" si="33"/>
        <v>6916.8214802907996</v>
      </c>
      <c r="AN161" s="1855">
        <f t="shared" ref="AN161:BM161" si="34">SUM(AN162:AN173)</f>
        <v>238.30500000000001</v>
      </c>
      <c r="AO161" s="1862">
        <f t="shared" si="34"/>
        <v>6.4175019999999998</v>
      </c>
      <c r="AP161" s="1855">
        <f t="shared" si="34"/>
        <v>36924.15</v>
      </c>
      <c r="AQ161" s="1855">
        <f t="shared" si="34"/>
        <v>1669.7866659209999</v>
      </c>
      <c r="AR161" s="1855">
        <f t="shared" si="34"/>
        <v>530.90200000000004</v>
      </c>
      <c r="AS161" s="1855">
        <f t="shared" si="34"/>
        <v>144.28198515085398</v>
      </c>
      <c r="AT161" s="1855">
        <f t="shared" si="34"/>
        <v>36393.248000000007</v>
      </c>
      <c r="AU161" s="1855">
        <f t="shared" si="34"/>
        <v>1525.504680770169</v>
      </c>
      <c r="AV161" s="1855">
        <f t="shared" si="34"/>
        <v>46458.963000000003</v>
      </c>
      <c r="AW161" s="1855">
        <f t="shared" si="34"/>
        <v>2439.2861768199</v>
      </c>
      <c r="AX161" s="1855">
        <f t="shared" si="34"/>
        <v>3463.5769999999998</v>
      </c>
      <c r="AY161" s="1855">
        <f t="shared" si="34"/>
        <v>560.54110922000007</v>
      </c>
      <c r="AZ161" s="1855">
        <f t="shared" si="34"/>
        <v>24514.358</v>
      </c>
      <c r="BA161" s="1855">
        <f t="shared" si="34"/>
        <v>1080.4823613893</v>
      </c>
      <c r="BB161" s="1855">
        <f t="shared" si="34"/>
        <v>17119.62</v>
      </c>
      <c r="BC161" s="1855">
        <f t="shared" si="34"/>
        <v>545.07208398</v>
      </c>
      <c r="BD161" s="1859">
        <f t="shared" si="34"/>
        <v>14345.626</v>
      </c>
      <c r="BE161" s="1859">
        <f t="shared" si="34"/>
        <v>584.42588615250008</v>
      </c>
      <c r="BF161" s="1861">
        <f t="shared" si="34"/>
        <v>9.1549999999999994</v>
      </c>
      <c r="BG161" s="1860">
        <f t="shared" si="34"/>
        <v>0.68722299999999992</v>
      </c>
      <c r="BH161" s="1859">
        <f t="shared" si="34"/>
        <v>4126.2240000000002</v>
      </c>
      <c r="BI161" s="1859">
        <f t="shared" si="34"/>
        <v>213.14730205810002</v>
      </c>
      <c r="BJ161" s="1859">
        <f t="shared" si="34"/>
        <v>12.962000000000002</v>
      </c>
      <c r="BK161" s="1859">
        <f t="shared" si="34"/>
        <v>3.3002909000000002</v>
      </c>
      <c r="BL161" s="1859">
        <f t="shared" si="34"/>
        <v>4113.2619999999997</v>
      </c>
      <c r="BM161" s="1859">
        <f t="shared" si="34"/>
        <v>209.84701115810901</v>
      </c>
    </row>
    <row r="162" spans="1:65">
      <c r="A162" s="1854" t="s">
        <v>18</v>
      </c>
      <c r="B162" s="1849">
        <v>9760.6170000000002</v>
      </c>
      <c r="C162" s="1849">
        <v>4014.797</v>
      </c>
      <c r="D162" s="1849">
        <v>3434.6280000000002</v>
      </c>
      <c r="E162" s="1849">
        <v>2581.502</v>
      </c>
      <c r="F162" s="1849">
        <v>2639.6959999999999</v>
      </c>
      <c r="G162" s="1849">
        <v>1104.7909999999999</v>
      </c>
      <c r="H162" s="1849">
        <v>21043.649000000001</v>
      </c>
      <c r="I162" s="1849">
        <v>2273.1569157459999</v>
      </c>
      <c r="J162" s="1849">
        <v>6038.473</v>
      </c>
      <c r="K162" s="1849">
        <v>1468.103601</v>
      </c>
      <c r="L162" s="1849">
        <v>18.361999999999998</v>
      </c>
      <c r="M162" s="1849">
        <v>75.193014689999998</v>
      </c>
      <c r="N162" s="1849">
        <v>26.222000000000001</v>
      </c>
      <c r="O162" s="1849">
        <v>4.9778965399999997</v>
      </c>
      <c r="P162" s="1849">
        <v>5429.8059999999996</v>
      </c>
      <c r="Q162" s="1849">
        <v>221.37275725999999</v>
      </c>
      <c r="R162" s="1849">
        <v>2963.0479999999998</v>
      </c>
      <c r="S162" s="1849">
        <v>94.596223019999996</v>
      </c>
      <c r="T162" s="1849">
        <v>6728.3850000000002</v>
      </c>
      <c r="U162" s="1849">
        <v>380.40862532</v>
      </c>
      <c r="V162" s="1849">
        <v>6.9870000000000001</v>
      </c>
      <c r="W162" s="1853">
        <v>0.152508</v>
      </c>
      <c r="X162" s="1850">
        <v>2795.4140000000002</v>
      </c>
      <c r="Y162" s="1850">
        <v>122.948512936</v>
      </c>
      <c r="Z162" s="1850">
        <v>24.818999999999999</v>
      </c>
      <c r="AA162" s="1850">
        <v>9.4500660399999994</v>
      </c>
      <c r="AB162" s="1850">
        <v>2770.5949999999998</v>
      </c>
      <c r="AC162" s="1850">
        <v>113.498446896</v>
      </c>
      <c r="AD162" s="1850">
        <v>18228.508000000002</v>
      </c>
      <c r="AE162" s="1850">
        <v>2130.2457305859998</v>
      </c>
      <c r="AF162" s="1850">
        <v>5854.2290000000003</v>
      </c>
      <c r="AG162" s="1850">
        <v>1440.3522347600001</v>
      </c>
      <c r="AH162" s="1850">
        <v>4097.0969999999998</v>
      </c>
      <c r="AI162" s="1850">
        <v>234.14933067000001</v>
      </c>
      <c r="AJ162" s="1850">
        <v>2243.6860000000001</v>
      </c>
      <c r="AK162" s="1850">
        <v>75.294888329999992</v>
      </c>
      <c r="AL162" s="1850">
        <v>5761.3329999999996</v>
      </c>
      <c r="AM162" s="1850">
        <v>347.10580184999998</v>
      </c>
      <c r="AN162" s="1850">
        <v>6.6680000000000001</v>
      </c>
      <c r="AO162" s="1851">
        <v>0.13993800000000001</v>
      </c>
      <c r="AP162" s="1850">
        <v>2509.181</v>
      </c>
      <c r="AQ162" s="1850">
        <v>108.498425306</v>
      </c>
      <c r="AR162" s="1850">
        <v>24.263000000000002</v>
      </c>
      <c r="AS162" s="1850">
        <v>9.225507949999999</v>
      </c>
      <c r="AT162" s="1850">
        <v>2484.9180000000001</v>
      </c>
      <c r="AU162" s="1850">
        <v>99.272917355999994</v>
      </c>
      <c r="AV162" s="1850">
        <v>2815.1410000000001</v>
      </c>
      <c r="AW162" s="1850">
        <v>142.91118516</v>
      </c>
      <c r="AX162" s="1850">
        <v>210.46600000000001</v>
      </c>
      <c r="AY162" s="1850">
        <v>32.729262779999999</v>
      </c>
      <c r="AZ162" s="1850">
        <v>1351.0709999999999</v>
      </c>
      <c r="BA162" s="1850">
        <v>62.416441280000001</v>
      </c>
      <c r="BB162" s="1850">
        <v>719.36199999999997</v>
      </c>
      <c r="BC162" s="1850">
        <v>19.301334690000001</v>
      </c>
      <c r="BD162" s="1850">
        <v>967.05200000000002</v>
      </c>
      <c r="BE162" s="1850">
        <v>33.30282347</v>
      </c>
      <c r="BF162" s="1852">
        <v>0.31900000000000001</v>
      </c>
      <c r="BG162" s="1851">
        <v>1.257E-2</v>
      </c>
      <c r="BH162" s="1850">
        <v>286.233</v>
      </c>
      <c r="BI162" s="1858">
        <v>14.450087630000001</v>
      </c>
      <c r="BJ162" s="1851">
        <v>0.55600000000000005</v>
      </c>
      <c r="BK162" s="1851">
        <v>0.22455808999999999</v>
      </c>
      <c r="BL162" s="1850">
        <v>285.67700000000002</v>
      </c>
      <c r="BM162" s="1858">
        <v>14.22552954</v>
      </c>
    </row>
    <row r="163" spans="1:65">
      <c r="A163" s="1781" t="s">
        <v>19</v>
      </c>
      <c r="B163" s="1849">
        <v>9930.3549999999996</v>
      </c>
      <c r="C163" s="1849">
        <v>4257.5590000000002</v>
      </c>
      <c r="D163" s="1849">
        <v>3450.1860000000001</v>
      </c>
      <c r="E163" s="1849">
        <v>2586.0790000000002</v>
      </c>
      <c r="F163" s="1849">
        <v>2773.569</v>
      </c>
      <c r="G163" s="1849">
        <v>1120.521</v>
      </c>
      <c r="H163" s="1849">
        <v>22831.756000000001</v>
      </c>
      <c r="I163" s="1849">
        <v>2631.2725294400002</v>
      </c>
      <c r="J163" s="1849">
        <v>7467.0450000000001</v>
      </c>
      <c r="K163" s="1849">
        <v>1793.239771</v>
      </c>
      <c r="L163" s="1849">
        <v>22.669</v>
      </c>
      <c r="M163" s="1849">
        <v>72.851494500000001</v>
      </c>
      <c r="N163" s="1849">
        <v>25.831</v>
      </c>
      <c r="O163" s="1849">
        <v>5.1244300000000003</v>
      </c>
      <c r="P163" s="1849">
        <v>5889.8289999999997</v>
      </c>
      <c r="Q163" s="1849">
        <v>250.38865820999999</v>
      </c>
      <c r="R163" s="1849">
        <v>3342.2579999999998</v>
      </c>
      <c r="S163" s="1849">
        <v>111.30218594</v>
      </c>
      <c r="T163" s="1849">
        <v>6872.7640000000001</v>
      </c>
      <c r="U163" s="1849">
        <v>394.68785549</v>
      </c>
      <c r="V163" s="1849">
        <v>10.090999999999999</v>
      </c>
      <c r="W163" s="1853">
        <v>0.238403</v>
      </c>
      <c r="X163" s="1850">
        <v>2543.527</v>
      </c>
      <c r="Y163" s="1850">
        <v>114.74191724000001</v>
      </c>
      <c r="Z163" s="1850">
        <v>24.817</v>
      </c>
      <c r="AA163" s="1850">
        <v>10.112923</v>
      </c>
      <c r="AB163" s="1850">
        <v>2518.71</v>
      </c>
      <c r="AC163" s="1850">
        <v>104.62899424</v>
      </c>
      <c r="AD163" s="1850">
        <v>19896.603999999999</v>
      </c>
      <c r="AE163" s="1850">
        <v>2478.1669864400001</v>
      </c>
      <c r="AF163" s="1850">
        <v>7276.6480000000001</v>
      </c>
      <c r="AG163" s="1850">
        <v>1764.824073</v>
      </c>
      <c r="AH163" s="1850">
        <v>4422.9790000000003</v>
      </c>
      <c r="AI163" s="1850">
        <v>250.04170870999999</v>
      </c>
      <c r="AJ163" s="1850">
        <v>2517.0210000000002</v>
      </c>
      <c r="AK163" s="1850">
        <v>86.846934939999997</v>
      </c>
      <c r="AL163" s="1850">
        <v>5901.634</v>
      </c>
      <c r="AM163" s="1850">
        <v>360.81795448999998</v>
      </c>
      <c r="AN163" s="1850">
        <v>9.8230000000000004</v>
      </c>
      <c r="AO163" s="1851">
        <v>0.224715</v>
      </c>
      <c r="AP163" s="1850">
        <v>2285.52</v>
      </c>
      <c r="AQ163" s="1850">
        <v>102.25853524</v>
      </c>
      <c r="AR163" s="1850">
        <v>24.202000000000002</v>
      </c>
      <c r="AS163" s="1850">
        <v>9.9154940000000007</v>
      </c>
      <c r="AT163" s="1850">
        <v>2261.3180000000002</v>
      </c>
      <c r="AU163" s="1850">
        <v>92.343041239999991</v>
      </c>
      <c r="AV163" s="1850">
        <v>2935.152</v>
      </c>
      <c r="AW163" s="1850">
        <v>153.10554300000001</v>
      </c>
      <c r="AX163" s="1850">
        <v>216.22800000000001</v>
      </c>
      <c r="AY163" s="1850">
        <v>33.540128000000003</v>
      </c>
      <c r="AZ163" s="1850">
        <v>1489.519</v>
      </c>
      <c r="BA163" s="1850">
        <v>73.198443999999995</v>
      </c>
      <c r="BB163" s="1850">
        <v>825.23699999999997</v>
      </c>
      <c r="BC163" s="1850">
        <v>24.455251000000001</v>
      </c>
      <c r="BD163" s="1850">
        <v>971.13</v>
      </c>
      <c r="BE163" s="1850">
        <v>33.869900999999999</v>
      </c>
      <c r="BF163" s="1852">
        <v>0.26800000000000002</v>
      </c>
      <c r="BG163" s="1851">
        <v>1.3688000000000001E-2</v>
      </c>
      <c r="BH163" s="1850">
        <v>258.00700000000001</v>
      </c>
      <c r="BI163" s="1858">
        <v>12.483382000000001</v>
      </c>
      <c r="BJ163" s="1851">
        <v>0.61499999999999999</v>
      </c>
      <c r="BK163" s="1851">
        <v>0.19742899999999999</v>
      </c>
      <c r="BL163" s="1850">
        <v>257.392</v>
      </c>
      <c r="BM163" s="1858">
        <v>12.285952999999999</v>
      </c>
    </row>
    <row r="164" spans="1:65">
      <c r="A164" s="1854" t="s">
        <v>20</v>
      </c>
      <c r="B164" s="1849">
        <v>10126.07</v>
      </c>
      <c r="C164" s="1849">
        <v>4595.4570000000003</v>
      </c>
      <c r="D164" s="1849">
        <v>3458.4650000000001</v>
      </c>
      <c r="E164" s="1849">
        <v>2625.65</v>
      </c>
      <c r="F164" s="1849">
        <v>2896.8560000000002</v>
      </c>
      <c r="G164" s="1849">
        <v>1145.0989999999999</v>
      </c>
      <c r="H164" s="1849">
        <v>28053.136999999999</v>
      </c>
      <c r="I164" s="1849">
        <v>3172.2660824599998</v>
      </c>
      <c r="J164" s="1849">
        <v>9118.8649999999998</v>
      </c>
      <c r="K164" s="1849">
        <v>2139.8365170000002</v>
      </c>
      <c r="L164" s="1849">
        <v>24.222999999999999</v>
      </c>
      <c r="M164" s="1849">
        <v>73.025278520000001</v>
      </c>
      <c r="N164" s="1849">
        <v>21.568000000000001</v>
      </c>
      <c r="O164" s="1849">
        <v>3.0772179999999998</v>
      </c>
      <c r="P164" s="1849">
        <v>7685.1989999999996</v>
      </c>
      <c r="Q164" s="1849">
        <v>342.17187173999997</v>
      </c>
      <c r="R164" s="1849">
        <v>4454.4260000000004</v>
      </c>
      <c r="S164" s="1849">
        <v>153.27047540000001</v>
      </c>
      <c r="T164" s="1849">
        <v>8181.88</v>
      </c>
      <c r="U164" s="1849">
        <v>473.91183638000001</v>
      </c>
      <c r="V164" s="1849">
        <v>15.147</v>
      </c>
      <c r="W164" s="1853">
        <v>0.34889799999999999</v>
      </c>
      <c r="X164" s="1850">
        <v>3006.2550000000001</v>
      </c>
      <c r="Y164" s="1850">
        <v>139.89446282</v>
      </c>
      <c r="Z164" s="1850">
        <v>29.164000000000001</v>
      </c>
      <c r="AA164" s="1850">
        <v>11.865093119999999</v>
      </c>
      <c r="AB164" s="1850">
        <v>2977.0909999999999</v>
      </c>
      <c r="AC164" s="1850">
        <v>128.02936969999999</v>
      </c>
      <c r="AD164" s="1850">
        <v>24579.888999999999</v>
      </c>
      <c r="AE164" s="1850">
        <v>2983.06850833</v>
      </c>
      <c r="AF164" s="1850">
        <v>8902.2870000000003</v>
      </c>
      <c r="AG164" s="1850">
        <v>2106.0460194699999</v>
      </c>
      <c r="AH164" s="1850">
        <v>5872.8580000000002</v>
      </c>
      <c r="AI164" s="1850">
        <v>320.40523347999999</v>
      </c>
      <c r="AJ164" s="1850">
        <v>3390.2060000000001</v>
      </c>
      <c r="AK164" s="1850">
        <v>119.03286340000001</v>
      </c>
      <c r="AL164" s="1850">
        <v>7102.0630000000001</v>
      </c>
      <c r="AM164" s="1850">
        <v>435.14045737999999</v>
      </c>
      <c r="AN164" s="1850">
        <v>14.803000000000001</v>
      </c>
      <c r="AO164" s="1851">
        <v>0.33533400000000002</v>
      </c>
      <c r="AP164" s="1850">
        <v>2687.8780000000002</v>
      </c>
      <c r="AQ164" s="1850">
        <v>121.141464</v>
      </c>
      <c r="AR164" s="1850">
        <v>28.390999999999998</v>
      </c>
      <c r="AS164" s="1850">
        <v>11.58530412</v>
      </c>
      <c r="AT164" s="1850">
        <v>2659.4870000000001</v>
      </c>
      <c r="AU164" s="1850">
        <v>109.55615988</v>
      </c>
      <c r="AV164" s="1850">
        <v>3473.248</v>
      </c>
      <c r="AW164" s="1850">
        <v>189.19757412999999</v>
      </c>
      <c r="AX164" s="1850">
        <v>238.14599999999999</v>
      </c>
      <c r="AY164" s="1850">
        <v>36.867715529999998</v>
      </c>
      <c r="AZ164" s="1850">
        <v>1836.5640000000001</v>
      </c>
      <c r="BA164" s="1850">
        <v>94.791916779999994</v>
      </c>
      <c r="BB164" s="1850">
        <v>1064.22</v>
      </c>
      <c r="BC164" s="1850">
        <v>34.237611999999999</v>
      </c>
      <c r="BD164" s="1850">
        <v>1079.817</v>
      </c>
      <c r="BE164" s="1850">
        <v>38.771379000000003</v>
      </c>
      <c r="BF164" s="1852">
        <v>0.34399999999999997</v>
      </c>
      <c r="BG164" s="1851">
        <v>1.3564E-2</v>
      </c>
      <c r="BH164" s="1850">
        <v>318.37700000000001</v>
      </c>
      <c r="BI164" s="1858">
        <v>18.752998819999998</v>
      </c>
      <c r="BJ164" s="1851">
        <v>0.77300000000000002</v>
      </c>
      <c r="BK164" s="1851">
        <v>0.27978900000000001</v>
      </c>
      <c r="BL164" s="1850">
        <v>317.60399999999998</v>
      </c>
      <c r="BM164" s="1858">
        <v>18.473209820000001</v>
      </c>
    </row>
    <row r="165" spans="1:65">
      <c r="A165" s="1854" t="s">
        <v>21</v>
      </c>
      <c r="B165" s="1849">
        <v>10265.402</v>
      </c>
      <c r="C165" s="1849">
        <v>4934.009</v>
      </c>
      <c r="D165" s="1849">
        <v>3513.88</v>
      </c>
      <c r="E165" s="1849">
        <v>2634.3710000000001</v>
      </c>
      <c r="F165" s="1849">
        <v>2953.529</v>
      </c>
      <c r="G165" s="1849">
        <v>1163.6220000000001</v>
      </c>
      <c r="H165" s="1849">
        <v>25415.357</v>
      </c>
      <c r="I165" s="1849">
        <v>2768.7216210400002</v>
      </c>
      <c r="J165" s="1849">
        <v>7590.1610000000001</v>
      </c>
      <c r="K165" s="1849">
        <v>1780.298569</v>
      </c>
      <c r="L165" s="1849">
        <v>21.91</v>
      </c>
      <c r="M165" s="1849">
        <v>95.070249239999995</v>
      </c>
      <c r="N165" s="1849">
        <v>8.2460000000000004</v>
      </c>
      <c r="O165" s="1849">
        <v>2.04278</v>
      </c>
      <c r="P165" s="1849">
        <v>7445.0659999999998</v>
      </c>
      <c r="Q165" s="1849">
        <v>311.76677044000002</v>
      </c>
      <c r="R165" s="1849">
        <v>4575.16</v>
      </c>
      <c r="S165" s="1849">
        <v>151.690372939996</v>
      </c>
      <c r="T165" s="1849">
        <v>7388.6</v>
      </c>
      <c r="U165" s="1849">
        <v>454.14717686</v>
      </c>
      <c r="V165" s="1849">
        <v>18.949000000000002</v>
      </c>
      <c r="W165" s="1853">
        <v>0.52605100000000005</v>
      </c>
      <c r="X165" s="1850">
        <v>2941.915</v>
      </c>
      <c r="Y165" s="1850">
        <v>124.7532595</v>
      </c>
      <c r="Z165" s="1850">
        <v>25.870999999999999</v>
      </c>
      <c r="AA165" s="1850">
        <v>11.089974720000001</v>
      </c>
      <c r="AB165" s="1850">
        <v>2916.0439999999999</v>
      </c>
      <c r="AC165" s="1850">
        <v>113.66328478</v>
      </c>
      <c r="AD165" s="1850">
        <v>22051.011999999999</v>
      </c>
      <c r="AE165" s="1850">
        <v>2600.9660516099998</v>
      </c>
      <c r="AF165" s="1850">
        <v>7342.665</v>
      </c>
      <c r="AG165" s="1850">
        <v>1742.8750091700001</v>
      </c>
      <c r="AH165" s="1850">
        <v>5677.3670000000002</v>
      </c>
      <c r="AI165" s="1850">
        <v>329.61581308000001</v>
      </c>
      <c r="AJ165" s="1850">
        <v>3416.5819999999999</v>
      </c>
      <c r="AK165" s="1850">
        <v>117.826516939996</v>
      </c>
      <c r="AL165" s="1850">
        <v>6361.8739999999998</v>
      </c>
      <c r="AM165" s="1850">
        <v>417.36751786000002</v>
      </c>
      <c r="AN165" s="1850">
        <v>18.600999999999999</v>
      </c>
      <c r="AO165" s="1851">
        <v>0.49982599999999999</v>
      </c>
      <c r="AP165" s="1850">
        <v>2650.018</v>
      </c>
      <c r="AQ165" s="1850">
        <v>110.4934155</v>
      </c>
      <c r="AR165" s="1850">
        <v>25.321000000000002</v>
      </c>
      <c r="AS165" s="1850">
        <v>10.88633972</v>
      </c>
      <c r="AT165" s="1850">
        <v>2624.6970000000001</v>
      </c>
      <c r="AU165" s="1850">
        <v>99.607075780000002</v>
      </c>
      <c r="AV165" s="1850">
        <v>3364.3449999999998</v>
      </c>
      <c r="AW165" s="1850">
        <v>167.75556943000001</v>
      </c>
      <c r="AX165" s="1850">
        <v>255.74199999999999</v>
      </c>
      <c r="AY165" s="1850">
        <v>39.466339830000003</v>
      </c>
      <c r="AZ165" s="1850">
        <v>1789.6089999999999</v>
      </c>
      <c r="BA165" s="1850">
        <v>77.221206600000002</v>
      </c>
      <c r="BB165" s="1850">
        <v>1158.578</v>
      </c>
      <c r="BC165" s="1850">
        <v>33.863855999999998</v>
      </c>
      <c r="BD165" s="1850">
        <v>1026.7260000000001</v>
      </c>
      <c r="BE165" s="1850">
        <v>36.779659000000002</v>
      </c>
      <c r="BF165" s="1852">
        <v>0.34799999999999998</v>
      </c>
      <c r="BG165" s="1851">
        <v>2.6224999999999998E-2</v>
      </c>
      <c r="BH165" s="1850">
        <v>291.89699999999999</v>
      </c>
      <c r="BI165" s="1858">
        <v>14.259843999999999</v>
      </c>
      <c r="BJ165" s="1851">
        <v>0.55000000000000004</v>
      </c>
      <c r="BK165" s="1851">
        <v>0.20363500000000001</v>
      </c>
      <c r="BL165" s="1850">
        <v>291.34699999999998</v>
      </c>
      <c r="BM165" s="1858">
        <v>14.056209000000001</v>
      </c>
    </row>
    <row r="166" spans="1:65">
      <c r="A166" s="1854" t="s">
        <v>22</v>
      </c>
      <c r="B166" s="1849">
        <v>10347.49</v>
      </c>
      <c r="C166" s="1849">
        <v>5130.4669999999996</v>
      </c>
      <c r="D166" s="1849">
        <v>3502.8910000000001</v>
      </c>
      <c r="E166" s="1849">
        <v>2624.7869999999998</v>
      </c>
      <c r="F166" s="1849">
        <v>3038.63</v>
      </c>
      <c r="G166" s="1849">
        <v>1181.182</v>
      </c>
      <c r="H166" s="1849">
        <v>26599.777999999998</v>
      </c>
      <c r="I166" s="1849">
        <v>2876.6013200799998</v>
      </c>
      <c r="J166" s="1849">
        <v>8108.4549999999999</v>
      </c>
      <c r="K166" s="1849">
        <v>1897.116818</v>
      </c>
      <c r="L166" s="1849">
        <v>21.471</v>
      </c>
      <c r="M166" s="1849">
        <v>76.125403399999996</v>
      </c>
      <c r="N166" s="1849">
        <v>8.1839999999999993</v>
      </c>
      <c r="O166" s="1849">
        <v>1.960385</v>
      </c>
      <c r="P166" s="1849">
        <v>7597.2039999999997</v>
      </c>
      <c r="Q166" s="1849">
        <v>313.40117251999999</v>
      </c>
      <c r="R166" s="1849">
        <v>4940.7889999999998</v>
      </c>
      <c r="S166" s="1849">
        <v>199.47280407</v>
      </c>
      <c r="T166" s="1849">
        <v>7968.0910000000003</v>
      </c>
      <c r="U166" s="1849">
        <v>464.66812379999999</v>
      </c>
      <c r="V166" s="1849">
        <v>18.745999999999999</v>
      </c>
      <c r="W166" s="1853">
        <v>0.48996400000000001</v>
      </c>
      <c r="X166" s="1850">
        <v>2877.627</v>
      </c>
      <c r="Y166" s="1850">
        <v>122.83945335999999</v>
      </c>
      <c r="Z166" s="1850">
        <v>41.366</v>
      </c>
      <c r="AA166" s="1850">
        <v>10.555870820000001</v>
      </c>
      <c r="AB166" s="1850">
        <v>2836.261</v>
      </c>
      <c r="AC166" s="1850">
        <v>112.28358254000001</v>
      </c>
      <c r="AD166" s="1850">
        <v>23072.507000000001</v>
      </c>
      <c r="AE166" s="1850">
        <v>2702.6636056000002</v>
      </c>
      <c r="AF166" s="1850">
        <v>7855.759</v>
      </c>
      <c r="AG166" s="1850">
        <v>1859.456445</v>
      </c>
      <c r="AH166" s="1850">
        <v>5767.08</v>
      </c>
      <c r="AI166" s="1850">
        <v>306.01355711999997</v>
      </c>
      <c r="AJ166" s="1850">
        <v>3708.8429999999998</v>
      </c>
      <c r="AK166" s="1850">
        <v>160.93223706999999</v>
      </c>
      <c r="AL166" s="1850">
        <v>6860.8810000000003</v>
      </c>
      <c r="AM166" s="1850">
        <v>428.25697079999998</v>
      </c>
      <c r="AN166" s="1850">
        <v>18.356999999999999</v>
      </c>
      <c r="AO166" s="1851">
        <v>0.46806599999999998</v>
      </c>
      <c r="AP166" s="1850">
        <v>2570.4299999999998</v>
      </c>
      <c r="AQ166" s="1850">
        <v>108.46856668</v>
      </c>
      <c r="AR166" s="1850">
        <v>40.496000000000002</v>
      </c>
      <c r="AS166" s="1850">
        <v>10.324505820000001</v>
      </c>
      <c r="AT166" s="1850">
        <v>2529.9340000000002</v>
      </c>
      <c r="AU166" s="1850">
        <v>98.14406086000001</v>
      </c>
      <c r="AV166" s="1850">
        <v>3527.2710000000002</v>
      </c>
      <c r="AW166" s="1850">
        <v>173.93771448000001</v>
      </c>
      <c r="AX166" s="1850">
        <v>260.88</v>
      </c>
      <c r="AY166" s="1850">
        <v>39.620758000000002</v>
      </c>
      <c r="AZ166" s="1850">
        <v>1851.595</v>
      </c>
      <c r="BA166" s="1850">
        <v>83.513018799999998</v>
      </c>
      <c r="BB166" s="1850">
        <v>1231.9459999999999</v>
      </c>
      <c r="BC166" s="1850">
        <v>38.540567000000003</v>
      </c>
      <c r="BD166" s="1850">
        <v>1107.21</v>
      </c>
      <c r="BE166" s="1850">
        <v>36.411152999999999</v>
      </c>
      <c r="BF166" s="1852">
        <v>0.38900000000000001</v>
      </c>
      <c r="BG166" s="1851">
        <v>2.1898000000000001E-2</v>
      </c>
      <c r="BH166" s="1850">
        <v>307.197</v>
      </c>
      <c r="BI166" s="1858">
        <v>14.37088668</v>
      </c>
      <c r="BJ166" s="1851">
        <v>0.87</v>
      </c>
      <c r="BK166" s="1851">
        <v>0.23136499999999999</v>
      </c>
      <c r="BL166" s="1850">
        <v>306.327</v>
      </c>
      <c r="BM166" s="1858">
        <v>14.13952168</v>
      </c>
    </row>
    <row r="167" spans="1:65">
      <c r="A167" s="1854" t="s">
        <v>23</v>
      </c>
      <c r="B167" s="1849">
        <v>10440.736000000001</v>
      </c>
      <c r="C167" s="1849">
        <v>5412.2150000000001</v>
      </c>
      <c r="D167" s="1849">
        <v>3468.84</v>
      </c>
      <c r="E167" s="1849">
        <v>2622.6559999999999</v>
      </c>
      <c r="F167" s="1849">
        <v>3146.0819999999999</v>
      </c>
      <c r="G167" s="1849">
        <v>1203.1579999999999</v>
      </c>
      <c r="H167" s="1849">
        <v>28051.303</v>
      </c>
      <c r="I167" s="1849">
        <v>2954.6782865199998</v>
      </c>
      <c r="J167" s="1849">
        <v>8147.8680000000004</v>
      </c>
      <c r="K167" s="1849">
        <v>1877.72507</v>
      </c>
      <c r="L167" s="1849">
        <v>22.530999999999999</v>
      </c>
      <c r="M167" s="1849">
        <v>83.271623270000006</v>
      </c>
      <c r="N167" s="1849">
        <v>7.87</v>
      </c>
      <c r="O167" s="1849">
        <v>2.0011749999999999</v>
      </c>
      <c r="P167" s="1849">
        <v>8681.3009999999995</v>
      </c>
      <c r="Q167" s="1849">
        <v>327.89380338000001</v>
      </c>
      <c r="R167" s="1849">
        <v>5934.5529999999999</v>
      </c>
      <c r="S167" s="1849">
        <v>227.11646306</v>
      </c>
      <c r="T167" s="1849">
        <v>8137.4129999999996</v>
      </c>
      <c r="U167" s="1849">
        <v>524.20881325000005</v>
      </c>
      <c r="V167" s="1849">
        <v>16.241</v>
      </c>
      <c r="W167" s="1853">
        <v>0.49815599999999999</v>
      </c>
      <c r="X167" s="1850">
        <v>3038.0790000000002</v>
      </c>
      <c r="Y167" s="1850">
        <v>139.07964562000001</v>
      </c>
      <c r="Z167" s="1850">
        <v>46.277000000000001</v>
      </c>
      <c r="AA167" s="1850">
        <v>10.848074039999998</v>
      </c>
      <c r="AB167" s="1850">
        <v>2991.8020000000001</v>
      </c>
      <c r="AC167" s="1850">
        <v>128.23157158000001</v>
      </c>
      <c r="AD167" s="1850">
        <v>24223.547999999999</v>
      </c>
      <c r="AE167" s="1850">
        <v>2767.8344412699998</v>
      </c>
      <c r="AF167" s="1850">
        <v>7880.4560000000001</v>
      </c>
      <c r="AG167" s="1850">
        <v>1836.4421159999999</v>
      </c>
      <c r="AH167" s="1850">
        <v>6580.0479999999998</v>
      </c>
      <c r="AI167" s="1850">
        <v>323.0089724</v>
      </c>
      <c r="AJ167" s="1850">
        <v>4488.5990000000002</v>
      </c>
      <c r="AK167" s="1850">
        <v>184.14213205999999</v>
      </c>
      <c r="AL167" s="1850">
        <v>7019.8209999999999</v>
      </c>
      <c r="AM167" s="1850">
        <v>485.24677824999998</v>
      </c>
      <c r="AN167" s="1850">
        <v>15.737</v>
      </c>
      <c r="AO167" s="1851">
        <v>0.436089</v>
      </c>
      <c r="AP167" s="1850">
        <v>2727.4859999999999</v>
      </c>
      <c r="AQ167" s="1850">
        <v>122.70048561999999</v>
      </c>
      <c r="AR167" s="1850">
        <v>45.09</v>
      </c>
      <c r="AS167" s="1850">
        <v>10.545224039999999</v>
      </c>
      <c r="AT167" s="1850">
        <v>2682.3960000000002</v>
      </c>
      <c r="AU167" s="1850">
        <v>112.15526158</v>
      </c>
      <c r="AV167" s="1850">
        <v>3827.7550000000001</v>
      </c>
      <c r="AW167" s="1850">
        <v>186.84384524999999</v>
      </c>
      <c r="AX167" s="1850">
        <v>275.28199999999998</v>
      </c>
      <c r="AY167" s="1850">
        <v>43.284129</v>
      </c>
      <c r="AZ167" s="1850">
        <v>2123.7840000000001</v>
      </c>
      <c r="BA167" s="1850">
        <v>88.156454249999996</v>
      </c>
      <c r="BB167" s="1850">
        <v>1445.954</v>
      </c>
      <c r="BC167" s="1850">
        <v>42.974330999999999</v>
      </c>
      <c r="BD167" s="1850">
        <v>1117.5920000000001</v>
      </c>
      <c r="BE167" s="1850">
        <v>38.962035</v>
      </c>
      <c r="BF167" s="1852">
        <v>0.504</v>
      </c>
      <c r="BG167" s="1851">
        <v>6.2066999999999997E-2</v>
      </c>
      <c r="BH167" s="1850">
        <v>310.59300000000002</v>
      </c>
      <c r="BI167" s="1858">
        <v>16.379159999999999</v>
      </c>
      <c r="BJ167" s="1851">
        <v>1.1870000000000001</v>
      </c>
      <c r="BK167" s="1851">
        <v>0.30285000000000001</v>
      </c>
      <c r="BL167" s="1850">
        <v>309.40600000000001</v>
      </c>
      <c r="BM167" s="1858">
        <v>16.076309999999999</v>
      </c>
    </row>
    <row r="168" spans="1:65">
      <c r="A168" s="1854" t="s">
        <v>24</v>
      </c>
      <c r="B168" s="1849">
        <v>10539.574000000001</v>
      </c>
      <c r="C168" s="1849">
        <v>5680.6769999999997</v>
      </c>
      <c r="D168" s="1849">
        <v>3409.366</v>
      </c>
      <c r="E168" s="1849">
        <v>2632.0740000000001</v>
      </c>
      <c r="F168" s="1849">
        <v>3253.712</v>
      </c>
      <c r="G168" s="1849">
        <v>1244.422</v>
      </c>
      <c r="H168" s="1849">
        <v>29234.280999999999</v>
      </c>
      <c r="I168" s="1849">
        <v>3277.5770970901999</v>
      </c>
      <c r="J168" s="1849">
        <v>8595.232</v>
      </c>
      <c r="K168" s="1849">
        <v>2117.0872267999998</v>
      </c>
      <c r="L168" s="1849">
        <v>26.492999999999999</v>
      </c>
      <c r="M168" s="1849">
        <v>95.359112400000001</v>
      </c>
      <c r="N168" s="1849">
        <v>7.4690000000000003</v>
      </c>
      <c r="O168" s="1849">
        <v>1.86396556</v>
      </c>
      <c r="P168" s="1849">
        <v>8991.9120000000003</v>
      </c>
      <c r="Q168" s="1849">
        <v>341.3678977102</v>
      </c>
      <c r="R168" s="1849">
        <v>6213.4780000000001</v>
      </c>
      <c r="S168" s="1849">
        <v>242.87425146000001</v>
      </c>
      <c r="T168" s="1849">
        <v>8559.0190000000002</v>
      </c>
      <c r="U168" s="1849">
        <v>567.34596854979998</v>
      </c>
      <c r="V168" s="1849">
        <v>18.033999999999999</v>
      </c>
      <c r="W168" s="1853">
        <v>0.57712699999999995</v>
      </c>
      <c r="X168" s="1850">
        <v>3036.1219999999998</v>
      </c>
      <c r="Y168" s="1850">
        <v>153.9757990702</v>
      </c>
      <c r="Z168" s="1850">
        <v>51.252000000000002</v>
      </c>
      <c r="AA168" s="1850">
        <v>11.873257736269998</v>
      </c>
      <c r="AB168" s="1850">
        <v>2984.87</v>
      </c>
      <c r="AC168" s="1850">
        <v>142.10254133397299</v>
      </c>
      <c r="AD168" s="1850">
        <v>25460.41</v>
      </c>
      <c r="AE168" s="1850">
        <v>3081.3874718010002</v>
      </c>
      <c r="AF168" s="1850">
        <v>8331.5810000000001</v>
      </c>
      <c r="AG168" s="1850">
        <v>2073.3656786500001</v>
      </c>
      <c r="AH168" s="1850">
        <v>6949.183</v>
      </c>
      <c r="AI168" s="1850">
        <v>344.97264705750001</v>
      </c>
      <c r="AJ168" s="1850">
        <v>4758.4889999999996</v>
      </c>
      <c r="AK168" s="1850">
        <v>197.31790931999998</v>
      </c>
      <c r="AL168" s="1850">
        <v>7433.7849999999999</v>
      </c>
      <c r="AM168" s="1850">
        <v>524.68390301930003</v>
      </c>
      <c r="AN168" s="1850">
        <v>17.672999999999998</v>
      </c>
      <c r="AO168" s="1851">
        <v>0.50939599999999996</v>
      </c>
      <c r="AP168" s="1850">
        <v>2728.1880000000001</v>
      </c>
      <c r="AQ168" s="1850">
        <v>137.8558470742</v>
      </c>
      <c r="AR168" s="1850">
        <v>49.790999999999997</v>
      </c>
      <c r="AS168" s="1850">
        <v>11.57534451627</v>
      </c>
      <c r="AT168" s="1850">
        <v>2678.3969999999999</v>
      </c>
      <c r="AU168" s="1850">
        <v>126.280502557934</v>
      </c>
      <c r="AV168" s="1850">
        <v>3773.8710000000001</v>
      </c>
      <c r="AW168" s="1850">
        <v>196.18962528919999</v>
      </c>
      <c r="AX168" s="1850">
        <v>271.12</v>
      </c>
      <c r="AY168" s="1850">
        <v>45.585513710000001</v>
      </c>
      <c r="AZ168" s="1850">
        <v>2069.2220000000002</v>
      </c>
      <c r="BA168" s="1850">
        <v>91.7543630527</v>
      </c>
      <c r="BB168" s="1850">
        <v>1454.989</v>
      </c>
      <c r="BC168" s="1850">
        <v>45.556342139999998</v>
      </c>
      <c r="BD168" s="1850">
        <v>1125.2339999999999</v>
      </c>
      <c r="BE168" s="1850">
        <v>42.662065530500001</v>
      </c>
      <c r="BF168" s="1852">
        <v>0.36099999999999999</v>
      </c>
      <c r="BG168" s="1851">
        <v>6.7731E-2</v>
      </c>
      <c r="BH168" s="1850">
        <v>307.93400000000003</v>
      </c>
      <c r="BI168" s="1858">
        <v>16.119951996000001</v>
      </c>
      <c r="BJ168" s="1851">
        <v>1.4610000000000001</v>
      </c>
      <c r="BK168" s="1851">
        <v>0.29791321999999998</v>
      </c>
      <c r="BL168" s="1850">
        <v>306.47300000000001</v>
      </c>
      <c r="BM168" s="1858">
        <v>15.822038776039001</v>
      </c>
    </row>
    <row r="169" spans="1:65">
      <c r="A169" s="1854" t="s">
        <v>25</v>
      </c>
      <c r="B169" s="1849">
        <v>10664.52</v>
      </c>
      <c r="C169" s="1849">
        <v>5956.46</v>
      </c>
      <c r="D169" s="1849">
        <v>3401.8989999999999</v>
      </c>
      <c r="E169" s="1849">
        <v>2627.9369999999999</v>
      </c>
      <c r="F169" s="1849">
        <v>3360.0790000000002</v>
      </c>
      <c r="G169" s="1849">
        <v>1274.605</v>
      </c>
      <c r="H169" s="1849">
        <v>29925.391</v>
      </c>
      <c r="I169" s="1849">
        <v>3097.7304719356998</v>
      </c>
      <c r="J169" s="1849">
        <v>8112.0169999999998</v>
      </c>
      <c r="K169" s="1849">
        <v>1885.5144230000001</v>
      </c>
      <c r="L169" s="1849">
        <v>24.614000000000001</v>
      </c>
      <c r="M169" s="1849">
        <v>94.082845860000006</v>
      </c>
      <c r="N169" s="1849">
        <v>7.2249999999999996</v>
      </c>
      <c r="O169" s="1849">
        <v>1.6640060000000001</v>
      </c>
      <c r="P169" s="1849">
        <v>9449.6039999999994</v>
      </c>
      <c r="Q169" s="1849">
        <v>334.70881255220002</v>
      </c>
      <c r="R169" s="1849">
        <v>6608.9750000000004</v>
      </c>
      <c r="S169" s="1849">
        <v>215.35178406</v>
      </c>
      <c r="T169" s="1849">
        <v>8863.7880000000005</v>
      </c>
      <c r="U169" s="1849">
        <v>595.32909677350005</v>
      </c>
      <c r="V169" s="1849">
        <v>19.568000000000001</v>
      </c>
      <c r="W169" s="1853">
        <v>0.51223200000000002</v>
      </c>
      <c r="X169" s="1850">
        <v>3448.5749999999998</v>
      </c>
      <c r="Y169" s="1850">
        <v>185.91905575000001</v>
      </c>
      <c r="Z169" s="1850">
        <v>55.841000000000001</v>
      </c>
      <c r="AA169" s="1850">
        <v>12.731215927584</v>
      </c>
      <c r="AB169" s="1850">
        <v>3392.7339999999999</v>
      </c>
      <c r="AC169" s="1850">
        <v>173.187839822397</v>
      </c>
      <c r="AD169" s="1850">
        <v>25749.113000000001</v>
      </c>
      <c r="AE169" s="1850">
        <v>2888.8769180488998</v>
      </c>
      <c r="AF169" s="1850">
        <v>7804.7719999999999</v>
      </c>
      <c r="AG169" s="1850">
        <v>1837.0774510000001</v>
      </c>
      <c r="AH169" s="1850">
        <v>7211.6490000000003</v>
      </c>
      <c r="AI169" s="1850">
        <v>336.45143860320002</v>
      </c>
      <c r="AJ169" s="1850">
        <v>4967.741</v>
      </c>
      <c r="AK169" s="1850">
        <v>165.60172612</v>
      </c>
      <c r="AL169" s="1850">
        <v>7625.01</v>
      </c>
      <c r="AM169" s="1850">
        <v>549.56166765149999</v>
      </c>
      <c r="AN169" s="1850">
        <v>19.141999999999999</v>
      </c>
      <c r="AO169" s="1851">
        <v>0.46889599999999998</v>
      </c>
      <c r="AP169" s="1850">
        <v>3088.54</v>
      </c>
      <c r="AQ169" s="1850">
        <v>165.31746479419999</v>
      </c>
      <c r="AR169" s="1850">
        <v>54.213999999999999</v>
      </c>
      <c r="AS169" s="1850">
        <v>12.425257023584001</v>
      </c>
      <c r="AT169" s="1850">
        <v>3034.326</v>
      </c>
      <c r="AU169" s="1850">
        <v>152.89220777059901</v>
      </c>
      <c r="AV169" s="1850">
        <v>4176.2780000000002</v>
      </c>
      <c r="AW169" s="1850">
        <v>208.8535538868</v>
      </c>
      <c r="AX169" s="1850">
        <v>314.47000000000003</v>
      </c>
      <c r="AY169" s="1850">
        <v>50.100977999999998</v>
      </c>
      <c r="AZ169" s="1850">
        <v>2262.569</v>
      </c>
      <c r="BA169" s="1850">
        <v>92.340219809000004</v>
      </c>
      <c r="BB169" s="1850">
        <v>1641.2339999999999</v>
      </c>
      <c r="BC169" s="1850">
        <v>49.750057939999998</v>
      </c>
      <c r="BD169" s="1850">
        <v>1238.778</v>
      </c>
      <c r="BE169" s="1850">
        <v>45.767429122000003</v>
      </c>
      <c r="BF169" s="1852">
        <v>0.42599999999999999</v>
      </c>
      <c r="BG169" s="1851">
        <v>4.3336E-2</v>
      </c>
      <c r="BH169" s="1850">
        <v>360.03500000000003</v>
      </c>
      <c r="BI169" s="1857">
        <v>20.601590955799999</v>
      </c>
      <c r="BJ169" s="1851">
        <v>1.627</v>
      </c>
      <c r="BK169" s="1851">
        <v>0.30595890399999998</v>
      </c>
      <c r="BL169" s="1850">
        <v>358.40800000000002</v>
      </c>
      <c r="BM169" s="1857">
        <v>20.295632051798002</v>
      </c>
    </row>
    <row r="170" spans="1:65">
      <c r="A170" s="1854" t="s">
        <v>26</v>
      </c>
      <c r="B170" s="1849">
        <v>10841.662</v>
      </c>
      <c r="C170" s="1849">
        <v>6313.5410000000002</v>
      </c>
      <c r="D170" s="1849">
        <v>3395.6559999999999</v>
      </c>
      <c r="E170" s="1849">
        <v>2638.748</v>
      </c>
      <c r="F170" s="1849">
        <v>3504.0329999999999</v>
      </c>
      <c r="G170" s="1849">
        <v>1303.2249999999999</v>
      </c>
      <c r="H170" s="1849">
        <v>31833.941999999999</v>
      </c>
      <c r="I170" s="1849">
        <v>3339.9213361852999</v>
      </c>
      <c r="J170" s="1849">
        <v>8233.5210000000006</v>
      </c>
      <c r="K170" s="1849">
        <v>1921.8929716600001</v>
      </c>
      <c r="L170" s="1849">
        <v>25.558</v>
      </c>
      <c r="M170" s="1849">
        <v>102.95712875</v>
      </c>
      <c r="N170" s="1849">
        <v>5.9569999999999999</v>
      </c>
      <c r="O170" s="1849">
        <v>1.4525277000000001</v>
      </c>
      <c r="P170" s="1849">
        <v>9539.8700000000008</v>
      </c>
      <c r="Q170" s="1849">
        <v>331.91658686239998</v>
      </c>
      <c r="R170" s="1849">
        <v>6806.9880000000003</v>
      </c>
      <c r="S170" s="1849">
        <v>218.26049670471099</v>
      </c>
      <c r="T170" s="1849">
        <v>10301.966</v>
      </c>
      <c r="U170" s="1849">
        <v>802.08649098000001</v>
      </c>
      <c r="V170" s="1849">
        <v>26.094999999999999</v>
      </c>
      <c r="W170" s="1853">
        <v>0.71980900000000003</v>
      </c>
      <c r="X170" s="1850">
        <v>3700.9749999999999</v>
      </c>
      <c r="Y170" s="1850">
        <v>178.8958212329</v>
      </c>
      <c r="Z170" s="1850">
        <v>59.802</v>
      </c>
      <c r="AA170" s="1850">
        <v>14.133523877</v>
      </c>
      <c r="AB170" s="1850">
        <v>3641.1729999999998</v>
      </c>
      <c r="AC170" s="1850">
        <v>164.762297355908</v>
      </c>
      <c r="AD170" s="1850">
        <v>27533.069</v>
      </c>
      <c r="AE170" s="1850">
        <v>3107.9817791514001</v>
      </c>
      <c r="AF170" s="1850">
        <v>7903.7879999999996</v>
      </c>
      <c r="AG170" s="1850">
        <v>1867.33583404</v>
      </c>
      <c r="AH170" s="1850">
        <v>7308.6850000000004</v>
      </c>
      <c r="AI170" s="1850">
        <v>339.95334240480003</v>
      </c>
      <c r="AJ170" s="1850">
        <v>5139.2659999999996</v>
      </c>
      <c r="AK170" s="1850">
        <v>165.53857622471099</v>
      </c>
      <c r="AL170" s="1850">
        <v>8961.5689999999995</v>
      </c>
      <c r="AM170" s="1850">
        <v>740.09879022999996</v>
      </c>
      <c r="AN170" s="1850">
        <v>24.727</v>
      </c>
      <c r="AO170" s="1851">
        <v>0.63895800000000003</v>
      </c>
      <c r="AP170" s="1850">
        <v>3334.3</v>
      </c>
      <c r="AQ170" s="1850">
        <v>159.95485447659999</v>
      </c>
      <c r="AR170" s="1850">
        <v>58.25</v>
      </c>
      <c r="AS170" s="1850">
        <v>13.787887940999999</v>
      </c>
      <c r="AT170" s="1850">
        <v>3276.05</v>
      </c>
      <c r="AU170" s="1850">
        <v>146.16696653563602</v>
      </c>
      <c r="AV170" s="1850">
        <v>4300.8729999999996</v>
      </c>
      <c r="AW170" s="1850">
        <v>231.9395570339</v>
      </c>
      <c r="AX170" s="1850">
        <v>335.69</v>
      </c>
      <c r="AY170" s="1850">
        <v>56.009665320000003</v>
      </c>
      <c r="AZ170" s="1850">
        <v>2256.7429999999999</v>
      </c>
      <c r="BA170" s="1850">
        <v>94.920373207599994</v>
      </c>
      <c r="BB170" s="1850">
        <v>1667.722</v>
      </c>
      <c r="BC170" s="1850">
        <v>52.721920479999994</v>
      </c>
      <c r="BD170" s="1850">
        <v>1340.3969999999999</v>
      </c>
      <c r="BE170" s="1850">
        <v>61.987700750000002</v>
      </c>
      <c r="BF170" s="1852">
        <v>1.3680000000000001</v>
      </c>
      <c r="BG170" s="1851">
        <v>8.0851000000000006E-2</v>
      </c>
      <c r="BH170" s="1850">
        <v>366.67500000000001</v>
      </c>
      <c r="BI170" s="1857">
        <v>18.9409667563</v>
      </c>
      <c r="BJ170" s="1851">
        <v>1.552</v>
      </c>
      <c r="BK170" s="1851">
        <v>0.34563593599999998</v>
      </c>
      <c r="BL170" s="1850">
        <v>365.12299999999999</v>
      </c>
      <c r="BM170" s="1857">
        <v>18.595330820272</v>
      </c>
    </row>
    <row r="171" spans="1:65">
      <c r="A171" s="1854" t="s">
        <v>27</v>
      </c>
      <c r="B171" s="1849">
        <v>11092.96</v>
      </c>
      <c r="C171" s="1849">
        <v>6764.7520000000004</v>
      </c>
      <c r="D171" s="1849">
        <v>3459.8939999999998</v>
      </c>
      <c r="E171" s="1849">
        <v>2663.8429999999998</v>
      </c>
      <c r="F171" s="1849">
        <v>3638.4209999999998</v>
      </c>
      <c r="G171" s="1849">
        <v>1330.8019999999999</v>
      </c>
      <c r="H171" s="1849">
        <v>33414.995000000003</v>
      </c>
      <c r="I171" s="1849">
        <v>3430.0212674999998</v>
      </c>
      <c r="J171" s="1849">
        <v>8431.8780000000006</v>
      </c>
      <c r="K171" s="1849">
        <v>1970.00581287</v>
      </c>
      <c r="L171" s="1849">
        <v>25.111000000000001</v>
      </c>
      <c r="M171" s="1849">
        <v>103.97690391</v>
      </c>
      <c r="N171" s="1849">
        <v>5.2350000000000003</v>
      </c>
      <c r="O171" s="1849">
        <v>1.2780817600000001</v>
      </c>
      <c r="P171" s="1849">
        <v>10221.950999999999</v>
      </c>
      <c r="Q171" s="1849">
        <v>349.01427107000001</v>
      </c>
      <c r="R171" s="1849">
        <v>7573.152</v>
      </c>
      <c r="S171" s="1849">
        <v>220.59133738999998</v>
      </c>
      <c r="T171" s="1849">
        <v>10718.929</v>
      </c>
      <c r="U171" s="1849">
        <v>826.39384103999998</v>
      </c>
      <c r="V171" s="1849">
        <v>29.445</v>
      </c>
      <c r="W171" s="1853">
        <v>0.92698000000000003</v>
      </c>
      <c r="X171" s="1850">
        <v>3982.4459999999999</v>
      </c>
      <c r="Y171" s="1850">
        <v>178.42537684999999</v>
      </c>
      <c r="Z171" s="1850">
        <v>71.738</v>
      </c>
      <c r="AA171" s="1850">
        <v>14.946051689999999</v>
      </c>
      <c r="AB171" s="1850">
        <v>3910.7080000000001</v>
      </c>
      <c r="AC171" s="1850">
        <v>163.47932516</v>
      </c>
      <c r="AD171" s="1850">
        <v>29150.555</v>
      </c>
      <c r="AE171" s="1850">
        <v>3199.5204839500002</v>
      </c>
      <c r="AF171" s="1850">
        <v>8107.8860000000004</v>
      </c>
      <c r="AG171" s="1850">
        <v>1915.73821385</v>
      </c>
      <c r="AH171" s="1850">
        <v>8001.701</v>
      </c>
      <c r="AI171" s="1850">
        <v>359.84437543000001</v>
      </c>
      <c r="AJ171" s="1850">
        <v>5852.2510000000002</v>
      </c>
      <c r="AK171" s="1850">
        <v>165.27984918999999</v>
      </c>
      <c r="AL171" s="1850">
        <v>9402.3250000000007</v>
      </c>
      <c r="AM171" s="1850">
        <v>763.09587162000003</v>
      </c>
      <c r="AN171" s="1850">
        <v>27.363</v>
      </c>
      <c r="AO171" s="1851">
        <v>0.80193000000000003</v>
      </c>
      <c r="AP171" s="1850">
        <v>3611.28</v>
      </c>
      <c r="AQ171" s="1850">
        <v>160.04009305</v>
      </c>
      <c r="AR171" s="1850">
        <v>70.388999999999996</v>
      </c>
      <c r="AS171" s="1850">
        <v>14.648259560000001</v>
      </c>
      <c r="AT171" s="1850">
        <v>3540.8910000000001</v>
      </c>
      <c r="AU171" s="1850">
        <v>145.39183349000001</v>
      </c>
      <c r="AV171" s="1850">
        <v>4264.4399999999996</v>
      </c>
      <c r="AW171" s="1850">
        <v>230.50078354999999</v>
      </c>
      <c r="AX171" s="1850">
        <v>329.22699999999998</v>
      </c>
      <c r="AY171" s="1850">
        <v>55.545680779999998</v>
      </c>
      <c r="AZ171" s="1850">
        <v>2245.3609999999999</v>
      </c>
      <c r="BA171" s="1850">
        <v>93.146799549999997</v>
      </c>
      <c r="BB171" s="1850">
        <v>1720.9010000000001</v>
      </c>
      <c r="BC171" s="1850">
        <v>55.311488199999999</v>
      </c>
      <c r="BD171" s="1850">
        <v>1316.604</v>
      </c>
      <c r="BE171" s="1850">
        <v>63.297969420000001</v>
      </c>
      <c r="BF171" s="1852">
        <v>2.0819999999999999</v>
      </c>
      <c r="BG171" s="1851">
        <v>0.12504999999999999</v>
      </c>
      <c r="BH171" s="1850">
        <v>371.166</v>
      </c>
      <c r="BI171" s="1857">
        <v>18.3852838</v>
      </c>
      <c r="BJ171" s="1851">
        <v>1.349</v>
      </c>
      <c r="BK171" s="1851">
        <v>0.29779212999999999</v>
      </c>
      <c r="BL171" s="1850">
        <v>369.81700000000001</v>
      </c>
      <c r="BM171" s="1857">
        <v>18.087491669999999</v>
      </c>
    </row>
    <row r="172" spans="1:65">
      <c r="A172" s="1854" t="s">
        <v>28</v>
      </c>
      <c r="B172" s="1849">
        <v>11291.628000000001</v>
      </c>
      <c r="C172" s="1849">
        <v>7078.5469999999996</v>
      </c>
      <c r="D172" s="1849">
        <v>3513.7379999999998</v>
      </c>
      <c r="E172" s="1849">
        <v>2708.5039999999999</v>
      </c>
      <c r="F172" s="1849">
        <v>3697.1970000000001</v>
      </c>
      <c r="G172" s="1849">
        <v>1372.1890000000001</v>
      </c>
      <c r="H172" s="1849">
        <v>38216.686999999998</v>
      </c>
      <c r="I172" s="1849">
        <v>3774.1957878799999</v>
      </c>
      <c r="J172" s="1849">
        <v>9213.0400000000009</v>
      </c>
      <c r="K172" s="1849">
        <v>2126.0435699099999</v>
      </c>
      <c r="L172" s="1849">
        <v>25.289000000000001</v>
      </c>
      <c r="M172" s="1849">
        <v>107.16197434</v>
      </c>
      <c r="N172" s="1849">
        <v>5.4370000000000003</v>
      </c>
      <c r="O172" s="1849">
        <v>1.2870721700000001</v>
      </c>
      <c r="P172" s="1849">
        <v>11722.448</v>
      </c>
      <c r="Q172" s="1849">
        <v>381.25908609999999</v>
      </c>
      <c r="R172" s="1849">
        <v>8915.473</v>
      </c>
      <c r="S172" s="1849">
        <v>266.53639382</v>
      </c>
      <c r="T172" s="1849">
        <v>12434.041999999999</v>
      </c>
      <c r="U172" s="1849">
        <v>939.84661015999995</v>
      </c>
      <c r="V172" s="1849">
        <v>33.819000000000003</v>
      </c>
      <c r="W172" s="1853">
        <v>1.0526690000000001</v>
      </c>
      <c r="X172" s="1850">
        <v>4782.6120000000001</v>
      </c>
      <c r="Y172" s="1850">
        <v>217.54480620000001</v>
      </c>
      <c r="Z172" s="1850">
        <v>57.521999999999998</v>
      </c>
      <c r="AA172" s="1850">
        <v>15.14315468</v>
      </c>
      <c r="AB172" s="1850">
        <v>4725.09</v>
      </c>
      <c r="AC172" s="1850">
        <v>202.40165151999997</v>
      </c>
      <c r="AD172" s="1850">
        <v>33349.249000000003</v>
      </c>
      <c r="AE172" s="1850">
        <v>3501.68935268</v>
      </c>
      <c r="AF172" s="1850">
        <v>8847.9449999999997</v>
      </c>
      <c r="AG172" s="1850">
        <v>2065.5180365299998</v>
      </c>
      <c r="AH172" s="1850">
        <v>9193.4470000000001</v>
      </c>
      <c r="AI172" s="1850">
        <v>375.35814993000002</v>
      </c>
      <c r="AJ172" s="1850">
        <v>6906.3850000000002</v>
      </c>
      <c r="AK172" s="1850">
        <v>196.08875008000001</v>
      </c>
      <c r="AL172" s="1850">
        <v>10963.992</v>
      </c>
      <c r="AM172" s="1850">
        <v>868.38295631999995</v>
      </c>
      <c r="AN172" s="1850">
        <v>32.454999999999998</v>
      </c>
      <c r="AO172" s="1851">
        <v>0.94962100000000005</v>
      </c>
      <c r="AP172" s="1850">
        <v>4311.41</v>
      </c>
      <c r="AQ172" s="1850">
        <v>191.48058889999999</v>
      </c>
      <c r="AR172" s="1850">
        <v>56.273000000000003</v>
      </c>
      <c r="AS172" s="1850">
        <v>14.795815019999999</v>
      </c>
      <c r="AT172" s="1850">
        <v>4255.1369999999997</v>
      </c>
      <c r="AU172" s="1850">
        <v>176.68477387999999</v>
      </c>
      <c r="AV172" s="1850">
        <v>4867.4380000000001</v>
      </c>
      <c r="AW172" s="1850">
        <v>272.5064352</v>
      </c>
      <c r="AX172" s="1850">
        <v>370.53199999999998</v>
      </c>
      <c r="AY172" s="1850">
        <v>61.812605550000001</v>
      </c>
      <c r="AZ172" s="1850">
        <v>2554.29</v>
      </c>
      <c r="BA172" s="1850">
        <v>113.06291050999999</v>
      </c>
      <c r="BB172" s="1850">
        <v>2009.088</v>
      </c>
      <c r="BC172" s="1850">
        <v>70.44764373999999</v>
      </c>
      <c r="BD172" s="1850">
        <v>1470.05</v>
      </c>
      <c r="BE172" s="1850">
        <v>71.463653840000006</v>
      </c>
      <c r="BF172" s="1852">
        <v>1.3640000000000001</v>
      </c>
      <c r="BG172" s="1851">
        <v>0.103048</v>
      </c>
      <c r="BH172" s="1850">
        <v>471.202</v>
      </c>
      <c r="BI172" s="1857">
        <v>26.064217299999999</v>
      </c>
      <c r="BJ172" s="1851">
        <v>1.2490000000000001</v>
      </c>
      <c r="BK172" s="1851">
        <v>0.34733965999999999</v>
      </c>
      <c r="BL172" s="1850">
        <v>469.95299999999997</v>
      </c>
      <c r="BM172" s="1857">
        <v>25.71687764</v>
      </c>
    </row>
    <row r="173" spans="1:65">
      <c r="A173" s="1854" t="s">
        <v>29</v>
      </c>
      <c r="B173" s="1849">
        <v>11480.316000000001</v>
      </c>
      <c r="C173" s="1849">
        <v>7480.9309999999996</v>
      </c>
      <c r="D173" s="1849">
        <v>3469.1590000000001</v>
      </c>
      <c r="E173" s="1849">
        <v>2627.3690000000001</v>
      </c>
      <c r="F173" s="1849">
        <v>3974.317</v>
      </c>
      <c r="G173" s="1849">
        <v>1409.471</v>
      </c>
      <c r="H173" s="1849">
        <v>42180.107000000004</v>
      </c>
      <c r="I173" s="1849">
        <v>4376.8108327299997</v>
      </c>
      <c r="J173" s="1849">
        <v>10779.582</v>
      </c>
      <c r="K173" s="1849">
        <v>2533.7316969100002</v>
      </c>
      <c r="L173" s="1849">
        <v>32.832999999999998</v>
      </c>
      <c r="M173" s="1849">
        <v>132.05014027999999</v>
      </c>
      <c r="N173" s="1849">
        <v>7.2679999999999998</v>
      </c>
      <c r="O173" s="1849">
        <v>1.80859671</v>
      </c>
      <c r="P173" s="1849">
        <v>12488.913</v>
      </c>
      <c r="Q173" s="1849">
        <v>426.02968558999999</v>
      </c>
      <c r="R173" s="1849">
        <v>9492.5370000000003</v>
      </c>
      <c r="S173" s="1849">
        <v>308.20065402999995</v>
      </c>
      <c r="T173" s="1849">
        <v>13940.346</v>
      </c>
      <c r="U173" s="1849">
        <v>1078.21292784</v>
      </c>
      <c r="V173" s="1849">
        <v>34.338000000000001</v>
      </c>
      <c r="W173" s="1853">
        <v>1.061928</v>
      </c>
      <c r="X173" s="1850">
        <v>4896.8270000000002</v>
      </c>
      <c r="Y173" s="1850">
        <v>203.91585739999999</v>
      </c>
      <c r="Z173" s="1850">
        <v>55.395000000000003</v>
      </c>
      <c r="AA173" s="1850">
        <v>14.8330704</v>
      </c>
      <c r="AB173" s="1850">
        <v>4841.4319999999998</v>
      </c>
      <c r="AC173" s="1850">
        <v>189.082787</v>
      </c>
      <c r="AD173" s="1850">
        <v>37046.955999999998</v>
      </c>
      <c r="AE173" s="1850">
        <v>4091.26604232</v>
      </c>
      <c r="AF173" s="1850">
        <v>10401.056</v>
      </c>
      <c r="AG173" s="1850">
        <v>2469.5619609</v>
      </c>
      <c r="AH173" s="1850">
        <v>9837.7150000000001</v>
      </c>
      <c r="AI173" s="1850">
        <v>442.11961231999999</v>
      </c>
      <c r="AJ173" s="1850">
        <v>7312.1480000000001</v>
      </c>
      <c r="AK173" s="1850">
        <v>230.28897424000002</v>
      </c>
      <c r="AL173" s="1850">
        <v>12355.31</v>
      </c>
      <c r="AM173" s="1850">
        <v>997.06281081999998</v>
      </c>
      <c r="AN173" s="1850">
        <v>32.956000000000003</v>
      </c>
      <c r="AO173" s="1851">
        <v>0.94473300000000004</v>
      </c>
      <c r="AP173" s="1850">
        <v>4419.9189999999999</v>
      </c>
      <c r="AQ173" s="1850">
        <v>181.57692528000001</v>
      </c>
      <c r="AR173" s="1850">
        <v>54.222000000000001</v>
      </c>
      <c r="AS173" s="1850">
        <v>14.567045439999999</v>
      </c>
      <c r="AT173" s="1850">
        <v>4365.6970000000001</v>
      </c>
      <c r="AU173" s="1850">
        <v>167.00987984</v>
      </c>
      <c r="AV173" s="1850">
        <v>5133.1509999999998</v>
      </c>
      <c r="AW173" s="1850">
        <v>285.54479041000002</v>
      </c>
      <c r="AX173" s="1850">
        <v>385.79399999999998</v>
      </c>
      <c r="AY173" s="1850">
        <v>65.978332719999997</v>
      </c>
      <c r="AZ173" s="1850">
        <v>2684.0309999999999</v>
      </c>
      <c r="BA173" s="1850">
        <v>115.96021355000001</v>
      </c>
      <c r="BB173" s="1850">
        <v>2180.3890000000001</v>
      </c>
      <c r="BC173" s="1850">
        <v>77.911679790000008</v>
      </c>
      <c r="BD173" s="1850">
        <v>1585.0360000000001</v>
      </c>
      <c r="BE173" s="1850">
        <v>81.150117019999996</v>
      </c>
      <c r="BF173" s="1852">
        <v>1.3819999999999999</v>
      </c>
      <c r="BG173" s="1851">
        <v>0.11719499999999999</v>
      </c>
      <c r="BH173" s="1850">
        <v>476.90800000000002</v>
      </c>
      <c r="BI173" s="1857">
        <v>22.338932119999999</v>
      </c>
      <c r="BJ173" s="1851">
        <v>1.173</v>
      </c>
      <c r="BK173" s="1851">
        <v>0.26602496000000003</v>
      </c>
      <c r="BL173" s="1850">
        <v>475.73500000000001</v>
      </c>
      <c r="BM173" s="1857">
        <v>22.07290716</v>
      </c>
    </row>
    <row r="174" spans="1:65">
      <c r="A174" s="1856" t="s">
        <v>2892</v>
      </c>
      <c r="B174" s="1855">
        <v>13630.909</v>
      </c>
      <c r="C174" s="1855">
        <v>9833.4719999999998</v>
      </c>
      <c r="D174" s="1855">
        <v>3547.4850000000001</v>
      </c>
      <c r="E174" s="1855">
        <v>2758.7310000000002</v>
      </c>
      <c r="F174" s="1855">
        <v>5501.5360000000001</v>
      </c>
      <c r="G174" s="1855">
        <v>1823.1569999999999</v>
      </c>
      <c r="H174" s="1855">
        <f t="shared" ref="H174:AM174" si="35">SUM(H175:H186)</f>
        <v>644573.30700000015</v>
      </c>
      <c r="I174" s="1855">
        <f t="shared" si="35"/>
        <v>59026.833436930989</v>
      </c>
      <c r="J174" s="1855">
        <f t="shared" si="35"/>
        <v>128527.67900000002</v>
      </c>
      <c r="K174" s="1855">
        <f t="shared" si="35"/>
        <v>30505.104257899999</v>
      </c>
      <c r="L174" s="1855">
        <f t="shared" si="35"/>
        <v>367.02199999999999</v>
      </c>
      <c r="M174" s="1855">
        <f t="shared" si="35"/>
        <v>1563.2154236300003</v>
      </c>
      <c r="N174" s="1855">
        <f t="shared" si="35"/>
        <v>40.481999999999999</v>
      </c>
      <c r="O174" s="1855">
        <f t="shared" si="35"/>
        <v>12.26667542</v>
      </c>
      <c r="P174" s="1855">
        <f t="shared" si="35"/>
        <v>199137.16300000003</v>
      </c>
      <c r="Q174" s="1855">
        <f t="shared" si="35"/>
        <v>5808.4467218699992</v>
      </c>
      <c r="R174" s="1855">
        <f t="shared" si="35"/>
        <v>183243.723</v>
      </c>
      <c r="S174" s="1855">
        <f t="shared" si="35"/>
        <v>4895.8786656999991</v>
      </c>
      <c r="T174" s="1855">
        <f t="shared" si="35"/>
        <v>261003.11900000001</v>
      </c>
      <c r="U174" s="1855">
        <f t="shared" si="35"/>
        <v>18515.646486130001</v>
      </c>
      <c r="V174" s="1855">
        <f t="shared" si="35"/>
        <v>570.82100000000003</v>
      </c>
      <c r="W174" s="1855">
        <f t="shared" si="35"/>
        <v>28.943074520000003</v>
      </c>
      <c r="X174" s="1855">
        <f t="shared" si="35"/>
        <v>54927.021000000008</v>
      </c>
      <c r="Y174" s="1855">
        <f t="shared" si="35"/>
        <v>2593.2107974610003</v>
      </c>
      <c r="Z174" s="1855">
        <f t="shared" si="35"/>
        <v>608.27499999999998</v>
      </c>
      <c r="AA174" s="1855">
        <f t="shared" si="35"/>
        <v>174.88075451100002</v>
      </c>
      <c r="AB174" s="1855">
        <f t="shared" si="35"/>
        <v>54318.746000000006</v>
      </c>
      <c r="AC174" s="1855">
        <f t="shared" si="35"/>
        <v>2418.33004295</v>
      </c>
      <c r="AD174" s="1855">
        <f t="shared" si="35"/>
        <v>563770.25099999993</v>
      </c>
      <c r="AE174" s="1855">
        <f t="shared" si="35"/>
        <v>54694.229661910991</v>
      </c>
      <c r="AF174" s="1855">
        <f t="shared" si="35"/>
        <v>123309.163</v>
      </c>
      <c r="AG174" s="1855">
        <f t="shared" si="35"/>
        <v>29558.392386289997</v>
      </c>
      <c r="AH174" s="1855">
        <f t="shared" si="35"/>
        <v>157613.95599999998</v>
      </c>
      <c r="AI174" s="1855">
        <f t="shared" si="35"/>
        <v>5763.2596598600003</v>
      </c>
      <c r="AJ174" s="1855">
        <f t="shared" si="35"/>
        <v>144864.12900000002</v>
      </c>
      <c r="AK174" s="1855">
        <f t="shared" si="35"/>
        <v>3636.6820927499998</v>
      </c>
      <c r="AL174" s="1855">
        <f t="shared" si="35"/>
        <v>232762.97999999998</v>
      </c>
      <c r="AM174" s="1855">
        <f t="shared" si="35"/>
        <v>17026.997571309999</v>
      </c>
      <c r="AN174" s="1855">
        <f t="shared" ref="AN174:BM174" si="36">SUM(AN175:AN186)</f>
        <v>543.06399999999996</v>
      </c>
      <c r="AO174" s="1855">
        <f t="shared" si="36"/>
        <v>26.813233519999997</v>
      </c>
      <c r="AP174" s="1855">
        <f t="shared" si="36"/>
        <v>49541.088000000003</v>
      </c>
      <c r="AQ174" s="1855">
        <f t="shared" si="36"/>
        <v>2318.7668109309998</v>
      </c>
      <c r="AR174" s="1855">
        <f t="shared" si="36"/>
        <v>592.41800000000001</v>
      </c>
      <c r="AS174" s="1855">
        <f t="shared" si="36"/>
        <v>170.80065047099998</v>
      </c>
      <c r="AT174" s="1855">
        <f t="shared" si="36"/>
        <v>48948.670000000006</v>
      </c>
      <c r="AU174" s="1855">
        <f t="shared" si="36"/>
        <v>2147.9661604600001</v>
      </c>
      <c r="AV174" s="1855">
        <f t="shared" si="36"/>
        <v>80803.055999999997</v>
      </c>
      <c r="AW174" s="1855">
        <f t="shared" si="36"/>
        <v>4332.6037750200003</v>
      </c>
      <c r="AX174" s="1855">
        <f t="shared" si="36"/>
        <v>5258.9979999999996</v>
      </c>
      <c r="AY174" s="1855">
        <f t="shared" si="36"/>
        <v>958.97854702999985</v>
      </c>
      <c r="AZ174" s="1855">
        <f t="shared" si="36"/>
        <v>41890.228999999999</v>
      </c>
      <c r="BA174" s="1855">
        <f t="shared" si="36"/>
        <v>1608.4024856400001</v>
      </c>
      <c r="BB174" s="1855">
        <f t="shared" si="36"/>
        <v>38379.593999999997</v>
      </c>
      <c r="BC174" s="1855">
        <f t="shared" si="36"/>
        <v>1259.19657295</v>
      </c>
      <c r="BD174" s="1855">
        <f t="shared" si="36"/>
        <v>28240.139000000003</v>
      </c>
      <c r="BE174" s="1855">
        <f t="shared" si="36"/>
        <v>1488.6489148199998</v>
      </c>
      <c r="BF174" s="1855">
        <f t="shared" si="36"/>
        <v>27.756999999999998</v>
      </c>
      <c r="BG174" s="1855">
        <f t="shared" si="36"/>
        <v>2.1298409999999999</v>
      </c>
      <c r="BH174" s="1855">
        <f t="shared" si="36"/>
        <v>5385.9330000000009</v>
      </c>
      <c r="BI174" s="1855">
        <f t="shared" si="36"/>
        <v>274.44398653000002</v>
      </c>
      <c r="BJ174" s="1855">
        <f t="shared" si="36"/>
        <v>15.856999999999999</v>
      </c>
      <c r="BK174" s="1855">
        <f t="shared" si="36"/>
        <v>4.0801040400000002</v>
      </c>
      <c r="BL174" s="1855">
        <f t="shared" si="36"/>
        <v>5370.0760000000009</v>
      </c>
      <c r="BM174" s="1855">
        <f t="shared" si="36"/>
        <v>270.36388248999998</v>
      </c>
    </row>
    <row r="175" spans="1:65">
      <c r="A175" s="1854" t="s">
        <v>18</v>
      </c>
      <c r="B175" s="1849">
        <v>11682.848</v>
      </c>
      <c r="C175" s="1849">
        <v>7772.3689999999997</v>
      </c>
      <c r="D175" s="1849">
        <v>3463.7759999999998</v>
      </c>
      <c r="E175" s="1849">
        <v>2613.3919999999998</v>
      </c>
      <c r="F175" s="1849">
        <v>4165.5569999999998</v>
      </c>
      <c r="G175" s="1849">
        <v>1440.123</v>
      </c>
      <c r="H175" s="1849">
        <v>38349.377</v>
      </c>
      <c r="I175" s="1849">
        <v>3488.0312433099998</v>
      </c>
      <c r="J175" s="1849">
        <v>8504.1779999999999</v>
      </c>
      <c r="K175" s="1849">
        <v>1899.0755959999999</v>
      </c>
      <c r="L175" s="1849">
        <v>20.167999999999999</v>
      </c>
      <c r="M175" s="1849">
        <v>95.359961499999997</v>
      </c>
      <c r="N175" s="1849">
        <v>5.4619999999999997</v>
      </c>
      <c r="O175" s="1849">
        <v>1.3356915</v>
      </c>
      <c r="P175" s="1849">
        <v>12365.101000000001</v>
      </c>
      <c r="Q175" s="1849">
        <v>384.29648859000002</v>
      </c>
      <c r="R175" s="1849">
        <v>9810.8449999999993</v>
      </c>
      <c r="S175" s="1849">
        <v>288.06172029999999</v>
      </c>
      <c r="T175" s="1849">
        <v>13043.338</v>
      </c>
      <c r="U175" s="1849">
        <v>921.45927859000005</v>
      </c>
      <c r="V175" s="1849">
        <v>27.875</v>
      </c>
      <c r="W175" s="1853">
        <v>1.1149309999999999</v>
      </c>
      <c r="X175" s="1850">
        <v>4383.2550000000001</v>
      </c>
      <c r="Y175" s="1850">
        <v>185.38929612999999</v>
      </c>
      <c r="Z175" s="1850">
        <v>51.164000000000001</v>
      </c>
      <c r="AA175" s="1850">
        <v>13.782137499999999</v>
      </c>
      <c r="AB175" s="1850">
        <v>4332.0910000000003</v>
      </c>
      <c r="AC175" s="1850">
        <v>171.60715862999999</v>
      </c>
      <c r="AD175" s="1850">
        <v>33070.915000000001</v>
      </c>
      <c r="AE175" s="1850">
        <v>3212.35673645</v>
      </c>
      <c r="AF175" s="1850">
        <v>8114.8069999999998</v>
      </c>
      <c r="AG175" s="1850">
        <v>1838.83229491</v>
      </c>
      <c r="AH175" s="1850">
        <v>9536.9060000000009</v>
      </c>
      <c r="AI175" s="1850">
        <v>368.64497467000001</v>
      </c>
      <c r="AJ175" s="1850">
        <v>7470.3810000000003</v>
      </c>
      <c r="AK175" s="1850">
        <v>209.50061803999998</v>
      </c>
      <c r="AL175" s="1850">
        <v>11424.79</v>
      </c>
      <c r="AM175" s="1850">
        <v>839.59732544999997</v>
      </c>
      <c r="AN175" s="1850">
        <v>25.974</v>
      </c>
      <c r="AO175" s="1851">
        <v>1.0075940000000001</v>
      </c>
      <c r="AP175" s="1850">
        <v>3968.4380000000001</v>
      </c>
      <c r="AQ175" s="1850">
        <v>164.27454742</v>
      </c>
      <c r="AR175" s="1850">
        <v>50.015000000000001</v>
      </c>
      <c r="AS175" s="1850">
        <v>13.496009039999999</v>
      </c>
      <c r="AT175" s="1850">
        <v>3918.4229999999998</v>
      </c>
      <c r="AU175" s="1850">
        <v>150.77853837999999</v>
      </c>
      <c r="AV175" s="1850">
        <v>5278.4620000000004</v>
      </c>
      <c r="AW175" s="1850">
        <v>275.67450686000001</v>
      </c>
      <c r="AX175" s="1850">
        <v>394.83300000000003</v>
      </c>
      <c r="AY175" s="1850">
        <v>61.578992589999999</v>
      </c>
      <c r="AZ175" s="1850">
        <v>2848.3629999999998</v>
      </c>
      <c r="BA175" s="1850">
        <v>111.01147542</v>
      </c>
      <c r="BB175" s="1850">
        <v>2340.4639999999999</v>
      </c>
      <c r="BC175" s="1850">
        <v>78.561102259999998</v>
      </c>
      <c r="BD175" s="1850">
        <v>1618.548</v>
      </c>
      <c r="BE175" s="1850">
        <v>81.861953139999997</v>
      </c>
      <c r="BF175" s="1852">
        <v>1.901</v>
      </c>
      <c r="BG175" s="1851">
        <v>0.107337</v>
      </c>
      <c r="BH175" s="1850">
        <v>414.81700000000001</v>
      </c>
      <c r="BI175" s="1849">
        <v>21.114748710000001</v>
      </c>
      <c r="BJ175" s="1851">
        <v>1.149</v>
      </c>
      <c r="BK175" s="1851">
        <v>0.28612846000000003</v>
      </c>
      <c r="BL175" s="1850">
        <v>413.66800000000001</v>
      </c>
      <c r="BM175" s="1849">
        <v>20.82862025</v>
      </c>
    </row>
    <row r="176" spans="1:65">
      <c r="A176" s="1854" t="s">
        <v>19</v>
      </c>
      <c r="B176" s="1849">
        <v>11940.005999999999</v>
      </c>
      <c r="C176" s="1849">
        <v>8002.0680000000002</v>
      </c>
      <c r="D176" s="1849">
        <v>3520.31</v>
      </c>
      <c r="E176" s="1849">
        <v>2635.5509999999999</v>
      </c>
      <c r="F176" s="1849">
        <v>4322.6710000000003</v>
      </c>
      <c r="G176" s="1849">
        <v>1461.4739999999999</v>
      </c>
      <c r="H176" s="1849">
        <v>39729.972000000002</v>
      </c>
      <c r="I176" s="1849">
        <v>3847.38703485</v>
      </c>
      <c r="J176" s="1849">
        <v>9364.777</v>
      </c>
      <c r="K176" s="1849">
        <v>2200.35073083</v>
      </c>
      <c r="L176" s="1849">
        <v>25.34</v>
      </c>
      <c r="M176" s="1849">
        <v>93.10026139</v>
      </c>
      <c r="N176" s="1849">
        <v>3.4359999999999999</v>
      </c>
      <c r="O176" s="1849">
        <v>0.86426585</v>
      </c>
      <c r="P176" s="1849">
        <v>12347.332</v>
      </c>
      <c r="Q176" s="1849">
        <v>361.15475957000001</v>
      </c>
      <c r="R176" s="1849">
        <v>10178.638000000001</v>
      </c>
      <c r="S176" s="1849">
        <v>287.31922586000002</v>
      </c>
      <c r="T176" s="1849">
        <v>13981.749</v>
      </c>
      <c r="U176" s="1849">
        <v>1029.3875708999999</v>
      </c>
      <c r="V176" s="1849">
        <v>31.303000000000001</v>
      </c>
      <c r="W176" s="1853">
        <v>1.1871499999999999</v>
      </c>
      <c r="X176" s="1850">
        <v>3976.0349999999999</v>
      </c>
      <c r="Y176" s="1850">
        <v>161.34229630999999</v>
      </c>
      <c r="Z176" s="1850">
        <v>42.122999999999998</v>
      </c>
      <c r="AA176" s="1850">
        <v>13.524073449999999</v>
      </c>
      <c r="AB176" s="1850">
        <v>3933.9119999999998</v>
      </c>
      <c r="AC176" s="1850">
        <v>147.81822286000002</v>
      </c>
      <c r="AD176" s="1850">
        <v>34324.188999999998</v>
      </c>
      <c r="AE176" s="1850">
        <v>3567.1879588900001</v>
      </c>
      <c r="AF176" s="1850">
        <v>8987.0959999999995</v>
      </c>
      <c r="AG176" s="1850">
        <v>2137.7726566400002</v>
      </c>
      <c r="AH176" s="1850">
        <v>9677.4120000000003</v>
      </c>
      <c r="AI176" s="1850">
        <v>353.86883983000001</v>
      </c>
      <c r="AJ176" s="1850">
        <v>7767.9059999999999</v>
      </c>
      <c r="AK176" s="1850">
        <v>211.10113030000002</v>
      </c>
      <c r="AL176" s="1850">
        <v>12032.067999999999</v>
      </c>
      <c r="AM176" s="1850">
        <v>929.09694493999996</v>
      </c>
      <c r="AN176" s="1850">
        <v>28.431999999999999</v>
      </c>
      <c r="AO176" s="1851">
        <v>1.0412859999999999</v>
      </c>
      <c r="AP176" s="1850">
        <v>3599.181</v>
      </c>
      <c r="AQ176" s="1850">
        <v>145.40823148000001</v>
      </c>
      <c r="AR176" s="1850">
        <v>41.158000000000001</v>
      </c>
      <c r="AS176" s="1850">
        <v>13.28718376</v>
      </c>
      <c r="AT176" s="1850">
        <v>3558.0230000000001</v>
      </c>
      <c r="AU176" s="1850">
        <v>132.12104772000001</v>
      </c>
      <c r="AV176" s="1850">
        <v>5405.7830000000004</v>
      </c>
      <c r="AW176" s="1850">
        <v>280.19907596000002</v>
      </c>
      <c r="AX176" s="1850">
        <v>381.11700000000002</v>
      </c>
      <c r="AY176" s="1850">
        <v>63.442340039999998</v>
      </c>
      <c r="AZ176" s="1850">
        <v>2695.26</v>
      </c>
      <c r="BA176" s="1850">
        <v>100.38618113</v>
      </c>
      <c r="BB176" s="1850">
        <v>2410.732</v>
      </c>
      <c r="BC176" s="1850">
        <v>76.218095560000009</v>
      </c>
      <c r="BD176" s="1850">
        <v>1949.681</v>
      </c>
      <c r="BE176" s="1850">
        <v>100.29062596</v>
      </c>
      <c r="BF176" s="1852">
        <v>2.871</v>
      </c>
      <c r="BG176" s="1851">
        <v>0.14586399999999999</v>
      </c>
      <c r="BH176" s="1850">
        <v>376.85399999999998</v>
      </c>
      <c r="BI176" s="1849">
        <v>15.934064830000001</v>
      </c>
      <c r="BJ176" s="1851">
        <v>0.96499999999999997</v>
      </c>
      <c r="BK176" s="1851">
        <v>0.23688969000000001</v>
      </c>
      <c r="BL176" s="1850">
        <v>375.88900000000001</v>
      </c>
      <c r="BM176" s="1849">
        <v>15.697175140000001</v>
      </c>
    </row>
    <row r="177" spans="1:65">
      <c r="A177" s="1854" t="s">
        <v>20</v>
      </c>
      <c r="B177" s="1849">
        <v>12178.953</v>
      </c>
      <c r="C177" s="1849">
        <v>8289.8960000000006</v>
      </c>
      <c r="D177" s="1849">
        <v>3570.1489999999999</v>
      </c>
      <c r="E177" s="1849">
        <v>2646.7840000000001</v>
      </c>
      <c r="F177" s="1849">
        <v>4453.1180000000004</v>
      </c>
      <c r="G177" s="1849">
        <v>1508.902</v>
      </c>
      <c r="H177" s="1849">
        <v>47789.195</v>
      </c>
      <c r="I177" s="1849">
        <v>4465.16994995</v>
      </c>
      <c r="J177" s="1849">
        <v>10799.087</v>
      </c>
      <c r="K177" s="1849">
        <v>2464.5967803200001</v>
      </c>
      <c r="L177" s="1849">
        <v>29.812999999999999</v>
      </c>
      <c r="M177" s="1849">
        <v>114.35463007</v>
      </c>
      <c r="N177" s="1849">
        <v>6.9980000000000002</v>
      </c>
      <c r="O177" s="1849">
        <v>1.7452753999999999</v>
      </c>
      <c r="P177" s="1849">
        <v>13565.433999999999</v>
      </c>
      <c r="Q177" s="1849">
        <v>443.01989438999999</v>
      </c>
      <c r="R177" s="1849">
        <v>12412.120999999999</v>
      </c>
      <c r="S177" s="1849">
        <v>359.64130383999998</v>
      </c>
      <c r="T177" s="1849">
        <v>18935.584999999999</v>
      </c>
      <c r="U177" s="1849">
        <v>1255.6446458</v>
      </c>
      <c r="V177" s="1849">
        <v>30.786999999999999</v>
      </c>
      <c r="W177" s="1853">
        <v>1.158344</v>
      </c>
      <c r="X177" s="1850">
        <v>4421.491</v>
      </c>
      <c r="Y177" s="1850">
        <v>184.65037996999999</v>
      </c>
      <c r="Z177" s="1850">
        <v>48.335999999999999</v>
      </c>
      <c r="AA177" s="1850">
        <v>12.401784060000001</v>
      </c>
      <c r="AB177" s="1850">
        <v>4373.1549999999997</v>
      </c>
      <c r="AC177" s="1850">
        <v>172.24859591000001</v>
      </c>
      <c r="AD177" s="1850">
        <v>41820.373</v>
      </c>
      <c r="AE177" s="1850">
        <v>4149.4503916200001</v>
      </c>
      <c r="AF177" s="1850">
        <v>10401.466</v>
      </c>
      <c r="AG177" s="1850">
        <v>2403.2582567300001</v>
      </c>
      <c r="AH177" s="1850">
        <v>10494.329</v>
      </c>
      <c r="AI177" s="1850">
        <v>428.44242699</v>
      </c>
      <c r="AJ177" s="1850">
        <v>9613.1049999999996</v>
      </c>
      <c r="AK177" s="1850">
        <v>260.03635781000003</v>
      </c>
      <c r="AL177" s="1850">
        <v>16913.564999999999</v>
      </c>
      <c r="AM177" s="1850">
        <v>1155.0434061000001</v>
      </c>
      <c r="AN177" s="1850">
        <v>28.704999999999998</v>
      </c>
      <c r="AO177" s="1851">
        <v>1.044035</v>
      </c>
      <c r="AP177" s="1850">
        <v>3982.308</v>
      </c>
      <c r="AQ177" s="1850">
        <v>161.6622668</v>
      </c>
      <c r="AR177" s="1850">
        <v>46.899000000000001</v>
      </c>
      <c r="AS177" s="1850">
        <v>12.001833830000001</v>
      </c>
      <c r="AT177" s="1850">
        <v>3935.4090000000001</v>
      </c>
      <c r="AU177" s="1850">
        <v>149.66043296999999</v>
      </c>
      <c r="AV177" s="1850">
        <v>5968.8220000000001</v>
      </c>
      <c r="AW177" s="1850">
        <v>315.71955832999998</v>
      </c>
      <c r="AX177" s="1850">
        <v>404.61900000000003</v>
      </c>
      <c r="AY177" s="1850">
        <v>63.083798989999998</v>
      </c>
      <c r="AZ177" s="1850">
        <v>3100.9180000000001</v>
      </c>
      <c r="BA177" s="1850">
        <v>128.93209747</v>
      </c>
      <c r="BB177" s="1850">
        <v>2799.0160000000001</v>
      </c>
      <c r="BC177" s="1850">
        <v>99.604946030000008</v>
      </c>
      <c r="BD177" s="1850">
        <v>2022.02</v>
      </c>
      <c r="BE177" s="1850">
        <v>100.60123969999999</v>
      </c>
      <c r="BF177" s="1852">
        <v>2.0819999999999999</v>
      </c>
      <c r="BG177" s="1851">
        <v>0.11430899999999999</v>
      </c>
      <c r="BH177" s="1850">
        <v>439.18299999999999</v>
      </c>
      <c r="BI177" s="1849">
        <v>22.988113169999998</v>
      </c>
      <c r="BJ177" s="1851">
        <v>1.4370000000000001</v>
      </c>
      <c r="BK177" s="1851">
        <v>0.39995022999999996</v>
      </c>
      <c r="BL177" s="1850">
        <v>437.74599999999998</v>
      </c>
      <c r="BM177" s="1849">
        <v>22.588162939999997</v>
      </c>
    </row>
    <row r="178" spans="1:65">
      <c r="A178" s="1854" t="s">
        <v>21</v>
      </c>
      <c r="B178" s="1849">
        <v>12310.733</v>
      </c>
      <c r="C178" s="1849">
        <v>8474.1239999999998</v>
      </c>
      <c r="D178" s="1849">
        <v>3558.5070000000001</v>
      </c>
      <c r="E178" s="1849">
        <v>2672.5219999999999</v>
      </c>
      <c r="F178" s="1849">
        <v>4547.201</v>
      </c>
      <c r="G178" s="1849">
        <v>1532.5029999999999</v>
      </c>
      <c r="H178" s="1849">
        <v>45483.639000000003</v>
      </c>
      <c r="I178" s="1849">
        <v>4240.9656866300002</v>
      </c>
      <c r="J178" s="1849">
        <v>9805.94</v>
      </c>
      <c r="K178" s="1849">
        <v>2273.0891979100002</v>
      </c>
      <c r="L178" s="1849">
        <v>32.103999999999999</v>
      </c>
      <c r="M178" s="1849">
        <v>127.39126668999999</v>
      </c>
      <c r="N178" s="1849">
        <v>3.4889999999999999</v>
      </c>
      <c r="O178" s="1849">
        <v>0.86773403999999998</v>
      </c>
      <c r="P178" s="1849">
        <v>13004.019</v>
      </c>
      <c r="Q178" s="1849">
        <v>387.02639916999999</v>
      </c>
      <c r="R178" s="1849">
        <v>11971.075999999999</v>
      </c>
      <c r="S178" s="1849">
        <v>318.89720435999999</v>
      </c>
      <c r="T178" s="1849">
        <v>18301.97</v>
      </c>
      <c r="U178" s="1849">
        <v>1286.86953608</v>
      </c>
      <c r="V178" s="1849">
        <v>37.438000000000002</v>
      </c>
      <c r="W178" s="1853">
        <v>1.3979809999999999</v>
      </c>
      <c r="X178" s="1850">
        <v>4298.6790000000001</v>
      </c>
      <c r="Y178" s="1850">
        <v>164.32357174000001</v>
      </c>
      <c r="Z178" s="1850">
        <v>42.338999999999999</v>
      </c>
      <c r="AA178" s="1850">
        <v>10.598525130000001</v>
      </c>
      <c r="AB178" s="1850">
        <v>4256.34</v>
      </c>
      <c r="AC178" s="1850">
        <v>153.72504661000002</v>
      </c>
      <c r="AD178" s="1850">
        <v>39561.716</v>
      </c>
      <c r="AE178" s="1850">
        <v>3933.1946381799999</v>
      </c>
      <c r="AF178" s="1850">
        <v>9388.2909999999993</v>
      </c>
      <c r="AG178" s="1850">
        <v>2202.2616562200001</v>
      </c>
      <c r="AH178" s="1850">
        <v>10047.998</v>
      </c>
      <c r="AI178" s="1850">
        <v>404.12444471999999</v>
      </c>
      <c r="AJ178" s="1850">
        <v>9259.65</v>
      </c>
      <c r="AK178" s="1850">
        <v>232.69359758000002</v>
      </c>
      <c r="AL178" s="1850">
        <v>16213.691999999999</v>
      </c>
      <c r="AM178" s="1850">
        <v>1179.67088973</v>
      </c>
      <c r="AN178" s="1850">
        <v>36.130000000000003</v>
      </c>
      <c r="AO178" s="1851">
        <v>1.302959</v>
      </c>
      <c r="AP178" s="1850">
        <v>3875.605</v>
      </c>
      <c r="AQ178" s="1850">
        <v>145.83468851000001</v>
      </c>
      <c r="AR178" s="1850">
        <v>41.158999999999999</v>
      </c>
      <c r="AS178" s="1850">
        <v>10.2760438</v>
      </c>
      <c r="AT178" s="1850">
        <v>3834.4459999999999</v>
      </c>
      <c r="AU178" s="1850">
        <v>135.55864470999998</v>
      </c>
      <c r="AV178" s="1850">
        <v>5921.9229999999998</v>
      </c>
      <c r="AW178" s="1850">
        <v>307.77104845000002</v>
      </c>
      <c r="AX178" s="1850">
        <v>421.13799999999998</v>
      </c>
      <c r="AY178" s="1850">
        <v>71.695275730000006</v>
      </c>
      <c r="AZ178" s="1850">
        <v>2988.125</v>
      </c>
      <c r="BA178" s="1850">
        <v>110.29322114</v>
      </c>
      <c r="BB178" s="1850">
        <v>2711.4259999999999</v>
      </c>
      <c r="BC178" s="1850">
        <v>86.203606780000001</v>
      </c>
      <c r="BD178" s="1850">
        <v>2088.2779999999998</v>
      </c>
      <c r="BE178" s="1850">
        <v>107.19864635</v>
      </c>
      <c r="BF178" s="1852">
        <v>1.3080000000000001</v>
      </c>
      <c r="BG178" s="1851">
        <v>9.5021999999999995E-2</v>
      </c>
      <c r="BH178" s="1850">
        <v>423.07400000000001</v>
      </c>
      <c r="BI178" s="1849">
        <v>18.488883229999999</v>
      </c>
      <c r="BJ178" s="1851">
        <v>1.18</v>
      </c>
      <c r="BK178" s="1851">
        <v>0.32248133000000001</v>
      </c>
      <c r="BL178" s="1850">
        <v>421.89400000000001</v>
      </c>
      <c r="BM178" s="1849">
        <v>18.166401899999997</v>
      </c>
    </row>
    <row r="179" spans="1:65">
      <c r="A179" s="1854" t="s">
        <v>22</v>
      </c>
      <c r="B179" s="1849">
        <v>12430.844999999999</v>
      </c>
      <c r="C179" s="1849">
        <v>8604.91</v>
      </c>
      <c r="D179" s="1849">
        <v>3500.9189999999999</v>
      </c>
      <c r="E179" s="1849">
        <v>2673.0929999999998</v>
      </c>
      <c r="F179" s="1849">
        <v>4702.2089999999998</v>
      </c>
      <c r="G179" s="1849">
        <v>1554.624</v>
      </c>
      <c r="H179" s="1849">
        <v>50481.47</v>
      </c>
      <c r="I179" s="1849">
        <v>4595.4119622199996</v>
      </c>
      <c r="J179" s="1849">
        <v>10831.366</v>
      </c>
      <c r="K179" s="1849">
        <v>2444.4923322200002</v>
      </c>
      <c r="L179" s="1849">
        <v>28.701000000000001</v>
      </c>
      <c r="M179" s="1849">
        <v>118.11384375999999</v>
      </c>
      <c r="N179" s="1849">
        <v>3.0459999999999998</v>
      </c>
      <c r="O179" s="1849">
        <v>0.96534030000000004</v>
      </c>
      <c r="P179" s="1849">
        <v>14620.932000000001</v>
      </c>
      <c r="Q179" s="1849">
        <v>435.66796420999998</v>
      </c>
      <c r="R179" s="1849">
        <v>13540.486999999999</v>
      </c>
      <c r="S179" s="1849">
        <v>375.33324082999997</v>
      </c>
      <c r="T179" s="1849">
        <v>20107.528999999999</v>
      </c>
      <c r="U179" s="1849">
        <v>1389.0101637400001</v>
      </c>
      <c r="V179" s="1849">
        <v>42.095999999999997</v>
      </c>
      <c r="W179" s="1853">
        <v>1.92757658</v>
      </c>
      <c r="X179" s="1850">
        <v>4847.8</v>
      </c>
      <c r="Y179" s="1850">
        <v>205.23474141</v>
      </c>
      <c r="Z179" s="1850">
        <v>49.008000000000003</v>
      </c>
      <c r="AA179" s="1850">
        <v>13.197057019999999</v>
      </c>
      <c r="AB179" s="1850">
        <v>4798.7920000000004</v>
      </c>
      <c r="AC179" s="1850">
        <v>192.03768438999998</v>
      </c>
      <c r="AD179" s="1850">
        <v>44028.892999999996</v>
      </c>
      <c r="AE179" s="1850">
        <v>4244.7931059499997</v>
      </c>
      <c r="AF179" s="1850">
        <v>10392.476000000001</v>
      </c>
      <c r="AG179" s="1850">
        <v>2365.9795961300001</v>
      </c>
      <c r="AH179" s="1850">
        <v>11378.927</v>
      </c>
      <c r="AI179" s="1850">
        <v>424.65907224</v>
      </c>
      <c r="AJ179" s="1850">
        <v>10579.423000000001</v>
      </c>
      <c r="AK179" s="1850">
        <v>275.58346818000001</v>
      </c>
      <c r="AL179" s="1850">
        <v>17836.357</v>
      </c>
      <c r="AM179" s="1850">
        <v>1270.2050738299999</v>
      </c>
      <c r="AN179" s="1850">
        <v>40.737000000000002</v>
      </c>
      <c r="AO179" s="1851">
        <v>1.8350715800000001</v>
      </c>
      <c r="AP179" s="1850">
        <v>4380.3959999999997</v>
      </c>
      <c r="AQ179" s="1850">
        <v>182.11429217</v>
      </c>
      <c r="AR179" s="1850">
        <v>47.719000000000001</v>
      </c>
      <c r="AS179" s="1850">
        <v>12.88390908</v>
      </c>
      <c r="AT179" s="1850">
        <v>4332.6769999999997</v>
      </c>
      <c r="AU179" s="1850">
        <v>169.23038309</v>
      </c>
      <c r="AV179" s="1850">
        <v>6452.5770000000002</v>
      </c>
      <c r="AW179" s="1850">
        <v>350.61885626999998</v>
      </c>
      <c r="AX179" s="1850">
        <v>441.93599999999998</v>
      </c>
      <c r="AY179" s="1850">
        <v>79.478076389999998</v>
      </c>
      <c r="AZ179" s="1850">
        <v>3270.7060000000001</v>
      </c>
      <c r="BA179" s="1850">
        <v>129.12273572999999</v>
      </c>
      <c r="BB179" s="1850">
        <v>2961.0639999999999</v>
      </c>
      <c r="BC179" s="1850">
        <v>99.749772650000011</v>
      </c>
      <c r="BD179" s="1850">
        <v>2271.172</v>
      </c>
      <c r="BE179" s="1850">
        <v>118.80508991000001</v>
      </c>
      <c r="BF179" s="1852">
        <v>1.359</v>
      </c>
      <c r="BG179" s="1851">
        <v>9.2505000000000004E-2</v>
      </c>
      <c r="BH179" s="1850">
        <v>467.404</v>
      </c>
      <c r="BI179" s="1849">
        <v>23.120449239999999</v>
      </c>
      <c r="BJ179" s="1851">
        <v>1.2889999999999999</v>
      </c>
      <c r="BK179" s="1851">
        <v>0.31314794000000001</v>
      </c>
      <c r="BL179" s="1850">
        <v>466.11500000000001</v>
      </c>
      <c r="BM179" s="1849">
        <v>22.807301300000002</v>
      </c>
    </row>
    <row r="180" spans="1:65">
      <c r="A180" s="1854" t="s">
        <v>23</v>
      </c>
      <c r="B180" s="1849">
        <v>12659.495000000001</v>
      </c>
      <c r="C180" s="1849">
        <v>8787.4609999999993</v>
      </c>
      <c r="D180" s="1849">
        <v>3495.5540000000001</v>
      </c>
      <c r="E180" s="1849">
        <v>2694.768</v>
      </c>
      <c r="F180" s="1849">
        <v>4869.7650000000003</v>
      </c>
      <c r="G180" s="1849">
        <v>1599.4079999999999</v>
      </c>
      <c r="H180" s="1849">
        <v>53123.345000000001</v>
      </c>
      <c r="I180" s="1849">
        <v>5061.4637881199997</v>
      </c>
      <c r="J180" s="1849">
        <v>10825.843999999999</v>
      </c>
      <c r="K180" s="1849">
        <v>2676.7735553399998</v>
      </c>
      <c r="L180" s="1849">
        <v>33.338999999999999</v>
      </c>
      <c r="M180" s="1849">
        <v>137.69376105000001</v>
      </c>
      <c r="N180" s="1849">
        <v>2.8929999999999998</v>
      </c>
      <c r="O180" s="1849">
        <v>1.08100145</v>
      </c>
      <c r="P180" s="1849">
        <v>16542.580999999998</v>
      </c>
      <c r="Q180" s="1849">
        <v>484.36786001000002</v>
      </c>
      <c r="R180" s="1849">
        <v>15404.893</v>
      </c>
      <c r="S180" s="1849">
        <v>405.27243092000003</v>
      </c>
      <c r="T180" s="1849">
        <v>21010.518</v>
      </c>
      <c r="U180" s="1849">
        <v>1542.5254190600001</v>
      </c>
      <c r="V180" s="1849">
        <v>42.290999999999997</v>
      </c>
      <c r="W180" s="1853">
        <v>2.32064351</v>
      </c>
      <c r="X180" s="1850">
        <v>4665.8789999999999</v>
      </c>
      <c r="Y180" s="1850">
        <v>216.70154769999999</v>
      </c>
      <c r="Z180" s="1850">
        <v>47.414999999999999</v>
      </c>
      <c r="AA180" s="1850">
        <v>12.819145279999999</v>
      </c>
      <c r="AB180" s="1850">
        <v>4618.4639999999999</v>
      </c>
      <c r="AC180" s="1850">
        <v>203.88240242000001</v>
      </c>
      <c r="AD180" s="1850">
        <v>46045.739000000001</v>
      </c>
      <c r="AE180" s="1850">
        <v>4675.1080835299999</v>
      </c>
      <c r="AF180" s="1850">
        <v>10348.9</v>
      </c>
      <c r="AG180" s="1850">
        <v>2586.5928015200002</v>
      </c>
      <c r="AH180" s="1850">
        <v>12807.216</v>
      </c>
      <c r="AI180" s="1850">
        <v>482.60943308999998</v>
      </c>
      <c r="AJ180" s="1850">
        <v>11954.764999999999</v>
      </c>
      <c r="AK180" s="1850">
        <v>296.22303343999999</v>
      </c>
      <c r="AL180" s="1850">
        <v>18647.085999999999</v>
      </c>
      <c r="AM180" s="1850">
        <v>1411.5142758699999</v>
      </c>
      <c r="AN180" s="1850">
        <v>39.393999999999998</v>
      </c>
      <c r="AO180" s="1851">
        <v>2.1021415099999996</v>
      </c>
      <c r="AP180" s="1850">
        <v>4203.143</v>
      </c>
      <c r="AQ180" s="1850">
        <v>192.28943154000001</v>
      </c>
      <c r="AR180" s="1850">
        <v>45.902999999999999</v>
      </c>
      <c r="AS180" s="1850">
        <v>12.41282891</v>
      </c>
      <c r="AT180" s="1850">
        <v>4157.24</v>
      </c>
      <c r="AU180" s="1850">
        <v>179.87660263000001</v>
      </c>
      <c r="AV180" s="1850">
        <v>7077.6059999999998</v>
      </c>
      <c r="AW180" s="1850">
        <v>386.35570459000002</v>
      </c>
      <c r="AX180" s="1850">
        <v>479.83699999999999</v>
      </c>
      <c r="AY180" s="1850">
        <v>91.261755269999995</v>
      </c>
      <c r="AZ180" s="1850">
        <v>3768.7040000000002</v>
      </c>
      <c r="BA180" s="1850">
        <v>139.45218797000001</v>
      </c>
      <c r="BB180" s="1850">
        <v>3450.1280000000002</v>
      </c>
      <c r="BC180" s="1850">
        <v>109.04939748000001</v>
      </c>
      <c r="BD180" s="1850">
        <v>2363.4319999999998</v>
      </c>
      <c r="BE180" s="1850">
        <v>131.01114319000001</v>
      </c>
      <c r="BF180" s="1852">
        <v>2.8969999999999998</v>
      </c>
      <c r="BG180" s="1851">
        <v>0.218502</v>
      </c>
      <c r="BH180" s="1850">
        <v>462.73599999999999</v>
      </c>
      <c r="BI180" s="1849">
        <v>24.41211616</v>
      </c>
      <c r="BJ180" s="1851">
        <v>1.512</v>
      </c>
      <c r="BK180" s="1851">
        <v>0.40631636999999998</v>
      </c>
      <c r="BL180" s="1850">
        <v>461.22399999999999</v>
      </c>
      <c r="BM180" s="1849">
        <v>24.005799789999998</v>
      </c>
    </row>
    <row r="181" spans="1:65">
      <c r="A181" s="1854" t="s">
        <v>24</v>
      </c>
      <c r="B181" s="1849">
        <v>12843.772000000001</v>
      </c>
      <c r="C181" s="1849">
        <v>9023.74</v>
      </c>
      <c r="D181" s="1849">
        <v>3501.08</v>
      </c>
      <c r="E181" s="1849">
        <v>2717.81</v>
      </c>
      <c r="F181" s="1849">
        <v>4976.5720000000001</v>
      </c>
      <c r="G181" s="1849">
        <v>1648.31</v>
      </c>
      <c r="H181" s="1849">
        <v>52376.264000000003</v>
      </c>
      <c r="I181" s="1849">
        <v>5143.3901576899998</v>
      </c>
      <c r="J181" s="1849">
        <v>10570.517</v>
      </c>
      <c r="K181" s="1849">
        <v>2726.4976840099998</v>
      </c>
      <c r="L181" s="1849">
        <v>33.234000000000002</v>
      </c>
      <c r="M181" s="1849">
        <v>133.51778625</v>
      </c>
      <c r="N181" s="1849">
        <v>2.6429999999999998</v>
      </c>
      <c r="O181" s="1849">
        <v>0.96894566999999998</v>
      </c>
      <c r="P181" s="1849">
        <v>15936.786</v>
      </c>
      <c r="Q181" s="1849">
        <v>467.28128796999999</v>
      </c>
      <c r="R181" s="1849">
        <v>14778.231</v>
      </c>
      <c r="S181" s="1849">
        <v>393.00190177999997</v>
      </c>
      <c r="T181" s="1849">
        <v>21461.796999999999</v>
      </c>
      <c r="U181" s="1849">
        <v>1583.31870005</v>
      </c>
      <c r="V181" s="1849">
        <v>46.936</v>
      </c>
      <c r="W181" s="1853">
        <v>2.9130280000000002</v>
      </c>
      <c r="X181" s="1850">
        <v>4324.3509999999997</v>
      </c>
      <c r="Y181" s="1850">
        <v>228.89272574</v>
      </c>
      <c r="Z181" s="1850">
        <v>39.418999999999997</v>
      </c>
      <c r="AA181" s="1850">
        <v>13.03851025</v>
      </c>
      <c r="AB181" s="1850">
        <v>4284.9319999999998</v>
      </c>
      <c r="AC181" s="1850">
        <v>215.85421549</v>
      </c>
      <c r="AD181" s="1850">
        <v>45790.500999999997</v>
      </c>
      <c r="AE181" s="1850">
        <v>4776.8940594200003</v>
      </c>
      <c r="AF181" s="1850">
        <v>10138.130999999999</v>
      </c>
      <c r="AG181" s="1850">
        <v>2644.1614146100001</v>
      </c>
      <c r="AH181" s="1850">
        <v>12549.157999999999</v>
      </c>
      <c r="AI181" s="1850">
        <v>468.27135705000001</v>
      </c>
      <c r="AJ181" s="1850">
        <v>11663.144</v>
      </c>
      <c r="AK181" s="1850">
        <v>291.01106483999996</v>
      </c>
      <c r="AL181" s="1850">
        <v>19157.325000000001</v>
      </c>
      <c r="AM181" s="1850">
        <v>1454.8084595800001</v>
      </c>
      <c r="AN181" s="1850">
        <v>43.618000000000002</v>
      </c>
      <c r="AO181" s="1851">
        <v>2.6920959999999998</v>
      </c>
      <c r="AP181" s="1850">
        <v>3902.2689999999998</v>
      </c>
      <c r="AQ181" s="1850">
        <v>206.96073218000001</v>
      </c>
      <c r="AR181" s="1850">
        <v>38.115000000000002</v>
      </c>
      <c r="AS181" s="1850">
        <v>12.69190259</v>
      </c>
      <c r="AT181" s="1850">
        <v>3864.154</v>
      </c>
      <c r="AU181" s="1850">
        <v>194.26882959</v>
      </c>
      <c r="AV181" s="1850">
        <v>6585.7629999999999</v>
      </c>
      <c r="AW181" s="1850">
        <v>366.49609827</v>
      </c>
      <c r="AX181" s="1850">
        <v>435.029</v>
      </c>
      <c r="AY181" s="1850">
        <v>83.305215070000003</v>
      </c>
      <c r="AZ181" s="1850">
        <v>3420.8620000000001</v>
      </c>
      <c r="BA181" s="1850">
        <v>132.52771716999999</v>
      </c>
      <c r="BB181" s="1850">
        <v>3115.087</v>
      </c>
      <c r="BC181" s="1850">
        <v>101.99083693999999</v>
      </c>
      <c r="BD181" s="1850">
        <v>2304.4720000000002</v>
      </c>
      <c r="BE181" s="1850">
        <v>128.51024047000001</v>
      </c>
      <c r="BF181" s="1852">
        <v>3.3180000000000001</v>
      </c>
      <c r="BG181" s="1851">
        <v>0.22093199999999999</v>
      </c>
      <c r="BH181" s="1850">
        <v>422.08199999999999</v>
      </c>
      <c r="BI181" s="1849">
        <v>21.931993559999999</v>
      </c>
      <c r="BJ181" s="1851">
        <v>1.304</v>
      </c>
      <c r="BK181" s="1851">
        <v>0.34660765999999998</v>
      </c>
      <c r="BL181" s="1850">
        <v>420.77800000000002</v>
      </c>
      <c r="BM181" s="1849">
        <v>21.585385899999999</v>
      </c>
    </row>
    <row r="182" spans="1:65">
      <c r="A182" s="1854" t="s">
        <v>25</v>
      </c>
      <c r="B182" s="1849">
        <v>13035.458000000001</v>
      </c>
      <c r="C182" s="1849">
        <v>9219.3690000000006</v>
      </c>
      <c r="D182" s="1849">
        <v>3513.8760000000002</v>
      </c>
      <c r="E182" s="1849">
        <v>2737.7440000000001</v>
      </c>
      <c r="F182" s="1849">
        <v>5088.6419999999998</v>
      </c>
      <c r="G182" s="1849">
        <v>1695.1959999999999</v>
      </c>
      <c r="H182" s="1849">
        <v>57772.567999999999</v>
      </c>
      <c r="I182" s="1849">
        <v>5276.8131115599999</v>
      </c>
      <c r="J182" s="1849">
        <v>10885.263000000001</v>
      </c>
      <c r="K182" s="1849">
        <v>2605.14152706</v>
      </c>
      <c r="L182" s="1849">
        <v>34.65</v>
      </c>
      <c r="M182" s="1849">
        <v>147.72998067</v>
      </c>
      <c r="N182" s="1849">
        <v>2.5179999999999998</v>
      </c>
      <c r="O182" s="1849">
        <v>0.87707595000000005</v>
      </c>
      <c r="P182" s="1849">
        <v>18580.157999999999</v>
      </c>
      <c r="Q182" s="1849">
        <v>524.39802821000001</v>
      </c>
      <c r="R182" s="1849">
        <v>17385.598000000002</v>
      </c>
      <c r="S182" s="1849">
        <v>445.90049800000003</v>
      </c>
      <c r="T182" s="1849">
        <v>23742.600999999999</v>
      </c>
      <c r="U182" s="1849">
        <v>1727.3385492100001</v>
      </c>
      <c r="V182" s="1849">
        <v>60.33</v>
      </c>
      <c r="W182" s="1853">
        <v>3.2509034300000001</v>
      </c>
      <c r="X182" s="1850">
        <v>4467.0479999999998</v>
      </c>
      <c r="Y182" s="1850">
        <v>268.07704703000002</v>
      </c>
      <c r="Z182" s="1850">
        <v>43.72</v>
      </c>
      <c r="AA182" s="1850">
        <v>14.97322945</v>
      </c>
      <c r="AB182" s="1850">
        <v>4423.3280000000004</v>
      </c>
      <c r="AC182" s="1850">
        <v>253.10381757999997</v>
      </c>
      <c r="AD182" s="1850">
        <v>50031.398000000001</v>
      </c>
      <c r="AE182" s="1850">
        <v>4866.8505273299997</v>
      </c>
      <c r="AF182" s="1850">
        <v>10404.716</v>
      </c>
      <c r="AG182" s="1850">
        <v>2513.7960658900001</v>
      </c>
      <c r="AH182" s="1850">
        <v>14492.710999999999</v>
      </c>
      <c r="AI182" s="1850">
        <v>523.57361717000003</v>
      </c>
      <c r="AJ182" s="1850">
        <v>13578.57</v>
      </c>
      <c r="AK182" s="1850">
        <v>329.69250692999998</v>
      </c>
      <c r="AL182" s="1850">
        <v>21100.739000000001</v>
      </c>
      <c r="AM182" s="1850">
        <v>1585.5412836200001</v>
      </c>
      <c r="AN182" s="1850">
        <v>57.082999999999998</v>
      </c>
      <c r="AO182" s="1851">
        <v>3.0338564300000002</v>
      </c>
      <c r="AP182" s="1850">
        <v>3976.1489999999999</v>
      </c>
      <c r="AQ182" s="1850">
        <v>240.90570421999999</v>
      </c>
      <c r="AR182" s="1850">
        <v>42.133000000000003</v>
      </c>
      <c r="AS182" s="1850">
        <v>14.568034449999999</v>
      </c>
      <c r="AT182" s="1850">
        <v>3934.0160000000001</v>
      </c>
      <c r="AU182" s="1850">
        <v>226.33766976999999</v>
      </c>
      <c r="AV182" s="1850">
        <v>7741.17</v>
      </c>
      <c r="AW182" s="1850">
        <v>409.96258423</v>
      </c>
      <c r="AX182" s="1850">
        <v>483.065</v>
      </c>
      <c r="AY182" s="1850">
        <v>92.222537119999998</v>
      </c>
      <c r="AZ182" s="1850">
        <v>4122.0969999999998</v>
      </c>
      <c r="BA182" s="1850">
        <v>148.55439171</v>
      </c>
      <c r="BB182" s="1850">
        <v>3807.0279999999998</v>
      </c>
      <c r="BC182" s="1850">
        <v>116.20799106999999</v>
      </c>
      <c r="BD182" s="1850">
        <v>2641.8620000000001</v>
      </c>
      <c r="BE182" s="1850">
        <v>141.79726558999999</v>
      </c>
      <c r="BF182" s="1852">
        <v>3.2469999999999999</v>
      </c>
      <c r="BG182" s="1851">
        <v>0.21704699999999999</v>
      </c>
      <c r="BH182" s="1850">
        <v>490.899</v>
      </c>
      <c r="BI182" s="1849">
        <v>27.171342809999999</v>
      </c>
      <c r="BJ182" s="1851">
        <v>1.587</v>
      </c>
      <c r="BK182" s="1851">
        <v>0.40519500000000003</v>
      </c>
      <c r="BL182" s="1850">
        <v>489.31200000000001</v>
      </c>
      <c r="BM182" s="1849">
        <v>26.766147810000003</v>
      </c>
    </row>
    <row r="183" spans="1:65">
      <c r="A183" s="1854" t="s">
        <v>26</v>
      </c>
      <c r="B183" s="1849">
        <v>13194.261</v>
      </c>
      <c r="C183" s="1849">
        <v>9420.1260000000002</v>
      </c>
      <c r="D183" s="1849">
        <v>3513.92</v>
      </c>
      <c r="E183" s="1849">
        <v>2738.3580000000002</v>
      </c>
      <c r="F183" s="1849">
        <v>5214.5630000000001</v>
      </c>
      <c r="G183" s="1849">
        <v>1727.42</v>
      </c>
      <c r="H183" s="1849">
        <v>58403.913999999997</v>
      </c>
      <c r="I183" s="1849">
        <v>5189.9611691299997</v>
      </c>
      <c r="J183" s="1849">
        <v>10672.234</v>
      </c>
      <c r="K183" s="1849">
        <v>2543.3662759899998</v>
      </c>
      <c r="L183" s="1849">
        <v>33.414999999999999</v>
      </c>
      <c r="M183" s="1849">
        <v>149.33067858000001</v>
      </c>
      <c r="N183" s="1849">
        <v>2.4780000000000002</v>
      </c>
      <c r="O183" s="1849">
        <v>0.85759346999999997</v>
      </c>
      <c r="P183" s="1849">
        <v>18740.531999999999</v>
      </c>
      <c r="Q183" s="1849">
        <v>507.61121229000003</v>
      </c>
      <c r="R183" s="1849">
        <v>17568.490000000002</v>
      </c>
      <c r="S183" s="1849">
        <v>433.39474094000002</v>
      </c>
      <c r="T183" s="1849">
        <v>24512.512999999999</v>
      </c>
      <c r="U183" s="1849">
        <v>1753.6781955900001</v>
      </c>
      <c r="V183" s="1849">
        <v>59.853000000000002</v>
      </c>
      <c r="W183" s="1853">
        <v>3.3703750000000001</v>
      </c>
      <c r="X183" s="1850">
        <v>4382.8890000000001</v>
      </c>
      <c r="Y183" s="1850">
        <v>231.74683820999999</v>
      </c>
      <c r="Z183" s="1850">
        <v>48.246000000000002</v>
      </c>
      <c r="AA183" s="1850">
        <v>17.06981845</v>
      </c>
      <c r="AB183" s="1850">
        <v>4334.643</v>
      </c>
      <c r="AC183" s="1850">
        <v>214.67701975999998</v>
      </c>
      <c r="AD183" s="1850">
        <v>50923.544000000002</v>
      </c>
      <c r="AE183" s="1850">
        <v>4793.5716648300004</v>
      </c>
      <c r="AF183" s="1850">
        <v>10209.093000000001</v>
      </c>
      <c r="AG183" s="1850">
        <v>2453.94481434</v>
      </c>
      <c r="AH183" s="1850">
        <v>14826.784</v>
      </c>
      <c r="AI183" s="1850">
        <v>514.03196931000002</v>
      </c>
      <c r="AJ183" s="1850">
        <v>13931.367</v>
      </c>
      <c r="AK183" s="1850">
        <v>321.34579744000001</v>
      </c>
      <c r="AL183" s="1850">
        <v>21902.97</v>
      </c>
      <c r="AM183" s="1850">
        <v>1614.56399859</v>
      </c>
      <c r="AN183" s="1850">
        <v>56.616999999999997</v>
      </c>
      <c r="AO183" s="1851">
        <v>3.1275599999999999</v>
      </c>
      <c r="AP183" s="1850">
        <v>3928.08</v>
      </c>
      <c r="AQ183" s="1850">
        <v>207.90332258999999</v>
      </c>
      <c r="AR183" s="1850">
        <v>46.83</v>
      </c>
      <c r="AS183" s="1850">
        <v>16.667971059999999</v>
      </c>
      <c r="AT183" s="1850">
        <v>3881.25</v>
      </c>
      <c r="AU183" s="1850">
        <v>191.23535153</v>
      </c>
      <c r="AV183" s="1850">
        <v>7480.37</v>
      </c>
      <c r="AW183" s="1850">
        <v>396.3895043</v>
      </c>
      <c r="AX183" s="1850">
        <v>465.61900000000003</v>
      </c>
      <c r="AY183" s="1850">
        <v>90.279055119999995</v>
      </c>
      <c r="AZ183" s="1850">
        <v>3947.163</v>
      </c>
      <c r="BA183" s="1850">
        <v>142.90992155999999</v>
      </c>
      <c r="BB183" s="1850">
        <v>3637.123</v>
      </c>
      <c r="BC183" s="1850">
        <v>112.04894349999999</v>
      </c>
      <c r="BD183" s="1850">
        <v>2609.5430000000001</v>
      </c>
      <c r="BE183" s="1850">
        <v>139.11419699999999</v>
      </c>
      <c r="BF183" s="1852">
        <v>3.2360000000000002</v>
      </c>
      <c r="BG183" s="1851">
        <v>0.242815</v>
      </c>
      <c r="BH183" s="1850">
        <v>454.80900000000003</v>
      </c>
      <c r="BI183" s="1849">
        <v>23.843515620000002</v>
      </c>
      <c r="BJ183" s="1851">
        <v>1.4159999999999999</v>
      </c>
      <c r="BK183" s="1851">
        <v>0.40184739000000003</v>
      </c>
      <c r="BL183" s="1850">
        <v>453.39299999999997</v>
      </c>
      <c r="BM183" s="1849">
        <v>23.441668230000001</v>
      </c>
    </row>
    <row r="184" spans="1:65">
      <c r="A184" s="1854" t="s">
        <v>27</v>
      </c>
      <c r="B184" s="1849">
        <v>13402.008</v>
      </c>
      <c r="C184" s="1849">
        <v>9578.7039999999997</v>
      </c>
      <c r="D184" s="1849">
        <v>3520.0659999999998</v>
      </c>
      <c r="E184" s="1849">
        <v>2750.692</v>
      </c>
      <c r="F184" s="1849">
        <v>5368.6540000000005</v>
      </c>
      <c r="G184" s="1849">
        <v>1762.596</v>
      </c>
      <c r="H184" s="1849">
        <v>62361.794000000002</v>
      </c>
      <c r="I184" s="1849">
        <v>5480.38461035</v>
      </c>
      <c r="J184" s="1849">
        <v>11623.864</v>
      </c>
      <c r="K184" s="1849">
        <v>2768.3117917099999</v>
      </c>
      <c r="L184" s="1849">
        <v>31.808</v>
      </c>
      <c r="M184" s="1849">
        <v>141.19458964</v>
      </c>
      <c r="N184" s="1849">
        <v>2.6779999999999999</v>
      </c>
      <c r="O184" s="1849">
        <v>0.86873120999999998</v>
      </c>
      <c r="P184" s="1849">
        <v>19594.441999999999</v>
      </c>
      <c r="Q184" s="1849">
        <v>549.62459290000004</v>
      </c>
      <c r="R184" s="1849">
        <v>18539.998</v>
      </c>
      <c r="S184" s="1849">
        <v>478.08319075000003</v>
      </c>
      <c r="T184" s="1849">
        <v>26201.514999999999</v>
      </c>
      <c r="U184" s="1849">
        <v>1773.3354037300001</v>
      </c>
      <c r="V184" s="1849">
        <v>63.329000000000001</v>
      </c>
      <c r="W184" s="1853">
        <v>3.2464110000000002</v>
      </c>
      <c r="X184" s="1850">
        <v>4844.1580000000004</v>
      </c>
      <c r="Y184" s="1850">
        <v>243.80309016000001</v>
      </c>
      <c r="Z184" s="1850">
        <v>66.418999999999997</v>
      </c>
      <c r="AA184" s="1850">
        <v>18.5980083</v>
      </c>
      <c r="AB184" s="1850">
        <v>4777.7389999999996</v>
      </c>
      <c r="AC184" s="1850">
        <v>225.20508186000001</v>
      </c>
      <c r="AD184" s="1850">
        <v>54887.158000000003</v>
      </c>
      <c r="AE184" s="1850">
        <v>5081.9348445100004</v>
      </c>
      <c r="AF184" s="1850">
        <v>11157.294</v>
      </c>
      <c r="AG184" s="1850">
        <v>2681.1828607900002</v>
      </c>
      <c r="AH184" s="1850">
        <v>15807.101000000001</v>
      </c>
      <c r="AI184" s="1850">
        <v>545.51804413000002</v>
      </c>
      <c r="AJ184" s="1850">
        <v>14919.834000000001</v>
      </c>
      <c r="AK184" s="1850">
        <v>359.39416167000002</v>
      </c>
      <c r="AL184" s="1850">
        <v>23490.159</v>
      </c>
      <c r="AM184" s="1850">
        <v>1633.3403877799999</v>
      </c>
      <c r="AN184" s="1850">
        <v>61.302999999999997</v>
      </c>
      <c r="AO184" s="1851">
        <v>3.030532</v>
      </c>
      <c r="AP184" s="1850">
        <v>4371.3010000000004</v>
      </c>
      <c r="AQ184" s="1850">
        <v>218.86301981</v>
      </c>
      <c r="AR184" s="1850">
        <v>65.099999999999994</v>
      </c>
      <c r="AS184" s="1850">
        <v>18.264174440000001</v>
      </c>
      <c r="AT184" s="1850">
        <v>4306.201</v>
      </c>
      <c r="AU184" s="1850">
        <v>200.59884536999999</v>
      </c>
      <c r="AV184" s="1850">
        <v>7474.6360000000004</v>
      </c>
      <c r="AW184" s="1850">
        <v>398.44976584</v>
      </c>
      <c r="AX184" s="1850">
        <v>469.24799999999999</v>
      </c>
      <c r="AY184" s="1850">
        <v>87.997662129999995</v>
      </c>
      <c r="AZ184" s="1850">
        <v>3819.1489999999999</v>
      </c>
      <c r="BA184" s="1850">
        <v>145.30113840999999</v>
      </c>
      <c r="BB184" s="1850">
        <v>3620.1640000000002</v>
      </c>
      <c r="BC184" s="1850">
        <v>118.68902908</v>
      </c>
      <c r="BD184" s="1850">
        <v>2711.3560000000002</v>
      </c>
      <c r="BE184" s="1850">
        <v>139.99501595000001</v>
      </c>
      <c r="BF184" s="1852">
        <v>2.0259999999999998</v>
      </c>
      <c r="BG184" s="1851">
        <v>0.21587899999999999</v>
      </c>
      <c r="BH184" s="1850">
        <v>472.85700000000003</v>
      </c>
      <c r="BI184" s="1849">
        <v>24.940070349999999</v>
      </c>
      <c r="BJ184" s="1851">
        <v>1.319</v>
      </c>
      <c r="BK184" s="1851">
        <v>0.33383385999999998</v>
      </c>
      <c r="BL184" s="1850">
        <v>471.53800000000001</v>
      </c>
      <c r="BM184" s="1849">
        <v>24.606236490000001</v>
      </c>
    </row>
    <row r="185" spans="1:65">
      <c r="A185" s="1854" t="s">
        <v>28</v>
      </c>
      <c r="B185" s="1849">
        <v>13477.63</v>
      </c>
      <c r="C185" s="1849">
        <v>9711.1170000000002</v>
      </c>
      <c r="D185" s="1849">
        <v>3542.61</v>
      </c>
      <c r="E185" s="1849">
        <v>2759.116</v>
      </c>
      <c r="F185" s="1849">
        <v>5378.1120000000001</v>
      </c>
      <c r="G185" s="1849">
        <v>1797.7919999999999</v>
      </c>
      <c r="H185" s="1849">
        <v>65867.608999999997</v>
      </c>
      <c r="I185" s="1849">
        <v>5627.1669312399999</v>
      </c>
      <c r="J185" s="1849">
        <v>11472.339</v>
      </c>
      <c r="K185" s="1849">
        <v>2680.5007407600001</v>
      </c>
      <c r="L185" s="1849">
        <v>28.901</v>
      </c>
      <c r="M185" s="1849">
        <v>140.71640782</v>
      </c>
      <c r="N185" s="1849">
        <v>2.569</v>
      </c>
      <c r="O185" s="1849">
        <v>0.93708769999999997</v>
      </c>
      <c r="P185" s="1849">
        <v>21143.066999999999</v>
      </c>
      <c r="Q185" s="1849">
        <v>613.59077586000001</v>
      </c>
      <c r="R185" s="1849">
        <v>20123.715</v>
      </c>
      <c r="S185" s="1849">
        <v>543.11152536999998</v>
      </c>
      <c r="T185" s="1849">
        <v>27816.97</v>
      </c>
      <c r="U185" s="1849">
        <v>1923.5429791700001</v>
      </c>
      <c r="V185" s="1849">
        <v>60.502000000000002</v>
      </c>
      <c r="W185" s="1853">
        <v>3.1816230000000001</v>
      </c>
      <c r="X185" s="1850">
        <v>5343.2610000000004</v>
      </c>
      <c r="Y185" s="1850">
        <v>264.69731693</v>
      </c>
      <c r="Z185" s="1850">
        <v>66.951999999999998</v>
      </c>
      <c r="AA185" s="1850">
        <v>17.635534449999998</v>
      </c>
      <c r="AB185" s="1850">
        <v>5276.3090000000002</v>
      </c>
      <c r="AC185" s="1850">
        <v>247.06178248000001</v>
      </c>
      <c r="AD185" s="1850">
        <v>58226.038999999997</v>
      </c>
      <c r="AE185" s="1850">
        <v>5211.0261375500004</v>
      </c>
      <c r="AF185" s="1850">
        <v>11035.358</v>
      </c>
      <c r="AG185" s="1850">
        <v>2596.4053328199998</v>
      </c>
      <c r="AH185" s="1850">
        <v>17238.303</v>
      </c>
      <c r="AI185" s="1850">
        <v>592.69528229000002</v>
      </c>
      <c r="AJ185" s="1850">
        <v>16381.751</v>
      </c>
      <c r="AK185" s="1850">
        <v>410.87587080999998</v>
      </c>
      <c r="AL185" s="1850">
        <v>25066.358</v>
      </c>
      <c r="AM185" s="1850">
        <v>1781.61484509</v>
      </c>
      <c r="AN185" s="1850">
        <v>58.39</v>
      </c>
      <c r="AO185" s="1851">
        <v>2.8932000000000002</v>
      </c>
      <c r="AP185" s="1850">
        <v>4827.63</v>
      </c>
      <c r="AQ185" s="1850">
        <v>237.41747735000001</v>
      </c>
      <c r="AR185" s="1850">
        <v>65.507999999999996</v>
      </c>
      <c r="AS185" s="1850">
        <v>17.293039760000003</v>
      </c>
      <c r="AT185" s="1850">
        <v>4762.1220000000003</v>
      </c>
      <c r="AU185" s="1850">
        <v>220.12443759000004</v>
      </c>
      <c r="AV185" s="1850">
        <v>7641.57</v>
      </c>
      <c r="AW185" s="1850">
        <v>416.14079369000001</v>
      </c>
      <c r="AX185" s="1850">
        <v>439.55</v>
      </c>
      <c r="AY185" s="1850">
        <v>85.032495639999993</v>
      </c>
      <c r="AZ185" s="1850">
        <v>3933.665</v>
      </c>
      <c r="BA185" s="1850">
        <v>161.61190139000001</v>
      </c>
      <c r="BB185" s="1850">
        <v>3741.9639999999999</v>
      </c>
      <c r="BC185" s="1850">
        <v>132.23565456</v>
      </c>
      <c r="BD185" s="1850">
        <v>2750.6120000000001</v>
      </c>
      <c r="BE185" s="1850">
        <v>141.92813408000001</v>
      </c>
      <c r="BF185" s="1852">
        <v>2.1120000000000001</v>
      </c>
      <c r="BG185" s="1851">
        <v>0.28842299999999998</v>
      </c>
      <c r="BH185" s="1850">
        <v>515.63099999999997</v>
      </c>
      <c r="BI185" s="1849">
        <v>27.279839580000001</v>
      </c>
      <c r="BJ185" s="1851">
        <v>1.444</v>
      </c>
      <c r="BK185" s="1851">
        <v>0.34249468999999999</v>
      </c>
      <c r="BL185" s="1850">
        <v>514.18700000000001</v>
      </c>
      <c r="BM185" s="1849">
        <v>26.937344890000002</v>
      </c>
    </row>
    <row r="186" spans="1:65">
      <c r="A186" s="1854" t="s">
        <v>29</v>
      </c>
      <c r="B186" s="1849">
        <v>13630.909</v>
      </c>
      <c r="C186" s="1849">
        <v>9833.4719999999998</v>
      </c>
      <c r="D186" s="1849">
        <v>3547.4850000000001</v>
      </c>
      <c r="E186" s="1849">
        <v>2758.7310000000002</v>
      </c>
      <c r="F186" s="1849">
        <v>5501.5360000000001</v>
      </c>
      <c r="G186" s="1849">
        <v>1823.1569999999999</v>
      </c>
      <c r="H186" s="1849">
        <v>72834.16</v>
      </c>
      <c r="I186" s="1849">
        <v>6610.6877918809996</v>
      </c>
      <c r="J186" s="1849">
        <v>13172.27</v>
      </c>
      <c r="K186" s="1849">
        <v>3222.9080457499999</v>
      </c>
      <c r="L186" s="1849">
        <v>35.548999999999999</v>
      </c>
      <c r="M186" s="1849">
        <v>164.71225620999999</v>
      </c>
      <c r="N186" s="1849">
        <v>2.2719999999999998</v>
      </c>
      <c r="O186" s="1849">
        <v>0.89793288000000004</v>
      </c>
      <c r="P186" s="1849">
        <v>22696.778999999999</v>
      </c>
      <c r="Q186" s="1849">
        <v>650.40745870000001</v>
      </c>
      <c r="R186" s="1849">
        <v>21529.631000000001</v>
      </c>
      <c r="S186" s="1849">
        <v>567.86168275</v>
      </c>
      <c r="T186" s="1849">
        <v>31887.034</v>
      </c>
      <c r="U186" s="1849">
        <v>2329.53604421</v>
      </c>
      <c r="V186" s="1849">
        <v>68.081000000000003</v>
      </c>
      <c r="W186" s="1853">
        <v>3.8741080000000001</v>
      </c>
      <c r="X186" s="1850">
        <v>4972.1750000000002</v>
      </c>
      <c r="Y186" s="1850">
        <v>238.35194613100001</v>
      </c>
      <c r="Z186" s="1850">
        <v>63.134</v>
      </c>
      <c r="AA186" s="1850">
        <v>17.242931170999999</v>
      </c>
      <c r="AB186" s="1850">
        <v>4909.0410000000002</v>
      </c>
      <c r="AC186" s="1850">
        <v>221.10901496</v>
      </c>
      <c r="AD186" s="1850">
        <v>65059.786</v>
      </c>
      <c r="AE186" s="1850">
        <v>6181.8615136509998</v>
      </c>
      <c r="AF186" s="1850">
        <v>12731.535</v>
      </c>
      <c r="AG186" s="1850">
        <v>3134.20463569</v>
      </c>
      <c r="AH186" s="1850">
        <v>18757.111000000001</v>
      </c>
      <c r="AI186" s="1850">
        <v>656.82019836999996</v>
      </c>
      <c r="AJ186" s="1850">
        <v>17744.233</v>
      </c>
      <c r="AK186" s="1850">
        <v>439.22448570999995</v>
      </c>
      <c r="AL186" s="1850">
        <v>28977.870999999999</v>
      </c>
      <c r="AM186" s="1850">
        <v>2172.0006807300001</v>
      </c>
      <c r="AN186" s="1850">
        <v>66.680999999999997</v>
      </c>
      <c r="AO186" s="1851">
        <v>3.7029019999999999</v>
      </c>
      <c r="AP186" s="1850">
        <v>4526.5879999999997</v>
      </c>
      <c r="AQ186" s="1850">
        <v>215.13309686100001</v>
      </c>
      <c r="AR186" s="1850">
        <v>61.878999999999998</v>
      </c>
      <c r="AS186" s="1850">
        <v>16.957719750999999</v>
      </c>
      <c r="AT186" s="1850">
        <v>4464.7089999999998</v>
      </c>
      <c r="AU186" s="1850">
        <v>198.17537710999997</v>
      </c>
      <c r="AV186" s="1850">
        <v>7774.3739999999998</v>
      </c>
      <c r="AW186" s="1850">
        <v>428.82627823000001</v>
      </c>
      <c r="AX186" s="1850">
        <v>443.00700000000001</v>
      </c>
      <c r="AY186" s="1850">
        <v>89.601342939999995</v>
      </c>
      <c r="AZ186" s="1850">
        <v>3975.2170000000001</v>
      </c>
      <c r="BA186" s="1850">
        <v>158.29951654000001</v>
      </c>
      <c r="BB186" s="1850">
        <v>3785.3980000000001</v>
      </c>
      <c r="BC186" s="1850">
        <v>128.63719704000002</v>
      </c>
      <c r="BD186" s="1850">
        <v>2909.163</v>
      </c>
      <c r="BE186" s="1850">
        <v>157.53536348</v>
      </c>
      <c r="BF186" s="1852">
        <v>1.4</v>
      </c>
      <c r="BG186" s="1851">
        <v>0.171206</v>
      </c>
      <c r="BH186" s="1850">
        <v>445.58699999999999</v>
      </c>
      <c r="BI186" s="1849">
        <v>23.21884927</v>
      </c>
      <c r="BJ186" s="1851">
        <v>1.2549999999999999</v>
      </c>
      <c r="BK186" s="1851">
        <v>0.28521141999999999</v>
      </c>
      <c r="BL186" s="1850">
        <v>444.33199999999999</v>
      </c>
      <c r="BM186" s="1849">
        <v>22.93363785</v>
      </c>
    </row>
    <row r="187" spans="1:65">
      <c r="A187" s="1854" t="s">
        <v>3605</v>
      </c>
      <c r="B187" s="1855">
        <v>16925.156999999999</v>
      </c>
      <c r="C187" s="1855">
        <v>12955.138999999999</v>
      </c>
      <c r="D187" s="1855">
        <v>3655.0920000000001</v>
      </c>
      <c r="E187" s="1855">
        <v>2880.8829999999998</v>
      </c>
      <c r="F187" s="1855">
        <v>8173.4979999999996</v>
      </c>
      <c r="G187" s="1855">
        <v>2215.6840000000002</v>
      </c>
      <c r="H187" s="1855">
        <f>SUM(H188:H199)</f>
        <v>1205082.99</v>
      </c>
      <c r="I187" s="1855">
        <f t="shared" ref="I187:BM187" si="37">SUM(I188:I199)</f>
        <v>91340.085825999995</v>
      </c>
      <c r="J187" s="1855">
        <f t="shared" si="37"/>
        <v>162301.71300000002</v>
      </c>
      <c r="K187" s="1855">
        <f t="shared" si="37"/>
        <v>37202.663557740008</v>
      </c>
      <c r="L187" s="1855">
        <f t="shared" si="37"/>
        <v>349.37300000000005</v>
      </c>
      <c r="M187" s="1855">
        <f t="shared" si="37"/>
        <v>1886.60533128</v>
      </c>
      <c r="N187" s="1855">
        <f t="shared" si="37"/>
        <v>22.211000000000002</v>
      </c>
      <c r="O187" s="1855">
        <f t="shared" si="37"/>
        <v>9.0123999099999992</v>
      </c>
      <c r="P187" s="1855">
        <f t="shared" si="37"/>
        <v>416557.97700000007</v>
      </c>
      <c r="Q187" s="1855">
        <f t="shared" si="37"/>
        <v>9787.1195679399989</v>
      </c>
      <c r="R187" s="1855">
        <f t="shared" si="37"/>
        <v>401083.95299999998</v>
      </c>
      <c r="S187" s="1855">
        <f t="shared" si="37"/>
        <v>8934.9641197199999</v>
      </c>
      <c r="T187" s="1855">
        <f t="shared" si="37"/>
        <v>563442.97400000005</v>
      </c>
      <c r="U187" s="1855">
        <f t="shared" si="37"/>
        <v>39170.826237410001</v>
      </c>
      <c r="V187" s="1855">
        <f t="shared" si="37"/>
        <v>1092.7850000000001</v>
      </c>
      <c r="W187" s="1855">
        <f t="shared" si="37"/>
        <v>73.268243999999996</v>
      </c>
      <c r="X187" s="1855">
        <f t="shared" si="37"/>
        <v>61315.953999999998</v>
      </c>
      <c r="Y187" s="1855">
        <f t="shared" si="37"/>
        <v>3210.5898987699998</v>
      </c>
      <c r="Z187" s="1855">
        <f t="shared" si="37"/>
        <v>573.38</v>
      </c>
      <c r="AA187" s="1855">
        <f t="shared" si="37"/>
        <v>179.16996559999995</v>
      </c>
      <c r="AB187" s="1855">
        <f t="shared" si="37"/>
        <v>60742.532000000007</v>
      </c>
      <c r="AC187" s="1855">
        <f t="shared" si="37"/>
        <v>3031.4199304500003</v>
      </c>
      <c r="AD187" s="1855">
        <f t="shared" si="37"/>
        <v>1088081.1980000001</v>
      </c>
      <c r="AE187" s="1855">
        <f t="shared" si="37"/>
        <v>85077.418274129988</v>
      </c>
      <c r="AF187" s="1855">
        <f t="shared" si="37"/>
        <v>156277.20000000001</v>
      </c>
      <c r="AG187" s="1855">
        <f t="shared" si="37"/>
        <v>35963.168750249999</v>
      </c>
      <c r="AH187" s="1855">
        <f t="shared" si="37"/>
        <v>358956.17999999993</v>
      </c>
      <c r="AI187" s="1855">
        <f t="shared" si="37"/>
        <v>9699.9712409099993</v>
      </c>
      <c r="AJ187" s="1855">
        <f t="shared" si="37"/>
        <v>345324.43199999997</v>
      </c>
      <c r="AK187" s="1855">
        <f t="shared" si="37"/>
        <v>7252.48028746</v>
      </c>
      <c r="AL187" s="1855">
        <f t="shared" si="37"/>
        <v>516132.96</v>
      </c>
      <c r="AM187" s="1855">
        <f t="shared" si="37"/>
        <v>36464.193178920003</v>
      </c>
      <c r="AN187" s="1855">
        <f t="shared" si="37"/>
        <v>1061.653</v>
      </c>
      <c r="AO187" s="1855">
        <f t="shared" si="37"/>
        <v>69.606965000000002</v>
      </c>
      <c r="AP187" s="1855">
        <f t="shared" si="37"/>
        <v>55653.21</v>
      </c>
      <c r="AQ187" s="1855">
        <f t="shared" si="37"/>
        <v>2880.8565833400003</v>
      </c>
      <c r="AR187" s="1855">
        <f t="shared" si="37"/>
        <v>556.70799999999997</v>
      </c>
      <c r="AS187" s="1855">
        <f t="shared" si="37"/>
        <v>174.75946499999998</v>
      </c>
      <c r="AT187" s="1855">
        <f t="shared" si="37"/>
        <v>55096.502</v>
      </c>
      <c r="AU187" s="1855">
        <f t="shared" si="37"/>
        <v>2706.0971132699997</v>
      </c>
      <c r="AV187" s="1855">
        <f t="shared" si="37"/>
        <v>117001.79200000002</v>
      </c>
      <c r="AW187" s="1855">
        <f t="shared" si="37"/>
        <v>6262.6675518700004</v>
      </c>
      <c r="AX187" s="1855">
        <f t="shared" si="37"/>
        <v>6046.7240000000002</v>
      </c>
      <c r="AY187" s="1855">
        <f t="shared" si="37"/>
        <v>1248.5072074</v>
      </c>
      <c r="AZ187" s="1855">
        <f t="shared" si="37"/>
        <v>57951.17</v>
      </c>
      <c r="BA187" s="1855">
        <f t="shared" si="37"/>
        <v>1973.7536583100002</v>
      </c>
      <c r="BB187" s="1855">
        <f t="shared" si="37"/>
        <v>55759.056000000011</v>
      </c>
      <c r="BC187" s="1855">
        <f t="shared" si="37"/>
        <v>1682.4847977200002</v>
      </c>
      <c r="BD187" s="1855">
        <f t="shared" si="37"/>
        <v>47309.838000000003</v>
      </c>
      <c r="BE187" s="1855">
        <f t="shared" si="37"/>
        <v>2706.6084756199998</v>
      </c>
      <c r="BF187" s="1855">
        <f t="shared" si="37"/>
        <v>31.131999999999984</v>
      </c>
      <c r="BG187" s="1855">
        <f t="shared" si="37"/>
        <v>4.0403070000000003</v>
      </c>
      <c r="BH187" s="1855">
        <f t="shared" si="37"/>
        <v>5662.7440000000006</v>
      </c>
      <c r="BI187" s="1855">
        <f t="shared" si="37"/>
        <v>329.73331383999999</v>
      </c>
      <c r="BJ187" s="1855">
        <f t="shared" si="37"/>
        <v>16.675384999999995</v>
      </c>
      <c r="BK187" s="1855">
        <f t="shared" si="37"/>
        <v>4.410322589999998</v>
      </c>
      <c r="BL187" s="1855">
        <f t="shared" si="37"/>
        <v>5646.0700000000006</v>
      </c>
      <c r="BM187" s="1855">
        <f t="shared" si="37"/>
        <v>325.32303295000003</v>
      </c>
    </row>
    <row r="188" spans="1:65">
      <c r="A188" s="1854" t="s">
        <v>18</v>
      </c>
      <c r="B188" s="1849">
        <v>13858.509</v>
      </c>
      <c r="C188" s="1849">
        <v>10017.991</v>
      </c>
      <c r="D188" s="1849">
        <v>3572.6529999999998</v>
      </c>
      <c r="E188" s="1849">
        <v>2759.056</v>
      </c>
      <c r="F188" s="1849">
        <v>5672.56</v>
      </c>
      <c r="G188" s="1849">
        <v>1854.24</v>
      </c>
      <c r="H188" s="1849">
        <v>70725.982999999993</v>
      </c>
      <c r="I188" s="1849">
        <v>5336.05481556</v>
      </c>
      <c r="J188" s="1849">
        <v>10700.950999999999</v>
      </c>
      <c r="K188" s="1849">
        <v>2304.4477488000002</v>
      </c>
      <c r="L188" s="1849">
        <v>24.652999999999999</v>
      </c>
      <c r="M188" s="1849">
        <v>115.91586655</v>
      </c>
      <c r="N188" s="1849">
        <v>1.8280000000000001</v>
      </c>
      <c r="O188" s="1849">
        <v>0.56935888000000001</v>
      </c>
      <c r="P188" s="1849">
        <v>24187.167000000001</v>
      </c>
      <c r="Q188" s="1849">
        <v>627.33697178</v>
      </c>
      <c r="R188" s="1849">
        <v>23035.547999999999</v>
      </c>
      <c r="S188" s="1849">
        <v>561.30554239999992</v>
      </c>
      <c r="T188" s="1849">
        <v>30759.904999999999</v>
      </c>
      <c r="U188" s="1849">
        <v>2032.4047235999999</v>
      </c>
      <c r="V188" s="1849">
        <v>65.272999999999996</v>
      </c>
      <c r="W188" s="1853">
        <v>4.2536940000000003</v>
      </c>
      <c r="X188" s="1850">
        <v>4986.2060000000001</v>
      </c>
      <c r="Y188" s="1850">
        <v>251.12645194999999</v>
      </c>
      <c r="Z188" s="1850">
        <v>61.04</v>
      </c>
      <c r="AA188" s="1850">
        <v>17.776724170000001</v>
      </c>
      <c r="AB188" s="1850">
        <v>4925.1660000000002</v>
      </c>
      <c r="AC188" s="1850">
        <v>233.34972778000002</v>
      </c>
      <c r="AD188" s="1850">
        <v>62688.366000000002</v>
      </c>
      <c r="AE188" s="1850">
        <v>4927.9868306300004</v>
      </c>
      <c r="AF188" s="1850">
        <v>10256.561</v>
      </c>
      <c r="AG188" s="1850">
        <v>2222.2175181399998</v>
      </c>
      <c r="AH188" s="1850">
        <v>19972.346000000001</v>
      </c>
      <c r="AI188" s="1850">
        <v>594.55296181000006</v>
      </c>
      <c r="AJ188" s="1850">
        <v>18985.694</v>
      </c>
      <c r="AK188" s="1850">
        <v>436.75564444000003</v>
      </c>
      <c r="AL188" s="1850">
        <v>27851.444</v>
      </c>
      <c r="AM188" s="1850">
        <v>1880.8828333199999</v>
      </c>
      <c r="AN188" s="1850">
        <v>63.476999999999997</v>
      </c>
      <c r="AO188" s="1851">
        <v>4.0726610000000001</v>
      </c>
      <c r="AP188" s="1850">
        <v>4544.5379999999996</v>
      </c>
      <c r="AQ188" s="1850">
        <v>226.26085635999999</v>
      </c>
      <c r="AR188" s="1850">
        <v>59.59</v>
      </c>
      <c r="AS188" s="1850">
        <v>17.428330690000003</v>
      </c>
      <c r="AT188" s="1850">
        <v>4484.9480000000003</v>
      </c>
      <c r="AU188" s="1850">
        <v>208.83252567000002</v>
      </c>
      <c r="AV188" s="1850">
        <v>8037.6170000000002</v>
      </c>
      <c r="AW188" s="1850">
        <v>408.06798493000002</v>
      </c>
      <c r="AX188" s="1850">
        <v>446.21800000000002</v>
      </c>
      <c r="AY188" s="1850">
        <v>82.799589539999999</v>
      </c>
      <c r="AZ188" s="1850">
        <v>4239.4740000000002</v>
      </c>
      <c r="BA188" s="1850">
        <v>148.69987652</v>
      </c>
      <c r="BB188" s="1850">
        <v>4049.8539999999998</v>
      </c>
      <c r="BC188" s="1850">
        <v>124.54989796</v>
      </c>
      <c r="BD188" s="1850">
        <v>2908.4609999999998</v>
      </c>
      <c r="BE188" s="1850">
        <v>151.52189028000001</v>
      </c>
      <c r="BF188" s="1852">
        <v>1.796</v>
      </c>
      <c r="BG188" s="1851">
        <v>0.181033</v>
      </c>
      <c r="BH188" s="1850">
        <v>441.66800000000001</v>
      </c>
      <c r="BI188" s="1849">
        <v>24.865595590000002</v>
      </c>
      <c r="BJ188" s="1851">
        <v>1.45</v>
      </c>
      <c r="BK188" s="1851">
        <v>0.34839347999999998</v>
      </c>
      <c r="BL188" s="1850">
        <v>440.21800000000002</v>
      </c>
      <c r="BM188" s="1849">
        <v>24.517202109999999</v>
      </c>
    </row>
    <row r="189" spans="1:65">
      <c r="A189" s="1854" t="s">
        <v>19</v>
      </c>
      <c r="B189" s="1849">
        <v>14017.331</v>
      </c>
      <c r="C189" s="1849">
        <v>10169.924000000001</v>
      </c>
      <c r="D189" s="1849">
        <v>3593.723</v>
      </c>
      <c r="E189" s="1849">
        <v>2750.3890000000001</v>
      </c>
      <c r="F189" s="1849">
        <v>5791.7510000000002</v>
      </c>
      <c r="G189" s="1849">
        <v>1881.4680000000001</v>
      </c>
      <c r="H189" s="1849">
        <v>72865.319000000003</v>
      </c>
      <c r="I189" s="1849">
        <v>6067.9771899699999</v>
      </c>
      <c r="J189" s="1849">
        <v>11836.324000000001</v>
      </c>
      <c r="K189" s="1849">
        <v>2824.9232472100002</v>
      </c>
      <c r="L189" s="1849">
        <v>28.5</v>
      </c>
      <c r="M189" s="1849">
        <v>133.55106513000001</v>
      </c>
      <c r="N189" s="1849">
        <v>1.8380000000000001</v>
      </c>
      <c r="O189" s="1849">
        <v>0.70753277999999997</v>
      </c>
      <c r="P189" s="1849">
        <v>24048.554</v>
      </c>
      <c r="Q189" s="1849">
        <v>621.85142463</v>
      </c>
      <c r="R189" s="1849">
        <v>23045.252</v>
      </c>
      <c r="S189" s="1849">
        <v>556.36886520000007</v>
      </c>
      <c r="T189" s="1849">
        <v>32577.199000000001</v>
      </c>
      <c r="U189" s="1849">
        <v>2269.86782468</v>
      </c>
      <c r="V189" s="1849">
        <v>71.742000000000004</v>
      </c>
      <c r="W189" s="1853">
        <v>4.0424230000000003</v>
      </c>
      <c r="X189" s="1850">
        <v>4301.1620000000003</v>
      </c>
      <c r="Y189" s="1850">
        <v>213.03367254</v>
      </c>
      <c r="Z189" s="1850">
        <v>45.087000000000003</v>
      </c>
      <c r="AA189" s="1850">
        <v>15.398957800000002</v>
      </c>
      <c r="AB189" s="1850">
        <v>4256.0749999999998</v>
      </c>
      <c r="AC189" s="1850">
        <v>197.63471473999999</v>
      </c>
      <c r="AD189" s="1850">
        <v>65212.436000000002</v>
      </c>
      <c r="AE189" s="1850">
        <v>5666.8075183399997</v>
      </c>
      <c r="AF189" s="1850">
        <v>11428.715</v>
      </c>
      <c r="AG189" s="1850">
        <v>2743.70003228</v>
      </c>
      <c r="AH189" s="1850">
        <v>20103.277999999998</v>
      </c>
      <c r="AI189" s="1850">
        <v>614.30686893999996</v>
      </c>
      <c r="AJ189" s="1850">
        <v>19234.721000000001</v>
      </c>
      <c r="AK189" s="1850">
        <v>438.99946405000003</v>
      </c>
      <c r="AL189" s="1850">
        <v>29694.76</v>
      </c>
      <c r="AM189" s="1850">
        <v>2112.0416190300002</v>
      </c>
      <c r="AN189" s="1850">
        <v>69.619</v>
      </c>
      <c r="AO189" s="1851">
        <v>3.82613</v>
      </c>
      <c r="AP189" s="1850">
        <v>3916.0639999999999</v>
      </c>
      <c r="AQ189" s="1850">
        <v>192.93286809</v>
      </c>
      <c r="AR189" s="1850">
        <v>44.146999999999998</v>
      </c>
      <c r="AS189" s="1850">
        <v>15.193876529999999</v>
      </c>
      <c r="AT189" s="1850">
        <v>3871.9169999999999</v>
      </c>
      <c r="AU189" s="1850">
        <v>177.73899156000002</v>
      </c>
      <c r="AV189" s="1850">
        <v>7652.8829999999998</v>
      </c>
      <c r="AW189" s="1850">
        <v>401.16967162999998</v>
      </c>
      <c r="AX189" s="1850">
        <v>409.447</v>
      </c>
      <c r="AY189" s="1850">
        <v>81.930747710000006</v>
      </c>
      <c r="AZ189" s="1850">
        <v>3973.7759999999998</v>
      </c>
      <c r="BA189" s="1850">
        <v>141.09562081999999</v>
      </c>
      <c r="BB189" s="1850">
        <v>3810.5309999999999</v>
      </c>
      <c r="BC189" s="1850">
        <v>117.36940115</v>
      </c>
      <c r="BD189" s="1850">
        <v>2882.4389999999999</v>
      </c>
      <c r="BE189" s="1850">
        <v>157.82620564999999</v>
      </c>
      <c r="BF189" s="1852">
        <v>2.1230000000000002</v>
      </c>
      <c r="BG189" s="1851">
        <v>0.21629300000000001</v>
      </c>
      <c r="BH189" s="1850">
        <v>385.09800000000001</v>
      </c>
      <c r="BI189" s="1849">
        <v>20.100804449999998</v>
      </c>
      <c r="BJ189" s="1851">
        <v>0.94</v>
      </c>
      <c r="BK189" s="1851">
        <v>0.20508126999999998</v>
      </c>
      <c r="BL189" s="1850">
        <v>384.15800000000002</v>
      </c>
      <c r="BM189" s="1849">
        <v>19.895723180000001</v>
      </c>
    </row>
    <row r="190" spans="1:65">
      <c r="A190" s="1854" t="s">
        <v>20</v>
      </c>
      <c r="B190" s="1849">
        <v>14246.165999999999</v>
      </c>
      <c r="C190" s="1849">
        <v>10378.653</v>
      </c>
      <c r="D190" s="1849">
        <v>3605.547</v>
      </c>
      <c r="E190" s="1849">
        <v>2762.2109999999998</v>
      </c>
      <c r="F190" s="1849">
        <v>5962.0709999999999</v>
      </c>
      <c r="G190" s="1849">
        <v>1916.337</v>
      </c>
      <c r="H190" s="1849">
        <v>86182.892999999996</v>
      </c>
      <c r="I190" s="1849">
        <v>7004.24270738</v>
      </c>
      <c r="J190" s="1849">
        <v>13611.455</v>
      </c>
      <c r="K190" s="1849">
        <v>3141.08332943</v>
      </c>
      <c r="L190" s="1849">
        <v>30.571999999999999</v>
      </c>
      <c r="M190" s="1849">
        <v>142.91627614000001</v>
      </c>
      <c r="N190" s="1849">
        <v>2.0510000000000002</v>
      </c>
      <c r="O190" s="1849">
        <v>0.70455634</v>
      </c>
      <c r="P190" s="1849">
        <v>29379.654999999999</v>
      </c>
      <c r="Q190" s="1849">
        <v>769.45546831000001</v>
      </c>
      <c r="R190" s="1849">
        <v>28169.848999999998</v>
      </c>
      <c r="S190" s="1849">
        <v>692.21521527999994</v>
      </c>
      <c r="T190" s="1849">
        <v>38307.733999999997</v>
      </c>
      <c r="U190" s="1849">
        <v>2683.47622374</v>
      </c>
      <c r="V190" s="1849">
        <v>71.289000000000001</v>
      </c>
      <c r="W190" s="1853">
        <v>4.1610909999999999</v>
      </c>
      <c r="X190" s="1850">
        <v>4780.1369999999997</v>
      </c>
      <c r="Y190" s="1850">
        <v>262.44576241999999</v>
      </c>
      <c r="Z190" s="1850">
        <v>39.991999999999997</v>
      </c>
      <c r="AA190" s="1850">
        <v>14.98940181</v>
      </c>
      <c r="AB190" s="1850">
        <v>4740.1450000000004</v>
      </c>
      <c r="AC190" s="1850">
        <v>247.45636061000002</v>
      </c>
      <c r="AD190" s="1850">
        <v>77613.135999999999</v>
      </c>
      <c r="AE190" s="1850">
        <v>6547.7464970399997</v>
      </c>
      <c r="AF190" s="1850">
        <v>13174.588</v>
      </c>
      <c r="AG190" s="1850">
        <v>3055.2418604300001</v>
      </c>
      <c r="AH190" s="1850">
        <v>24903.845000000001</v>
      </c>
      <c r="AI190" s="1850">
        <v>743.99676712999997</v>
      </c>
      <c r="AJ190" s="1850">
        <v>23846.598000000002</v>
      </c>
      <c r="AK190" s="1850">
        <v>549.89933197000005</v>
      </c>
      <c r="AL190" s="1850">
        <v>35126.383000000002</v>
      </c>
      <c r="AM190" s="1850">
        <v>2508.8979279499999</v>
      </c>
      <c r="AN190" s="1850">
        <v>69.566999999999993</v>
      </c>
      <c r="AO190" s="1851">
        <v>3.8488250000000002</v>
      </c>
      <c r="AP190" s="1850">
        <v>4338.7529999999997</v>
      </c>
      <c r="AQ190" s="1850">
        <v>235.76111653000001</v>
      </c>
      <c r="AR190" s="1850">
        <v>38.720999999999997</v>
      </c>
      <c r="AS190" s="1850">
        <v>14.59071134</v>
      </c>
      <c r="AT190" s="1850">
        <v>4300.0320000000002</v>
      </c>
      <c r="AU190" s="1850">
        <v>221.17040519</v>
      </c>
      <c r="AV190" s="1850">
        <v>8569.7569999999996</v>
      </c>
      <c r="AW190" s="1850">
        <v>456.49621034</v>
      </c>
      <c r="AX190" s="1850">
        <v>438.91800000000001</v>
      </c>
      <c r="AY190" s="1850">
        <v>86.54602534</v>
      </c>
      <c r="AZ190" s="1850">
        <v>4506.3819999999996</v>
      </c>
      <c r="BA190" s="1850">
        <v>168.37497732</v>
      </c>
      <c r="BB190" s="1850">
        <v>4323.2510000000002</v>
      </c>
      <c r="BC190" s="1850">
        <v>142.31588331</v>
      </c>
      <c r="BD190" s="1850">
        <v>3181.3510000000001</v>
      </c>
      <c r="BE190" s="1850">
        <v>174.57829579</v>
      </c>
      <c r="BF190" s="1852">
        <v>1.722</v>
      </c>
      <c r="BG190" s="1851">
        <v>0.31226599999999999</v>
      </c>
      <c r="BH190" s="1850">
        <v>441.38400000000001</v>
      </c>
      <c r="BI190" s="1849">
        <v>26.684645889999999</v>
      </c>
      <c r="BJ190" s="1851">
        <v>1.2709999999999999</v>
      </c>
      <c r="BK190" s="1851">
        <v>0.39869046999999996</v>
      </c>
      <c r="BL190" s="1850">
        <v>440.113</v>
      </c>
      <c r="BM190" s="1849">
        <v>26.285955419999997</v>
      </c>
    </row>
    <row r="191" spans="1:65">
      <c r="A191" s="1854" t="s">
        <v>21</v>
      </c>
      <c r="B191" s="1849">
        <v>14464.737999999999</v>
      </c>
      <c r="C191" s="1849">
        <v>10576.539000000001</v>
      </c>
      <c r="D191" s="1849">
        <v>3605.8670000000002</v>
      </c>
      <c r="E191" s="1849">
        <v>2777.5790000000002</v>
      </c>
      <c r="F191" s="1849">
        <v>6132.1329999999998</v>
      </c>
      <c r="G191" s="1849">
        <v>1949.1590000000001</v>
      </c>
      <c r="H191" s="1849">
        <v>81237.054000000004</v>
      </c>
      <c r="I191" s="1849">
        <v>6327.7961152899998</v>
      </c>
      <c r="J191" s="1849">
        <v>12203.558999999999</v>
      </c>
      <c r="K191" s="1849">
        <v>2771.6028225</v>
      </c>
      <c r="L191" s="1849">
        <v>29.553999999999998</v>
      </c>
      <c r="M191" s="1849">
        <v>136.13334502000001</v>
      </c>
      <c r="N191" s="1849">
        <v>1.88</v>
      </c>
      <c r="O191" s="1849">
        <v>0.64153636000000003</v>
      </c>
      <c r="P191" s="1849">
        <v>27281.641</v>
      </c>
      <c r="Q191" s="1849">
        <v>664.26916409</v>
      </c>
      <c r="R191" s="1849">
        <v>26174.179</v>
      </c>
      <c r="S191" s="1849">
        <v>599.27859999999998</v>
      </c>
      <c r="T191" s="1849">
        <v>37363.775999999998</v>
      </c>
      <c r="U191" s="1849">
        <v>2535.3431603600002</v>
      </c>
      <c r="V191" s="1849">
        <v>69.394000000000005</v>
      </c>
      <c r="W191" s="1853">
        <v>4.0250899999999996</v>
      </c>
      <c r="X191" s="1850">
        <v>4287.25</v>
      </c>
      <c r="Y191" s="1850">
        <v>215.78099599999999</v>
      </c>
      <c r="Z191" s="1850">
        <v>33.957000000000001</v>
      </c>
      <c r="AA191" s="1850">
        <v>12.744325999999999</v>
      </c>
      <c r="AB191" s="1850">
        <v>4253.29</v>
      </c>
      <c r="AC191" s="1850">
        <v>203.03666899999999</v>
      </c>
      <c r="AD191" s="1850">
        <v>73200.145000000004</v>
      </c>
      <c r="AE191" s="1850">
        <v>5911.0463865700003</v>
      </c>
      <c r="AF191" s="1850">
        <v>11779.183000000001</v>
      </c>
      <c r="AG191" s="1850">
        <v>2690.21631179</v>
      </c>
      <c r="AH191" s="1850">
        <v>23219.587</v>
      </c>
      <c r="AI191" s="1850">
        <v>659.36169428999995</v>
      </c>
      <c r="AJ191" s="1850">
        <v>22241.045999999998</v>
      </c>
      <c r="AK191" s="1850">
        <v>478.69514800000002</v>
      </c>
      <c r="AL191" s="1850">
        <v>34235.883000000002</v>
      </c>
      <c r="AM191" s="1850">
        <v>2363.5570911499999</v>
      </c>
      <c r="AN191" s="1850">
        <v>67.694999999999993</v>
      </c>
      <c r="AO191" s="1851">
        <v>3.8019020000000001</v>
      </c>
      <c r="AP191" s="1850">
        <v>3897.797</v>
      </c>
      <c r="AQ191" s="1850">
        <v>194.10938734000001</v>
      </c>
      <c r="AR191" s="1850">
        <v>33.149000000000001</v>
      </c>
      <c r="AS191" s="1850">
        <v>12.55288</v>
      </c>
      <c r="AT191" s="1850">
        <v>3864.6480000000001</v>
      </c>
      <c r="AU191" s="1850">
        <v>181.55650600000001</v>
      </c>
      <c r="AV191" s="1850">
        <v>8036.9089999999997</v>
      </c>
      <c r="AW191" s="1850">
        <v>416.74972872000001</v>
      </c>
      <c r="AX191" s="1850">
        <v>426.25599999999997</v>
      </c>
      <c r="AY191" s="1850">
        <v>82.02804707</v>
      </c>
      <c r="AZ191" s="1850">
        <v>4091.6080000000002</v>
      </c>
      <c r="BA191" s="1850">
        <v>141.04081482000001</v>
      </c>
      <c r="BB191" s="1850">
        <v>3933.1329999999998</v>
      </c>
      <c r="BC191" s="1850">
        <v>120.583451</v>
      </c>
      <c r="BD191" s="1850">
        <v>3127.7139999999999</v>
      </c>
      <c r="BE191" s="1850">
        <v>171.76169920999999</v>
      </c>
      <c r="BF191" s="1852">
        <v>1.6990000000000001</v>
      </c>
      <c r="BG191" s="1851">
        <v>0.223188</v>
      </c>
      <c r="BH191" s="1850">
        <v>389.45299999999997</v>
      </c>
      <c r="BI191" s="1849">
        <v>21.671609</v>
      </c>
      <c r="BJ191" s="1851">
        <v>0.81100000000000005</v>
      </c>
      <c r="BK191" s="1851">
        <v>0.19144598999999998</v>
      </c>
      <c r="BL191" s="1850">
        <v>388.642</v>
      </c>
      <c r="BM191" s="1849">
        <v>21.480163000000001</v>
      </c>
    </row>
    <row r="192" spans="1:65">
      <c r="A192" s="1854" t="s">
        <v>22</v>
      </c>
      <c r="B192" s="1849">
        <v>14741.391</v>
      </c>
      <c r="C192" s="1849">
        <v>10829.386</v>
      </c>
      <c r="D192" s="1849">
        <v>3618.652</v>
      </c>
      <c r="E192" s="1849">
        <v>2783.2289999999998</v>
      </c>
      <c r="F192" s="1849">
        <v>6360.6559999999999</v>
      </c>
      <c r="G192" s="1849">
        <v>1978.854</v>
      </c>
      <c r="H192" s="1849">
        <v>99818.141000000003</v>
      </c>
      <c r="I192" s="1849">
        <v>7552.0955055000004</v>
      </c>
      <c r="J192" s="1849">
        <v>14415.895</v>
      </c>
      <c r="K192" s="1849">
        <v>3200.8631801900001</v>
      </c>
      <c r="L192" s="1849">
        <v>30.687999999999999</v>
      </c>
      <c r="M192" s="1849">
        <v>158.30572882999999</v>
      </c>
      <c r="N192" s="1849">
        <v>2.0939999999999999</v>
      </c>
      <c r="O192" s="1849">
        <v>0.75277567999999995</v>
      </c>
      <c r="P192" s="1849">
        <v>34652.444000000003</v>
      </c>
      <c r="Q192" s="1849">
        <v>826.47456998999996</v>
      </c>
      <c r="R192" s="1849">
        <v>33350.906000000003</v>
      </c>
      <c r="S192" s="1849">
        <v>742.66045429999997</v>
      </c>
      <c r="T192" s="1849">
        <v>45485.932000000001</v>
      </c>
      <c r="U192" s="1849">
        <v>3096.6980323900002</v>
      </c>
      <c r="V192" s="1849">
        <v>99.703999999999994</v>
      </c>
      <c r="W192" s="1853">
        <v>5.9935340000000004</v>
      </c>
      <c r="X192" s="1850">
        <v>5131.384</v>
      </c>
      <c r="Y192" s="1850">
        <v>263.00768441999998</v>
      </c>
      <c r="Z192" s="1850">
        <v>41.976999999999997</v>
      </c>
      <c r="AA192" s="1850">
        <v>15.48611618</v>
      </c>
      <c r="AB192" s="1850">
        <v>5089.4070000000002</v>
      </c>
      <c r="AC192" s="1850">
        <v>247.52156824000002</v>
      </c>
      <c r="AD192" s="1850">
        <v>90066.543000000005</v>
      </c>
      <c r="AE192" s="1850">
        <v>7041.4751683599998</v>
      </c>
      <c r="AF192" s="1850">
        <v>13890.903</v>
      </c>
      <c r="AG192" s="1850">
        <v>3097.2425831800001</v>
      </c>
      <c r="AH192" s="1850">
        <v>29708.657999999999</v>
      </c>
      <c r="AI192" s="1850">
        <v>814.33228823000002</v>
      </c>
      <c r="AJ192" s="1850">
        <v>28560.812999999998</v>
      </c>
      <c r="AK192" s="1850">
        <v>602.73114899999996</v>
      </c>
      <c r="AL192" s="1850">
        <v>41712.006999999998</v>
      </c>
      <c r="AM192" s="1850">
        <v>2887.6886392400002</v>
      </c>
      <c r="AN192" s="1850">
        <v>96.381</v>
      </c>
      <c r="AO192" s="1851">
        <v>5.6098879999999998</v>
      </c>
      <c r="AP192" s="1850">
        <v>4658.5940000000001</v>
      </c>
      <c r="AQ192" s="1850">
        <v>236.60176971000001</v>
      </c>
      <c r="AR192" s="1850">
        <v>40.747</v>
      </c>
      <c r="AS192" s="1850">
        <v>15.079388380000001</v>
      </c>
      <c r="AT192" s="1850">
        <v>4617.8469999999998</v>
      </c>
      <c r="AU192" s="1850">
        <v>221.52238132999997</v>
      </c>
      <c r="AV192" s="1850">
        <v>9751.598</v>
      </c>
      <c r="AW192" s="1850">
        <v>510.62033714</v>
      </c>
      <c r="AX192" s="1850">
        <v>527.08600000000001</v>
      </c>
      <c r="AY192" s="1850">
        <v>104.37337269</v>
      </c>
      <c r="AZ192" s="1850">
        <v>4974.4740000000002</v>
      </c>
      <c r="BA192" s="1850">
        <v>170.44801059</v>
      </c>
      <c r="BB192" s="1850">
        <v>4790.0930000000044</v>
      </c>
      <c r="BC192" s="1850">
        <v>139.92930530000001</v>
      </c>
      <c r="BD192" s="1850">
        <v>3773.9250000000002</v>
      </c>
      <c r="BE192" s="1850">
        <v>209.00939314999999</v>
      </c>
      <c r="BF192" s="1852">
        <v>3.3229999999999933</v>
      </c>
      <c r="BG192" s="1851">
        <v>0.3836460000000006</v>
      </c>
      <c r="BH192" s="1850">
        <v>472.79</v>
      </c>
      <c r="BI192" s="1849">
        <v>26.405914710000001</v>
      </c>
      <c r="BJ192" s="1851">
        <v>1.2299999999999969</v>
      </c>
      <c r="BK192" s="1851">
        <v>0.40672779999999875</v>
      </c>
      <c r="BL192" s="1850">
        <v>471.5600000000004</v>
      </c>
      <c r="BM192" s="1849">
        <v>25.999186910000049</v>
      </c>
    </row>
    <row r="193" spans="1:65">
      <c r="A193" s="1854" t="s">
        <v>23</v>
      </c>
      <c r="B193" s="1849">
        <v>15040.03</v>
      </c>
      <c r="C193" s="1849">
        <v>11129.734</v>
      </c>
      <c r="D193" s="1849">
        <v>3630.0509999999999</v>
      </c>
      <c r="E193" s="1849">
        <v>2801.4340000000002</v>
      </c>
      <c r="F193" s="1849">
        <v>6588.37</v>
      </c>
      <c r="G193" s="1849">
        <v>2020.175</v>
      </c>
      <c r="H193" s="1849">
        <v>89105.342000000004</v>
      </c>
      <c r="I193" s="1849">
        <v>6992.0970189400005</v>
      </c>
      <c r="J193" s="1849">
        <v>12585.849</v>
      </c>
      <c r="K193" s="1849">
        <v>2987.3052473600001</v>
      </c>
      <c r="L193" s="1849">
        <v>27.609000000000002</v>
      </c>
      <c r="M193" s="1849">
        <v>148.21523624</v>
      </c>
      <c r="N193" s="1849">
        <v>1.6830000000000001</v>
      </c>
      <c r="O193" s="1849">
        <v>0.66541885000000001</v>
      </c>
      <c r="P193" s="1849">
        <v>31783.24</v>
      </c>
      <c r="Q193" s="1849">
        <v>751.06084162000002</v>
      </c>
      <c r="R193" s="1849">
        <v>30576.085999999999</v>
      </c>
      <c r="S193" s="1849">
        <v>676.79452354</v>
      </c>
      <c r="T193" s="1849">
        <v>40083.050000000003</v>
      </c>
      <c r="U193" s="1849">
        <v>2867.1671545899999</v>
      </c>
      <c r="V193" s="1849">
        <v>78.227999999999994</v>
      </c>
      <c r="W193" s="1853">
        <v>5.7459749999999996</v>
      </c>
      <c r="X193" s="1850">
        <v>4545.683</v>
      </c>
      <c r="Y193" s="1850">
        <v>231.93714528000001</v>
      </c>
      <c r="Z193" s="1850">
        <v>36.859000000000002</v>
      </c>
      <c r="AA193" s="1850">
        <v>12.563790640000001</v>
      </c>
      <c r="AB193" s="1850">
        <v>4508.8239999999996</v>
      </c>
      <c r="AC193" s="1850">
        <v>219.37335463999997</v>
      </c>
      <c r="AD193" s="1850">
        <v>80360.144</v>
      </c>
      <c r="AE193" s="1850">
        <v>6528.84742723</v>
      </c>
      <c r="AF193" s="1850">
        <v>12130.992</v>
      </c>
      <c r="AG193" s="1850">
        <v>2892.2141637899999</v>
      </c>
      <c r="AH193" s="1850">
        <v>27398.415000000001</v>
      </c>
      <c r="AI193" s="1850">
        <v>746.26542365</v>
      </c>
      <c r="AJ193" s="1850">
        <v>26327.594000000001</v>
      </c>
      <c r="AK193" s="1850">
        <v>552.42655400000001</v>
      </c>
      <c r="AL193" s="1850">
        <v>36641.150999999998</v>
      </c>
      <c r="AM193" s="1850">
        <v>2676.8117659999998</v>
      </c>
      <c r="AN193" s="1850">
        <v>76.268000000000001</v>
      </c>
      <c r="AO193" s="1851">
        <v>5.4704639999999998</v>
      </c>
      <c r="AP193" s="1850">
        <v>4113.3180000000002</v>
      </c>
      <c r="AQ193" s="1850">
        <v>208.08560936999999</v>
      </c>
      <c r="AR193" s="1850">
        <v>35.676000000000002</v>
      </c>
      <c r="AS193" s="1850">
        <v>12.24176306</v>
      </c>
      <c r="AT193" s="1850">
        <v>4077.6419999999998</v>
      </c>
      <c r="AU193" s="1850">
        <v>195.84384631</v>
      </c>
      <c r="AV193" s="1850">
        <v>8745.1980000000003</v>
      </c>
      <c r="AW193" s="1850">
        <v>463.24959171</v>
      </c>
      <c r="AX193" s="1850">
        <v>456.54</v>
      </c>
      <c r="AY193" s="1850">
        <v>95.756502420000004</v>
      </c>
      <c r="AZ193" s="1850">
        <v>4412.4340000000002</v>
      </c>
      <c r="BA193" s="1850">
        <v>153.01065421000001</v>
      </c>
      <c r="BB193" s="1850">
        <v>4248.4920000000002</v>
      </c>
      <c r="BC193" s="1850">
        <v>124.367969</v>
      </c>
      <c r="BD193" s="1850">
        <v>3441.8989999999999</v>
      </c>
      <c r="BE193" s="1850">
        <v>190.355388</v>
      </c>
      <c r="BF193" s="1852">
        <v>1.9599999999999937</v>
      </c>
      <c r="BG193" s="1851">
        <v>0.27551099999999984</v>
      </c>
      <c r="BH193" s="1850">
        <v>432.36500000000001</v>
      </c>
      <c r="BI193" s="1849">
        <v>23.851535909999999</v>
      </c>
      <c r="BJ193" s="1851">
        <v>1.1829999999999998</v>
      </c>
      <c r="BK193" s="1851">
        <v>0.32202758000000031</v>
      </c>
      <c r="BL193" s="1850">
        <v>431.18199999999979</v>
      </c>
      <c r="BM193" s="1849">
        <v>23.52950832999997</v>
      </c>
    </row>
    <row r="194" spans="1:65">
      <c r="A194" s="1854" t="s">
        <v>24</v>
      </c>
      <c r="B194" s="1849">
        <v>15346.348</v>
      </c>
      <c r="C194" s="1849">
        <v>11401.555</v>
      </c>
      <c r="D194" s="1849">
        <v>3646.5169999999998</v>
      </c>
      <c r="E194" s="1849">
        <v>2828.25</v>
      </c>
      <c r="F194" s="1849">
        <v>6819.2330000000002</v>
      </c>
      <c r="G194" s="1849">
        <v>2052.348</v>
      </c>
      <c r="H194" s="1849">
        <v>111949.804</v>
      </c>
      <c r="I194" s="1849">
        <v>8461.2850210899996</v>
      </c>
      <c r="J194" s="1849">
        <v>14850.141</v>
      </c>
      <c r="K194" s="1849">
        <v>3428.1871837100002</v>
      </c>
      <c r="L194" s="1849">
        <v>29.515000000000001</v>
      </c>
      <c r="M194" s="1849">
        <v>160.50809709000001</v>
      </c>
      <c r="N194" s="1849">
        <v>2.0150000000000001</v>
      </c>
      <c r="O194" s="1849">
        <v>0.86727452999999999</v>
      </c>
      <c r="P194" s="1849">
        <v>40882.317000000003</v>
      </c>
      <c r="Q194" s="1849">
        <v>964.67460057999995</v>
      </c>
      <c r="R194" s="1849">
        <v>39425.398000000001</v>
      </c>
      <c r="S194" s="1849">
        <v>881.20377800000006</v>
      </c>
      <c r="T194" s="1849">
        <v>50416.103000000003</v>
      </c>
      <c r="U194" s="1849">
        <v>3583.175675</v>
      </c>
      <c r="V194" s="1849">
        <v>105.42100000000001</v>
      </c>
      <c r="W194" s="1853">
        <v>7.3879999999999999</v>
      </c>
      <c r="X194" s="1850">
        <v>5664.2920000000004</v>
      </c>
      <c r="Y194" s="1850">
        <v>316.48361199999999</v>
      </c>
      <c r="Z194" s="1850">
        <v>44.274000000000001</v>
      </c>
      <c r="AA194" s="1850">
        <v>15.50671</v>
      </c>
      <c r="AB194" s="1850">
        <v>5620.018</v>
      </c>
      <c r="AC194" s="1850">
        <v>300.976902</v>
      </c>
      <c r="AD194" s="1850">
        <v>101119.447</v>
      </c>
      <c r="AE194" s="1850">
        <v>7885.2856683600003</v>
      </c>
      <c r="AF194" s="1850">
        <v>14296.146000000001</v>
      </c>
      <c r="AG194" s="1850">
        <v>3313.9136804599998</v>
      </c>
      <c r="AH194" s="1850">
        <v>35420.19</v>
      </c>
      <c r="AI194" s="1850">
        <v>933.82414085999994</v>
      </c>
      <c r="AJ194" s="1850">
        <v>34128.389000000003</v>
      </c>
      <c r="AK194" s="1850">
        <v>722.44152499999996</v>
      </c>
      <c r="AL194" s="1850">
        <v>46194.508999999998</v>
      </c>
      <c r="AM194" s="1850">
        <v>3345.98911851</v>
      </c>
      <c r="AN194" s="1850">
        <v>102.601</v>
      </c>
      <c r="AO194" s="1851">
        <v>6.9697149999999999</v>
      </c>
      <c r="AP194" s="1850">
        <v>5106.0010000000002</v>
      </c>
      <c r="AQ194" s="1850">
        <v>284.58901352999999</v>
      </c>
      <c r="AR194" s="1850">
        <v>42.594000000000001</v>
      </c>
      <c r="AS194" s="1850">
        <v>15.008955</v>
      </c>
      <c r="AT194" s="1850">
        <v>5063.4070000000002</v>
      </c>
      <c r="AU194" s="1850">
        <v>269.58005800000001</v>
      </c>
      <c r="AV194" s="1850">
        <v>10830.357</v>
      </c>
      <c r="AW194" s="1850">
        <v>575.99935273000006</v>
      </c>
      <c r="AX194" s="1850">
        <v>556.01</v>
      </c>
      <c r="AY194" s="1850">
        <v>115.14077777999999</v>
      </c>
      <c r="AZ194" s="1850">
        <v>5491.6419999999998</v>
      </c>
      <c r="BA194" s="1850">
        <v>191.35855681000001</v>
      </c>
      <c r="BB194" s="1850">
        <v>5297.009</v>
      </c>
      <c r="BC194" s="1850">
        <v>158.76225199999999</v>
      </c>
      <c r="BD194" s="1850">
        <v>4221.5940000000001</v>
      </c>
      <c r="BE194" s="1850">
        <v>237.18655648999999</v>
      </c>
      <c r="BF194" s="1852">
        <v>2.82</v>
      </c>
      <c r="BG194" s="1851">
        <v>0.41886299999999999</v>
      </c>
      <c r="BH194" s="1850">
        <v>558.29100000000005</v>
      </c>
      <c r="BI194" s="1849">
        <v>31.894598649999999</v>
      </c>
      <c r="BJ194" s="1851">
        <v>1.68</v>
      </c>
      <c r="BK194" s="1851">
        <v>0.497755</v>
      </c>
      <c r="BL194" s="1850">
        <v>556.61099999999999</v>
      </c>
      <c r="BM194" s="1849">
        <v>31.396844000000002</v>
      </c>
    </row>
    <row r="195" spans="1:65">
      <c r="A195" s="1854" t="s">
        <v>25</v>
      </c>
      <c r="B195" s="1849">
        <v>15669.379000000001</v>
      </c>
      <c r="C195" s="1849">
        <v>11689.138000000001</v>
      </c>
      <c r="D195" s="1849">
        <v>3660.5439999999999</v>
      </c>
      <c r="E195" s="1849">
        <v>2802.4969999999998</v>
      </c>
      <c r="F195" s="1849">
        <v>7149.0439999999999</v>
      </c>
      <c r="G195" s="1849">
        <v>2057.2939999999999</v>
      </c>
      <c r="H195" s="1849">
        <v>109838.95699999999</v>
      </c>
      <c r="I195" s="1849">
        <v>8098.3709204999996</v>
      </c>
      <c r="J195" s="1849">
        <v>13505.132</v>
      </c>
      <c r="K195" s="1849">
        <v>3095.4694056399999</v>
      </c>
      <c r="L195" s="1849">
        <v>30.481999999999999</v>
      </c>
      <c r="M195" s="1849">
        <v>160.10911532</v>
      </c>
      <c r="N195" s="1849">
        <v>1.6419999999999999</v>
      </c>
      <c r="O195" s="1849">
        <v>0.72827805999999995</v>
      </c>
      <c r="P195" s="1849">
        <v>40868.186000000002</v>
      </c>
      <c r="Q195" s="1849">
        <v>905.41185552000002</v>
      </c>
      <c r="R195" s="1849">
        <v>39596.881999999998</v>
      </c>
      <c r="S195" s="1849">
        <v>842.66776300000004</v>
      </c>
      <c r="T195" s="1849">
        <v>49689.332999999999</v>
      </c>
      <c r="U195" s="1849">
        <v>3595.85264663</v>
      </c>
      <c r="V195" s="1849">
        <v>104.71599999999999</v>
      </c>
      <c r="W195" s="1853">
        <v>7.0928699999999996</v>
      </c>
      <c r="X195" s="1850">
        <v>5639.4660000000003</v>
      </c>
      <c r="Y195" s="1850">
        <v>333.706749</v>
      </c>
      <c r="Z195" s="1850">
        <v>44.634</v>
      </c>
      <c r="AA195" s="1850">
        <v>15.039501</v>
      </c>
      <c r="AB195" s="1850">
        <v>5594.8320000000003</v>
      </c>
      <c r="AC195" s="1850">
        <v>318.66724699999997</v>
      </c>
      <c r="AD195" s="1850">
        <v>98666.922999999995</v>
      </c>
      <c r="AE195" s="1850">
        <v>7514.8882324599999</v>
      </c>
      <c r="AF195" s="1850">
        <v>12952.728999999999</v>
      </c>
      <c r="AG195" s="1850">
        <v>2977.49142072</v>
      </c>
      <c r="AH195" s="1850">
        <v>35323.517</v>
      </c>
      <c r="AI195" s="1850">
        <v>885.49776596000004</v>
      </c>
      <c r="AJ195" s="1850">
        <v>34205.141000000003</v>
      </c>
      <c r="AK195" s="1850">
        <v>693.09484999999995</v>
      </c>
      <c r="AL195" s="1850">
        <v>45208.012999999999</v>
      </c>
      <c r="AM195" s="1850">
        <v>3344.6918342600002</v>
      </c>
      <c r="AN195" s="1850">
        <v>101.931</v>
      </c>
      <c r="AO195" s="1851">
        <v>6.6980300000000002</v>
      </c>
      <c r="AP195" s="1850">
        <v>5080.7330000000002</v>
      </c>
      <c r="AQ195" s="1850">
        <v>300.50918128000001</v>
      </c>
      <c r="AR195" s="1850">
        <v>42.716000000000001</v>
      </c>
      <c r="AS195" s="1850">
        <v>14.454787</v>
      </c>
      <c r="AT195" s="1850">
        <v>5038.0169999999998</v>
      </c>
      <c r="AU195" s="1850">
        <v>286.054393</v>
      </c>
      <c r="AV195" s="1850">
        <v>11172.034</v>
      </c>
      <c r="AW195" s="1850">
        <v>583.48268803999997</v>
      </c>
      <c r="AX195" s="1850">
        <v>554.04499999999996</v>
      </c>
      <c r="AY195" s="1850">
        <v>118.70626298000001</v>
      </c>
      <c r="AZ195" s="1850">
        <v>5575.1509999999998</v>
      </c>
      <c r="BA195" s="1850">
        <v>180.02320488000001</v>
      </c>
      <c r="BB195" s="1850">
        <v>5391.741</v>
      </c>
      <c r="BC195" s="1850">
        <v>149.572912</v>
      </c>
      <c r="BD195" s="1850">
        <v>4481.32</v>
      </c>
      <c r="BE195" s="1850">
        <v>251.16081237</v>
      </c>
      <c r="BF195" s="1852">
        <v>2.7850000000000001</v>
      </c>
      <c r="BG195" s="1851">
        <v>0.39484000000000002</v>
      </c>
      <c r="BH195" s="1850">
        <v>558.73299999999995</v>
      </c>
      <c r="BI195" s="1849">
        <v>33.197566999999999</v>
      </c>
      <c r="BJ195" s="1851">
        <v>1.9179999999999999</v>
      </c>
      <c r="BK195" s="1851">
        <v>0.58471300000000004</v>
      </c>
      <c r="BL195" s="1850">
        <v>556.81500000000005</v>
      </c>
      <c r="BM195" s="1849">
        <v>32.612853000000001</v>
      </c>
    </row>
    <row r="196" spans="1:65">
      <c r="A196" s="1854" t="s">
        <v>26</v>
      </c>
      <c r="B196" s="1849">
        <v>15938.96</v>
      </c>
      <c r="C196" s="1849">
        <v>11967.246999999999</v>
      </c>
      <c r="D196" s="1849">
        <v>3593.9989999999998</v>
      </c>
      <c r="E196" s="1849">
        <v>2829.8490000000002</v>
      </c>
      <c r="F196" s="1849">
        <v>7377.1329999999998</v>
      </c>
      <c r="G196" s="1849">
        <v>2138</v>
      </c>
      <c r="H196" s="1849">
        <v>106993.68700000001</v>
      </c>
      <c r="I196" s="1849">
        <v>7815.0436795899996</v>
      </c>
      <c r="J196" s="1849">
        <v>13205.648999999999</v>
      </c>
      <c r="K196" s="1849">
        <v>3020.1305229</v>
      </c>
      <c r="L196" s="1849">
        <v>28.878</v>
      </c>
      <c r="M196" s="1849">
        <v>146.96564000000001</v>
      </c>
      <c r="N196" s="1849">
        <v>1.3460000000000001</v>
      </c>
      <c r="O196" s="1849">
        <v>0.48639141000000002</v>
      </c>
      <c r="P196" s="1849">
        <v>37830.487999999998</v>
      </c>
      <c r="Q196" s="1849">
        <v>828.86119266000003</v>
      </c>
      <c r="R196" s="1849">
        <v>36664.49</v>
      </c>
      <c r="S196" s="1849">
        <v>772.83900000000006</v>
      </c>
      <c r="T196" s="1849">
        <v>50672.94</v>
      </c>
      <c r="U196" s="1849">
        <v>3551.9583200000002</v>
      </c>
      <c r="V196" s="1849">
        <v>93.8</v>
      </c>
      <c r="W196" s="1853">
        <v>6.45242</v>
      </c>
      <c r="X196" s="1850">
        <v>5160.5829999999996</v>
      </c>
      <c r="Y196" s="1850">
        <v>260.18918485</v>
      </c>
      <c r="Z196" s="1850">
        <v>48.201999999999998</v>
      </c>
      <c r="AA196" s="1850">
        <v>14.592449999999999</v>
      </c>
      <c r="AB196" s="1850">
        <v>5112.3810000000003</v>
      </c>
      <c r="AC196" s="1850">
        <v>245.59673744</v>
      </c>
      <c r="AD196" s="1850">
        <v>96478.164000000004</v>
      </c>
      <c r="AE196" s="1850">
        <v>7254.6287572199999</v>
      </c>
      <c r="AF196" s="1850">
        <v>12663.464</v>
      </c>
      <c r="AG196" s="1850">
        <v>2904.21027736</v>
      </c>
      <c r="AH196" s="1850">
        <v>32812.832999999999</v>
      </c>
      <c r="AI196" s="1850">
        <v>819.05356847999997</v>
      </c>
      <c r="AJ196" s="1850">
        <v>31785.77</v>
      </c>
      <c r="AK196" s="1850">
        <v>633.30963999999994</v>
      </c>
      <c r="AL196" s="1850">
        <v>46250.813999999998</v>
      </c>
      <c r="AM196" s="1850">
        <v>3292.4261976900002</v>
      </c>
      <c r="AN196" s="1850">
        <v>91.19</v>
      </c>
      <c r="AO196" s="1851">
        <v>6.4204999999999997</v>
      </c>
      <c r="AP196" s="1850">
        <v>4659.8680000000004</v>
      </c>
      <c r="AQ196" s="1850">
        <v>232.89666052999999</v>
      </c>
      <c r="AR196" s="1850">
        <v>46.78</v>
      </c>
      <c r="AS196" s="1850">
        <v>14.281658</v>
      </c>
      <c r="AT196" s="1850">
        <v>4613.0879999999997</v>
      </c>
      <c r="AU196" s="1850">
        <v>218.615002</v>
      </c>
      <c r="AV196" s="1850">
        <v>10515.522999999999</v>
      </c>
      <c r="AW196" s="1850">
        <v>560.41492237</v>
      </c>
      <c r="AX196" s="1850">
        <v>543.53099999999995</v>
      </c>
      <c r="AY196" s="1850">
        <v>116.40663695000001</v>
      </c>
      <c r="AZ196" s="1850">
        <v>5046.5330000000004</v>
      </c>
      <c r="BA196" s="1850">
        <v>156.77326418000001</v>
      </c>
      <c r="BB196" s="1850">
        <v>4878.72</v>
      </c>
      <c r="BC196" s="1850">
        <v>139.53032999999999</v>
      </c>
      <c r="BD196" s="1850">
        <v>4422.13</v>
      </c>
      <c r="BE196" s="1850">
        <v>259.53212592</v>
      </c>
      <c r="BF196" s="1852">
        <v>2.61</v>
      </c>
      <c r="BG196" s="1851">
        <v>0.41037000000000001</v>
      </c>
      <c r="BH196" s="1850">
        <v>500.71499999999997</v>
      </c>
      <c r="BI196" s="1849">
        <v>27.292524319999998</v>
      </c>
      <c r="BJ196" s="1851">
        <v>1.422385</v>
      </c>
      <c r="BK196" s="1851">
        <v>0.31078899999999998</v>
      </c>
      <c r="BL196" s="1850">
        <v>499.29300000000001</v>
      </c>
      <c r="BM196" s="1849">
        <v>26.981735</v>
      </c>
    </row>
    <row r="197" spans="1:65">
      <c r="A197" s="1854" t="s">
        <v>27</v>
      </c>
      <c r="B197" s="1849">
        <v>16209.588</v>
      </c>
      <c r="C197" s="1849">
        <v>12290.865</v>
      </c>
      <c r="D197" s="1849">
        <v>3626.3119999999999</v>
      </c>
      <c r="E197" s="1849">
        <v>2822.2249999999999</v>
      </c>
      <c r="F197" s="1849">
        <v>7609.0839999999998</v>
      </c>
      <c r="G197" s="1849">
        <v>2151.9670000000001</v>
      </c>
      <c r="H197" s="1849">
        <v>120754.42600000001</v>
      </c>
      <c r="I197" s="1849">
        <v>8829.7085741600004</v>
      </c>
      <c r="J197" s="1849">
        <v>15242.12</v>
      </c>
      <c r="K197" s="1849">
        <v>3383.8277263800001</v>
      </c>
      <c r="L197" s="1849">
        <v>28.114999999999998</v>
      </c>
      <c r="M197" s="1849">
        <v>154.02448326000001</v>
      </c>
      <c r="N197" s="1849">
        <v>1.9059999999999999</v>
      </c>
      <c r="O197" s="1849">
        <v>0.74716371000000004</v>
      </c>
      <c r="P197" s="1849">
        <v>40978.031999999999</v>
      </c>
      <c r="Q197" s="1849">
        <v>901.98704989999999</v>
      </c>
      <c r="R197" s="1849">
        <v>39650.983999999997</v>
      </c>
      <c r="S197" s="1849">
        <v>836.09853599999997</v>
      </c>
      <c r="T197" s="1849">
        <v>59178.62</v>
      </c>
      <c r="U197" s="1849">
        <v>4106.5593921999998</v>
      </c>
      <c r="V197" s="1849">
        <v>110.499</v>
      </c>
      <c r="W197" s="1853">
        <v>7.6681229999999996</v>
      </c>
      <c r="X197" s="1850">
        <v>5215.134</v>
      </c>
      <c r="Y197" s="1850">
        <v>274.89463531000001</v>
      </c>
      <c r="Z197" s="1850">
        <v>63.237000000000002</v>
      </c>
      <c r="AA197" s="1850">
        <v>15.675862</v>
      </c>
      <c r="AB197" s="1850">
        <v>5151.8969999999999</v>
      </c>
      <c r="AC197" s="1850">
        <v>259.218772</v>
      </c>
      <c r="AD197" s="1850">
        <v>109684.361</v>
      </c>
      <c r="AE197" s="1850">
        <v>8226.17658252</v>
      </c>
      <c r="AF197" s="1850">
        <v>14662.275</v>
      </c>
      <c r="AG197" s="1850">
        <v>3262.9015440500002</v>
      </c>
      <c r="AH197" s="1850">
        <v>35840.262999999999</v>
      </c>
      <c r="AI197" s="1850">
        <v>892.12192987000003</v>
      </c>
      <c r="AJ197" s="1850">
        <v>34661.910000000003</v>
      </c>
      <c r="AK197" s="1850">
        <v>688.99559699999998</v>
      </c>
      <c r="AL197" s="1850">
        <v>54315.046000000002</v>
      </c>
      <c r="AM197" s="1850">
        <v>3818.1418483100001</v>
      </c>
      <c r="AN197" s="1850">
        <v>107.694</v>
      </c>
      <c r="AO197" s="1851">
        <v>7.2891899999999996</v>
      </c>
      <c r="AP197" s="1850">
        <v>4759.0829999999996</v>
      </c>
      <c r="AQ197" s="1850">
        <v>245.722069</v>
      </c>
      <c r="AR197" s="1850">
        <v>61.753999999999998</v>
      </c>
      <c r="AS197" s="1850">
        <v>15.320204</v>
      </c>
      <c r="AT197" s="1850">
        <v>4697.3289999999997</v>
      </c>
      <c r="AU197" s="1850">
        <v>230.40186499999999</v>
      </c>
      <c r="AV197" s="1850">
        <v>11070.065000000001</v>
      </c>
      <c r="AW197" s="1850">
        <v>603.53199164</v>
      </c>
      <c r="AX197" s="1850">
        <v>581.75099999999998</v>
      </c>
      <c r="AY197" s="1850">
        <v>121.67334604</v>
      </c>
      <c r="AZ197" s="1850">
        <v>5165.884</v>
      </c>
      <c r="BA197" s="1850">
        <v>163.88960329</v>
      </c>
      <c r="BB197" s="1850">
        <v>4989.0739999999996</v>
      </c>
      <c r="BC197" s="1850">
        <v>147.10293899999999</v>
      </c>
      <c r="BD197" s="1850">
        <v>4863.5739999999996</v>
      </c>
      <c r="BE197" s="1850">
        <v>288.41754388999999</v>
      </c>
      <c r="BF197" s="1852">
        <v>2.8050000000000002</v>
      </c>
      <c r="BG197" s="1851">
        <v>0.37893300000000002</v>
      </c>
      <c r="BH197" s="1850">
        <v>456.05099999999999</v>
      </c>
      <c r="BI197" s="1849">
        <v>29.172565420000002</v>
      </c>
      <c r="BJ197" s="1851">
        <v>1.4830000000000001</v>
      </c>
      <c r="BK197" s="1851">
        <v>0.35565799999999997</v>
      </c>
      <c r="BL197" s="1850">
        <v>454.56799999999998</v>
      </c>
      <c r="BM197" s="1849">
        <v>28.816907</v>
      </c>
    </row>
    <row r="198" spans="1:65">
      <c r="A198" s="1854" t="s">
        <v>28</v>
      </c>
      <c r="B198" s="1849">
        <v>16565.031999999999</v>
      </c>
      <c r="C198" s="1849">
        <v>12657.371999999999</v>
      </c>
      <c r="D198" s="1849">
        <v>3640.6640000000002</v>
      </c>
      <c r="E198" s="1849">
        <v>2866.1370000000002</v>
      </c>
      <c r="F198" s="1849">
        <v>7879.59</v>
      </c>
      <c r="G198" s="1849">
        <v>2178.6410000000001</v>
      </c>
      <c r="H198" s="1849">
        <v>121365.327</v>
      </c>
      <c r="I198" s="1849">
        <v>8735.4613215600002</v>
      </c>
      <c r="J198" s="1849">
        <v>14169.787</v>
      </c>
      <c r="K198" s="1849">
        <v>3197.2821302399998</v>
      </c>
      <c r="L198" s="1849">
        <v>27.718</v>
      </c>
      <c r="M198" s="1849">
        <v>223.15175963999999</v>
      </c>
      <c r="N198" s="1849">
        <v>1.6539999999999999</v>
      </c>
      <c r="O198" s="1849">
        <v>0.90041828999999995</v>
      </c>
      <c r="P198" s="1849">
        <v>41646.949000000001</v>
      </c>
      <c r="Q198" s="1849">
        <v>938.89967836999995</v>
      </c>
      <c r="R198" s="1849">
        <v>39953.695</v>
      </c>
      <c r="S198" s="1849">
        <v>861.66872499999999</v>
      </c>
      <c r="T198" s="1849">
        <v>59343.135000000002</v>
      </c>
      <c r="U198" s="1849">
        <v>4047.0817160000001</v>
      </c>
      <c r="V198" s="1849">
        <v>115.982</v>
      </c>
      <c r="W198" s="1853">
        <v>7.9442539999999999</v>
      </c>
      <c r="X198" s="1850">
        <v>6060.1019999999999</v>
      </c>
      <c r="Y198" s="1850">
        <v>320.20136500000001</v>
      </c>
      <c r="Z198" s="1850">
        <v>58.604999999999997</v>
      </c>
      <c r="AA198" s="1850">
        <v>14.640045000000001</v>
      </c>
      <c r="AB198" s="1850">
        <v>6001.4970000000003</v>
      </c>
      <c r="AC198" s="1850">
        <v>305.56131900000003</v>
      </c>
      <c r="AD198" s="1850">
        <v>110218.864</v>
      </c>
      <c r="AE198" s="1850">
        <v>8106.8932483099998</v>
      </c>
      <c r="AF198" s="1850">
        <v>13627.117</v>
      </c>
      <c r="AG198" s="1850">
        <v>3081.8081333</v>
      </c>
      <c r="AH198" s="1850">
        <v>36434.453999999998</v>
      </c>
      <c r="AI198" s="1850">
        <v>977.35109173000001</v>
      </c>
      <c r="AJ198" s="1850">
        <v>34934.230000000003</v>
      </c>
      <c r="AK198" s="1850">
        <v>698.20847000000003</v>
      </c>
      <c r="AL198" s="1850">
        <v>54544.794000000002</v>
      </c>
      <c r="AM198" s="1850">
        <v>3756.4108814699998</v>
      </c>
      <c r="AN198" s="1850">
        <v>111.521</v>
      </c>
      <c r="AO198" s="1851">
        <v>7.5824189999999998</v>
      </c>
      <c r="AP198" s="1850">
        <v>5500.9780000000001</v>
      </c>
      <c r="AQ198" s="1850">
        <v>283.740723</v>
      </c>
      <c r="AR198" s="1850">
        <v>56.973999999999997</v>
      </c>
      <c r="AS198" s="1850">
        <v>14.228872000000001</v>
      </c>
      <c r="AT198" s="1850">
        <v>5444.0039999999999</v>
      </c>
      <c r="AU198" s="1850">
        <v>269.51185120999997</v>
      </c>
      <c r="AV198" s="1850">
        <v>11146.463</v>
      </c>
      <c r="AW198" s="1850">
        <v>628.56807325</v>
      </c>
      <c r="AX198" s="1850">
        <v>544.32399999999996</v>
      </c>
      <c r="AY198" s="1850">
        <v>116.37441523</v>
      </c>
      <c r="AZ198" s="1850">
        <v>5240.2129999999997</v>
      </c>
      <c r="BA198" s="1850">
        <v>184.70034627999999</v>
      </c>
      <c r="BB198" s="1850">
        <v>5019</v>
      </c>
      <c r="BC198" s="1850">
        <v>163.46025399999999</v>
      </c>
      <c r="BD198" s="1850">
        <v>4798.34</v>
      </c>
      <c r="BE198" s="1850">
        <v>290.67061863999999</v>
      </c>
      <c r="BF198" s="1852">
        <v>4.4610000000000003</v>
      </c>
      <c r="BG198" s="1851">
        <v>0.36183500000000002</v>
      </c>
      <c r="BH198" s="1850">
        <v>559.12400000000002</v>
      </c>
      <c r="BI198" s="1849">
        <v>36.460641000000003</v>
      </c>
      <c r="BJ198" s="1851">
        <v>1.631</v>
      </c>
      <c r="BK198" s="1851">
        <v>0.41099999999999998</v>
      </c>
      <c r="BL198" s="1850">
        <v>557.49400000000003</v>
      </c>
      <c r="BM198" s="1849">
        <v>36.049684999999997</v>
      </c>
    </row>
    <row r="199" spans="1:65">
      <c r="A199" s="1854" t="s">
        <v>29</v>
      </c>
      <c r="B199" s="1849">
        <v>16925.156999999999</v>
      </c>
      <c r="C199" s="1849">
        <v>12955.138999999999</v>
      </c>
      <c r="D199" s="1849">
        <v>3655.0920000000001</v>
      </c>
      <c r="E199" s="1849">
        <v>2880.8829999999998</v>
      </c>
      <c r="F199" s="1849">
        <v>8173.4979999999996</v>
      </c>
      <c r="G199" s="1849">
        <v>2215.6840000000002</v>
      </c>
      <c r="H199" s="1849">
        <v>134246.057</v>
      </c>
      <c r="I199" s="1849">
        <v>10119.95295646</v>
      </c>
      <c r="J199" s="1849">
        <v>15974.851000000001</v>
      </c>
      <c r="K199" s="1849">
        <v>3847.5410133800001</v>
      </c>
      <c r="L199" s="1849">
        <v>33.088999999999999</v>
      </c>
      <c r="M199" s="1849">
        <v>206.80871805999999</v>
      </c>
      <c r="N199" s="1849">
        <v>2.274</v>
      </c>
      <c r="O199" s="1849">
        <v>1.2416950200000001</v>
      </c>
      <c r="P199" s="1849">
        <v>43019.303999999996</v>
      </c>
      <c r="Q199" s="1849">
        <v>986.83675048999999</v>
      </c>
      <c r="R199" s="1849">
        <v>41440.684000000001</v>
      </c>
      <c r="S199" s="1849">
        <v>911.86311699999999</v>
      </c>
      <c r="T199" s="1849">
        <v>69565.247000000003</v>
      </c>
      <c r="U199" s="1849">
        <v>4801.2413682200004</v>
      </c>
      <c r="V199" s="1849">
        <v>106.73699999999999</v>
      </c>
      <c r="W199" s="1853">
        <v>8.5007699999999993</v>
      </c>
      <c r="X199" s="1850">
        <v>5544.5550000000003</v>
      </c>
      <c r="Y199" s="1850">
        <v>267.78264000000001</v>
      </c>
      <c r="Z199" s="1850">
        <v>55.515999999999998</v>
      </c>
      <c r="AA199" s="1850">
        <v>14.756081</v>
      </c>
      <c r="AB199" s="1850">
        <v>5489</v>
      </c>
      <c r="AC199" s="1850">
        <v>253.02655799999999</v>
      </c>
      <c r="AD199" s="1850">
        <v>122772.66899999999</v>
      </c>
      <c r="AE199" s="1850">
        <v>9465.6359570900004</v>
      </c>
      <c r="AF199" s="1850">
        <v>15414.527</v>
      </c>
      <c r="AG199" s="1850">
        <v>3722.0112247500001</v>
      </c>
      <c r="AH199" s="1850">
        <v>37818.794000000002</v>
      </c>
      <c r="AI199" s="1850">
        <v>1019.30673996</v>
      </c>
      <c r="AJ199" s="1850">
        <v>36412.525999999998</v>
      </c>
      <c r="AK199" s="1850">
        <v>756.92291399999999</v>
      </c>
      <c r="AL199" s="1850">
        <v>64358.156000000003</v>
      </c>
      <c r="AM199" s="1850">
        <v>4476.6534219900004</v>
      </c>
      <c r="AN199" s="1850">
        <v>103.709</v>
      </c>
      <c r="AO199" s="1851">
        <v>8.0172410000000003</v>
      </c>
      <c r="AP199" s="1850">
        <v>5077.4830000000002</v>
      </c>
      <c r="AQ199" s="1850">
        <v>239.64732860000001</v>
      </c>
      <c r="AR199" s="1850">
        <v>53.86</v>
      </c>
      <c r="AS199" s="1850">
        <v>14.378038999999999</v>
      </c>
      <c r="AT199" s="1850">
        <v>5023.6229999999996</v>
      </c>
      <c r="AU199" s="1850">
        <v>225.26928799999999</v>
      </c>
      <c r="AV199" s="1850">
        <v>11473.388000000001</v>
      </c>
      <c r="AW199" s="1850">
        <v>654.31699936999996</v>
      </c>
      <c r="AX199" s="1850">
        <v>562.59799999999996</v>
      </c>
      <c r="AY199" s="1850">
        <v>126.77148364999999</v>
      </c>
      <c r="AZ199" s="1850">
        <v>5233.5990000000002</v>
      </c>
      <c r="BA199" s="1850">
        <v>174.33872858999999</v>
      </c>
      <c r="BB199" s="1850">
        <v>5028.1580000000004</v>
      </c>
      <c r="BC199" s="1850">
        <v>154.940203</v>
      </c>
      <c r="BD199" s="1850">
        <v>5207.0910000000003</v>
      </c>
      <c r="BE199" s="1850">
        <v>324.58794623</v>
      </c>
      <c r="BF199" s="1852">
        <v>3.028</v>
      </c>
      <c r="BG199" s="1851">
        <v>0.48352899999999999</v>
      </c>
      <c r="BH199" s="1850">
        <v>467.072</v>
      </c>
      <c r="BI199" s="1849">
        <v>28.135311900000001</v>
      </c>
      <c r="BJ199" s="1851">
        <v>1.6559999999999999</v>
      </c>
      <c r="BK199" s="1851">
        <v>0.37804100000000002</v>
      </c>
      <c r="BL199" s="1850">
        <v>465.416</v>
      </c>
      <c r="BM199" s="1849">
        <v>27.757269999999998</v>
      </c>
    </row>
    <row r="200" spans="1:65">
      <c r="A200" s="1854" t="s">
        <v>4086</v>
      </c>
      <c r="B200" s="1849"/>
      <c r="C200" s="1849"/>
      <c r="D200" s="1849"/>
      <c r="E200" s="1849"/>
      <c r="F200" s="1849"/>
      <c r="G200" s="1849"/>
      <c r="H200" s="1849"/>
      <c r="I200" s="1849"/>
      <c r="J200" s="1849"/>
      <c r="K200" s="1849"/>
      <c r="L200" s="1849"/>
      <c r="M200" s="1849"/>
      <c r="N200" s="1849"/>
      <c r="O200" s="1849"/>
      <c r="P200" s="1849"/>
      <c r="Q200" s="1849"/>
      <c r="R200" s="1849"/>
      <c r="S200" s="1849"/>
      <c r="T200" s="1849"/>
      <c r="U200" s="1849"/>
      <c r="V200" s="1849"/>
      <c r="W200" s="1853"/>
      <c r="X200" s="1850"/>
      <c r="Y200" s="1850"/>
      <c r="Z200" s="1850"/>
      <c r="AA200" s="1850"/>
      <c r="AB200" s="1850"/>
      <c r="AC200" s="1850"/>
      <c r="AD200" s="1850"/>
      <c r="AE200" s="1850"/>
      <c r="AF200" s="1850"/>
      <c r="AG200" s="1850"/>
      <c r="AH200" s="1850"/>
      <c r="AI200" s="1850"/>
      <c r="AJ200" s="1850"/>
      <c r="AK200" s="1850"/>
      <c r="AL200" s="1850"/>
      <c r="AM200" s="1850"/>
      <c r="AN200" s="1850"/>
      <c r="AO200" s="1851"/>
      <c r="AP200" s="1850"/>
      <c r="AQ200" s="1850"/>
      <c r="AR200" s="1850"/>
      <c r="AS200" s="1850"/>
      <c r="AT200" s="1850"/>
      <c r="AU200" s="1850"/>
      <c r="AV200" s="1850"/>
      <c r="AW200" s="1850"/>
      <c r="AX200" s="1850"/>
      <c r="AY200" s="1850"/>
      <c r="AZ200" s="1850"/>
      <c r="BA200" s="1850"/>
      <c r="BB200" s="1850"/>
      <c r="BC200" s="1850"/>
      <c r="BD200" s="1850"/>
      <c r="BE200" s="1850"/>
      <c r="BF200" s="1852"/>
      <c r="BG200" s="1851"/>
      <c r="BH200" s="1850"/>
      <c r="BI200" s="1849"/>
      <c r="BJ200" s="1851"/>
      <c r="BK200" s="1851"/>
      <c r="BL200" s="1850"/>
      <c r="BM200" s="1849"/>
    </row>
    <row r="201" spans="1:65">
      <c r="A201" s="1854" t="s">
        <v>18</v>
      </c>
      <c r="B201" s="1849">
        <v>17240.879000000001</v>
      </c>
      <c r="C201" s="1849">
        <v>13216.007</v>
      </c>
      <c r="D201" s="1849">
        <v>3659.1370000000002</v>
      </c>
      <c r="E201" s="1849">
        <v>2898.029</v>
      </c>
      <c r="F201" s="1849">
        <v>8446.0720000000001</v>
      </c>
      <c r="G201" s="1849">
        <v>2237.6410000000001</v>
      </c>
      <c r="H201" s="1849">
        <v>128022.59600000001</v>
      </c>
      <c r="I201" s="1849">
        <v>8251.6287882199995</v>
      </c>
      <c r="J201" s="1849">
        <v>13106.066000000001</v>
      </c>
      <c r="K201" s="1849">
        <v>2808.1479143800002</v>
      </c>
      <c r="L201" s="1849">
        <v>23.423999999999999</v>
      </c>
      <c r="M201" s="1849">
        <v>138.89240580000001</v>
      </c>
      <c r="N201" s="1849">
        <v>1.3169999999999999</v>
      </c>
      <c r="O201" s="1849">
        <v>0.62872015000000003</v>
      </c>
      <c r="P201" s="1849">
        <v>43106.97</v>
      </c>
      <c r="Q201" s="1849">
        <v>929.59673467000005</v>
      </c>
      <c r="R201" s="1849">
        <v>41571.517</v>
      </c>
      <c r="S201" s="1849">
        <v>869.75741900000003</v>
      </c>
      <c r="T201" s="1849">
        <v>66298.294999999998</v>
      </c>
      <c r="U201" s="1849">
        <v>4094.4949632500002</v>
      </c>
      <c r="V201" s="1849">
        <v>92.015000000000001</v>
      </c>
      <c r="W201" s="1853">
        <v>7.2034479999999999</v>
      </c>
      <c r="X201" s="1850">
        <v>5394.509</v>
      </c>
      <c r="Y201" s="1850">
        <v>272.66460143</v>
      </c>
      <c r="Z201" s="1850">
        <v>50.646999999999998</v>
      </c>
      <c r="AA201" s="1850">
        <v>14.161599000000001</v>
      </c>
      <c r="AB201" s="1850">
        <v>5343.8620000000001</v>
      </c>
      <c r="AC201" s="1850">
        <v>258.50300199999998</v>
      </c>
      <c r="AD201" s="1850">
        <v>116600.82799999999</v>
      </c>
      <c r="AE201" s="1850">
        <v>7631.85175058</v>
      </c>
      <c r="AF201" s="1850">
        <v>12561.855</v>
      </c>
      <c r="AG201" s="1850">
        <v>2695.2850181200001</v>
      </c>
      <c r="AH201" s="1850">
        <v>37800.224999999999</v>
      </c>
      <c r="AI201" s="1850">
        <v>903.81985429999997</v>
      </c>
      <c r="AJ201" s="1850">
        <v>36439.625999999997</v>
      </c>
      <c r="AK201" s="1850">
        <v>721.34299699999997</v>
      </c>
      <c r="AL201" s="1850">
        <v>61205.464</v>
      </c>
      <c r="AM201" s="1850">
        <v>3782.1262262</v>
      </c>
      <c r="AN201" s="1850">
        <v>86.744</v>
      </c>
      <c r="AO201" s="1851">
        <v>6.710674</v>
      </c>
      <c r="AP201" s="1850">
        <v>4946.54</v>
      </c>
      <c r="AQ201" s="1850">
        <v>243.90997741999999</v>
      </c>
      <c r="AR201" s="1850">
        <v>49.24</v>
      </c>
      <c r="AS201" s="1850">
        <v>13.792495000000001</v>
      </c>
      <c r="AT201" s="1850">
        <v>4897.3</v>
      </c>
      <c r="AU201" s="1850">
        <v>230.117481</v>
      </c>
      <c r="AV201" s="1850">
        <v>11421.768</v>
      </c>
      <c r="AW201" s="1850">
        <v>619.77703699999995</v>
      </c>
      <c r="AX201" s="1850">
        <v>545.52800000000002</v>
      </c>
      <c r="AY201" s="1850">
        <v>113.491</v>
      </c>
      <c r="AZ201" s="1850">
        <v>5330.1689999999999</v>
      </c>
      <c r="BA201" s="1850">
        <v>164.669286</v>
      </c>
      <c r="BB201" s="1850">
        <v>5131.8909999999996</v>
      </c>
      <c r="BC201" s="1850">
        <v>148.414421</v>
      </c>
      <c r="BD201" s="1850">
        <v>5092.8310000000001</v>
      </c>
      <c r="BE201" s="1850">
        <v>312.36873700000001</v>
      </c>
      <c r="BF201" s="1852">
        <v>5.2709999999999999</v>
      </c>
      <c r="BG201" s="1851">
        <v>0.49277399999999999</v>
      </c>
      <c r="BH201" s="1850">
        <v>447.96899999999999</v>
      </c>
      <c r="BI201" s="1849">
        <v>28.754624</v>
      </c>
      <c r="BJ201" s="1851">
        <v>1.407</v>
      </c>
      <c r="BK201" s="1851">
        <v>0.36910300000000001</v>
      </c>
      <c r="BL201" s="1850">
        <v>446.56200000000001</v>
      </c>
      <c r="BM201" s="1849">
        <v>28.38552</v>
      </c>
    </row>
    <row r="202" spans="1:65">
      <c r="A202" s="1848" t="s">
        <v>19</v>
      </c>
      <c r="B202" s="1847">
        <v>17342.636999999999</v>
      </c>
      <c r="C202" s="1847">
        <v>13509.178</v>
      </c>
      <c r="D202" s="1847">
        <v>3471.2489999999998</v>
      </c>
      <c r="E202" s="1847">
        <v>2900.346</v>
      </c>
      <c r="F202" s="1847">
        <v>8708.8950000000004</v>
      </c>
      <c r="G202" s="1847">
        <v>2262.1469999999999</v>
      </c>
      <c r="H202" s="1842">
        <v>130233.92600000001</v>
      </c>
      <c r="I202" s="1842">
        <v>9247.7897132800008</v>
      </c>
      <c r="J202" s="1842">
        <v>14055.991</v>
      </c>
      <c r="K202" s="1842">
        <v>3367.66686884</v>
      </c>
      <c r="L202" s="1842">
        <v>28</v>
      </c>
      <c r="M202" s="1842">
        <v>172.01761349</v>
      </c>
      <c r="N202" s="1842">
        <v>1.196</v>
      </c>
      <c r="O202" s="1842">
        <v>0.55355178000000005</v>
      </c>
      <c r="P202" s="1842">
        <v>43229.31</v>
      </c>
      <c r="Q202" s="1842">
        <v>897.10463142000003</v>
      </c>
      <c r="R202" s="1842">
        <v>41698.355000000003</v>
      </c>
      <c r="S202" s="1842">
        <v>838.90421500000002</v>
      </c>
      <c r="T202" s="1842">
        <v>67945.843999999997</v>
      </c>
      <c r="U202" s="1842">
        <v>4561.5483667799999</v>
      </c>
      <c r="V202" s="1842">
        <v>100.953</v>
      </c>
      <c r="W202" s="1846">
        <v>8.4512689999999999</v>
      </c>
      <c r="X202" s="1843">
        <v>4872.6319999999996</v>
      </c>
      <c r="Y202" s="1843">
        <v>240.44741196999999</v>
      </c>
      <c r="Z202" s="1843">
        <v>42.37</v>
      </c>
      <c r="AA202" s="1843">
        <v>13</v>
      </c>
      <c r="AB202" s="1843">
        <v>5932.63</v>
      </c>
      <c r="AC202" s="1843">
        <v>248.45467099999999</v>
      </c>
      <c r="AD202" s="1843">
        <v>118998.39</v>
      </c>
      <c r="AE202" s="1843">
        <v>8623.2064046699998</v>
      </c>
      <c r="AF202" s="1843">
        <v>13535.518</v>
      </c>
      <c r="AG202" s="1843">
        <v>3249.90716041</v>
      </c>
      <c r="AH202" s="1843">
        <v>37965.358</v>
      </c>
      <c r="AI202" s="1843">
        <v>911.26340755000001</v>
      </c>
      <c r="AJ202" s="1843">
        <v>36601.177000000003</v>
      </c>
      <c r="AK202" s="1843">
        <v>697.38775099999998</v>
      </c>
      <c r="AL202" s="1843">
        <v>62936.499000000003</v>
      </c>
      <c r="AM202" s="1843">
        <v>4238.3767421800003</v>
      </c>
      <c r="AN202" s="1843">
        <v>92.819000000000003</v>
      </c>
      <c r="AO202" s="1844">
        <v>7.7505649999999999</v>
      </c>
      <c r="AP202" s="1843">
        <v>4468.1959999999999</v>
      </c>
      <c r="AQ202" s="1843">
        <v>215.90852953000001</v>
      </c>
      <c r="AR202" s="1843">
        <v>41.238999999999997</v>
      </c>
      <c r="AS202" s="1843">
        <v>13.545</v>
      </c>
      <c r="AT202" s="1843">
        <v>4426.9570000000003</v>
      </c>
      <c r="AU202" s="1843">
        <v>202.36328900000001</v>
      </c>
      <c r="AV202" s="1843">
        <v>11235.536</v>
      </c>
      <c r="AW202" s="1843">
        <v>624.58330861000002</v>
      </c>
      <c r="AX202" s="1843">
        <v>521.66899999999998</v>
      </c>
      <c r="AY202" s="1843">
        <v>118.31326021</v>
      </c>
      <c r="AZ202" s="1843">
        <v>5291.9520000000002</v>
      </c>
      <c r="BA202" s="1843">
        <v>157.85883736</v>
      </c>
      <c r="BB202" s="1843">
        <v>5097.1779999999999</v>
      </c>
      <c r="BC202" s="1843">
        <v>141.51646400000001</v>
      </c>
      <c r="BD202" s="1843">
        <v>5009.3450000000003</v>
      </c>
      <c r="BE202" s="1843">
        <v>323.17162459999997</v>
      </c>
      <c r="BF202" s="1845">
        <v>8.1340000000000003</v>
      </c>
      <c r="BG202" s="1844">
        <v>0.70070399999999999</v>
      </c>
      <c r="BH202" s="1843">
        <v>404.43599999999998</v>
      </c>
      <c r="BI202" s="1842">
        <v>24.538882439999998</v>
      </c>
      <c r="BJ202" s="1844">
        <v>1.131</v>
      </c>
      <c r="BK202" s="1844">
        <v>0.34917500000000001</v>
      </c>
      <c r="BL202" s="1843">
        <v>403.30500000000001</v>
      </c>
      <c r="BM202" s="1842">
        <v>24.189706999999999</v>
      </c>
    </row>
    <row r="203" spans="1:65" s="1769" customFormat="1" ht="15.75" customHeight="1">
      <c r="A203" s="2691" t="s">
        <v>3749</v>
      </c>
      <c r="B203" s="2691"/>
      <c r="C203" s="2691"/>
      <c r="D203" s="2691"/>
      <c r="E203" s="2691"/>
      <c r="F203" s="2691"/>
      <c r="G203" s="2691"/>
      <c r="H203" s="2691"/>
      <c r="I203" s="2691"/>
      <c r="J203" s="2691"/>
      <c r="K203" s="2691"/>
      <c r="L203" s="2691"/>
      <c r="M203" s="2691"/>
      <c r="N203" s="2691"/>
      <c r="O203" s="1841"/>
      <c r="P203" s="1841"/>
      <c r="Q203" s="1841"/>
      <c r="R203" s="1840"/>
      <c r="S203" s="1840"/>
      <c r="T203" s="1841"/>
      <c r="U203" s="1841"/>
      <c r="V203" s="1841"/>
      <c r="W203" s="1841"/>
      <c r="X203" s="1841"/>
      <c r="Y203" s="1841"/>
      <c r="Z203" s="1841"/>
      <c r="AA203" s="1841"/>
      <c r="AB203" s="1841"/>
      <c r="AC203" s="1841"/>
      <c r="AD203" s="1841"/>
      <c r="AE203" s="1841"/>
      <c r="AF203" s="1841"/>
      <c r="AG203" s="1841"/>
      <c r="AH203" s="1841"/>
      <c r="AI203" s="1841"/>
      <c r="AJ203" s="1841"/>
      <c r="AK203" s="1841"/>
      <c r="AL203" s="1841"/>
      <c r="AM203" s="1841"/>
      <c r="AN203" s="1767"/>
      <c r="AO203" s="1767"/>
      <c r="AP203" s="1841"/>
      <c r="AQ203" s="1841"/>
      <c r="AR203" s="1841"/>
      <c r="AS203" s="1841"/>
      <c r="AT203" s="1841"/>
      <c r="AU203" s="1841"/>
      <c r="AV203" s="1841"/>
      <c r="AW203" s="1841"/>
      <c r="AX203" s="1841"/>
      <c r="AY203" s="1841"/>
      <c r="AZ203" s="1841"/>
    </row>
    <row r="204" spans="1:65" s="1769" customFormat="1" ht="15" customHeight="1">
      <c r="A204" s="2687" t="s">
        <v>3355</v>
      </c>
      <c r="B204" s="2687"/>
      <c r="C204" s="2687"/>
      <c r="D204" s="2687"/>
      <c r="E204" s="2687"/>
      <c r="F204" s="2687"/>
      <c r="G204" s="2687"/>
      <c r="H204" s="2687"/>
      <c r="I204" s="2687"/>
      <c r="J204" s="2687"/>
      <c r="K204" s="2687"/>
      <c r="L204" s="2687"/>
      <c r="M204" s="2687"/>
      <c r="N204" s="2687"/>
      <c r="O204" s="2687"/>
      <c r="P204" s="2687"/>
      <c r="Q204" s="2687"/>
      <c r="R204" s="1767"/>
      <c r="S204" s="1767"/>
      <c r="T204" s="1840"/>
      <c r="U204" s="1840"/>
      <c r="V204" s="1840"/>
      <c r="W204" s="1840"/>
      <c r="X204" s="1840"/>
      <c r="Y204" s="1840"/>
      <c r="Z204" s="1840"/>
      <c r="AA204" s="1840"/>
      <c r="AB204" s="1840"/>
      <c r="AC204" s="1840"/>
      <c r="AD204" s="1840"/>
      <c r="AE204" s="1840"/>
      <c r="AF204" s="1840"/>
      <c r="AG204" s="1840"/>
      <c r="AH204" s="1840"/>
      <c r="AI204" s="1840"/>
      <c r="AJ204" s="1840"/>
      <c r="AK204" s="1840"/>
      <c r="AL204" s="1840"/>
      <c r="AM204" s="1840"/>
      <c r="AN204" s="1767"/>
      <c r="AO204" s="1767"/>
      <c r="AP204" s="1840"/>
      <c r="AQ204" s="1840"/>
      <c r="AR204" s="1840"/>
      <c r="AS204" s="1840"/>
      <c r="AT204" s="1840"/>
      <c r="AU204" s="1840"/>
      <c r="AV204" s="1840"/>
      <c r="AW204" s="1840"/>
      <c r="AX204" s="1840"/>
      <c r="AY204" s="1840"/>
      <c r="AZ204" s="1840"/>
    </row>
    <row r="206" spans="1:65">
      <c r="B206" s="1839"/>
      <c r="C206" s="1839"/>
      <c r="D206" s="1839"/>
      <c r="E206" s="1839"/>
      <c r="F206" s="1839"/>
      <c r="G206" s="1839"/>
      <c r="H206" s="1839"/>
      <c r="I206" s="1839"/>
    </row>
    <row r="208" spans="1:65">
      <c r="AG208" s="1646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04:Q204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03:N203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8"/>
  <sheetViews>
    <sheetView showGridLines="0" view="pageBreakPreview" zoomScale="85" zoomScaleSheetLayoutView="85" workbookViewId="0">
      <pane ySplit="11" topLeftCell="A183" activePane="bottomLeft" state="frozen"/>
      <selection activeCell="G291" sqref="G291"/>
      <selection pane="bottomLeft" activeCell="T205" sqref="T205"/>
    </sheetView>
  </sheetViews>
  <sheetFormatPr defaultColWidth="8.88671875" defaultRowHeight="13.8"/>
  <cols>
    <col min="1" max="1" width="7.88671875" style="1884" bestFit="1" customWidth="1"/>
    <col min="2" max="2" width="12.88671875" style="1883" customWidth="1"/>
    <col min="3" max="3" width="11.33203125" style="1883" customWidth="1"/>
    <col min="4" max="4" width="13.5546875" style="1883" customWidth="1"/>
    <col min="5" max="5" width="11.88671875" style="1883" customWidth="1"/>
    <col min="6" max="6" width="10.6640625" style="1883" bestFit="1" customWidth="1"/>
    <col min="7" max="7" width="10.88671875" style="1883" customWidth="1"/>
    <col min="8" max="8" width="10.6640625" style="1883" bestFit="1" customWidth="1"/>
    <col min="9" max="9" width="14.5546875" style="1883" customWidth="1"/>
    <col min="10" max="10" width="11.109375" style="1883" customWidth="1"/>
    <col min="11" max="11" width="13.33203125" style="1883" customWidth="1"/>
    <col min="12" max="12" width="12.6640625" style="1883" customWidth="1"/>
    <col min="13" max="13" width="13" style="1883" customWidth="1"/>
    <col min="14" max="14" width="17.5546875" style="1883" customWidth="1"/>
    <col min="15" max="15" width="16" style="1883" customWidth="1"/>
    <col min="16" max="16384" width="8.88671875" style="1883"/>
  </cols>
  <sheetData>
    <row r="2" spans="1:15" s="1899" customFormat="1" ht="17.25" customHeight="1">
      <c r="A2" s="2733" t="s">
        <v>3443</v>
      </c>
      <c r="B2" s="2733"/>
      <c r="C2" s="2733"/>
      <c r="D2" s="2733"/>
      <c r="E2" s="2733"/>
      <c r="F2" s="2733"/>
      <c r="G2" s="2733"/>
      <c r="H2" s="2733"/>
      <c r="I2" s="2733"/>
      <c r="J2" s="2733"/>
      <c r="K2" s="2733"/>
      <c r="L2" s="2733"/>
      <c r="M2" s="2733"/>
      <c r="N2" s="2733"/>
      <c r="O2" s="2733"/>
    </row>
    <row r="3" spans="1:15" s="1899" customFormat="1" ht="30" customHeight="1">
      <c r="A3" s="2734" t="s">
        <v>3444</v>
      </c>
      <c r="B3" s="2734"/>
      <c r="C3" s="2734"/>
      <c r="D3" s="2734"/>
      <c r="E3" s="2734"/>
      <c r="F3" s="2734"/>
      <c r="G3" s="2734"/>
      <c r="H3" s="2734"/>
      <c r="I3" s="2734"/>
      <c r="J3" s="2734"/>
      <c r="K3" s="2734"/>
      <c r="L3" s="2734"/>
      <c r="M3" s="2734"/>
      <c r="N3" s="2734"/>
      <c r="O3" s="2734"/>
    </row>
    <row r="4" spans="1:15" s="1899" customFormat="1" ht="14.25" customHeight="1">
      <c r="A4" s="1900"/>
      <c r="B4" s="1900"/>
      <c r="C4" s="1900"/>
      <c r="D4" s="1900"/>
      <c r="E4" s="1900"/>
      <c r="F4" s="1900"/>
      <c r="G4" s="1900"/>
      <c r="H4" s="1900"/>
      <c r="I4" s="1900"/>
      <c r="J4" s="1900"/>
      <c r="K4" s="1900"/>
      <c r="L4" s="1900"/>
      <c r="M4" s="1900"/>
      <c r="N4" s="1900"/>
      <c r="O4" s="1900"/>
    </row>
    <row r="5" spans="1:15" s="1899" customFormat="1" ht="14.25" customHeight="1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</row>
    <row r="6" spans="1:15" s="1898" customFormat="1" ht="51" customHeight="1">
      <c r="A6" s="2729" t="s">
        <v>182</v>
      </c>
      <c r="B6" s="2729" t="s">
        <v>1215</v>
      </c>
      <c r="C6" s="2729"/>
      <c r="D6" s="2729"/>
      <c r="E6" s="2729" t="s">
        <v>2637</v>
      </c>
      <c r="F6" s="2729"/>
      <c r="G6" s="2735" t="s">
        <v>3454</v>
      </c>
      <c r="H6" s="2729"/>
      <c r="I6" s="2729" t="s">
        <v>3388</v>
      </c>
      <c r="J6" s="2729" t="s">
        <v>3389</v>
      </c>
      <c r="K6" s="2729"/>
      <c r="L6" s="2729"/>
      <c r="M6" s="2729"/>
      <c r="N6" s="2729" t="s">
        <v>3390</v>
      </c>
      <c r="O6" s="2729" t="s">
        <v>3387</v>
      </c>
    </row>
    <row r="7" spans="1:15" s="1898" customFormat="1" ht="60.75" customHeight="1">
      <c r="A7" s="2729"/>
      <c r="B7" s="1762" t="s">
        <v>1033</v>
      </c>
      <c r="C7" s="1762" t="s">
        <v>3385</v>
      </c>
      <c r="D7" s="1762" t="s">
        <v>3387</v>
      </c>
      <c r="E7" s="1762" t="s">
        <v>1174</v>
      </c>
      <c r="F7" s="1762" t="s">
        <v>1063</v>
      </c>
      <c r="G7" s="1762" t="s">
        <v>1173</v>
      </c>
      <c r="H7" s="1762" t="s">
        <v>1277</v>
      </c>
      <c r="I7" s="2729"/>
      <c r="J7" s="1762" t="s">
        <v>1174</v>
      </c>
      <c r="K7" s="1762" t="s">
        <v>3387</v>
      </c>
      <c r="L7" s="1762" t="s">
        <v>1277</v>
      </c>
      <c r="M7" s="1762" t="s">
        <v>3387</v>
      </c>
      <c r="N7" s="2729"/>
      <c r="O7" s="2729"/>
    </row>
    <row r="8" spans="1:15" ht="50.25" customHeight="1">
      <c r="A8" s="2729" t="s">
        <v>304</v>
      </c>
      <c r="B8" s="2425" t="s">
        <v>1294</v>
      </c>
      <c r="C8" s="2425"/>
      <c r="D8" s="2425"/>
      <c r="E8" s="2425" t="s">
        <v>1064</v>
      </c>
      <c r="F8" s="2425"/>
      <c r="G8" s="2425" t="s">
        <v>1065</v>
      </c>
      <c r="H8" s="2425"/>
      <c r="I8" s="2425" t="s">
        <v>1066</v>
      </c>
      <c r="J8" s="2730" t="s">
        <v>3393</v>
      </c>
      <c r="K8" s="2731"/>
      <c r="L8" s="2731"/>
      <c r="M8" s="2732"/>
      <c r="N8" s="2425" t="s">
        <v>3391</v>
      </c>
      <c r="O8" s="2425" t="s">
        <v>3392</v>
      </c>
    </row>
    <row r="9" spans="1:15" ht="59.25" customHeight="1">
      <c r="A9" s="2729"/>
      <c r="B9" s="1758" t="s">
        <v>1011</v>
      </c>
      <c r="C9" s="1758" t="s">
        <v>1039</v>
      </c>
      <c r="D9" s="1758" t="s">
        <v>3394</v>
      </c>
      <c r="E9" s="1758" t="s">
        <v>3328</v>
      </c>
      <c r="F9" s="1758" t="s">
        <v>1216</v>
      </c>
      <c r="G9" s="1758" t="s">
        <v>3328</v>
      </c>
      <c r="H9" s="1758" t="s">
        <v>1216</v>
      </c>
      <c r="I9" s="2425"/>
      <c r="J9" s="1758" t="s">
        <v>3328</v>
      </c>
      <c r="K9" s="1758" t="s">
        <v>3394</v>
      </c>
      <c r="L9" s="1758" t="s">
        <v>1067</v>
      </c>
      <c r="M9" s="1758" t="s">
        <v>3394</v>
      </c>
      <c r="N9" s="2425"/>
      <c r="O9" s="2425"/>
    </row>
    <row r="10" spans="1:15" hidden="1">
      <c r="A10" s="1884">
        <v>2009</v>
      </c>
      <c r="B10" s="1896"/>
      <c r="C10" s="1896"/>
      <c r="D10" s="1896"/>
      <c r="E10" s="1896"/>
      <c r="F10" s="1896"/>
      <c r="G10" s="1896"/>
      <c r="H10" s="1896"/>
      <c r="I10" s="1896"/>
      <c r="J10" s="1896"/>
      <c r="K10" s="1896"/>
      <c r="L10" s="1896"/>
      <c r="M10" s="1896"/>
      <c r="N10" s="1896"/>
      <c r="O10" s="1896"/>
    </row>
    <row r="11" spans="1:15" hidden="1">
      <c r="B11" s="1896">
        <v>5.2402597402597406</v>
      </c>
      <c r="C11" s="1896">
        <v>1.0254129606099112</v>
      </c>
      <c r="D11" s="1896">
        <v>1.1302521008403361</v>
      </c>
      <c r="E11" s="1896">
        <v>11396.111578557497</v>
      </c>
      <c r="F11" s="1897">
        <v>1372415.6248930632</v>
      </c>
      <c r="G11" s="1896">
        <v>25172.043093270368</v>
      </c>
      <c r="H11" s="1896">
        <v>2848085.8476977567</v>
      </c>
      <c r="I11" s="1897">
        <v>113.14480263460139</v>
      </c>
      <c r="J11" s="1897">
        <v>152.95148434792654</v>
      </c>
      <c r="K11" s="1897">
        <v>101.5445632798574</v>
      </c>
      <c r="L11" s="1897">
        <v>38339.537599630356</v>
      </c>
      <c r="M11" s="1897">
        <v>11715.915075120958</v>
      </c>
      <c r="N11" s="1897">
        <v>250.6646977836283</v>
      </c>
      <c r="O11" s="1896">
        <v>115.37707875932095</v>
      </c>
    </row>
    <row r="12" spans="1:15">
      <c r="A12" s="1891">
        <v>2010</v>
      </c>
      <c r="B12" s="759">
        <v>4.7521141649048628</v>
      </c>
      <c r="C12" s="1892">
        <v>1.1421493902439024</v>
      </c>
      <c r="D12" s="1892">
        <v>1.2884780739466897</v>
      </c>
      <c r="E12" s="759">
        <v>1238.3886147266671</v>
      </c>
      <c r="F12" s="759">
        <v>178366.50005471692</v>
      </c>
      <c r="G12" s="759">
        <v>2602.6617336152221</v>
      </c>
      <c r="H12" s="759">
        <v>345690.83778012689</v>
      </c>
      <c r="I12" s="759">
        <v>132.82203880561372</v>
      </c>
      <c r="J12" s="759">
        <v>15.780233739837398</v>
      </c>
      <c r="K12" s="759">
        <v>10.397535110346805</v>
      </c>
      <c r="L12" s="759">
        <v>5181.0893686483741</v>
      </c>
      <c r="M12" s="759">
        <v>2053.8550515907136</v>
      </c>
      <c r="N12" s="759">
        <v>328.32779628407206</v>
      </c>
      <c r="O12" s="759">
        <v>197.532879648262</v>
      </c>
    </row>
    <row r="13" spans="1:15" hidden="1">
      <c r="A13" s="1895" t="s">
        <v>18</v>
      </c>
      <c r="B13" s="1889">
        <v>5.2640515222482431</v>
      </c>
      <c r="C13" s="1890">
        <v>1.0385814947441376</v>
      </c>
      <c r="D13" s="1890">
        <v>1.1478360781309842</v>
      </c>
      <c r="E13" s="1889">
        <v>564.70286553638562</v>
      </c>
      <c r="F13" s="1889">
        <v>72992.081066547151</v>
      </c>
      <c r="G13" s="1889">
        <v>1223.708430913349</v>
      </c>
      <c r="H13" s="1889">
        <v>143616.09218969557</v>
      </c>
      <c r="I13" s="1889">
        <v>117.36136530701491</v>
      </c>
      <c r="J13" s="1889">
        <v>6.0762388818297328</v>
      </c>
      <c r="K13" s="1889">
        <v>4.3157155623643559</v>
      </c>
      <c r="L13" s="1889">
        <v>2474.0041596395981</v>
      </c>
      <c r="M13" s="1889">
        <v>735.49445040214482</v>
      </c>
      <c r="N13" s="1889">
        <v>407.16045036310408</v>
      </c>
      <c r="O13" s="1889">
        <v>170.42236444312971</v>
      </c>
    </row>
    <row r="14" spans="1:15" hidden="1">
      <c r="A14" s="1895" t="s">
        <v>19</v>
      </c>
      <c r="B14" s="1889">
        <v>5.2456242707117857</v>
      </c>
      <c r="C14" s="1890">
        <v>1.0360682184835215</v>
      </c>
      <c r="D14" s="1890">
        <v>1.1457881993118388</v>
      </c>
      <c r="E14" s="1889">
        <v>989.82744791234495</v>
      </c>
      <c r="F14" s="1889">
        <v>122071.90244899895</v>
      </c>
      <c r="G14" s="1889">
        <v>2222.6697782963829</v>
      </c>
      <c r="H14" s="1889">
        <v>261380.23045507586</v>
      </c>
      <c r="I14" s="1889">
        <v>117.59741955704138</v>
      </c>
      <c r="J14" s="1889">
        <v>9.0747868172389943</v>
      </c>
      <c r="K14" s="1889">
        <v>4.1531795590671594</v>
      </c>
      <c r="L14" s="1889">
        <v>2799.3440527771377</v>
      </c>
      <c r="M14" s="1889">
        <v>759.83622913215243</v>
      </c>
      <c r="N14" s="1889">
        <v>308.47491066780105</v>
      </c>
      <c r="O14" s="1889">
        <v>182.95289628720465</v>
      </c>
    </row>
    <row r="15" spans="1:15" hidden="1">
      <c r="A15" s="1895" t="s">
        <v>20</v>
      </c>
      <c r="B15" s="1889">
        <v>5.2425655976676389</v>
      </c>
      <c r="C15" s="1890">
        <v>1.0290717637633056</v>
      </c>
      <c r="D15" s="1890">
        <v>1.1376692395292927</v>
      </c>
      <c r="E15" s="1889">
        <v>1224.2010378062205</v>
      </c>
      <c r="F15" s="1889">
        <v>151162.96305085556</v>
      </c>
      <c r="G15" s="1889">
        <v>2751.209912536443</v>
      </c>
      <c r="H15" s="1889">
        <v>322750.0728338192</v>
      </c>
      <c r="I15" s="1889">
        <v>117.31204927808066</v>
      </c>
      <c r="J15" s="1889">
        <v>10.740986608675748</v>
      </c>
      <c r="K15" s="1889">
        <v>5.2344679235733267</v>
      </c>
      <c r="L15" s="1889">
        <v>3325.2271683644271</v>
      </c>
      <c r="M15" s="1889">
        <v>766.28747058079205</v>
      </c>
      <c r="N15" s="1889">
        <v>309.58302896295982</v>
      </c>
      <c r="O15" s="1889">
        <v>146.39261941597368</v>
      </c>
    </row>
    <row r="16" spans="1:15" hidden="1">
      <c r="A16" s="1895" t="s">
        <v>21</v>
      </c>
      <c r="B16" s="1889">
        <v>5.1851211072664363</v>
      </c>
      <c r="C16" s="1890">
        <v>1.0315511702615878</v>
      </c>
      <c r="D16" s="1890">
        <v>1.1395437262357415</v>
      </c>
      <c r="E16" s="1889">
        <v>834.48503149642158</v>
      </c>
      <c r="F16" s="1889">
        <v>105597.11699043233</v>
      </c>
      <c r="G16" s="1889">
        <v>1861.670126874279</v>
      </c>
      <c r="H16" s="1889">
        <v>222422.5815109573</v>
      </c>
      <c r="I16" s="1889">
        <v>119.47475457663494</v>
      </c>
      <c r="J16" s="1889">
        <v>8.6259752179899039</v>
      </c>
      <c r="K16" s="1889">
        <v>5.4591888466413181</v>
      </c>
      <c r="L16" s="1889">
        <v>2969.6828625516291</v>
      </c>
      <c r="M16" s="1889">
        <v>650.88158935361218</v>
      </c>
      <c r="N16" s="1889">
        <v>344.27213010746965</v>
      </c>
      <c r="O16" s="1889">
        <v>119.22679497597103</v>
      </c>
    </row>
    <row r="17" spans="1:15" hidden="1">
      <c r="A17" s="1895" t="s">
        <v>22</v>
      </c>
      <c r="B17" s="1889">
        <v>5.131849315068493</v>
      </c>
      <c r="C17" s="1890">
        <v>1.021588455857289</v>
      </c>
      <c r="D17" s="1890">
        <v>1.1286718553853878</v>
      </c>
      <c r="E17" s="1889">
        <v>964.0443542201848</v>
      </c>
      <c r="F17" s="1889">
        <v>120751.99585253188</v>
      </c>
      <c r="G17" s="1889">
        <v>2137.933789954338</v>
      </c>
      <c r="H17" s="1889">
        <v>254566.53834474887</v>
      </c>
      <c r="I17" s="1889">
        <v>119.07129188981381</v>
      </c>
      <c r="J17" s="1889">
        <v>10.701170321554368</v>
      </c>
      <c r="K17" s="1889">
        <v>7.2166708511172484</v>
      </c>
      <c r="L17" s="1889">
        <v>2990.9164049539827</v>
      </c>
      <c r="M17" s="1889">
        <v>687.45916394677386</v>
      </c>
      <c r="N17" s="1889">
        <v>279.49432773064632</v>
      </c>
      <c r="O17" s="1889">
        <v>95.259875104369613</v>
      </c>
    </row>
    <row r="18" spans="1:15" hidden="1">
      <c r="A18" s="1895" t="s">
        <v>23</v>
      </c>
      <c r="B18" s="1889">
        <v>5.0596510973550926</v>
      </c>
      <c r="C18" s="1890">
        <v>1.0199659671015315</v>
      </c>
      <c r="D18" s="1890">
        <v>1.1265505575742387</v>
      </c>
      <c r="E18" s="1889">
        <v>843.62435960085816</v>
      </c>
      <c r="F18" s="1889">
        <v>109373.99002748072</v>
      </c>
      <c r="G18" s="1889">
        <v>1854.6724817107483</v>
      </c>
      <c r="H18" s="1889">
        <v>227862.71739448508</v>
      </c>
      <c r="I18" s="1889">
        <v>122.85873632216978</v>
      </c>
      <c r="J18" s="1889">
        <v>8.3111741349971631</v>
      </c>
      <c r="K18" s="1889">
        <v>5.7036712191454706</v>
      </c>
      <c r="L18" s="1889">
        <v>2740.0134622802043</v>
      </c>
      <c r="M18" s="1889">
        <v>726.46940734243822</v>
      </c>
      <c r="N18" s="1889">
        <v>329.67826419884528</v>
      </c>
      <c r="O18" s="1889">
        <v>127.36873838448189</v>
      </c>
    </row>
    <row r="19" spans="1:15" hidden="1">
      <c r="A19" s="1895" t="s">
        <v>24</v>
      </c>
      <c r="B19" s="1889">
        <v>4.9701492537313436</v>
      </c>
      <c r="C19" s="1890">
        <v>1.0253164556962024</v>
      </c>
      <c r="D19" s="1890">
        <v>1.1362315177555922</v>
      </c>
      <c r="E19" s="1889">
        <v>1045.4981932399176</v>
      </c>
      <c r="F19" s="1889">
        <v>137896.62886564928</v>
      </c>
      <c r="G19" s="1889">
        <v>2274.3847429519074</v>
      </c>
      <c r="H19" s="1889">
        <v>285954.88184079604</v>
      </c>
      <c r="I19" s="1889">
        <v>125.72845589425529</v>
      </c>
      <c r="J19" s="1889">
        <v>9.7674763370965909</v>
      </c>
      <c r="K19" s="1889">
        <v>5.7835207885757614</v>
      </c>
      <c r="L19" s="1889">
        <v>3037.6700650017106</v>
      </c>
      <c r="M19" s="1889">
        <v>722.47050296979648</v>
      </c>
      <c r="N19" s="1889">
        <v>310.99845652706915</v>
      </c>
      <c r="O19" s="1889">
        <v>124.91880454495794</v>
      </c>
    </row>
    <row r="20" spans="1:15" hidden="1">
      <c r="A20" s="1895" t="s">
        <v>25</v>
      </c>
      <c r="B20" s="1889">
        <v>4.9077510917030569</v>
      </c>
      <c r="C20" s="1890">
        <v>1.0226342129208372</v>
      </c>
      <c r="D20" s="1890">
        <v>1.1332240988152256</v>
      </c>
      <c r="E20" s="1889">
        <v>865.78062009116695</v>
      </c>
      <c r="F20" s="1889">
        <v>112485.6238803334</v>
      </c>
      <c r="G20" s="1889">
        <v>1783.1211790393013</v>
      </c>
      <c r="H20" s="1889">
        <v>214381.75301310042</v>
      </c>
      <c r="I20" s="1889">
        <v>120.22837008116502</v>
      </c>
      <c r="J20" s="1889">
        <v>8.8188125568698812</v>
      </c>
      <c r="K20" s="1889">
        <v>4.4200907486765821</v>
      </c>
      <c r="L20" s="1889">
        <v>3245.1651387625111</v>
      </c>
      <c r="M20" s="1889">
        <v>369.97458280816738</v>
      </c>
      <c r="N20" s="1889">
        <v>367.98209711743084</v>
      </c>
      <c r="O20" s="1889">
        <v>83.70293820753372</v>
      </c>
    </row>
    <row r="21" spans="1:15" hidden="1">
      <c r="A21" s="1895" t="s">
        <v>26</v>
      </c>
      <c r="B21" s="1889">
        <v>4.8678938819707636</v>
      </c>
      <c r="C21" s="1890">
        <v>1.0122720108083765</v>
      </c>
      <c r="D21" s="1890">
        <v>1.1217716781035558</v>
      </c>
      <c r="E21" s="1889">
        <v>937.0652835066594</v>
      </c>
      <c r="F21" s="1889">
        <v>121020.20380817376</v>
      </c>
      <c r="G21" s="1889">
        <v>1923.4856524093125</v>
      </c>
      <c r="H21" s="1889">
        <v>232186.2691932864</v>
      </c>
      <c r="I21" s="1889">
        <v>120.71120411137738</v>
      </c>
      <c r="J21" s="1889">
        <v>9.7251745102454397</v>
      </c>
      <c r="K21" s="1889">
        <v>4.1267623206487833</v>
      </c>
      <c r="L21" s="1889">
        <v>3461.6839596937625</v>
      </c>
      <c r="M21" s="1889">
        <v>383.17712289457268</v>
      </c>
      <c r="N21" s="1889">
        <v>355.95083214670234</v>
      </c>
      <c r="O21" s="1889">
        <v>92.85175474664409</v>
      </c>
    </row>
    <row r="22" spans="1:15" hidden="1">
      <c r="A22" s="1895" t="s">
        <v>27</v>
      </c>
      <c r="B22" s="1889">
        <v>4.8131691648822272</v>
      </c>
      <c r="C22" s="1890">
        <v>1.1412795125666413</v>
      </c>
      <c r="D22" s="1890">
        <v>1.2827792837779997</v>
      </c>
      <c r="E22" s="1889">
        <v>952.91010294463888</v>
      </c>
      <c r="F22" s="1889">
        <v>124030.56040947778</v>
      </c>
      <c r="G22" s="1889">
        <v>1959.0926124197001</v>
      </c>
      <c r="H22" s="1889">
        <v>241803.10698072804</v>
      </c>
      <c r="I22" s="1889">
        <v>123.42607258473296</v>
      </c>
      <c r="J22" s="1889">
        <v>10.955699416095456</v>
      </c>
      <c r="K22" s="1889">
        <v>7.0271080039948641</v>
      </c>
      <c r="L22" s="1889">
        <v>3360.1768761106878</v>
      </c>
      <c r="M22" s="1889">
        <v>832.4496119275218</v>
      </c>
      <c r="N22" s="1889">
        <v>306.70582940365432</v>
      </c>
      <c r="O22" s="1889">
        <v>118.46261811463262</v>
      </c>
    </row>
    <row r="23" spans="1:15" hidden="1">
      <c r="A23" s="1895" t="s">
        <v>28</v>
      </c>
      <c r="B23" s="1889">
        <v>4.7849920170303353</v>
      </c>
      <c r="C23" s="1890">
        <v>1.1363751263902933</v>
      </c>
      <c r="D23" s="1890">
        <v>1.2805868109955847</v>
      </c>
      <c r="E23" s="1889">
        <v>866.88681549175692</v>
      </c>
      <c r="F23" s="1889">
        <v>118556.85258185389</v>
      </c>
      <c r="G23" s="1889">
        <v>1757.0835550824906</v>
      </c>
      <c r="H23" s="1889">
        <v>226897.69736029801</v>
      </c>
      <c r="I23" s="1889">
        <v>129.13312898750894</v>
      </c>
      <c r="J23" s="1889">
        <v>10.481294236602629</v>
      </c>
      <c r="K23" s="1889">
        <v>7.6160091155106109</v>
      </c>
      <c r="L23" s="1889">
        <v>3552.9258240647118</v>
      </c>
      <c r="M23" s="1889">
        <v>936.62396382281725</v>
      </c>
      <c r="N23" s="1889">
        <v>338.9777773490257</v>
      </c>
      <c r="O23" s="1889">
        <v>122.98094049222021</v>
      </c>
    </row>
    <row r="24" spans="1:15" hidden="1">
      <c r="A24" s="1895" t="s">
        <v>29</v>
      </c>
      <c r="B24" s="1889">
        <v>4.7521141649048628</v>
      </c>
      <c r="C24" s="1890">
        <v>1.1421493902439024</v>
      </c>
      <c r="D24" s="1890">
        <v>1.2884780739466897</v>
      </c>
      <c r="E24" s="1889">
        <v>1238.3886147266671</v>
      </c>
      <c r="F24" s="1889">
        <v>178366.50005471692</v>
      </c>
      <c r="G24" s="1889">
        <v>2602.6617336152221</v>
      </c>
      <c r="H24" s="1889">
        <v>345690.83778012689</v>
      </c>
      <c r="I24" s="1889">
        <v>132.82203880561372</v>
      </c>
      <c r="J24" s="1889">
        <v>15.780233739837398</v>
      </c>
      <c r="K24" s="1889">
        <v>10.397535110346805</v>
      </c>
      <c r="L24" s="1889">
        <v>5181.0893686483741</v>
      </c>
      <c r="M24" s="1889">
        <v>2053.8550515907136</v>
      </c>
      <c r="N24" s="1889">
        <v>328.32779628407206</v>
      </c>
      <c r="O24" s="1889">
        <v>197.532879648262</v>
      </c>
    </row>
    <row r="25" spans="1:15" ht="19.5" customHeight="1">
      <c r="A25" s="1891">
        <v>2011</v>
      </c>
      <c r="B25" s="759">
        <v>4.2701688555347088</v>
      </c>
      <c r="C25" s="1892">
        <v>0.68865355521936455</v>
      </c>
      <c r="D25" s="1892">
        <v>0.77718968755335494</v>
      </c>
      <c r="E25" s="759">
        <v>1106.4532806549171</v>
      </c>
      <c r="F25" s="759">
        <v>168348.50981738092</v>
      </c>
      <c r="G25" s="759">
        <v>2144.4882739212007</v>
      </c>
      <c r="H25" s="759">
        <v>323530.96200750471</v>
      </c>
      <c r="I25" s="759">
        <v>150.86627702371518</v>
      </c>
      <c r="J25" s="759">
        <v>16.699167927382753</v>
      </c>
      <c r="K25" s="759">
        <v>15.821581014171077</v>
      </c>
      <c r="L25" s="759">
        <v>3147.7293494704991</v>
      </c>
      <c r="M25" s="759">
        <v>1095.5109270957828</v>
      </c>
      <c r="N25" s="759">
        <v>188.49617916045713</v>
      </c>
      <c r="O25" s="759">
        <v>69.241558483602574</v>
      </c>
    </row>
    <row r="26" spans="1:15" hidden="1">
      <c r="A26" s="1891" t="s">
        <v>18</v>
      </c>
      <c r="B26" s="759">
        <v>4.7739905610907183</v>
      </c>
      <c r="C26" s="1892">
        <v>1.1576805696846388</v>
      </c>
      <c r="D26" s="1892">
        <v>1.3152268130598093</v>
      </c>
      <c r="E26" s="759">
        <v>801.96415008712052</v>
      </c>
      <c r="F26" s="759">
        <v>105336.80332163104</v>
      </c>
      <c r="G26" s="759">
        <v>1636.4672260094389</v>
      </c>
      <c r="H26" s="759">
        <v>203601.7196853697</v>
      </c>
      <c r="I26" s="759">
        <v>124.41539705127913</v>
      </c>
      <c r="J26" s="759">
        <v>12.82884028484232</v>
      </c>
      <c r="K26" s="759">
        <v>10.556919965327939</v>
      </c>
      <c r="L26" s="759">
        <v>3183.1895892675484</v>
      </c>
      <c r="M26" s="759">
        <v>958.75480641433103</v>
      </c>
      <c r="N26" s="759">
        <v>248.12761859921099</v>
      </c>
      <c r="O26" s="759">
        <v>90.817663633253503</v>
      </c>
    </row>
    <row r="27" spans="1:15" hidden="1">
      <c r="A27" s="1891" t="s">
        <v>19</v>
      </c>
      <c r="B27" s="759">
        <v>4.7615062761506275</v>
      </c>
      <c r="C27" s="1892">
        <v>1.1404233997244144</v>
      </c>
      <c r="D27" s="1892">
        <v>1.2917139614074915</v>
      </c>
      <c r="E27" s="759">
        <v>946.87499489456422</v>
      </c>
      <c r="F27" s="759">
        <v>126752.22659312349</v>
      </c>
      <c r="G27" s="759">
        <v>1989.5475941422594</v>
      </c>
      <c r="H27" s="759">
        <v>254570.47904288705</v>
      </c>
      <c r="I27" s="759">
        <v>127.95395284456029</v>
      </c>
      <c r="J27" s="759">
        <v>12.0438431667293</v>
      </c>
      <c r="K27" s="759">
        <v>9.775681044267877</v>
      </c>
      <c r="L27" s="759">
        <v>3501.4769460102721</v>
      </c>
      <c r="M27" s="759">
        <v>914.04598893303069</v>
      </c>
      <c r="N27" s="759">
        <v>290.72754415160279</v>
      </c>
      <c r="O27" s="759">
        <v>93.502026589645709</v>
      </c>
    </row>
    <row r="28" spans="1:15" hidden="1">
      <c r="A28" s="1891" t="s">
        <v>20</v>
      </c>
      <c r="B28" s="759">
        <v>4.7195438050803524</v>
      </c>
      <c r="C28" s="1892">
        <v>1.0278875465733319</v>
      </c>
      <c r="D28" s="1892">
        <v>1.1486247792076709</v>
      </c>
      <c r="E28" s="759">
        <v>1145.3625658010344</v>
      </c>
      <c r="F28" s="759">
        <v>154510.45655675052</v>
      </c>
      <c r="G28" s="759">
        <v>2396.0533955417313</v>
      </c>
      <c r="H28" s="759">
        <v>308531.89947641268</v>
      </c>
      <c r="I28" s="759">
        <v>128.76670446931158</v>
      </c>
      <c r="J28" s="759">
        <v>14.773399570960821</v>
      </c>
      <c r="K28" s="759">
        <v>12.284632853898561</v>
      </c>
      <c r="L28" s="759">
        <v>3873.3201546799141</v>
      </c>
      <c r="M28" s="759">
        <v>910.45422533434271</v>
      </c>
      <c r="N28" s="759">
        <v>262.18204794876499</v>
      </c>
      <c r="O28" s="759">
        <v>74.113262981677764</v>
      </c>
    </row>
    <row r="29" spans="1:15" hidden="1">
      <c r="A29" s="1891" t="s">
        <v>21</v>
      </c>
      <c r="B29" s="759">
        <v>4.675911658962506</v>
      </c>
      <c r="C29" s="1892">
        <v>0.96491785903550609</v>
      </c>
      <c r="D29" s="1892">
        <v>1.0732052339974065</v>
      </c>
      <c r="E29" s="759">
        <v>839.58585905230314</v>
      </c>
      <c r="F29" s="759">
        <v>116137.61166865507</v>
      </c>
      <c r="G29" s="759">
        <v>1710.3754494093478</v>
      </c>
      <c r="H29" s="759">
        <v>227303.09914740629</v>
      </c>
      <c r="I29" s="759">
        <v>132.89661005477012</v>
      </c>
      <c r="J29" s="759">
        <v>15.100052994170641</v>
      </c>
      <c r="K29" s="759">
        <v>14.026995166804197</v>
      </c>
      <c r="L29" s="759">
        <v>3370.9133831478539</v>
      </c>
      <c r="M29" s="759">
        <v>945.05395261110448</v>
      </c>
      <c r="N29" s="759">
        <v>223.23851343099201</v>
      </c>
      <c r="O29" s="759">
        <v>67.373941558605267</v>
      </c>
    </row>
    <row r="30" spans="1:15" hidden="1">
      <c r="A30" s="1891" t="s">
        <v>22</v>
      </c>
      <c r="B30" s="759">
        <v>4.6448979591836732</v>
      </c>
      <c r="C30" s="1892">
        <v>0.90183259039128283</v>
      </c>
      <c r="D30" s="1892">
        <v>1.0312641594925238</v>
      </c>
      <c r="E30" s="759">
        <v>1001.0495950779874</v>
      </c>
      <c r="F30" s="759">
        <v>132822.70464367137</v>
      </c>
      <c r="G30" s="759">
        <v>2045.5622448979591</v>
      </c>
      <c r="H30" s="759">
        <v>263169.48163265304</v>
      </c>
      <c r="I30" s="759">
        <v>128.65386144520917</v>
      </c>
      <c r="J30" s="759">
        <v>16.624764735017337</v>
      </c>
      <c r="K30" s="759">
        <v>16.342093339374717</v>
      </c>
      <c r="L30" s="759">
        <v>3074.8407132243683</v>
      </c>
      <c r="M30" s="759">
        <v>986.94970548255549</v>
      </c>
      <c r="N30" s="759">
        <v>184.95544221132477</v>
      </c>
      <c r="O30" s="759">
        <v>60.393101727340785</v>
      </c>
    </row>
    <row r="31" spans="1:15" hidden="1">
      <c r="A31" s="1891" t="s">
        <v>23</v>
      </c>
      <c r="B31" s="759">
        <v>4.5863979848866503</v>
      </c>
      <c r="C31" s="1892">
        <v>0.85813931567536994</v>
      </c>
      <c r="D31" s="1892">
        <v>1.0285843407524573</v>
      </c>
      <c r="E31" s="759">
        <v>871.82916868881762</v>
      </c>
      <c r="F31" s="759">
        <v>125578.33964487235</v>
      </c>
      <c r="G31" s="759">
        <v>1755.4952141057934</v>
      </c>
      <c r="H31" s="759">
        <v>241883.51788413097</v>
      </c>
      <c r="I31" s="759">
        <v>137.78648665091382</v>
      </c>
      <c r="J31" s="759">
        <v>14.131586388915071</v>
      </c>
      <c r="K31" s="759">
        <v>14.111173878657779</v>
      </c>
      <c r="L31" s="759">
        <v>2960.489584315204</v>
      </c>
      <c r="M31" s="759">
        <v>1001.4478589989832</v>
      </c>
      <c r="N31" s="759">
        <v>209.49449713851203</v>
      </c>
      <c r="O31" s="759">
        <v>70.96843023907509</v>
      </c>
    </row>
    <row r="32" spans="1:15" hidden="1">
      <c r="A32" s="1891" t="s">
        <v>24</v>
      </c>
      <c r="B32" s="759">
        <v>4.5474525474525471</v>
      </c>
      <c r="C32" s="1892">
        <v>0.80766501064584817</v>
      </c>
      <c r="D32" s="1892">
        <v>0.91950308049691953</v>
      </c>
      <c r="E32" s="759">
        <v>976.08795341411496</v>
      </c>
      <c r="F32" s="759">
        <v>145689.23348282595</v>
      </c>
      <c r="G32" s="759">
        <v>1984.4045954045955</v>
      </c>
      <c r="H32" s="759">
        <v>288375.97752247751</v>
      </c>
      <c r="I32" s="759">
        <v>145.3211599037248</v>
      </c>
      <c r="J32" s="759">
        <v>12.827448545067424</v>
      </c>
      <c r="K32" s="759">
        <v>12.223613776386223</v>
      </c>
      <c r="L32" s="759">
        <v>2765.7775904897089</v>
      </c>
      <c r="M32" s="759">
        <v>803.54317745682249</v>
      </c>
      <c r="N32" s="759">
        <v>215.6140077874833</v>
      </c>
      <c r="O32" s="759">
        <v>65.736957348007863</v>
      </c>
    </row>
    <row r="33" spans="1:15" hidden="1">
      <c r="A33" s="1891" t="s">
        <v>25</v>
      </c>
      <c r="B33" s="759">
        <v>4.4671246319921494</v>
      </c>
      <c r="C33" s="1892">
        <v>0.7723763468227709</v>
      </c>
      <c r="D33" s="1892">
        <v>0.87504805843906186</v>
      </c>
      <c r="E33" s="759">
        <v>1071.0480328433848</v>
      </c>
      <c r="F33" s="759">
        <v>155534.32932728028</v>
      </c>
      <c r="G33" s="759">
        <v>2156.8125613346419</v>
      </c>
      <c r="H33" s="759">
        <v>300896.23356231599</v>
      </c>
      <c r="I33" s="759">
        <v>139.50968153492232</v>
      </c>
      <c r="J33" s="759">
        <v>12.793840671926699</v>
      </c>
      <c r="K33" s="759">
        <v>11.556708958093042</v>
      </c>
      <c r="L33" s="759">
        <v>2880.3866972087894</v>
      </c>
      <c r="M33" s="759">
        <v>798.60265282583623</v>
      </c>
      <c r="N33" s="759">
        <v>225.13854682661255</v>
      </c>
      <c r="O33" s="759">
        <v>69.102947536511522</v>
      </c>
    </row>
    <row r="34" spans="1:15" hidden="1">
      <c r="A34" s="1891" t="s">
        <v>26</v>
      </c>
      <c r="B34" s="759">
        <v>4.4280155642023349</v>
      </c>
      <c r="C34" s="1892">
        <v>0.74598492297607344</v>
      </c>
      <c r="D34" s="1892">
        <v>0.8432752871433864</v>
      </c>
      <c r="E34" s="759">
        <v>975.54150456791649</v>
      </c>
      <c r="F34" s="759">
        <v>140478.02890610616</v>
      </c>
      <c r="G34" s="759">
        <v>1915.5165369649806</v>
      </c>
      <c r="H34" s="759">
        <v>264336.80885214009</v>
      </c>
      <c r="I34" s="759">
        <v>137.99766472962204</v>
      </c>
      <c r="J34" s="759">
        <v>14.100458865945592</v>
      </c>
      <c r="K34" s="759">
        <v>13.585309373842163</v>
      </c>
      <c r="L34" s="759">
        <v>2987.2227958046542</v>
      </c>
      <c r="M34" s="759">
        <v>1058.5535383475362</v>
      </c>
      <c r="N34" s="759">
        <v>211.85287827896002</v>
      </c>
      <c r="O34" s="759">
        <v>77.918986547757839</v>
      </c>
    </row>
    <row r="35" spans="1:15" hidden="1">
      <c r="A35" s="1891" t="s">
        <v>27</v>
      </c>
      <c r="B35" s="759">
        <v>4.3917028461167389</v>
      </c>
      <c r="C35" s="1892">
        <v>0.72966257914562793</v>
      </c>
      <c r="D35" s="1892">
        <v>0.82869106135081017</v>
      </c>
      <c r="E35" s="759">
        <v>908.7628052105124</v>
      </c>
      <c r="F35" s="759">
        <v>130895.20112393776</v>
      </c>
      <c r="G35" s="759">
        <v>1757.5615050651229</v>
      </c>
      <c r="H35" s="759">
        <v>248859.28412928124</v>
      </c>
      <c r="I35" s="759">
        <v>141.59349952311356</v>
      </c>
      <c r="J35" s="759">
        <v>13.723010339023803</v>
      </c>
      <c r="K35" s="759">
        <v>13.398325141088659</v>
      </c>
      <c r="L35" s="759">
        <v>2533.0968982928589</v>
      </c>
      <c r="M35" s="759">
        <v>992.92135445111956</v>
      </c>
      <c r="N35" s="759">
        <v>184.58755300136664</v>
      </c>
      <c r="O35" s="759">
        <v>74.10787124475182</v>
      </c>
    </row>
    <row r="36" spans="1:15" hidden="1">
      <c r="A36" s="1891" t="s">
        <v>28</v>
      </c>
      <c r="B36" s="759">
        <v>4.5203574975173781</v>
      </c>
      <c r="C36" s="1892">
        <v>0.71247456565972767</v>
      </c>
      <c r="D36" s="1892">
        <v>0.80644875542563554</v>
      </c>
      <c r="E36" s="759">
        <v>897.73440675009761</v>
      </c>
      <c r="F36" s="759">
        <v>134211.24772239994</v>
      </c>
      <c r="G36" s="759">
        <v>1804.2681231380338</v>
      </c>
      <c r="H36" s="759">
        <v>267883.86345580936</v>
      </c>
      <c r="I36" s="759">
        <v>148.47231407596905</v>
      </c>
      <c r="J36" s="759">
        <v>14.872984817655345</v>
      </c>
      <c r="K36" s="759">
        <v>14.368766055452211</v>
      </c>
      <c r="L36" s="759">
        <v>2518.1717013617153</v>
      </c>
      <c r="M36" s="759">
        <v>925.20010629816636</v>
      </c>
      <c r="N36" s="759">
        <v>169.3117912937326</v>
      </c>
      <c r="O36" s="759">
        <v>64.389670116947883</v>
      </c>
    </row>
    <row r="37" spans="1:15" hidden="1">
      <c r="A37" s="1891" t="s">
        <v>29</v>
      </c>
      <c r="B37" s="759">
        <v>4.2701688555347088</v>
      </c>
      <c r="C37" s="1892">
        <v>0.68865355521936455</v>
      </c>
      <c r="D37" s="1892">
        <v>0.77718968755335494</v>
      </c>
      <c r="E37" s="759">
        <v>1106.4532806549171</v>
      </c>
      <c r="F37" s="759">
        <v>168348.50981738092</v>
      </c>
      <c r="G37" s="759">
        <v>2144.4882739212007</v>
      </c>
      <c r="H37" s="759">
        <v>323530.96200750471</v>
      </c>
      <c r="I37" s="759">
        <v>150.86627702371518</v>
      </c>
      <c r="J37" s="759">
        <v>16.699167927382753</v>
      </c>
      <c r="K37" s="759">
        <v>15.821581014171077</v>
      </c>
      <c r="L37" s="759">
        <v>3147.7293494704991</v>
      </c>
      <c r="M37" s="759">
        <v>1095.5109270957828</v>
      </c>
      <c r="N37" s="759">
        <v>188.49617916045713</v>
      </c>
      <c r="O37" s="759">
        <v>69.241558483602574</v>
      </c>
    </row>
    <row r="38" spans="1:15">
      <c r="A38" s="1891" t="s">
        <v>1327</v>
      </c>
      <c r="B38" s="759">
        <v>4.0628318584070797</v>
      </c>
      <c r="C38" s="1892">
        <v>0.24910472056429733</v>
      </c>
      <c r="D38" s="1892">
        <v>0.26208077636649063</v>
      </c>
      <c r="E38" s="759">
        <v>1148.7973399929353</v>
      </c>
      <c r="F38" s="759">
        <v>186285.01527623113</v>
      </c>
      <c r="G38" s="759">
        <v>2126.6057522123892</v>
      </c>
      <c r="H38" s="759">
        <v>355559.63185840705</v>
      </c>
      <c r="I38" s="759">
        <v>167.19583848040699</v>
      </c>
      <c r="J38" s="759">
        <v>16.070944112859468</v>
      </c>
      <c r="K38" s="759">
        <v>15.884800913372342</v>
      </c>
      <c r="L38" s="759">
        <v>2003.0825284861639</v>
      </c>
      <c r="M38" s="759">
        <v>607.4346225203368</v>
      </c>
      <c r="N38" s="759">
        <v>124.64000337623972</v>
      </c>
      <c r="O38" s="759">
        <v>38.239989650042048</v>
      </c>
    </row>
    <row r="39" spans="1:15" hidden="1">
      <c r="A39" s="1891" t="s">
        <v>18</v>
      </c>
      <c r="B39" s="1893">
        <v>4.2476722532588456</v>
      </c>
      <c r="C39" s="1894">
        <v>0.66666666666666663</v>
      </c>
      <c r="D39" s="1894">
        <v>0.74946607524231967</v>
      </c>
      <c r="E39" s="1893">
        <v>766.30770642233597</v>
      </c>
      <c r="F39" s="1893">
        <v>114938.5491191597</v>
      </c>
      <c r="G39" s="1893">
        <v>1408.9483240223465</v>
      </c>
      <c r="H39" s="1893">
        <v>208930.22625698324</v>
      </c>
      <c r="I39" s="1893">
        <v>148.28806897652376</v>
      </c>
      <c r="J39" s="1893">
        <v>16.808271226070438</v>
      </c>
      <c r="K39" s="1893">
        <v>16.880072285197961</v>
      </c>
      <c r="L39" s="1893">
        <v>2301.8817039310243</v>
      </c>
      <c r="M39" s="1893">
        <v>954.35493675045177</v>
      </c>
      <c r="N39" s="1893">
        <v>136.94934315200098</v>
      </c>
      <c r="O39" s="1893">
        <v>56.537372626497579</v>
      </c>
    </row>
    <row r="40" spans="1:15" hidden="1">
      <c r="A40" s="1891" t="s">
        <v>19</v>
      </c>
      <c r="B40" s="1893">
        <v>4.2345850718590636</v>
      </c>
      <c r="C40" s="1894">
        <v>0.50206123234210964</v>
      </c>
      <c r="D40" s="1894">
        <v>0.54839097022094141</v>
      </c>
      <c r="E40" s="1893">
        <v>993.73733959159892</v>
      </c>
      <c r="F40" s="1893">
        <v>149942.65153800999</v>
      </c>
      <c r="G40" s="1893">
        <v>1888.9967547519702</v>
      </c>
      <c r="H40" s="1893">
        <v>285457.20723226701</v>
      </c>
      <c r="I40" s="1893">
        <v>151.11577429350757</v>
      </c>
      <c r="J40" s="1893">
        <v>15.053866871873797</v>
      </c>
      <c r="K40" s="1893">
        <v>14.662824207492795</v>
      </c>
      <c r="L40" s="1893">
        <v>1950.640795910515</v>
      </c>
      <c r="M40" s="1893">
        <v>646.79592939481267</v>
      </c>
      <c r="N40" s="1893">
        <v>129.57739114559561</v>
      </c>
      <c r="O40" s="1893">
        <v>44.111278989779876</v>
      </c>
    </row>
    <row r="41" spans="1:15" hidden="1">
      <c r="A41" s="1891" t="s">
        <v>20</v>
      </c>
      <c r="B41" s="1893">
        <v>4.2177121771217712</v>
      </c>
      <c r="C41" s="1894">
        <v>0.43555301514718492</v>
      </c>
      <c r="D41" s="1894">
        <v>0.47020105928935052</v>
      </c>
      <c r="E41" s="1893">
        <v>1131.6675515032853</v>
      </c>
      <c r="F41" s="1893">
        <v>168257.2769406999</v>
      </c>
      <c r="G41" s="1893">
        <v>2132.6785055350551</v>
      </c>
      <c r="H41" s="1893">
        <v>320045.99492619926</v>
      </c>
      <c r="I41" s="1893">
        <v>150.06762345827872</v>
      </c>
      <c r="J41" s="1893">
        <v>15.598599599885681</v>
      </c>
      <c r="K41" s="1893">
        <v>15.351776623643749</v>
      </c>
      <c r="L41" s="1893">
        <v>1966.8048490044775</v>
      </c>
      <c r="M41" s="1893">
        <v>709.07929243585124</v>
      </c>
      <c r="N41" s="1893">
        <v>126.08855278385963</v>
      </c>
      <c r="O41" s="1893">
        <v>46.188744783048506</v>
      </c>
    </row>
    <row r="42" spans="1:15" hidden="1">
      <c r="A42" s="1891" t="s">
        <v>21</v>
      </c>
      <c r="B42" s="1893">
        <v>4.1933119560238206</v>
      </c>
      <c r="C42" s="1894">
        <v>0.31761562749384131</v>
      </c>
      <c r="D42" s="1894">
        <v>0.33569254464776854</v>
      </c>
      <c r="E42" s="1893">
        <v>892.83385640259303</v>
      </c>
      <c r="F42" s="1893">
        <v>136305.70908675203</v>
      </c>
      <c r="G42" s="1893">
        <v>1651.5909299129637</v>
      </c>
      <c r="H42" s="1893">
        <v>255612.92624828219</v>
      </c>
      <c r="I42" s="1893">
        <v>154.76769799271818</v>
      </c>
      <c r="J42" s="1893">
        <v>12.161132507546581</v>
      </c>
      <c r="K42" s="1893">
        <v>11.770912024643367</v>
      </c>
      <c r="L42" s="1893">
        <v>1527.6885604246904</v>
      </c>
      <c r="M42" s="1893">
        <v>468.51498038065205</v>
      </c>
      <c r="N42" s="1893">
        <v>125.62058340180772</v>
      </c>
      <c r="O42" s="1893">
        <v>39.802776488327972</v>
      </c>
    </row>
    <row r="43" spans="1:15" hidden="1">
      <c r="A43" s="1891" t="s">
        <v>22</v>
      </c>
      <c r="B43" s="1893">
        <v>4.1353790613718413</v>
      </c>
      <c r="C43" s="1894">
        <v>0.24638382534817443</v>
      </c>
      <c r="D43" s="1894">
        <v>0.25729286576634752</v>
      </c>
      <c r="E43" s="1893">
        <v>1050.6821570010511</v>
      </c>
      <c r="F43" s="1893">
        <v>153977.24791267593</v>
      </c>
      <c r="G43" s="1893">
        <v>1931.5225631768953</v>
      </c>
      <c r="H43" s="1893">
        <v>295548.23601083033</v>
      </c>
      <c r="I43" s="1893">
        <v>153.01309011100744</v>
      </c>
      <c r="J43" s="1893">
        <v>12.537882454159273</v>
      </c>
      <c r="K43" s="1893">
        <v>12.309037819019007</v>
      </c>
      <c r="L43" s="1893">
        <v>1125.9993547346346</v>
      </c>
      <c r="M43" s="1893">
        <v>417.58323272594549</v>
      </c>
      <c r="N43" s="1893">
        <v>89.807777258359891</v>
      </c>
      <c r="O43" s="1893">
        <v>33.924928890926552</v>
      </c>
    </row>
    <row r="44" spans="1:15" hidden="1">
      <c r="A44" s="1891" t="s">
        <v>23</v>
      </c>
      <c r="B44" s="1893">
        <v>4.1194431971261789</v>
      </c>
      <c r="C44" s="1894">
        <v>0.25265767006334344</v>
      </c>
      <c r="D44" s="1894">
        <v>0.26407599309153712</v>
      </c>
      <c r="E44" s="1893">
        <v>913.03183756968758</v>
      </c>
      <c r="F44" s="1893">
        <v>140141.99058323944</v>
      </c>
      <c r="G44" s="1893">
        <v>1702.9092950157162</v>
      </c>
      <c r="H44" s="1893">
        <v>266527.81589582399</v>
      </c>
      <c r="I44" s="1893">
        <v>156.5132192747613</v>
      </c>
      <c r="J44" s="1893">
        <v>9.3615808317267977</v>
      </c>
      <c r="K44" s="1893">
        <v>9.0654576856649403</v>
      </c>
      <c r="L44" s="1893">
        <v>1088.8220324979345</v>
      </c>
      <c r="M44" s="1893">
        <v>433.17973517559011</v>
      </c>
      <c r="N44" s="1893">
        <v>116.30749678599902</v>
      </c>
      <c r="O44" s="1893">
        <v>47.783548299008679</v>
      </c>
    </row>
    <row r="45" spans="1:15" hidden="1">
      <c r="A45" s="1891" t="s">
        <v>24</v>
      </c>
      <c r="B45" s="1893">
        <v>4.1831435079726651</v>
      </c>
      <c r="C45" s="1894">
        <v>0.25140322536483861</v>
      </c>
      <c r="D45" s="1894">
        <v>0.26242533367629828</v>
      </c>
      <c r="E45" s="1893">
        <v>1043.8182095377865</v>
      </c>
      <c r="F45" s="1893">
        <v>168721.09515053077</v>
      </c>
      <c r="G45" s="1893">
        <v>1979.1649202733486</v>
      </c>
      <c r="H45" s="1893">
        <v>325265.6460136674</v>
      </c>
      <c r="I45" s="1893">
        <v>164.34489247553154</v>
      </c>
      <c r="J45" s="1893">
        <v>10.162856282342634</v>
      </c>
      <c r="K45" s="1893">
        <v>9.8200577324301932</v>
      </c>
      <c r="L45" s="1893">
        <v>1401.82600005476</v>
      </c>
      <c r="M45" s="1893">
        <v>370.13418502958075</v>
      </c>
      <c r="N45" s="1893">
        <v>137.9362219743627</v>
      </c>
      <c r="O45" s="1893">
        <v>37.691650610895415</v>
      </c>
    </row>
    <row r="46" spans="1:15" hidden="1">
      <c r="A46" s="1891" t="s">
        <v>25</v>
      </c>
      <c r="B46" s="1893">
        <v>4.1472448057813915</v>
      </c>
      <c r="C46" s="1894">
        <v>0.25146519143342277</v>
      </c>
      <c r="D46" s="1894">
        <v>0.2625528994624271</v>
      </c>
      <c r="E46" s="1893">
        <v>921.33452918947012</v>
      </c>
      <c r="F46" s="1893">
        <v>148402.12961794625</v>
      </c>
      <c r="G46" s="1893">
        <v>1691.9065040650407</v>
      </c>
      <c r="H46" s="1893">
        <v>268799.26422764227</v>
      </c>
      <c r="I46" s="1893">
        <v>158.87359235384145</v>
      </c>
      <c r="J46" s="1893">
        <v>10.682943528509613</v>
      </c>
      <c r="K46" s="1893">
        <v>10.371268443326089</v>
      </c>
      <c r="L46" s="1893">
        <v>1577.9106644026949</v>
      </c>
      <c r="M46" s="1893">
        <v>410.33255175569025</v>
      </c>
      <c r="N46" s="1893">
        <v>147.70373541634086</v>
      </c>
      <c r="O46" s="1893">
        <v>39.564355507521284</v>
      </c>
    </row>
    <row r="47" spans="1:15" hidden="1">
      <c r="A47" s="1891" t="s">
        <v>26</v>
      </c>
      <c r="B47" s="1893">
        <v>4.1397482014388487</v>
      </c>
      <c r="C47" s="1894">
        <v>0.25085281456051439</v>
      </c>
      <c r="D47" s="1894">
        <v>0.26275864037215674</v>
      </c>
      <c r="E47" s="1893">
        <v>953.20660549981369</v>
      </c>
      <c r="F47" s="1893">
        <v>149269.64497196558</v>
      </c>
      <c r="G47" s="1893">
        <v>1807.0355215827337</v>
      </c>
      <c r="H47" s="1893">
        <v>278554.95098920865</v>
      </c>
      <c r="I47" s="1893">
        <v>154.15023537845556</v>
      </c>
      <c r="J47" s="1893">
        <v>10.400168928123808</v>
      </c>
      <c r="K47" s="1893">
        <v>9.9738291617911479</v>
      </c>
      <c r="L47" s="1893">
        <v>1636.1642144842242</v>
      </c>
      <c r="M47" s="1893">
        <v>417.33605411113331</v>
      </c>
      <c r="N47" s="1893">
        <v>157.32092678415643</v>
      </c>
      <c r="O47" s="1893">
        <v>41.84311234344284</v>
      </c>
    </row>
    <row r="48" spans="1:15" hidden="1">
      <c r="A48" s="1891" t="s">
        <v>27</v>
      </c>
      <c r="B48" s="1893">
        <v>4.1248876909254264</v>
      </c>
      <c r="C48" s="1894">
        <v>0.25049788569090164</v>
      </c>
      <c r="D48" s="1894">
        <v>0.26252287282708142</v>
      </c>
      <c r="E48" s="1893">
        <v>1035.1523357176566</v>
      </c>
      <c r="F48" s="1893">
        <v>160073.5229337952</v>
      </c>
      <c r="G48" s="1893">
        <v>1938.6343216531895</v>
      </c>
      <c r="H48" s="1893">
        <v>303395.60871518421</v>
      </c>
      <c r="I48" s="1893">
        <v>156.49965820086203</v>
      </c>
      <c r="J48" s="1893">
        <v>12.731032601282227</v>
      </c>
      <c r="K48" s="1893">
        <v>12.466176806953339</v>
      </c>
      <c r="L48" s="1893">
        <v>1728.7131087164098</v>
      </c>
      <c r="M48" s="1893">
        <v>508.7700994967978</v>
      </c>
      <c r="N48" s="1893">
        <v>135.78734442501542</v>
      </c>
      <c r="O48" s="1893">
        <v>40.812039438829217</v>
      </c>
    </row>
    <row r="49" spans="1:15" hidden="1">
      <c r="A49" s="1891" t="s">
        <v>28</v>
      </c>
      <c r="B49" s="1893">
        <v>4.0991071428571431</v>
      </c>
      <c r="C49" s="1894">
        <v>0.25168576284194943</v>
      </c>
      <c r="D49" s="1894">
        <v>0.26399470975532618</v>
      </c>
      <c r="E49" s="1893">
        <v>985.30971556257191</v>
      </c>
      <c r="F49" s="1893">
        <v>152732.84347314606</v>
      </c>
      <c r="G49" s="1893">
        <v>1859.1946428571428</v>
      </c>
      <c r="H49" s="1893">
        <v>293751.49553571426</v>
      </c>
      <c r="I49" s="1893">
        <v>157.99932334372889</v>
      </c>
      <c r="J49" s="1893">
        <v>13.213091387533579</v>
      </c>
      <c r="K49" s="1893">
        <v>13.013685632960524</v>
      </c>
      <c r="L49" s="1893">
        <v>1610.2856203059043</v>
      </c>
      <c r="M49" s="1893">
        <v>494.22886058480202</v>
      </c>
      <c r="N49" s="1893">
        <v>121.87046718114679</v>
      </c>
      <c r="O49" s="1893">
        <v>37.977624058555683</v>
      </c>
    </row>
    <row r="50" spans="1:15" hidden="1">
      <c r="A50" s="1891" t="s">
        <v>29</v>
      </c>
      <c r="B50" s="1893">
        <v>4.0628318584070797</v>
      </c>
      <c r="C50" s="1894">
        <v>0.24910472056429733</v>
      </c>
      <c r="D50" s="1894">
        <v>0.26208077636649063</v>
      </c>
      <c r="E50" s="1893">
        <v>1148.7973399929353</v>
      </c>
      <c r="F50" s="1893">
        <v>186285.01527623113</v>
      </c>
      <c r="G50" s="1893">
        <v>2126.6057522123892</v>
      </c>
      <c r="H50" s="1893">
        <v>355559.63185840705</v>
      </c>
      <c r="I50" s="1893">
        <v>167.19583848040699</v>
      </c>
      <c r="J50" s="1893">
        <v>16.070944112859468</v>
      </c>
      <c r="K50" s="1893">
        <v>15.884800913372342</v>
      </c>
      <c r="L50" s="1893">
        <v>2003.0825284861639</v>
      </c>
      <c r="M50" s="1893">
        <v>607.4346225203368</v>
      </c>
      <c r="N50" s="1893">
        <v>124.64000337623972</v>
      </c>
      <c r="O50" s="1893">
        <v>38.239989650042048</v>
      </c>
    </row>
    <row r="51" spans="1:15">
      <c r="A51" s="1891" t="s">
        <v>1449</v>
      </c>
      <c r="B51" s="759">
        <f t="shared" ref="B51:O51" si="0">AVERAGE(B52:B63)</f>
        <v>3.9675708118856918</v>
      </c>
      <c r="C51" s="1892">
        <f t="shared" si="0"/>
        <v>0.25998889594315494</v>
      </c>
      <c r="D51" s="1892">
        <f t="shared" si="0"/>
        <v>0.27060096946755191</v>
      </c>
      <c r="E51" s="759">
        <f t="shared" si="0"/>
        <v>1048.8757389440268</v>
      </c>
      <c r="F51" s="759">
        <f t="shared" si="0"/>
        <v>158960.36794211017</v>
      </c>
      <c r="G51" s="759">
        <f t="shared" si="0"/>
        <v>1818.6126505699394</v>
      </c>
      <c r="H51" s="759">
        <f t="shared" si="0"/>
        <v>300975.38451166125</v>
      </c>
      <c r="I51" s="759">
        <f t="shared" si="0"/>
        <v>165.01182207424597</v>
      </c>
      <c r="J51" s="759">
        <f t="shared" si="0"/>
        <v>25.523866052473604</v>
      </c>
      <c r="K51" s="759">
        <f t="shared" si="0"/>
        <v>26.553827877137007</v>
      </c>
      <c r="L51" s="759">
        <f t="shared" si="0"/>
        <v>2197.7309176005119</v>
      </c>
      <c r="M51" s="759">
        <f t="shared" si="0"/>
        <v>931.22249904350508</v>
      </c>
      <c r="N51" s="759">
        <f t="shared" si="0"/>
        <v>89.083446437742566</v>
      </c>
      <c r="O51" s="759">
        <f t="shared" si="0"/>
        <v>36.008529103915592</v>
      </c>
    </row>
    <row r="52" spans="1:15">
      <c r="A52" s="1891" t="s">
        <v>18</v>
      </c>
      <c r="B52" s="1889">
        <v>4.0610349402919059</v>
      </c>
      <c r="C52" s="1890">
        <v>0.24699394754539342</v>
      </c>
      <c r="D52" s="1890">
        <v>0.25665967854647098</v>
      </c>
      <c r="E52" s="1889">
        <v>848.57453046481726</v>
      </c>
      <c r="F52" s="1889">
        <v>123910.98778987651</v>
      </c>
      <c r="G52" s="1889">
        <v>1461.3954002653693</v>
      </c>
      <c r="H52" s="1889">
        <v>224937.86436532508</v>
      </c>
      <c r="I52" s="1889">
        <v>153.91992086774013</v>
      </c>
      <c r="J52" s="1889">
        <v>15.974848688634836</v>
      </c>
      <c r="K52" s="1889">
        <v>16.084668064290707</v>
      </c>
      <c r="L52" s="1889">
        <v>1582.831984936113</v>
      </c>
      <c r="M52" s="1889">
        <v>604.3582652690427</v>
      </c>
      <c r="N52" s="1889">
        <v>99.082752881547151</v>
      </c>
      <c r="O52" s="1889">
        <v>37.573561534090217</v>
      </c>
    </row>
    <row r="53" spans="1:15">
      <c r="A53" s="1891" t="s">
        <v>19</v>
      </c>
      <c r="B53" s="1889">
        <v>4.0289600702062307</v>
      </c>
      <c r="C53" s="1890">
        <v>0.248605620837169</v>
      </c>
      <c r="D53" s="1890">
        <v>0.25852408705690233</v>
      </c>
      <c r="E53" s="1889">
        <v>1025.0843104715584</v>
      </c>
      <c r="F53" s="1889">
        <v>157464.27030377128</v>
      </c>
      <c r="G53" s="1889">
        <v>1923.3650724001754</v>
      </c>
      <c r="H53" s="1889">
        <v>309090.19043440104</v>
      </c>
      <c r="I53" s="1889">
        <v>160.70281969334405</v>
      </c>
      <c r="J53" s="1889">
        <v>16.800102886229489</v>
      </c>
      <c r="K53" s="1889">
        <v>16.328406115381366</v>
      </c>
      <c r="L53" s="1889">
        <v>1863.1905019764986</v>
      </c>
      <c r="M53" s="1889">
        <v>616.24622011994256</v>
      </c>
      <c r="N53" s="1889">
        <v>110.90351735308101</v>
      </c>
      <c r="O53" s="1889">
        <v>37.740745530541304</v>
      </c>
    </row>
    <row r="54" spans="1:15">
      <c r="A54" s="1891" t="s">
        <v>20</v>
      </c>
      <c r="B54" s="1889">
        <v>4.0008714596949888</v>
      </c>
      <c r="C54" s="1890">
        <v>0.24639081200021468</v>
      </c>
      <c r="D54" s="1890">
        <v>0.25612273361227333</v>
      </c>
      <c r="E54" s="1889">
        <v>1070.8452990192791</v>
      </c>
      <c r="F54" s="1889">
        <v>167122.63399619737</v>
      </c>
      <c r="G54" s="1889">
        <v>1980.5899782135077</v>
      </c>
      <c r="H54" s="1889">
        <v>316327.2020043573</v>
      </c>
      <c r="I54" s="1889">
        <v>159.71362345763481</v>
      </c>
      <c r="J54" s="1889">
        <v>16.373745505286319</v>
      </c>
      <c r="K54" s="1889">
        <v>15.917377963737797</v>
      </c>
      <c r="L54" s="1889">
        <v>1858.4772076423551</v>
      </c>
      <c r="M54" s="1889">
        <v>685.80962343096235</v>
      </c>
      <c r="N54" s="1889">
        <v>113.50348684986824</v>
      </c>
      <c r="O54" s="1889">
        <v>43.085590163991881</v>
      </c>
    </row>
    <row r="55" spans="1:15">
      <c r="A55" s="1891" t="s">
        <v>21</v>
      </c>
      <c r="B55" s="1889">
        <v>4.025740025740026</v>
      </c>
      <c r="C55" s="1890">
        <v>0.25307443365695792</v>
      </c>
      <c r="D55" s="1890">
        <v>0.26316675079925961</v>
      </c>
      <c r="E55" s="1889">
        <v>992.48494940632509</v>
      </c>
      <c r="F55" s="1889">
        <v>151094.54896604014</v>
      </c>
      <c r="G55" s="1889">
        <v>1746.2385242385242</v>
      </c>
      <c r="H55" s="1889">
        <v>279720.5745945946</v>
      </c>
      <c r="I55" s="1889">
        <v>160.18463154486372</v>
      </c>
      <c r="J55" s="1889">
        <v>20.540965480043148</v>
      </c>
      <c r="K55" s="1889">
        <v>20.642127993718098</v>
      </c>
      <c r="L55" s="1889">
        <v>1990.1654293419635</v>
      </c>
      <c r="M55" s="1889">
        <v>776.05408435694653</v>
      </c>
      <c r="N55" s="1889">
        <v>96.887628348119051</v>
      </c>
      <c r="O55" s="1889">
        <v>37.595643462394897</v>
      </c>
    </row>
    <row r="56" spans="1:15">
      <c r="A56" s="1891" t="s">
        <v>22</v>
      </c>
      <c r="B56" s="1889">
        <v>4.0051216389244555</v>
      </c>
      <c r="C56" s="1890">
        <v>0.25310856372218477</v>
      </c>
      <c r="D56" s="1890">
        <v>0.26304871895498122</v>
      </c>
      <c r="E56" s="1889">
        <v>1085.6783481407731</v>
      </c>
      <c r="F56" s="1889">
        <v>161828.79961280973</v>
      </c>
      <c r="G56" s="1889">
        <v>1871.6555697823303</v>
      </c>
      <c r="H56" s="1889">
        <v>302484.227626974</v>
      </c>
      <c r="I56" s="1889">
        <v>161.61319022075855</v>
      </c>
      <c r="J56" s="1889">
        <v>24.344140256237356</v>
      </c>
      <c r="K56" s="1889">
        <v>24.617788865840669</v>
      </c>
      <c r="L56" s="1889">
        <v>2245.0751525286582</v>
      </c>
      <c r="M56" s="1889">
        <v>1015.0570213600942</v>
      </c>
      <c r="N56" s="1889">
        <v>92.222404607344231</v>
      </c>
      <c r="O56" s="1889">
        <v>41.232664188154381</v>
      </c>
    </row>
    <row r="57" spans="1:15">
      <c r="A57" s="1891" t="s">
        <v>23</v>
      </c>
      <c r="B57" s="1889">
        <v>3.9745870393900891</v>
      </c>
      <c r="C57" s="1890">
        <v>0.25248883388042836</v>
      </c>
      <c r="D57" s="1890">
        <v>0.26243078471950332</v>
      </c>
      <c r="E57" s="1889">
        <v>826.20841565638761</v>
      </c>
      <c r="F57" s="1889">
        <v>122460.99015556816</v>
      </c>
      <c r="G57" s="1889">
        <v>1567.0660736975858</v>
      </c>
      <c r="H57" s="1889">
        <v>251394.42237611182</v>
      </c>
      <c r="I57" s="1889">
        <v>160.42362641603981</v>
      </c>
      <c r="J57" s="1889">
        <v>13.079831028359253</v>
      </c>
      <c r="K57" s="1889">
        <v>21.864114324067341</v>
      </c>
      <c r="L57" s="1889">
        <v>1094.7059726631867</v>
      </c>
      <c r="M57" s="1889">
        <v>922.93628502712681</v>
      </c>
      <c r="N57" s="1889">
        <v>83.69419836461816</v>
      </c>
      <c r="O57" s="1889">
        <v>42.212379214061599</v>
      </c>
    </row>
    <row r="58" spans="1:15">
      <c r="A58" s="1891" t="s">
        <v>24</v>
      </c>
      <c r="B58" s="1889">
        <v>3.9628378378378377</v>
      </c>
      <c r="C58" s="1890">
        <v>0.25788721556557109</v>
      </c>
      <c r="D58" s="1890">
        <v>0.26809130645944634</v>
      </c>
      <c r="E58" s="1889">
        <v>1112.9030817678165</v>
      </c>
      <c r="F58" s="1889">
        <v>171243.36956655211</v>
      </c>
      <c r="G58" s="1889">
        <v>1879.6127533783783</v>
      </c>
      <c r="H58" s="1889">
        <v>325708.32902449323</v>
      </c>
      <c r="I58" s="1889">
        <v>173.28480477644749</v>
      </c>
      <c r="J58" s="1889">
        <v>29.975596350445201</v>
      </c>
      <c r="K58" s="1889">
        <v>30.462617489929436</v>
      </c>
      <c r="L58" s="1889">
        <v>2376.9593157084751</v>
      </c>
      <c r="M58" s="1889">
        <v>918.95183127160522</v>
      </c>
      <c r="N58" s="1889">
        <v>79.296481308308401</v>
      </c>
      <c r="O58" s="1889">
        <v>30.166542043716348</v>
      </c>
    </row>
    <row r="59" spans="1:15">
      <c r="A59" s="1891" t="s">
        <v>25</v>
      </c>
      <c r="B59" s="1889">
        <v>3.9511578947368422</v>
      </c>
      <c r="C59" s="1890">
        <v>0.26274674506509871</v>
      </c>
      <c r="D59" s="1890">
        <v>0.27332304197128127</v>
      </c>
      <c r="E59" s="1889">
        <v>1077.8240852247104</v>
      </c>
      <c r="F59" s="1889">
        <v>158483.24213154818</v>
      </c>
      <c r="G59" s="1889">
        <v>1801.9515789473685</v>
      </c>
      <c r="H59" s="1889">
        <v>293443.84318315785</v>
      </c>
      <c r="I59" s="1889">
        <v>162.84779602933426</v>
      </c>
      <c r="J59" s="1889">
        <v>28.707881842363154</v>
      </c>
      <c r="K59" s="1889">
        <v>29.221973028864358</v>
      </c>
      <c r="L59" s="1889">
        <v>2204.7175332493352</v>
      </c>
      <c r="M59" s="1889">
        <v>880.26617743861595</v>
      </c>
      <c r="N59" s="1889">
        <v>76.798335222207697</v>
      </c>
      <c r="O59" s="1889">
        <v>30.1234340531737</v>
      </c>
    </row>
    <row r="60" spans="1:15">
      <c r="A60" s="1891" t="s">
        <v>26</v>
      </c>
      <c r="B60" s="1889">
        <v>3.9165275459098496</v>
      </c>
      <c r="C60" s="1890">
        <v>0.26695493855257169</v>
      </c>
      <c r="D60" s="1890">
        <v>0.27802796871296515</v>
      </c>
      <c r="E60" s="1889">
        <v>1050.6456790580639</v>
      </c>
      <c r="F60" s="1889">
        <v>155793.5290457386</v>
      </c>
      <c r="G60" s="1889">
        <v>1745.3956594323872</v>
      </c>
      <c r="H60" s="1889">
        <v>288794.32434891484</v>
      </c>
      <c r="I60" s="1889">
        <v>165.46066376882845</v>
      </c>
      <c r="J60" s="1889">
        <v>29.189633591260812</v>
      </c>
      <c r="K60" s="1889">
        <v>29.769554396776488</v>
      </c>
      <c r="L60" s="1889">
        <v>2293.7550412494306</v>
      </c>
      <c r="M60" s="1889">
        <v>986.29524324484476</v>
      </c>
      <c r="N60" s="1889">
        <v>78.581152246329211</v>
      </c>
      <c r="O60" s="1889">
        <v>33.131004586069416</v>
      </c>
    </row>
    <row r="61" spans="1:15">
      <c r="A61" s="1891" t="s">
        <v>27</v>
      </c>
      <c r="B61" s="1889">
        <v>3.9392991239048811</v>
      </c>
      <c r="C61" s="1890">
        <v>0.2694854305202774</v>
      </c>
      <c r="D61" s="1890">
        <v>0.28073435409543629</v>
      </c>
      <c r="E61" s="1889">
        <v>1137.6728912972335</v>
      </c>
      <c r="F61" s="1889">
        <v>168060.41543325497</v>
      </c>
      <c r="G61" s="1889">
        <v>1864.5490196078431</v>
      </c>
      <c r="H61" s="1889">
        <v>314103.45306633291</v>
      </c>
      <c r="I61" s="1889">
        <v>168.46081801185144</v>
      </c>
      <c r="J61" s="1889">
        <v>33.318930334769831</v>
      </c>
      <c r="K61" s="1889">
        <v>33.978236955552255</v>
      </c>
      <c r="L61" s="1889">
        <v>2521.6195667684578</v>
      </c>
      <c r="M61" s="1889">
        <v>1129.3760998959417</v>
      </c>
      <c r="N61" s="1889">
        <v>75.681288127579307</v>
      </c>
      <c r="O61" s="1889">
        <v>33.238219551335334</v>
      </c>
    </row>
    <row r="62" spans="1:15">
      <c r="A62" s="1891" t="s">
        <v>28</v>
      </c>
      <c r="B62" s="1889">
        <v>3.8811696391538781</v>
      </c>
      <c r="C62" s="1890">
        <v>0.2809975676406114</v>
      </c>
      <c r="D62" s="1890">
        <v>0.29336614728657867</v>
      </c>
      <c r="E62" s="1889">
        <v>1090.0382103146635</v>
      </c>
      <c r="F62" s="1889">
        <v>167436.40644075809</v>
      </c>
      <c r="G62" s="1889">
        <v>1813.9029448361675</v>
      </c>
      <c r="H62" s="1889">
        <v>310867.21683533804</v>
      </c>
      <c r="I62" s="1889">
        <v>171.38029226994593</v>
      </c>
      <c r="J62" s="1889">
        <v>34.990360649830336</v>
      </c>
      <c r="K62" s="1889">
        <v>35.810797253660219</v>
      </c>
      <c r="L62" s="1889">
        <v>2791.4267724692954</v>
      </c>
      <c r="M62" s="1889">
        <v>1150.2597607925511</v>
      </c>
      <c r="N62" s="1889">
        <v>79.777022032004425</v>
      </c>
      <c r="O62" s="1889">
        <v>32.12047340484672</v>
      </c>
    </row>
    <row r="63" spans="1:15">
      <c r="A63" s="1891" t="s">
        <v>29</v>
      </c>
      <c r="B63" s="1889">
        <v>3.8635425268373247</v>
      </c>
      <c r="C63" s="1890">
        <v>0.28113264233138052</v>
      </c>
      <c r="D63" s="1890">
        <v>0.29371606139552403</v>
      </c>
      <c r="E63" s="1889">
        <v>1268.5490665066934</v>
      </c>
      <c r="F63" s="1889">
        <v>202625.22186320706</v>
      </c>
      <c r="G63" s="1889">
        <v>2167.6292320396365</v>
      </c>
      <c r="H63" s="1889">
        <v>394832.96627993393</v>
      </c>
      <c r="I63" s="1889">
        <v>182.14967783416299</v>
      </c>
      <c r="J63" s="1889">
        <v>42.990356016223522</v>
      </c>
      <c r="K63" s="1889">
        <v>43.948272073825294</v>
      </c>
      <c r="L63" s="1889">
        <v>3549.8465326723749</v>
      </c>
      <c r="M63" s="1889">
        <v>1489.0593763143854</v>
      </c>
      <c r="N63" s="1889">
        <v>82.573089911903693</v>
      </c>
      <c r="O63" s="1889">
        <v>33.882091514611311</v>
      </c>
    </row>
    <row r="64" spans="1:15">
      <c r="A64" s="1891" t="s">
        <v>1660</v>
      </c>
      <c r="B64" s="759">
        <f t="shared" ref="B64:O64" si="1">AVERAGE(B65:B76)</f>
        <v>3.7898750518508706</v>
      </c>
      <c r="C64" s="1892">
        <f t="shared" si="1"/>
        <v>0.19327249707110047</v>
      </c>
      <c r="D64" s="1892">
        <f t="shared" si="1"/>
        <v>0.19958051142529451</v>
      </c>
      <c r="E64" s="759">
        <f t="shared" si="1"/>
        <v>1119.3422264511364</v>
      </c>
      <c r="F64" s="759">
        <f t="shared" si="1"/>
        <v>167697.10573573477</v>
      </c>
      <c r="G64" s="759">
        <f t="shared" si="1"/>
        <v>1833.6699570819767</v>
      </c>
      <c r="H64" s="759">
        <f t="shared" si="1"/>
        <v>326885.26737017481</v>
      </c>
      <c r="I64" s="759">
        <f t="shared" si="1"/>
        <v>178.00649372780882</v>
      </c>
      <c r="J64" s="759">
        <f t="shared" si="1"/>
        <v>18.540653332080797</v>
      </c>
      <c r="K64" s="759">
        <f t="shared" si="1"/>
        <v>18.614725183695452</v>
      </c>
      <c r="L64" s="759">
        <f t="shared" si="1"/>
        <v>1874.7050477864352</v>
      </c>
      <c r="M64" s="759">
        <f t="shared" si="1"/>
        <v>690.28203949276656</v>
      </c>
      <c r="N64" s="759">
        <f t="shared" si="1"/>
        <v>105.84855379812051</v>
      </c>
      <c r="O64" s="759">
        <f t="shared" si="1"/>
        <v>38.110028476093213</v>
      </c>
    </row>
    <row r="65" spans="1:15">
      <c r="A65" s="1891" t="s">
        <v>18</v>
      </c>
      <c r="B65" s="1889">
        <v>3.8748862225899878</v>
      </c>
      <c r="C65" s="1890">
        <v>0.28341957936147677</v>
      </c>
      <c r="D65" s="1890">
        <v>0.29643603215800468</v>
      </c>
      <c r="E65" s="1889">
        <v>962.01649450771242</v>
      </c>
      <c r="F65" s="1889">
        <v>135212.7449164592</v>
      </c>
      <c r="G65" s="1889">
        <v>1549.1079851055026</v>
      </c>
      <c r="H65" s="1889">
        <v>259307.13061646672</v>
      </c>
      <c r="I65" s="1889">
        <v>167.39125555460001</v>
      </c>
      <c r="J65" s="1889">
        <v>38.85410803449841</v>
      </c>
      <c r="K65" s="1889">
        <v>39.922580236753817</v>
      </c>
      <c r="L65" s="1889">
        <v>2453.4491786957178</v>
      </c>
      <c r="M65" s="1889">
        <v>1206.0219934164716</v>
      </c>
      <c r="N65" s="1889">
        <v>63.145167983712561</v>
      </c>
      <c r="O65" s="1889">
        <v>30.20901921329661</v>
      </c>
    </row>
    <row r="66" spans="1:15">
      <c r="A66" s="1891" t="s">
        <v>19</v>
      </c>
      <c r="B66" s="1889">
        <v>3.862628759785744</v>
      </c>
      <c r="C66" s="1890">
        <v>0.27458481005242963</v>
      </c>
      <c r="D66" s="1890">
        <v>0.28669378268448575</v>
      </c>
      <c r="E66" s="1889">
        <v>1068.5654408002165</v>
      </c>
      <c r="F66" s="1889">
        <v>162086.61735101827</v>
      </c>
      <c r="G66" s="1889">
        <v>1823.0659250103008</v>
      </c>
      <c r="H66" s="1889">
        <v>322130.48125257518</v>
      </c>
      <c r="I66" s="1889">
        <v>176.69711052865796</v>
      </c>
      <c r="J66" s="1889">
        <v>23.463050291438446</v>
      </c>
      <c r="K66" s="1889">
        <v>23.664638062326066</v>
      </c>
      <c r="L66" s="1889">
        <v>2423.2096599396618</v>
      </c>
      <c r="M66" s="1889">
        <v>849.66503562800085</v>
      </c>
      <c r="N66" s="1889">
        <v>103.27769108622162</v>
      </c>
      <c r="O66" s="1889">
        <v>35.904417104974087</v>
      </c>
    </row>
    <row r="67" spans="1:15">
      <c r="A67" s="1891" t="s">
        <v>20</v>
      </c>
      <c r="B67" s="1889">
        <v>3.837331150225133</v>
      </c>
      <c r="C67" s="1890">
        <v>0.24178788816671826</v>
      </c>
      <c r="D67" s="1890">
        <v>0.25055726312976079</v>
      </c>
      <c r="E67" s="1889">
        <v>1161.8147237454807</v>
      </c>
      <c r="F67" s="1889">
        <v>174077.16242102796</v>
      </c>
      <c r="G67" s="1889">
        <v>1978.9128121162505</v>
      </c>
      <c r="H67" s="1889">
        <v>348805.72943102743</v>
      </c>
      <c r="I67" s="1889">
        <v>176.26129220822739</v>
      </c>
      <c r="J67" s="1889">
        <v>22.040828432889715</v>
      </c>
      <c r="K67" s="1889">
        <v>22.139462782306563</v>
      </c>
      <c r="L67" s="1889">
        <v>2296.6800784070979</v>
      </c>
      <c r="M67" s="1889">
        <v>882.62982760924763</v>
      </c>
      <c r="N67" s="1889">
        <v>104.20116854500583</v>
      </c>
      <c r="O67" s="1889">
        <v>39.866813223427833</v>
      </c>
    </row>
    <row r="68" spans="1:15">
      <c r="A68" s="1891" t="s">
        <v>21</v>
      </c>
      <c r="B68" s="1889">
        <v>3.7867688584106491</v>
      </c>
      <c r="C68" s="1890">
        <v>0.21938303341902313</v>
      </c>
      <c r="D68" s="1890">
        <v>0.22770029349698012</v>
      </c>
      <c r="E68" s="1889">
        <v>1074.7061642169701</v>
      </c>
      <c r="F68" s="1889">
        <v>158817.53890009847</v>
      </c>
      <c r="G68" s="1889">
        <v>1800.7152077450585</v>
      </c>
      <c r="H68" s="1889">
        <v>314317.20572811615</v>
      </c>
      <c r="I68" s="1889">
        <v>174.55131404244605</v>
      </c>
      <c r="J68" s="1889">
        <v>18.859429773311522</v>
      </c>
      <c r="K68" s="1889">
        <v>18.898003735416111</v>
      </c>
      <c r="L68" s="1889">
        <v>2132.0023136246787</v>
      </c>
      <c r="M68" s="1889">
        <v>684.89266742668644</v>
      </c>
      <c r="N68" s="1889">
        <v>113.04701887867955</v>
      </c>
      <c r="O68" s="1889">
        <v>36.241535191526722</v>
      </c>
    </row>
    <row r="69" spans="1:15">
      <c r="A69" s="1891" t="s">
        <v>22</v>
      </c>
      <c r="B69" s="1889">
        <v>3.8179935012185213</v>
      </c>
      <c r="C69" s="1890">
        <v>0.19348524144744966</v>
      </c>
      <c r="D69" s="1890">
        <v>0.19948853989813242</v>
      </c>
      <c r="E69" s="1889">
        <v>1111.7240320688111</v>
      </c>
      <c r="F69" s="1889">
        <v>165596.31921209476</v>
      </c>
      <c r="G69" s="1889">
        <v>1911.6133225020308</v>
      </c>
      <c r="H69" s="1889">
        <v>336060.25060926075</v>
      </c>
      <c r="I69" s="1889">
        <v>175.79928255019982</v>
      </c>
      <c r="J69" s="1889">
        <v>17.420958379646784</v>
      </c>
      <c r="K69" s="1889">
        <v>17.404668930390493</v>
      </c>
      <c r="L69" s="1889">
        <v>1866.9512370836935</v>
      </c>
      <c r="M69" s="1889">
        <v>656.64957555178273</v>
      </c>
      <c r="N69" s="1889">
        <v>107.16696500835947</v>
      </c>
      <c r="O69" s="1889">
        <v>37.728357728494295</v>
      </c>
    </row>
    <row r="70" spans="1:15">
      <c r="A70" s="1891" t="s">
        <v>23</v>
      </c>
      <c r="B70" s="1889">
        <v>3.8004442649434571</v>
      </c>
      <c r="C70" s="1890">
        <v>0.17953370347051303</v>
      </c>
      <c r="D70" s="1890">
        <v>0.1846707879501521</v>
      </c>
      <c r="E70" s="1889">
        <v>1067.1574156109868</v>
      </c>
      <c r="F70" s="1889">
        <v>161616.04650105262</v>
      </c>
      <c r="G70" s="1889">
        <v>1809.943861066236</v>
      </c>
      <c r="H70" s="1889">
        <v>328729.6155088853</v>
      </c>
      <c r="I70" s="1889">
        <v>181.62420535807726</v>
      </c>
      <c r="J70" s="1889">
        <v>16.082174269742239</v>
      </c>
      <c r="K70" s="1889">
        <v>16.027180845844374</v>
      </c>
      <c r="L70" s="1889">
        <v>1732.9052906721615</v>
      </c>
      <c r="M70" s="1889">
        <v>596.81150034344034</v>
      </c>
      <c r="N70" s="1889">
        <v>107.75317202802181</v>
      </c>
      <c r="O70" s="1889">
        <v>37.237459668285034</v>
      </c>
    </row>
    <row r="71" spans="1:15">
      <c r="A71" s="1891" t="s">
        <v>24</v>
      </c>
      <c r="B71" s="1889">
        <v>3.8222623345367026</v>
      </c>
      <c r="C71" s="1890">
        <v>0.17650033340742385</v>
      </c>
      <c r="D71" s="1890">
        <v>0.18138884129975444</v>
      </c>
      <c r="E71" s="1889">
        <v>1183.0158915935285</v>
      </c>
      <c r="F71" s="1889">
        <v>187070.86570932466</v>
      </c>
      <c r="G71" s="1889">
        <v>1897.4107501002809</v>
      </c>
      <c r="H71" s="1889">
        <v>361622.99478539912</v>
      </c>
      <c r="I71" s="1889">
        <v>190.58761776609879</v>
      </c>
      <c r="J71" s="1889">
        <v>17.502685782025637</v>
      </c>
      <c r="K71" s="1889">
        <v>17.511621266632403</v>
      </c>
      <c r="L71" s="1889">
        <v>1945.7616322145661</v>
      </c>
      <c r="M71" s="1889">
        <v>708.56543505986713</v>
      </c>
      <c r="N71" s="1889">
        <v>111.16931746628075</v>
      </c>
      <c r="O71" s="1889">
        <v>40.462583348008238</v>
      </c>
    </row>
    <row r="72" spans="1:15">
      <c r="A72" s="1891" t="s">
        <v>25</v>
      </c>
      <c r="B72" s="1889">
        <v>3.8009561752988046</v>
      </c>
      <c r="C72" s="1890">
        <v>0.1681690786342564</v>
      </c>
      <c r="D72" s="1890">
        <v>0.17252079566003617</v>
      </c>
      <c r="E72" s="1889">
        <v>1082.6538996549702</v>
      </c>
      <c r="F72" s="1889">
        <v>161885.9049190612</v>
      </c>
      <c r="G72" s="1889">
        <v>1718.8693227091633</v>
      </c>
      <c r="H72" s="1889">
        <v>308293.31912350596</v>
      </c>
      <c r="I72" s="1889">
        <v>179.35820661316782</v>
      </c>
      <c r="J72" s="1889">
        <v>14.876857450071389</v>
      </c>
      <c r="K72" s="1889">
        <v>14.841717902350814</v>
      </c>
      <c r="L72" s="1889">
        <v>1529.281486312598</v>
      </c>
      <c r="M72" s="1889">
        <v>513.51759493670886</v>
      </c>
      <c r="N72" s="1889">
        <v>102.79600321808955</v>
      </c>
      <c r="O72" s="1889">
        <v>34.599606212389446</v>
      </c>
    </row>
    <row r="73" spans="1:15">
      <c r="A73" s="1891" t="s">
        <v>26</v>
      </c>
      <c r="B73" s="1889">
        <v>3.756390090444357</v>
      </c>
      <c r="C73" s="1890">
        <v>0.16298691327270556</v>
      </c>
      <c r="D73" s="1890">
        <v>0.16704555390399581</v>
      </c>
      <c r="E73" s="1889">
        <v>1113.0290925473475</v>
      </c>
      <c r="F73" s="1889">
        <v>164243.34385848945</v>
      </c>
      <c r="G73" s="1889">
        <v>1829.2819504522217</v>
      </c>
      <c r="H73" s="1889">
        <v>317428.34372976801</v>
      </c>
      <c r="I73" s="1889">
        <v>173.52619898277337</v>
      </c>
      <c r="J73" s="1889">
        <v>14.100701257486051</v>
      </c>
      <c r="K73" s="1889">
        <v>14.038594036897788</v>
      </c>
      <c r="L73" s="1889">
        <v>1584.4703567336073</v>
      </c>
      <c r="M73" s="1889">
        <v>561.73433832298679</v>
      </c>
      <c r="N73" s="1889">
        <v>112.36819558122424</v>
      </c>
      <c r="O73" s="1889">
        <v>40.013575208925793</v>
      </c>
    </row>
    <row r="74" spans="1:15">
      <c r="A74" s="1891" t="s">
        <v>27</v>
      </c>
      <c r="B74" s="1889">
        <v>3.7419405320813772</v>
      </c>
      <c r="C74" s="1890">
        <v>0.14875344106256902</v>
      </c>
      <c r="D74" s="1890">
        <v>0.15211527450855652</v>
      </c>
      <c r="E74" s="1889">
        <v>1144.058504156334</v>
      </c>
      <c r="F74" s="1889">
        <v>168713.19078822836</v>
      </c>
      <c r="G74" s="1889">
        <v>1818.5449921752738</v>
      </c>
      <c r="H74" s="1889">
        <v>318736.66862284823</v>
      </c>
      <c r="I74" s="1889">
        <v>175.27015828274207</v>
      </c>
      <c r="J74" s="1889">
        <v>12.770455853305753</v>
      </c>
      <c r="K74" s="1889">
        <v>12.688895604046058</v>
      </c>
      <c r="L74" s="1889">
        <v>1445.1559637308117</v>
      </c>
      <c r="M74" s="1889">
        <v>521.96381048412752</v>
      </c>
      <c r="N74" s="1889">
        <v>113.16400763851507</v>
      </c>
      <c r="O74" s="1889">
        <v>41.135479932366287</v>
      </c>
    </row>
    <row r="75" spans="1:15">
      <c r="A75" s="1891" t="s">
        <v>28</v>
      </c>
      <c r="B75" s="1889">
        <v>3.7023588553750963</v>
      </c>
      <c r="C75" s="1890">
        <v>0.13941260411206244</v>
      </c>
      <c r="D75" s="1890">
        <v>0.14241748107159324</v>
      </c>
      <c r="E75" s="1889">
        <v>1117.1628227799818</v>
      </c>
      <c r="F75" s="1889">
        <v>164295.98825967751</v>
      </c>
      <c r="G75" s="1889">
        <v>1744.7869296210363</v>
      </c>
      <c r="H75" s="1889">
        <v>311398.67762320186</v>
      </c>
      <c r="I75" s="1889">
        <v>178.47375650093673</v>
      </c>
      <c r="J75" s="1889">
        <v>12.540654668297513</v>
      </c>
      <c r="K75" s="1889">
        <v>12.437681288767905</v>
      </c>
      <c r="L75" s="1889">
        <v>1372.968555785136</v>
      </c>
      <c r="M75" s="1889">
        <v>522.71119498713313</v>
      </c>
      <c r="N75" s="1889">
        <v>109.48141003004963</v>
      </c>
      <c r="O75" s="1889">
        <v>42.026418176447237</v>
      </c>
    </row>
    <row r="76" spans="1:15">
      <c r="A76" s="1891">
        <v>12</v>
      </c>
      <c r="B76" s="1889">
        <v>3.6745398773006137</v>
      </c>
      <c r="C76" s="1890">
        <v>0.13125333844657802</v>
      </c>
      <c r="D76" s="1890">
        <v>0.1339314913420821</v>
      </c>
      <c r="E76" s="1889">
        <v>1346.2022357312999</v>
      </c>
      <c r="F76" s="1889">
        <v>208749.54599228493</v>
      </c>
      <c r="G76" s="1889">
        <v>2121.7864263803681</v>
      </c>
      <c r="H76" s="1889">
        <v>395792.79141104297</v>
      </c>
      <c r="I76" s="1889">
        <v>186.53752634577842</v>
      </c>
      <c r="J76" s="1889">
        <v>13.975935792256173</v>
      </c>
      <c r="K76" s="1889">
        <v>13.801657512613028</v>
      </c>
      <c r="L76" s="1889">
        <v>1713.624820237492</v>
      </c>
      <c r="M76" s="1889">
        <v>578.22150014674435</v>
      </c>
      <c r="N76" s="1889">
        <v>122.61252811328613</v>
      </c>
      <c r="O76" s="1889">
        <v>41.895076704976965</v>
      </c>
    </row>
    <row r="77" spans="1:15">
      <c r="A77" s="1891" t="s">
        <v>1855</v>
      </c>
      <c r="B77" s="759">
        <f t="shared" ref="B77:O77" si="2">AVERAGE(B78:B89)</f>
        <v>3.6069276249663691</v>
      </c>
      <c r="C77" s="1892">
        <f t="shared" si="2"/>
        <v>0.12439566991223994</v>
      </c>
      <c r="D77" s="1892">
        <f t="shared" si="2"/>
        <v>0.12689301594729421</v>
      </c>
      <c r="E77" s="759">
        <f t="shared" si="2"/>
        <v>1208.9179410192573</v>
      </c>
      <c r="F77" s="759">
        <f t="shared" si="2"/>
        <v>176924.83016730755</v>
      </c>
      <c r="G77" s="759">
        <f t="shared" si="2"/>
        <v>1774.5348357651894</v>
      </c>
      <c r="H77" s="759">
        <f t="shared" si="2"/>
        <v>315419.86509208026</v>
      </c>
      <c r="I77" s="759">
        <f t="shared" si="2"/>
        <v>177.65804371351831</v>
      </c>
      <c r="J77" s="759">
        <f t="shared" si="2"/>
        <v>10.847596191645097</v>
      </c>
      <c r="K77" s="759">
        <f t="shared" si="2"/>
        <v>10.678102781907095</v>
      </c>
      <c r="L77" s="759">
        <f t="shared" si="2"/>
        <v>1300.2515719748778</v>
      </c>
      <c r="M77" s="759">
        <f t="shared" si="2"/>
        <v>431.83174298256046</v>
      </c>
      <c r="N77" s="759">
        <f t="shared" si="2"/>
        <v>121.24649171886945</v>
      </c>
      <c r="O77" s="759">
        <f t="shared" si="2"/>
        <v>41.096409929990152</v>
      </c>
    </row>
    <row r="78" spans="1:15">
      <c r="A78" s="1891" t="s">
        <v>18</v>
      </c>
      <c r="B78" s="1889">
        <v>3.6642475171886937</v>
      </c>
      <c r="C78" s="1890">
        <v>0.12862007937359218</v>
      </c>
      <c r="D78" s="1890">
        <v>0.13112714945733892</v>
      </c>
      <c r="E78" s="1889">
        <v>1066.4763062614538</v>
      </c>
      <c r="F78" s="1889">
        <v>149453.21840142462</v>
      </c>
      <c r="G78" s="1889">
        <v>1560.7887700534759</v>
      </c>
      <c r="H78" s="1889">
        <v>275195.46409472881</v>
      </c>
      <c r="I78" s="1889">
        <v>176.31819844866004</v>
      </c>
      <c r="J78" s="1889">
        <v>11.854834817118952</v>
      </c>
      <c r="K78" s="1889">
        <v>11.731785997430219</v>
      </c>
      <c r="L78" s="1889">
        <v>1209.6373484929743</v>
      </c>
      <c r="M78" s="1889">
        <v>444.62755952869134</v>
      </c>
      <c r="N78" s="1889">
        <v>102.03746970360142</v>
      </c>
      <c r="O78" s="1889">
        <v>37.899392268669445</v>
      </c>
    </row>
    <row r="79" spans="1:15">
      <c r="A79" s="1891" t="s">
        <v>19</v>
      </c>
      <c r="B79" s="1889">
        <v>3.6620900076277652</v>
      </c>
      <c r="C79" s="1890">
        <v>0.12463493464518892</v>
      </c>
      <c r="D79" s="1890">
        <v>0.12664872850058034</v>
      </c>
      <c r="E79" s="1889">
        <v>1133.5982951818664</v>
      </c>
      <c r="F79" s="1889">
        <v>178607.77147745102</v>
      </c>
      <c r="G79" s="1889">
        <v>1769.6456903127385</v>
      </c>
      <c r="H79" s="1889">
        <v>333717.95881006867</v>
      </c>
      <c r="I79" s="1889">
        <v>188.57896845503168</v>
      </c>
      <c r="J79" s="1889">
        <v>11.197790786723953</v>
      </c>
      <c r="K79" s="1889">
        <v>10.963358657803102</v>
      </c>
      <c r="L79" s="1889">
        <v>1610.8430965330149</v>
      </c>
      <c r="M79" s="1889">
        <v>404.24219162182123</v>
      </c>
      <c r="N79" s="1889">
        <v>143.85365177949413</v>
      </c>
      <c r="O79" s="1889">
        <v>36.872112300558953</v>
      </c>
    </row>
    <row r="80" spans="1:15">
      <c r="A80" s="1891" t="s">
        <v>20</v>
      </c>
      <c r="B80" s="1889">
        <v>3.6502088872009115</v>
      </c>
      <c r="C80" s="1890">
        <v>0.12380363514575363</v>
      </c>
      <c r="D80" s="1890">
        <v>0.12609716737296475</v>
      </c>
      <c r="E80" s="1889">
        <v>1264.8691228336343</v>
      </c>
      <c r="F80" s="1889">
        <v>188301.51254313352</v>
      </c>
      <c r="G80" s="1889">
        <v>1963.9263197873149</v>
      </c>
      <c r="H80" s="1889">
        <v>348865.11583744775</v>
      </c>
      <c r="I80" s="1889">
        <v>177.636560151212</v>
      </c>
      <c r="J80" s="1889">
        <v>12.076026329687883</v>
      </c>
      <c r="K80" s="1889">
        <v>11.918852254687151</v>
      </c>
      <c r="L80" s="1889">
        <v>1507.4846775128492</v>
      </c>
      <c r="M80" s="1889">
        <v>451.1754549390572</v>
      </c>
      <c r="N80" s="1889">
        <v>124.8328412307968</v>
      </c>
      <c r="O80" s="1889">
        <v>37.853934699260165</v>
      </c>
    </row>
    <row r="81" spans="1:15">
      <c r="A81" s="1891" t="s">
        <v>21</v>
      </c>
      <c r="B81" s="1889">
        <v>3.640423921271764</v>
      </c>
      <c r="C81" s="1890">
        <v>0.12324606927305579</v>
      </c>
      <c r="D81" s="1890">
        <v>0.12555316232621891</v>
      </c>
      <c r="E81" s="1889">
        <v>1169.6320282193481</v>
      </c>
      <c r="F81" s="1889">
        <v>174047.40423263769</v>
      </c>
      <c r="G81" s="1889">
        <v>1792.7358062074186</v>
      </c>
      <c r="H81" s="1889">
        <v>324691.21801665408</v>
      </c>
      <c r="I81" s="1889">
        <v>181.11492886592541</v>
      </c>
      <c r="J81" s="1889">
        <v>11.04798882609977</v>
      </c>
      <c r="K81" s="1889">
        <v>10.845715031655898</v>
      </c>
      <c r="L81" s="1889">
        <v>1434.3017337485103</v>
      </c>
      <c r="M81" s="1889">
        <v>389.16773056588994</v>
      </c>
      <c r="N81" s="1889">
        <v>129.82469083966811</v>
      </c>
      <c r="O81" s="1889">
        <v>35.882164470485151</v>
      </c>
    </row>
    <row r="82" spans="1:15">
      <c r="A82" s="1891" t="s">
        <v>22</v>
      </c>
      <c r="B82" s="1889">
        <v>3.6059550561797753</v>
      </c>
      <c r="C82" s="1890">
        <v>0.1229240079669067</v>
      </c>
      <c r="D82" s="1890">
        <v>0.12521328616761171</v>
      </c>
      <c r="E82" s="1889">
        <v>1163.6497117339281</v>
      </c>
      <c r="F82" s="1889">
        <v>161765.66912188541</v>
      </c>
      <c r="G82" s="1889">
        <v>1768.1636704119851</v>
      </c>
      <c r="H82" s="1889">
        <v>306539.74294007488</v>
      </c>
      <c r="I82" s="1889">
        <v>173.36615838773039</v>
      </c>
      <c r="J82" s="1889">
        <v>11.803725550278331</v>
      </c>
      <c r="K82" s="1889">
        <v>11.679667585704625</v>
      </c>
      <c r="L82" s="1889">
        <v>1087.2488719932589</v>
      </c>
      <c r="M82" s="1889">
        <v>399.70588487749046</v>
      </c>
      <c r="N82" s="1889">
        <v>92.1106533155222</v>
      </c>
      <c r="O82" s="1889">
        <v>34.222368226190966</v>
      </c>
    </row>
    <row r="83" spans="1:15">
      <c r="A83" s="1891" t="s">
        <v>23</v>
      </c>
      <c r="B83" s="1889">
        <v>3.5649278579356269</v>
      </c>
      <c r="C83" s="1890">
        <v>0.12312174179699478</v>
      </c>
      <c r="D83" s="1890">
        <v>0.12541649312786338</v>
      </c>
      <c r="E83" s="1889">
        <v>1141.7952857816269</v>
      </c>
      <c r="F83" s="1889">
        <v>161827.04573787161</v>
      </c>
      <c r="G83" s="1889">
        <v>1682.6703662597115</v>
      </c>
      <c r="H83" s="1889">
        <v>290526.46429892711</v>
      </c>
      <c r="I83" s="1889">
        <v>172.65797872504154</v>
      </c>
      <c r="J83" s="1889">
        <v>11.279323827046918</v>
      </c>
      <c r="K83" s="1889">
        <v>11.167130882965431</v>
      </c>
      <c r="L83" s="1889">
        <v>1149.7757461923745</v>
      </c>
      <c r="M83" s="1889">
        <v>440.10945960016659</v>
      </c>
      <c r="N83" s="1889">
        <v>101.93658448171371</v>
      </c>
      <c r="O83" s="1889">
        <v>39.411149042008503</v>
      </c>
    </row>
    <row r="84" spans="1:15">
      <c r="A84" s="1891" t="s">
        <v>24</v>
      </c>
      <c r="B84" s="1889">
        <v>3.591918063314711</v>
      </c>
      <c r="C84" s="1890">
        <v>0.12370989879295526</v>
      </c>
      <c r="D84" s="1890">
        <v>0.12604456642488401</v>
      </c>
      <c r="E84" s="1889">
        <v>1256.6415506824828</v>
      </c>
      <c r="F84" s="1889">
        <v>191869.33603192266</v>
      </c>
      <c r="G84" s="1889">
        <v>1798.2797020484172</v>
      </c>
      <c r="H84" s="1889">
        <v>340153.32104283053</v>
      </c>
      <c r="I84" s="1889">
        <v>189.15484652101813</v>
      </c>
      <c r="J84" s="1889">
        <v>11.877666465706334</v>
      </c>
      <c r="K84" s="1889">
        <v>11.73117689341959</v>
      </c>
      <c r="L84" s="1889">
        <v>1348.4449005246347</v>
      </c>
      <c r="M84" s="1889">
        <v>456.67029994118798</v>
      </c>
      <c r="N84" s="1889">
        <v>113.5277627485094</v>
      </c>
      <c r="O84" s="1889">
        <v>38.927918664098371</v>
      </c>
    </row>
    <row r="85" spans="1:15">
      <c r="A85" s="1891" t="s">
        <v>25</v>
      </c>
      <c r="B85" s="1889">
        <v>3.5693190229459657</v>
      </c>
      <c r="C85" s="1890">
        <v>0.12378293737887129</v>
      </c>
      <c r="D85" s="1890">
        <v>0.12617153771684239</v>
      </c>
      <c r="E85" s="1889">
        <v>1178.0817160867855</v>
      </c>
      <c r="F85" s="1889">
        <v>173087.27367799831</v>
      </c>
      <c r="G85" s="1889">
        <v>1604.2468541820874</v>
      </c>
      <c r="H85" s="1889">
        <v>289607.75582901557</v>
      </c>
      <c r="I85" s="1889">
        <v>180.52568099107776</v>
      </c>
      <c r="J85" s="1889">
        <v>11.328725629869213</v>
      </c>
      <c r="K85" s="1889">
        <v>11.171132159397159</v>
      </c>
      <c r="L85" s="1889">
        <v>1249.3194970030675</v>
      </c>
      <c r="M85" s="1889">
        <v>417.53196564535966</v>
      </c>
      <c r="N85" s="1889">
        <v>110.27890848632818</v>
      </c>
      <c r="O85" s="1889">
        <v>37.375975835549639</v>
      </c>
    </row>
    <row r="86" spans="1:15">
      <c r="A86" s="1891" t="s">
        <v>26</v>
      </c>
      <c r="B86" s="1889">
        <v>3.5707425193941633</v>
      </c>
      <c r="C86" s="1890">
        <v>0.12525592846961253</v>
      </c>
      <c r="D86" s="1890">
        <v>0.12770342577056717</v>
      </c>
      <c r="E86" s="1889">
        <v>1239.9703079715694</v>
      </c>
      <c r="F86" s="1889">
        <v>170415.01305843654</v>
      </c>
      <c r="G86" s="1889">
        <v>1718.3387513852974</v>
      </c>
      <c r="H86" s="1889">
        <v>287084.40360177314</v>
      </c>
      <c r="I86" s="1889">
        <v>167.07090110743897</v>
      </c>
      <c r="J86" s="1889">
        <v>11.173862900090709</v>
      </c>
      <c r="K86" s="1889">
        <v>11.024520748834075</v>
      </c>
      <c r="L86" s="1889">
        <v>1171.7612279383179</v>
      </c>
      <c r="M86" s="1889">
        <v>446.15268856270887</v>
      </c>
      <c r="N86" s="1889">
        <v>104.86626141876197</v>
      </c>
      <c r="O86" s="1889">
        <v>40.469123214257891</v>
      </c>
    </row>
    <row r="87" spans="1:15">
      <c r="A87" s="1891" t="s">
        <v>27</v>
      </c>
      <c r="B87" s="1889">
        <v>3.5693471043895242</v>
      </c>
      <c r="C87" s="1890">
        <v>0.12577990953049445</v>
      </c>
      <c r="D87" s="1890">
        <v>0.13</v>
      </c>
      <c r="E87" s="1889">
        <v>1301.9240595836673</v>
      </c>
      <c r="F87" s="1889">
        <v>180995.46927898558</v>
      </c>
      <c r="G87" s="1889">
        <v>1905.6090003688676</v>
      </c>
      <c r="H87" s="1889">
        <v>311765.85836591665</v>
      </c>
      <c r="I87" s="1889">
        <v>163.60431668068753</v>
      </c>
      <c r="J87" s="1889">
        <v>9.0165860760151819</v>
      </c>
      <c r="K87" s="1889">
        <v>8.8359549966207709</v>
      </c>
      <c r="L87" s="1889">
        <v>1219.4418171892059</v>
      </c>
      <c r="M87" s="1889">
        <v>437.1879842567684</v>
      </c>
      <c r="N87" s="1889">
        <v>135.24429389445032</v>
      </c>
      <c r="O87" s="1889">
        <v>49.47829458433943</v>
      </c>
    </row>
    <row r="88" spans="1:15">
      <c r="A88" s="1891" t="s">
        <v>28</v>
      </c>
      <c r="B88" s="1889">
        <v>3.5945454545454543</v>
      </c>
      <c r="C88" s="1890">
        <v>0.12711323973231858</v>
      </c>
      <c r="D88" s="1890">
        <v>0.12962546666131428</v>
      </c>
      <c r="E88" s="1889">
        <v>1210.2285024274543</v>
      </c>
      <c r="F88" s="1889">
        <v>171890.65074508902</v>
      </c>
      <c r="G88" s="1889">
        <v>1720.7135435992579</v>
      </c>
      <c r="H88" s="1889">
        <v>299381.13728756958</v>
      </c>
      <c r="I88" s="1889">
        <v>173.98662223657917</v>
      </c>
      <c r="J88" s="1889">
        <v>8.3753969295368069</v>
      </c>
      <c r="K88" s="1889">
        <v>8.2035111664191191</v>
      </c>
      <c r="L88" s="1889">
        <v>1036.3687434719852</v>
      </c>
      <c r="M88" s="1889">
        <v>412.92674762153263</v>
      </c>
      <c r="N88" s="1889">
        <v>123.73965702056591</v>
      </c>
      <c r="O88" s="1889">
        <v>50.335367289050403</v>
      </c>
    </row>
    <row r="89" spans="1:15">
      <c r="A89" s="1891" t="s">
        <v>29</v>
      </c>
      <c r="B89" s="1889">
        <v>3.5994060876020786</v>
      </c>
      <c r="C89" s="1890">
        <v>0.12075565684113522</v>
      </c>
      <c r="D89" s="1890">
        <v>0.1231152078413448</v>
      </c>
      <c r="E89" s="1889">
        <v>1380.1484054672724</v>
      </c>
      <c r="F89" s="1889">
        <v>220837.59770085494</v>
      </c>
      <c r="G89" s="1889">
        <v>2009.2995545657016</v>
      </c>
      <c r="H89" s="1889">
        <v>377509.94097995549</v>
      </c>
      <c r="I89" s="1889">
        <v>187.88136399181755</v>
      </c>
      <c r="J89" s="1889">
        <v>9.1392261615671035</v>
      </c>
      <c r="K89" s="1889">
        <v>8.8644270079479952</v>
      </c>
      <c r="L89" s="1889">
        <v>1578.3912030983424</v>
      </c>
      <c r="M89" s="1889">
        <v>482.48294863005003</v>
      </c>
      <c r="N89" s="1889">
        <v>172.7051257070211</v>
      </c>
      <c r="O89" s="1889">
        <v>54.429118565412928</v>
      </c>
    </row>
    <row r="90" spans="1:15">
      <c r="A90" s="1891" t="s">
        <v>1879</v>
      </c>
      <c r="B90" s="759">
        <f t="shared" ref="B90:O90" si="3">AVERAGE(B91:B102)</f>
        <v>3.8290000000000002</v>
      </c>
      <c r="C90" s="1892">
        <f t="shared" si="3"/>
        <v>0.13283333333333336</v>
      </c>
      <c r="D90" s="1892">
        <f t="shared" si="3"/>
        <v>0.13524999999999998</v>
      </c>
      <c r="E90" s="759">
        <f t="shared" si="3"/>
        <v>1296.1529166666667</v>
      </c>
      <c r="F90" s="759">
        <f t="shared" si="3"/>
        <v>198606.15858333334</v>
      </c>
      <c r="G90" s="759">
        <f t="shared" si="3"/>
        <v>1834.1011666666666</v>
      </c>
      <c r="H90" s="759">
        <f t="shared" si="3"/>
        <v>334941.72324999998</v>
      </c>
      <c r="I90" s="759">
        <f t="shared" si="3"/>
        <v>182.26774999999998</v>
      </c>
      <c r="J90" s="759">
        <f t="shared" si="3"/>
        <v>10.605333333333336</v>
      </c>
      <c r="K90" s="759">
        <f t="shared" si="3"/>
        <v>10.238</v>
      </c>
      <c r="L90" s="759">
        <f t="shared" si="3"/>
        <v>1488.9438333333335</v>
      </c>
      <c r="M90" s="759">
        <f t="shared" si="3"/>
        <v>612.09100000000001</v>
      </c>
      <c r="N90" s="759">
        <f t="shared" si="3"/>
        <v>144.07649999999998</v>
      </c>
      <c r="O90" s="759">
        <f t="shared" si="3"/>
        <v>60.560166666666653</v>
      </c>
    </row>
    <row r="91" spans="1:15">
      <c r="A91" s="1891">
        <v>1</v>
      </c>
      <c r="B91" s="1889">
        <v>3.75</v>
      </c>
      <c r="C91" s="1890">
        <v>0.124</v>
      </c>
      <c r="D91" s="1890">
        <v>0.126</v>
      </c>
      <c r="E91" s="1889">
        <v>1103.4290000000001</v>
      </c>
      <c r="F91" s="1889">
        <v>162628.766</v>
      </c>
      <c r="G91" s="1889">
        <v>1495.327</v>
      </c>
      <c r="H91" s="1889">
        <v>256221.932</v>
      </c>
      <c r="I91" s="1889">
        <v>171.34800000000001</v>
      </c>
      <c r="J91" s="1889">
        <v>8.7460000000000004</v>
      </c>
      <c r="K91" s="1889">
        <v>8.4359999999999999</v>
      </c>
      <c r="L91" s="1889">
        <v>1485.8989999999999</v>
      </c>
      <c r="M91" s="1889">
        <v>474.86500000000001</v>
      </c>
      <c r="N91" s="1889">
        <v>169.88499999999999</v>
      </c>
      <c r="O91" s="1889">
        <v>56.292000000000002</v>
      </c>
    </row>
    <row r="92" spans="1:15">
      <c r="A92" s="1891">
        <v>2</v>
      </c>
      <c r="B92" s="1889">
        <v>3.7690000000000001</v>
      </c>
      <c r="C92" s="1890">
        <v>0.126</v>
      </c>
      <c r="D92" s="1890">
        <v>0.128</v>
      </c>
      <c r="E92" s="1889">
        <v>1207.68</v>
      </c>
      <c r="F92" s="1889">
        <v>181998.27799999999</v>
      </c>
      <c r="G92" s="1889">
        <v>1741.0450000000001</v>
      </c>
      <c r="H92" s="1889">
        <v>312983.10100000002</v>
      </c>
      <c r="I92" s="1889">
        <v>179.767</v>
      </c>
      <c r="J92" s="1889">
        <v>7.3120000000000003</v>
      </c>
      <c r="K92" s="1889">
        <v>6.9619999999999997</v>
      </c>
      <c r="L92" s="1889">
        <v>1131.3810000000001</v>
      </c>
      <c r="M92" s="1889">
        <v>356.53300000000002</v>
      </c>
      <c r="N92" s="1889">
        <v>154.73599999999999</v>
      </c>
      <c r="O92" s="1889">
        <v>51.215000000000003</v>
      </c>
    </row>
    <row r="93" spans="1:15">
      <c r="A93" s="1891">
        <v>3</v>
      </c>
      <c r="B93" s="1889">
        <v>3.7759999999999998</v>
      </c>
      <c r="C93" s="1890">
        <v>0.128</v>
      </c>
      <c r="D93" s="1890">
        <v>0.13100000000000001</v>
      </c>
      <c r="E93" s="1889">
        <v>1347.675</v>
      </c>
      <c r="F93" s="1889">
        <v>201804.728</v>
      </c>
      <c r="G93" s="1889">
        <v>1941.462</v>
      </c>
      <c r="H93" s="1889">
        <v>347516.88299999997</v>
      </c>
      <c r="I93" s="1889">
        <v>178.99799999999999</v>
      </c>
      <c r="J93" s="1889">
        <v>8.5980000000000008</v>
      </c>
      <c r="K93" s="1889">
        <v>8.1780000000000008</v>
      </c>
      <c r="L93" s="1889">
        <v>1344.213</v>
      </c>
      <c r="M93" s="1889">
        <v>497.69</v>
      </c>
      <c r="N93" s="1889">
        <v>156.339</v>
      </c>
      <c r="O93" s="1889">
        <v>60.856999999999999</v>
      </c>
    </row>
    <row r="94" spans="1:15">
      <c r="A94" s="1891">
        <v>4</v>
      </c>
      <c r="B94" s="1889">
        <v>3.7890000000000001</v>
      </c>
      <c r="C94" s="1890">
        <v>0.13100000000000001</v>
      </c>
      <c r="D94" s="1890">
        <v>0.13400000000000001</v>
      </c>
      <c r="E94" s="1889">
        <v>1206.627</v>
      </c>
      <c r="F94" s="1889">
        <v>178426.39799999999</v>
      </c>
      <c r="G94" s="1889">
        <v>1741.8979999999999</v>
      </c>
      <c r="H94" s="1889">
        <v>311292.58899999998</v>
      </c>
      <c r="I94" s="1889">
        <v>178.709</v>
      </c>
      <c r="J94" s="1889">
        <v>10.712999999999999</v>
      </c>
      <c r="K94" s="1889">
        <v>10.394</v>
      </c>
      <c r="L94" s="1889">
        <v>1205.644</v>
      </c>
      <c r="M94" s="1889">
        <v>468.86700000000002</v>
      </c>
      <c r="N94" s="1889">
        <v>112.542</v>
      </c>
      <c r="O94" s="1889">
        <v>45.11</v>
      </c>
    </row>
    <row r="95" spans="1:15">
      <c r="A95" s="1891">
        <v>5</v>
      </c>
      <c r="B95" s="1889">
        <v>3.7629999999999999</v>
      </c>
      <c r="C95" s="1890">
        <v>0.13100000000000001</v>
      </c>
      <c r="D95" s="1890">
        <v>0.13400000000000001</v>
      </c>
      <c r="E95" s="1889">
        <v>1299.7629999999999</v>
      </c>
      <c r="F95" s="1889">
        <v>193638.60800000001</v>
      </c>
      <c r="G95" s="1889">
        <v>1854.3430000000001</v>
      </c>
      <c r="H95" s="1889">
        <v>332526.65600000002</v>
      </c>
      <c r="I95" s="1889">
        <v>179.32300000000001</v>
      </c>
      <c r="J95" s="1889">
        <v>11.503</v>
      </c>
      <c r="K95" s="1889">
        <v>11.238</v>
      </c>
      <c r="L95" s="1889">
        <v>1242.1569999999999</v>
      </c>
      <c r="M95" s="1889">
        <v>532.96</v>
      </c>
      <c r="N95" s="1889">
        <v>107.98699999999999</v>
      </c>
      <c r="O95" s="1889">
        <v>47.426000000000002</v>
      </c>
    </row>
    <row r="96" spans="1:15">
      <c r="A96" s="1891">
        <v>6</v>
      </c>
      <c r="B96" s="1889">
        <v>3.7360000000000002</v>
      </c>
      <c r="C96" s="1890">
        <v>0.13300000000000001</v>
      </c>
      <c r="D96" s="1890">
        <v>0.13600000000000001</v>
      </c>
      <c r="E96" s="1889">
        <v>1277.9659999999999</v>
      </c>
      <c r="F96" s="1889">
        <v>191344.38399999999</v>
      </c>
      <c r="G96" s="1889">
        <v>1785.9760000000001</v>
      </c>
      <c r="H96" s="1889">
        <v>322138.34600000002</v>
      </c>
      <c r="I96" s="1889">
        <v>180.37100000000001</v>
      </c>
      <c r="J96" s="1889">
        <v>9.5730000000000004</v>
      </c>
      <c r="K96" s="1889">
        <v>9.2840000000000007</v>
      </c>
      <c r="L96" s="1889">
        <v>1409.425</v>
      </c>
      <c r="M96" s="1889">
        <v>572.93799999999999</v>
      </c>
      <c r="N96" s="1889">
        <v>147.22200000000001</v>
      </c>
      <c r="O96" s="1889">
        <v>61.713000000000001</v>
      </c>
    </row>
    <row r="97" spans="1:15">
      <c r="A97" s="1891">
        <v>7</v>
      </c>
      <c r="B97" s="1889">
        <v>3.823</v>
      </c>
      <c r="C97" s="1890">
        <v>0.13800000000000001</v>
      </c>
      <c r="D97" s="1890">
        <v>0.14000000000000001</v>
      </c>
      <c r="E97" s="1889">
        <v>1294.028</v>
      </c>
      <c r="F97" s="1889">
        <v>212515.47399999999</v>
      </c>
      <c r="G97" s="1889">
        <v>1878.944</v>
      </c>
      <c r="H97" s="1889">
        <v>368425.70400000003</v>
      </c>
      <c r="I97" s="1889">
        <v>196.08099999999999</v>
      </c>
      <c r="J97" s="1889">
        <v>9.7469999999999999</v>
      </c>
      <c r="K97" s="1889">
        <v>9.3949999999999996</v>
      </c>
      <c r="L97" s="1889">
        <v>1487.8779999999999</v>
      </c>
      <c r="M97" s="1889">
        <v>594.27800000000002</v>
      </c>
      <c r="N97" s="1889">
        <v>152.64699999999999</v>
      </c>
      <c r="O97" s="1889">
        <v>63.253</v>
      </c>
    </row>
    <row r="98" spans="1:15">
      <c r="A98" s="1891">
        <v>8</v>
      </c>
      <c r="B98" s="1889">
        <v>3.81</v>
      </c>
      <c r="C98" s="1890">
        <v>0.13900000000000001</v>
      </c>
      <c r="D98" s="1890">
        <v>0.14099999999999999</v>
      </c>
      <c r="E98" s="1889">
        <v>1291.162</v>
      </c>
      <c r="F98" s="1889">
        <v>209195.66699999999</v>
      </c>
      <c r="G98" s="1889">
        <v>1711.28</v>
      </c>
      <c r="H98" s="1889">
        <v>323911.58299999998</v>
      </c>
      <c r="I98" s="1889">
        <v>189.28</v>
      </c>
      <c r="J98" s="1889">
        <v>10.513</v>
      </c>
      <c r="K98" s="1889">
        <v>10.093</v>
      </c>
      <c r="L98" s="1889">
        <v>1840.05</v>
      </c>
      <c r="M98" s="1889">
        <v>794.274</v>
      </c>
      <c r="N98" s="1889">
        <v>175.02199999999999</v>
      </c>
      <c r="O98" s="1889">
        <v>78.695999999999998</v>
      </c>
    </row>
    <row r="99" spans="1:15">
      <c r="A99" s="1891">
        <v>9</v>
      </c>
      <c r="B99" s="1889">
        <v>3.8159999999999998</v>
      </c>
      <c r="C99" s="1890">
        <v>0.13100000000000001</v>
      </c>
      <c r="D99" s="1890">
        <v>0.13300000000000001</v>
      </c>
      <c r="E99" s="1889">
        <v>1313.095</v>
      </c>
      <c r="F99" s="1889">
        <v>199899.74299999999</v>
      </c>
      <c r="G99" s="1889">
        <v>1798.067</v>
      </c>
      <c r="H99" s="1889">
        <v>318399.41100000002</v>
      </c>
      <c r="I99" s="1889">
        <v>177.07900000000001</v>
      </c>
      <c r="J99" s="1889">
        <v>9.1519999999999992</v>
      </c>
      <c r="K99" s="1889">
        <v>8.7050000000000001</v>
      </c>
      <c r="L99" s="1889">
        <v>1490.442</v>
      </c>
      <c r="M99" s="1889">
        <v>701.22199999999998</v>
      </c>
      <c r="N99" s="1889">
        <v>162.84700000000001</v>
      </c>
      <c r="O99" s="1889">
        <v>80.555000000000007</v>
      </c>
    </row>
    <row r="100" spans="1:15">
      <c r="A100" s="1891">
        <v>10</v>
      </c>
      <c r="B100" s="1889">
        <v>3.9790000000000001</v>
      </c>
      <c r="C100" s="1890">
        <v>0.14299999999999999</v>
      </c>
      <c r="D100" s="1890">
        <v>0.14599999999999999</v>
      </c>
      <c r="E100" s="1889">
        <v>1335.7</v>
      </c>
      <c r="F100" s="1889">
        <v>201335.45499999999</v>
      </c>
      <c r="G100" s="1889">
        <v>1950.133</v>
      </c>
      <c r="H100" s="1889">
        <v>348221.83600000001</v>
      </c>
      <c r="I100" s="1889">
        <v>178.56299999999999</v>
      </c>
      <c r="J100" s="1889">
        <v>10.132</v>
      </c>
      <c r="K100" s="1889">
        <v>9.7460000000000004</v>
      </c>
      <c r="L100" s="1889">
        <v>1601.5550000000001</v>
      </c>
      <c r="M100" s="1889">
        <v>732.27800000000002</v>
      </c>
      <c r="N100" s="1889">
        <v>158.06100000000001</v>
      </c>
      <c r="O100" s="1889">
        <v>75.135999999999996</v>
      </c>
    </row>
    <row r="101" spans="1:15">
      <c r="A101" s="1891">
        <v>11</v>
      </c>
      <c r="B101" s="1889">
        <v>3.97</v>
      </c>
      <c r="C101" s="1890">
        <v>0.13400000000000001</v>
      </c>
      <c r="D101" s="1890">
        <v>0.13600000000000001</v>
      </c>
      <c r="E101" s="1889">
        <v>1357.653</v>
      </c>
      <c r="F101" s="1889">
        <v>206130.19</v>
      </c>
      <c r="G101" s="1889">
        <v>1904.367</v>
      </c>
      <c r="H101" s="1889">
        <v>351055.43800000002</v>
      </c>
      <c r="I101" s="1889">
        <v>184.34200000000001</v>
      </c>
      <c r="J101" s="1889">
        <v>14.78</v>
      </c>
      <c r="K101" s="1889">
        <v>14.45</v>
      </c>
      <c r="L101" s="1889">
        <v>1655.5</v>
      </c>
      <c r="M101" s="1889">
        <v>773.64599999999996</v>
      </c>
      <c r="N101" s="1889">
        <v>112.00700000000001</v>
      </c>
      <c r="O101" s="1889">
        <v>53.539000000000001</v>
      </c>
    </row>
    <row r="102" spans="1:15">
      <c r="A102" s="1891" t="s">
        <v>29</v>
      </c>
      <c r="B102" s="1889">
        <v>3.9670000000000001</v>
      </c>
      <c r="C102" s="1890">
        <v>0.13600000000000001</v>
      </c>
      <c r="D102" s="1890">
        <v>0.13800000000000001</v>
      </c>
      <c r="E102" s="1889">
        <v>1519.057</v>
      </c>
      <c r="F102" s="1889">
        <v>244356.212</v>
      </c>
      <c r="G102" s="1889">
        <v>2206.3719999999998</v>
      </c>
      <c r="H102" s="1889">
        <v>426607.2</v>
      </c>
      <c r="I102" s="1889">
        <v>193.352</v>
      </c>
      <c r="J102" s="1889">
        <v>16.495000000000001</v>
      </c>
      <c r="K102" s="1889">
        <v>15.975</v>
      </c>
      <c r="L102" s="1889">
        <v>1973.182</v>
      </c>
      <c r="M102" s="1889">
        <v>845.54100000000005</v>
      </c>
      <c r="N102" s="1889">
        <v>119.623</v>
      </c>
      <c r="O102" s="1889">
        <v>52.93</v>
      </c>
    </row>
    <row r="103" spans="1:15">
      <c r="A103" s="1891" t="s">
        <v>1942</v>
      </c>
      <c r="B103" s="759">
        <f t="shared" ref="B103:O103" si="4">AVERAGE(B104:B115)</f>
        <v>3.9372499999999993</v>
      </c>
      <c r="C103" s="1892">
        <f t="shared" si="4"/>
        <v>0.14283333333333334</v>
      </c>
      <c r="D103" s="1892">
        <f t="shared" si="4"/>
        <v>0.14516666666666664</v>
      </c>
      <c r="E103" s="759">
        <f t="shared" si="4"/>
        <v>1444.23775</v>
      </c>
      <c r="F103" s="759">
        <f t="shared" si="4"/>
        <v>220371.14691666665</v>
      </c>
      <c r="G103" s="759">
        <f t="shared" si="4"/>
        <v>2053.6009166666668</v>
      </c>
      <c r="H103" s="759">
        <f t="shared" si="4"/>
        <v>389502.81058333331</v>
      </c>
      <c r="I103" s="759">
        <f t="shared" si="4"/>
        <v>189.29666666666665</v>
      </c>
      <c r="J103" s="759">
        <f t="shared" si="4"/>
        <v>13.943916666666667</v>
      </c>
      <c r="K103" s="759">
        <f t="shared" si="4"/>
        <v>13.700000000000001</v>
      </c>
      <c r="L103" s="759">
        <f t="shared" si="4"/>
        <v>1881.5759166666667</v>
      </c>
      <c r="M103" s="759">
        <f t="shared" si="4"/>
        <v>996.13966666666647</v>
      </c>
      <c r="N103" s="759">
        <f t="shared" si="4"/>
        <v>137.27808333333331</v>
      </c>
      <c r="O103" s="759">
        <f t="shared" si="4"/>
        <v>73.859083333333345</v>
      </c>
    </row>
    <row r="104" spans="1:15">
      <c r="A104" s="1891" t="s">
        <v>18</v>
      </c>
      <c r="B104" s="1889">
        <v>3.9569999999999999</v>
      </c>
      <c r="C104" s="1890">
        <v>0.13800000000000001</v>
      </c>
      <c r="D104" s="1890">
        <v>0.13900000000000001</v>
      </c>
      <c r="E104" s="1889">
        <v>1211.8489999999999</v>
      </c>
      <c r="F104" s="1889">
        <v>173630.18700000001</v>
      </c>
      <c r="G104" s="1889">
        <v>1592.9580000000001</v>
      </c>
      <c r="H104" s="1889">
        <v>286441.647</v>
      </c>
      <c r="I104" s="1889">
        <v>179.81700000000001</v>
      </c>
      <c r="J104" s="1889">
        <v>15.91</v>
      </c>
      <c r="K104" s="1889">
        <v>15.782999999999999</v>
      </c>
      <c r="L104" s="1889">
        <v>1432.768</v>
      </c>
      <c r="M104" s="1889">
        <v>811.50099999999998</v>
      </c>
      <c r="N104" s="1889">
        <v>90.052000000000007</v>
      </c>
      <c r="O104" s="1889">
        <v>51.414999999999999</v>
      </c>
    </row>
    <row r="105" spans="1:15">
      <c r="A105" s="1891" t="s">
        <v>19</v>
      </c>
      <c r="B105" s="1889">
        <v>3.9550000000000001</v>
      </c>
      <c r="C105" s="1890">
        <v>0.13800000000000001</v>
      </c>
      <c r="D105" s="1890">
        <v>0.14000000000000001</v>
      </c>
      <c r="E105" s="1889">
        <v>1320.4580000000001</v>
      </c>
      <c r="F105" s="1889">
        <v>205996.69699999999</v>
      </c>
      <c r="G105" s="1889">
        <v>1898.0409999999999</v>
      </c>
      <c r="H105" s="1889">
        <v>363793.19799999997</v>
      </c>
      <c r="I105" s="1889">
        <v>191.66800000000001</v>
      </c>
      <c r="J105" s="1889">
        <v>15.743</v>
      </c>
      <c r="K105" s="1889">
        <v>15.467000000000001</v>
      </c>
      <c r="L105" s="1889">
        <v>1627.3409999999999</v>
      </c>
      <c r="M105" s="1889">
        <v>864.28200000000004</v>
      </c>
      <c r="N105" s="1889">
        <v>103.367</v>
      </c>
      <c r="O105" s="1889">
        <v>55.878</v>
      </c>
    </row>
    <row r="106" spans="1:15">
      <c r="A106" s="1891" t="s">
        <v>20</v>
      </c>
      <c r="B106" s="1889">
        <v>3.9409999999999998</v>
      </c>
      <c r="C106" s="1890">
        <v>0.13800000000000001</v>
      </c>
      <c r="D106" s="1890">
        <v>0.14000000000000001</v>
      </c>
      <c r="E106" s="1889">
        <v>1543.8320000000001</v>
      </c>
      <c r="F106" s="1889">
        <v>238144.34599999999</v>
      </c>
      <c r="G106" s="1889">
        <v>2250.6419999999998</v>
      </c>
      <c r="H106" s="1889">
        <v>426296.71</v>
      </c>
      <c r="I106" s="1889">
        <v>189.411</v>
      </c>
      <c r="J106" s="1889">
        <v>18.391999999999999</v>
      </c>
      <c r="K106" s="1889">
        <v>18.048999999999999</v>
      </c>
      <c r="L106" s="1889">
        <v>1926.799</v>
      </c>
      <c r="M106" s="1889">
        <v>1039.317</v>
      </c>
      <c r="N106" s="1889">
        <v>104.765</v>
      </c>
      <c r="O106" s="1889">
        <v>57.582999999999998</v>
      </c>
    </row>
    <row r="107" spans="1:15">
      <c r="A107" s="1891" t="s">
        <v>21</v>
      </c>
      <c r="B107" s="1889">
        <v>3.9079999999999999</v>
      </c>
      <c r="C107" s="1890">
        <v>0.13900000000000001</v>
      </c>
      <c r="D107" s="1890">
        <v>0.14099999999999999</v>
      </c>
      <c r="E107" s="1889">
        <v>1340.1679999999999</v>
      </c>
      <c r="F107" s="1889">
        <v>200185.696</v>
      </c>
      <c r="G107" s="1889">
        <v>1903.81</v>
      </c>
      <c r="H107" s="1889">
        <v>355584.1</v>
      </c>
      <c r="I107" s="1889">
        <v>186.77500000000001</v>
      </c>
      <c r="J107" s="1889">
        <v>14.263</v>
      </c>
      <c r="K107" s="1889">
        <v>14.055999999999999</v>
      </c>
      <c r="L107" s="1889">
        <v>1678.508</v>
      </c>
      <c r="M107" s="1889">
        <v>874.96799999999996</v>
      </c>
      <c r="N107" s="1889">
        <v>117.68600000000001</v>
      </c>
      <c r="O107" s="1889">
        <v>62.25</v>
      </c>
    </row>
    <row r="108" spans="1:15">
      <c r="A108" s="1891" t="s">
        <v>22</v>
      </c>
      <c r="B108" s="1889">
        <v>3.9359999999999999</v>
      </c>
      <c r="C108" s="1890">
        <v>0.14000000000000001</v>
      </c>
      <c r="D108" s="1890">
        <v>0.14199999999999999</v>
      </c>
      <c r="E108" s="1889">
        <v>1501.8920000000001</v>
      </c>
      <c r="F108" s="1889">
        <v>222599.56200000001</v>
      </c>
      <c r="G108" s="1889">
        <v>2129.529</v>
      </c>
      <c r="H108" s="1889">
        <v>392693.02500000002</v>
      </c>
      <c r="I108" s="1889">
        <v>184.404</v>
      </c>
      <c r="J108" s="1889">
        <v>12.529</v>
      </c>
      <c r="K108" s="1889">
        <v>12.163</v>
      </c>
      <c r="L108" s="1889">
        <v>1966.61</v>
      </c>
      <c r="M108" s="1889">
        <v>909.70699999999999</v>
      </c>
      <c r="N108" s="1889">
        <v>156.96700000000001</v>
      </c>
      <c r="O108" s="1889">
        <v>74.790999999999997</v>
      </c>
    </row>
    <row r="109" spans="1:15">
      <c r="A109" s="1891" t="s">
        <v>23</v>
      </c>
      <c r="B109" s="1889">
        <v>3.8969999999999998</v>
      </c>
      <c r="C109" s="1890">
        <v>0.14000000000000001</v>
      </c>
      <c r="D109" s="1890">
        <v>0.14299999999999999</v>
      </c>
      <c r="E109" s="1889">
        <v>1484.202</v>
      </c>
      <c r="F109" s="1889">
        <v>228446.29199999999</v>
      </c>
      <c r="G109" s="1889">
        <v>2096.373</v>
      </c>
      <c r="H109" s="1889">
        <v>403745.52799999999</v>
      </c>
      <c r="I109" s="1889">
        <v>192.59200000000001</v>
      </c>
      <c r="J109" s="1889">
        <v>12.342000000000001</v>
      </c>
      <c r="K109" s="1889">
        <v>12.037000000000001</v>
      </c>
      <c r="L109" s="1889">
        <v>1737.702</v>
      </c>
      <c r="M109" s="1889">
        <v>841.48599999999999</v>
      </c>
      <c r="N109" s="1889">
        <v>140.79900000000001</v>
      </c>
      <c r="O109" s="1889">
        <v>69.911000000000001</v>
      </c>
    </row>
    <row r="110" spans="1:15">
      <c r="A110" s="1891" t="s">
        <v>24</v>
      </c>
      <c r="B110" s="1889">
        <v>3.8929999999999998</v>
      </c>
      <c r="C110" s="1890">
        <v>0.14199999999999999</v>
      </c>
      <c r="D110" s="1890">
        <v>0.14399999999999999</v>
      </c>
      <c r="E110" s="1889">
        <v>1459.92</v>
      </c>
      <c r="F110" s="1889">
        <v>230705.742</v>
      </c>
      <c r="G110" s="1889">
        <v>2028.885</v>
      </c>
      <c r="H110" s="1889">
        <v>402915.03899999999</v>
      </c>
      <c r="I110" s="1889">
        <v>198.589</v>
      </c>
      <c r="J110" s="1889">
        <v>12.151999999999999</v>
      </c>
      <c r="K110" s="1889">
        <v>11.898</v>
      </c>
      <c r="L110" s="1889">
        <v>1778.818</v>
      </c>
      <c r="M110" s="1889">
        <v>937.08900000000006</v>
      </c>
      <c r="N110" s="1889">
        <v>146.376</v>
      </c>
      <c r="O110" s="1889">
        <v>78.757000000000005</v>
      </c>
    </row>
    <row r="111" spans="1:15">
      <c r="A111" s="1891" t="s">
        <v>25</v>
      </c>
      <c r="B111" s="1889">
        <v>3.9119999999999999</v>
      </c>
      <c r="C111" s="1890">
        <v>0.14399999999999999</v>
      </c>
      <c r="D111" s="1890">
        <v>0.14599999999999999</v>
      </c>
      <c r="E111" s="1889">
        <v>1451.4290000000001</v>
      </c>
      <c r="F111" s="1889">
        <v>222844.69099999999</v>
      </c>
      <c r="G111" s="1889">
        <v>1978.182</v>
      </c>
      <c r="H111" s="1889">
        <v>374513.821</v>
      </c>
      <c r="I111" s="1889">
        <v>189.322</v>
      </c>
      <c r="J111" s="1889">
        <v>12.853999999999999</v>
      </c>
      <c r="K111" s="1889">
        <v>12.614000000000001</v>
      </c>
      <c r="L111" s="1889">
        <v>1872.3889999999999</v>
      </c>
      <c r="M111" s="1889">
        <v>1025.095</v>
      </c>
      <c r="N111" s="1889">
        <v>145.66200000000001</v>
      </c>
      <c r="O111" s="1889">
        <v>81.268000000000001</v>
      </c>
    </row>
    <row r="112" spans="1:15">
      <c r="A112" s="1891" t="s">
        <v>26</v>
      </c>
      <c r="B112" s="1889">
        <v>3.93</v>
      </c>
      <c r="C112" s="1890">
        <v>0.14599999999999999</v>
      </c>
      <c r="D112" s="1890">
        <v>0.14799999999999999</v>
      </c>
      <c r="E112" s="1889">
        <v>1403.444</v>
      </c>
      <c r="F112" s="1889">
        <v>208917.43299999999</v>
      </c>
      <c r="G112" s="1889">
        <v>2012.317</v>
      </c>
      <c r="H112" s="1889">
        <v>367295.45500000002</v>
      </c>
      <c r="I112" s="1889">
        <v>182.524</v>
      </c>
      <c r="J112" s="1889">
        <v>11.869</v>
      </c>
      <c r="K112" s="1889">
        <v>11.667999999999999</v>
      </c>
      <c r="L112" s="1889">
        <v>1810.7750000000001</v>
      </c>
      <c r="M112" s="1889">
        <v>973.18499999999995</v>
      </c>
      <c r="N112" s="1889">
        <v>152.56200000000001</v>
      </c>
      <c r="O112" s="1889">
        <v>83.406999999999996</v>
      </c>
    </row>
    <row r="113" spans="1:15">
      <c r="A113" s="1891">
        <v>10</v>
      </c>
      <c r="B113" s="1889">
        <v>3.9249999999999998</v>
      </c>
      <c r="C113" s="1890">
        <v>0.14899999999999999</v>
      </c>
      <c r="D113" s="1890">
        <v>0.152</v>
      </c>
      <c r="E113" s="1889">
        <v>1527.3779999999999</v>
      </c>
      <c r="F113" s="1889">
        <v>225006.02299999999</v>
      </c>
      <c r="G113" s="1889">
        <v>2173.6860000000001</v>
      </c>
      <c r="H113" s="1889">
        <v>399596.701</v>
      </c>
      <c r="I113" s="1889">
        <v>183.834</v>
      </c>
      <c r="J113" s="1889">
        <v>13.36</v>
      </c>
      <c r="K113" s="1889">
        <v>13.167</v>
      </c>
      <c r="L113" s="1889">
        <v>2090.4609999999998</v>
      </c>
      <c r="M113" s="1889">
        <v>1165.837</v>
      </c>
      <c r="N113" s="1889">
        <v>156.47399999999999</v>
      </c>
      <c r="O113" s="1889">
        <v>88.545000000000002</v>
      </c>
    </row>
    <row r="114" spans="1:15">
      <c r="A114" s="1891">
        <v>11</v>
      </c>
      <c r="B114" s="1889">
        <v>3.9740000000000002</v>
      </c>
      <c r="C114" s="1890">
        <v>0.14899999999999999</v>
      </c>
      <c r="D114" s="1890">
        <v>0.153</v>
      </c>
      <c r="E114" s="1889">
        <v>1462.7070000000001</v>
      </c>
      <c r="F114" s="1889">
        <v>220558.77</v>
      </c>
      <c r="G114" s="1889">
        <v>2097.1149999999998</v>
      </c>
      <c r="H114" s="1889">
        <v>399217.89</v>
      </c>
      <c r="I114" s="1889">
        <v>190.36500000000001</v>
      </c>
      <c r="J114" s="1889">
        <v>13.352</v>
      </c>
      <c r="K114" s="1889">
        <v>13.19</v>
      </c>
      <c r="L114" s="1889">
        <v>2061.8029999999999</v>
      </c>
      <c r="M114" s="1889">
        <v>1180.364</v>
      </c>
      <c r="N114" s="1889">
        <v>154.41800000000001</v>
      </c>
      <c r="O114" s="1889">
        <v>89.488</v>
      </c>
    </row>
    <row r="115" spans="1:15">
      <c r="A115" s="1891" t="s">
        <v>29</v>
      </c>
      <c r="B115" s="1889">
        <v>4.0190000000000001</v>
      </c>
      <c r="C115" s="1890">
        <v>0.151</v>
      </c>
      <c r="D115" s="1890">
        <v>0.154</v>
      </c>
      <c r="E115" s="1889">
        <v>1623.5740000000001</v>
      </c>
      <c r="F115" s="1889">
        <v>267418.32400000002</v>
      </c>
      <c r="G115" s="1889">
        <v>2481.6729999999998</v>
      </c>
      <c r="H115" s="1889">
        <v>501940.61300000001</v>
      </c>
      <c r="I115" s="1889">
        <v>202.25899999999999</v>
      </c>
      <c r="J115" s="1889">
        <v>14.561</v>
      </c>
      <c r="K115" s="1889">
        <v>14.308</v>
      </c>
      <c r="L115" s="1889">
        <v>2594.9369999999999</v>
      </c>
      <c r="M115" s="1889">
        <v>1330.845</v>
      </c>
      <c r="N115" s="1889">
        <v>178.209</v>
      </c>
      <c r="O115" s="1889">
        <v>93.016000000000005</v>
      </c>
    </row>
    <row r="116" spans="1:15">
      <c r="A116" s="1891" t="s">
        <v>2078</v>
      </c>
      <c r="B116" s="759">
        <f t="shared" ref="B116:O116" si="5">AVERAGE(B117:B128)</f>
        <v>3.9459166666666672</v>
      </c>
      <c r="C116" s="1892">
        <f t="shared" si="5"/>
        <v>0.15058333333333329</v>
      </c>
      <c r="D116" s="1892">
        <f t="shared" si="5"/>
        <v>0.15441666666666662</v>
      </c>
      <c r="E116" s="759">
        <f t="shared" si="5"/>
        <v>1573.7892499999998</v>
      </c>
      <c r="F116" s="759">
        <f t="shared" si="5"/>
        <v>240445.39141666668</v>
      </c>
      <c r="G116" s="759">
        <f t="shared" si="5"/>
        <v>2237.7081666666668</v>
      </c>
      <c r="H116" s="759">
        <f t="shared" si="5"/>
        <v>440648.23275000014</v>
      </c>
      <c r="I116" s="759">
        <f t="shared" si="5"/>
        <v>196.60683333333336</v>
      </c>
      <c r="J116" s="759">
        <f t="shared" si="5"/>
        <v>19.06175</v>
      </c>
      <c r="K116" s="759">
        <f t="shared" si="5"/>
        <v>19.070583333333335</v>
      </c>
      <c r="L116" s="759">
        <f t="shared" si="5"/>
        <v>2478.6122499999997</v>
      </c>
      <c r="M116" s="759">
        <f t="shared" si="5"/>
        <v>1448.0604999999998</v>
      </c>
      <c r="N116" s="759">
        <f t="shared" si="5"/>
        <v>132.44591666666665</v>
      </c>
      <c r="O116" s="759">
        <f t="shared" si="5"/>
        <v>76.801500000000004</v>
      </c>
    </row>
    <row r="117" spans="1:15">
      <c r="A117" s="1891" t="s">
        <v>18</v>
      </c>
      <c r="B117" s="1889">
        <v>4.0060000000000002</v>
      </c>
      <c r="C117" s="1889">
        <v>0.151</v>
      </c>
      <c r="D117" s="1889">
        <v>0.155</v>
      </c>
      <c r="E117" s="1889">
        <v>1389.2159999999999</v>
      </c>
      <c r="F117" s="1889">
        <v>197114.17600000001</v>
      </c>
      <c r="G117" s="1889">
        <v>1837.674</v>
      </c>
      <c r="H117" s="1889">
        <v>341547.28200000001</v>
      </c>
      <c r="I117" s="1889">
        <v>185.858</v>
      </c>
      <c r="J117" s="1889">
        <v>14.929</v>
      </c>
      <c r="K117" s="1889">
        <v>14.835000000000001</v>
      </c>
      <c r="L117" s="1889">
        <v>1955.32</v>
      </c>
      <c r="M117" s="1889">
        <v>1189.1790000000001</v>
      </c>
      <c r="N117" s="1889">
        <v>130.97300000000001</v>
      </c>
      <c r="O117" s="1889">
        <v>80.162000000000006</v>
      </c>
    </row>
    <row r="118" spans="1:15">
      <c r="A118" s="1891" t="s">
        <v>19</v>
      </c>
      <c r="B118" s="1889">
        <v>3.996</v>
      </c>
      <c r="C118" s="1890">
        <v>0.151</v>
      </c>
      <c r="D118" s="1890">
        <v>0.155</v>
      </c>
      <c r="E118" s="1889">
        <v>1432.037</v>
      </c>
      <c r="F118" s="1889">
        <v>226208.546</v>
      </c>
      <c r="G118" s="1889">
        <v>2088.4259999999999</v>
      </c>
      <c r="H118" s="1889">
        <v>407448.02399999998</v>
      </c>
      <c r="I118" s="1889">
        <v>195.09800000000001</v>
      </c>
      <c r="J118" s="1889">
        <v>13.638</v>
      </c>
      <c r="K118" s="1889">
        <v>13.467000000000001</v>
      </c>
      <c r="L118" s="1889">
        <v>2487.3939999999998</v>
      </c>
      <c r="M118" s="1889">
        <v>1145.4369999999999</v>
      </c>
      <c r="N118" s="1889">
        <v>182.38300000000001</v>
      </c>
      <c r="O118" s="1889">
        <v>85.054000000000002</v>
      </c>
    </row>
    <row r="119" spans="1:15">
      <c r="A119" s="1891" t="s">
        <v>20</v>
      </c>
      <c r="B119" s="1889">
        <v>3.9790000000000001</v>
      </c>
      <c r="C119" s="1890">
        <v>0.152</v>
      </c>
      <c r="D119" s="1890">
        <v>0.155</v>
      </c>
      <c r="E119" s="1889">
        <v>1676.2950000000001</v>
      </c>
      <c r="F119" s="1889">
        <v>256279.264</v>
      </c>
      <c r="G119" s="1889">
        <v>2468.5630000000001</v>
      </c>
      <c r="H119" s="1889">
        <v>476644.35200000001</v>
      </c>
      <c r="I119" s="1889">
        <v>193.08600000000001</v>
      </c>
      <c r="J119" s="1889">
        <v>16.379000000000001</v>
      </c>
      <c r="K119" s="1889">
        <v>16.204000000000001</v>
      </c>
      <c r="L119" s="1889">
        <v>2305.0189999999998</v>
      </c>
      <c r="M119" s="1889">
        <v>1404.1569999999999</v>
      </c>
      <c r="N119" s="1889">
        <v>140.72999999999999</v>
      </c>
      <c r="O119" s="1889">
        <v>86.653999999999996</v>
      </c>
    </row>
    <row r="120" spans="1:15">
      <c r="A120" s="1891" t="s">
        <v>21</v>
      </c>
      <c r="B120" s="1889">
        <v>3.9620000000000002</v>
      </c>
      <c r="C120" s="1890">
        <v>0.151</v>
      </c>
      <c r="D120" s="1890">
        <v>0.155</v>
      </c>
      <c r="E120" s="1889">
        <v>1478.2349999999999</v>
      </c>
      <c r="F120" s="1889">
        <v>227477.15</v>
      </c>
      <c r="G120" s="1889">
        <v>2083.2510000000002</v>
      </c>
      <c r="H120" s="1889">
        <v>411027.05800000002</v>
      </c>
      <c r="I120" s="1889">
        <v>197.30099999999999</v>
      </c>
      <c r="J120" s="1889">
        <v>15.776</v>
      </c>
      <c r="K120" s="1889">
        <v>15.653</v>
      </c>
      <c r="L120" s="1889">
        <v>2375.6089999999999</v>
      </c>
      <c r="M120" s="1889">
        <v>1306.04</v>
      </c>
      <c r="N120" s="1889">
        <v>150.58600000000001</v>
      </c>
      <c r="O120" s="1889">
        <v>83.435000000000002</v>
      </c>
    </row>
    <row r="121" spans="1:15">
      <c r="A121" s="1891" t="s">
        <v>22</v>
      </c>
      <c r="B121" s="1889">
        <v>3.9580000000000002</v>
      </c>
      <c r="C121" s="1890">
        <v>0.151</v>
      </c>
      <c r="D121" s="1890">
        <v>0.154</v>
      </c>
      <c r="E121" s="1889">
        <v>1618.038</v>
      </c>
      <c r="F121" s="1889">
        <v>245261.913</v>
      </c>
      <c r="G121" s="1889">
        <v>2304.8240000000001</v>
      </c>
      <c r="H121" s="1889">
        <v>450194.20600000001</v>
      </c>
      <c r="I121" s="1889">
        <v>195.327</v>
      </c>
      <c r="J121" s="1889">
        <v>18.617000000000001</v>
      </c>
      <c r="K121" s="1889">
        <v>18.565999999999999</v>
      </c>
      <c r="L121" s="1889">
        <v>2407.9180000000001</v>
      </c>
      <c r="M121" s="1889">
        <v>1427.6310000000001</v>
      </c>
      <c r="N121" s="1889">
        <v>129.34</v>
      </c>
      <c r="O121" s="1889">
        <v>76.894000000000005</v>
      </c>
    </row>
    <row r="122" spans="1:15">
      <c r="A122" s="1891" t="s">
        <v>23</v>
      </c>
      <c r="B122" s="1889">
        <v>3.94</v>
      </c>
      <c r="C122" s="1890">
        <v>0.151</v>
      </c>
      <c r="D122" s="1890">
        <v>0.155</v>
      </c>
      <c r="E122" s="1889">
        <v>1532.479</v>
      </c>
      <c r="F122" s="1889">
        <v>231149.95699999999</v>
      </c>
      <c r="G122" s="1889">
        <v>2160.2669999999998</v>
      </c>
      <c r="H122" s="1889">
        <v>425610.391</v>
      </c>
      <c r="I122" s="1889">
        <v>197.017</v>
      </c>
      <c r="J122" s="1889">
        <v>18.384</v>
      </c>
      <c r="K122" s="1889">
        <v>18.323</v>
      </c>
      <c r="L122" s="1889">
        <v>2235.248</v>
      </c>
      <c r="M122" s="1889">
        <v>1331.557</v>
      </c>
      <c r="N122" s="1889">
        <v>121.58499999999999</v>
      </c>
      <c r="O122" s="1889">
        <v>72.67</v>
      </c>
    </row>
    <row r="123" spans="1:15">
      <c r="A123" s="1891" t="s">
        <v>24</v>
      </c>
      <c r="B123" s="1889">
        <v>3.948</v>
      </c>
      <c r="C123" s="1890">
        <v>0.15</v>
      </c>
      <c r="D123" s="1890">
        <v>0.154</v>
      </c>
      <c r="E123" s="1889">
        <v>1667.4</v>
      </c>
      <c r="F123" s="1889">
        <v>265186.56900000002</v>
      </c>
      <c r="G123" s="1889">
        <v>2343.0120000000002</v>
      </c>
      <c r="H123" s="1889">
        <v>488675.91600000003</v>
      </c>
      <c r="I123" s="1889">
        <v>208.56700000000001</v>
      </c>
      <c r="J123" s="1889">
        <v>20.591000000000001</v>
      </c>
      <c r="K123" s="1889">
        <v>20.596</v>
      </c>
      <c r="L123" s="1889">
        <v>2523.0059999999999</v>
      </c>
      <c r="M123" s="1889">
        <v>1550.502</v>
      </c>
      <c r="N123" s="1889">
        <v>122.529</v>
      </c>
      <c r="O123" s="1889">
        <v>75.281999999999996</v>
      </c>
    </row>
    <row r="124" spans="1:15">
      <c r="A124" s="1891" t="s">
        <v>25</v>
      </c>
      <c r="B124" s="1889">
        <v>3.944</v>
      </c>
      <c r="C124" s="1890">
        <v>0.15</v>
      </c>
      <c r="D124" s="1890">
        <v>0.154</v>
      </c>
      <c r="E124" s="1889">
        <v>1566.2539999999999</v>
      </c>
      <c r="F124" s="1889">
        <v>244118.049</v>
      </c>
      <c r="G124" s="1889">
        <v>2156.6799999999998</v>
      </c>
      <c r="H124" s="1889">
        <v>431547.69699999999</v>
      </c>
      <c r="I124" s="1889">
        <v>200.09800000000001</v>
      </c>
      <c r="J124" s="1889">
        <v>19.794</v>
      </c>
      <c r="K124" s="1889">
        <v>19.798999999999999</v>
      </c>
      <c r="L124" s="1889">
        <v>2585.3710000000001</v>
      </c>
      <c r="M124" s="1889">
        <v>1481.41</v>
      </c>
      <c r="N124" s="1889">
        <v>130.61099999999999</v>
      </c>
      <c r="O124" s="1889">
        <v>74.822999999999993</v>
      </c>
    </row>
    <row r="125" spans="1:15">
      <c r="A125" s="1891" t="s">
        <v>26</v>
      </c>
      <c r="B125" s="1889">
        <v>3.9180000000000001</v>
      </c>
      <c r="C125" s="1890">
        <v>0.15</v>
      </c>
      <c r="D125" s="1890">
        <v>0.154</v>
      </c>
      <c r="E125" s="1889">
        <v>1488</v>
      </c>
      <c r="F125" s="1889">
        <v>222287.299</v>
      </c>
      <c r="G125" s="1889">
        <v>2169.83</v>
      </c>
      <c r="H125" s="1889">
        <v>412033.967</v>
      </c>
      <c r="I125" s="1889">
        <v>189.892</v>
      </c>
      <c r="J125" s="1889">
        <v>18.844000000000001</v>
      </c>
      <c r="K125" s="1889">
        <v>18.952999999999999</v>
      </c>
      <c r="L125" s="1889">
        <v>2386.5459999999998</v>
      </c>
      <c r="M125" s="1889">
        <v>1383.7650000000001</v>
      </c>
      <c r="N125" s="1889">
        <v>126.648</v>
      </c>
      <c r="O125" s="1889">
        <v>73.009</v>
      </c>
    </row>
    <row r="126" spans="1:15">
      <c r="A126" s="1891" t="s">
        <v>27</v>
      </c>
      <c r="B126" s="1889">
        <v>3.9009999999999998</v>
      </c>
      <c r="C126" s="1890">
        <v>0.15</v>
      </c>
      <c r="D126" s="1890">
        <v>0.154</v>
      </c>
      <c r="E126" s="1889">
        <v>1660.2339999999999</v>
      </c>
      <c r="F126" s="1889">
        <v>247291.16399999999</v>
      </c>
      <c r="G126" s="1889">
        <v>2344.5770000000002</v>
      </c>
      <c r="H126" s="1889">
        <v>453211.68</v>
      </c>
      <c r="I126" s="1889">
        <v>193.30199999999999</v>
      </c>
      <c r="J126" s="1889">
        <v>23.042999999999999</v>
      </c>
      <c r="K126" s="1889">
        <v>23.254000000000001</v>
      </c>
      <c r="L126" s="1889">
        <v>2782.0059999999999</v>
      </c>
      <c r="M126" s="1889">
        <v>1697.8030000000001</v>
      </c>
      <c r="N126" s="1889">
        <v>120.732</v>
      </c>
      <c r="O126" s="1889">
        <v>73.010000000000005</v>
      </c>
    </row>
    <row r="127" spans="1:15">
      <c r="A127" s="1891" t="s">
        <v>28</v>
      </c>
      <c r="B127" s="1889">
        <v>3.907</v>
      </c>
      <c r="C127" s="1890">
        <v>0.15</v>
      </c>
      <c r="D127" s="1890">
        <v>0.154</v>
      </c>
      <c r="E127" s="1889">
        <v>1602.375</v>
      </c>
      <c r="F127" s="1889">
        <v>240804.49400000001</v>
      </c>
      <c r="G127" s="1889">
        <v>2267.9830000000002</v>
      </c>
      <c r="H127" s="1889">
        <v>447646.03600000002</v>
      </c>
      <c r="I127" s="1889">
        <v>197.376</v>
      </c>
      <c r="J127" s="1889">
        <v>22.795999999999999</v>
      </c>
      <c r="K127" s="1889">
        <v>23.027999999999999</v>
      </c>
      <c r="L127" s="1889">
        <v>2547.9949999999999</v>
      </c>
      <c r="M127" s="1889">
        <v>1618.527</v>
      </c>
      <c r="N127" s="1889">
        <v>111.773</v>
      </c>
      <c r="O127" s="1889">
        <v>70.284999999999997</v>
      </c>
    </row>
    <row r="128" spans="1:15">
      <c r="A128" s="1891" t="s">
        <v>29</v>
      </c>
      <c r="B128" s="1889">
        <v>3.8919999999999999</v>
      </c>
      <c r="C128" s="1890">
        <v>0.15</v>
      </c>
      <c r="D128" s="1890">
        <v>0.154</v>
      </c>
      <c r="E128" s="1889">
        <v>1774.9079999999999</v>
      </c>
      <c r="F128" s="1889">
        <v>282166.11599999998</v>
      </c>
      <c r="G128" s="1889">
        <v>2627.4110000000001</v>
      </c>
      <c r="H128" s="1889">
        <v>542192.18400000001</v>
      </c>
      <c r="I128" s="1889">
        <v>206.36</v>
      </c>
      <c r="J128" s="1889">
        <v>25.95</v>
      </c>
      <c r="K128" s="1889">
        <v>26.169</v>
      </c>
      <c r="L128" s="1889">
        <v>3151.915</v>
      </c>
      <c r="M128" s="1889">
        <v>1840.7180000000001</v>
      </c>
      <c r="N128" s="1889">
        <v>121.461</v>
      </c>
      <c r="O128" s="1889">
        <v>70.34</v>
      </c>
    </row>
    <row r="129" spans="1:15">
      <c r="A129" s="1891" t="s">
        <v>2171</v>
      </c>
      <c r="B129" s="759">
        <f t="shared" ref="B129:O129" si="6">AVERAGE(B130:B141)</f>
        <v>3.7999166666666668</v>
      </c>
      <c r="C129" s="1892">
        <f t="shared" si="6"/>
        <v>0.15208333333333332</v>
      </c>
      <c r="D129" s="1892">
        <f t="shared" si="6"/>
        <v>0.15591666666666665</v>
      </c>
      <c r="E129" s="759">
        <f t="shared" si="6"/>
        <v>1887.2369166666665</v>
      </c>
      <c r="F129" s="759">
        <f t="shared" si="6"/>
        <v>274370.27283333335</v>
      </c>
      <c r="G129" s="759">
        <f t="shared" si="6"/>
        <v>2415.265166666667</v>
      </c>
      <c r="H129" s="759">
        <f t="shared" si="6"/>
        <v>525390.98608333326</v>
      </c>
      <c r="I129" s="759">
        <f t="shared" si="6"/>
        <v>216.54016666666666</v>
      </c>
      <c r="J129" s="759">
        <f t="shared" si="6"/>
        <v>32.530416666666667</v>
      </c>
      <c r="K129" s="759">
        <f t="shared" si="6"/>
        <v>32.978833333333334</v>
      </c>
      <c r="L129" s="759">
        <f t="shared" si="6"/>
        <v>2948.6278333333339</v>
      </c>
      <c r="M129" s="759">
        <f t="shared" si="6"/>
        <v>1732.7346666666665</v>
      </c>
      <c r="N129" s="759">
        <f t="shared" si="6"/>
        <v>91.575749999999985</v>
      </c>
      <c r="O129" s="759">
        <f t="shared" si="6"/>
        <v>53.417916666666663</v>
      </c>
    </row>
    <row r="130" spans="1:15">
      <c r="A130" s="1891" t="s">
        <v>18</v>
      </c>
      <c r="B130" s="1889">
        <v>3.8809999999999998</v>
      </c>
      <c r="C130" s="1890">
        <v>0.15</v>
      </c>
      <c r="D130" s="1890">
        <v>0.154</v>
      </c>
      <c r="E130" s="1889">
        <v>1594.6949999999999</v>
      </c>
      <c r="F130" s="1889">
        <v>219634.41699999999</v>
      </c>
      <c r="G130" s="1889">
        <v>1995.47</v>
      </c>
      <c r="H130" s="1889">
        <v>388792.80900000001</v>
      </c>
      <c r="I130" s="1889">
        <v>194.83799999999999</v>
      </c>
      <c r="J130" s="1889">
        <v>28.152999999999999</v>
      </c>
      <c r="K130" s="1889">
        <v>28.585000000000001</v>
      </c>
      <c r="L130" s="1889">
        <v>2513.1170000000002</v>
      </c>
      <c r="M130" s="1889">
        <v>1660.403</v>
      </c>
      <c r="N130" s="1889">
        <v>89.268000000000001</v>
      </c>
      <c r="O130" s="1889">
        <v>58.087000000000003</v>
      </c>
    </row>
    <row r="131" spans="1:15">
      <c r="A131" s="1891" t="s">
        <v>19</v>
      </c>
      <c r="B131" s="1889">
        <v>3.8639999999999999</v>
      </c>
      <c r="C131" s="1890">
        <v>0.15</v>
      </c>
      <c r="D131" s="1890">
        <v>0.154</v>
      </c>
      <c r="E131" s="1889">
        <v>1603.808</v>
      </c>
      <c r="F131" s="1889">
        <v>232530.21</v>
      </c>
      <c r="G131" s="1889">
        <v>2177.134</v>
      </c>
      <c r="H131" s="1889">
        <v>437756.97600000002</v>
      </c>
      <c r="I131" s="1889">
        <v>201.07</v>
      </c>
      <c r="J131" s="1889">
        <v>21.716000000000001</v>
      </c>
      <c r="K131" s="1889">
        <v>21.96</v>
      </c>
      <c r="L131" s="1889">
        <v>2325.4490000000001</v>
      </c>
      <c r="M131" s="1889">
        <v>1432.3240000000001</v>
      </c>
      <c r="N131" s="1889">
        <v>107.083</v>
      </c>
      <c r="O131" s="1889">
        <v>65.224000000000004</v>
      </c>
    </row>
    <row r="132" spans="1:15">
      <c r="A132" s="1891" t="s">
        <v>20</v>
      </c>
      <c r="B132" s="1889">
        <v>3.8519999999999999</v>
      </c>
      <c r="C132" s="1890">
        <v>0.15</v>
      </c>
      <c r="D132" s="1890">
        <v>0.153</v>
      </c>
      <c r="E132" s="1889">
        <v>1842.2180000000001</v>
      </c>
      <c r="F132" s="1889">
        <v>267287.11499999999</v>
      </c>
      <c r="G132" s="1889">
        <v>2491.357</v>
      </c>
      <c r="H132" s="1889">
        <v>505283.93300000002</v>
      </c>
      <c r="I132" s="1889">
        <v>202.815</v>
      </c>
      <c r="J132" s="1889">
        <v>26.48</v>
      </c>
      <c r="K132" s="1889">
        <v>26.786000000000001</v>
      </c>
      <c r="L132" s="1889">
        <v>2616.4369999999999</v>
      </c>
      <c r="M132" s="1889">
        <v>1728.5219999999999</v>
      </c>
      <c r="N132" s="1889">
        <v>98.808000000000007</v>
      </c>
      <c r="O132" s="1889">
        <v>64.53</v>
      </c>
    </row>
    <row r="133" spans="1:15">
      <c r="A133" s="1891" t="s">
        <v>21</v>
      </c>
      <c r="B133" s="1889">
        <v>3.8380000000000001</v>
      </c>
      <c r="C133" s="1890">
        <v>0.15</v>
      </c>
      <c r="D133" s="1890">
        <v>0.154</v>
      </c>
      <c r="E133" s="1889">
        <v>1816.308</v>
      </c>
      <c r="F133" s="1889">
        <v>260743.65299999999</v>
      </c>
      <c r="G133" s="1889">
        <v>2340.1460000000002</v>
      </c>
      <c r="H133" s="1889">
        <v>486404.12699999998</v>
      </c>
      <c r="I133" s="1889">
        <v>207.852</v>
      </c>
      <c r="J133" s="1889">
        <v>27.48</v>
      </c>
      <c r="K133" s="1889">
        <v>27.742000000000001</v>
      </c>
      <c r="L133" s="1889">
        <v>2746.9340000000002</v>
      </c>
      <c r="M133" s="1889">
        <v>1629.173</v>
      </c>
      <c r="N133" s="1889">
        <v>99.962000000000003</v>
      </c>
      <c r="O133" s="1889">
        <v>58.725000000000001</v>
      </c>
    </row>
    <row r="134" spans="1:15">
      <c r="A134" s="1891" t="s">
        <v>22</v>
      </c>
      <c r="B134" s="1889">
        <v>3.806</v>
      </c>
      <c r="C134" s="1890">
        <v>0.15</v>
      </c>
      <c r="D134" s="1890">
        <v>0.153</v>
      </c>
      <c r="E134" s="1889">
        <v>1765.1220000000001</v>
      </c>
      <c r="F134" s="1889">
        <v>285231.755</v>
      </c>
      <c r="G134" s="1889">
        <v>2289.614</v>
      </c>
      <c r="H134" s="1889">
        <v>553505.29099999997</v>
      </c>
      <c r="I134" s="1889">
        <v>241.74600000000001</v>
      </c>
      <c r="J134" s="1889">
        <v>29.192</v>
      </c>
      <c r="K134" s="1889">
        <v>29.152999999999999</v>
      </c>
      <c r="L134" s="1889">
        <v>3099.9810000000002</v>
      </c>
      <c r="M134" s="1889">
        <v>1534.7660000000001</v>
      </c>
      <c r="N134" s="1889">
        <v>106.194</v>
      </c>
      <c r="O134" s="1889">
        <v>52.645000000000003</v>
      </c>
    </row>
    <row r="135" spans="1:15">
      <c r="A135" s="1891" t="s">
        <v>23</v>
      </c>
      <c r="B135" s="1889">
        <v>3.8039999999999998</v>
      </c>
      <c r="C135" s="1890">
        <v>0.157</v>
      </c>
      <c r="D135" s="1890">
        <v>0.161</v>
      </c>
      <c r="E135" s="1889">
        <v>1696.278</v>
      </c>
      <c r="F135" s="1889">
        <v>239743.93799999999</v>
      </c>
      <c r="G135" s="1889">
        <v>2151.5839999999998</v>
      </c>
      <c r="H135" s="1889">
        <v>458932.42599999998</v>
      </c>
      <c r="I135" s="1889">
        <v>213.3</v>
      </c>
      <c r="J135" s="1889">
        <v>31.024000000000001</v>
      </c>
      <c r="K135" s="1889">
        <v>31.532</v>
      </c>
      <c r="L135" s="1889">
        <v>2556.0039999999999</v>
      </c>
      <c r="M135" s="1889">
        <v>1540.3810000000001</v>
      </c>
      <c r="N135" s="1889">
        <v>82.387</v>
      </c>
      <c r="O135" s="1889">
        <v>48.851999999999997</v>
      </c>
    </row>
    <row r="136" spans="1:15">
      <c r="A136" s="1891" t="s">
        <v>24</v>
      </c>
      <c r="B136" s="1889">
        <v>3.79</v>
      </c>
      <c r="C136" s="1890">
        <v>0.156</v>
      </c>
      <c r="D136" s="1890">
        <v>0.161</v>
      </c>
      <c r="E136" s="1889">
        <v>2030.66</v>
      </c>
      <c r="F136" s="1889">
        <v>304614.44500000001</v>
      </c>
      <c r="G136" s="1889">
        <v>2649.556</v>
      </c>
      <c r="H136" s="1889">
        <v>598377.51699999999</v>
      </c>
      <c r="I136" s="1889">
        <v>225.84100000000001</v>
      </c>
      <c r="J136" s="1889">
        <v>36.97</v>
      </c>
      <c r="K136" s="1889">
        <v>37.67</v>
      </c>
      <c r="L136" s="1889">
        <v>3089.9769999999999</v>
      </c>
      <c r="M136" s="1889">
        <v>1831.55</v>
      </c>
      <c r="N136" s="1889">
        <v>83.581000000000003</v>
      </c>
      <c r="O136" s="1889">
        <v>48.621000000000002</v>
      </c>
    </row>
    <row r="137" spans="1:15">
      <c r="A137" s="1891" t="s">
        <v>25</v>
      </c>
      <c r="B137" s="1889">
        <v>3.7839999999999998</v>
      </c>
      <c r="C137" s="1890">
        <v>0.155</v>
      </c>
      <c r="D137" s="1890">
        <v>0.16</v>
      </c>
      <c r="E137" s="1889">
        <v>1850.222</v>
      </c>
      <c r="F137" s="1889">
        <v>261423.68900000001</v>
      </c>
      <c r="G137" s="1889">
        <v>2325.415</v>
      </c>
      <c r="H137" s="1889">
        <v>494690.03700000001</v>
      </c>
      <c r="I137" s="1889">
        <v>212.732</v>
      </c>
      <c r="J137" s="1889">
        <v>33.506</v>
      </c>
      <c r="K137" s="1889">
        <v>34.072000000000003</v>
      </c>
      <c r="L137" s="1889">
        <v>2865.1320000000001</v>
      </c>
      <c r="M137" s="1889">
        <v>1686.739</v>
      </c>
      <c r="N137" s="1889">
        <v>85.510999999999996</v>
      </c>
      <c r="O137" s="1889">
        <v>49.505000000000003</v>
      </c>
    </row>
    <row r="138" spans="1:15">
      <c r="A138" s="1891" t="s">
        <v>26</v>
      </c>
      <c r="B138" s="1889">
        <v>3.7810000000000001</v>
      </c>
      <c r="C138" s="1890">
        <v>0.154</v>
      </c>
      <c r="D138" s="1890">
        <v>0.158</v>
      </c>
      <c r="E138" s="1889">
        <v>1892.5540000000001</v>
      </c>
      <c r="F138" s="1889">
        <v>259642.247</v>
      </c>
      <c r="G138" s="1889">
        <v>2427.806</v>
      </c>
      <c r="H138" s="1889">
        <v>506300.10399999999</v>
      </c>
      <c r="I138" s="1889">
        <v>208.542</v>
      </c>
      <c r="J138" s="1889">
        <v>34.576999999999998</v>
      </c>
      <c r="K138" s="1889">
        <v>35.19</v>
      </c>
      <c r="L138" s="1889">
        <v>2817.5990000000002</v>
      </c>
      <c r="M138" s="1889">
        <v>1665.3409999999999</v>
      </c>
      <c r="N138" s="1889">
        <v>81.486999999999995</v>
      </c>
      <c r="O138" s="1889">
        <v>47.323999999999998</v>
      </c>
    </row>
    <row r="139" spans="1:15">
      <c r="A139" s="1891" t="s">
        <v>27</v>
      </c>
      <c r="B139" s="1889">
        <v>3.7549999999999999</v>
      </c>
      <c r="C139" s="1890">
        <v>0.153</v>
      </c>
      <c r="D139" s="1890">
        <v>0.156</v>
      </c>
      <c r="E139" s="1889">
        <v>2089.038</v>
      </c>
      <c r="F139" s="1889">
        <v>299496.49699999997</v>
      </c>
      <c r="G139" s="1889">
        <v>2590.489</v>
      </c>
      <c r="H139" s="1889">
        <v>569982.47100000002</v>
      </c>
      <c r="I139" s="1889">
        <v>220.029</v>
      </c>
      <c r="J139" s="1889">
        <v>37.360999999999997</v>
      </c>
      <c r="K139" s="1889">
        <v>37.872</v>
      </c>
      <c r="L139" s="1889">
        <v>3307.018</v>
      </c>
      <c r="M139" s="1889">
        <v>1780.67</v>
      </c>
      <c r="N139" s="1889">
        <v>88.516000000000005</v>
      </c>
      <c r="O139" s="1889">
        <v>47.018000000000001</v>
      </c>
    </row>
    <row r="140" spans="1:15">
      <c r="A140" s="1891" t="s">
        <v>28</v>
      </c>
      <c r="B140" s="1889">
        <v>3.734</v>
      </c>
      <c r="C140" s="1890">
        <v>0.151</v>
      </c>
      <c r="D140" s="1890">
        <v>0.155</v>
      </c>
      <c r="E140" s="1889">
        <v>2004.566</v>
      </c>
      <c r="F140" s="1889">
        <v>287759.38900000002</v>
      </c>
      <c r="G140" s="1889">
        <v>2396.6419999999998</v>
      </c>
      <c r="H140" s="1889">
        <v>555004.05599999998</v>
      </c>
      <c r="I140" s="1889">
        <v>231.57599999999999</v>
      </c>
      <c r="J140" s="1889">
        <v>36.953000000000003</v>
      </c>
      <c r="K140" s="1889">
        <v>37.521000000000001</v>
      </c>
      <c r="L140" s="1889">
        <v>3041.7370000000001</v>
      </c>
      <c r="M140" s="1889">
        <v>1799.5360000000001</v>
      </c>
      <c r="N140" s="1889">
        <v>82.313000000000002</v>
      </c>
      <c r="O140" s="1889">
        <v>47.960999999999999</v>
      </c>
    </row>
    <row r="141" spans="1:15">
      <c r="A141" s="1891" t="s">
        <v>29</v>
      </c>
      <c r="B141" s="1889">
        <v>3.71</v>
      </c>
      <c r="C141" s="1890">
        <v>0.14899999999999999</v>
      </c>
      <c r="D141" s="1890">
        <v>0.152</v>
      </c>
      <c r="E141" s="1889">
        <v>2461.3739999999998</v>
      </c>
      <c r="F141" s="1889">
        <v>374335.91899999999</v>
      </c>
      <c r="G141" s="1889">
        <v>3147.9690000000001</v>
      </c>
      <c r="H141" s="1889">
        <v>749662.08600000001</v>
      </c>
      <c r="I141" s="1889">
        <v>238.14099999999999</v>
      </c>
      <c r="J141" s="1889">
        <v>46.953000000000003</v>
      </c>
      <c r="K141" s="1889">
        <v>47.662999999999997</v>
      </c>
      <c r="L141" s="1889">
        <v>4404.1490000000003</v>
      </c>
      <c r="M141" s="1889">
        <v>2503.4110000000001</v>
      </c>
      <c r="N141" s="1889">
        <v>93.799000000000007</v>
      </c>
      <c r="O141" s="1889">
        <v>52.523000000000003</v>
      </c>
    </row>
    <row r="142" spans="1:15">
      <c r="A142" s="1891" t="s">
        <v>2407</v>
      </c>
      <c r="B142" s="759">
        <f t="shared" ref="B142:O142" si="7">AVERAGE(B143:B154)</f>
        <v>3.7380833333333334</v>
      </c>
      <c r="C142" s="1892">
        <f t="shared" si="7"/>
        <v>0.16974999999999998</v>
      </c>
      <c r="D142" s="1892">
        <f t="shared" si="7"/>
        <v>0.17441666666666664</v>
      </c>
      <c r="E142" s="759">
        <f t="shared" si="7"/>
        <v>2134.7916666666665</v>
      </c>
      <c r="F142" s="759">
        <f t="shared" si="7"/>
        <v>276308.78450000001</v>
      </c>
      <c r="G142" s="759">
        <f t="shared" si="7"/>
        <v>2616.0503333333336</v>
      </c>
      <c r="H142" s="759">
        <f t="shared" si="7"/>
        <v>627675.81891666679</v>
      </c>
      <c r="I142" s="759">
        <f t="shared" si="7"/>
        <v>239.34833333333333</v>
      </c>
      <c r="J142" s="759">
        <f t="shared" si="7"/>
        <v>68.733666666666664</v>
      </c>
      <c r="K142" s="759">
        <f t="shared" si="7"/>
        <v>70.336000000000013</v>
      </c>
      <c r="L142" s="759">
        <f t="shared" si="7"/>
        <v>5177.651499999999</v>
      </c>
      <c r="M142" s="759">
        <f t="shared" si="7"/>
        <v>3165.0824999999991</v>
      </c>
      <c r="N142" s="759">
        <f t="shared" si="7"/>
        <v>74.876833333333323</v>
      </c>
      <c r="O142" s="759">
        <f t="shared" si="7"/>
        <v>44.951833333333326</v>
      </c>
    </row>
    <row r="143" spans="1:15">
      <c r="A143" s="1891" t="s">
        <v>18</v>
      </c>
      <c r="B143" s="1889">
        <v>3.6960000000000002</v>
      </c>
      <c r="C143" s="1890">
        <v>0.14599999999999999</v>
      </c>
      <c r="D143" s="1890">
        <v>0.14899999999999999</v>
      </c>
      <c r="E143" s="1889">
        <v>1950.2619999999999</v>
      </c>
      <c r="F143" s="1889">
        <v>241213.826</v>
      </c>
      <c r="G143" s="1889">
        <v>2215.6999999999998</v>
      </c>
      <c r="H143" s="1889">
        <v>473391.859</v>
      </c>
      <c r="I143" s="1889">
        <v>213.65299999999999</v>
      </c>
      <c r="J143" s="1889">
        <v>44.287999999999997</v>
      </c>
      <c r="K143" s="1889">
        <v>45.110999999999997</v>
      </c>
      <c r="L143" s="1889">
        <v>2926.9630000000002</v>
      </c>
      <c r="M143" s="1889">
        <v>1995.864</v>
      </c>
      <c r="N143" s="1889">
        <v>66.088999999999999</v>
      </c>
      <c r="O143" s="1889">
        <v>44.243000000000002</v>
      </c>
    </row>
    <row r="144" spans="1:15">
      <c r="A144" s="1891" t="s">
        <v>19</v>
      </c>
      <c r="B144" s="1889">
        <v>3.6989999999999998</v>
      </c>
      <c r="C144" s="1890">
        <v>0.14299999999999999</v>
      </c>
      <c r="D144" s="1890">
        <v>0.14699999999999999</v>
      </c>
      <c r="E144" s="1889">
        <v>1983.4059999999999</v>
      </c>
      <c r="F144" s="1889">
        <v>279015.516</v>
      </c>
      <c r="G144" s="1889">
        <v>2487.576</v>
      </c>
      <c r="H144" s="1889">
        <v>600466.09</v>
      </c>
      <c r="I144" s="1889">
        <v>241.386</v>
      </c>
      <c r="J144" s="1889">
        <v>42.773000000000003</v>
      </c>
      <c r="K144" s="1889">
        <v>43.433</v>
      </c>
      <c r="L144" s="1889">
        <v>2858.174</v>
      </c>
      <c r="M144" s="1889">
        <v>1828.8130000000001</v>
      </c>
      <c r="N144" s="1889">
        <v>66.822000000000003</v>
      </c>
      <c r="O144" s="1889">
        <v>42.106999999999999</v>
      </c>
    </row>
    <row r="145" spans="1:15">
      <c r="A145" s="1891" t="s">
        <v>20</v>
      </c>
      <c r="B145" s="1889">
        <v>3.6760000000000002</v>
      </c>
      <c r="C145" s="1890">
        <v>0.14099999999999999</v>
      </c>
      <c r="D145" s="1890">
        <v>0.14499999999999999</v>
      </c>
      <c r="E145" s="1889">
        <v>2285.1660000000002</v>
      </c>
      <c r="F145" s="1889">
        <v>332073.44900000002</v>
      </c>
      <c r="G145" s="1889">
        <v>2897.5909999999999</v>
      </c>
      <c r="H145" s="1889">
        <v>716369.13600000006</v>
      </c>
      <c r="I145" s="1889">
        <v>247.22900000000001</v>
      </c>
      <c r="J145" s="1889">
        <v>50.906999999999996</v>
      </c>
      <c r="K145" s="1889">
        <v>51.68</v>
      </c>
      <c r="L145" s="1889">
        <v>4280.3599999999997</v>
      </c>
      <c r="M145" s="1889">
        <v>2576.6219999999998</v>
      </c>
      <c r="N145" s="1889">
        <v>84.082999999999998</v>
      </c>
      <c r="O145" s="1889">
        <v>49.856999999999999</v>
      </c>
    </row>
    <row r="146" spans="1:15">
      <c r="A146" s="1891" t="s">
        <v>21</v>
      </c>
      <c r="B146" s="1889">
        <v>3.7320000000000002</v>
      </c>
      <c r="C146" s="1890">
        <v>0.17699999999999999</v>
      </c>
      <c r="D146" s="1890">
        <v>0.182</v>
      </c>
      <c r="E146" s="1889">
        <v>1889.126</v>
      </c>
      <c r="F146" s="1889">
        <v>234511.90400000001</v>
      </c>
      <c r="G146" s="1889">
        <v>2145.4580000000001</v>
      </c>
      <c r="H146" s="1889">
        <v>513394.98300000001</v>
      </c>
      <c r="I146" s="1889">
        <v>239.29400000000001</v>
      </c>
      <c r="J146" s="1889">
        <v>59.924999999999997</v>
      </c>
      <c r="K146" s="1889">
        <v>61.42</v>
      </c>
      <c r="L146" s="1889">
        <v>3947.9830000000002</v>
      </c>
      <c r="M146" s="1889">
        <v>2981.4459999999999</v>
      </c>
      <c r="N146" s="1889">
        <v>65.882000000000005</v>
      </c>
      <c r="O146" s="1889">
        <v>48.542000000000002</v>
      </c>
    </row>
    <row r="147" spans="1:15">
      <c r="A147" s="1891" t="s">
        <v>22</v>
      </c>
      <c r="B147" s="1889">
        <v>3.851</v>
      </c>
      <c r="C147" s="1890">
        <v>0.182</v>
      </c>
      <c r="D147" s="1890">
        <v>0.188</v>
      </c>
      <c r="E147" s="1889">
        <v>2081.9299999999998</v>
      </c>
      <c r="F147" s="1889">
        <v>268332.67200000002</v>
      </c>
      <c r="G147" s="1889">
        <v>2871.9209999999998</v>
      </c>
      <c r="H147" s="1889">
        <v>667661.78</v>
      </c>
      <c r="I147" s="1889">
        <v>232.47900000000001</v>
      </c>
      <c r="J147" s="1889">
        <v>67.100999999999999</v>
      </c>
      <c r="K147" s="1889">
        <v>68.763000000000005</v>
      </c>
      <c r="L147" s="1889">
        <v>4262.7879999999996</v>
      </c>
      <c r="M147" s="1889">
        <v>3275.9259999999999</v>
      </c>
      <c r="N147" s="1889">
        <v>63.527999999999999</v>
      </c>
      <c r="O147" s="1889">
        <v>47.640999999999998</v>
      </c>
    </row>
    <row r="148" spans="1:15">
      <c r="A148" s="1891" t="s">
        <v>23</v>
      </c>
      <c r="B148" s="1889">
        <v>3.8319999999999999</v>
      </c>
      <c r="C148" s="1890">
        <v>0.18099999999999999</v>
      </c>
      <c r="D148" s="1890">
        <v>0.186</v>
      </c>
      <c r="E148" s="1889">
        <v>2078.8809999999999</v>
      </c>
      <c r="F148" s="1889">
        <v>261440.45699999999</v>
      </c>
      <c r="G148" s="1889">
        <v>2577.913</v>
      </c>
      <c r="H148" s="1889">
        <v>621880.77300000004</v>
      </c>
      <c r="I148" s="1889">
        <v>241.23400000000001</v>
      </c>
      <c r="J148" s="1889">
        <v>75.019000000000005</v>
      </c>
      <c r="K148" s="1889">
        <v>76.828000000000003</v>
      </c>
      <c r="L148" s="1889">
        <v>5349.6540000000005</v>
      </c>
      <c r="M148" s="1889">
        <v>3208.0329999999999</v>
      </c>
      <c r="N148" s="1889">
        <v>71.311000000000007</v>
      </c>
      <c r="O148" s="1889">
        <v>41.756</v>
      </c>
    </row>
    <row r="149" spans="1:15">
      <c r="A149" s="1891" t="s">
        <v>24</v>
      </c>
      <c r="B149" s="1889">
        <v>3.8109999999999999</v>
      </c>
      <c r="C149" s="1890">
        <v>0.18099999999999999</v>
      </c>
      <c r="D149" s="1890">
        <v>0.186</v>
      </c>
      <c r="E149" s="1889">
        <v>2127.317</v>
      </c>
      <c r="F149" s="1889">
        <v>298611.97200000001</v>
      </c>
      <c r="G149" s="1889">
        <v>2747.3209999999999</v>
      </c>
      <c r="H149" s="1889">
        <v>682967.49899999995</v>
      </c>
      <c r="I149" s="1889">
        <v>248.59399999999999</v>
      </c>
      <c r="J149" s="1889">
        <v>70</v>
      </c>
      <c r="K149" s="1889">
        <v>71.396000000000001</v>
      </c>
      <c r="L149" s="1889">
        <v>8252.5380000000005</v>
      </c>
      <c r="M149" s="1889">
        <v>2628.6889999999999</v>
      </c>
      <c r="N149" s="1889">
        <v>117.89400000000001</v>
      </c>
      <c r="O149" s="1889">
        <v>36.819000000000003</v>
      </c>
    </row>
    <row r="150" spans="1:15">
      <c r="A150" s="1891" t="s">
        <v>25</v>
      </c>
      <c r="B150" s="1889">
        <v>3.78</v>
      </c>
      <c r="C150" s="1890">
        <v>0.17799999999999999</v>
      </c>
      <c r="D150" s="1890">
        <v>0.183</v>
      </c>
      <c r="E150" s="1889">
        <v>2283.6379999999999</v>
      </c>
      <c r="F150" s="1889">
        <v>278257.89</v>
      </c>
      <c r="G150" s="1889">
        <v>2747.6410000000001</v>
      </c>
      <c r="H150" s="1889">
        <v>630478.81499999994</v>
      </c>
      <c r="I150" s="1889">
        <v>229.46199999999999</v>
      </c>
      <c r="J150" s="1889">
        <v>79.040999999999997</v>
      </c>
      <c r="K150" s="1889">
        <v>81.075000000000003</v>
      </c>
      <c r="L150" s="1889">
        <v>6037.2060000000001</v>
      </c>
      <c r="M150" s="1889">
        <v>3257.192</v>
      </c>
      <c r="N150" s="1889">
        <v>76.381</v>
      </c>
      <c r="O150" s="1889">
        <v>40.174999999999997</v>
      </c>
    </row>
    <row r="151" spans="1:15">
      <c r="A151" s="1891" t="s">
        <v>26</v>
      </c>
      <c r="B151" s="1889">
        <v>3.738</v>
      </c>
      <c r="C151" s="1890">
        <v>0.17699999999999999</v>
      </c>
      <c r="D151" s="1890">
        <v>0.182</v>
      </c>
      <c r="E151" s="1889">
        <v>2221.6329999999998</v>
      </c>
      <c r="F151" s="1889">
        <v>266339.42099999997</v>
      </c>
      <c r="G151" s="1889">
        <v>2593.145</v>
      </c>
      <c r="H151" s="1889">
        <v>608992.99100000004</v>
      </c>
      <c r="I151" s="1889">
        <v>234.84700000000001</v>
      </c>
      <c r="J151" s="1889">
        <v>82.834999999999994</v>
      </c>
      <c r="K151" s="1889">
        <v>85.153000000000006</v>
      </c>
      <c r="L151" s="1889">
        <v>5581.9989999999998</v>
      </c>
      <c r="M151" s="1889">
        <v>3728.123</v>
      </c>
      <c r="N151" s="1889">
        <v>67.387</v>
      </c>
      <c r="O151" s="1889">
        <v>43.781999999999996</v>
      </c>
    </row>
    <row r="152" spans="1:15">
      <c r="A152" s="1891" t="s">
        <v>27</v>
      </c>
      <c r="B152" s="1889">
        <v>3.7210000000000001</v>
      </c>
      <c r="C152" s="1890">
        <v>0.17699999999999999</v>
      </c>
      <c r="D152" s="1890">
        <v>0.182</v>
      </c>
      <c r="E152" s="1889">
        <v>2031.5319999999999</v>
      </c>
      <c r="F152" s="1889">
        <v>255771.505</v>
      </c>
      <c r="G152" s="1889">
        <v>2571.3560000000002</v>
      </c>
      <c r="H152" s="1889">
        <v>618753.46200000006</v>
      </c>
      <c r="I152" s="1889">
        <v>240.63300000000001</v>
      </c>
      <c r="J152" s="1889">
        <v>75.299000000000007</v>
      </c>
      <c r="K152" s="1889">
        <v>77.311999999999998</v>
      </c>
      <c r="L152" s="1889">
        <v>5057.3620000000001</v>
      </c>
      <c r="M152" s="1889">
        <v>3618.6179999999999</v>
      </c>
      <c r="N152" s="1889">
        <v>67.162999999999997</v>
      </c>
      <c r="O152" s="1889">
        <v>46.805</v>
      </c>
    </row>
    <row r="153" spans="1:15">
      <c r="A153" s="1891" t="s">
        <v>28</v>
      </c>
      <c r="B153" s="1889">
        <v>3.6779999999999999</v>
      </c>
      <c r="C153" s="1890">
        <v>0.17699999999999999</v>
      </c>
      <c r="D153" s="1890">
        <v>0.182</v>
      </c>
      <c r="E153" s="1889">
        <v>2167.6120000000001</v>
      </c>
      <c r="F153" s="1889">
        <v>265279.815</v>
      </c>
      <c r="G153" s="1889">
        <v>2541.9119999999998</v>
      </c>
      <c r="H153" s="1889">
        <v>616317.68799999997</v>
      </c>
      <c r="I153" s="1889">
        <v>242.46199999999999</v>
      </c>
      <c r="J153" s="1889">
        <v>81.116</v>
      </c>
      <c r="K153" s="1889">
        <v>83.224000000000004</v>
      </c>
      <c r="L153" s="1889">
        <v>5744.5410000000002</v>
      </c>
      <c r="M153" s="1889">
        <v>4074.61</v>
      </c>
      <c r="N153" s="1889">
        <v>70.819000000000003</v>
      </c>
      <c r="O153" s="1889">
        <v>48.96</v>
      </c>
    </row>
    <row r="154" spans="1:15">
      <c r="A154" s="1891" t="s">
        <v>29</v>
      </c>
      <c r="B154" s="1889">
        <v>3.6429999999999998</v>
      </c>
      <c r="C154" s="1890">
        <v>0.17699999999999999</v>
      </c>
      <c r="D154" s="1890">
        <v>0.18099999999999999</v>
      </c>
      <c r="E154" s="1889">
        <v>2516.9969999999998</v>
      </c>
      <c r="F154" s="1889">
        <v>334856.98700000002</v>
      </c>
      <c r="G154" s="1889">
        <v>2995.07</v>
      </c>
      <c r="H154" s="1889">
        <v>781434.75100000005</v>
      </c>
      <c r="I154" s="1889">
        <v>260.90699999999998</v>
      </c>
      <c r="J154" s="1889">
        <v>96.5</v>
      </c>
      <c r="K154" s="1889">
        <v>98.637</v>
      </c>
      <c r="L154" s="1889">
        <v>7832.25</v>
      </c>
      <c r="M154" s="1889">
        <v>4807.0540000000001</v>
      </c>
      <c r="N154" s="1889">
        <v>81.162999999999997</v>
      </c>
      <c r="O154" s="1889">
        <v>48.734999999999999</v>
      </c>
    </row>
    <row r="155" spans="1:15">
      <c r="A155" s="1891" t="s">
        <v>2583</v>
      </c>
      <c r="B155" s="759">
        <f t="shared" ref="B155:O155" si="8">AVERAGE(B156:B167)</f>
        <v>3.522333333333334</v>
      </c>
      <c r="C155" s="1892">
        <f t="shared" si="8"/>
        <v>0.16933333333333334</v>
      </c>
      <c r="D155" s="1892">
        <f t="shared" si="8"/>
        <v>0.17433333333333331</v>
      </c>
      <c r="E155" s="759">
        <f t="shared" si="8"/>
        <v>2795.4788333333331</v>
      </c>
      <c r="F155" s="759">
        <f t="shared" si="8"/>
        <v>298005.08566666668</v>
      </c>
      <c r="G155" s="759">
        <f t="shared" si="8"/>
        <v>2889.7921666666662</v>
      </c>
      <c r="H155" s="759">
        <f t="shared" si="8"/>
        <v>680506.56024999998</v>
      </c>
      <c r="I155" s="759">
        <f t="shared" si="8"/>
        <v>235.66783333333333</v>
      </c>
      <c r="J155" s="759">
        <f t="shared" si="8"/>
        <v>146.26024999999998</v>
      </c>
      <c r="K155" s="759">
        <f t="shared" si="8"/>
        <v>149.98183333333336</v>
      </c>
      <c r="L155" s="759">
        <f t="shared" si="8"/>
        <v>7006.041166666666</v>
      </c>
      <c r="M155" s="759">
        <f t="shared" si="8"/>
        <v>5618.1759166666661</v>
      </c>
      <c r="N155" s="759">
        <f t="shared" si="8"/>
        <v>48.776166666666661</v>
      </c>
      <c r="O155" s="759">
        <f t="shared" si="8"/>
        <v>38.138416666666672</v>
      </c>
    </row>
    <row r="156" spans="1:15">
      <c r="A156" s="1891" t="s">
        <v>18</v>
      </c>
      <c r="B156" s="1889">
        <v>3.61</v>
      </c>
      <c r="C156" s="1890">
        <v>0.17599999999999999</v>
      </c>
      <c r="D156" s="1890">
        <v>0.18</v>
      </c>
      <c r="E156" s="1889">
        <v>2155.9749999999999</v>
      </c>
      <c r="F156" s="1889">
        <v>232890.69899999999</v>
      </c>
      <c r="G156" s="1889">
        <v>2163.6439999999998</v>
      </c>
      <c r="H156" s="1889">
        <v>525537.45900000003</v>
      </c>
      <c r="I156" s="1889">
        <v>242.89500000000001</v>
      </c>
      <c r="J156" s="1889">
        <v>94.531999999999996</v>
      </c>
      <c r="K156" s="1889">
        <v>96.79</v>
      </c>
      <c r="L156" s="1889">
        <v>5145.7629999999999</v>
      </c>
      <c r="M156" s="1889">
        <v>3946.1089999999999</v>
      </c>
      <c r="N156" s="1889">
        <v>54.433999999999997</v>
      </c>
      <c r="O156" s="1889">
        <v>40.770000000000003</v>
      </c>
    </row>
    <row r="157" spans="1:15">
      <c r="A157" s="1891" t="s">
        <v>19</v>
      </c>
      <c r="B157" s="1889">
        <v>3.6019999999999999</v>
      </c>
      <c r="C157" s="1890">
        <v>0.17499999999999999</v>
      </c>
      <c r="D157" s="1890">
        <v>0.18</v>
      </c>
      <c r="E157" s="1889">
        <v>2299.1880000000001</v>
      </c>
      <c r="F157" s="1889">
        <v>264972.65500000003</v>
      </c>
      <c r="G157" s="1889">
        <v>2666.5039999999999</v>
      </c>
      <c r="H157" s="1889">
        <v>639987.26</v>
      </c>
      <c r="I157" s="1889">
        <v>240.01</v>
      </c>
      <c r="J157" s="1889">
        <v>102.149</v>
      </c>
      <c r="K157" s="1889">
        <v>104.515</v>
      </c>
      <c r="L157" s="1889">
        <v>5584.5640000000003</v>
      </c>
      <c r="M157" s="1889">
        <v>4443.1390000000001</v>
      </c>
      <c r="N157" s="1889">
        <v>54.670999999999999</v>
      </c>
      <c r="O157" s="1889">
        <v>42.512</v>
      </c>
    </row>
    <row r="158" spans="1:15">
      <c r="A158" s="1891" t="s">
        <v>20</v>
      </c>
      <c r="B158" s="1889">
        <v>3.5840000000000001</v>
      </c>
      <c r="C158" s="1890">
        <v>0.17299999999999999</v>
      </c>
      <c r="D158" s="1890">
        <v>0.17899999999999999</v>
      </c>
      <c r="E158" s="1889">
        <v>2770.3870000000002</v>
      </c>
      <c r="F158" s="1889">
        <v>313277.12400000001</v>
      </c>
      <c r="G158" s="1889">
        <v>3234.4070000000002</v>
      </c>
      <c r="H158" s="1889">
        <v>758285.11499999999</v>
      </c>
      <c r="I158" s="1889">
        <v>234.44300000000001</v>
      </c>
      <c r="J158" s="1889">
        <v>131.988</v>
      </c>
      <c r="K158" s="1889">
        <v>135.89400000000001</v>
      </c>
      <c r="L158" s="1889">
        <v>7108.3230000000003</v>
      </c>
      <c r="M158" s="1889">
        <v>6050.4639999999999</v>
      </c>
      <c r="N158" s="1889">
        <v>53.856000000000002</v>
      </c>
      <c r="O158" s="1889">
        <v>44.523000000000003</v>
      </c>
    </row>
    <row r="159" spans="1:15">
      <c r="A159" s="1891" t="s">
        <v>21</v>
      </c>
      <c r="B159" s="1889">
        <v>3.5760000000000001</v>
      </c>
      <c r="C159" s="1890">
        <v>0.17100000000000001</v>
      </c>
      <c r="D159" s="1890">
        <v>0.17599999999999999</v>
      </c>
      <c r="E159" s="1889">
        <v>2475.8270000000002</v>
      </c>
      <c r="F159" s="1889">
        <v>269713.90100000001</v>
      </c>
      <c r="G159" s="1889">
        <v>2682.1060000000002</v>
      </c>
      <c r="H159" s="1889">
        <v>629135.66899999999</v>
      </c>
      <c r="I159" s="1889">
        <v>234.56800000000001</v>
      </c>
      <c r="J159" s="1889">
        <v>125.999</v>
      </c>
      <c r="K159" s="1889">
        <v>129.25899999999999</v>
      </c>
      <c r="L159" s="1889">
        <v>6865.0569999999998</v>
      </c>
      <c r="M159" s="1889">
        <v>5412.8050000000003</v>
      </c>
      <c r="N159" s="1889">
        <v>54.484999999999999</v>
      </c>
      <c r="O159" s="1889">
        <v>41.875999999999998</v>
      </c>
    </row>
    <row r="160" spans="1:15">
      <c r="A160" s="1891" t="s">
        <v>22</v>
      </c>
      <c r="B160" s="1889">
        <v>3.5579999999999998</v>
      </c>
      <c r="C160" s="1890">
        <v>0.16900000000000001</v>
      </c>
      <c r="D160" s="1890">
        <v>0.17399999999999999</v>
      </c>
      <c r="E160" s="1889">
        <v>2570.65</v>
      </c>
      <c r="F160" s="1889">
        <v>277999.913</v>
      </c>
      <c r="G160" s="1889">
        <v>2849.9430000000002</v>
      </c>
      <c r="H160" s="1889">
        <v>666810.81599999999</v>
      </c>
      <c r="I160" s="1889">
        <v>233.97300000000001</v>
      </c>
      <c r="J160" s="1889">
        <v>127.22799999999999</v>
      </c>
      <c r="K160" s="1889">
        <v>130.435</v>
      </c>
      <c r="L160" s="1889">
        <v>6504.9030000000002</v>
      </c>
      <c r="M160" s="1889">
        <v>5380.74</v>
      </c>
      <c r="N160" s="1889">
        <v>51.128</v>
      </c>
      <c r="O160" s="1889">
        <v>41.252000000000002</v>
      </c>
    </row>
    <row r="161" spans="1:15">
      <c r="A161" s="1891" t="s">
        <v>23</v>
      </c>
      <c r="B161" s="1889">
        <v>3.5350000000000001</v>
      </c>
      <c r="C161" s="1890">
        <v>0.16800000000000001</v>
      </c>
      <c r="D161" s="1890">
        <v>0.17299999999999999</v>
      </c>
      <c r="E161" s="1889">
        <v>2686.7170000000001</v>
      </c>
      <c r="F161" s="1889">
        <v>282995.21100000001</v>
      </c>
      <c r="G161" s="1889">
        <v>2844.694</v>
      </c>
      <c r="H161" s="1889">
        <v>655642.22</v>
      </c>
      <c r="I161" s="1889">
        <v>230.47900000000001</v>
      </c>
      <c r="J161" s="1889">
        <v>144.149</v>
      </c>
      <c r="K161" s="1889">
        <v>148.56100000000001</v>
      </c>
      <c r="L161" s="1889">
        <v>6809.5169999999998</v>
      </c>
      <c r="M161" s="1889">
        <v>5611.1610000000001</v>
      </c>
      <c r="N161" s="1889">
        <v>47.24</v>
      </c>
      <c r="O161" s="1889">
        <v>37.770000000000003</v>
      </c>
    </row>
    <row r="162" spans="1:15">
      <c r="A162" s="1891" t="s">
        <v>24</v>
      </c>
      <c r="B162" s="1889">
        <v>3.512</v>
      </c>
      <c r="C162" s="1890">
        <v>0.16800000000000001</v>
      </c>
      <c r="D162" s="1890">
        <v>0.17399999999999999</v>
      </c>
      <c r="E162" s="1889">
        <v>2773.7629999999999</v>
      </c>
      <c r="F162" s="1889">
        <v>310978.13799999998</v>
      </c>
      <c r="G162" s="1889">
        <v>2979.806</v>
      </c>
      <c r="H162" s="1889">
        <v>733963.00399999996</v>
      </c>
      <c r="I162" s="1889">
        <v>246.31200000000001</v>
      </c>
      <c r="J162" s="1889">
        <v>149.745</v>
      </c>
      <c r="K162" s="1889">
        <v>154.32</v>
      </c>
      <c r="L162" s="1889">
        <v>7251.59</v>
      </c>
      <c r="M162" s="1889">
        <v>5858.5829999999996</v>
      </c>
      <c r="N162" s="1889">
        <v>48.426000000000002</v>
      </c>
      <c r="O162" s="1889">
        <v>37.963999999999999</v>
      </c>
    </row>
    <row r="163" spans="1:15">
      <c r="A163" s="1891" t="s">
        <v>25</v>
      </c>
      <c r="B163" s="1889">
        <v>3.4889999999999999</v>
      </c>
      <c r="C163" s="1890">
        <v>0.17</v>
      </c>
      <c r="D163" s="1890">
        <v>0.17499999999999999</v>
      </c>
      <c r="E163" s="1889">
        <v>2806.07</v>
      </c>
      <c r="F163" s="1889">
        <v>290470.68900000001</v>
      </c>
      <c r="G163" s="1889">
        <v>2792.9969999999998</v>
      </c>
      <c r="H163" s="1889">
        <v>649184.18599999999</v>
      </c>
      <c r="I163" s="1889">
        <v>232.43299999999999</v>
      </c>
      <c r="J163" s="1889">
        <v>158.89699999999999</v>
      </c>
      <c r="K163" s="1889">
        <v>162.96100000000001</v>
      </c>
      <c r="L163" s="1889">
        <v>7191.4740000000002</v>
      </c>
      <c r="M163" s="1889">
        <v>5772.1350000000002</v>
      </c>
      <c r="N163" s="1889">
        <v>45.259</v>
      </c>
      <c r="O163" s="1889">
        <v>35.42</v>
      </c>
    </row>
    <row r="164" spans="1:15">
      <c r="A164" s="1891" t="s">
        <v>26</v>
      </c>
      <c r="B164" s="1889">
        <v>3.4780000000000002</v>
      </c>
      <c r="C164" s="1890">
        <v>0.16500000000000001</v>
      </c>
      <c r="D164" s="1890">
        <v>0.17</v>
      </c>
      <c r="E164" s="1889">
        <v>2936.26</v>
      </c>
      <c r="F164" s="1889">
        <v>308063.592</v>
      </c>
      <c r="G164" s="1889">
        <v>2824.6410000000001</v>
      </c>
      <c r="H164" s="1889">
        <v>659357.38800000004</v>
      </c>
      <c r="I164" s="1889">
        <v>233.43100000000001</v>
      </c>
      <c r="J164" s="1889">
        <v>155.94399999999999</v>
      </c>
      <c r="K164" s="1889">
        <v>159.45500000000001</v>
      </c>
      <c r="L164" s="1889">
        <v>7089.6769999999997</v>
      </c>
      <c r="M164" s="1889">
        <v>5547.8469999999998</v>
      </c>
      <c r="N164" s="1889">
        <v>45.463000000000001</v>
      </c>
      <c r="O164" s="1889">
        <v>34.792999999999999</v>
      </c>
    </row>
    <row r="165" spans="1:15">
      <c r="A165" s="1891" t="s">
        <v>27</v>
      </c>
      <c r="B165" s="1889">
        <v>3.4590000000000001</v>
      </c>
      <c r="C165" s="1890">
        <v>0.16500000000000001</v>
      </c>
      <c r="D165" s="1890">
        <v>0.17</v>
      </c>
      <c r="E165" s="1889">
        <v>3012.27</v>
      </c>
      <c r="F165" s="1889">
        <v>309207.03499999997</v>
      </c>
      <c r="G165" s="1889">
        <v>2876.6149999999998</v>
      </c>
      <c r="H165" s="1889">
        <v>672104.97600000002</v>
      </c>
      <c r="I165" s="1889">
        <v>233.64400000000001</v>
      </c>
      <c r="J165" s="1889">
        <v>167.16</v>
      </c>
      <c r="K165" s="1889">
        <v>170.96700000000001</v>
      </c>
      <c r="L165" s="1889">
        <v>7389.6210000000001</v>
      </c>
      <c r="M165" s="1889">
        <v>5837.433</v>
      </c>
      <c r="N165" s="1889">
        <v>44.207000000000001</v>
      </c>
      <c r="O165" s="1889">
        <v>34.143999999999998</v>
      </c>
    </row>
    <row r="166" spans="1:15">
      <c r="A166" s="1891" t="s">
        <v>28</v>
      </c>
      <c r="B166" s="1889">
        <v>3.4470000000000001</v>
      </c>
      <c r="C166" s="1890">
        <v>0.16600000000000001</v>
      </c>
      <c r="D166" s="1890">
        <v>0.17100000000000001</v>
      </c>
      <c r="E166" s="1889">
        <v>3384.5149999999999</v>
      </c>
      <c r="F166" s="1889">
        <v>334247.266</v>
      </c>
      <c r="G166" s="1889">
        <v>3130.2130000000002</v>
      </c>
      <c r="H166" s="1889">
        <v>722353.35900000005</v>
      </c>
      <c r="I166" s="1889">
        <v>230.768</v>
      </c>
      <c r="J166" s="1889">
        <v>192.65799999999999</v>
      </c>
      <c r="K166" s="1889">
        <v>197.238</v>
      </c>
      <c r="L166" s="1889">
        <v>8009.9229999999998</v>
      </c>
      <c r="M166" s="1889">
        <v>6414.9390000000003</v>
      </c>
      <c r="N166" s="1889">
        <v>41.576000000000001</v>
      </c>
      <c r="O166" s="1889">
        <v>32.524000000000001</v>
      </c>
    </row>
    <row r="167" spans="1:15">
      <c r="A167" s="1891" t="s">
        <v>29</v>
      </c>
      <c r="B167" s="1889">
        <v>3.4180000000000001</v>
      </c>
      <c r="C167" s="1890">
        <v>0.16600000000000001</v>
      </c>
      <c r="D167" s="1890">
        <v>0.17</v>
      </c>
      <c r="E167" s="1889">
        <v>3674.1239999999998</v>
      </c>
      <c r="F167" s="1889">
        <v>381244.80499999999</v>
      </c>
      <c r="G167" s="1889">
        <v>3631.9360000000001</v>
      </c>
      <c r="H167" s="1889">
        <v>853717.27099999995</v>
      </c>
      <c r="I167" s="1889">
        <v>235.05799999999999</v>
      </c>
      <c r="J167" s="1889">
        <v>204.67400000000001</v>
      </c>
      <c r="K167" s="1889">
        <v>209.387</v>
      </c>
      <c r="L167" s="1889">
        <v>9122.0820000000003</v>
      </c>
      <c r="M167" s="1889">
        <v>7142.7560000000003</v>
      </c>
      <c r="N167" s="1889">
        <v>44.569000000000003</v>
      </c>
      <c r="O167" s="1889">
        <v>34.113</v>
      </c>
    </row>
    <row r="168" spans="1:15">
      <c r="A168" s="1891" t="s">
        <v>2892</v>
      </c>
      <c r="B168" s="759">
        <f t="shared" ref="B168:O168" si="9">AVERAGE(B169:B180)</f>
        <v>3.3787499999999997</v>
      </c>
      <c r="C168" s="1892">
        <f t="shared" si="9"/>
        <v>0.14458333333333337</v>
      </c>
      <c r="D168" s="1892">
        <f t="shared" si="9"/>
        <v>0.14824999999999999</v>
      </c>
      <c r="E168" s="759">
        <f t="shared" si="9"/>
        <v>4192.1573333333336</v>
      </c>
      <c r="F168" s="759">
        <f t="shared" si="9"/>
        <v>384286.29725</v>
      </c>
      <c r="G168" s="759">
        <f t="shared" si="9"/>
        <v>3551.9205000000002</v>
      </c>
      <c r="H168" s="759">
        <f t="shared" si="9"/>
        <v>842997.35375000013</v>
      </c>
      <c r="I168" s="759">
        <f t="shared" si="9"/>
        <v>236.96275</v>
      </c>
      <c r="J168" s="759">
        <f t="shared" si="9"/>
        <v>232.36483333333334</v>
      </c>
      <c r="K168" s="759">
        <f t="shared" si="9"/>
        <v>238.07666666666668</v>
      </c>
      <c r="L168" s="759">
        <f t="shared" si="9"/>
        <v>8606.4674166666664</v>
      </c>
      <c r="M168" s="759">
        <f t="shared" si="9"/>
        <v>6958.845166666666</v>
      </c>
      <c r="N168" s="759">
        <f t="shared" si="9"/>
        <v>37.219500000000004</v>
      </c>
      <c r="O168" s="759">
        <f t="shared" si="9"/>
        <v>29.348749999999999</v>
      </c>
    </row>
    <row r="169" spans="1:15">
      <c r="A169" s="1891" t="s">
        <v>18</v>
      </c>
      <c r="B169" s="1889">
        <v>3.4049999999999998</v>
      </c>
      <c r="C169" s="1890">
        <v>0.16500000000000001</v>
      </c>
      <c r="D169" s="1890">
        <v>0.16900000000000001</v>
      </c>
      <c r="E169" s="1889">
        <v>3282.5369999999998</v>
      </c>
      <c r="F169" s="1889">
        <v>298560.01199999999</v>
      </c>
      <c r="G169" s="1889">
        <v>2852.712</v>
      </c>
      <c r="H169" s="1889">
        <v>637080.55200000003</v>
      </c>
      <c r="I169" s="1889">
        <v>223.32499999999999</v>
      </c>
      <c r="J169" s="1889">
        <v>200.80199999999999</v>
      </c>
      <c r="K169" s="1889">
        <v>205.47499999999999</v>
      </c>
      <c r="L169" s="1889">
        <v>7776.6570000000002</v>
      </c>
      <c r="M169" s="1889">
        <v>6385.9960000000001</v>
      </c>
      <c r="N169" s="1889">
        <v>38.728000000000002</v>
      </c>
      <c r="O169" s="1889">
        <v>31.079000000000001</v>
      </c>
    </row>
    <row r="170" spans="1:15">
      <c r="A170" s="1891" t="s">
        <v>19</v>
      </c>
      <c r="B170" s="1889">
        <v>3.3940000000000001</v>
      </c>
      <c r="C170" s="1890">
        <v>0.16</v>
      </c>
      <c r="D170" s="1890">
        <v>0.16400000000000001</v>
      </c>
      <c r="E170" s="1889">
        <v>3327.4670000000001</v>
      </c>
      <c r="F170" s="1889">
        <v>322226.55800000002</v>
      </c>
      <c r="G170" s="1889">
        <v>3128.9960000000001</v>
      </c>
      <c r="H170" s="1889">
        <v>735208.75</v>
      </c>
      <c r="I170" s="1889">
        <v>234.96600000000001</v>
      </c>
      <c r="J170" s="1889">
        <v>195.36799999999999</v>
      </c>
      <c r="K170" s="1889">
        <v>199.785</v>
      </c>
      <c r="L170" s="1889">
        <v>7172.8249999999998</v>
      </c>
      <c r="M170" s="1889">
        <v>5843.6440000000002</v>
      </c>
      <c r="N170" s="1889">
        <v>36.713999999999999</v>
      </c>
      <c r="O170" s="1889">
        <v>29.25</v>
      </c>
    </row>
    <row r="171" spans="1:15">
      <c r="A171" s="1891" t="s">
        <v>20</v>
      </c>
      <c r="B171" s="1889">
        <v>3.3919999999999999</v>
      </c>
      <c r="C171" s="1890">
        <v>0.153</v>
      </c>
      <c r="D171" s="1890">
        <v>0.156</v>
      </c>
      <c r="E171" s="1889">
        <v>3923.9169999999999</v>
      </c>
      <c r="F171" s="1889">
        <v>366630.03399999999</v>
      </c>
      <c r="G171" s="1889">
        <v>3605.634</v>
      </c>
      <c r="H171" s="1889">
        <v>822936.95600000001</v>
      </c>
      <c r="I171" s="1889">
        <v>228.23599999999999</v>
      </c>
      <c r="J171" s="1889">
        <v>204.292</v>
      </c>
      <c r="K171" s="1889">
        <v>208.56399999999999</v>
      </c>
      <c r="L171" s="1889">
        <v>8375.5259999999998</v>
      </c>
      <c r="M171" s="1889">
        <v>6811.29</v>
      </c>
      <c r="N171" s="1889">
        <v>40.997999999999998</v>
      </c>
      <c r="O171" s="1889">
        <v>32.658000000000001</v>
      </c>
    </row>
    <row r="172" spans="1:15">
      <c r="A172" s="1891" t="s">
        <v>21</v>
      </c>
      <c r="B172" s="1889">
        <v>3.3940000000000001</v>
      </c>
      <c r="C172" s="1890">
        <v>0.14899999999999999</v>
      </c>
      <c r="D172" s="1890">
        <v>0.152</v>
      </c>
      <c r="E172" s="1889">
        <v>3694.6329999999998</v>
      </c>
      <c r="F172" s="1889">
        <v>344493.353</v>
      </c>
      <c r="G172" s="1889">
        <v>3274.1750000000002</v>
      </c>
      <c r="H172" s="1889">
        <v>758997.64099999995</v>
      </c>
      <c r="I172" s="1889">
        <v>231.81299999999999</v>
      </c>
      <c r="J172" s="1889">
        <v>191.02199999999999</v>
      </c>
      <c r="K172" s="1889">
        <v>194.77600000000001</v>
      </c>
      <c r="L172" s="1889">
        <v>7537.9179999999997</v>
      </c>
      <c r="M172" s="1889">
        <v>5796.9319999999998</v>
      </c>
      <c r="N172" s="1889">
        <v>39.460999999999999</v>
      </c>
      <c r="O172" s="1889">
        <v>29.762</v>
      </c>
    </row>
    <row r="173" spans="1:15">
      <c r="A173" s="1891" t="s">
        <v>22</v>
      </c>
      <c r="B173" s="1889">
        <v>3.3959999999999999</v>
      </c>
      <c r="C173" s="1890">
        <v>0.14699999999999999</v>
      </c>
      <c r="D173" s="1890">
        <v>0.151</v>
      </c>
      <c r="E173" s="1889">
        <v>4060.9850000000001</v>
      </c>
      <c r="F173" s="1889">
        <v>369678.16399999999</v>
      </c>
      <c r="G173" s="1889">
        <v>3616.2919999999999</v>
      </c>
      <c r="H173" s="1889">
        <v>816240.87899999996</v>
      </c>
      <c r="I173" s="1889">
        <v>225.71199999999999</v>
      </c>
      <c r="J173" s="1889">
        <v>211.471</v>
      </c>
      <c r="K173" s="1889">
        <v>217.179</v>
      </c>
      <c r="L173" s="1889">
        <v>7993.9629999999997</v>
      </c>
      <c r="M173" s="1889">
        <v>6471.4059999999999</v>
      </c>
      <c r="N173" s="1889">
        <v>37.802</v>
      </c>
      <c r="O173" s="1889">
        <v>29.797999999999998</v>
      </c>
    </row>
    <row r="174" spans="1:15">
      <c r="A174" s="1891" t="s">
        <v>23</v>
      </c>
      <c r="B174" s="1889">
        <v>3.395</v>
      </c>
      <c r="C174" s="1890">
        <v>0.14399999999999999</v>
      </c>
      <c r="D174" s="1890">
        <v>0.14799999999999999</v>
      </c>
      <c r="E174" s="1889">
        <v>4196.3239999999996</v>
      </c>
      <c r="F174" s="1889">
        <v>399815.61599999998</v>
      </c>
      <c r="G174" s="1889">
        <v>3611.9870000000001</v>
      </c>
      <c r="H174" s="1889">
        <v>893213.66099999996</v>
      </c>
      <c r="I174" s="1889">
        <v>247.291</v>
      </c>
      <c r="J174" s="1889">
        <v>234.077</v>
      </c>
      <c r="K174" s="1889">
        <v>239.73</v>
      </c>
      <c r="L174" s="1889">
        <v>8784.4439999999995</v>
      </c>
      <c r="M174" s="1889">
        <v>7019.3149999999996</v>
      </c>
      <c r="N174" s="1889">
        <v>37.527999999999999</v>
      </c>
      <c r="O174" s="1889">
        <v>29.28</v>
      </c>
    </row>
    <row r="175" spans="1:15">
      <c r="A175" s="1891" t="s">
        <v>24</v>
      </c>
      <c r="B175" s="1889">
        <v>3.3849999999999998</v>
      </c>
      <c r="C175" s="1093">
        <v>0.14399999999999999</v>
      </c>
      <c r="D175" s="1890">
        <v>0.14699999999999999</v>
      </c>
      <c r="E175" s="1889">
        <v>4077.95</v>
      </c>
      <c r="F175" s="1889">
        <v>400457.91499999998</v>
      </c>
      <c r="G175" s="1889">
        <v>3513.8449999999998</v>
      </c>
      <c r="H175" s="1889">
        <v>906436.23499999999</v>
      </c>
      <c r="I175" s="1889">
        <v>257.96100000000001</v>
      </c>
      <c r="J175" s="1889">
        <v>225.047</v>
      </c>
      <c r="K175" s="1889">
        <v>230.47399999999999</v>
      </c>
      <c r="L175" s="1889">
        <v>8466.3709999999992</v>
      </c>
      <c r="M175" s="1889">
        <v>6757.6980000000003</v>
      </c>
      <c r="N175" s="1889">
        <v>37.619999999999997</v>
      </c>
      <c r="O175" s="1889">
        <v>29.321000000000002</v>
      </c>
    </row>
    <row r="176" spans="1:15">
      <c r="A176" s="1891" t="s">
        <v>25</v>
      </c>
      <c r="B176" s="1889">
        <v>3.3690000000000002</v>
      </c>
      <c r="C176" s="1093">
        <v>0.14099999999999999</v>
      </c>
      <c r="D176" s="1890">
        <v>0.14499999999999999</v>
      </c>
      <c r="E176" s="1889">
        <v>4431.9549999999999</v>
      </c>
      <c r="F176" s="1889">
        <v>404804.58100000001</v>
      </c>
      <c r="G176" s="1889">
        <v>3599.2660000000001</v>
      </c>
      <c r="H176" s="1889">
        <v>861493.75300000003</v>
      </c>
      <c r="I176" s="1889">
        <v>239.35300000000001</v>
      </c>
      <c r="J176" s="1889">
        <v>256.96199999999999</v>
      </c>
      <c r="K176" s="1889">
        <v>263.49200000000002</v>
      </c>
      <c r="L176" s="1889">
        <v>9278.1540000000005</v>
      </c>
      <c r="M176" s="1889">
        <v>7436.6880000000001</v>
      </c>
      <c r="N176" s="1889">
        <v>36.106999999999999</v>
      </c>
      <c r="O176" s="1889">
        <v>28.224</v>
      </c>
    </row>
    <row r="177" spans="1:15">
      <c r="A177" s="1891" t="s">
        <v>26</v>
      </c>
      <c r="B177" s="1889">
        <v>3.367</v>
      </c>
      <c r="C177" s="1093">
        <v>0.13700000000000001</v>
      </c>
      <c r="D177" s="1890">
        <v>0.14099999999999999</v>
      </c>
      <c r="E177" s="1889">
        <v>4426.4629999999997</v>
      </c>
      <c r="F177" s="1889">
        <v>393349.89399999997</v>
      </c>
      <c r="G177" s="1889">
        <v>3524.17</v>
      </c>
      <c r="H177" s="1889">
        <v>839955.05799999996</v>
      </c>
      <c r="I177" s="1889">
        <v>238.34100000000001</v>
      </c>
      <c r="J177" s="1889">
        <v>252.148</v>
      </c>
      <c r="K177" s="1889">
        <v>258.59699999999998</v>
      </c>
      <c r="L177" s="1889">
        <v>8823.223</v>
      </c>
      <c r="M177" s="1889">
        <v>7004.4319999999998</v>
      </c>
      <c r="N177" s="1889">
        <v>34.991999999999997</v>
      </c>
      <c r="O177" s="1889">
        <v>27.085999999999999</v>
      </c>
    </row>
    <row r="178" spans="1:15">
      <c r="A178" s="1891" t="s">
        <v>27</v>
      </c>
      <c r="B178" s="1889">
        <v>3.3650000000000002</v>
      </c>
      <c r="C178" s="1093">
        <v>0.13500000000000001</v>
      </c>
      <c r="D178" s="1890">
        <v>0.13900000000000001</v>
      </c>
      <c r="E178" s="1889">
        <v>4653.1679999999997</v>
      </c>
      <c r="F178" s="1889">
        <v>408922.64899999998</v>
      </c>
      <c r="G178" s="1889">
        <v>3833.3470000000002</v>
      </c>
      <c r="H178" s="1889">
        <v>913016.98699999996</v>
      </c>
      <c r="I178" s="1889">
        <v>238.17699999999999</v>
      </c>
      <c r="J178" s="1889">
        <v>259.67899999999997</v>
      </c>
      <c r="K178" s="1889">
        <v>266.45699999999999</v>
      </c>
      <c r="L178" s="1889">
        <v>9140.3590000000004</v>
      </c>
      <c r="M178" s="1889">
        <v>7474.1229999999996</v>
      </c>
      <c r="N178" s="1889">
        <v>35.198999999999998</v>
      </c>
      <c r="O178" s="1889">
        <v>28.05</v>
      </c>
    </row>
    <row r="179" spans="1:15">
      <c r="A179" s="1891" t="s">
        <v>28</v>
      </c>
      <c r="B179" s="1889">
        <v>3.3530000000000002</v>
      </c>
      <c r="C179" s="1093">
        <v>0.13200000000000001</v>
      </c>
      <c r="D179" s="1890">
        <v>0.13500000000000001</v>
      </c>
      <c r="E179" s="1889">
        <v>4887.18</v>
      </c>
      <c r="F179" s="1889">
        <v>417519.02500000002</v>
      </c>
      <c r="G179" s="1889">
        <v>3768.4430000000002</v>
      </c>
      <c r="H179" s="1889">
        <v>880603.55599999998</v>
      </c>
      <c r="I179" s="1889">
        <v>233.678</v>
      </c>
      <c r="J179" s="1889">
        <v>272.71499999999997</v>
      </c>
      <c r="K179" s="1889">
        <v>279.72199999999998</v>
      </c>
      <c r="L179" s="1889">
        <v>9716.1959999999999</v>
      </c>
      <c r="M179" s="1889">
        <v>8117.7830000000004</v>
      </c>
      <c r="N179" s="1889">
        <v>35.628</v>
      </c>
      <c r="O179" s="1889">
        <v>29.021000000000001</v>
      </c>
    </row>
    <row r="180" spans="1:15">
      <c r="A180" s="1891" t="s">
        <v>29</v>
      </c>
      <c r="B180" s="1889">
        <v>3.33</v>
      </c>
      <c r="C180" s="1093">
        <v>0.128</v>
      </c>
      <c r="D180" s="1890">
        <v>0.13200000000000001</v>
      </c>
      <c r="E180" s="1889">
        <v>5343.3090000000002</v>
      </c>
      <c r="F180" s="1889">
        <v>484977.766</v>
      </c>
      <c r="G180" s="1889">
        <v>4294.1790000000001</v>
      </c>
      <c r="H180" s="1889">
        <v>1050784.2169999999</v>
      </c>
      <c r="I180" s="1889">
        <v>244.7</v>
      </c>
      <c r="J180" s="1889">
        <v>284.79500000000002</v>
      </c>
      <c r="K180" s="1889">
        <v>292.66899999999998</v>
      </c>
      <c r="L180" s="1889">
        <v>10211.973</v>
      </c>
      <c r="M180" s="1889">
        <v>8386.8349999999991</v>
      </c>
      <c r="N180" s="1889">
        <v>35.856999999999999</v>
      </c>
      <c r="O180" s="1889">
        <v>28.655999999999999</v>
      </c>
    </row>
    <row r="181" spans="1:15">
      <c r="A181" s="1891" t="s">
        <v>3605</v>
      </c>
      <c r="B181" s="759">
        <f>AVERAGE(B182:B193)</f>
        <v>3.2964166666666661</v>
      </c>
      <c r="C181" s="759">
        <f t="shared" ref="C181:O181" si="10">AVERAGE(C182:C193)</f>
        <v>0.12425000000000004</v>
      </c>
      <c r="D181" s="759">
        <f t="shared" si="10"/>
        <v>0.12808333333333335</v>
      </c>
      <c r="E181" s="759">
        <f t="shared" si="10"/>
        <v>6532.3792500000009</v>
      </c>
      <c r="F181" s="759">
        <f t="shared" si="10"/>
        <v>496061.46533333341</v>
      </c>
      <c r="G181" s="759">
        <f t="shared" si="10"/>
        <v>4377.1187499999996</v>
      </c>
      <c r="H181" s="759">
        <f t="shared" si="10"/>
        <v>1003396.5681666667</v>
      </c>
      <c r="I181" s="759">
        <f t="shared" si="10"/>
        <v>229.06874999999999</v>
      </c>
      <c r="J181" s="759">
        <f t="shared" si="10"/>
        <v>424.16974999999996</v>
      </c>
      <c r="K181" s="759">
        <f t="shared" si="10"/>
        <v>437.53783333333331</v>
      </c>
      <c r="L181" s="759">
        <f t="shared" si="10"/>
        <v>11885.536666666667</v>
      </c>
      <c r="M181" s="759">
        <f t="shared" si="10"/>
        <v>10286.862833333333</v>
      </c>
      <c r="N181" s="759">
        <f t="shared" si="10"/>
        <v>28.313083333333335</v>
      </c>
      <c r="O181" s="759">
        <f t="shared" si="10"/>
        <v>23.747416666666666</v>
      </c>
    </row>
    <row r="182" spans="1:15">
      <c r="A182" s="1891" t="s">
        <v>18</v>
      </c>
      <c r="B182" s="1889">
        <v>3.2909999999999999</v>
      </c>
      <c r="C182" s="1093">
        <v>0.127</v>
      </c>
      <c r="D182" s="1890">
        <v>0.13</v>
      </c>
      <c r="E182" s="1889">
        <v>5103.4340000000002</v>
      </c>
      <c r="F182" s="1889">
        <v>385038.16100000002</v>
      </c>
      <c r="G182" s="1889">
        <v>3478.3159999999998</v>
      </c>
      <c r="H182" s="1889">
        <v>749111.83200000005</v>
      </c>
      <c r="I182" s="1889">
        <v>215.36600000000001</v>
      </c>
      <c r="J182" s="1889">
        <v>303.10199999999998</v>
      </c>
      <c r="K182" s="1889">
        <v>311.67</v>
      </c>
      <c r="L182" s="1889">
        <v>9304.6170000000002</v>
      </c>
      <c r="M182" s="1889">
        <v>8083.7179999999998</v>
      </c>
      <c r="N182" s="1889">
        <v>30.698</v>
      </c>
      <c r="O182" s="1889">
        <v>25.937000000000001</v>
      </c>
    </row>
    <row r="183" spans="1:15">
      <c r="A183" s="1891" t="s">
        <v>19</v>
      </c>
      <c r="B183" s="1889">
        <v>3.2959999999999998</v>
      </c>
      <c r="C183" s="1093">
        <v>0.128</v>
      </c>
      <c r="D183" s="1890">
        <v>0.13200000000000001</v>
      </c>
      <c r="E183" s="1889">
        <v>5198.2309999999998</v>
      </c>
      <c r="F183" s="1889">
        <v>432891.054</v>
      </c>
      <c r="G183" s="1889">
        <v>3851.0610000000001</v>
      </c>
      <c r="H183" s="1889">
        <v>919203.24699999997</v>
      </c>
      <c r="I183" s="1889">
        <v>238.68799999999999</v>
      </c>
      <c r="J183" s="1889">
        <v>304.27199999999999</v>
      </c>
      <c r="K183" s="1889">
        <v>313.14400000000001</v>
      </c>
      <c r="L183" s="1889">
        <v>9546.348</v>
      </c>
      <c r="M183" s="1889">
        <v>8097.34</v>
      </c>
      <c r="N183" s="1889">
        <v>31.373999999999999</v>
      </c>
      <c r="O183" s="1889">
        <v>25.858000000000001</v>
      </c>
    </row>
    <row r="184" spans="1:15">
      <c r="A184" s="1891" t="s">
        <v>20</v>
      </c>
      <c r="B184" s="1889">
        <v>3.3039999999999998</v>
      </c>
      <c r="C184" s="1093">
        <v>0.126</v>
      </c>
      <c r="D184" s="1890">
        <v>0.129</v>
      </c>
      <c r="E184" s="1889">
        <v>6049.55</v>
      </c>
      <c r="F184" s="1889">
        <v>491658.08600000001</v>
      </c>
      <c r="G184" s="1889">
        <v>4437.2569999999996</v>
      </c>
      <c r="H184" s="1889">
        <v>1024050.81</v>
      </c>
      <c r="I184" s="1889">
        <v>230.785</v>
      </c>
      <c r="J184" s="1889">
        <v>364.30799999999999</v>
      </c>
      <c r="K184" s="1889">
        <v>374.81200000000001</v>
      </c>
      <c r="L184" s="1889">
        <v>11301.66</v>
      </c>
      <c r="M184" s="1889">
        <v>9816.3610000000008</v>
      </c>
      <c r="N184" s="1889">
        <v>31.021999999999998</v>
      </c>
      <c r="O184" s="1889">
        <v>26.19</v>
      </c>
    </row>
    <row r="185" spans="1:15">
      <c r="A185" s="1891" t="s">
        <v>21</v>
      </c>
      <c r="B185" s="1889">
        <v>3.3039999999999998</v>
      </c>
      <c r="C185" s="1093">
        <v>0.126</v>
      </c>
      <c r="D185" s="1890">
        <v>0.129</v>
      </c>
      <c r="E185" s="1889">
        <v>5616.2129999999997</v>
      </c>
      <c r="F185" s="1889">
        <v>437463.58299999998</v>
      </c>
      <c r="G185" s="1889">
        <v>3969.248</v>
      </c>
      <c r="H185" s="1889">
        <v>901542.88100000005</v>
      </c>
      <c r="I185" s="1889">
        <v>227.13200000000001</v>
      </c>
      <c r="J185" s="1889">
        <v>345.19600000000003</v>
      </c>
      <c r="K185" s="1889">
        <v>355.34100000000001</v>
      </c>
      <c r="L185" s="1889">
        <v>10116.566999999999</v>
      </c>
      <c r="M185" s="1889">
        <v>8652.0419999999995</v>
      </c>
      <c r="N185" s="1889">
        <v>29.306999999999999</v>
      </c>
      <c r="O185" s="1889">
        <v>24.349</v>
      </c>
    </row>
    <row r="186" spans="1:15">
      <c r="A186" s="1891" t="s">
        <v>22</v>
      </c>
      <c r="B186" s="1889">
        <v>3.3039999999999998</v>
      </c>
      <c r="C186" s="1093">
        <v>0.126</v>
      </c>
      <c r="D186" s="1890">
        <v>0.129</v>
      </c>
      <c r="E186" s="1889">
        <v>6771.2849999999999</v>
      </c>
      <c r="F186" s="1889">
        <v>512305.48800000001</v>
      </c>
      <c r="G186" s="1889">
        <v>4688.777</v>
      </c>
      <c r="H186" s="1889">
        <v>1041175.921</v>
      </c>
      <c r="I186" s="1889">
        <v>222.05699999999999</v>
      </c>
      <c r="J186" s="1889">
        <v>431.05</v>
      </c>
      <c r="K186" s="1889">
        <v>443.68200000000002</v>
      </c>
      <c r="L186" s="1889">
        <v>12239.073</v>
      </c>
      <c r="M186" s="1889">
        <v>10581.99</v>
      </c>
      <c r="N186" s="1889">
        <v>28.393999999999998</v>
      </c>
      <c r="O186" s="1889">
        <v>23.85</v>
      </c>
    </row>
    <row r="187" spans="1:15">
      <c r="A187" s="1891" t="s">
        <v>23</v>
      </c>
      <c r="B187" s="1889">
        <v>3.294</v>
      </c>
      <c r="C187" s="1093">
        <v>0.124</v>
      </c>
      <c r="D187" s="1890">
        <v>0.128</v>
      </c>
      <c r="E187" s="1889">
        <v>5924.5450000000001</v>
      </c>
      <c r="F187" s="1889">
        <v>464899.14</v>
      </c>
      <c r="G187" s="1889">
        <v>4085.5349999999999</v>
      </c>
      <c r="H187" s="1889">
        <v>969805.47400000005</v>
      </c>
      <c r="I187" s="1889">
        <v>237.375</v>
      </c>
      <c r="J187" s="1889">
        <v>389.005</v>
      </c>
      <c r="K187" s="1889">
        <v>400.79700000000003</v>
      </c>
      <c r="L187" s="1889">
        <v>10996.956</v>
      </c>
      <c r="M187" s="1889">
        <v>9471.1329999999998</v>
      </c>
      <c r="N187" s="1889">
        <v>28.268999999999998</v>
      </c>
      <c r="O187" s="1889">
        <v>23.631</v>
      </c>
    </row>
    <row r="188" spans="1:15">
      <c r="A188" s="1891" t="s">
        <v>24</v>
      </c>
      <c r="B188" s="1889">
        <v>3.294</v>
      </c>
      <c r="C188" s="1093">
        <v>0.124</v>
      </c>
      <c r="D188" s="1890">
        <v>0.128</v>
      </c>
      <c r="E188" s="1889">
        <v>7294.8819999999996</v>
      </c>
      <c r="F188" s="1889">
        <v>551354.95600000001</v>
      </c>
      <c r="G188" s="1889">
        <v>4811.1940000000004</v>
      </c>
      <c r="H188" s="1889">
        <v>1110804.8130000001</v>
      </c>
      <c r="I188" s="1889">
        <v>230.87899999999999</v>
      </c>
      <c r="J188" s="1889">
        <v>492.43900000000002</v>
      </c>
      <c r="K188" s="1889">
        <v>507.26299999999998</v>
      </c>
      <c r="L188" s="1889">
        <v>13543.364</v>
      </c>
      <c r="M188" s="1889">
        <v>11969.558999999999</v>
      </c>
      <c r="N188" s="1889">
        <v>27.503</v>
      </c>
      <c r="O188" s="1889">
        <v>23.596</v>
      </c>
    </row>
    <row r="189" spans="1:15">
      <c r="A189" s="1891" t="s">
        <v>25</v>
      </c>
      <c r="B189" s="1889">
        <v>3.294</v>
      </c>
      <c r="C189" s="1093">
        <v>0.13</v>
      </c>
      <c r="D189" s="1890">
        <v>0.128</v>
      </c>
      <c r="E189" s="1889">
        <v>7009.7839999999997</v>
      </c>
      <c r="F189" s="1889">
        <v>516827.81599999999</v>
      </c>
      <c r="G189" s="1889">
        <v>4351.4089999999997</v>
      </c>
      <c r="H189" s="1889">
        <v>997486.36699999997</v>
      </c>
      <c r="I189" s="1889">
        <v>229.233</v>
      </c>
      <c r="J189" s="1889">
        <v>503.56</v>
      </c>
      <c r="K189" s="1889">
        <v>520.79300000000001</v>
      </c>
      <c r="L189" s="1889">
        <v>13119.11</v>
      </c>
      <c r="M189" s="1889">
        <v>11537.877</v>
      </c>
      <c r="N189" s="1889">
        <v>26.053000000000001</v>
      </c>
      <c r="O189" s="1889">
        <v>22.154</v>
      </c>
    </row>
    <row r="190" spans="1:15">
      <c r="A190" s="1891" t="s">
        <v>26</v>
      </c>
      <c r="B190" s="1889">
        <v>3.294</v>
      </c>
      <c r="C190" s="1093">
        <v>0.12</v>
      </c>
      <c r="D190" s="1890">
        <v>0.128</v>
      </c>
      <c r="E190" s="1889">
        <v>6712.7139999999999</v>
      </c>
      <c r="F190" s="1889">
        <v>490310.766</v>
      </c>
      <c r="G190" s="1889">
        <v>4234.3680000000004</v>
      </c>
      <c r="H190" s="1889">
        <v>968456.85</v>
      </c>
      <c r="I190" s="1889">
        <v>228.71299999999999</v>
      </c>
      <c r="J190" s="1889">
        <v>462.834</v>
      </c>
      <c r="K190" s="1889">
        <v>478.81200000000001</v>
      </c>
      <c r="L190" s="1889">
        <v>11929.569</v>
      </c>
      <c r="M190" s="1889">
        <v>10490.868</v>
      </c>
      <c r="N190" s="1889">
        <v>25.774999999999999</v>
      </c>
      <c r="O190" s="1889">
        <v>21.91</v>
      </c>
    </row>
    <row r="191" spans="1:15">
      <c r="A191" s="1891" t="s">
        <v>27</v>
      </c>
      <c r="B191" s="1889">
        <v>3.294</v>
      </c>
      <c r="C191" s="1093">
        <v>0.12</v>
      </c>
      <c r="D191" s="1890">
        <v>0.128</v>
      </c>
      <c r="E191" s="1889">
        <v>7449.5680000000002</v>
      </c>
      <c r="F191" s="1889">
        <v>544721.34499999997</v>
      </c>
      <c r="G191" s="1889">
        <v>4933.3419999999996</v>
      </c>
      <c r="H191" s="1889">
        <v>1095331.68</v>
      </c>
      <c r="I191" s="1889">
        <v>222.02600000000001</v>
      </c>
      <c r="J191" s="1889">
        <v>496.35199999999998</v>
      </c>
      <c r="K191" s="1889">
        <v>513.17499999999995</v>
      </c>
      <c r="L191" s="1889">
        <v>12782.322</v>
      </c>
      <c r="M191" s="1889">
        <v>11295.735000000001</v>
      </c>
      <c r="N191" s="1889">
        <v>25.753</v>
      </c>
      <c r="O191" s="1889">
        <v>22.010999999999999</v>
      </c>
    </row>
    <row r="192" spans="1:15">
      <c r="A192" s="1891" t="s">
        <v>28</v>
      </c>
      <c r="B192" s="1889">
        <v>3.294</v>
      </c>
      <c r="C192" s="1093">
        <v>0.12</v>
      </c>
      <c r="D192" s="1890">
        <v>0.128</v>
      </c>
      <c r="E192" s="1889">
        <v>7326.598</v>
      </c>
      <c r="F192" s="1889">
        <v>527343.46200000006</v>
      </c>
      <c r="G192" s="1889">
        <v>4550.88</v>
      </c>
      <c r="H192" s="1889">
        <v>1027033.574</v>
      </c>
      <c r="I192" s="1889">
        <v>225.678</v>
      </c>
      <c r="J192" s="1889">
        <v>499.529</v>
      </c>
      <c r="K192" s="1889">
        <v>516.28200000000004</v>
      </c>
      <c r="L192" s="1889">
        <v>13928.794</v>
      </c>
      <c r="M192" s="1889">
        <v>11639.204</v>
      </c>
      <c r="N192" s="1889">
        <v>27.884</v>
      </c>
      <c r="O192" s="1889">
        <v>22.544</v>
      </c>
    </row>
    <row r="193" spans="1:15">
      <c r="A193" s="1891" t="s">
        <v>29</v>
      </c>
      <c r="B193" s="1889">
        <v>3.294</v>
      </c>
      <c r="C193" s="1093">
        <v>0.12</v>
      </c>
      <c r="D193" s="1890">
        <v>0.12</v>
      </c>
      <c r="E193" s="1889">
        <v>7931.7470000000003</v>
      </c>
      <c r="F193" s="1889">
        <v>597923.72699999996</v>
      </c>
      <c r="G193" s="1889">
        <v>5134.0379999999996</v>
      </c>
      <c r="H193" s="1889">
        <v>1236755.3689999999</v>
      </c>
      <c r="I193" s="1889">
        <v>240.893</v>
      </c>
      <c r="J193" s="1889">
        <v>498.39</v>
      </c>
      <c r="K193" s="1889">
        <v>514.68299999999999</v>
      </c>
      <c r="L193" s="1889">
        <v>13818.06</v>
      </c>
      <c r="M193" s="1889">
        <v>11806.527</v>
      </c>
      <c r="N193" s="1889">
        <v>27.725000000000001</v>
      </c>
      <c r="O193" s="1889">
        <v>22.939</v>
      </c>
    </row>
    <row r="194" spans="1:15">
      <c r="A194" s="1891" t="s">
        <v>4086</v>
      </c>
      <c r="B194" s="1889"/>
      <c r="C194" s="1093"/>
      <c r="D194" s="1890"/>
      <c r="E194" s="1889"/>
      <c r="F194" s="1889"/>
      <c r="G194" s="1889"/>
      <c r="H194" s="1889"/>
      <c r="I194" s="1889"/>
      <c r="J194" s="1889"/>
      <c r="K194" s="1889"/>
      <c r="L194" s="1889"/>
      <c r="M194" s="1889"/>
      <c r="N194" s="1889"/>
      <c r="O194" s="1889"/>
    </row>
    <row r="195" spans="1:15">
      <c r="A195" s="1891" t="s">
        <v>18</v>
      </c>
      <c r="B195" s="1889">
        <v>3.294</v>
      </c>
      <c r="C195" s="1093">
        <v>0.12</v>
      </c>
      <c r="D195" s="1890">
        <v>0.12</v>
      </c>
      <c r="E195" s="1889">
        <v>7425.5259999999998</v>
      </c>
      <c r="F195" s="1889">
        <v>478608.35800000001</v>
      </c>
      <c r="G195" s="1889">
        <v>4206.4769999999999</v>
      </c>
      <c r="H195" s="1889">
        <v>901404.56799999997</v>
      </c>
      <c r="I195" s="1889">
        <v>214.29</v>
      </c>
      <c r="J195" s="1889">
        <v>485.971</v>
      </c>
      <c r="K195" s="1889">
        <v>501.61700000000002</v>
      </c>
      <c r="L195" s="1889">
        <v>12039.179</v>
      </c>
      <c r="M195" s="1889">
        <v>10817.314</v>
      </c>
      <c r="N195" s="1889">
        <v>24.773</v>
      </c>
      <c r="O195" s="1889">
        <v>21.565000000000001</v>
      </c>
    </row>
    <row r="196" spans="1:15" ht="13.2" customHeight="1">
      <c r="A196" s="1888" t="s">
        <v>19</v>
      </c>
      <c r="B196" s="1886">
        <v>3.294</v>
      </c>
      <c r="C196" s="1887">
        <v>0.11</v>
      </c>
      <c r="D196" s="1887">
        <v>0.12</v>
      </c>
      <c r="E196" s="1886">
        <v>7509.4650000000001</v>
      </c>
      <c r="F196" s="1886">
        <v>533240.11300000001</v>
      </c>
      <c r="G196" s="1886">
        <v>4482.5209999999997</v>
      </c>
      <c r="H196" s="1886">
        <v>1074049.879</v>
      </c>
      <c r="I196" s="1886">
        <v>239.608</v>
      </c>
      <c r="J196" s="1886">
        <v>477.95499999999998</v>
      </c>
      <c r="K196" s="1886">
        <v>492.81599999999997</v>
      </c>
      <c r="L196" s="1886">
        <v>11812.852999999999</v>
      </c>
      <c r="M196" s="1886">
        <v>10227.028</v>
      </c>
      <c r="N196" s="1886">
        <v>24.715</v>
      </c>
      <c r="O196" s="1886">
        <v>20.751999999999999</v>
      </c>
    </row>
    <row r="197" spans="1:15" s="1885" customFormat="1" ht="15.75" customHeight="1">
      <c r="A197" s="2725" t="s">
        <v>3749</v>
      </c>
      <c r="B197" s="2725"/>
      <c r="C197" s="2725"/>
      <c r="D197" s="2725"/>
      <c r="E197" s="2725"/>
      <c r="F197" s="2725"/>
      <c r="G197" s="2725"/>
      <c r="H197" s="2725"/>
      <c r="I197" s="2725"/>
      <c r="J197" s="2725"/>
      <c r="K197" s="2725"/>
      <c r="L197" s="2725"/>
      <c r="M197" s="2725"/>
      <c r="N197" s="2725"/>
      <c r="O197" s="2726"/>
    </row>
    <row r="198" spans="1:15" s="1885" customFormat="1" ht="16.2">
      <c r="A198" s="2727" t="s">
        <v>3442</v>
      </c>
      <c r="B198" s="2728"/>
      <c r="C198" s="2728"/>
      <c r="D198" s="2728"/>
      <c r="E198" s="2728"/>
      <c r="F198" s="2728"/>
      <c r="G198" s="2728"/>
      <c r="H198" s="2728"/>
      <c r="I198" s="2728"/>
      <c r="J198" s="2728"/>
      <c r="K198" s="2728"/>
      <c r="L198" s="2728"/>
      <c r="M198" s="2728"/>
      <c r="N198" s="2728"/>
      <c r="O198" s="2728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97:O197"/>
    <mergeCell ref="A198:O198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4"/>
  <sheetViews>
    <sheetView showGridLines="0" view="pageBreakPreview" zoomScaleSheetLayoutView="100" workbookViewId="0">
      <pane ySplit="12" topLeftCell="A190" activePane="bottomLeft" state="frozen"/>
      <selection activeCell="G291" sqref="G291"/>
      <selection pane="bottomLeft" activeCell="G216" sqref="G216"/>
    </sheetView>
  </sheetViews>
  <sheetFormatPr defaultColWidth="8.88671875" defaultRowHeight="13.8"/>
  <cols>
    <col min="1" max="1" width="6.33203125" style="1903" customWidth="1"/>
    <col min="2" max="2" width="16.33203125" style="1901" customWidth="1"/>
    <col min="3" max="3" width="10.109375" style="1901" bestFit="1" customWidth="1"/>
    <col min="4" max="4" width="12.5546875" style="1901" customWidth="1"/>
    <col min="5" max="5" width="7.6640625" style="1901" customWidth="1"/>
    <col min="6" max="6" width="14.109375" style="1901" customWidth="1"/>
    <col min="7" max="7" width="11.109375" style="1901" customWidth="1"/>
    <col min="8" max="8" width="9.5546875" style="1901" customWidth="1"/>
    <col min="9" max="9" width="8.5546875" style="1901" bestFit="1" customWidth="1"/>
    <col min="10" max="10" width="11.6640625" style="1901" customWidth="1"/>
    <col min="11" max="11" width="11.5546875" style="1901" customWidth="1"/>
    <col min="12" max="12" width="11.88671875" style="1901" customWidth="1"/>
    <col min="13" max="16" width="13.6640625" style="1902" customWidth="1"/>
    <col min="17" max="23" width="8.88671875" style="1901" customWidth="1"/>
    <col min="24" max="16384" width="8.88671875" style="1901"/>
  </cols>
  <sheetData>
    <row r="1" spans="1:16" ht="9" customHeight="1"/>
    <row r="2" spans="1:16" ht="24" customHeight="1">
      <c r="A2" s="2629" t="s">
        <v>3979</v>
      </c>
      <c r="B2" s="2629"/>
      <c r="C2" s="2629"/>
      <c r="D2" s="2629"/>
      <c r="E2" s="2629"/>
      <c r="F2" s="2629"/>
      <c r="G2" s="2629"/>
      <c r="H2" s="2629"/>
      <c r="I2" s="2629"/>
      <c r="J2" s="2629"/>
      <c r="K2" s="2629"/>
      <c r="L2" s="2629"/>
      <c r="M2" s="2629"/>
      <c r="N2" s="2629"/>
      <c r="O2" s="2629"/>
      <c r="P2" s="2629"/>
    </row>
    <row r="3" spans="1:16" ht="28.5" customHeight="1">
      <c r="A3" s="2738" t="s">
        <v>3980</v>
      </c>
      <c r="B3" s="2738"/>
      <c r="C3" s="2738"/>
      <c r="D3" s="2738"/>
      <c r="E3" s="2738"/>
      <c r="F3" s="2738"/>
      <c r="G3" s="2738"/>
      <c r="H3" s="2738"/>
      <c r="I3" s="2738"/>
      <c r="J3" s="2738"/>
      <c r="K3" s="2738"/>
      <c r="L3" s="2738"/>
      <c r="M3" s="2738"/>
      <c r="N3" s="2738"/>
      <c r="O3" s="2738"/>
      <c r="P3" s="2738"/>
    </row>
    <row r="4" spans="1:16" ht="13.5" customHeight="1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16" ht="13.5" customHeight="1">
      <c r="A5" s="2740"/>
      <c r="B5" s="2740"/>
      <c r="C5" s="2740"/>
      <c r="D5" s="2740"/>
      <c r="E5" s="2740"/>
      <c r="F5" s="2740"/>
      <c r="G5" s="2740"/>
      <c r="H5" s="2740"/>
      <c r="I5" s="2740"/>
      <c r="J5" s="2740"/>
      <c r="K5" s="2740"/>
      <c r="L5" s="2740"/>
      <c r="M5" s="2740"/>
      <c r="N5" s="2740"/>
      <c r="O5" s="2740"/>
      <c r="P5" s="2740"/>
    </row>
    <row r="6" spans="1:16" ht="14.4" customHeight="1">
      <c r="A6" s="2762" t="s">
        <v>182</v>
      </c>
      <c r="B6" s="2753" t="s">
        <v>3865</v>
      </c>
      <c r="C6" s="2741" t="s">
        <v>144</v>
      </c>
      <c r="D6" s="2741"/>
      <c r="E6" s="2741"/>
      <c r="F6" s="2753" t="s">
        <v>3866</v>
      </c>
      <c r="G6" s="2741" t="s">
        <v>144</v>
      </c>
      <c r="H6" s="2741"/>
      <c r="I6" s="2741"/>
      <c r="J6" s="2729" t="s">
        <v>1012</v>
      </c>
      <c r="K6" s="2729"/>
      <c r="L6" s="2729"/>
      <c r="M6" s="2742" t="s">
        <v>3855</v>
      </c>
      <c r="N6" s="2743"/>
      <c r="O6" s="2743"/>
      <c r="P6" s="2744"/>
    </row>
    <row r="7" spans="1:16" ht="69" customHeight="1">
      <c r="A7" s="2763"/>
      <c r="B7" s="2754"/>
      <c r="C7" s="2752" t="s">
        <v>1013</v>
      </c>
      <c r="D7" s="2752" t="s">
        <v>1014</v>
      </c>
      <c r="E7" s="2752" t="s">
        <v>1015</v>
      </c>
      <c r="F7" s="2754"/>
      <c r="G7" s="2752" t="s">
        <v>1016</v>
      </c>
      <c r="H7" s="2752" t="s">
        <v>1863</v>
      </c>
      <c r="I7" s="2752" t="s">
        <v>1017</v>
      </c>
      <c r="J7" s="2752" t="s">
        <v>1013</v>
      </c>
      <c r="K7" s="2752" t="s">
        <v>1014</v>
      </c>
      <c r="L7" s="2752" t="s">
        <v>1015</v>
      </c>
      <c r="M7" s="2742" t="s">
        <v>3856</v>
      </c>
      <c r="N7" s="2744"/>
      <c r="O7" s="2742" t="s">
        <v>3857</v>
      </c>
      <c r="P7" s="2744"/>
    </row>
    <row r="8" spans="1:16" ht="39" customHeight="1">
      <c r="A8" s="2764"/>
      <c r="B8" s="2755"/>
      <c r="C8" s="2752"/>
      <c r="D8" s="2752"/>
      <c r="E8" s="2752"/>
      <c r="F8" s="2755"/>
      <c r="G8" s="2752"/>
      <c r="H8" s="2752"/>
      <c r="I8" s="2752"/>
      <c r="J8" s="2752"/>
      <c r="K8" s="2752"/>
      <c r="L8" s="2752"/>
      <c r="M8" s="1643" t="s">
        <v>3858</v>
      </c>
      <c r="N8" s="1643" t="s">
        <v>3859</v>
      </c>
      <c r="O8" s="1643" t="s">
        <v>3858</v>
      </c>
      <c r="P8" s="1643" t="s">
        <v>3859</v>
      </c>
    </row>
    <row r="9" spans="1:16" ht="33" customHeight="1">
      <c r="A9" s="2756" t="s">
        <v>304</v>
      </c>
      <c r="B9" s="2749" t="s">
        <v>3867</v>
      </c>
      <c r="C9" s="1763"/>
      <c r="D9" s="1764" t="s">
        <v>1217</v>
      </c>
      <c r="E9" s="1765"/>
      <c r="F9" s="2749" t="s">
        <v>3868</v>
      </c>
      <c r="G9" s="2759" t="s">
        <v>149</v>
      </c>
      <c r="H9" s="2760"/>
      <c r="I9" s="2761"/>
      <c r="J9" s="2730" t="s">
        <v>1222</v>
      </c>
      <c r="K9" s="2731"/>
      <c r="L9" s="2732"/>
      <c r="M9" s="2745" t="s">
        <v>3860</v>
      </c>
      <c r="N9" s="2746"/>
      <c r="O9" s="2746"/>
      <c r="P9" s="2746"/>
    </row>
    <row r="10" spans="1:16" ht="22.2" hidden="1" customHeight="1">
      <c r="A10" s="2757"/>
      <c r="B10" s="2750"/>
      <c r="C10" s="2739" t="s">
        <v>1213</v>
      </c>
      <c r="D10" s="2739" t="s">
        <v>1218</v>
      </c>
      <c r="E10" s="2739" t="s">
        <v>1219</v>
      </c>
      <c r="F10" s="2750"/>
      <c r="G10" s="2739" t="s">
        <v>1221</v>
      </c>
      <c r="H10" s="2739" t="s">
        <v>1864</v>
      </c>
      <c r="I10" s="2739" t="s">
        <v>1220</v>
      </c>
      <c r="J10" s="2739" t="s">
        <v>1213</v>
      </c>
      <c r="K10" s="2739" t="s">
        <v>1218</v>
      </c>
      <c r="L10" s="2739" t="s">
        <v>1219</v>
      </c>
      <c r="M10" s="2747"/>
      <c r="N10" s="2748"/>
      <c r="O10" s="2748"/>
      <c r="P10" s="2748"/>
    </row>
    <row r="11" spans="1:16" ht="84" customHeight="1">
      <c r="A11" s="2757"/>
      <c r="B11" s="2750"/>
      <c r="C11" s="2739"/>
      <c r="D11" s="2739"/>
      <c r="E11" s="2739"/>
      <c r="F11" s="2750"/>
      <c r="G11" s="2739"/>
      <c r="H11" s="2739"/>
      <c r="I11" s="2739"/>
      <c r="J11" s="2739"/>
      <c r="K11" s="2739"/>
      <c r="L11" s="2739"/>
      <c r="M11" s="2730" t="s">
        <v>3861</v>
      </c>
      <c r="N11" s="2731"/>
      <c r="O11" s="2730" t="s">
        <v>3862</v>
      </c>
      <c r="P11" s="2731"/>
    </row>
    <row r="12" spans="1:16" ht="32.25" customHeight="1">
      <c r="A12" s="2758"/>
      <c r="B12" s="2751"/>
      <c r="C12" s="2739"/>
      <c r="D12" s="2739"/>
      <c r="E12" s="2739"/>
      <c r="F12" s="2751"/>
      <c r="G12" s="2739"/>
      <c r="H12" s="2739"/>
      <c r="I12" s="2739"/>
      <c r="J12" s="2739"/>
      <c r="K12" s="2739"/>
      <c r="L12" s="2739"/>
      <c r="M12" s="1758" t="s">
        <v>3863</v>
      </c>
      <c r="N12" s="1758" t="s">
        <v>3864</v>
      </c>
      <c r="O12" s="1758" t="s">
        <v>3863</v>
      </c>
      <c r="P12" s="1758" t="s">
        <v>3864</v>
      </c>
    </row>
    <row r="13" spans="1:16" ht="15" customHeight="1">
      <c r="A13" s="1918">
        <v>2009</v>
      </c>
      <c r="B13" s="1917">
        <v>1941067</v>
      </c>
      <c r="C13" s="1917">
        <v>1870679</v>
      </c>
      <c r="D13" s="1917">
        <v>37190</v>
      </c>
      <c r="E13" s="1917">
        <v>70388</v>
      </c>
      <c r="F13" s="1917">
        <v>2262771</v>
      </c>
      <c r="G13" s="1917">
        <v>2062134</v>
      </c>
      <c r="H13" s="1917"/>
      <c r="I13" s="1917">
        <v>200637</v>
      </c>
      <c r="J13" s="1917">
        <v>1979434</v>
      </c>
      <c r="K13" s="1917">
        <v>41530</v>
      </c>
      <c r="L13" s="1917">
        <v>82700</v>
      </c>
      <c r="M13" s="1644"/>
      <c r="N13" s="1644"/>
      <c r="O13" s="1644"/>
      <c r="P13" s="1644"/>
    </row>
    <row r="14" spans="1:16" hidden="1">
      <c r="A14" s="1916" t="s">
        <v>1002</v>
      </c>
      <c r="B14" s="1914">
        <v>1941067</v>
      </c>
      <c r="C14" s="1914">
        <v>1870679</v>
      </c>
      <c r="D14" s="1914">
        <v>37190</v>
      </c>
      <c r="E14" s="1914">
        <v>70388</v>
      </c>
      <c r="F14" s="1914">
        <v>2262771</v>
      </c>
      <c r="G14" s="1914">
        <v>2062134</v>
      </c>
      <c r="H14" s="1914"/>
      <c r="I14" s="1914">
        <v>200637</v>
      </c>
      <c r="J14" s="1914">
        <v>1979434</v>
      </c>
      <c r="K14" s="1914">
        <v>41530</v>
      </c>
      <c r="L14" s="1914">
        <v>82700</v>
      </c>
      <c r="M14" s="1644"/>
      <c r="N14" s="1644"/>
      <c r="O14" s="1644"/>
      <c r="P14" s="1644"/>
    </row>
    <row r="15" spans="1:16">
      <c r="A15" s="1910">
        <v>2010</v>
      </c>
      <c r="B15" s="1914">
        <v>2588957</v>
      </c>
      <c r="C15" s="1914">
        <v>2494325</v>
      </c>
      <c r="D15" s="1914">
        <v>57965</v>
      </c>
      <c r="E15" s="1914">
        <v>94632</v>
      </c>
      <c r="F15" s="1914">
        <v>3173876</v>
      </c>
      <c r="G15" s="1914">
        <v>2896583</v>
      </c>
      <c r="H15" s="1914"/>
      <c r="I15" s="1914">
        <v>277293</v>
      </c>
      <c r="J15" s="1914">
        <v>2772884</v>
      </c>
      <c r="K15" s="1914">
        <v>68717</v>
      </c>
      <c r="L15" s="1914">
        <v>123699</v>
      </c>
      <c r="M15" s="1644"/>
      <c r="N15" s="1644"/>
      <c r="O15" s="1644"/>
      <c r="P15" s="1644"/>
    </row>
    <row r="16" spans="1:16" hidden="1">
      <c r="A16" s="1910" t="s">
        <v>18</v>
      </c>
      <c r="B16" s="1914">
        <v>1982853</v>
      </c>
      <c r="C16" s="1914">
        <v>1911512</v>
      </c>
      <c r="D16" s="1914">
        <v>37647</v>
      </c>
      <c r="E16" s="1914">
        <v>71341</v>
      </c>
      <c r="F16" s="1914">
        <v>2308743</v>
      </c>
      <c r="G16" s="1914">
        <v>2100858</v>
      </c>
      <c r="H16" s="1914"/>
      <c r="I16" s="1914">
        <v>207885</v>
      </c>
      <c r="J16" s="1914">
        <v>2017075</v>
      </c>
      <c r="K16" s="1914">
        <v>41723</v>
      </c>
      <c r="L16" s="1914">
        <v>83783</v>
      </c>
      <c r="M16" s="1644"/>
      <c r="N16" s="1644"/>
      <c r="O16" s="1644"/>
      <c r="P16" s="1644"/>
    </row>
    <row r="17" spans="1:16" hidden="1">
      <c r="A17" s="1910" t="s">
        <v>19</v>
      </c>
      <c r="B17" s="1914">
        <v>2032673</v>
      </c>
      <c r="C17" s="1914">
        <v>1959886</v>
      </c>
      <c r="D17" s="1914">
        <v>38333</v>
      </c>
      <c r="E17" s="1914">
        <v>72787</v>
      </c>
      <c r="F17" s="1914">
        <v>2367720</v>
      </c>
      <c r="G17" s="1914">
        <v>2150296</v>
      </c>
      <c r="H17" s="1914"/>
      <c r="I17" s="1914">
        <v>217424</v>
      </c>
      <c r="J17" s="1914">
        <v>2065387</v>
      </c>
      <c r="K17" s="1914">
        <v>42540</v>
      </c>
      <c r="L17" s="1914">
        <v>84909</v>
      </c>
      <c r="M17" s="1644"/>
      <c r="N17" s="1644"/>
      <c r="O17" s="1644"/>
      <c r="P17" s="1644"/>
    </row>
    <row r="18" spans="1:16" hidden="1">
      <c r="A18" s="1910" t="s">
        <v>20</v>
      </c>
      <c r="B18" s="1914">
        <v>2071691</v>
      </c>
      <c r="C18" s="1914">
        <v>1996066</v>
      </c>
      <c r="D18" s="1914">
        <v>44110</v>
      </c>
      <c r="E18" s="1914">
        <v>75625</v>
      </c>
      <c r="F18" s="1914">
        <v>2426570</v>
      </c>
      <c r="G18" s="1914">
        <v>2202328</v>
      </c>
      <c r="H18" s="1914"/>
      <c r="I18" s="1914">
        <v>224242</v>
      </c>
      <c r="J18" s="1914">
        <v>2118964</v>
      </c>
      <c r="K18" s="1914">
        <v>48723</v>
      </c>
      <c r="L18" s="1914">
        <v>83364</v>
      </c>
      <c r="M18" s="1644"/>
      <c r="N18" s="1644"/>
      <c r="O18" s="1644"/>
      <c r="P18" s="1644"/>
    </row>
    <row r="19" spans="1:16" hidden="1">
      <c r="A19" s="1910" t="s">
        <v>21</v>
      </c>
      <c r="B19" s="1914">
        <v>2125741</v>
      </c>
      <c r="C19" s="1914">
        <v>2045974</v>
      </c>
      <c r="D19" s="1914">
        <v>50799</v>
      </c>
      <c r="E19" s="1914">
        <v>79767</v>
      </c>
      <c r="F19" s="1914">
        <v>2460337</v>
      </c>
      <c r="G19" s="1914">
        <v>2229516</v>
      </c>
      <c r="H19" s="1914"/>
      <c r="I19" s="1914">
        <v>230821</v>
      </c>
      <c r="J19" s="1914">
        <v>2142588</v>
      </c>
      <c r="K19" s="1914">
        <v>55586</v>
      </c>
      <c r="L19" s="1914">
        <v>86928</v>
      </c>
      <c r="M19" s="1644"/>
      <c r="N19" s="1644"/>
      <c r="O19" s="1644"/>
      <c r="P19" s="1644"/>
    </row>
    <row r="20" spans="1:16" hidden="1">
      <c r="A20" s="1910" t="s">
        <v>22</v>
      </c>
      <c r="B20" s="1914">
        <v>2192577</v>
      </c>
      <c r="C20" s="1914">
        <v>2111006</v>
      </c>
      <c r="D20" s="1914">
        <v>51389</v>
      </c>
      <c r="E20" s="1914">
        <v>81571</v>
      </c>
      <c r="F20" s="1914">
        <v>2537995</v>
      </c>
      <c r="G20" s="1915">
        <v>2291771</v>
      </c>
      <c r="H20" s="1915"/>
      <c r="I20" s="1915">
        <v>241315</v>
      </c>
      <c r="J20" s="1914">
        <v>2205517</v>
      </c>
      <c r="K20" s="1914">
        <v>56321</v>
      </c>
      <c r="L20" s="1914">
        <v>88134</v>
      </c>
      <c r="M20" s="1644"/>
      <c r="N20" s="1644"/>
      <c r="O20" s="1644"/>
      <c r="P20" s="1644"/>
    </row>
    <row r="21" spans="1:16" hidden="1">
      <c r="A21" s="1910" t="s">
        <v>23</v>
      </c>
      <c r="B21" s="1914">
        <v>2247948</v>
      </c>
      <c r="C21" s="1914">
        <v>2165001</v>
      </c>
      <c r="D21" s="1914">
        <v>51983</v>
      </c>
      <c r="E21" s="1914">
        <v>82947</v>
      </c>
      <c r="F21" s="1914">
        <v>2626128</v>
      </c>
      <c r="G21" s="1914">
        <v>2375528</v>
      </c>
      <c r="H21" s="1914"/>
      <c r="I21" s="1914">
        <v>250600</v>
      </c>
      <c r="J21" s="1914">
        <v>2285951</v>
      </c>
      <c r="K21" s="1914">
        <v>57031</v>
      </c>
      <c r="L21" s="1914">
        <v>89577</v>
      </c>
      <c r="M21" s="1644"/>
      <c r="N21" s="1644"/>
      <c r="O21" s="1644"/>
      <c r="P21" s="1644"/>
    </row>
    <row r="22" spans="1:16" hidden="1">
      <c r="A22" s="1910" t="s">
        <v>24</v>
      </c>
      <c r="B22" s="1914">
        <v>2322626</v>
      </c>
      <c r="C22" s="1914">
        <v>2238188</v>
      </c>
      <c r="D22" s="1914">
        <v>53076</v>
      </c>
      <c r="E22" s="1914">
        <v>84438</v>
      </c>
      <c r="F22" s="1914">
        <v>2712546</v>
      </c>
      <c r="G22" s="1914">
        <v>2451885</v>
      </c>
      <c r="H22" s="1914"/>
      <c r="I22" s="1914">
        <v>260661</v>
      </c>
      <c r="J22" s="1914">
        <v>2361082</v>
      </c>
      <c r="K22" s="1914">
        <v>57926</v>
      </c>
      <c r="L22" s="1914">
        <v>90803</v>
      </c>
      <c r="M22" s="1644"/>
      <c r="N22" s="1644"/>
      <c r="O22" s="1644"/>
      <c r="P22" s="1644"/>
    </row>
    <row r="23" spans="1:16" hidden="1">
      <c r="A23" s="1910" t="s">
        <v>25</v>
      </c>
      <c r="B23" s="1914">
        <v>2382378</v>
      </c>
      <c r="C23" s="1914">
        <v>2297127</v>
      </c>
      <c r="D23" s="1914">
        <v>53567</v>
      </c>
      <c r="E23" s="1914">
        <v>85251</v>
      </c>
      <c r="F23" s="1914">
        <v>2798023</v>
      </c>
      <c r="G23" s="1914">
        <v>2530124</v>
      </c>
      <c r="H23" s="1914"/>
      <c r="I23" s="1914">
        <v>267899</v>
      </c>
      <c r="J23" s="1914">
        <v>2438274</v>
      </c>
      <c r="K23" s="1914">
        <v>63333</v>
      </c>
      <c r="L23" s="1914">
        <v>91850</v>
      </c>
      <c r="M23" s="1644"/>
      <c r="N23" s="1644"/>
      <c r="O23" s="1644"/>
      <c r="P23" s="1644"/>
    </row>
    <row r="24" spans="1:16" hidden="1">
      <c r="A24" s="1910" t="s">
        <v>26</v>
      </c>
      <c r="B24" s="1914">
        <v>2383798</v>
      </c>
      <c r="C24" s="1914">
        <v>2383798</v>
      </c>
      <c r="D24" s="1914">
        <v>52936</v>
      </c>
      <c r="E24" s="1914">
        <v>82818</v>
      </c>
      <c r="F24" s="1914">
        <v>2837109</v>
      </c>
      <c r="G24" s="1914">
        <v>2560042</v>
      </c>
      <c r="H24" s="1914"/>
      <c r="I24" s="1914">
        <v>277067</v>
      </c>
      <c r="J24" s="1914">
        <v>2468994</v>
      </c>
      <c r="K24" s="1914">
        <v>62200</v>
      </c>
      <c r="L24" s="1914">
        <v>91048</v>
      </c>
      <c r="M24" s="1644"/>
      <c r="N24" s="1644"/>
      <c r="O24" s="1644"/>
      <c r="P24" s="1644"/>
    </row>
    <row r="25" spans="1:16" hidden="1">
      <c r="A25" s="1910" t="s">
        <v>27</v>
      </c>
      <c r="B25" s="1914">
        <v>2503316</v>
      </c>
      <c r="C25" s="1914">
        <v>2415053</v>
      </c>
      <c r="D25" s="1914">
        <v>64766</v>
      </c>
      <c r="E25" s="1914">
        <v>88263</v>
      </c>
      <c r="F25" s="1914">
        <v>2975397</v>
      </c>
      <c r="G25" s="1914">
        <v>2683341</v>
      </c>
      <c r="H25" s="1914"/>
      <c r="I25" s="1914">
        <v>292056</v>
      </c>
      <c r="J25" s="1914">
        <v>2589037</v>
      </c>
      <c r="K25" s="1914">
        <v>64766</v>
      </c>
      <c r="L25" s="1914">
        <v>94304</v>
      </c>
      <c r="M25" s="1644"/>
      <c r="N25" s="1644"/>
      <c r="O25" s="1644"/>
      <c r="P25" s="1644"/>
    </row>
    <row r="26" spans="1:16" hidden="1">
      <c r="A26" s="1910" t="s">
        <v>28</v>
      </c>
      <c r="B26" s="1914">
        <v>2546604</v>
      </c>
      <c r="C26" s="1914">
        <v>2457313</v>
      </c>
      <c r="D26" s="1914">
        <v>54479</v>
      </c>
      <c r="E26" s="1914">
        <v>89291</v>
      </c>
      <c r="F26" s="1914">
        <v>3057713</v>
      </c>
      <c r="G26" s="1914">
        <v>2757026</v>
      </c>
      <c r="H26" s="1914"/>
      <c r="I26" s="1914">
        <v>300687</v>
      </c>
      <c r="J26" s="1914">
        <v>2661913</v>
      </c>
      <c r="K26" s="1914">
        <v>64616</v>
      </c>
      <c r="L26" s="1914">
        <v>95113</v>
      </c>
      <c r="M26" s="1644"/>
      <c r="N26" s="1644"/>
      <c r="O26" s="1644"/>
      <c r="P26" s="1644"/>
    </row>
    <row r="27" spans="1:16" hidden="1">
      <c r="A27" s="1910" t="s">
        <v>29</v>
      </c>
      <c r="B27" s="1914">
        <v>2588957</v>
      </c>
      <c r="C27" s="1914">
        <v>2494325</v>
      </c>
      <c r="D27" s="1914">
        <v>57965</v>
      </c>
      <c r="E27" s="1914">
        <v>94632</v>
      </c>
      <c r="F27" s="1914">
        <v>3173876</v>
      </c>
      <c r="G27" s="1914">
        <v>2896583</v>
      </c>
      <c r="H27" s="1914"/>
      <c r="I27" s="1914">
        <v>277293</v>
      </c>
      <c r="J27" s="1914">
        <v>2772884</v>
      </c>
      <c r="K27" s="1914">
        <v>68717</v>
      </c>
      <c r="L27" s="1914">
        <v>123699</v>
      </c>
      <c r="M27" s="1644"/>
      <c r="N27" s="1644"/>
      <c r="O27" s="1644"/>
      <c r="P27" s="1644"/>
    </row>
    <row r="28" spans="1:16">
      <c r="A28" s="1913">
        <v>2011</v>
      </c>
      <c r="B28" s="1914">
        <v>2916678</v>
      </c>
      <c r="C28" s="1914">
        <v>2831807</v>
      </c>
      <c r="D28" s="1914">
        <v>53175</v>
      </c>
      <c r="E28" s="1914">
        <v>84871</v>
      </c>
      <c r="F28" s="1914">
        <v>4077125</v>
      </c>
      <c r="G28" s="1914">
        <v>3730551</v>
      </c>
      <c r="H28" s="1914"/>
      <c r="I28" s="1914">
        <v>346574</v>
      </c>
      <c r="J28" s="1914">
        <v>3604632</v>
      </c>
      <c r="K28" s="1914">
        <v>70791</v>
      </c>
      <c r="L28" s="1914">
        <v>125919</v>
      </c>
      <c r="M28" s="1644"/>
      <c r="N28" s="1644"/>
      <c r="O28" s="1644"/>
      <c r="P28" s="1644"/>
    </row>
    <row r="29" spans="1:16" hidden="1">
      <c r="A29" s="1910" t="s">
        <v>18</v>
      </c>
      <c r="B29" s="1914">
        <v>2532935</v>
      </c>
      <c r="C29" s="1914">
        <v>2449042</v>
      </c>
      <c r="D29" s="1914">
        <v>46450</v>
      </c>
      <c r="E29" s="1914">
        <v>83893</v>
      </c>
      <c r="F29" s="1914">
        <v>3273522</v>
      </c>
      <c r="G29" s="1914">
        <v>3009183</v>
      </c>
      <c r="H29" s="1914"/>
      <c r="I29" s="1914">
        <v>264339</v>
      </c>
      <c r="J29" s="1914">
        <v>2885233</v>
      </c>
      <c r="K29" s="1914">
        <v>62677</v>
      </c>
      <c r="L29" s="1914">
        <v>123950</v>
      </c>
      <c r="M29" s="1644"/>
      <c r="N29" s="1644"/>
      <c r="O29" s="1644"/>
      <c r="P29" s="1644"/>
    </row>
    <row r="30" spans="1:16" hidden="1">
      <c r="A30" s="1910" t="s">
        <v>19</v>
      </c>
      <c r="B30" s="1914">
        <v>2576435</v>
      </c>
      <c r="C30" s="1914">
        <v>2493277</v>
      </c>
      <c r="D30" s="1914">
        <v>44825</v>
      </c>
      <c r="E30" s="1914">
        <v>83158</v>
      </c>
      <c r="F30" s="1914">
        <v>3217098</v>
      </c>
      <c r="G30" s="1914">
        <v>2944542</v>
      </c>
      <c r="H30" s="1914"/>
      <c r="I30" s="1914">
        <v>272556</v>
      </c>
      <c r="J30" s="1914">
        <v>2823337</v>
      </c>
      <c r="K30" s="1914">
        <v>61019</v>
      </c>
      <c r="L30" s="1914">
        <v>121205</v>
      </c>
      <c r="M30" s="1644"/>
      <c r="N30" s="1644"/>
      <c r="O30" s="1644"/>
      <c r="P30" s="1644"/>
    </row>
    <row r="31" spans="1:16" hidden="1">
      <c r="A31" s="1910" t="s">
        <v>20</v>
      </c>
      <c r="B31" s="1914">
        <v>2551432</v>
      </c>
      <c r="C31" s="1914">
        <v>2468503</v>
      </c>
      <c r="D31" s="1914">
        <v>41358</v>
      </c>
      <c r="E31" s="1914">
        <v>82929</v>
      </c>
      <c r="F31" s="1914">
        <v>3299264</v>
      </c>
      <c r="G31" s="1914">
        <v>3018754</v>
      </c>
      <c r="H31" s="1914"/>
      <c r="I31" s="1914">
        <v>280510</v>
      </c>
      <c r="J31" s="1914">
        <v>2897219</v>
      </c>
      <c r="K31" s="1914">
        <v>60102</v>
      </c>
      <c r="L31" s="1914">
        <v>121535</v>
      </c>
      <c r="M31" s="1644"/>
      <c r="N31" s="1644"/>
      <c r="O31" s="1644"/>
      <c r="P31" s="1644"/>
    </row>
    <row r="32" spans="1:16" hidden="1">
      <c r="A32" s="1910" t="s">
        <v>21</v>
      </c>
      <c r="B32" s="1914">
        <v>2497754</v>
      </c>
      <c r="C32" s="1914">
        <v>2415694</v>
      </c>
      <c r="D32" s="1914">
        <v>41759</v>
      </c>
      <c r="E32" s="1914">
        <v>82060</v>
      </c>
      <c r="F32" s="1914">
        <v>3294808</v>
      </c>
      <c r="G32" s="1914">
        <v>3006587</v>
      </c>
      <c r="H32" s="1914"/>
      <c r="I32" s="1914">
        <v>288221</v>
      </c>
      <c r="J32" s="1914">
        <v>2886039</v>
      </c>
      <c r="K32" s="1914">
        <v>62954</v>
      </c>
      <c r="L32" s="1914">
        <v>120548</v>
      </c>
      <c r="M32" s="1644"/>
      <c r="N32" s="1644"/>
      <c r="O32" s="1644"/>
      <c r="P32" s="1644"/>
    </row>
    <row r="33" spans="1:16" hidden="1">
      <c r="A33" s="1910" t="s">
        <v>22</v>
      </c>
      <c r="B33" s="1914">
        <v>2582960</v>
      </c>
      <c r="C33" s="1914">
        <v>2498982</v>
      </c>
      <c r="D33" s="1914">
        <v>43583</v>
      </c>
      <c r="E33" s="1914">
        <v>83978</v>
      </c>
      <c r="F33" s="1914">
        <v>3411641</v>
      </c>
      <c r="G33" s="1914">
        <v>3120003</v>
      </c>
      <c r="H33" s="1914"/>
      <c r="I33" s="1914">
        <v>291638</v>
      </c>
      <c r="J33" s="1914">
        <v>2996137</v>
      </c>
      <c r="K33" s="1914">
        <v>64686</v>
      </c>
      <c r="L33" s="1914">
        <v>123866</v>
      </c>
      <c r="M33" s="1644"/>
      <c r="N33" s="1644"/>
      <c r="O33" s="1644"/>
      <c r="P33" s="1644"/>
    </row>
    <row r="34" spans="1:16" hidden="1">
      <c r="A34" s="1910" t="s">
        <v>23</v>
      </c>
      <c r="B34" s="1914">
        <v>2658675</v>
      </c>
      <c r="C34" s="1914">
        <v>2574312</v>
      </c>
      <c r="D34" s="1914">
        <v>44677</v>
      </c>
      <c r="E34" s="1914">
        <v>84363</v>
      </c>
      <c r="F34" s="1914">
        <v>3516574</v>
      </c>
      <c r="G34" s="1914">
        <v>3217030</v>
      </c>
      <c r="H34" s="1914"/>
      <c r="I34" s="1914">
        <v>299544</v>
      </c>
      <c r="J34" s="1914">
        <v>3096908</v>
      </c>
      <c r="K34" s="1914">
        <v>66435</v>
      </c>
      <c r="L34" s="1914">
        <v>120122</v>
      </c>
      <c r="M34" s="1644"/>
      <c r="N34" s="1644"/>
      <c r="O34" s="1644"/>
      <c r="P34" s="1644"/>
    </row>
    <row r="35" spans="1:16" hidden="1">
      <c r="A35" s="1910" t="s">
        <v>24</v>
      </c>
      <c r="B35" s="1914">
        <v>2664188</v>
      </c>
      <c r="C35" s="1914">
        <v>2577896</v>
      </c>
      <c r="D35" s="1914">
        <v>45622</v>
      </c>
      <c r="E35" s="1914">
        <v>86292</v>
      </c>
      <c r="F35" s="1914">
        <v>3615651</v>
      </c>
      <c r="G35" s="1914">
        <v>3308956</v>
      </c>
      <c r="H35" s="1914"/>
      <c r="I35" s="1914">
        <v>306695</v>
      </c>
      <c r="J35" s="1914">
        <v>3180614</v>
      </c>
      <c r="K35" s="1914">
        <v>67479</v>
      </c>
      <c r="L35" s="1914">
        <v>128342</v>
      </c>
      <c r="M35" s="1644"/>
      <c r="N35" s="1644"/>
      <c r="O35" s="1644"/>
      <c r="P35" s="1644"/>
    </row>
    <row r="36" spans="1:16" hidden="1">
      <c r="A36" s="1910" t="s">
        <v>25</v>
      </c>
      <c r="B36" s="1914">
        <v>2746704</v>
      </c>
      <c r="C36" s="1914">
        <v>2660204</v>
      </c>
      <c r="D36" s="1914">
        <v>46097</v>
      </c>
      <c r="E36" s="1914">
        <v>86500</v>
      </c>
      <c r="F36" s="1914">
        <v>3687878</v>
      </c>
      <c r="G36" s="1914">
        <v>3373043</v>
      </c>
      <c r="H36" s="1914"/>
      <c r="I36" s="1914">
        <v>314835</v>
      </c>
      <c r="J36" s="1914">
        <v>3243111</v>
      </c>
      <c r="K36" s="1914">
        <v>66949</v>
      </c>
      <c r="L36" s="1914">
        <v>129932</v>
      </c>
      <c r="M36" s="1644"/>
      <c r="N36" s="1644"/>
      <c r="O36" s="1644"/>
      <c r="P36" s="1644"/>
    </row>
    <row r="37" spans="1:16" hidden="1">
      <c r="A37" s="1910" t="s">
        <v>26</v>
      </c>
      <c r="B37" s="1914">
        <v>2732671</v>
      </c>
      <c r="C37" s="1914">
        <v>2645243</v>
      </c>
      <c r="D37" s="1914">
        <v>46367</v>
      </c>
      <c r="E37" s="1914">
        <v>87428</v>
      </c>
      <c r="F37" s="1914">
        <v>3692107</v>
      </c>
      <c r="G37" s="1914">
        <v>3367163</v>
      </c>
      <c r="H37" s="1914"/>
      <c r="I37" s="1914">
        <v>324944</v>
      </c>
      <c r="J37" s="1914">
        <v>3234314</v>
      </c>
      <c r="K37" s="1914">
        <v>66865</v>
      </c>
      <c r="L37" s="1914">
        <v>132849</v>
      </c>
      <c r="M37" s="1644"/>
      <c r="N37" s="1644"/>
      <c r="O37" s="1644"/>
      <c r="P37" s="1644"/>
    </row>
    <row r="38" spans="1:16" hidden="1">
      <c r="A38" s="1910" t="s">
        <v>27</v>
      </c>
      <c r="B38" s="1914">
        <v>2821827</v>
      </c>
      <c r="C38" s="1914">
        <v>2736328</v>
      </c>
      <c r="D38" s="1914">
        <v>52053</v>
      </c>
      <c r="E38" s="1914">
        <v>85499</v>
      </c>
      <c r="F38" s="1914">
        <v>3896163</v>
      </c>
      <c r="G38" s="1914">
        <v>3566494</v>
      </c>
      <c r="H38" s="1914"/>
      <c r="I38" s="1914">
        <v>329669</v>
      </c>
      <c r="J38" s="1914">
        <v>3431999</v>
      </c>
      <c r="K38" s="1914">
        <v>68612</v>
      </c>
      <c r="L38" s="1914">
        <v>134495</v>
      </c>
      <c r="M38" s="1644"/>
      <c r="N38" s="1644"/>
      <c r="O38" s="1644"/>
      <c r="P38" s="1644"/>
    </row>
    <row r="39" spans="1:16" hidden="1">
      <c r="A39" s="1910" t="s">
        <v>28</v>
      </c>
      <c r="B39" s="1914">
        <v>2868688</v>
      </c>
      <c r="C39" s="1914">
        <v>2783452</v>
      </c>
      <c r="D39" s="1914">
        <v>52678</v>
      </c>
      <c r="E39" s="1914">
        <v>85236</v>
      </c>
      <c r="F39" s="1914">
        <v>3988446</v>
      </c>
      <c r="G39" s="1914">
        <v>3650090</v>
      </c>
      <c r="H39" s="1914"/>
      <c r="I39" s="1914">
        <v>338356</v>
      </c>
      <c r="J39" s="1914">
        <v>3515624</v>
      </c>
      <c r="K39" s="1914">
        <v>69417</v>
      </c>
      <c r="L39" s="1914">
        <v>134466</v>
      </c>
      <c r="M39" s="1644"/>
      <c r="N39" s="1644"/>
      <c r="O39" s="1644"/>
      <c r="P39" s="1644"/>
    </row>
    <row r="40" spans="1:16" hidden="1">
      <c r="A40" s="1910" t="s">
        <v>29</v>
      </c>
      <c r="B40" s="1914">
        <v>2916678</v>
      </c>
      <c r="C40" s="1914">
        <v>2831807</v>
      </c>
      <c r="D40" s="1914">
        <v>53175</v>
      </c>
      <c r="E40" s="1914">
        <v>84871</v>
      </c>
      <c r="F40" s="1914">
        <v>4077125</v>
      </c>
      <c r="G40" s="1914">
        <v>3730551</v>
      </c>
      <c r="H40" s="1914"/>
      <c r="I40" s="1914">
        <v>346574</v>
      </c>
      <c r="J40" s="1914">
        <v>3604632</v>
      </c>
      <c r="K40" s="1914">
        <v>70791</v>
      </c>
      <c r="L40" s="1914">
        <v>125919</v>
      </c>
      <c r="M40" s="1644"/>
      <c r="N40" s="1644"/>
      <c r="O40" s="1644"/>
      <c r="P40" s="1644"/>
    </row>
    <row r="41" spans="1:16">
      <c r="A41" s="1913" t="s">
        <v>1327</v>
      </c>
      <c r="B41" s="1914">
        <v>3702832</v>
      </c>
      <c r="C41" s="1914">
        <v>3609503</v>
      </c>
      <c r="D41" s="1914">
        <v>83858</v>
      </c>
      <c r="E41" s="1914">
        <v>93329</v>
      </c>
      <c r="F41" s="1914">
        <v>5899888</v>
      </c>
      <c r="G41" s="1914">
        <v>5471017</v>
      </c>
      <c r="H41" s="1914"/>
      <c r="I41" s="1914">
        <v>428871</v>
      </c>
      <c r="J41" s="1914">
        <v>5313983</v>
      </c>
      <c r="K41" s="1914">
        <v>92132</v>
      </c>
      <c r="L41" s="1914">
        <v>157034</v>
      </c>
      <c r="M41" s="1644"/>
      <c r="N41" s="1644"/>
      <c r="O41" s="1644"/>
      <c r="P41" s="1644"/>
    </row>
    <row r="42" spans="1:16" hidden="1">
      <c r="A42" s="1910" t="s">
        <v>18</v>
      </c>
      <c r="B42" s="1914">
        <v>2912461</v>
      </c>
      <c r="C42" s="1914">
        <v>2829041</v>
      </c>
      <c r="D42" s="1914">
        <v>52803</v>
      </c>
      <c r="E42" s="1914">
        <v>83420</v>
      </c>
      <c r="F42" s="1914">
        <v>4146445</v>
      </c>
      <c r="G42" s="1914">
        <v>3786037</v>
      </c>
      <c r="H42" s="1914"/>
      <c r="I42" s="1914">
        <v>360408</v>
      </c>
      <c r="J42" s="1914">
        <v>3648841</v>
      </c>
      <c r="K42" s="1914">
        <v>70812</v>
      </c>
      <c r="L42" s="1914">
        <v>137196</v>
      </c>
      <c r="M42" s="1644"/>
      <c r="N42" s="1644"/>
      <c r="O42" s="1644"/>
      <c r="P42" s="1644"/>
    </row>
    <row r="43" spans="1:16" hidden="1">
      <c r="A43" s="1910" t="s">
        <v>19</v>
      </c>
      <c r="B43" s="1914">
        <v>2948643</v>
      </c>
      <c r="C43" s="1914">
        <v>2864224</v>
      </c>
      <c r="D43" s="1914">
        <v>56881</v>
      </c>
      <c r="E43" s="1914">
        <v>84419</v>
      </c>
      <c r="F43" s="1914">
        <v>4236074</v>
      </c>
      <c r="G43" s="1914">
        <v>3870516</v>
      </c>
      <c r="H43" s="1914"/>
      <c r="I43" s="1914">
        <v>365558</v>
      </c>
      <c r="J43" s="1914">
        <v>3731715</v>
      </c>
      <c r="K43" s="1914">
        <v>75139</v>
      </c>
      <c r="L43" s="1914">
        <v>138801</v>
      </c>
      <c r="M43" s="1644"/>
      <c r="N43" s="1644"/>
      <c r="O43" s="1644"/>
      <c r="P43" s="1644"/>
    </row>
    <row r="44" spans="1:16" hidden="1">
      <c r="A44" s="1910" t="s">
        <v>20</v>
      </c>
      <c r="B44" s="1914">
        <v>3002854</v>
      </c>
      <c r="C44" s="1914">
        <v>2917672</v>
      </c>
      <c r="D44" s="1914">
        <v>60914</v>
      </c>
      <c r="E44" s="1914">
        <v>85182</v>
      </c>
      <c r="F44" s="1914">
        <v>4345888</v>
      </c>
      <c r="G44" s="1914">
        <v>3970480</v>
      </c>
      <c r="H44" s="1914"/>
      <c r="I44" s="1914">
        <v>375408</v>
      </c>
      <c r="J44" s="1914">
        <v>3830047</v>
      </c>
      <c r="K44" s="1914">
        <v>79374</v>
      </c>
      <c r="L44" s="1914">
        <v>140433</v>
      </c>
      <c r="M44" s="1644"/>
      <c r="N44" s="1644"/>
      <c r="O44" s="1644"/>
      <c r="P44" s="1644"/>
    </row>
    <row r="45" spans="1:16" hidden="1">
      <c r="A45" s="1910" t="s">
        <v>21</v>
      </c>
      <c r="B45" s="1914">
        <v>3068357</v>
      </c>
      <c r="C45" s="1914">
        <v>2981865</v>
      </c>
      <c r="D45" s="1914">
        <v>65497</v>
      </c>
      <c r="E45" s="1914">
        <v>86492</v>
      </c>
      <c r="F45" s="1914">
        <v>4478163</v>
      </c>
      <c r="G45" s="1914">
        <v>4097355</v>
      </c>
      <c r="H45" s="1914"/>
      <c r="I45" s="1914">
        <v>380808</v>
      </c>
      <c r="J45" s="1914">
        <v>3952487</v>
      </c>
      <c r="K45" s="1914">
        <v>82942</v>
      </c>
      <c r="L45" s="1914">
        <v>144868</v>
      </c>
      <c r="M45" s="1644"/>
      <c r="N45" s="1644"/>
      <c r="O45" s="1644"/>
      <c r="P45" s="1644"/>
    </row>
    <row r="46" spans="1:16" hidden="1">
      <c r="A46" s="1910" t="s">
        <v>22</v>
      </c>
      <c r="B46" s="1914">
        <v>3223003</v>
      </c>
      <c r="C46" s="1914">
        <v>3127593</v>
      </c>
      <c r="D46" s="1914">
        <v>67957</v>
      </c>
      <c r="E46" s="1914">
        <v>95411</v>
      </c>
      <c r="F46" s="1914">
        <v>4723638</v>
      </c>
      <c r="G46" s="1914">
        <v>4331798</v>
      </c>
      <c r="H46" s="1914"/>
      <c r="I46" s="1914">
        <v>391840</v>
      </c>
      <c r="J46" s="1914">
        <v>4180423</v>
      </c>
      <c r="K46" s="1914">
        <v>86888</v>
      </c>
      <c r="L46" s="1914">
        <v>151375</v>
      </c>
      <c r="M46" s="1644"/>
      <c r="N46" s="1644"/>
      <c r="O46" s="1644"/>
      <c r="P46" s="1644"/>
    </row>
    <row r="47" spans="1:16" hidden="1">
      <c r="A47" s="1910" t="s">
        <v>23</v>
      </c>
      <c r="B47" s="1914">
        <v>3290332</v>
      </c>
      <c r="C47" s="1914">
        <v>3194176</v>
      </c>
      <c r="D47" s="1914">
        <v>69007</v>
      </c>
      <c r="E47" s="1914">
        <v>96157</v>
      </c>
      <c r="F47" s="1914">
        <v>4838585</v>
      </c>
      <c r="G47" s="1914">
        <v>4444123</v>
      </c>
      <c r="H47" s="1914"/>
      <c r="I47" s="1914">
        <v>394462</v>
      </c>
      <c r="J47" s="1914">
        <v>4299611</v>
      </c>
      <c r="K47" s="1914">
        <v>87921</v>
      </c>
      <c r="L47" s="1914">
        <v>144512</v>
      </c>
      <c r="M47" s="1644"/>
      <c r="N47" s="1644"/>
      <c r="O47" s="1644"/>
      <c r="P47" s="1644"/>
    </row>
    <row r="48" spans="1:16" hidden="1">
      <c r="A48" s="1910" t="s">
        <v>24</v>
      </c>
      <c r="B48" s="1914">
        <v>3265944</v>
      </c>
      <c r="C48" s="1914">
        <v>3177283</v>
      </c>
      <c r="D48" s="1914">
        <v>67593</v>
      </c>
      <c r="E48" s="1914">
        <v>88662</v>
      </c>
      <c r="F48" s="1914">
        <v>4918895</v>
      </c>
      <c r="G48" s="1914">
        <v>4522489</v>
      </c>
      <c r="H48" s="1914"/>
      <c r="I48" s="1914">
        <v>396406</v>
      </c>
      <c r="J48" s="1914">
        <v>4380219</v>
      </c>
      <c r="K48" s="1914">
        <v>85240</v>
      </c>
      <c r="L48" s="1914">
        <v>142270</v>
      </c>
      <c r="M48" s="1644"/>
      <c r="N48" s="1644"/>
      <c r="O48" s="1644"/>
      <c r="P48" s="1644"/>
    </row>
    <row r="49" spans="1:16" hidden="1">
      <c r="A49" s="1910" t="s">
        <v>25</v>
      </c>
      <c r="B49" s="1914">
        <v>3303798</v>
      </c>
      <c r="C49" s="1914">
        <v>3214431</v>
      </c>
      <c r="D49" s="1914">
        <v>68221</v>
      </c>
      <c r="E49" s="1914">
        <v>89368</v>
      </c>
      <c r="F49" s="1914">
        <v>5046228</v>
      </c>
      <c r="G49" s="1914">
        <v>4643638</v>
      </c>
      <c r="H49" s="1914"/>
      <c r="I49" s="1914">
        <v>402590</v>
      </c>
      <c r="J49" s="1914">
        <v>4492485</v>
      </c>
      <c r="K49" s="1914">
        <v>86016</v>
      </c>
      <c r="L49" s="1914">
        <v>151153</v>
      </c>
      <c r="M49" s="1644"/>
      <c r="N49" s="1644"/>
      <c r="O49" s="1644"/>
      <c r="P49" s="1644"/>
    </row>
    <row r="50" spans="1:16" hidden="1">
      <c r="A50" s="1910" t="s">
        <v>26</v>
      </c>
      <c r="B50" s="1914">
        <v>3402481</v>
      </c>
      <c r="C50" s="1914">
        <v>3312173</v>
      </c>
      <c r="D50" s="1914">
        <v>69916</v>
      </c>
      <c r="E50" s="1914">
        <v>90309</v>
      </c>
      <c r="F50" s="1914">
        <v>5221689</v>
      </c>
      <c r="G50" s="1914">
        <v>4811365</v>
      </c>
      <c r="H50" s="1914"/>
      <c r="I50" s="1914">
        <v>410324</v>
      </c>
      <c r="J50" s="1914">
        <v>4658566</v>
      </c>
      <c r="K50" s="1914">
        <v>87863</v>
      </c>
      <c r="L50" s="1914">
        <v>152799</v>
      </c>
      <c r="M50" s="1644"/>
      <c r="N50" s="1644"/>
      <c r="O50" s="1644"/>
      <c r="P50" s="1644"/>
    </row>
    <row r="51" spans="1:16" hidden="1">
      <c r="A51" s="1910" t="s">
        <v>27</v>
      </c>
      <c r="B51" s="1914">
        <v>3491747</v>
      </c>
      <c r="C51" s="1914">
        <v>3400605</v>
      </c>
      <c r="D51" s="1914">
        <v>70950</v>
      </c>
      <c r="E51" s="1914">
        <v>91142</v>
      </c>
      <c r="F51" s="1914">
        <v>5425651</v>
      </c>
      <c r="G51" s="1914">
        <v>5008463</v>
      </c>
      <c r="H51" s="1914"/>
      <c r="I51" s="1914">
        <v>417188</v>
      </c>
      <c r="J51" s="1914">
        <v>4854085</v>
      </c>
      <c r="K51" s="1914">
        <v>89231</v>
      </c>
      <c r="L51" s="1914">
        <v>154378</v>
      </c>
      <c r="M51" s="1644"/>
      <c r="N51" s="1644"/>
      <c r="O51" s="1644"/>
      <c r="P51" s="1644"/>
    </row>
    <row r="52" spans="1:16" hidden="1">
      <c r="A52" s="1910" t="s">
        <v>28</v>
      </c>
      <c r="B52" s="1914">
        <v>3579947</v>
      </c>
      <c r="C52" s="1914">
        <v>3487918</v>
      </c>
      <c r="D52" s="1914">
        <v>72220</v>
      </c>
      <c r="E52" s="1914">
        <v>92029</v>
      </c>
      <c r="F52" s="1914">
        <v>5632906</v>
      </c>
      <c r="G52" s="1914">
        <v>5211062</v>
      </c>
      <c r="H52" s="1914"/>
      <c r="I52" s="1914">
        <v>421844</v>
      </c>
      <c r="J52" s="1914">
        <v>5054997</v>
      </c>
      <c r="K52" s="1914">
        <v>90448</v>
      </c>
      <c r="L52" s="1914">
        <v>156065</v>
      </c>
      <c r="M52" s="1644"/>
      <c r="N52" s="1644"/>
      <c r="O52" s="1644"/>
      <c r="P52" s="1644"/>
    </row>
    <row r="53" spans="1:16" hidden="1">
      <c r="A53" s="1910" t="s">
        <v>29</v>
      </c>
      <c r="B53" s="1914">
        <v>3702832</v>
      </c>
      <c r="C53" s="1914">
        <v>3609503</v>
      </c>
      <c r="D53" s="1914">
        <v>83858</v>
      </c>
      <c r="E53" s="1914">
        <v>93329</v>
      </c>
      <c r="F53" s="1914">
        <v>5899888</v>
      </c>
      <c r="G53" s="1914">
        <v>5471017</v>
      </c>
      <c r="H53" s="1914"/>
      <c r="I53" s="1914">
        <v>428871</v>
      </c>
      <c r="J53" s="1914">
        <v>5313983</v>
      </c>
      <c r="K53" s="1914">
        <v>92132</v>
      </c>
      <c r="L53" s="1914">
        <v>157034</v>
      </c>
      <c r="M53" s="1644"/>
      <c r="N53" s="1644"/>
      <c r="O53" s="1644"/>
      <c r="P53" s="1644"/>
    </row>
    <row r="54" spans="1:16">
      <c r="A54" s="1913" t="s">
        <v>1449</v>
      </c>
      <c r="B54" s="1914">
        <v>5275532</v>
      </c>
      <c r="C54" s="1914">
        <v>5175865</v>
      </c>
      <c r="D54" s="1914">
        <v>89357</v>
      </c>
      <c r="E54" s="1914">
        <v>99667</v>
      </c>
      <c r="F54" s="1914">
        <v>8999842</v>
      </c>
      <c r="G54" s="1914">
        <v>8459677</v>
      </c>
      <c r="H54" s="1914"/>
      <c r="I54" s="1914">
        <v>540165</v>
      </c>
      <c r="J54" s="1914">
        <v>8269663</v>
      </c>
      <c r="K54" s="1914">
        <v>134113</v>
      </c>
      <c r="L54" s="1914">
        <v>190014</v>
      </c>
      <c r="M54" s="1335"/>
      <c r="N54" s="1335"/>
      <c r="O54" s="1335"/>
      <c r="P54" s="1335"/>
    </row>
    <row r="55" spans="1:16" hidden="1">
      <c r="A55" s="1910" t="s">
        <v>18</v>
      </c>
      <c r="B55" s="1865">
        <v>3794593</v>
      </c>
      <c r="C55" s="1865">
        <v>3700693</v>
      </c>
      <c r="D55" s="1865">
        <v>75212</v>
      </c>
      <c r="E55" s="1865">
        <v>93900</v>
      </c>
      <c r="F55" s="1865">
        <v>5677206</v>
      </c>
      <c r="G55" s="1865">
        <v>5248493</v>
      </c>
      <c r="H55" s="1865"/>
      <c r="I55" s="1865">
        <v>428713</v>
      </c>
      <c r="J55" s="1865">
        <v>5076977</v>
      </c>
      <c r="K55" s="1865">
        <v>93884</v>
      </c>
      <c r="L55" s="1865">
        <v>171516</v>
      </c>
      <c r="M55" s="1335"/>
      <c r="N55" s="1335"/>
      <c r="O55" s="1335"/>
      <c r="P55" s="1335"/>
    </row>
    <row r="56" spans="1:16" hidden="1">
      <c r="A56" s="1910" t="s">
        <v>19</v>
      </c>
      <c r="B56" s="1865">
        <v>3916585</v>
      </c>
      <c r="C56" s="1865">
        <v>3820397</v>
      </c>
      <c r="D56" s="1865">
        <v>79184</v>
      </c>
      <c r="E56" s="1865">
        <v>96188</v>
      </c>
      <c r="F56" s="1865">
        <v>5923980</v>
      </c>
      <c r="G56" s="1865">
        <v>5487185</v>
      </c>
      <c r="H56" s="1865"/>
      <c r="I56" s="1865">
        <v>436795</v>
      </c>
      <c r="J56" s="1865">
        <v>5315173</v>
      </c>
      <c r="K56" s="1865">
        <v>98577</v>
      </c>
      <c r="L56" s="1865">
        <v>172012</v>
      </c>
      <c r="M56" s="1335"/>
      <c r="N56" s="1335"/>
      <c r="O56" s="1335"/>
      <c r="P56" s="1335"/>
    </row>
    <row r="57" spans="1:16" hidden="1">
      <c r="A57" s="1910" t="s">
        <v>20</v>
      </c>
      <c r="B57" s="1865">
        <v>4003943</v>
      </c>
      <c r="C57" s="1865">
        <v>3907170</v>
      </c>
      <c r="D57" s="1865">
        <v>79931</v>
      </c>
      <c r="E57" s="1865">
        <v>96773</v>
      </c>
      <c r="F57" s="1865">
        <v>6241709</v>
      </c>
      <c r="G57" s="1865">
        <v>5777900</v>
      </c>
      <c r="H57" s="1865"/>
      <c r="I57" s="1865">
        <v>463809</v>
      </c>
      <c r="J57" s="1865">
        <v>5601833</v>
      </c>
      <c r="K57" s="1865">
        <v>100485</v>
      </c>
      <c r="L57" s="1865">
        <v>176067</v>
      </c>
      <c r="M57" s="1335"/>
      <c r="N57" s="1335"/>
      <c r="O57" s="1335"/>
      <c r="P57" s="1335"/>
    </row>
    <row r="58" spans="1:16" hidden="1">
      <c r="A58" s="1910" t="s">
        <v>21</v>
      </c>
      <c r="B58" s="1865">
        <v>4157795</v>
      </c>
      <c r="C58" s="1865">
        <v>4060550</v>
      </c>
      <c r="D58" s="1865">
        <v>81332</v>
      </c>
      <c r="E58" s="1865">
        <v>97245</v>
      </c>
      <c r="F58" s="1865">
        <v>6584971</v>
      </c>
      <c r="G58" s="1865">
        <v>6113163</v>
      </c>
      <c r="H58" s="1865"/>
      <c r="I58" s="1865">
        <v>471808</v>
      </c>
      <c r="J58" s="1865">
        <v>5938444</v>
      </c>
      <c r="K58" s="1865">
        <v>102116</v>
      </c>
      <c r="L58" s="1865">
        <v>174719</v>
      </c>
      <c r="M58" s="1335"/>
      <c r="N58" s="1335"/>
      <c r="O58" s="1335"/>
      <c r="P58" s="1335"/>
    </row>
    <row r="59" spans="1:16" hidden="1">
      <c r="A59" s="1910" t="s">
        <v>22</v>
      </c>
      <c r="B59" s="1865">
        <v>4274679</v>
      </c>
      <c r="C59" s="1865">
        <v>4178449</v>
      </c>
      <c r="D59" s="1865">
        <v>82828</v>
      </c>
      <c r="E59" s="1865">
        <v>96230</v>
      </c>
      <c r="F59" s="1865">
        <v>6793012</v>
      </c>
      <c r="G59" s="1865">
        <v>6307822</v>
      </c>
      <c r="H59" s="1865"/>
      <c r="I59" s="1865">
        <v>485190</v>
      </c>
      <c r="J59" s="1865">
        <v>6111312</v>
      </c>
      <c r="K59" s="1865">
        <v>125878</v>
      </c>
      <c r="L59" s="1865">
        <v>196510</v>
      </c>
      <c r="M59" s="1335"/>
      <c r="N59" s="1335"/>
      <c r="O59" s="1335"/>
      <c r="P59" s="1335"/>
    </row>
    <row r="60" spans="1:16" hidden="1">
      <c r="A60" s="1910" t="s">
        <v>23</v>
      </c>
      <c r="B60" s="1865">
        <v>4412251</v>
      </c>
      <c r="C60" s="1865">
        <v>4315208</v>
      </c>
      <c r="D60" s="1865">
        <v>83928</v>
      </c>
      <c r="E60" s="1865">
        <v>97043</v>
      </c>
      <c r="F60" s="1865">
        <v>7078725</v>
      </c>
      <c r="G60" s="1865">
        <v>6594824</v>
      </c>
      <c r="H60" s="1865"/>
      <c r="I60" s="1865">
        <v>483901</v>
      </c>
      <c r="J60" s="1865">
        <v>6420247</v>
      </c>
      <c r="K60" s="1865">
        <v>127261</v>
      </c>
      <c r="L60" s="1865">
        <v>174577</v>
      </c>
      <c r="M60" s="1335"/>
      <c r="N60" s="1335"/>
      <c r="O60" s="1335"/>
      <c r="P60" s="1335"/>
    </row>
    <row r="61" spans="1:16" hidden="1">
      <c r="A61" s="1910" t="s">
        <v>24</v>
      </c>
      <c r="B61" s="1865">
        <v>4615706</v>
      </c>
      <c r="C61" s="1865">
        <v>4517856</v>
      </c>
      <c r="D61" s="1865">
        <v>84524</v>
      </c>
      <c r="E61" s="1865">
        <v>97850</v>
      </c>
      <c r="F61" s="1865">
        <v>7385214</v>
      </c>
      <c r="G61" s="1865">
        <v>6894277</v>
      </c>
      <c r="H61" s="1865"/>
      <c r="I61" s="1865">
        <v>490937</v>
      </c>
      <c r="J61" s="1865">
        <v>6727799</v>
      </c>
      <c r="K61" s="1865">
        <v>127200</v>
      </c>
      <c r="L61" s="1865">
        <v>166478</v>
      </c>
      <c r="M61" s="1335"/>
      <c r="N61" s="1335"/>
      <c r="O61" s="1335"/>
      <c r="P61" s="1335"/>
    </row>
    <row r="62" spans="1:16" hidden="1">
      <c r="A62" s="1910" t="s">
        <v>25</v>
      </c>
      <c r="B62" s="1865">
        <v>4755237</v>
      </c>
      <c r="C62" s="1865">
        <v>4654413</v>
      </c>
      <c r="D62" s="1865">
        <v>85866</v>
      </c>
      <c r="E62" s="1865">
        <v>100824</v>
      </c>
      <c r="F62" s="1865">
        <v>7681665</v>
      </c>
      <c r="G62" s="1865">
        <v>7181640</v>
      </c>
      <c r="H62" s="1865"/>
      <c r="I62" s="1865">
        <v>500025</v>
      </c>
      <c r="J62" s="1865">
        <v>7002609</v>
      </c>
      <c r="K62" s="1865">
        <v>129313</v>
      </c>
      <c r="L62" s="1865">
        <v>179031</v>
      </c>
      <c r="M62" s="1335"/>
      <c r="N62" s="1335"/>
      <c r="O62" s="1335"/>
      <c r="P62" s="1335"/>
    </row>
    <row r="63" spans="1:16" hidden="1">
      <c r="A63" s="1910" t="s">
        <v>26</v>
      </c>
      <c r="B63" s="1865">
        <v>4860358</v>
      </c>
      <c r="C63" s="1865">
        <v>4761452</v>
      </c>
      <c r="D63" s="1865">
        <v>85676</v>
      </c>
      <c r="E63" s="1865">
        <v>98906</v>
      </c>
      <c r="F63" s="1865">
        <v>8009442</v>
      </c>
      <c r="G63" s="1865">
        <v>7502445</v>
      </c>
      <c r="H63" s="1865"/>
      <c r="I63" s="1865">
        <v>506997</v>
      </c>
      <c r="J63" s="1865">
        <v>7324918</v>
      </c>
      <c r="K63" s="1865">
        <v>130797</v>
      </c>
      <c r="L63" s="1865">
        <v>177527</v>
      </c>
      <c r="M63" s="1335"/>
      <c r="N63" s="1335"/>
      <c r="O63" s="1335"/>
      <c r="P63" s="1335"/>
    </row>
    <row r="64" spans="1:16" hidden="1">
      <c r="A64" s="1910" t="s">
        <v>27</v>
      </c>
      <c r="B64" s="1865">
        <v>5110636</v>
      </c>
      <c r="C64" s="1865">
        <v>5009287</v>
      </c>
      <c r="D64" s="1865">
        <v>89288</v>
      </c>
      <c r="E64" s="1865">
        <v>101349</v>
      </c>
      <c r="F64" s="1865">
        <v>8382999</v>
      </c>
      <c r="G64" s="1865">
        <v>7860256</v>
      </c>
      <c r="H64" s="1865"/>
      <c r="I64" s="1865">
        <v>522743</v>
      </c>
      <c r="J64" s="1865">
        <v>7679541</v>
      </c>
      <c r="K64" s="1865">
        <v>131050</v>
      </c>
      <c r="L64" s="1865">
        <v>180715</v>
      </c>
      <c r="M64" s="1335"/>
      <c r="N64" s="1335"/>
      <c r="O64" s="1335"/>
      <c r="P64" s="1335"/>
    </row>
    <row r="65" spans="1:16" hidden="1">
      <c r="A65" s="1910" t="s">
        <v>28</v>
      </c>
      <c r="B65" s="1865">
        <v>5178214</v>
      </c>
      <c r="C65" s="1865">
        <v>5082662</v>
      </c>
      <c r="D65" s="1865">
        <v>87776</v>
      </c>
      <c r="E65" s="1865">
        <v>95552</v>
      </c>
      <c r="F65" s="1865">
        <v>8658990</v>
      </c>
      <c r="G65" s="1865">
        <v>8128804</v>
      </c>
      <c r="H65" s="1865"/>
      <c r="I65" s="1865">
        <v>530186</v>
      </c>
      <c r="J65" s="1865">
        <v>7944250</v>
      </c>
      <c r="K65" s="1865">
        <v>134941</v>
      </c>
      <c r="L65" s="1865">
        <v>184554</v>
      </c>
      <c r="M65" s="1335"/>
      <c r="N65" s="1335"/>
      <c r="O65" s="1335"/>
      <c r="P65" s="1335"/>
    </row>
    <row r="66" spans="1:16" hidden="1">
      <c r="A66" s="1910" t="s">
        <v>29</v>
      </c>
      <c r="B66" s="1865">
        <v>5275532</v>
      </c>
      <c r="C66" s="1865">
        <v>5175865</v>
      </c>
      <c r="D66" s="1865">
        <v>89357</v>
      </c>
      <c r="E66" s="1865">
        <v>99667</v>
      </c>
      <c r="F66" s="1865">
        <v>8999842</v>
      </c>
      <c r="G66" s="1865">
        <v>8459677</v>
      </c>
      <c r="H66" s="1865"/>
      <c r="I66" s="1865">
        <v>540165</v>
      </c>
      <c r="J66" s="1865">
        <v>8269663</v>
      </c>
      <c r="K66" s="1865">
        <v>134113</v>
      </c>
      <c r="L66" s="1865">
        <v>190014</v>
      </c>
      <c r="M66" s="873"/>
      <c r="N66" s="873"/>
      <c r="O66" s="873"/>
      <c r="P66" s="873"/>
    </row>
    <row r="67" spans="1:16">
      <c r="A67" s="1913" t="s">
        <v>1660</v>
      </c>
      <c r="B67" s="1781">
        <v>5146029</v>
      </c>
      <c r="C67" s="1781">
        <v>5049500</v>
      </c>
      <c r="D67" s="1781">
        <v>168941</v>
      </c>
      <c r="E67" s="1781">
        <v>96529</v>
      </c>
      <c r="F67" s="1781">
        <v>13985130</v>
      </c>
      <c r="G67" s="1781">
        <v>10447130</v>
      </c>
      <c r="H67" s="1781">
        <v>3136408</v>
      </c>
      <c r="I67" s="1781">
        <v>401592</v>
      </c>
      <c r="J67" s="1781">
        <v>10271550</v>
      </c>
      <c r="K67" s="1781">
        <v>184280</v>
      </c>
      <c r="L67" s="1781">
        <v>175580</v>
      </c>
      <c r="M67" s="1335"/>
      <c r="N67" s="1335"/>
      <c r="O67" s="1335"/>
      <c r="P67" s="1335"/>
    </row>
    <row r="68" spans="1:16" hidden="1">
      <c r="A68" s="1910" t="s">
        <v>18</v>
      </c>
      <c r="B68" s="1865">
        <v>4839561</v>
      </c>
      <c r="C68" s="1865">
        <v>4741921</v>
      </c>
      <c r="D68" s="1865">
        <v>91741</v>
      </c>
      <c r="E68" s="1865">
        <v>97640</v>
      </c>
      <c r="F68" s="1865">
        <v>9073335</v>
      </c>
      <c r="G68" s="1865">
        <v>8553925</v>
      </c>
      <c r="H68" s="1865"/>
      <c r="I68" s="1865">
        <v>519410</v>
      </c>
      <c r="J68" s="1865">
        <v>8368683</v>
      </c>
      <c r="K68" s="1865">
        <v>138247</v>
      </c>
      <c r="L68" s="1865">
        <v>185242</v>
      </c>
      <c r="M68" s="1335"/>
      <c r="N68" s="1335"/>
      <c r="O68" s="1335"/>
      <c r="P68" s="1335"/>
    </row>
    <row r="69" spans="1:16" hidden="1">
      <c r="A69" s="1910" t="s">
        <v>19</v>
      </c>
      <c r="B69" s="1865">
        <v>4350499</v>
      </c>
      <c r="C69" s="1865">
        <v>4253059</v>
      </c>
      <c r="D69" s="1865">
        <v>87354</v>
      </c>
      <c r="E69" s="1865">
        <v>97440</v>
      </c>
      <c r="F69" s="1865">
        <v>10449446</v>
      </c>
      <c r="G69" s="1865">
        <v>7887474</v>
      </c>
      <c r="H69" s="1865">
        <v>2267892</v>
      </c>
      <c r="I69" s="1865">
        <v>294080</v>
      </c>
      <c r="J69" s="1865">
        <v>7726419</v>
      </c>
      <c r="K69" s="1865">
        <v>129629</v>
      </c>
      <c r="L69" s="1865">
        <v>161055</v>
      </c>
      <c r="M69" s="1335"/>
      <c r="N69" s="1335"/>
      <c r="O69" s="1335"/>
      <c r="P69" s="1335"/>
    </row>
    <row r="70" spans="1:16" hidden="1">
      <c r="A70" s="1910" t="s">
        <v>20</v>
      </c>
      <c r="B70" s="1865">
        <v>4382781</v>
      </c>
      <c r="C70" s="1865">
        <v>4292809</v>
      </c>
      <c r="D70" s="1865">
        <v>91047</v>
      </c>
      <c r="E70" s="1865">
        <v>89972</v>
      </c>
      <c r="F70" s="1865">
        <v>10747591</v>
      </c>
      <c r="G70" s="1865">
        <v>8098597</v>
      </c>
      <c r="H70" s="1865">
        <v>2345808</v>
      </c>
      <c r="I70" s="1865">
        <v>303186</v>
      </c>
      <c r="J70" s="1865">
        <v>7936357</v>
      </c>
      <c r="K70" s="1865">
        <v>136123</v>
      </c>
      <c r="L70" s="1865">
        <v>162240</v>
      </c>
      <c r="M70" s="1335"/>
      <c r="N70" s="1335"/>
      <c r="O70" s="1335"/>
      <c r="P70" s="1335"/>
    </row>
    <row r="71" spans="1:16" hidden="1">
      <c r="A71" s="1910" t="s">
        <v>21</v>
      </c>
      <c r="B71" s="1865">
        <v>4505563</v>
      </c>
      <c r="C71" s="1865">
        <v>4414764</v>
      </c>
      <c r="D71" s="1865">
        <v>103230</v>
      </c>
      <c r="E71" s="1865">
        <v>90799</v>
      </c>
      <c r="F71" s="1865">
        <v>11163629</v>
      </c>
      <c r="G71" s="1865">
        <v>8425491</v>
      </c>
      <c r="H71" s="1865">
        <v>2429275</v>
      </c>
      <c r="I71" s="1865">
        <v>308863</v>
      </c>
      <c r="J71" s="1865">
        <v>8254305</v>
      </c>
      <c r="K71" s="1865">
        <v>144354</v>
      </c>
      <c r="L71" s="1865">
        <v>171186</v>
      </c>
      <c r="M71" s="1335"/>
      <c r="N71" s="1335"/>
      <c r="O71" s="1335"/>
      <c r="P71" s="1335"/>
    </row>
    <row r="72" spans="1:16" hidden="1">
      <c r="A72" s="1910" t="s">
        <v>22</v>
      </c>
      <c r="B72" s="1865">
        <v>4640809</v>
      </c>
      <c r="C72" s="1865">
        <v>4548984</v>
      </c>
      <c r="D72" s="1865">
        <v>114871</v>
      </c>
      <c r="E72" s="1865">
        <v>91825</v>
      </c>
      <c r="F72" s="1865">
        <v>11580494</v>
      </c>
      <c r="G72" s="1865">
        <v>8722149</v>
      </c>
      <c r="H72" s="1865">
        <v>2535111</v>
      </c>
      <c r="I72" s="1865">
        <v>323234</v>
      </c>
      <c r="J72" s="1865">
        <v>8545788</v>
      </c>
      <c r="K72" s="1865">
        <v>151969</v>
      </c>
      <c r="L72" s="1865">
        <v>176361</v>
      </c>
      <c r="M72" s="1335"/>
      <c r="N72" s="1335"/>
      <c r="O72" s="1335"/>
      <c r="P72" s="1335"/>
    </row>
    <row r="73" spans="1:16" hidden="1">
      <c r="A73" s="1910" t="s">
        <v>23</v>
      </c>
      <c r="B73" s="1865">
        <v>4754509</v>
      </c>
      <c r="C73" s="1865">
        <v>4661812</v>
      </c>
      <c r="D73" s="1865">
        <v>119894</v>
      </c>
      <c r="E73" s="1865">
        <v>92697</v>
      </c>
      <c r="F73" s="1865">
        <v>11917159</v>
      </c>
      <c r="G73" s="1865">
        <v>8956740</v>
      </c>
      <c r="H73" s="1865">
        <v>2623989</v>
      </c>
      <c r="I73" s="1865">
        <v>336430</v>
      </c>
      <c r="J73" s="1865">
        <v>8782541</v>
      </c>
      <c r="K73" s="1865">
        <v>161292</v>
      </c>
      <c r="L73" s="1865">
        <v>174199</v>
      </c>
      <c r="M73" s="1094"/>
      <c r="N73" s="1094"/>
      <c r="O73" s="1094"/>
      <c r="P73" s="1094"/>
    </row>
    <row r="74" spans="1:16" hidden="1">
      <c r="A74" s="1910" t="s">
        <v>24</v>
      </c>
      <c r="B74" s="1909">
        <v>4877035</v>
      </c>
      <c r="C74" s="1909">
        <v>4783165</v>
      </c>
      <c r="D74" s="1909">
        <v>136195</v>
      </c>
      <c r="E74" s="1909">
        <v>93870</v>
      </c>
      <c r="F74" s="1909">
        <v>12271873</v>
      </c>
      <c r="G74" s="1909">
        <v>9230102</v>
      </c>
      <c r="H74" s="1909">
        <v>2694253</v>
      </c>
      <c r="I74" s="1909">
        <v>347518</v>
      </c>
      <c r="J74" s="1909">
        <v>9054303</v>
      </c>
      <c r="K74" s="1909">
        <v>167157</v>
      </c>
      <c r="L74" s="1909">
        <v>175799</v>
      </c>
      <c r="M74" s="1094"/>
      <c r="N74" s="1094"/>
      <c r="O74" s="1094"/>
      <c r="P74" s="1094"/>
    </row>
    <row r="75" spans="1:16" hidden="1">
      <c r="A75" s="1910" t="s">
        <v>25</v>
      </c>
      <c r="B75" s="1909">
        <v>4998381</v>
      </c>
      <c r="C75" s="1909">
        <v>4904285</v>
      </c>
      <c r="D75" s="1909">
        <v>143714</v>
      </c>
      <c r="E75" s="1909">
        <v>94096</v>
      </c>
      <c r="F75" s="1909">
        <v>12634082</v>
      </c>
      <c r="G75" s="1909">
        <v>9481842</v>
      </c>
      <c r="H75" s="1909">
        <v>2794467</v>
      </c>
      <c r="I75" s="1909">
        <v>357773</v>
      </c>
      <c r="J75" s="1909">
        <v>9305220</v>
      </c>
      <c r="K75" s="1909">
        <v>171037</v>
      </c>
      <c r="L75" s="1909">
        <v>176622</v>
      </c>
      <c r="M75" s="1094"/>
      <c r="N75" s="1094"/>
      <c r="O75" s="1094"/>
      <c r="P75" s="1094"/>
    </row>
    <row r="76" spans="1:16" hidden="1">
      <c r="A76" s="1910" t="s">
        <v>26</v>
      </c>
      <c r="B76" s="1909">
        <v>5084965</v>
      </c>
      <c r="C76" s="1909">
        <v>4989783</v>
      </c>
      <c r="D76" s="1909">
        <v>149974</v>
      </c>
      <c r="E76" s="1909">
        <v>95182</v>
      </c>
      <c r="F76" s="1909">
        <v>12980149</v>
      </c>
      <c r="G76" s="1909">
        <v>9718336</v>
      </c>
      <c r="H76" s="1909">
        <v>2893596</v>
      </c>
      <c r="I76" s="1909">
        <v>368217</v>
      </c>
      <c r="J76" s="1909">
        <v>9540564</v>
      </c>
      <c r="K76" s="1909">
        <v>174308</v>
      </c>
      <c r="L76" s="1909">
        <v>177772</v>
      </c>
      <c r="M76" s="1094"/>
      <c r="N76" s="1094"/>
      <c r="O76" s="1094"/>
      <c r="P76" s="1094"/>
    </row>
    <row r="77" spans="1:16" hidden="1">
      <c r="A77" s="1910" t="s">
        <v>27</v>
      </c>
      <c r="B77" s="1909">
        <v>5238250</v>
      </c>
      <c r="C77" s="1909">
        <v>5138124</v>
      </c>
      <c r="D77" s="1909">
        <v>158888</v>
      </c>
      <c r="E77" s="1909">
        <v>100126</v>
      </c>
      <c r="F77" s="1909">
        <v>13465080</v>
      </c>
      <c r="G77" s="1909">
        <v>10083739</v>
      </c>
      <c r="H77" s="1909">
        <v>3003322</v>
      </c>
      <c r="I77" s="1909">
        <v>378019</v>
      </c>
      <c r="J77" s="1909">
        <v>9901652</v>
      </c>
      <c r="K77" s="1909">
        <v>179977</v>
      </c>
      <c r="L77" s="1909">
        <v>182087</v>
      </c>
      <c r="M77" s="1094"/>
      <c r="N77" s="1094"/>
      <c r="O77" s="1094"/>
      <c r="P77" s="1094"/>
    </row>
    <row r="78" spans="1:16" hidden="1">
      <c r="A78" s="1910" t="s">
        <v>28</v>
      </c>
      <c r="B78" s="1909">
        <v>5356242</v>
      </c>
      <c r="C78" s="1909">
        <v>5255866</v>
      </c>
      <c r="D78" s="1909">
        <v>165720</v>
      </c>
      <c r="E78" s="1909">
        <v>100376</v>
      </c>
      <c r="F78" s="1909">
        <v>13894410</v>
      </c>
      <c r="G78" s="1909">
        <v>10435538</v>
      </c>
      <c r="H78" s="1909">
        <v>3070297</v>
      </c>
      <c r="I78" s="1909">
        <v>388575</v>
      </c>
      <c r="J78" s="1909">
        <v>10254295</v>
      </c>
      <c r="K78" s="1909">
        <v>183981</v>
      </c>
      <c r="L78" s="1909">
        <v>181243</v>
      </c>
      <c r="M78" s="1094"/>
      <c r="N78" s="1094"/>
      <c r="O78" s="1094"/>
      <c r="P78" s="1094"/>
    </row>
    <row r="79" spans="1:16" hidden="1">
      <c r="A79" s="1910">
        <v>12</v>
      </c>
      <c r="B79" s="1909">
        <v>5146029</v>
      </c>
      <c r="C79" s="1909">
        <v>5049500</v>
      </c>
      <c r="D79" s="1909">
        <v>168941</v>
      </c>
      <c r="E79" s="1909">
        <v>96529</v>
      </c>
      <c r="F79" s="1909">
        <v>13985130</v>
      </c>
      <c r="G79" s="1909">
        <v>10447130</v>
      </c>
      <c r="H79" s="1909">
        <v>3136408</v>
      </c>
      <c r="I79" s="1909">
        <v>401592</v>
      </c>
      <c r="J79" s="1909">
        <v>10271550</v>
      </c>
      <c r="K79" s="1909">
        <v>184280</v>
      </c>
      <c r="L79" s="1909">
        <v>175580</v>
      </c>
      <c r="M79" s="873"/>
      <c r="N79" s="873"/>
      <c r="O79" s="873"/>
      <c r="P79" s="873"/>
    </row>
    <row r="80" spans="1:16">
      <c r="A80" s="1910" t="s">
        <v>1855</v>
      </c>
      <c r="B80" s="1781">
        <v>5716385</v>
      </c>
      <c r="C80" s="1781">
        <v>5607028</v>
      </c>
      <c r="D80" s="1781">
        <v>181202</v>
      </c>
      <c r="E80" s="1781">
        <v>109357</v>
      </c>
      <c r="F80" s="1781">
        <v>16229206</v>
      </c>
      <c r="G80" s="1781">
        <v>12647950</v>
      </c>
      <c r="H80" s="1781">
        <v>3120393</v>
      </c>
      <c r="I80" s="1781">
        <v>460863</v>
      </c>
      <c r="J80" s="1781">
        <v>12462546</v>
      </c>
      <c r="K80" s="1781">
        <v>203949</v>
      </c>
      <c r="L80" s="1781">
        <v>185404</v>
      </c>
      <c r="M80" s="1094"/>
      <c r="N80" s="1094"/>
      <c r="O80" s="1094"/>
      <c r="P80" s="1094"/>
    </row>
    <row r="81" spans="1:16">
      <c r="A81" s="1910" t="s">
        <v>18</v>
      </c>
      <c r="B81" s="1909">
        <v>5062382</v>
      </c>
      <c r="C81" s="1909">
        <v>4967148</v>
      </c>
      <c r="D81" s="1909">
        <v>167372</v>
      </c>
      <c r="E81" s="1909">
        <v>95234</v>
      </c>
      <c r="F81" s="1909">
        <v>13807552</v>
      </c>
      <c r="G81" s="1909">
        <v>10396083</v>
      </c>
      <c r="H81" s="1909">
        <v>3024092</v>
      </c>
      <c r="I81" s="1909">
        <v>387377</v>
      </c>
      <c r="J81" s="1909">
        <v>10229764</v>
      </c>
      <c r="K81" s="1909">
        <v>156412</v>
      </c>
      <c r="L81" s="1909">
        <v>166319</v>
      </c>
      <c r="M81" s="1094"/>
      <c r="N81" s="1094"/>
      <c r="O81" s="1094"/>
      <c r="P81" s="1094"/>
    </row>
    <row r="82" spans="1:16">
      <c r="A82" s="1910" t="s">
        <v>19</v>
      </c>
      <c r="B82" s="1909">
        <v>5094417</v>
      </c>
      <c r="C82" s="1909">
        <v>4997027</v>
      </c>
      <c r="D82" s="1909">
        <v>168410</v>
      </c>
      <c r="E82" s="1909">
        <v>97390</v>
      </c>
      <c r="F82" s="1909">
        <v>14195742</v>
      </c>
      <c r="G82" s="1909">
        <v>10741162</v>
      </c>
      <c r="H82" s="1909">
        <v>3048363</v>
      </c>
      <c r="I82" s="1909">
        <v>406217</v>
      </c>
      <c r="J82" s="1909">
        <v>10564842</v>
      </c>
      <c r="K82" s="1909">
        <v>191634</v>
      </c>
      <c r="L82" s="1909">
        <v>176320</v>
      </c>
      <c r="M82" s="1094"/>
      <c r="N82" s="1094"/>
      <c r="O82" s="1094"/>
      <c r="P82" s="1094"/>
    </row>
    <row r="83" spans="1:16">
      <c r="A83" s="1910" t="s">
        <v>20</v>
      </c>
      <c r="B83" s="1909">
        <v>5137523</v>
      </c>
      <c r="C83" s="1909">
        <v>5035778</v>
      </c>
      <c r="D83" s="1909">
        <v>167855</v>
      </c>
      <c r="E83" s="1909">
        <v>101745</v>
      </c>
      <c r="F83" s="1909">
        <v>14443879</v>
      </c>
      <c r="G83" s="1909">
        <v>10926165</v>
      </c>
      <c r="H83" s="1909">
        <v>3088855</v>
      </c>
      <c r="I83" s="1909">
        <v>428859</v>
      </c>
      <c r="J83" s="1909">
        <v>10746476</v>
      </c>
      <c r="K83" s="1909">
        <v>189678</v>
      </c>
      <c r="L83" s="1909">
        <v>179689</v>
      </c>
      <c r="M83" s="1094"/>
      <c r="N83" s="1094"/>
      <c r="O83" s="1094"/>
      <c r="P83" s="1094"/>
    </row>
    <row r="84" spans="1:16">
      <c r="A84" s="1910" t="s">
        <v>21</v>
      </c>
      <c r="B84" s="1909">
        <v>5273663</v>
      </c>
      <c r="C84" s="1909">
        <v>5168438</v>
      </c>
      <c r="D84" s="1909">
        <v>171164</v>
      </c>
      <c r="E84" s="1909">
        <v>105225</v>
      </c>
      <c r="F84" s="1909">
        <v>14688425</v>
      </c>
      <c r="G84" s="1909">
        <v>11153454</v>
      </c>
      <c r="H84" s="1909">
        <v>3115450</v>
      </c>
      <c r="I84" s="1909">
        <v>419521</v>
      </c>
      <c r="J84" s="1909">
        <v>10974586</v>
      </c>
      <c r="K84" s="1909">
        <v>192878</v>
      </c>
      <c r="L84" s="1909">
        <v>178868</v>
      </c>
      <c r="M84" s="1094"/>
      <c r="N84" s="1094"/>
      <c r="O84" s="1094"/>
      <c r="P84" s="1094"/>
    </row>
    <row r="85" spans="1:16">
      <c r="A85" s="1910" t="s">
        <v>22</v>
      </c>
      <c r="B85" s="1909">
        <v>5348165</v>
      </c>
      <c r="C85" s="1909">
        <v>5242157</v>
      </c>
      <c r="D85" s="1909">
        <v>173090</v>
      </c>
      <c r="E85" s="1909">
        <v>106008</v>
      </c>
      <c r="F85" s="1909">
        <v>14948439</v>
      </c>
      <c r="G85" s="1909">
        <v>11393849</v>
      </c>
      <c r="H85" s="1909">
        <v>3129415</v>
      </c>
      <c r="I85" s="1909">
        <v>425175</v>
      </c>
      <c r="J85" s="1909">
        <v>11213759</v>
      </c>
      <c r="K85" s="1909">
        <v>195383</v>
      </c>
      <c r="L85" s="1909">
        <v>180090</v>
      </c>
      <c r="M85" s="1094"/>
      <c r="N85" s="1094"/>
      <c r="O85" s="1094"/>
      <c r="P85" s="1094"/>
    </row>
    <row r="86" spans="1:16">
      <c r="A86" s="1910" t="s">
        <v>23</v>
      </c>
      <c r="B86" s="1909">
        <v>5413682</v>
      </c>
      <c r="C86" s="1909">
        <v>5307065</v>
      </c>
      <c r="D86" s="1909">
        <v>174695</v>
      </c>
      <c r="E86" s="1909">
        <v>106617</v>
      </c>
      <c r="F86" s="1909">
        <v>15102254</v>
      </c>
      <c r="G86" s="1909">
        <v>11601970</v>
      </c>
      <c r="H86" s="1909">
        <v>3067691</v>
      </c>
      <c r="I86" s="1909">
        <v>432593</v>
      </c>
      <c r="J86" s="1909">
        <v>11420488</v>
      </c>
      <c r="K86" s="1909">
        <v>198022</v>
      </c>
      <c r="L86" s="1909">
        <v>181482</v>
      </c>
      <c r="M86" s="1094"/>
      <c r="N86" s="1094"/>
      <c r="O86" s="1094"/>
      <c r="P86" s="1094"/>
    </row>
    <row r="87" spans="1:16">
      <c r="A87" s="1910" t="s">
        <v>24</v>
      </c>
      <c r="B87" s="1909">
        <v>5431083</v>
      </c>
      <c r="C87" s="1909">
        <v>5324835</v>
      </c>
      <c r="D87" s="1909">
        <v>175196</v>
      </c>
      <c r="E87" s="1909">
        <v>106034</v>
      </c>
      <c r="F87" s="1909">
        <v>15316682</v>
      </c>
      <c r="G87" s="1909">
        <v>11761467</v>
      </c>
      <c r="H87" s="1909">
        <v>3118972</v>
      </c>
      <c r="I87" s="1909">
        <v>436243</v>
      </c>
      <c r="J87" s="1909">
        <v>11582152</v>
      </c>
      <c r="K87" s="1909">
        <v>198779</v>
      </c>
      <c r="L87" s="1909">
        <v>179315</v>
      </c>
      <c r="M87" s="1094"/>
      <c r="N87" s="1094"/>
      <c r="O87" s="1094"/>
      <c r="P87" s="1094"/>
    </row>
    <row r="88" spans="1:16">
      <c r="A88" s="1910" t="s">
        <v>25</v>
      </c>
      <c r="B88" s="1909">
        <v>5495120</v>
      </c>
      <c r="C88" s="1909">
        <v>5388346</v>
      </c>
      <c r="D88" s="1909">
        <v>171641</v>
      </c>
      <c r="E88" s="1909">
        <v>106774</v>
      </c>
      <c r="F88" s="1909">
        <v>15569158</v>
      </c>
      <c r="G88" s="1909">
        <v>11986947</v>
      </c>
      <c r="H88" s="1909">
        <v>3142999</v>
      </c>
      <c r="I88" s="1909">
        <v>439212</v>
      </c>
      <c r="J88" s="1909">
        <v>11806511</v>
      </c>
      <c r="K88" s="1909">
        <v>200638</v>
      </c>
      <c r="L88" s="1909">
        <v>180436</v>
      </c>
      <c r="M88" s="1094"/>
      <c r="N88" s="1094"/>
      <c r="O88" s="1094"/>
      <c r="P88" s="1094"/>
    </row>
    <row r="89" spans="1:16">
      <c r="A89" s="1910" t="s">
        <v>26</v>
      </c>
      <c r="B89" s="1909">
        <v>5560451</v>
      </c>
      <c r="C89" s="1909">
        <v>5453024</v>
      </c>
      <c r="D89" s="1909">
        <v>176958</v>
      </c>
      <c r="E89" s="1909">
        <v>107427</v>
      </c>
      <c r="F89" s="1909">
        <v>15804402</v>
      </c>
      <c r="G89" s="1909">
        <v>12192605</v>
      </c>
      <c r="H89" s="1909">
        <v>3165211</v>
      </c>
      <c r="I89" s="1909">
        <v>446586</v>
      </c>
      <c r="J89" s="1909">
        <v>12011113</v>
      </c>
      <c r="K89" s="1909">
        <v>201654</v>
      </c>
      <c r="L89" s="1909">
        <v>181492</v>
      </c>
      <c r="M89" s="1094"/>
      <c r="N89" s="1094"/>
      <c r="O89" s="1094"/>
      <c r="P89" s="1094"/>
    </row>
    <row r="90" spans="1:16">
      <c r="A90" s="1910" t="s">
        <v>27</v>
      </c>
      <c r="B90" s="1909">
        <v>5644834</v>
      </c>
      <c r="C90" s="1909">
        <v>5535793</v>
      </c>
      <c r="D90" s="1909">
        <v>178296</v>
      </c>
      <c r="E90" s="1909">
        <v>109041</v>
      </c>
      <c r="F90" s="1909">
        <v>15957945</v>
      </c>
      <c r="G90" s="1909">
        <v>12366584</v>
      </c>
      <c r="H90" s="1909">
        <v>3135513</v>
      </c>
      <c r="I90" s="1909">
        <v>455848</v>
      </c>
      <c r="J90" s="1909">
        <v>12183363</v>
      </c>
      <c r="K90" s="1909">
        <v>242124</v>
      </c>
      <c r="L90" s="1909">
        <v>183221</v>
      </c>
      <c r="M90" s="1094"/>
      <c r="N90" s="1094"/>
      <c r="O90" s="1094"/>
      <c r="P90" s="1094"/>
    </row>
    <row r="91" spans="1:16">
      <c r="A91" s="1910" t="s">
        <v>28</v>
      </c>
      <c r="B91" s="1909">
        <v>5667387</v>
      </c>
      <c r="C91" s="1909">
        <v>5557126</v>
      </c>
      <c r="D91" s="1909">
        <v>176423</v>
      </c>
      <c r="E91" s="1909">
        <v>110261</v>
      </c>
      <c r="F91" s="1909">
        <v>16097280</v>
      </c>
      <c r="G91" s="1909">
        <v>12489859</v>
      </c>
      <c r="H91" s="1909">
        <v>3147708</v>
      </c>
      <c r="I91" s="1909">
        <v>459713</v>
      </c>
      <c r="J91" s="1909">
        <v>12306022</v>
      </c>
      <c r="K91" s="1909">
        <v>200104</v>
      </c>
      <c r="L91" s="1909">
        <v>183837</v>
      </c>
      <c r="M91" s="1094"/>
      <c r="N91" s="1094"/>
      <c r="O91" s="1094"/>
      <c r="P91" s="1094"/>
    </row>
    <row r="92" spans="1:16">
      <c r="A92" s="1910" t="s">
        <v>29</v>
      </c>
      <c r="B92" s="1909">
        <v>5716385</v>
      </c>
      <c r="C92" s="1909">
        <v>5607028</v>
      </c>
      <c r="D92" s="1909">
        <v>181202</v>
      </c>
      <c r="E92" s="1909">
        <v>109357</v>
      </c>
      <c r="F92" s="1909">
        <v>16229206</v>
      </c>
      <c r="G92" s="1909">
        <v>12647950</v>
      </c>
      <c r="H92" s="1909">
        <v>3120393</v>
      </c>
      <c r="I92" s="1909">
        <v>460863</v>
      </c>
      <c r="J92" s="1909">
        <v>12462546</v>
      </c>
      <c r="K92" s="1909">
        <v>203949</v>
      </c>
      <c r="L92" s="1909">
        <v>185404</v>
      </c>
      <c r="M92" s="1094"/>
      <c r="N92" s="1094"/>
      <c r="O92" s="1094"/>
      <c r="P92" s="1094"/>
    </row>
    <row r="93" spans="1:16">
      <c r="A93" s="1910" t="s">
        <v>1879</v>
      </c>
      <c r="B93" s="1781">
        <v>5386819</v>
      </c>
      <c r="C93" s="1781">
        <v>5314184</v>
      </c>
      <c r="D93" s="1781">
        <v>172868</v>
      </c>
      <c r="E93" s="1781">
        <v>72635</v>
      </c>
      <c r="F93" s="1781">
        <v>15195751</v>
      </c>
      <c r="G93" s="1781">
        <v>12512490</v>
      </c>
      <c r="H93" s="1781">
        <v>2304585</v>
      </c>
      <c r="I93" s="1781">
        <v>378676</v>
      </c>
      <c r="J93" s="1781">
        <v>12379083</v>
      </c>
      <c r="K93" s="1781">
        <v>169626</v>
      </c>
      <c r="L93" s="1781">
        <v>133407</v>
      </c>
      <c r="M93" s="1912"/>
      <c r="N93" s="1912"/>
      <c r="O93" s="1912"/>
      <c r="P93" s="1912"/>
    </row>
    <row r="94" spans="1:16">
      <c r="A94" s="1910" t="s">
        <v>18</v>
      </c>
      <c r="B94" s="1909">
        <v>5420958</v>
      </c>
      <c r="C94" s="1909">
        <v>5334993</v>
      </c>
      <c r="D94" s="1909">
        <v>165406</v>
      </c>
      <c r="E94" s="1909">
        <v>85965</v>
      </c>
      <c r="F94" s="1909">
        <v>15654937</v>
      </c>
      <c r="G94" s="1909">
        <v>12272139</v>
      </c>
      <c r="H94" s="1909">
        <v>2961394</v>
      </c>
      <c r="I94" s="1909">
        <v>421404</v>
      </c>
      <c r="J94" s="1909">
        <v>12114523</v>
      </c>
      <c r="K94" s="1909">
        <v>161078</v>
      </c>
      <c r="L94" s="1909">
        <v>157616</v>
      </c>
      <c r="M94" s="1849"/>
      <c r="N94" s="1849"/>
      <c r="O94" s="1849"/>
      <c r="P94" s="1849"/>
    </row>
    <row r="95" spans="1:16">
      <c r="A95" s="1910" t="s">
        <v>19</v>
      </c>
      <c r="B95" s="1909">
        <v>5499131</v>
      </c>
      <c r="C95" s="1909">
        <v>5412518</v>
      </c>
      <c r="D95" s="1909">
        <v>168737</v>
      </c>
      <c r="E95" s="1909">
        <v>86613</v>
      </c>
      <c r="F95" s="1909">
        <v>15705855</v>
      </c>
      <c r="G95" s="1909">
        <v>12379828</v>
      </c>
      <c r="H95" s="1909">
        <v>2906969</v>
      </c>
      <c r="I95" s="1909">
        <v>419058</v>
      </c>
      <c r="J95" s="1909">
        <v>12219249</v>
      </c>
      <c r="K95" s="1909">
        <v>167231</v>
      </c>
      <c r="L95" s="1909">
        <v>160579</v>
      </c>
      <c r="M95" s="1849"/>
      <c r="N95" s="1849"/>
      <c r="O95" s="1849"/>
      <c r="P95" s="1849"/>
    </row>
    <row r="96" spans="1:16">
      <c r="A96" s="1910" t="s">
        <v>20</v>
      </c>
      <c r="B96" s="1909">
        <v>5547620</v>
      </c>
      <c r="C96" s="1909">
        <v>5458954</v>
      </c>
      <c r="D96" s="1909">
        <v>172796</v>
      </c>
      <c r="E96" s="1909">
        <v>88666</v>
      </c>
      <c r="F96" s="1909">
        <v>15790758</v>
      </c>
      <c r="G96" s="1909">
        <v>12481836</v>
      </c>
      <c r="H96" s="1909">
        <v>2888220</v>
      </c>
      <c r="I96" s="1909">
        <v>420702</v>
      </c>
      <c r="J96" s="1909">
        <v>12318108</v>
      </c>
      <c r="K96" s="1909">
        <v>171004</v>
      </c>
      <c r="L96" s="1909">
        <v>163728</v>
      </c>
      <c r="M96" s="1849"/>
      <c r="N96" s="1849"/>
      <c r="O96" s="1849"/>
      <c r="P96" s="1849"/>
    </row>
    <row r="97" spans="1:16">
      <c r="A97" s="1910" t="s">
        <v>21</v>
      </c>
      <c r="B97" s="1909">
        <v>5558982</v>
      </c>
      <c r="C97" s="1909">
        <v>5469774</v>
      </c>
      <c r="D97" s="1909">
        <v>172903</v>
      </c>
      <c r="E97" s="1909">
        <v>89208</v>
      </c>
      <c r="F97" s="1909">
        <v>15729229</v>
      </c>
      <c r="G97" s="1909">
        <v>12517260</v>
      </c>
      <c r="H97" s="1909">
        <v>2791766</v>
      </c>
      <c r="I97" s="1909">
        <v>420203</v>
      </c>
      <c r="J97" s="1909">
        <v>12351710</v>
      </c>
      <c r="K97" s="1909">
        <v>170874</v>
      </c>
      <c r="L97" s="1909">
        <v>165550</v>
      </c>
      <c r="M97" s="1849"/>
      <c r="N97" s="1849"/>
      <c r="O97" s="1849"/>
      <c r="P97" s="1849"/>
    </row>
    <row r="98" spans="1:16">
      <c r="A98" s="1910" t="s">
        <v>22</v>
      </c>
      <c r="B98" s="1909">
        <v>5562229</v>
      </c>
      <c r="C98" s="1909">
        <v>5475145</v>
      </c>
      <c r="D98" s="1909">
        <v>176607</v>
      </c>
      <c r="E98" s="1909">
        <v>87084</v>
      </c>
      <c r="F98" s="1909">
        <v>15585865</v>
      </c>
      <c r="G98" s="1909">
        <v>12449501</v>
      </c>
      <c r="H98" s="1909">
        <v>2710930</v>
      </c>
      <c r="I98" s="1909">
        <v>425434</v>
      </c>
      <c r="J98" s="1909">
        <v>12320171</v>
      </c>
      <c r="K98" s="1909">
        <v>168559</v>
      </c>
      <c r="L98" s="1909">
        <v>129330</v>
      </c>
      <c r="M98" s="1849"/>
      <c r="N98" s="1849"/>
      <c r="O98" s="1849"/>
      <c r="P98" s="1849"/>
    </row>
    <row r="99" spans="1:16">
      <c r="A99" s="1910" t="s">
        <v>23</v>
      </c>
      <c r="B99" s="1909">
        <v>5756066</v>
      </c>
      <c r="C99" s="1909">
        <v>5666899</v>
      </c>
      <c r="D99" s="1909">
        <v>183623</v>
      </c>
      <c r="E99" s="1909">
        <v>89167</v>
      </c>
      <c r="F99" s="1909">
        <v>15625110</v>
      </c>
      <c r="G99" s="1909">
        <v>12607935</v>
      </c>
      <c r="H99" s="1909">
        <v>2604548</v>
      </c>
      <c r="I99" s="1909">
        <v>412627</v>
      </c>
      <c r="J99" s="1909">
        <v>12474935</v>
      </c>
      <c r="K99" s="1909">
        <v>174077</v>
      </c>
      <c r="L99" s="1909">
        <v>133000</v>
      </c>
      <c r="M99" s="1849"/>
      <c r="N99" s="1849"/>
      <c r="O99" s="1849"/>
      <c r="P99" s="1849"/>
    </row>
    <row r="100" spans="1:16">
      <c r="A100" s="1910" t="s">
        <v>24</v>
      </c>
      <c r="B100" s="1909">
        <v>5433190</v>
      </c>
      <c r="C100" s="1909">
        <v>5359673</v>
      </c>
      <c r="D100" s="1909">
        <v>170882</v>
      </c>
      <c r="E100" s="1909">
        <v>73517</v>
      </c>
      <c r="F100" s="1909">
        <v>15126543</v>
      </c>
      <c r="G100" s="1909">
        <v>12301802</v>
      </c>
      <c r="H100" s="1909">
        <v>2430703</v>
      </c>
      <c r="I100" s="1909">
        <v>394038</v>
      </c>
      <c r="J100" s="1909">
        <v>12179146</v>
      </c>
      <c r="K100" s="1909">
        <v>163950</v>
      </c>
      <c r="L100" s="1909">
        <v>122656</v>
      </c>
      <c r="M100" s="1849"/>
      <c r="N100" s="1849"/>
      <c r="O100" s="1849"/>
      <c r="P100" s="1849"/>
    </row>
    <row r="101" spans="1:16">
      <c r="A101" s="1910" t="s">
        <v>25</v>
      </c>
      <c r="B101" s="1909">
        <v>5497936</v>
      </c>
      <c r="C101" s="1909">
        <v>5423467</v>
      </c>
      <c r="D101" s="1909">
        <v>172465</v>
      </c>
      <c r="E101" s="1909">
        <v>74469</v>
      </c>
      <c r="F101" s="1909">
        <v>15207437</v>
      </c>
      <c r="G101" s="1909">
        <v>12396191</v>
      </c>
      <c r="H101" s="1909">
        <v>2414120</v>
      </c>
      <c r="I101" s="1909">
        <v>397126</v>
      </c>
      <c r="J101" s="1909">
        <v>12270547</v>
      </c>
      <c r="K101" s="1909">
        <v>166107</v>
      </c>
      <c r="L101" s="1909">
        <v>125644</v>
      </c>
      <c r="M101" s="1849"/>
      <c r="N101" s="1849"/>
      <c r="O101" s="1849"/>
      <c r="P101" s="1849"/>
    </row>
    <row r="102" spans="1:16">
      <c r="A102" s="1910" t="s">
        <v>26</v>
      </c>
      <c r="B102" s="1909">
        <v>5546215</v>
      </c>
      <c r="C102" s="1909">
        <v>5471137</v>
      </c>
      <c r="D102" s="1909">
        <v>173790</v>
      </c>
      <c r="E102" s="1909">
        <v>75078</v>
      </c>
      <c r="F102" s="1909">
        <v>15374881</v>
      </c>
      <c r="G102" s="1909">
        <v>12547262</v>
      </c>
      <c r="H102" s="1909">
        <v>2427078</v>
      </c>
      <c r="I102" s="1909">
        <v>400541</v>
      </c>
      <c r="J102" s="1909">
        <v>12417318</v>
      </c>
      <c r="K102" s="1909">
        <v>168386</v>
      </c>
      <c r="L102" s="1909">
        <v>129944</v>
      </c>
      <c r="M102" s="1849"/>
      <c r="N102" s="1849"/>
      <c r="O102" s="1849"/>
      <c r="P102" s="1849"/>
    </row>
    <row r="103" spans="1:16">
      <c r="A103" s="1910" t="s">
        <v>27</v>
      </c>
      <c r="B103" s="1909">
        <v>5342079</v>
      </c>
      <c r="C103" s="1909">
        <v>5270541</v>
      </c>
      <c r="D103" s="1909">
        <v>169778</v>
      </c>
      <c r="E103" s="1909">
        <v>71538</v>
      </c>
      <c r="F103" s="1909">
        <v>15138961</v>
      </c>
      <c r="G103" s="1909">
        <v>12386901</v>
      </c>
      <c r="H103" s="1909">
        <v>2362255</v>
      </c>
      <c r="I103" s="1909">
        <v>389805</v>
      </c>
      <c r="J103" s="1909">
        <v>12259400</v>
      </c>
      <c r="K103" s="1909">
        <v>166320</v>
      </c>
      <c r="L103" s="1909">
        <v>127501</v>
      </c>
      <c r="M103" s="1849"/>
      <c r="N103" s="1849"/>
      <c r="O103" s="1849"/>
      <c r="P103" s="1849"/>
    </row>
    <row r="104" spans="1:16">
      <c r="A104" s="1910" t="s">
        <v>28</v>
      </c>
      <c r="B104" s="1909">
        <v>5366184</v>
      </c>
      <c r="C104" s="1909">
        <v>5293933</v>
      </c>
      <c r="D104" s="1909">
        <v>171284</v>
      </c>
      <c r="E104" s="1909">
        <v>72251</v>
      </c>
      <c r="F104" s="1909">
        <v>15199580</v>
      </c>
      <c r="G104" s="1909">
        <v>12465800</v>
      </c>
      <c r="H104" s="1909">
        <v>2347430</v>
      </c>
      <c r="I104" s="1909">
        <v>386350</v>
      </c>
      <c r="J104" s="1909">
        <v>12333321</v>
      </c>
      <c r="K104" s="1909">
        <v>168739</v>
      </c>
      <c r="L104" s="1909">
        <v>132479</v>
      </c>
      <c r="M104" s="1849"/>
      <c r="N104" s="1849"/>
      <c r="O104" s="1849"/>
      <c r="P104" s="1849"/>
    </row>
    <row r="105" spans="1:16">
      <c r="A105" s="1910" t="s">
        <v>29</v>
      </c>
      <c r="B105" s="1909">
        <v>5386819</v>
      </c>
      <c r="C105" s="1909">
        <v>5314184</v>
      </c>
      <c r="D105" s="1909">
        <v>172868</v>
      </c>
      <c r="E105" s="1909">
        <v>72635</v>
      </c>
      <c r="F105" s="1909">
        <v>15195751</v>
      </c>
      <c r="G105" s="1909">
        <v>12512490</v>
      </c>
      <c r="H105" s="1909">
        <v>2304585</v>
      </c>
      <c r="I105" s="1909">
        <v>378676</v>
      </c>
      <c r="J105" s="1909">
        <v>12379083</v>
      </c>
      <c r="K105" s="1909">
        <v>169626</v>
      </c>
      <c r="L105" s="1909">
        <v>133407</v>
      </c>
      <c r="M105" s="1849"/>
      <c r="N105" s="1849"/>
      <c r="O105" s="1849"/>
      <c r="P105" s="1849"/>
    </row>
    <row r="106" spans="1:16">
      <c r="A106" s="1910" t="s">
        <v>1942</v>
      </c>
      <c r="B106" s="1781">
        <v>5851548</v>
      </c>
      <c r="C106" s="1781">
        <v>5761897</v>
      </c>
      <c r="D106" s="1781">
        <v>232158</v>
      </c>
      <c r="E106" s="1781">
        <v>89651</v>
      </c>
      <c r="F106" s="1781">
        <v>16200529</v>
      </c>
      <c r="G106" s="1781">
        <v>13375811</v>
      </c>
      <c r="H106" s="1781">
        <v>2478933</v>
      </c>
      <c r="I106" s="1781">
        <v>345785</v>
      </c>
      <c r="J106" s="1781">
        <v>13203626</v>
      </c>
      <c r="K106" s="1781">
        <v>245080</v>
      </c>
      <c r="L106" s="1781">
        <v>172185</v>
      </c>
      <c r="M106" s="1912"/>
      <c r="N106" s="1912"/>
      <c r="O106" s="1912"/>
      <c r="P106" s="1912"/>
    </row>
    <row r="107" spans="1:16">
      <c r="A107" s="1910" t="s">
        <v>18</v>
      </c>
      <c r="B107" s="1909">
        <v>5433252</v>
      </c>
      <c r="C107" s="1909">
        <v>5358937</v>
      </c>
      <c r="D107" s="1909">
        <v>175795</v>
      </c>
      <c r="E107" s="1909">
        <v>74315</v>
      </c>
      <c r="F107" s="1909">
        <v>15228759</v>
      </c>
      <c r="G107" s="1909">
        <v>12429486</v>
      </c>
      <c r="H107" s="1909">
        <v>2427867</v>
      </c>
      <c r="I107" s="1909">
        <v>371406</v>
      </c>
      <c r="J107" s="1909">
        <v>12295305</v>
      </c>
      <c r="K107" s="1909">
        <v>171408</v>
      </c>
      <c r="L107" s="1909">
        <v>134181</v>
      </c>
      <c r="M107" s="1849"/>
      <c r="N107" s="1849"/>
      <c r="O107" s="1849"/>
      <c r="P107" s="1849"/>
    </row>
    <row r="108" spans="1:16">
      <c r="A108" s="1910" t="s">
        <v>19</v>
      </c>
      <c r="B108" s="1909">
        <v>5513619</v>
      </c>
      <c r="C108" s="1909">
        <v>5437608</v>
      </c>
      <c r="D108" s="1909">
        <v>189234</v>
      </c>
      <c r="E108" s="1909">
        <v>76011</v>
      </c>
      <c r="F108" s="1909">
        <v>15382371</v>
      </c>
      <c r="G108" s="1909">
        <v>12574892</v>
      </c>
      <c r="H108" s="1909">
        <v>2432814</v>
      </c>
      <c r="I108" s="1909">
        <v>374665</v>
      </c>
      <c r="J108" s="1909">
        <v>12436494</v>
      </c>
      <c r="K108" s="1909">
        <v>188156</v>
      </c>
      <c r="L108" s="1909">
        <v>138398</v>
      </c>
      <c r="M108" s="1849"/>
      <c r="N108" s="1849"/>
      <c r="O108" s="1849"/>
      <c r="P108" s="1849"/>
    </row>
    <row r="109" spans="1:16">
      <c r="A109" s="1910" t="s">
        <v>20</v>
      </c>
      <c r="B109" s="1909">
        <v>5576024</v>
      </c>
      <c r="C109" s="1909">
        <v>5499038</v>
      </c>
      <c r="D109" s="1909">
        <v>193921</v>
      </c>
      <c r="E109" s="1909">
        <v>76986</v>
      </c>
      <c r="F109" s="1909">
        <v>15444417</v>
      </c>
      <c r="G109" s="1909">
        <v>12682717</v>
      </c>
      <c r="H109" s="1909">
        <v>2379133</v>
      </c>
      <c r="I109" s="1909">
        <v>382567</v>
      </c>
      <c r="J109" s="1909">
        <v>12540850</v>
      </c>
      <c r="K109" s="1909">
        <v>193943</v>
      </c>
      <c r="L109" s="1909">
        <v>141867</v>
      </c>
      <c r="M109" s="1849"/>
      <c r="N109" s="1849"/>
      <c r="O109" s="1849"/>
      <c r="P109" s="1849"/>
    </row>
    <row r="110" spans="1:16">
      <c r="A110" s="1910" t="s">
        <v>21</v>
      </c>
      <c r="B110" s="1909">
        <v>5654578</v>
      </c>
      <c r="C110" s="1909">
        <v>5575481</v>
      </c>
      <c r="D110" s="1909">
        <v>200230</v>
      </c>
      <c r="E110" s="1909">
        <v>79097</v>
      </c>
      <c r="F110" s="1909">
        <v>15656358</v>
      </c>
      <c r="G110" s="1909">
        <v>12812232</v>
      </c>
      <c r="H110" s="1909">
        <v>2459169</v>
      </c>
      <c r="I110" s="1909">
        <v>384957</v>
      </c>
      <c r="J110" s="1909">
        <v>12665404</v>
      </c>
      <c r="K110" s="1909">
        <v>201348</v>
      </c>
      <c r="L110" s="1909">
        <v>146828</v>
      </c>
      <c r="M110" s="1849"/>
      <c r="N110" s="1849"/>
      <c r="O110" s="1849"/>
      <c r="P110" s="1849"/>
    </row>
    <row r="111" spans="1:16">
      <c r="A111" s="1910" t="s">
        <v>22</v>
      </c>
      <c r="B111" s="1909">
        <v>5786397</v>
      </c>
      <c r="C111" s="1909">
        <v>5700057</v>
      </c>
      <c r="D111" s="1909">
        <v>206456</v>
      </c>
      <c r="E111" s="1909">
        <v>86340</v>
      </c>
      <c r="F111" s="1909">
        <v>15845740</v>
      </c>
      <c r="G111" s="1909">
        <v>12926984</v>
      </c>
      <c r="H111" s="1909">
        <v>2532322</v>
      </c>
      <c r="I111" s="1909">
        <v>386434</v>
      </c>
      <c r="J111" s="1909">
        <v>12776582</v>
      </c>
      <c r="K111" s="1909">
        <v>206631</v>
      </c>
      <c r="L111" s="1909">
        <v>150402</v>
      </c>
      <c r="M111" s="1849"/>
      <c r="N111" s="1849"/>
      <c r="O111" s="1849"/>
      <c r="P111" s="1849"/>
    </row>
    <row r="112" spans="1:16">
      <c r="A112" s="1910" t="s">
        <v>23</v>
      </c>
      <c r="B112" s="1909">
        <v>5640236</v>
      </c>
      <c r="C112" s="1909">
        <v>5558622</v>
      </c>
      <c r="D112" s="1909">
        <v>210252</v>
      </c>
      <c r="E112" s="1909">
        <v>81614</v>
      </c>
      <c r="F112" s="1909">
        <v>15786014</v>
      </c>
      <c r="G112" s="1909">
        <v>12872818</v>
      </c>
      <c r="H112" s="1909">
        <v>2534472</v>
      </c>
      <c r="I112" s="1909">
        <v>378724</v>
      </c>
      <c r="J112" s="1909">
        <v>12720249</v>
      </c>
      <c r="K112" s="1909">
        <v>215148</v>
      </c>
      <c r="L112" s="1909">
        <v>152569</v>
      </c>
      <c r="M112" s="1849"/>
      <c r="N112" s="1849"/>
      <c r="O112" s="1849"/>
      <c r="P112" s="1849"/>
    </row>
    <row r="113" spans="1:16">
      <c r="A113" s="1910" t="s">
        <v>24</v>
      </c>
      <c r="B113" s="1909">
        <v>5695675</v>
      </c>
      <c r="C113" s="1909">
        <v>5611927</v>
      </c>
      <c r="D113" s="1909">
        <v>217623</v>
      </c>
      <c r="E113" s="1909">
        <v>83748</v>
      </c>
      <c r="F113" s="1909">
        <v>15801506</v>
      </c>
      <c r="G113" s="1909">
        <v>12869620</v>
      </c>
      <c r="H113" s="1909">
        <v>2560721</v>
      </c>
      <c r="I113" s="1909">
        <v>371165</v>
      </c>
      <c r="J113" s="1909">
        <v>12713276</v>
      </c>
      <c r="K113" s="1909">
        <v>225631</v>
      </c>
      <c r="L113" s="1909">
        <v>156344</v>
      </c>
      <c r="M113" s="1849"/>
      <c r="N113" s="1849"/>
      <c r="O113" s="1849"/>
      <c r="P113" s="1849"/>
    </row>
    <row r="114" spans="1:16">
      <c r="A114" s="1910" t="s">
        <v>25</v>
      </c>
      <c r="B114" s="1909">
        <v>5759325</v>
      </c>
      <c r="C114" s="1909">
        <v>5673996</v>
      </c>
      <c r="D114" s="1909">
        <v>220738</v>
      </c>
      <c r="E114" s="1909">
        <v>85329</v>
      </c>
      <c r="F114" s="1909">
        <v>15868068</v>
      </c>
      <c r="G114" s="1909">
        <v>12937255</v>
      </c>
      <c r="H114" s="1909">
        <v>2562496</v>
      </c>
      <c r="I114" s="1909">
        <v>368317</v>
      </c>
      <c r="J114" s="1909">
        <v>12777808</v>
      </c>
      <c r="K114" s="1909">
        <v>229266</v>
      </c>
      <c r="L114" s="1909">
        <v>159447</v>
      </c>
      <c r="M114" s="1849"/>
      <c r="N114" s="1849"/>
      <c r="O114" s="1849"/>
      <c r="P114" s="1849"/>
    </row>
    <row r="115" spans="1:16">
      <c r="A115" s="1910" t="s">
        <v>26</v>
      </c>
      <c r="B115" s="1909">
        <v>5820978</v>
      </c>
      <c r="C115" s="1909">
        <v>5734194</v>
      </c>
      <c r="D115" s="1909">
        <v>224637</v>
      </c>
      <c r="E115" s="1909">
        <v>86784</v>
      </c>
      <c r="F115" s="1909">
        <v>15970997</v>
      </c>
      <c r="G115" s="1909">
        <v>13045018</v>
      </c>
      <c r="H115" s="1909">
        <v>2561045</v>
      </c>
      <c r="I115" s="1909">
        <v>364934</v>
      </c>
      <c r="J115" s="1909">
        <v>12883246</v>
      </c>
      <c r="K115" s="1909">
        <v>232727</v>
      </c>
      <c r="L115" s="1909">
        <v>161772</v>
      </c>
      <c r="M115" s="1849"/>
      <c r="N115" s="1849"/>
      <c r="O115" s="1849"/>
      <c r="P115" s="1849"/>
    </row>
    <row r="116" spans="1:16">
      <c r="A116" s="1910" t="s">
        <v>27</v>
      </c>
      <c r="B116" s="1909">
        <v>5885770</v>
      </c>
      <c r="C116" s="1909">
        <v>5797745</v>
      </c>
      <c r="D116" s="1909">
        <v>226871</v>
      </c>
      <c r="E116" s="1909">
        <v>88025</v>
      </c>
      <c r="F116" s="1909">
        <v>16085249</v>
      </c>
      <c r="G116" s="1909">
        <v>13188960</v>
      </c>
      <c r="H116" s="1909">
        <v>2533428</v>
      </c>
      <c r="I116" s="1909">
        <v>362861</v>
      </c>
      <c r="J116" s="1909">
        <v>13024325</v>
      </c>
      <c r="K116" s="1909">
        <v>236803</v>
      </c>
      <c r="L116" s="1909">
        <v>164635</v>
      </c>
      <c r="M116" s="1849"/>
      <c r="N116" s="1849"/>
      <c r="O116" s="1849"/>
      <c r="P116" s="1849"/>
    </row>
    <row r="117" spans="1:16">
      <c r="A117" s="1910" t="s">
        <v>28</v>
      </c>
      <c r="B117" s="1909">
        <v>5951333</v>
      </c>
      <c r="C117" s="1909">
        <v>5861221</v>
      </c>
      <c r="D117" s="1909">
        <v>230623</v>
      </c>
      <c r="E117" s="1909">
        <v>90112</v>
      </c>
      <c r="F117" s="1909">
        <v>16243942</v>
      </c>
      <c r="G117" s="1909">
        <v>13352318</v>
      </c>
      <c r="H117" s="1909">
        <v>2533913</v>
      </c>
      <c r="I117" s="1909">
        <v>357711</v>
      </c>
      <c r="J117" s="1909">
        <v>13183846</v>
      </c>
      <c r="K117" s="1909">
        <v>241096</v>
      </c>
      <c r="L117" s="1909">
        <v>168472</v>
      </c>
      <c r="M117" s="1849"/>
      <c r="N117" s="1849"/>
      <c r="O117" s="1849"/>
      <c r="P117" s="1849"/>
    </row>
    <row r="118" spans="1:16">
      <c r="A118" s="1910" t="s">
        <v>29</v>
      </c>
      <c r="B118" s="1909">
        <v>5851548</v>
      </c>
      <c r="C118" s="1909">
        <v>5761897</v>
      </c>
      <c r="D118" s="1909">
        <v>232158</v>
      </c>
      <c r="E118" s="1909">
        <v>89651</v>
      </c>
      <c r="F118" s="1909">
        <v>16200529</v>
      </c>
      <c r="G118" s="1909">
        <v>13375811</v>
      </c>
      <c r="H118" s="1909">
        <v>2478933</v>
      </c>
      <c r="I118" s="1909">
        <v>345785</v>
      </c>
      <c r="J118" s="1909">
        <v>13203626</v>
      </c>
      <c r="K118" s="1909">
        <v>245080</v>
      </c>
      <c r="L118" s="1909">
        <v>172185</v>
      </c>
      <c r="M118" s="1849"/>
      <c r="N118" s="1849"/>
      <c r="O118" s="1849"/>
      <c r="P118" s="1849"/>
    </row>
    <row r="119" spans="1:16">
      <c r="A119" s="1910" t="s">
        <v>2078</v>
      </c>
      <c r="B119" s="1781">
        <v>6466071</v>
      </c>
      <c r="C119" s="1781">
        <v>6361580</v>
      </c>
      <c r="D119" s="1781">
        <v>265157</v>
      </c>
      <c r="E119" s="1781">
        <v>104491</v>
      </c>
      <c r="F119" s="1781">
        <v>18083747</v>
      </c>
      <c r="G119" s="1781">
        <v>15088607</v>
      </c>
      <c r="H119" s="1781">
        <v>2627156</v>
      </c>
      <c r="I119" s="1781">
        <v>367984</v>
      </c>
      <c r="J119" s="1781">
        <v>14868962</v>
      </c>
      <c r="K119" s="1781">
        <v>293145</v>
      </c>
      <c r="L119" s="1781">
        <v>219645</v>
      </c>
      <c r="M119" s="1912"/>
      <c r="N119" s="1912"/>
      <c r="O119" s="1912"/>
      <c r="P119" s="1912"/>
    </row>
    <row r="120" spans="1:16">
      <c r="A120" s="1910" t="s">
        <v>18</v>
      </c>
      <c r="B120" s="1909">
        <v>5897622</v>
      </c>
      <c r="C120" s="1909">
        <v>5807526</v>
      </c>
      <c r="D120" s="1909">
        <v>232626</v>
      </c>
      <c r="E120" s="1909">
        <v>90096</v>
      </c>
      <c r="F120" s="1909">
        <v>16308802</v>
      </c>
      <c r="G120" s="1909">
        <v>13481288</v>
      </c>
      <c r="H120" s="1909">
        <v>2484506</v>
      </c>
      <c r="I120" s="1909">
        <v>343008</v>
      </c>
      <c r="J120" s="1909">
        <v>13307488</v>
      </c>
      <c r="K120" s="1909">
        <v>245684</v>
      </c>
      <c r="L120" s="1909">
        <v>173800</v>
      </c>
      <c r="M120" s="1849"/>
      <c r="N120" s="1849"/>
      <c r="O120" s="1849"/>
      <c r="P120" s="1849"/>
    </row>
    <row r="121" spans="1:16">
      <c r="A121" s="1910" t="s">
        <v>19</v>
      </c>
      <c r="B121" s="1909">
        <v>5998010</v>
      </c>
      <c r="C121" s="1909">
        <v>5905555</v>
      </c>
      <c r="D121" s="1909">
        <v>235376</v>
      </c>
      <c r="E121" s="1909">
        <v>92455</v>
      </c>
      <c r="F121" s="1909">
        <v>16487631</v>
      </c>
      <c r="G121" s="1909">
        <v>13719546</v>
      </c>
      <c r="H121" s="1909">
        <v>2433035</v>
      </c>
      <c r="I121" s="1909">
        <v>335050</v>
      </c>
      <c r="J121" s="1909">
        <v>13539189</v>
      </c>
      <c r="K121" s="1909">
        <v>251936</v>
      </c>
      <c r="L121" s="1909">
        <v>180357</v>
      </c>
      <c r="M121" s="1849"/>
      <c r="N121" s="1849"/>
      <c r="O121" s="1849"/>
      <c r="P121" s="1849"/>
    </row>
    <row r="122" spans="1:16">
      <c r="A122" s="1910" t="s">
        <v>20</v>
      </c>
      <c r="B122" s="1909">
        <v>6053946</v>
      </c>
      <c r="C122" s="1909">
        <v>5960281</v>
      </c>
      <c r="D122" s="1909">
        <v>238413</v>
      </c>
      <c r="E122" s="1909">
        <v>93665</v>
      </c>
      <c r="F122" s="1909">
        <v>16632926</v>
      </c>
      <c r="G122" s="1909">
        <v>13863820</v>
      </c>
      <c r="H122" s="1909">
        <v>2434677</v>
      </c>
      <c r="I122" s="1909">
        <v>334429</v>
      </c>
      <c r="J122" s="1909">
        <v>13680922</v>
      </c>
      <c r="K122" s="1909">
        <v>254480</v>
      </c>
      <c r="L122" s="1909">
        <v>182898</v>
      </c>
      <c r="M122" s="1849"/>
      <c r="N122" s="1849"/>
      <c r="O122" s="1849"/>
      <c r="P122" s="1849"/>
    </row>
    <row r="123" spans="1:16">
      <c r="A123" s="1910" t="s">
        <v>21</v>
      </c>
      <c r="B123" s="1909">
        <v>6131113</v>
      </c>
      <c r="C123" s="1909">
        <v>6035788</v>
      </c>
      <c r="D123" s="1909">
        <v>242470</v>
      </c>
      <c r="E123" s="1909">
        <v>95325</v>
      </c>
      <c r="F123" s="1909">
        <v>16840161</v>
      </c>
      <c r="G123" s="1909">
        <v>14055747</v>
      </c>
      <c r="H123" s="1909">
        <v>2450517</v>
      </c>
      <c r="I123" s="1909">
        <v>333897</v>
      </c>
      <c r="J123" s="1909">
        <v>13869342</v>
      </c>
      <c r="K123" s="1909">
        <v>263362</v>
      </c>
      <c r="L123" s="1909">
        <v>186405</v>
      </c>
      <c r="M123" s="1849"/>
      <c r="N123" s="1849"/>
      <c r="O123" s="1849"/>
      <c r="P123" s="1849"/>
    </row>
    <row r="124" spans="1:16">
      <c r="A124" s="1910" t="s">
        <v>22</v>
      </c>
      <c r="B124" s="1909">
        <v>6131530</v>
      </c>
      <c r="C124" s="1909">
        <v>6034427</v>
      </c>
      <c r="D124" s="1909">
        <v>245670</v>
      </c>
      <c r="E124" s="1909">
        <v>97103</v>
      </c>
      <c r="F124" s="1909">
        <v>16933037</v>
      </c>
      <c r="G124" s="1909">
        <v>14131160</v>
      </c>
      <c r="H124" s="1909">
        <v>2466564</v>
      </c>
      <c r="I124" s="1909">
        <v>335313</v>
      </c>
      <c r="J124" s="1909">
        <v>13940677</v>
      </c>
      <c r="K124" s="1909">
        <v>269537</v>
      </c>
      <c r="L124" s="1909">
        <v>190483</v>
      </c>
      <c r="M124" s="1849"/>
      <c r="N124" s="1849"/>
      <c r="O124" s="1849"/>
      <c r="P124" s="1849"/>
    </row>
    <row r="125" spans="1:16">
      <c r="A125" s="1910" t="s">
        <v>23</v>
      </c>
      <c r="B125" s="1909">
        <v>6181725</v>
      </c>
      <c r="C125" s="1909">
        <v>6083539</v>
      </c>
      <c r="D125" s="1909">
        <v>247946</v>
      </c>
      <c r="E125" s="1909">
        <v>98186</v>
      </c>
      <c r="F125" s="1909">
        <v>17092001</v>
      </c>
      <c r="G125" s="1909">
        <v>14273681</v>
      </c>
      <c r="H125" s="1909">
        <v>2484136</v>
      </c>
      <c r="I125" s="1909">
        <v>334184</v>
      </c>
      <c r="J125" s="1909">
        <v>14080323</v>
      </c>
      <c r="K125" s="1909">
        <v>273869</v>
      </c>
      <c r="L125" s="1909">
        <v>193358</v>
      </c>
      <c r="M125" s="1849"/>
      <c r="N125" s="1849"/>
      <c r="O125" s="1849"/>
      <c r="P125" s="1849"/>
    </row>
    <row r="126" spans="1:16">
      <c r="A126" s="1910" t="s">
        <v>24</v>
      </c>
      <c r="B126" s="1909">
        <v>6242262</v>
      </c>
      <c r="C126" s="1909">
        <v>6141804</v>
      </c>
      <c r="D126" s="1909">
        <v>250994</v>
      </c>
      <c r="E126" s="1909">
        <v>100458</v>
      </c>
      <c r="F126" s="1909">
        <v>17310700</v>
      </c>
      <c r="G126" s="1909">
        <v>14448982</v>
      </c>
      <c r="H126" s="1909">
        <v>2520476</v>
      </c>
      <c r="I126" s="1909">
        <v>341242</v>
      </c>
      <c r="J126" s="1909">
        <v>14251965</v>
      </c>
      <c r="K126" s="1909">
        <v>277529</v>
      </c>
      <c r="L126" s="1909">
        <v>197017</v>
      </c>
      <c r="M126" s="1849"/>
      <c r="N126" s="1849"/>
      <c r="O126" s="1849"/>
      <c r="P126" s="1849"/>
    </row>
    <row r="127" spans="1:16">
      <c r="A127" s="1910" t="s">
        <v>25</v>
      </c>
      <c r="B127" s="1909">
        <v>6308260</v>
      </c>
      <c r="C127" s="1909">
        <v>6206402</v>
      </c>
      <c r="D127" s="1909">
        <v>253285</v>
      </c>
      <c r="E127" s="1909">
        <v>101858</v>
      </c>
      <c r="F127" s="1909">
        <v>17484482</v>
      </c>
      <c r="G127" s="1909">
        <v>14595762</v>
      </c>
      <c r="H127" s="1909">
        <v>2542978</v>
      </c>
      <c r="I127" s="1909">
        <v>345742</v>
      </c>
      <c r="J127" s="1909">
        <v>14395591</v>
      </c>
      <c r="K127" s="1909">
        <v>280222</v>
      </c>
      <c r="L127" s="1909">
        <v>200171</v>
      </c>
      <c r="M127" s="1849"/>
      <c r="N127" s="1849"/>
      <c r="O127" s="1849"/>
      <c r="P127" s="1849"/>
    </row>
    <row r="128" spans="1:16">
      <c r="A128" s="1910" t="s">
        <v>26</v>
      </c>
      <c r="B128" s="1909">
        <v>6357628</v>
      </c>
      <c r="C128" s="1909">
        <v>6255130</v>
      </c>
      <c r="D128" s="1909">
        <v>255869</v>
      </c>
      <c r="E128" s="1909">
        <v>102498</v>
      </c>
      <c r="F128" s="1909">
        <v>17620321</v>
      </c>
      <c r="G128" s="1909">
        <v>14710921</v>
      </c>
      <c r="H128" s="1909">
        <v>2560671</v>
      </c>
      <c r="I128" s="1909">
        <v>348729</v>
      </c>
      <c r="J128" s="1909">
        <v>14502274</v>
      </c>
      <c r="K128" s="1909">
        <v>286206</v>
      </c>
      <c r="L128" s="1909">
        <v>208647</v>
      </c>
      <c r="M128" s="1849"/>
      <c r="N128" s="1849"/>
      <c r="O128" s="1849"/>
      <c r="P128" s="1849"/>
    </row>
    <row r="129" spans="1:16">
      <c r="A129" s="1910" t="s">
        <v>27</v>
      </c>
      <c r="B129" s="1909">
        <v>6428920</v>
      </c>
      <c r="C129" s="1909">
        <v>6325372</v>
      </c>
      <c r="D129" s="1909">
        <v>259239</v>
      </c>
      <c r="E129" s="1909">
        <v>103548</v>
      </c>
      <c r="F129" s="1909">
        <v>17810008</v>
      </c>
      <c r="G129" s="1909">
        <v>14867965</v>
      </c>
      <c r="H129" s="1909">
        <v>2586810</v>
      </c>
      <c r="I129" s="1909">
        <v>355233</v>
      </c>
      <c r="J129" s="1909">
        <v>14656201</v>
      </c>
      <c r="K129" s="1909">
        <v>290943</v>
      </c>
      <c r="L129" s="1909">
        <v>211764</v>
      </c>
      <c r="M129" s="1849"/>
      <c r="N129" s="1849"/>
      <c r="O129" s="1849"/>
      <c r="P129" s="1849"/>
    </row>
    <row r="130" spans="1:16">
      <c r="A130" s="1910" t="s">
        <v>28</v>
      </c>
      <c r="B130" s="1909">
        <v>6423125</v>
      </c>
      <c r="C130" s="1909">
        <v>6318030</v>
      </c>
      <c r="D130" s="1909">
        <v>262756</v>
      </c>
      <c r="E130" s="1909">
        <v>105095</v>
      </c>
      <c r="F130" s="1909">
        <v>17905443</v>
      </c>
      <c r="G130" s="1909">
        <v>14948388</v>
      </c>
      <c r="H130" s="1909">
        <v>2596150</v>
      </c>
      <c r="I130" s="1909">
        <v>360905</v>
      </c>
      <c r="J130" s="1909">
        <v>14730794</v>
      </c>
      <c r="K130" s="1909">
        <v>296291</v>
      </c>
      <c r="L130" s="1909">
        <v>217594</v>
      </c>
      <c r="M130" s="1849"/>
      <c r="N130" s="1849"/>
      <c r="O130" s="1849"/>
      <c r="P130" s="1849"/>
    </row>
    <row r="131" spans="1:16">
      <c r="A131" s="1910" t="s">
        <v>29</v>
      </c>
      <c r="B131" s="1909">
        <v>6466071</v>
      </c>
      <c r="C131" s="1909">
        <v>6361580</v>
      </c>
      <c r="D131" s="1909">
        <v>265157</v>
      </c>
      <c r="E131" s="1909">
        <v>104491</v>
      </c>
      <c r="F131" s="1909">
        <v>18083747</v>
      </c>
      <c r="G131" s="1909">
        <v>15088607</v>
      </c>
      <c r="H131" s="1909">
        <v>2627156</v>
      </c>
      <c r="I131" s="1909">
        <v>367984</v>
      </c>
      <c r="J131" s="1909">
        <v>14868962</v>
      </c>
      <c r="K131" s="1909">
        <v>293145</v>
      </c>
      <c r="L131" s="1909">
        <v>219645</v>
      </c>
      <c r="M131" s="1849"/>
      <c r="N131" s="1849"/>
      <c r="O131" s="1849"/>
      <c r="P131" s="1849"/>
    </row>
    <row r="132" spans="1:16">
      <c r="A132" s="1910" t="s">
        <v>2898</v>
      </c>
      <c r="B132" s="1781">
        <v>8478075</v>
      </c>
      <c r="C132" s="1781">
        <v>8360421</v>
      </c>
      <c r="D132" s="1781">
        <v>324237</v>
      </c>
      <c r="E132" s="1781">
        <v>117654</v>
      </c>
      <c r="F132" s="1781">
        <v>21265993</v>
      </c>
      <c r="G132" s="1781">
        <v>17261782</v>
      </c>
      <c r="H132" s="1781">
        <v>3607588</v>
      </c>
      <c r="I132" s="1781">
        <v>396623</v>
      </c>
      <c r="J132" s="1781">
        <v>17033018</v>
      </c>
      <c r="K132" s="1781">
        <v>348287</v>
      </c>
      <c r="L132" s="1781">
        <v>228764</v>
      </c>
      <c r="M132" s="1912"/>
      <c r="N132" s="1912"/>
      <c r="O132" s="1912"/>
      <c r="P132" s="1912"/>
    </row>
    <row r="133" spans="1:16">
      <c r="A133" s="1910" t="s">
        <v>18</v>
      </c>
      <c r="B133" s="1909">
        <v>7021733</v>
      </c>
      <c r="C133" s="1909">
        <v>6915906</v>
      </c>
      <c r="D133" s="1909">
        <v>258828</v>
      </c>
      <c r="E133" s="1909">
        <v>105827</v>
      </c>
      <c r="F133" s="1909">
        <v>17051264</v>
      </c>
      <c r="G133" s="1909">
        <v>14045302</v>
      </c>
      <c r="H133" s="1909">
        <v>2695384</v>
      </c>
      <c r="I133" s="1909">
        <v>310578</v>
      </c>
      <c r="J133" s="1909">
        <v>13852291</v>
      </c>
      <c r="K133" s="1909">
        <v>270143</v>
      </c>
      <c r="L133" s="1909">
        <v>193011</v>
      </c>
      <c r="M133" s="1849"/>
      <c r="N133" s="1849"/>
      <c r="O133" s="1849"/>
      <c r="P133" s="1849"/>
    </row>
    <row r="134" spans="1:16">
      <c r="A134" s="1910" t="s">
        <v>19</v>
      </c>
      <c r="B134" s="1909">
        <v>7305129</v>
      </c>
      <c r="C134" s="1909">
        <v>7195982</v>
      </c>
      <c r="D134" s="1909">
        <v>275770</v>
      </c>
      <c r="E134" s="1909">
        <v>109147</v>
      </c>
      <c r="F134" s="1909">
        <v>17682074</v>
      </c>
      <c r="G134" s="1909">
        <v>14619626</v>
      </c>
      <c r="H134" s="1909">
        <v>2744314</v>
      </c>
      <c r="I134" s="1909">
        <v>318134</v>
      </c>
      <c r="J134" s="1909">
        <v>14411765</v>
      </c>
      <c r="K134" s="1909">
        <v>284663</v>
      </c>
      <c r="L134" s="1909">
        <v>207861</v>
      </c>
      <c r="M134" s="1849"/>
      <c r="N134" s="1849"/>
      <c r="O134" s="1849"/>
      <c r="P134" s="1849"/>
    </row>
    <row r="135" spans="1:16">
      <c r="A135" s="1910" t="s">
        <v>20</v>
      </c>
      <c r="B135" s="1909">
        <v>7423685</v>
      </c>
      <c r="C135" s="1909">
        <v>7312622</v>
      </c>
      <c r="D135" s="1909">
        <v>279069</v>
      </c>
      <c r="E135" s="1909">
        <v>111063</v>
      </c>
      <c r="F135" s="1909">
        <v>17936068</v>
      </c>
      <c r="G135" s="1909">
        <v>14801484</v>
      </c>
      <c r="H135" s="1909">
        <v>2809460</v>
      </c>
      <c r="I135" s="1909">
        <v>325124</v>
      </c>
      <c r="J135" s="1909">
        <v>14591867</v>
      </c>
      <c r="K135" s="1909">
        <v>287323</v>
      </c>
      <c r="L135" s="1909">
        <v>209617</v>
      </c>
      <c r="M135" s="1849"/>
      <c r="N135" s="1849"/>
      <c r="O135" s="1849"/>
      <c r="P135" s="1849"/>
    </row>
    <row r="136" spans="1:16">
      <c r="A136" s="1910" t="s">
        <v>21</v>
      </c>
      <c r="B136" s="1909">
        <v>7522896</v>
      </c>
      <c r="C136" s="1909">
        <v>7410113</v>
      </c>
      <c r="D136" s="1909">
        <v>284345</v>
      </c>
      <c r="E136" s="1909">
        <v>112783</v>
      </c>
      <c r="F136" s="1909">
        <v>18246113</v>
      </c>
      <c r="G136" s="1909">
        <v>15024731</v>
      </c>
      <c r="H136" s="1909">
        <v>2887336</v>
      </c>
      <c r="I136" s="1909">
        <v>334046</v>
      </c>
      <c r="J136" s="1909">
        <v>14810813</v>
      </c>
      <c r="K136" s="1909">
        <v>295082</v>
      </c>
      <c r="L136" s="1909">
        <v>213918</v>
      </c>
      <c r="M136" s="1849"/>
      <c r="N136" s="1849"/>
      <c r="O136" s="1849"/>
      <c r="P136" s="1849"/>
    </row>
    <row r="137" spans="1:16">
      <c r="A137" s="1910" t="s">
        <v>22</v>
      </c>
      <c r="B137" s="1909">
        <v>7662895</v>
      </c>
      <c r="C137" s="1909">
        <v>7548427</v>
      </c>
      <c r="D137" s="1909">
        <v>290915</v>
      </c>
      <c r="E137" s="1909">
        <v>114468</v>
      </c>
      <c r="F137" s="1909">
        <v>18646170</v>
      </c>
      <c r="G137" s="1909">
        <v>15321907</v>
      </c>
      <c r="H137" s="1909">
        <v>2981126</v>
      </c>
      <c r="I137" s="1909">
        <v>343137</v>
      </c>
      <c r="J137" s="1909">
        <v>15103933</v>
      </c>
      <c r="K137" s="1909">
        <v>304316</v>
      </c>
      <c r="L137" s="1909">
        <v>217974</v>
      </c>
      <c r="M137" s="1849"/>
      <c r="N137" s="1849"/>
      <c r="O137" s="1849"/>
      <c r="P137" s="1849"/>
    </row>
    <row r="138" spans="1:16">
      <c r="A138" s="1910" t="s">
        <v>23</v>
      </c>
      <c r="B138" s="1909">
        <v>7784435</v>
      </c>
      <c r="C138" s="1909">
        <v>7669134</v>
      </c>
      <c r="D138" s="1909">
        <v>295265</v>
      </c>
      <c r="E138" s="1909">
        <v>115301</v>
      </c>
      <c r="F138" s="1909">
        <v>18966172</v>
      </c>
      <c r="G138" s="1909">
        <v>15537768</v>
      </c>
      <c r="H138" s="1909">
        <v>3078646</v>
      </c>
      <c r="I138" s="1909">
        <v>349758</v>
      </c>
      <c r="J138" s="1909">
        <v>15319928</v>
      </c>
      <c r="K138" s="1909">
        <v>309233</v>
      </c>
      <c r="L138" s="1909">
        <v>217840</v>
      </c>
      <c r="M138" s="1849"/>
      <c r="N138" s="1849"/>
      <c r="O138" s="1849"/>
      <c r="P138" s="1849"/>
    </row>
    <row r="139" spans="1:16">
      <c r="A139" s="1910" t="s">
        <v>24</v>
      </c>
      <c r="B139" s="1909">
        <v>7903367</v>
      </c>
      <c r="C139" s="1909">
        <v>7786852</v>
      </c>
      <c r="D139" s="1909">
        <v>299524</v>
      </c>
      <c r="E139" s="1909">
        <v>116515</v>
      </c>
      <c r="F139" s="1909">
        <v>19353240</v>
      </c>
      <c r="G139" s="1909">
        <v>15819008</v>
      </c>
      <c r="H139" s="1909">
        <v>3174997</v>
      </c>
      <c r="I139" s="1909">
        <v>359235</v>
      </c>
      <c r="J139" s="1909">
        <v>15599847</v>
      </c>
      <c r="K139" s="1909">
        <v>315713</v>
      </c>
      <c r="L139" s="1909">
        <v>219161</v>
      </c>
      <c r="M139" s="1849"/>
      <c r="N139" s="1849"/>
      <c r="O139" s="1849"/>
      <c r="P139" s="1849"/>
    </row>
    <row r="140" spans="1:16">
      <c r="A140" s="1910" t="s">
        <v>25</v>
      </c>
      <c r="B140" s="1909">
        <v>8016098</v>
      </c>
      <c r="C140" s="1909">
        <v>7898360</v>
      </c>
      <c r="D140" s="1909">
        <v>303405</v>
      </c>
      <c r="E140" s="1909">
        <v>117738</v>
      </c>
      <c r="F140" s="1909">
        <v>19708381</v>
      </c>
      <c r="G140" s="1909">
        <v>16086156</v>
      </c>
      <c r="H140" s="1909">
        <v>3254735</v>
      </c>
      <c r="I140" s="1909">
        <v>367490</v>
      </c>
      <c r="J140" s="1909">
        <v>15863662</v>
      </c>
      <c r="K140" s="1909">
        <v>321049</v>
      </c>
      <c r="L140" s="1909">
        <v>222494</v>
      </c>
      <c r="M140" s="1849"/>
      <c r="N140" s="1849"/>
      <c r="O140" s="1849"/>
      <c r="P140" s="1849"/>
    </row>
    <row r="141" spans="1:16">
      <c r="A141" s="1910" t="s">
        <v>26</v>
      </c>
      <c r="B141" s="1909">
        <v>8153107</v>
      </c>
      <c r="C141" s="1909">
        <v>8036142</v>
      </c>
      <c r="D141" s="1909">
        <v>308829</v>
      </c>
      <c r="E141" s="1909">
        <v>116965</v>
      </c>
      <c r="F141" s="1909">
        <v>20141778</v>
      </c>
      <c r="G141" s="1909">
        <v>16420332</v>
      </c>
      <c r="H141" s="1909">
        <v>3346029</v>
      </c>
      <c r="I141" s="1909">
        <v>375417</v>
      </c>
      <c r="J141" s="1909">
        <v>16199595</v>
      </c>
      <c r="K141" s="1909">
        <v>325692</v>
      </c>
      <c r="L141" s="1909">
        <v>220737</v>
      </c>
      <c r="M141" s="1849"/>
      <c r="N141" s="1849"/>
      <c r="O141" s="1849"/>
      <c r="P141" s="1849"/>
    </row>
    <row r="142" spans="1:16">
      <c r="A142" s="1910" t="s">
        <v>27</v>
      </c>
      <c r="B142" s="1909">
        <v>8280548</v>
      </c>
      <c r="C142" s="1909">
        <v>8161786</v>
      </c>
      <c r="D142" s="1909">
        <v>315373</v>
      </c>
      <c r="E142" s="1909">
        <v>118762</v>
      </c>
      <c r="F142" s="1909">
        <v>20589799</v>
      </c>
      <c r="G142" s="1909">
        <v>16760493</v>
      </c>
      <c r="H142" s="1909">
        <v>3447307</v>
      </c>
      <c r="I142" s="1909">
        <v>381999</v>
      </c>
      <c r="J142" s="1909">
        <v>16535999</v>
      </c>
      <c r="K142" s="1909">
        <v>334618</v>
      </c>
      <c r="L142" s="1909">
        <v>224494</v>
      </c>
      <c r="M142" s="1849"/>
      <c r="N142" s="1849"/>
      <c r="O142" s="1849"/>
      <c r="P142" s="1849"/>
    </row>
    <row r="143" spans="1:16">
      <c r="A143" s="1910" t="s">
        <v>28</v>
      </c>
      <c r="B143" s="1909">
        <v>8405330</v>
      </c>
      <c r="C143" s="1909">
        <v>8289292</v>
      </c>
      <c r="D143" s="1909">
        <v>319554</v>
      </c>
      <c r="E143" s="1909">
        <v>116038</v>
      </c>
      <c r="F143" s="1909">
        <v>20951053</v>
      </c>
      <c r="G143" s="1909">
        <v>17025147</v>
      </c>
      <c r="H143" s="1909">
        <v>3537022</v>
      </c>
      <c r="I143" s="1909">
        <v>388884</v>
      </c>
      <c r="J143" s="1909">
        <v>16800249</v>
      </c>
      <c r="K143" s="1909">
        <v>341473</v>
      </c>
      <c r="L143" s="1909">
        <v>224898</v>
      </c>
      <c r="M143" s="1849"/>
      <c r="N143" s="1849"/>
      <c r="O143" s="1849"/>
      <c r="P143" s="1849"/>
    </row>
    <row r="144" spans="1:16">
      <c r="A144" s="1910" t="s">
        <v>29</v>
      </c>
      <c r="B144" s="1909">
        <v>8478075</v>
      </c>
      <c r="C144" s="1909">
        <v>8360421</v>
      </c>
      <c r="D144" s="1909">
        <v>324237</v>
      </c>
      <c r="E144" s="1909">
        <v>117654</v>
      </c>
      <c r="F144" s="1909">
        <v>21265993</v>
      </c>
      <c r="G144" s="1909">
        <v>17261782</v>
      </c>
      <c r="H144" s="1909">
        <v>3607588</v>
      </c>
      <c r="I144" s="1909">
        <v>396623</v>
      </c>
      <c r="J144" s="1909">
        <v>17033018</v>
      </c>
      <c r="K144" s="1909">
        <v>348287</v>
      </c>
      <c r="L144" s="1909">
        <v>228764</v>
      </c>
      <c r="M144" s="1849"/>
      <c r="N144" s="1849"/>
      <c r="O144" s="1849"/>
      <c r="P144" s="1849"/>
    </row>
    <row r="145" spans="1:16">
      <c r="A145" s="1910" t="s">
        <v>2407</v>
      </c>
      <c r="B145" s="1781">
        <v>10490089</v>
      </c>
      <c r="C145" s="1781">
        <v>10375457</v>
      </c>
      <c r="D145" s="1781">
        <v>393486</v>
      </c>
      <c r="E145" s="1781">
        <v>114632</v>
      </c>
      <c r="F145" s="1781">
        <v>24983255</v>
      </c>
      <c r="G145" s="1781">
        <v>21004323</v>
      </c>
      <c r="H145" s="1781">
        <v>3756323</v>
      </c>
      <c r="I145" s="1781">
        <v>222609</v>
      </c>
      <c r="J145" s="1781">
        <v>20770440</v>
      </c>
      <c r="K145" s="1781">
        <v>459098</v>
      </c>
      <c r="L145" s="1781">
        <v>233883</v>
      </c>
      <c r="M145" s="1855"/>
      <c r="N145" s="1855"/>
      <c r="O145" s="1855"/>
      <c r="P145" s="1855"/>
    </row>
    <row r="146" spans="1:16">
      <c r="A146" s="1910" t="s">
        <v>18</v>
      </c>
      <c r="B146" s="1909">
        <v>8847367</v>
      </c>
      <c r="C146" s="1909">
        <v>8725454</v>
      </c>
      <c r="D146" s="1909">
        <v>336014</v>
      </c>
      <c r="E146" s="1909">
        <v>121913</v>
      </c>
      <c r="F146" s="1909">
        <v>21836167</v>
      </c>
      <c r="G146" s="1909">
        <v>17830599</v>
      </c>
      <c r="H146" s="1909">
        <v>3675470</v>
      </c>
      <c r="I146" s="1909">
        <v>330098</v>
      </c>
      <c r="J146" s="1909">
        <v>17597635</v>
      </c>
      <c r="K146" s="1909">
        <v>359831</v>
      </c>
      <c r="L146" s="1909">
        <v>232964</v>
      </c>
      <c r="M146" s="1849"/>
      <c r="N146" s="1849"/>
      <c r="O146" s="1849"/>
      <c r="P146" s="1849"/>
    </row>
    <row r="147" spans="1:16">
      <c r="A147" s="1910" t="s">
        <v>19</v>
      </c>
      <c r="B147" s="1909">
        <v>8854673</v>
      </c>
      <c r="C147" s="1909">
        <v>8735505</v>
      </c>
      <c r="D147" s="1909">
        <v>297539</v>
      </c>
      <c r="E147" s="1909">
        <v>119168</v>
      </c>
      <c r="F147" s="1909">
        <v>21883121</v>
      </c>
      <c r="G147" s="1909">
        <v>17975980</v>
      </c>
      <c r="H147" s="1909">
        <v>3621954</v>
      </c>
      <c r="I147" s="1909">
        <v>285187</v>
      </c>
      <c r="J147" s="1909">
        <v>17746374</v>
      </c>
      <c r="K147" s="1909">
        <v>339430</v>
      </c>
      <c r="L147" s="1909">
        <v>229606</v>
      </c>
      <c r="M147" s="1849"/>
      <c r="N147" s="1849"/>
      <c r="O147" s="1849"/>
      <c r="P147" s="1849"/>
    </row>
    <row r="148" spans="1:16">
      <c r="A148" s="1910" t="s">
        <v>20</v>
      </c>
      <c r="B148" s="1909">
        <v>9012923</v>
      </c>
      <c r="C148" s="1909">
        <v>8892978</v>
      </c>
      <c r="D148" s="1909">
        <v>301182</v>
      </c>
      <c r="E148" s="1909">
        <v>119945</v>
      </c>
      <c r="F148" s="1909">
        <v>22185201</v>
      </c>
      <c r="G148" s="1909">
        <v>18240004</v>
      </c>
      <c r="H148" s="1909">
        <v>3660336</v>
      </c>
      <c r="I148" s="1909">
        <v>284861</v>
      </c>
      <c r="J148" s="1909">
        <v>18008238</v>
      </c>
      <c r="K148" s="1909">
        <v>343420</v>
      </c>
      <c r="L148" s="1909">
        <v>231766</v>
      </c>
      <c r="M148" s="1849"/>
      <c r="N148" s="1849"/>
      <c r="O148" s="1849"/>
      <c r="P148" s="1849"/>
    </row>
    <row r="149" spans="1:16">
      <c r="A149" s="1910" t="s">
        <v>21</v>
      </c>
      <c r="B149" s="1909">
        <v>9169270</v>
      </c>
      <c r="C149" s="1909">
        <v>9055165</v>
      </c>
      <c r="D149" s="1909">
        <v>321352</v>
      </c>
      <c r="E149" s="1909">
        <v>114105</v>
      </c>
      <c r="F149" s="1909">
        <v>22232752</v>
      </c>
      <c r="G149" s="1909">
        <v>18460960</v>
      </c>
      <c r="H149" s="1909">
        <v>3531368</v>
      </c>
      <c r="I149" s="1909">
        <v>240424</v>
      </c>
      <c r="J149" s="1909">
        <v>18238628</v>
      </c>
      <c r="K149" s="1909">
        <v>366344</v>
      </c>
      <c r="L149" s="1909">
        <v>222332</v>
      </c>
      <c r="M149" s="1849"/>
      <c r="N149" s="1849"/>
      <c r="O149" s="1849"/>
      <c r="P149" s="1849"/>
    </row>
    <row r="150" spans="1:16">
      <c r="A150" s="1910" t="s">
        <v>22</v>
      </c>
      <c r="B150" s="1909">
        <v>9385746</v>
      </c>
      <c r="C150" s="1909">
        <v>9276060</v>
      </c>
      <c r="D150" s="1909">
        <v>323710</v>
      </c>
      <c r="E150" s="1909">
        <v>109686</v>
      </c>
      <c r="F150" s="1909">
        <v>22427400</v>
      </c>
      <c r="G150" s="1909">
        <v>18746064</v>
      </c>
      <c r="H150" s="1909">
        <v>3473970</v>
      </c>
      <c r="I150" s="1909">
        <v>207366</v>
      </c>
      <c r="J150" s="1909">
        <v>18531347</v>
      </c>
      <c r="K150" s="1909">
        <v>372017</v>
      </c>
      <c r="L150" s="1909">
        <v>214717</v>
      </c>
      <c r="M150" s="1849"/>
      <c r="N150" s="1849"/>
      <c r="O150" s="1849"/>
      <c r="P150" s="1849"/>
    </row>
    <row r="151" spans="1:16">
      <c r="A151" s="1910" t="s">
        <v>23</v>
      </c>
      <c r="B151" s="1909">
        <v>9515084</v>
      </c>
      <c r="C151" s="1909">
        <v>9402557</v>
      </c>
      <c r="D151" s="1909">
        <v>336228</v>
      </c>
      <c r="E151" s="1909">
        <v>112527</v>
      </c>
      <c r="F151" s="1909">
        <v>22788021</v>
      </c>
      <c r="G151" s="1909">
        <v>19063808</v>
      </c>
      <c r="H151" s="1909">
        <v>3514430</v>
      </c>
      <c r="I151" s="1909">
        <v>209783</v>
      </c>
      <c r="J151" s="1909">
        <v>18842270</v>
      </c>
      <c r="K151" s="1909">
        <v>388561</v>
      </c>
      <c r="L151" s="1909">
        <v>221538</v>
      </c>
      <c r="M151" s="1849"/>
      <c r="N151" s="1849"/>
      <c r="O151" s="1849"/>
      <c r="P151" s="1849"/>
    </row>
    <row r="152" spans="1:16">
      <c r="A152" s="1910" t="s">
        <v>24</v>
      </c>
      <c r="B152" s="1909">
        <v>9650871</v>
      </c>
      <c r="C152" s="1909">
        <v>9536683</v>
      </c>
      <c r="D152" s="1909">
        <v>344527</v>
      </c>
      <c r="E152" s="1909">
        <v>114188</v>
      </c>
      <c r="F152" s="1909">
        <v>23074287</v>
      </c>
      <c r="G152" s="1909">
        <v>19316960</v>
      </c>
      <c r="H152" s="1909">
        <v>3544171</v>
      </c>
      <c r="I152" s="1909">
        <v>213156</v>
      </c>
      <c r="J152" s="1909">
        <v>19090828</v>
      </c>
      <c r="K152" s="1909">
        <v>398808</v>
      </c>
      <c r="L152" s="1909">
        <v>226132</v>
      </c>
      <c r="M152" s="1849"/>
      <c r="N152" s="1849"/>
      <c r="O152" s="1849"/>
      <c r="P152" s="1849"/>
    </row>
    <row r="153" spans="1:16">
      <c r="A153" s="1910" t="s">
        <v>25</v>
      </c>
      <c r="B153" s="1909">
        <v>9768981</v>
      </c>
      <c r="C153" s="1909">
        <v>9653324</v>
      </c>
      <c r="D153" s="1909">
        <v>356294</v>
      </c>
      <c r="E153" s="1909">
        <v>115657</v>
      </c>
      <c r="F153" s="1909">
        <v>23405942</v>
      </c>
      <c r="G153" s="1909">
        <v>19593829</v>
      </c>
      <c r="H153" s="1909">
        <v>3595476</v>
      </c>
      <c r="I153" s="1909">
        <v>216637</v>
      </c>
      <c r="J153" s="1909">
        <v>19364085</v>
      </c>
      <c r="K153" s="1909">
        <v>412916</v>
      </c>
      <c r="L153" s="1909">
        <v>229744</v>
      </c>
      <c r="M153" s="1849"/>
      <c r="N153" s="1849"/>
      <c r="O153" s="1849"/>
      <c r="P153" s="1849"/>
    </row>
    <row r="154" spans="1:16">
      <c r="A154" s="1910" t="s">
        <v>26</v>
      </c>
      <c r="B154" s="1909">
        <v>9919575</v>
      </c>
      <c r="C154" s="1909">
        <v>9804016</v>
      </c>
      <c r="D154" s="1909">
        <v>369841</v>
      </c>
      <c r="E154" s="1909">
        <v>115559</v>
      </c>
      <c r="F154" s="1909">
        <v>23825469</v>
      </c>
      <c r="G154" s="1909">
        <v>19945255</v>
      </c>
      <c r="H154" s="1909">
        <v>3662049</v>
      </c>
      <c r="I154" s="1909">
        <v>218165</v>
      </c>
      <c r="J154" s="1909">
        <v>19714969</v>
      </c>
      <c r="K154" s="1909">
        <v>429216</v>
      </c>
      <c r="L154" s="1909">
        <v>230286</v>
      </c>
      <c r="M154" s="1849"/>
      <c r="N154" s="1849"/>
      <c r="O154" s="1849"/>
      <c r="P154" s="1849"/>
    </row>
    <row r="155" spans="1:16">
      <c r="A155" s="1910" t="s">
        <v>27</v>
      </c>
      <c r="B155" s="1909">
        <v>10064615</v>
      </c>
      <c r="C155" s="1909">
        <v>9951582</v>
      </c>
      <c r="D155" s="1909">
        <v>379247</v>
      </c>
      <c r="E155" s="1909">
        <v>113033</v>
      </c>
      <c r="F155" s="1909">
        <v>24157090</v>
      </c>
      <c r="G155" s="1909">
        <v>20252313</v>
      </c>
      <c r="H155" s="1909">
        <v>3686931</v>
      </c>
      <c r="I155" s="1909">
        <v>217846</v>
      </c>
      <c r="J155" s="1909">
        <v>20022621</v>
      </c>
      <c r="K155" s="1909">
        <v>441038</v>
      </c>
      <c r="L155" s="1909">
        <v>229692</v>
      </c>
      <c r="M155" s="1849"/>
      <c r="N155" s="1849"/>
      <c r="O155" s="1849"/>
      <c r="P155" s="1849"/>
    </row>
    <row r="156" spans="1:16">
      <c r="A156" s="1910" t="s">
        <v>28</v>
      </c>
      <c r="B156" s="1909">
        <v>10262417</v>
      </c>
      <c r="C156" s="1909">
        <v>10148440</v>
      </c>
      <c r="D156" s="1909">
        <v>386204</v>
      </c>
      <c r="E156" s="1909">
        <v>113977</v>
      </c>
      <c r="F156" s="1909">
        <v>24674957</v>
      </c>
      <c r="G156" s="1909">
        <v>20730086</v>
      </c>
      <c r="H156" s="1909">
        <v>3724812</v>
      </c>
      <c r="I156" s="1909">
        <v>220059</v>
      </c>
      <c r="J156" s="1909">
        <v>20497520</v>
      </c>
      <c r="K156" s="1909">
        <v>451161</v>
      </c>
      <c r="L156" s="1909">
        <v>232566</v>
      </c>
      <c r="M156" s="1849"/>
      <c r="N156" s="1849"/>
      <c r="O156" s="1849"/>
      <c r="P156" s="1849"/>
    </row>
    <row r="157" spans="1:16">
      <c r="A157" s="1910" t="s">
        <v>29</v>
      </c>
      <c r="B157" s="1909">
        <v>10490089</v>
      </c>
      <c r="C157" s="1909">
        <v>10375457</v>
      </c>
      <c r="D157" s="1909">
        <v>393486</v>
      </c>
      <c r="E157" s="1909">
        <v>114632</v>
      </c>
      <c r="F157" s="1909">
        <v>24983255</v>
      </c>
      <c r="G157" s="1909">
        <v>21004323</v>
      </c>
      <c r="H157" s="1909">
        <v>3756323</v>
      </c>
      <c r="I157" s="1909">
        <v>222609</v>
      </c>
      <c r="J157" s="1909">
        <v>20770440</v>
      </c>
      <c r="K157" s="1909">
        <v>459098</v>
      </c>
      <c r="L157" s="1909">
        <v>233883</v>
      </c>
      <c r="M157" s="1849"/>
      <c r="N157" s="1849"/>
      <c r="O157" s="1849"/>
      <c r="P157" s="1849"/>
    </row>
    <row r="158" spans="1:16">
      <c r="A158" s="1910" t="s">
        <v>2583</v>
      </c>
      <c r="B158" s="1911">
        <v>12323105</v>
      </c>
      <c r="C158" s="1911">
        <v>12198027</v>
      </c>
      <c r="D158" s="1911">
        <v>505944</v>
      </c>
      <c r="E158" s="1911">
        <v>125078</v>
      </c>
      <c r="F158" s="1911">
        <v>26729371</v>
      </c>
      <c r="G158" s="1911">
        <v>22175499</v>
      </c>
      <c r="H158" s="1911">
        <v>4297069</v>
      </c>
      <c r="I158" s="1911">
        <v>256803</v>
      </c>
      <c r="J158" s="1911">
        <v>21908618</v>
      </c>
      <c r="K158" s="1911">
        <v>607456</v>
      </c>
      <c r="L158" s="1911">
        <v>266881</v>
      </c>
      <c r="M158" s="1855"/>
      <c r="N158" s="1855"/>
      <c r="O158" s="1855"/>
      <c r="P158" s="1855"/>
    </row>
    <row r="159" spans="1:16">
      <c r="A159" s="1910" t="s">
        <v>18</v>
      </c>
      <c r="B159" s="1909">
        <v>10640004</v>
      </c>
      <c r="C159" s="1909">
        <v>10524810</v>
      </c>
      <c r="D159" s="1909">
        <v>402156</v>
      </c>
      <c r="E159" s="1909">
        <v>115194</v>
      </c>
      <c r="F159" s="1909">
        <v>25190099</v>
      </c>
      <c r="G159" s="1909">
        <v>21255332</v>
      </c>
      <c r="H159" s="1909">
        <v>3708727</v>
      </c>
      <c r="I159" s="1909">
        <v>226040</v>
      </c>
      <c r="J159" s="1909">
        <v>21020200</v>
      </c>
      <c r="K159" s="1909">
        <v>469995</v>
      </c>
      <c r="L159" s="1909">
        <v>235132</v>
      </c>
      <c r="M159" s="1849"/>
      <c r="N159" s="1849"/>
      <c r="O159" s="1849"/>
      <c r="P159" s="1849"/>
    </row>
    <row r="160" spans="1:16">
      <c r="A160" s="1910" t="s">
        <v>19</v>
      </c>
      <c r="B160" s="1909">
        <v>10851189</v>
      </c>
      <c r="C160" s="1909">
        <v>10734666</v>
      </c>
      <c r="D160" s="1909">
        <v>412823</v>
      </c>
      <c r="E160" s="1909">
        <v>116523</v>
      </c>
      <c r="F160" s="1909">
        <v>25592381</v>
      </c>
      <c r="G160" s="1909">
        <v>21619830</v>
      </c>
      <c r="H160" s="1909">
        <v>3745475</v>
      </c>
      <c r="I160" s="1909">
        <v>227076</v>
      </c>
      <c r="J160" s="1909">
        <v>21381486</v>
      </c>
      <c r="K160" s="1909">
        <v>481638</v>
      </c>
      <c r="L160" s="1909">
        <v>238344</v>
      </c>
      <c r="M160" s="1849"/>
      <c r="N160" s="1849"/>
      <c r="O160" s="1849"/>
      <c r="P160" s="1849"/>
    </row>
    <row r="161" spans="1:16">
      <c r="A161" s="1910" t="s">
        <v>20</v>
      </c>
      <c r="B161" s="1909">
        <v>11099948</v>
      </c>
      <c r="C161" s="1909">
        <v>10982334</v>
      </c>
      <c r="D161" s="1909">
        <v>423905</v>
      </c>
      <c r="E161" s="1909">
        <v>117614</v>
      </c>
      <c r="F161" s="1909">
        <v>26094302</v>
      </c>
      <c r="G161" s="1909">
        <v>22049078</v>
      </c>
      <c r="H161" s="1909">
        <v>3814866</v>
      </c>
      <c r="I161" s="1909">
        <v>230358</v>
      </c>
      <c r="J161" s="1909">
        <v>21807720</v>
      </c>
      <c r="K161" s="1909">
        <v>493752</v>
      </c>
      <c r="L161" s="1909">
        <v>241358</v>
      </c>
      <c r="M161" s="1849"/>
      <c r="N161" s="1849"/>
      <c r="O161" s="1849"/>
      <c r="P161" s="1849"/>
    </row>
    <row r="162" spans="1:16">
      <c r="A162" s="1910" t="s">
        <v>21</v>
      </c>
      <c r="B162" s="1909">
        <v>11284213</v>
      </c>
      <c r="C162" s="1909">
        <v>11165689</v>
      </c>
      <c r="D162" s="1909">
        <v>433068</v>
      </c>
      <c r="E162" s="1909">
        <v>118524</v>
      </c>
      <c r="F162" s="1909">
        <v>26574096</v>
      </c>
      <c r="G162" s="1909">
        <v>22457113</v>
      </c>
      <c r="H162" s="1909">
        <v>3882280</v>
      </c>
      <c r="I162" s="1909">
        <v>234703</v>
      </c>
      <c r="J162" s="1909">
        <v>22211793</v>
      </c>
      <c r="K162" s="1909">
        <v>510244</v>
      </c>
      <c r="L162" s="1909">
        <v>245320</v>
      </c>
      <c r="M162" s="1849"/>
      <c r="N162" s="1849"/>
      <c r="O162" s="1849"/>
      <c r="P162" s="1849"/>
    </row>
    <row r="163" spans="1:16">
      <c r="A163" s="1910" t="s">
        <v>22</v>
      </c>
      <c r="B163" s="1909">
        <v>11530008</v>
      </c>
      <c r="C163" s="1909">
        <v>11410286</v>
      </c>
      <c r="D163" s="1909">
        <v>442371</v>
      </c>
      <c r="E163" s="1909">
        <v>119722</v>
      </c>
      <c r="F163" s="1909">
        <v>27103576</v>
      </c>
      <c r="G163" s="1909">
        <v>22918641</v>
      </c>
      <c r="H163" s="1909">
        <v>3947433</v>
      </c>
      <c r="I163" s="1909">
        <v>237502</v>
      </c>
      <c r="J163" s="1909">
        <v>22670104</v>
      </c>
      <c r="K163" s="1909">
        <v>521447</v>
      </c>
      <c r="L163" s="1909">
        <v>248537</v>
      </c>
      <c r="M163" s="1849"/>
      <c r="N163" s="1849"/>
      <c r="O163" s="1849"/>
      <c r="P163" s="1849"/>
    </row>
    <row r="164" spans="1:16">
      <c r="A164" s="1910" t="s">
        <v>23</v>
      </c>
      <c r="B164" s="1909">
        <v>11673507</v>
      </c>
      <c r="C164" s="1909">
        <v>11551417</v>
      </c>
      <c r="D164" s="1909">
        <v>453052</v>
      </c>
      <c r="E164" s="1909">
        <v>122090</v>
      </c>
      <c r="F164" s="1909">
        <v>27552109</v>
      </c>
      <c r="G164" s="1909">
        <v>23284134</v>
      </c>
      <c r="H164" s="1909">
        <v>4026891</v>
      </c>
      <c r="I164" s="1909">
        <v>241084</v>
      </c>
      <c r="J164" s="1909">
        <v>23031837</v>
      </c>
      <c r="K164" s="1909">
        <v>534487</v>
      </c>
      <c r="L164" s="1909">
        <v>252297</v>
      </c>
      <c r="M164" s="1849"/>
      <c r="N164" s="1849"/>
      <c r="O164" s="1849"/>
      <c r="P164" s="1849"/>
    </row>
    <row r="165" spans="1:16">
      <c r="A165" s="1910" t="s">
        <v>24</v>
      </c>
      <c r="B165" s="1909">
        <v>11882012</v>
      </c>
      <c r="C165" s="1909">
        <v>11758799</v>
      </c>
      <c r="D165" s="1909">
        <v>462393</v>
      </c>
      <c r="E165" s="1909">
        <v>123213</v>
      </c>
      <c r="F165" s="1909">
        <v>28042033</v>
      </c>
      <c r="G165" s="1909">
        <v>23705255</v>
      </c>
      <c r="H165" s="1909">
        <v>4091254</v>
      </c>
      <c r="I165" s="1909">
        <v>245524</v>
      </c>
      <c r="J165" s="1909">
        <v>23449860</v>
      </c>
      <c r="K165" s="1909">
        <v>546414</v>
      </c>
      <c r="L165" s="1909">
        <v>255395</v>
      </c>
      <c r="M165" s="1849"/>
      <c r="N165" s="1849"/>
      <c r="O165" s="1849"/>
      <c r="P165" s="1849"/>
    </row>
    <row r="166" spans="1:16">
      <c r="A166" s="1910" t="s">
        <v>25</v>
      </c>
      <c r="B166" s="1909">
        <v>12047088</v>
      </c>
      <c r="C166" s="1909">
        <v>11921530</v>
      </c>
      <c r="D166" s="1909">
        <v>468359</v>
      </c>
      <c r="E166" s="1909">
        <v>125558</v>
      </c>
      <c r="F166" s="1909">
        <v>28530273</v>
      </c>
      <c r="G166" s="1909">
        <v>24102271</v>
      </c>
      <c r="H166" s="1909">
        <v>4178663</v>
      </c>
      <c r="I166" s="1909">
        <v>249339</v>
      </c>
      <c r="J166" s="1909">
        <v>23843681</v>
      </c>
      <c r="K166" s="1909">
        <v>558918</v>
      </c>
      <c r="L166" s="1909">
        <v>258590</v>
      </c>
      <c r="M166" s="1849"/>
      <c r="N166" s="1849"/>
      <c r="O166" s="1849"/>
      <c r="P166" s="1849"/>
    </row>
    <row r="167" spans="1:16">
      <c r="A167" s="1910" t="s">
        <v>26</v>
      </c>
      <c r="B167" s="1909">
        <v>12144104</v>
      </c>
      <c r="C167" s="1909">
        <v>12016438</v>
      </c>
      <c r="D167" s="1909">
        <v>476165</v>
      </c>
      <c r="E167" s="1909">
        <v>127666</v>
      </c>
      <c r="F167" s="1909">
        <v>29042200</v>
      </c>
      <c r="G167" s="1909">
        <v>24540840</v>
      </c>
      <c r="H167" s="1909">
        <v>4251378</v>
      </c>
      <c r="I167" s="1909">
        <v>249982</v>
      </c>
      <c r="J167" s="1909">
        <v>24279305</v>
      </c>
      <c r="K167" s="1909">
        <v>575638</v>
      </c>
      <c r="L167" s="1909">
        <v>261535</v>
      </c>
      <c r="M167" s="1849"/>
      <c r="N167" s="1849"/>
      <c r="O167" s="1849"/>
      <c r="P167" s="1849"/>
    </row>
    <row r="168" spans="1:16">
      <c r="A168" s="1910" t="s">
        <v>27</v>
      </c>
      <c r="B168" s="1909">
        <v>12233783</v>
      </c>
      <c r="C168" s="1909">
        <v>12102788</v>
      </c>
      <c r="D168" s="1909">
        <v>486735</v>
      </c>
      <c r="E168" s="1909">
        <v>130995</v>
      </c>
      <c r="F168" s="1909">
        <v>29549492</v>
      </c>
      <c r="G168" s="1909">
        <v>24940254</v>
      </c>
      <c r="H168" s="1909">
        <v>4356505</v>
      </c>
      <c r="I168" s="1909">
        <v>252733</v>
      </c>
      <c r="J168" s="1909">
        <v>24676073</v>
      </c>
      <c r="K168" s="1909">
        <v>586712</v>
      </c>
      <c r="L168" s="1909">
        <v>264181</v>
      </c>
      <c r="M168" s="1849"/>
      <c r="N168" s="1849"/>
      <c r="O168" s="1849"/>
      <c r="P168" s="1849"/>
    </row>
    <row r="169" spans="1:16">
      <c r="A169" s="1910" t="s">
        <v>28</v>
      </c>
      <c r="B169" s="1909">
        <v>12523424</v>
      </c>
      <c r="C169" s="1909">
        <v>12398087</v>
      </c>
      <c r="D169" s="1909">
        <v>495045</v>
      </c>
      <c r="E169" s="1909">
        <v>125337</v>
      </c>
      <c r="F169" s="1909">
        <v>30055586</v>
      </c>
      <c r="G169" s="1909">
        <v>25363759</v>
      </c>
      <c r="H169" s="1909">
        <v>4437171</v>
      </c>
      <c r="I169" s="1909">
        <v>254656</v>
      </c>
      <c r="J169" s="1909">
        <v>25096926</v>
      </c>
      <c r="K169" s="1909">
        <v>599490</v>
      </c>
      <c r="L169" s="1909">
        <v>266833</v>
      </c>
      <c r="M169" s="1849"/>
      <c r="N169" s="1849"/>
      <c r="O169" s="1849"/>
      <c r="P169" s="1849"/>
    </row>
    <row r="170" spans="1:16">
      <c r="A170" s="1910" t="s">
        <v>29</v>
      </c>
      <c r="B170" s="1909">
        <v>12323105</v>
      </c>
      <c r="C170" s="1909">
        <v>12198027</v>
      </c>
      <c r="D170" s="1909">
        <v>505944</v>
      </c>
      <c r="E170" s="1909">
        <v>125078</v>
      </c>
      <c r="F170" s="1909">
        <v>26729371</v>
      </c>
      <c r="G170" s="1909">
        <v>22175499</v>
      </c>
      <c r="H170" s="1909">
        <v>4297069</v>
      </c>
      <c r="I170" s="1909">
        <v>256803</v>
      </c>
      <c r="J170" s="1909">
        <v>21908618</v>
      </c>
      <c r="K170" s="1909">
        <v>607456</v>
      </c>
      <c r="L170" s="1909">
        <v>266881</v>
      </c>
      <c r="M170" s="1849"/>
      <c r="N170" s="1849"/>
      <c r="O170" s="1849"/>
      <c r="P170" s="1849"/>
    </row>
    <row r="171" spans="1:16">
      <c r="A171" s="1910" t="s">
        <v>2892</v>
      </c>
      <c r="B171" s="1911">
        <v>13535655</v>
      </c>
      <c r="C171" s="1911">
        <v>13395443</v>
      </c>
      <c r="D171" s="1911">
        <v>636770</v>
      </c>
      <c r="E171" s="1911">
        <v>140212</v>
      </c>
      <c r="F171" s="1911">
        <v>32131951</v>
      </c>
      <c r="G171" s="1911">
        <v>25911774</v>
      </c>
      <c r="H171" s="1911">
        <v>5920325</v>
      </c>
      <c r="I171" s="1911">
        <v>299852</v>
      </c>
      <c r="J171" s="1911">
        <v>25603713</v>
      </c>
      <c r="K171" s="1911">
        <v>777151</v>
      </c>
      <c r="L171" s="1911">
        <v>308061</v>
      </c>
      <c r="M171" s="1855">
        <f>(SUM(M172:M183))</f>
        <v>24832.154999999999</v>
      </c>
      <c r="N171" s="1855">
        <f>(SUM(N172:N183))</f>
        <v>203368.70504280005</v>
      </c>
      <c r="O171" s="1855">
        <f>(SUM(O172:O183))</f>
        <v>121487.774</v>
      </c>
      <c r="P171" s="1855">
        <f>(SUM(P172:P183))</f>
        <v>22688.23378336</v>
      </c>
    </row>
    <row r="172" spans="1:16">
      <c r="A172" s="1910" t="s">
        <v>18</v>
      </c>
      <c r="B172" s="1909">
        <v>12629978</v>
      </c>
      <c r="C172" s="1909">
        <v>12503644</v>
      </c>
      <c r="D172" s="1909">
        <v>518523</v>
      </c>
      <c r="E172" s="1909">
        <v>126334</v>
      </c>
      <c r="F172" s="1909">
        <v>27270770</v>
      </c>
      <c r="G172" s="1909">
        <v>22604857</v>
      </c>
      <c r="H172" s="1909">
        <v>4405980</v>
      </c>
      <c r="I172" s="1909">
        <v>259933</v>
      </c>
      <c r="J172" s="1909">
        <v>22337304</v>
      </c>
      <c r="K172" s="1909">
        <v>617661</v>
      </c>
      <c r="L172" s="1909">
        <v>267553</v>
      </c>
      <c r="M172" s="1849">
        <v>1237.432</v>
      </c>
      <c r="N172" s="1849">
        <v>11961.60903784</v>
      </c>
      <c r="O172" s="1849">
        <v>5581.6509999999998</v>
      </c>
      <c r="P172" s="1849">
        <v>963.38066869000011</v>
      </c>
    </row>
    <row r="173" spans="1:16">
      <c r="A173" s="1910" t="s">
        <v>19</v>
      </c>
      <c r="B173" s="1909">
        <v>12770701</v>
      </c>
      <c r="C173" s="1909">
        <v>12644236</v>
      </c>
      <c r="D173" s="1909">
        <v>529967</v>
      </c>
      <c r="E173" s="1909">
        <v>126465</v>
      </c>
      <c r="F173" s="1909">
        <v>27734485</v>
      </c>
      <c r="G173" s="1909">
        <v>22986485</v>
      </c>
      <c r="H173" s="1909">
        <v>4485036</v>
      </c>
      <c r="I173" s="1909">
        <v>262964</v>
      </c>
      <c r="J173" s="1909">
        <v>22716483</v>
      </c>
      <c r="K173" s="1909">
        <v>631689</v>
      </c>
      <c r="L173" s="1909">
        <v>270002</v>
      </c>
      <c r="M173" s="1849">
        <v>1002.496</v>
      </c>
      <c r="N173" s="1849">
        <v>13390.82681903</v>
      </c>
      <c r="O173" s="1849">
        <v>6541.259</v>
      </c>
      <c r="P173" s="1849">
        <v>1136.3528868199999</v>
      </c>
    </row>
    <row r="174" spans="1:16">
      <c r="A174" s="1910" t="s">
        <v>20</v>
      </c>
      <c r="B174" s="1909">
        <v>12956913</v>
      </c>
      <c r="C174" s="1909">
        <v>12829565</v>
      </c>
      <c r="D174" s="1909">
        <v>538819</v>
      </c>
      <c r="E174" s="1909">
        <v>127348</v>
      </c>
      <c r="F174" s="1909">
        <v>28261468</v>
      </c>
      <c r="G174" s="1909">
        <v>23387283</v>
      </c>
      <c r="H174" s="1909">
        <v>4609258</v>
      </c>
      <c r="I174" s="1909">
        <v>264927</v>
      </c>
      <c r="J174" s="1909">
        <v>23114820</v>
      </c>
      <c r="K174" s="1909">
        <v>644070</v>
      </c>
      <c r="L174" s="1909">
        <v>272463</v>
      </c>
      <c r="M174" s="1849">
        <v>1799.155</v>
      </c>
      <c r="N174" s="1849">
        <v>15154.87679412</v>
      </c>
      <c r="O174" s="1849">
        <v>7369.1980000000003</v>
      </c>
      <c r="P174" s="1849">
        <v>2681.2841569899997</v>
      </c>
    </row>
    <row r="175" spans="1:16">
      <c r="A175" s="1910" t="s">
        <v>21</v>
      </c>
      <c r="B175" s="1909">
        <v>13026311</v>
      </c>
      <c r="C175" s="1909">
        <v>12897017</v>
      </c>
      <c r="D175" s="1909">
        <v>551724</v>
      </c>
      <c r="E175" s="1909">
        <v>129294</v>
      </c>
      <c r="F175" s="1909">
        <v>28675008</v>
      </c>
      <c r="G175" s="1909">
        <v>23663879</v>
      </c>
      <c r="H175" s="1909">
        <v>4743154</v>
      </c>
      <c r="I175" s="1909">
        <v>267975</v>
      </c>
      <c r="J175" s="1909">
        <v>23386392</v>
      </c>
      <c r="K175" s="1909">
        <v>659788</v>
      </c>
      <c r="L175" s="1909">
        <v>277487</v>
      </c>
      <c r="M175" s="1849">
        <v>2313.5059999999999</v>
      </c>
      <c r="N175" s="1849">
        <v>18497.929535769999</v>
      </c>
      <c r="O175" s="1849">
        <v>8486.2019999999993</v>
      </c>
      <c r="P175" s="1849">
        <v>2003.2690519300002</v>
      </c>
    </row>
    <row r="176" spans="1:16">
      <c r="A176" s="1910" t="s">
        <v>22</v>
      </c>
      <c r="B176" s="1909">
        <v>13140530</v>
      </c>
      <c r="C176" s="1909">
        <v>13009640</v>
      </c>
      <c r="D176" s="1909">
        <v>563093</v>
      </c>
      <c r="E176" s="1909">
        <v>130890</v>
      </c>
      <c r="F176" s="1909">
        <v>29127369</v>
      </c>
      <c r="G176" s="1909">
        <v>23991179</v>
      </c>
      <c r="H176" s="1909">
        <v>4864806</v>
      </c>
      <c r="I176" s="1909">
        <v>271384</v>
      </c>
      <c r="J176" s="1909">
        <v>23709851</v>
      </c>
      <c r="K176" s="1909">
        <v>674039</v>
      </c>
      <c r="L176" s="1909">
        <v>281328</v>
      </c>
      <c r="M176" s="1849">
        <v>2477.1320000000001</v>
      </c>
      <c r="N176" s="1849">
        <v>16078.76729159</v>
      </c>
      <c r="O176" s="1849">
        <v>9531.8160000000007</v>
      </c>
      <c r="P176" s="1849">
        <v>1798.2032927</v>
      </c>
    </row>
    <row r="177" spans="1:16">
      <c r="A177" s="1910" t="s">
        <v>23</v>
      </c>
      <c r="B177" s="1909">
        <v>13013757</v>
      </c>
      <c r="C177" s="1909">
        <v>12878196</v>
      </c>
      <c r="D177" s="1909">
        <v>574648</v>
      </c>
      <c r="E177" s="1909">
        <v>135561</v>
      </c>
      <c r="F177" s="1909">
        <v>29276612</v>
      </c>
      <c r="G177" s="1909">
        <v>24009998</v>
      </c>
      <c r="H177" s="1909">
        <v>4992220</v>
      </c>
      <c r="I177" s="1909">
        <v>274394</v>
      </c>
      <c r="J177" s="1909">
        <v>23724130</v>
      </c>
      <c r="K177" s="1909">
        <v>687772</v>
      </c>
      <c r="L177" s="1909">
        <v>285868</v>
      </c>
      <c r="M177" s="1849">
        <v>2159.9580000000001</v>
      </c>
      <c r="N177" s="1849">
        <v>17371.786488049998</v>
      </c>
      <c r="O177" s="1849">
        <v>9850.8449999999993</v>
      </c>
      <c r="P177" s="1849">
        <v>1609.3084201900001</v>
      </c>
    </row>
    <row r="178" spans="1:16">
      <c r="A178" s="1910" t="s">
        <v>24</v>
      </c>
      <c r="B178" s="1909">
        <v>13141852</v>
      </c>
      <c r="C178" s="1909">
        <v>13009099</v>
      </c>
      <c r="D178" s="1909">
        <v>582788</v>
      </c>
      <c r="E178" s="1909">
        <v>132753</v>
      </c>
      <c r="F178" s="1909">
        <v>29724430</v>
      </c>
      <c r="G178" s="1909">
        <v>24346057</v>
      </c>
      <c r="H178" s="1909">
        <v>5099370</v>
      </c>
      <c r="I178" s="1909">
        <v>279003</v>
      </c>
      <c r="J178" s="1909">
        <v>24056612</v>
      </c>
      <c r="K178" s="1909">
        <v>700420</v>
      </c>
      <c r="L178" s="1909">
        <v>289445</v>
      </c>
      <c r="M178" s="1849">
        <v>2201.0749999999998</v>
      </c>
      <c r="N178" s="1849">
        <v>17050.269165059999</v>
      </c>
      <c r="O178" s="1849">
        <v>10475.921</v>
      </c>
      <c r="P178" s="1849">
        <v>1457.9264834800001</v>
      </c>
    </row>
    <row r="179" spans="1:16">
      <c r="A179" s="1910" t="s">
        <v>25</v>
      </c>
      <c r="B179" s="1909">
        <v>13316889</v>
      </c>
      <c r="C179" s="1909">
        <v>13182234</v>
      </c>
      <c r="D179" s="1909">
        <v>595198</v>
      </c>
      <c r="E179" s="1909">
        <v>134655</v>
      </c>
      <c r="F179" s="1909">
        <v>30346932</v>
      </c>
      <c r="G179" s="1909">
        <v>24823081</v>
      </c>
      <c r="H179" s="1909">
        <v>5239737</v>
      </c>
      <c r="I179" s="1909">
        <v>284114</v>
      </c>
      <c r="J179" s="1909">
        <v>24528808</v>
      </c>
      <c r="K179" s="1909">
        <v>716861</v>
      </c>
      <c r="L179" s="1909">
        <v>294273</v>
      </c>
      <c r="M179" s="1849">
        <v>2337.7730000000001</v>
      </c>
      <c r="N179" s="1849">
        <v>16989.6739103</v>
      </c>
      <c r="O179" s="1849">
        <v>10517.945</v>
      </c>
      <c r="P179" s="1849">
        <v>1471.5610880699999</v>
      </c>
    </row>
    <row r="180" spans="1:16">
      <c r="A180" s="1910" t="s">
        <v>26</v>
      </c>
      <c r="B180" s="1909">
        <v>13483062</v>
      </c>
      <c r="C180" s="1909">
        <v>13346884</v>
      </c>
      <c r="D180" s="1909">
        <v>607639</v>
      </c>
      <c r="E180" s="1909">
        <v>136178</v>
      </c>
      <c r="F180" s="1909">
        <v>30971047</v>
      </c>
      <c r="G180" s="1909">
        <v>25295328</v>
      </c>
      <c r="H180" s="1909">
        <v>5387201</v>
      </c>
      <c r="I180" s="1909">
        <v>288518</v>
      </c>
      <c r="J180" s="1909">
        <v>24997047</v>
      </c>
      <c r="K180" s="1909">
        <v>733107</v>
      </c>
      <c r="L180" s="1909">
        <v>298281</v>
      </c>
      <c r="M180" s="1849">
        <v>2166.7289999999998</v>
      </c>
      <c r="N180" s="1849">
        <v>16607.460387479998</v>
      </c>
      <c r="O180" s="1849">
        <v>11388.531000000001</v>
      </c>
      <c r="P180" s="1849">
        <v>1623.31405593</v>
      </c>
    </row>
    <row r="181" spans="1:16">
      <c r="A181" s="1910" t="s">
        <v>27</v>
      </c>
      <c r="B181" s="1909">
        <v>13649964</v>
      </c>
      <c r="C181" s="1909">
        <v>13512775</v>
      </c>
      <c r="D181" s="1909">
        <v>618910</v>
      </c>
      <c r="E181" s="1909">
        <v>137189</v>
      </c>
      <c r="F181" s="1909">
        <v>31523433</v>
      </c>
      <c r="G181" s="1909">
        <v>25667364</v>
      </c>
      <c r="H181" s="1909">
        <v>5563798</v>
      </c>
      <c r="I181" s="1909">
        <v>292271</v>
      </c>
      <c r="J181" s="1909">
        <v>25366039</v>
      </c>
      <c r="K181" s="1909">
        <v>749085</v>
      </c>
      <c r="L181" s="1909">
        <v>301325</v>
      </c>
      <c r="M181" s="1849">
        <v>2543.5390000000002</v>
      </c>
      <c r="N181" s="1849">
        <v>18326.319987390001</v>
      </c>
      <c r="O181" s="1849">
        <v>12098.885</v>
      </c>
      <c r="P181" s="1849">
        <v>2109.7513973599998</v>
      </c>
    </row>
    <row r="182" spans="1:16">
      <c r="A182" s="1910" t="s">
        <v>28</v>
      </c>
      <c r="B182" s="1909">
        <v>13730617</v>
      </c>
      <c r="C182" s="1909">
        <v>13592041</v>
      </c>
      <c r="D182" s="1909">
        <v>627957</v>
      </c>
      <c r="E182" s="1909">
        <v>138576</v>
      </c>
      <c r="F182" s="1909">
        <v>31978293</v>
      </c>
      <c r="G182" s="1909">
        <v>25939663</v>
      </c>
      <c r="H182" s="1909">
        <v>5743467</v>
      </c>
      <c r="I182" s="1909">
        <v>295163</v>
      </c>
      <c r="J182" s="1909">
        <v>25635315</v>
      </c>
      <c r="K182" s="1909">
        <v>762579</v>
      </c>
      <c r="L182" s="1909">
        <v>304348</v>
      </c>
      <c r="M182" s="1849">
        <v>2649.51</v>
      </c>
      <c r="N182" s="1849">
        <v>18072.96939717</v>
      </c>
      <c r="O182" s="1849">
        <v>13119.107</v>
      </c>
      <c r="P182" s="1849">
        <v>2008.5986308399999</v>
      </c>
    </row>
    <row r="183" spans="1:16">
      <c r="A183" s="1910" t="s">
        <v>29</v>
      </c>
      <c r="B183" s="1909">
        <v>13535655</v>
      </c>
      <c r="C183" s="1909">
        <v>13395443</v>
      </c>
      <c r="D183" s="1909">
        <v>636770</v>
      </c>
      <c r="E183" s="1909">
        <v>140212</v>
      </c>
      <c r="F183" s="1909">
        <v>32131951</v>
      </c>
      <c r="G183" s="1909">
        <v>25911774</v>
      </c>
      <c r="H183" s="1909">
        <v>5920325</v>
      </c>
      <c r="I183" s="1909">
        <v>299852</v>
      </c>
      <c r="J183" s="1909">
        <v>25603713</v>
      </c>
      <c r="K183" s="1909">
        <v>777151</v>
      </c>
      <c r="L183" s="1909">
        <v>308061</v>
      </c>
      <c r="M183" s="1849">
        <v>1943.85</v>
      </c>
      <c r="N183" s="1849">
        <v>23866.216229000001</v>
      </c>
      <c r="O183" s="1849">
        <v>16526.414000000001</v>
      </c>
      <c r="P183" s="1849">
        <v>3825.2836503600001</v>
      </c>
    </row>
    <row r="184" spans="1:16">
      <c r="A184" s="1910" t="s">
        <v>3605</v>
      </c>
      <c r="B184" s="1911">
        <v>14654384</v>
      </c>
      <c r="C184" s="1911">
        <v>14513660</v>
      </c>
      <c r="D184" s="1911">
        <v>712151</v>
      </c>
      <c r="E184" s="1911">
        <v>140724</v>
      </c>
      <c r="F184" s="1911">
        <v>39590672</v>
      </c>
      <c r="G184" s="1911">
        <v>31492104</v>
      </c>
      <c r="H184" s="1911">
        <v>7772955</v>
      </c>
      <c r="I184" s="1911">
        <v>325613</v>
      </c>
      <c r="J184" s="1911">
        <v>31171813</v>
      </c>
      <c r="K184" s="1911">
        <v>896156</v>
      </c>
      <c r="L184" s="1911">
        <v>320291</v>
      </c>
      <c r="M184" s="1855">
        <f>(SUM(M185:M196))</f>
        <v>21208.202000000005</v>
      </c>
      <c r="N184" s="1855">
        <f t="shared" ref="N184:P184" si="0">(SUM(N185:N196))</f>
        <v>227678.51703712001</v>
      </c>
      <c r="O184" s="1855">
        <f t="shared" si="0"/>
        <v>290798.86100000003</v>
      </c>
      <c r="P184" s="1855">
        <f t="shared" si="0"/>
        <v>46249.206362060002</v>
      </c>
    </row>
    <row r="185" spans="1:16">
      <c r="A185" s="1910" t="s">
        <v>18</v>
      </c>
      <c r="B185" s="1909">
        <v>13620931</v>
      </c>
      <c r="C185" s="1909">
        <v>13479616</v>
      </c>
      <c r="D185" s="1909">
        <v>644403</v>
      </c>
      <c r="E185" s="1909">
        <v>141315</v>
      </c>
      <c r="F185" s="1909">
        <v>32616431</v>
      </c>
      <c r="G185" s="1909">
        <v>26219243</v>
      </c>
      <c r="H185" s="1909">
        <v>6093746</v>
      </c>
      <c r="I185" s="1909">
        <v>303442</v>
      </c>
      <c r="J185" s="1909">
        <v>25908273</v>
      </c>
      <c r="K185" s="1909">
        <v>788955</v>
      </c>
      <c r="L185" s="1909">
        <v>310970</v>
      </c>
      <c r="M185" s="1849">
        <v>1621.9</v>
      </c>
      <c r="N185" s="1849">
        <v>16749.332172120001</v>
      </c>
      <c r="O185" s="1849">
        <v>15005.156000000001</v>
      </c>
      <c r="P185" s="1849">
        <v>1997.21891835</v>
      </c>
    </row>
    <row r="186" spans="1:16">
      <c r="A186" s="1910" t="s">
        <v>19</v>
      </c>
      <c r="B186" s="1909">
        <v>13737542</v>
      </c>
      <c r="C186" s="1909">
        <v>13594305</v>
      </c>
      <c r="D186" s="1909">
        <v>651612</v>
      </c>
      <c r="E186" s="1909">
        <v>143237</v>
      </c>
      <c r="F186" s="1909">
        <v>33214685</v>
      </c>
      <c r="G186" s="1909">
        <v>26622633</v>
      </c>
      <c r="H186" s="1909">
        <v>6286367</v>
      </c>
      <c r="I186" s="1909">
        <v>305685</v>
      </c>
      <c r="J186" s="1909">
        <v>26307176</v>
      </c>
      <c r="K186" s="1909">
        <v>802373</v>
      </c>
      <c r="L186" s="1909">
        <v>315457</v>
      </c>
      <c r="M186" s="1849">
        <v>1676.857</v>
      </c>
      <c r="N186" s="1849">
        <v>16391.867533690001</v>
      </c>
      <c r="O186" s="1849">
        <v>15825.008</v>
      </c>
      <c r="P186" s="1849">
        <v>2470.4856664899999</v>
      </c>
    </row>
    <row r="187" spans="1:16">
      <c r="A187" s="1910" t="s">
        <v>20</v>
      </c>
      <c r="B187" s="1909">
        <v>13843001</v>
      </c>
      <c r="C187" s="1909">
        <v>13698214</v>
      </c>
      <c r="D187" s="1909">
        <v>657940</v>
      </c>
      <c r="E187" s="1909">
        <v>144787</v>
      </c>
      <c r="F187" s="1909">
        <v>33831265</v>
      </c>
      <c r="G187" s="1909">
        <v>27025083</v>
      </c>
      <c r="H187" s="1909">
        <v>6497228</v>
      </c>
      <c r="I187" s="1909">
        <v>308954</v>
      </c>
      <c r="J187" s="1909">
        <v>26705930</v>
      </c>
      <c r="K187" s="1909">
        <v>812732</v>
      </c>
      <c r="L187" s="1909">
        <v>319153</v>
      </c>
      <c r="M187" s="1849">
        <v>1781.6869999999999</v>
      </c>
      <c r="N187" s="1849">
        <v>17252.171786529998</v>
      </c>
      <c r="O187" s="1849">
        <v>17776.401999999998</v>
      </c>
      <c r="P187" s="1849">
        <v>2956.0988538899996</v>
      </c>
    </row>
    <row r="188" spans="1:16">
      <c r="A188" s="1910" t="s">
        <v>21</v>
      </c>
      <c r="B188" s="1909">
        <v>13772644</v>
      </c>
      <c r="C188" s="1909">
        <v>13629053</v>
      </c>
      <c r="D188" s="1909">
        <v>659422</v>
      </c>
      <c r="E188" s="1909">
        <v>143591</v>
      </c>
      <c r="F188" s="1909">
        <v>34120423</v>
      </c>
      <c r="G188" s="1909">
        <v>27186197</v>
      </c>
      <c r="H188" s="1909">
        <v>6632703</v>
      </c>
      <c r="I188" s="1909">
        <v>301523</v>
      </c>
      <c r="J188" s="1909">
        <v>26874368</v>
      </c>
      <c r="K188" s="1909">
        <v>816142</v>
      </c>
      <c r="L188" s="1909">
        <v>311829</v>
      </c>
      <c r="M188" s="1849">
        <v>1653.816</v>
      </c>
      <c r="N188" s="1849">
        <v>16923.024148619999</v>
      </c>
      <c r="O188" s="1849">
        <v>18220.264999999999</v>
      </c>
      <c r="P188" s="1849">
        <v>2840.4698740200001</v>
      </c>
    </row>
    <row r="189" spans="1:16">
      <c r="A189" s="1910" t="s">
        <v>22</v>
      </c>
      <c r="B189" s="1909">
        <v>13832763</v>
      </c>
      <c r="C189" s="1909">
        <v>13690176</v>
      </c>
      <c r="D189" s="1909">
        <v>661407</v>
      </c>
      <c r="E189" s="1909">
        <v>142587</v>
      </c>
      <c r="F189" s="1909">
        <v>34751954</v>
      </c>
      <c r="G189" s="1909">
        <v>27571526</v>
      </c>
      <c r="H189" s="1909">
        <v>6877981</v>
      </c>
      <c r="I189" s="1909">
        <v>302447</v>
      </c>
      <c r="J189" s="1909">
        <v>27260275</v>
      </c>
      <c r="K189" s="1909">
        <v>818617</v>
      </c>
      <c r="L189" s="1909">
        <v>311251</v>
      </c>
      <c r="M189" s="1849">
        <v>1804.729</v>
      </c>
      <c r="N189" s="1849">
        <v>18036.0202641</v>
      </c>
      <c r="O189" s="1849">
        <v>21074.742999999999</v>
      </c>
      <c r="P189" s="1849">
        <v>3109.6837274699997</v>
      </c>
    </row>
    <row r="190" spans="1:16">
      <c r="A190" s="1910" t="s">
        <v>23</v>
      </c>
      <c r="B190" s="1909">
        <v>13947162</v>
      </c>
      <c r="C190" s="1909">
        <v>13803878</v>
      </c>
      <c r="D190" s="1909">
        <v>670509</v>
      </c>
      <c r="E190" s="1909">
        <v>143284</v>
      </c>
      <c r="F190" s="1909">
        <v>35204219</v>
      </c>
      <c r="G190" s="1909">
        <v>28041933</v>
      </c>
      <c r="H190" s="1909">
        <v>6857787</v>
      </c>
      <c r="I190" s="1909">
        <v>304499</v>
      </c>
      <c r="J190" s="1909">
        <v>27727572</v>
      </c>
      <c r="K190" s="1909">
        <v>829990</v>
      </c>
      <c r="L190" s="1909">
        <v>314361</v>
      </c>
      <c r="M190" s="1849">
        <v>1685.3309999999999</v>
      </c>
      <c r="N190" s="1849">
        <v>16440.254206860001</v>
      </c>
      <c r="O190" s="1849">
        <v>20781.437000000002</v>
      </c>
      <c r="P190" s="1849">
        <v>3986.0517384899999</v>
      </c>
    </row>
    <row r="191" spans="1:16">
      <c r="A191" s="1910" t="s">
        <v>24</v>
      </c>
      <c r="B191" s="1909">
        <v>14063765</v>
      </c>
      <c r="C191" s="1909">
        <v>13919402</v>
      </c>
      <c r="D191" s="1909">
        <v>670151</v>
      </c>
      <c r="E191" s="1909">
        <v>144363</v>
      </c>
      <c r="F191" s="1909">
        <v>35898162</v>
      </c>
      <c r="G191" s="1909">
        <v>28567680</v>
      </c>
      <c r="H191" s="1909">
        <v>7022421</v>
      </c>
      <c r="I191" s="1909">
        <v>308061</v>
      </c>
      <c r="J191" s="1909">
        <v>28251009</v>
      </c>
      <c r="K191" s="1909">
        <v>832341</v>
      </c>
      <c r="L191" s="1909">
        <v>316671</v>
      </c>
      <c r="M191" s="1849">
        <v>1981.0540000000001</v>
      </c>
      <c r="N191" s="1849">
        <v>20023.121856189999</v>
      </c>
      <c r="O191" s="1849">
        <v>24202.174999999999</v>
      </c>
      <c r="P191" s="1849">
        <v>4153.7315737899999</v>
      </c>
    </row>
    <row r="192" spans="1:16">
      <c r="A192" s="1910" t="s">
        <v>25</v>
      </c>
      <c r="B192" s="1909">
        <v>14215258</v>
      </c>
      <c r="C192" s="1909">
        <v>14068615</v>
      </c>
      <c r="D192" s="1909">
        <v>680843</v>
      </c>
      <c r="E192" s="1909">
        <v>146643</v>
      </c>
      <c r="F192" s="1909">
        <v>36750228</v>
      </c>
      <c r="G192" s="1909">
        <v>29229134</v>
      </c>
      <c r="H192" s="1909">
        <v>7209877</v>
      </c>
      <c r="I192" s="1909">
        <v>311217</v>
      </c>
      <c r="J192" s="1909">
        <v>28907008</v>
      </c>
      <c r="K192" s="1909">
        <v>848357</v>
      </c>
      <c r="L192" s="1909">
        <v>322126</v>
      </c>
      <c r="M192" s="1849">
        <v>1798.191</v>
      </c>
      <c r="N192" s="1849">
        <v>19891.138757200002</v>
      </c>
      <c r="O192" s="1849">
        <v>24880.984</v>
      </c>
      <c r="P192" s="1849">
        <v>4568.9208906399999</v>
      </c>
    </row>
    <row r="193" spans="1:16">
      <c r="A193" s="1910" t="s">
        <v>26</v>
      </c>
      <c r="B193" s="1909">
        <v>14340385</v>
      </c>
      <c r="C193" s="1909">
        <v>14191659</v>
      </c>
      <c r="D193" s="1909">
        <v>684975</v>
      </c>
      <c r="E193" s="1909">
        <v>148726</v>
      </c>
      <c r="F193" s="1909">
        <v>37439220</v>
      </c>
      <c r="G193" s="1909">
        <v>29720212</v>
      </c>
      <c r="H193" s="1909">
        <v>7405317</v>
      </c>
      <c r="I193" s="1909">
        <v>313691</v>
      </c>
      <c r="J193" s="1909">
        <v>29392713</v>
      </c>
      <c r="K193" s="1909">
        <v>853729</v>
      </c>
      <c r="L193" s="1909">
        <v>327499</v>
      </c>
      <c r="M193" s="1849">
        <v>1776.317</v>
      </c>
      <c r="N193" s="1849">
        <v>18778.45133819</v>
      </c>
      <c r="O193" s="1849">
        <v>26994.276000000002</v>
      </c>
      <c r="P193" s="1849">
        <v>4210.5683489699995</v>
      </c>
    </row>
    <row r="194" spans="1:16">
      <c r="A194" s="1910" t="s">
        <v>27</v>
      </c>
      <c r="B194" s="1909">
        <v>14350184</v>
      </c>
      <c r="C194" s="1909">
        <v>14214419</v>
      </c>
      <c r="D194" s="1909">
        <v>685813</v>
      </c>
      <c r="E194" s="1909">
        <v>135765</v>
      </c>
      <c r="F194" s="1909">
        <v>37766627</v>
      </c>
      <c r="G194" s="1909">
        <v>30115193</v>
      </c>
      <c r="H194" s="1909">
        <v>7340629</v>
      </c>
      <c r="I194" s="1909">
        <v>310805</v>
      </c>
      <c r="J194" s="1909">
        <v>29806518</v>
      </c>
      <c r="K194" s="1909">
        <v>857281</v>
      </c>
      <c r="L194" s="1909">
        <v>308675</v>
      </c>
      <c r="M194" s="1849">
        <v>1939.759</v>
      </c>
      <c r="N194" s="1849">
        <v>21431.13010862</v>
      </c>
      <c r="O194" s="1849">
        <v>31385.042000000001</v>
      </c>
      <c r="P194" s="1849">
        <v>5675.3090789500002</v>
      </c>
    </row>
    <row r="195" spans="1:16">
      <c r="A195" s="1910" t="s">
        <v>28</v>
      </c>
      <c r="B195" s="1909">
        <v>14497778</v>
      </c>
      <c r="C195" s="1909">
        <v>14359133</v>
      </c>
      <c r="D195" s="1909">
        <v>698810</v>
      </c>
      <c r="E195" s="1909">
        <v>138645</v>
      </c>
      <c r="F195" s="1909">
        <v>38573764</v>
      </c>
      <c r="G195" s="1909">
        <v>30692696</v>
      </c>
      <c r="H195" s="1909">
        <v>7564897</v>
      </c>
      <c r="I195" s="1909">
        <v>316171</v>
      </c>
      <c r="J195" s="1909">
        <v>30377241</v>
      </c>
      <c r="K195" s="1909">
        <v>876130</v>
      </c>
      <c r="L195" s="1909">
        <v>315455</v>
      </c>
      <c r="M195" s="1849">
        <v>1607</v>
      </c>
      <c r="N195" s="1849">
        <v>18784</v>
      </c>
      <c r="O195" s="1849">
        <v>34065</v>
      </c>
      <c r="P195" s="1849">
        <v>4694</v>
      </c>
    </row>
    <row r="196" spans="1:16">
      <c r="A196" s="1910" t="s">
        <v>29</v>
      </c>
      <c r="B196" s="1909">
        <v>14654384</v>
      </c>
      <c r="C196" s="1909">
        <v>14513660</v>
      </c>
      <c r="D196" s="1909">
        <v>712151</v>
      </c>
      <c r="E196" s="1909">
        <v>140724</v>
      </c>
      <c r="F196" s="1909">
        <v>39590672</v>
      </c>
      <c r="G196" s="1909">
        <v>31492104</v>
      </c>
      <c r="H196" s="1909">
        <v>7772955</v>
      </c>
      <c r="I196" s="1909">
        <v>325613</v>
      </c>
      <c r="J196" s="1909">
        <v>31171813</v>
      </c>
      <c r="K196" s="1909">
        <v>896156</v>
      </c>
      <c r="L196" s="1909">
        <v>320291</v>
      </c>
      <c r="M196" s="1849">
        <v>1881.5609999999999</v>
      </c>
      <c r="N196" s="1849">
        <v>26978.004864999999</v>
      </c>
      <c r="O196" s="1849">
        <v>40588.373</v>
      </c>
      <c r="P196" s="1849">
        <v>5586.6676909999996</v>
      </c>
    </row>
    <row r="197" spans="1:16">
      <c r="A197" s="1910" t="s">
        <v>4086</v>
      </c>
      <c r="B197" s="1909"/>
      <c r="C197" s="1909"/>
      <c r="D197" s="1909"/>
      <c r="E197" s="1909"/>
      <c r="F197" s="1909"/>
      <c r="G197" s="1909"/>
      <c r="H197" s="1909"/>
      <c r="I197" s="1909"/>
      <c r="J197" s="1909"/>
      <c r="K197" s="1909"/>
      <c r="L197" s="1909"/>
      <c r="M197" s="1849"/>
      <c r="N197" s="1849"/>
      <c r="O197" s="1849"/>
      <c r="P197" s="1849"/>
    </row>
    <row r="198" spans="1:16">
      <c r="A198" s="1910" t="s">
        <v>18</v>
      </c>
      <c r="B198" s="1909">
        <v>14803775</v>
      </c>
      <c r="C198" s="1909">
        <v>14661221</v>
      </c>
      <c r="D198" s="1909">
        <v>721021</v>
      </c>
      <c r="E198" s="1909">
        <v>142554</v>
      </c>
      <c r="F198" s="1909">
        <v>40335951</v>
      </c>
      <c r="G198" s="1909">
        <v>32008338</v>
      </c>
      <c r="H198" s="1909">
        <v>7990254</v>
      </c>
      <c r="I198" s="1909">
        <v>337359</v>
      </c>
      <c r="J198" s="1909">
        <v>31683652</v>
      </c>
      <c r="K198" s="1909">
        <v>911136</v>
      </c>
      <c r="L198" s="1909">
        <v>324686</v>
      </c>
      <c r="M198" s="1849">
        <v>1485.3119999999999</v>
      </c>
      <c r="N198" s="1849">
        <v>18305.638999999999</v>
      </c>
      <c r="O198" s="1849">
        <v>37140.928</v>
      </c>
      <c r="P198" s="1849">
        <v>5273.7156400000003</v>
      </c>
    </row>
    <row r="199" spans="1:16" ht="15" customHeight="1">
      <c r="A199" s="1908" t="s">
        <v>19</v>
      </c>
      <c r="B199" s="1907">
        <v>14883892</v>
      </c>
      <c r="C199" s="1907">
        <v>14739173</v>
      </c>
      <c r="D199" s="1907">
        <v>733799</v>
      </c>
      <c r="E199" s="1907">
        <v>144719</v>
      </c>
      <c r="F199" s="1907">
        <v>40622564</v>
      </c>
      <c r="G199" s="1907">
        <v>32094492</v>
      </c>
      <c r="H199" s="1907">
        <v>8173944</v>
      </c>
      <c r="I199" s="1907">
        <v>354128</v>
      </c>
      <c r="J199" s="1907">
        <v>31764345</v>
      </c>
      <c r="K199" s="1907">
        <v>928129</v>
      </c>
      <c r="L199" s="1907">
        <v>330147</v>
      </c>
      <c r="M199" s="1847">
        <v>1656.731</v>
      </c>
      <c r="N199" s="1847">
        <v>20682.151039</v>
      </c>
      <c r="O199" s="1847">
        <v>40007.923999999999</v>
      </c>
      <c r="P199" s="1847">
        <v>5057.073676</v>
      </c>
    </row>
    <row r="200" spans="1:16">
      <c r="A200" s="2736" t="s">
        <v>3749</v>
      </c>
      <c r="B200" s="2736"/>
      <c r="C200" s="2736"/>
      <c r="D200" s="2736"/>
      <c r="E200" s="2736"/>
      <c r="F200" s="2736"/>
      <c r="G200" s="2736"/>
      <c r="H200" s="2736"/>
      <c r="I200" s="2736"/>
      <c r="J200" s="2736"/>
      <c r="K200" s="2736"/>
      <c r="L200" s="2736"/>
      <c r="M200" s="1901"/>
      <c r="N200" s="1901"/>
      <c r="O200" s="1901"/>
      <c r="P200" s="1901"/>
    </row>
    <row r="201" spans="1:16">
      <c r="A201" s="2736" t="s">
        <v>3445</v>
      </c>
      <c r="B201" s="2737"/>
      <c r="C201" s="2737"/>
      <c r="D201" s="2737"/>
      <c r="E201" s="2737"/>
      <c r="F201" s="2737"/>
      <c r="G201" s="2737"/>
      <c r="H201" s="2737"/>
      <c r="I201" s="2737"/>
      <c r="J201" s="2737"/>
      <c r="K201" s="2737"/>
      <c r="L201" s="2737"/>
      <c r="M201" s="1802"/>
      <c r="N201" s="1906"/>
      <c r="O201" s="1906"/>
      <c r="P201" s="1906"/>
    </row>
    <row r="202" spans="1:16">
      <c r="M202" s="1901" t="s">
        <v>2483</v>
      </c>
      <c r="N202" s="1901"/>
      <c r="O202" s="1901"/>
      <c r="P202" s="1901"/>
    </row>
    <row r="203" spans="1:16">
      <c r="M203" s="1905"/>
      <c r="N203" s="1905"/>
      <c r="O203" s="1905"/>
      <c r="P203" s="1905"/>
    </row>
    <row r="204" spans="1:16">
      <c r="M204" s="1904"/>
      <c r="N204" s="1904"/>
      <c r="O204" s="1904"/>
      <c r="P204" s="1904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201:L201"/>
    <mergeCell ref="A2:P2"/>
    <mergeCell ref="A3:P3"/>
    <mergeCell ref="L10:L12"/>
    <mergeCell ref="M11:N11"/>
    <mergeCell ref="O11:P11"/>
    <mergeCell ref="A200:L200"/>
    <mergeCell ref="E10:E12"/>
    <mergeCell ref="G10:G12"/>
    <mergeCell ref="A5:P5"/>
    <mergeCell ref="C6:E6"/>
    <mergeCell ref="G6:I6"/>
    <mergeCell ref="J6:L6"/>
    <mergeCell ref="M6:P6"/>
    <mergeCell ref="O7:P7"/>
    <mergeCell ref="M9:P10"/>
  </mergeCells>
  <pageMargins left="0.42" right="0.16" top="0.95" bottom="0.75" header="0.3" footer="0.3"/>
  <pageSetup scale="3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G291" sqref="G291"/>
      <selection pane="bottomLeft" activeCell="D30" sqref="D30"/>
    </sheetView>
  </sheetViews>
  <sheetFormatPr defaultColWidth="9.109375" defaultRowHeight="13.8"/>
  <cols>
    <col min="1" max="1" width="63.44140625" style="1097" customWidth="1"/>
    <col min="2" max="3" width="23.88671875" style="1097" customWidth="1"/>
    <col min="4" max="4" width="60.33203125" style="1097" customWidth="1"/>
    <col min="5" max="5" width="10.5546875" style="1097" bestFit="1" customWidth="1"/>
    <col min="6" max="16384" width="9.109375" style="1097"/>
  </cols>
  <sheetData>
    <row r="1" spans="1:5" ht="9.75" customHeight="1"/>
    <row r="2" spans="1:5" ht="12" customHeight="1">
      <c r="A2" s="2665" t="s">
        <v>3446</v>
      </c>
      <c r="B2" s="2665"/>
      <c r="C2" s="2665"/>
      <c r="D2" s="2665"/>
    </row>
    <row r="3" spans="1:5" ht="25.5" customHeight="1">
      <c r="A3" s="2666" t="s">
        <v>3447</v>
      </c>
      <c r="B3" s="2666"/>
      <c r="C3" s="2666"/>
      <c r="D3" s="2666"/>
    </row>
    <row r="4" spans="1:5" ht="11.25" customHeight="1">
      <c r="A4" s="1337"/>
      <c r="B4" s="1337"/>
      <c r="C4" s="1337"/>
      <c r="D4" s="1337"/>
    </row>
    <row r="5" spans="1:5" ht="11.25" customHeight="1">
      <c r="A5" s="1336"/>
      <c r="B5" s="1336"/>
      <c r="C5" s="1926"/>
      <c r="D5" s="1926"/>
    </row>
    <row r="6" spans="1:5" ht="15.75" customHeight="1">
      <c r="A6" s="2769" t="s">
        <v>3158</v>
      </c>
      <c r="B6" s="2775">
        <v>45351</v>
      </c>
      <c r="C6" s="2776"/>
      <c r="D6" s="2772" t="s">
        <v>3202</v>
      </c>
    </row>
    <row r="7" spans="1:5" ht="15.6">
      <c r="A7" s="2770"/>
      <c r="B7" s="2777" t="s">
        <v>3163</v>
      </c>
      <c r="C7" s="2777"/>
      <c r="D7" s="2773"/>
    </row>
    <row r="8" spans="1:5" ht="31.2">
      <c r="A8" s="2770"/>
      <c r="B8" s="1766" t="s">
        <v>3164</v>
      </c>
      <c r="C8" s="1766" t="s">
        <v>3396</v>
      </c>
      <c r="D8" s="2773"/>
    </row>
    <row r="9" spans="1:5" ht="15.6">
      <c r="A9" s="2770"/>
      <c r="B9" s="2767">
        <v>45351</v>
      </c>
      <c r="C9" s="2768"/>
      <c r="D9" s="2773"/>
    </row>
    <row r="10" spans="1:5" ht="31.2">
      <c r="A10" s="2771"/>
      <c r="B10" s="1419" t="s">
        <v>3216</v>
      </c>
      <c r="C10" s="1419" t="s">
        <v>3401</v>
      </c>
      <c r="D10" s="2774"/>
    </row>
    <row r="11" spans="1:5" ht="31.2">
      <c r="A11" s="1925" t="s">
        <v>3452</v>
      </c>
      <c r="B11" s="1502">
        <v>118920.50599999999</v>
      </c>
      <c r="C11" s="1502">
        <v>8814.2659353999989</v>
      </c>
      <c r="D11" s="1924" t="s">
        <v>3329</v>
      </c>
      <c r="E11" s="1352"/>
    </row>
    <row r="12" spans="1:5" ht="15.6">
      <c r="A12" s="1923" t="s">
        <v>3165</v>
      </c>
      <c r="B12" s="1503">
        <v>81360.841</v>
      </c>
      <c r="C12" s="1503">
        <v>5392.1793650899999</v>
      </c>
      <c r="D12" s="1922" t="s">
        <v>3165</v>
      </c>
      <c r="E12" s="1352"/>
    </row>
    <row r="13" spans="1:5" ht="15.6">
      <c r="A13" s="1923" t="s">
        <v>3166</v>
      </c>
      <c r="B13" s="1503">
        <v>36582.921999999999</v>
      </c>
      <c r="C13" s="1503">
        <v>3358.1677615200001</v>
      </c>
      <c r="D13" s="1922" t="s">
        <v>3166</v>
      </c>
      <c r="E13" s="1352"/>
    </row>
    <row r="14" spans="1:5" ht="15.6">
      <c r="A14" s="1923" t="s">
        <v>3167</v>
      </c>
      <c r="B14" s="1503">
        <v>700.99199999999996</v>
      </c>
      <c r="C14" s="1503">
        <v>14.893334710000001</v>
      </c>
      <c r="D14" s="1922" t="s">
        <v>3167</v>
      </c>
      <c r="E14" s="1352"/>
    </row>
    <row r="15" spans="1:5" ht="15.6">
      <c r="A15" s="1923" t="s">
        <v>3168</v>
      </c>
      <c r="B15" s="1349">
        <v>0</v>
      </c>
      <c r="C15" s="1349">
        <v>0</v>
      </c>
      <c r="D15" s="1922" t="s">
        <v>3168</v>
      </c>
      <c r="E15" s="1352"/>
    </row>
    <row r="16" spans="1:5" ht="15.6">
      <c r="A16" s="1923" t="s">
        <v>3169</v>
      </c>
      <c r="B16" s="1503">
        <v>0.154</v>
      </c>
      <c r="C16" s="1349">
        <v>4.7836300000000005E-2</v>
      </c>
      <c r="D16" s="1922" t="s">
        <v>3169</v>
      </c>
      <c r="E16" s="1352"/>
    </row>
    <row r="17" spans="1:34" ht="15.6">
      <c r="A17" s="1923" t="s">
        <v>3623</v>
      </c>
      <c r="B17" s="1503">
        <v>275.59699999999998</v>
      </c>
      <c r="C17" s="1349">
        <v>48.977637780000002</v>
      </c>
      <c r="D17" s="1922" t="s">
        <v>3624</v>
      </c>
      <c r="E17" s="1352"/>
    </row>
    <row r="18" spans="1:34" ht="15.6">
      <c r="A18" s="1923" t="s">
        <v>3170</v>
      </c>
      <c r="B18" s="1423">
        <v>0</v>
      </c>
      <c r="C18" s="1423">
        <v>0</v>
      </c>
      <c r="D18" s="1922" t="s">
        <v>3218</v>
      </c>
      <c r="E18" s="1352"/>
    </row>
    <row r="19" spans="1:34" ht="31.2">
      <c r="A19" s="1925" t="s">
        <v>3233</v>
      </c>
      <c r="B19" s="1502">
        <v>6371.5990000000002</v>
      </c>
      <c r="C19" s="1502">
        <v>184.45278754</v>
      </c>
      <c r="D19" s="1924" t="s">
        <v>3232</v>
      </c>
      <c r="E19" s="1352"/>
    </row>
    <row r="20" spans="1:34" ht="15.6">
      <c r="A20" s="1923" t="s">
        <v>3165</v>
      </c>
      <c r="B20" s="1503">
        <v>4503.9489999999996</v>
      </c>
      <c r="C20" s="1503">
        <v>115.00207523</v>
      </c>
      <c r="D20" s="1922" t="s">
        <v>3165</v>
      </c>
      <c r="E20" s="1352"/>
    </row>
    <row r="21" spans="1:34" ht="15.6">
      <c r="A21" s="1923" t="s">
        <v>3166</v>
      </c>
      <c r="B21" s="1503">
        <v>1863.3489999999999</v>
      </c>
      <c r="C21" s="1503">
        <v>68.233078829999997</v>
      </c>
      <c r="D21" s="1922" t="s">
        <v>3166</v>
      </c>
      <c r="E21" s="1352"/>
    </row>
    <row r="22" spans="1:34" ht="15.6">
      <c r="A22" s="1923" t="s">
        <v>3167</v>
      </c>
      <c r="B22" s="1503">
        <v>2.0950000000000002</v>
      </c>
      <c r="C22" s="1503">
        <v>0.56096343999999998</v>
      </c>
      <c r="D22" s="1922" t="s">
        <v>3167</v>
      </c>
      <c r="E22" s="1352"/>
    </row>
    <row r="23" spans="1:34" ht="15.6">
      <c r="A23" s="1923" t="s">
        <v>3168</v>
      </c>
      <c r="B23" s="1350">
        <v>3.0000000000000001E-3</v>
      </c>
      <c r="C23" s="2063">
        <v>7.8480000000000008E-5</v>
      </c>
      <c r="D23" s="1922" t="s">
        <v>3168</v>
      </c>
      <c r="E23" s="1352"/>
    </row>
    <row r="24" spans="1:34" ht="15.6">
      <c r="A24" s="1923" t="s">
        <v>3169</v>
      </c>
      <c r="B24" s="1503">
        <v>2.2010000000000001</v>
      </c>
      <c r="C24" s="1503">
        <v>0.65640739999999997</v>
      </c>
      <c r="D24" s="1922" t="s">
        <v>3169</v>
      </c>
      <c r="E24" s="1352"/>
    </row>
    <row r="25" spans="1:34" ht="15.6">
      <c r="A25" s="1921" t="s">
        <v>3170</v>
      </c>
      <c r="B25" s="1351">
        <v>2E-3</v>
      </c>
      <c r="C25" s="2062">
        <v>1.8416E-4</v>
      </c>
      <c r="D25" s="1920" t="s">
        <v>3218</v>
      </c>
      <c r="E25" s="1352"/>
    </row>
    <row r="26" spans="1:34">
      <c r="A26" s="2766" t="s">
        <v>3171</v>
      </c>
      <c r="B26" s="2766"/>
      <c r="C26" s="2766"/>
    </row>
    <row r="27" spans="1:34" s="1769" customFormat="1" ht="16.5" customHeight="1">
      <c r="A27" s="2765" t="s">
        <v>3453</v>
      </c>
      <c r="B27" s="2765"/>
      <c r="C27" s="2765"/>
      <c r="D27" s="2765"/>
      <c r="E27" s="1919"/>
      <c r="F27" s="1919"/>
      <c r="G27" s="1919"/>
      <c r="H27" s="1919"/>
      <c r="I27" s="1919"/>
      <c r="J27" s="1919"/>
      <c r="K27" s="1919"/>
      <c r="L27" s="1919"/>
      <c r="M27" s="1919"/>
      <c r="N27" s="1919"/>
      <c r="O27" s="1919"/>
      <c r="P27" s="1919"/>
      <c r="Q27" s="1919"/>
      <c r="R27" s="1919"/>
      <c r="S27" s="1919"/>
      <c r="T27" s="1919"/>
      <c r="U27" s="1919"/>
      <c r="V27" s="1919"/>
      <c r="W27" s="1919"/>
      <c r="X27" s="1919"/>
      <c r="Y27" s="1919"/>
      <c r="Z27" s="1919"/>
      <c r="AA27" s="1919"/>
      <c r="AB27" s="1919"/>
      <c r="AC27" s="1919"/>
      <c r="AD27" s="1919"/>
      <c r="AE27" s="1919"/>
      <c r="AF27" s="1919"/>
      <c r="AG27" s="1919"/>
      <c r="AH27" s="1919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7"/>
  <sheetViews>
    <sheetView showGridLines="0" view="pageBreakPreview" zoomScale="115" zoomScaleNormal="100" zoomScaleSheetLayoutView="115" workbookViewId="0">
      <pane ySplit="67" topLeftCell="A252" activePane="bottomLeft" state="frozen"/>
      <selection activeCell="G291" sqref="G291"/>
      <selection pane="bottomLeft" activeCell="H268" sqref="H268"/>
    </sheetView>
  </sheetViews>
  <sheetFormatPr defaultColWidth="8.88671875" defaultRowHeight="13.2"/>
  <cols>
    <col min="1" max="1" width="7.6640625" style="1768" customWidth="1"/>
    <col min="2" max="7" width="14.44140625" style="1767" customWidth="1"/>
    <col min="8" max="9" width="8.88671875" style="1767"/>
    <col min="10" max="10" width="9.109375" style="1767" bestFit="1" customWidth="1"/>
    <col min="11" max="73" width="8.88671875" style="1767"/>
    <col min="74" max="74" width="0" style="1767" hidden="1" customWidth="1"/>
    <col min="75" max="16384" width="8.88671875" style="1767"/>
  </cols>
  <sheetData>
    <row r="1" spans="1:76" ht="5.25" customHeight="1">
      <c r="A1" s="2779"/>
      <c r="B1" s="2779"/>
      <c r="C1" s="2779"/>
      <c r="D1" s="2779"/>
      <c r="E1" s="2779"/>
      <c r="F1" s="2779"/>
      <c r="G1" s="2779"/>
    </row>
    <row r="2" spans="1:76" s="1799" customFormat="1" ht="18" customHeight="1">
      <c r="A2" s="2621" t="s">
        <v>3448</v>
      </c>
      <c r="B2" s="2621"/>
      <c r="C2" s="2621"/>
      <c r="D2" s="2621"/>
      <c r="E2" s="2621"/>
      <c r="F2" s="2621"/>
      <c r="G2" s="2621"/>
    </row>
    <row r="3" spans="1:76" ht="22.5" customHeight="1">
      <c r="A3" s="2622" t="s">
        <v>3449</v>
      </c>
      <c r="B3" s="2622"/>
      <c r="C3" s="2622"/>
      <c r="D3" s="2622"/>
      <c r="E3" s="2622"/>
      <c r="F3" s="2622"/>
      <c r="G3" s="2622"/>
    </row>
    <row r="4" spans="1:76" ht="10.5" customHeight="1">
      <c r="A4" s="1679"/>
      <c r="B4" s="1679"/>
      <c r="C4" s="1679"/>
      <c r="D4" s="1679"/>
      <c r="E4" s="1679"/>
      <c r="F4" s="1679"/>
      <c r="G4" s="1679"/>
    </row>
    <row r="5" spans="1:76" ht="10.5" customHeight="1">
      <c r="A5" s="1798"/>
      <c r="B5" s="1798"/>
      <c r="C5" s="1798"/>
      <c r="D5" s="1798"/>
      <c r="E5" s="1798"/>
      <c r="F5" s="1798"/>
      <c r="G5" s="1798"/>
    </row>
    <row r="6" spans="1:76">
      <c r="A6" s="2222" t="s">
        <v>182</v>
      </c>
      <c r="B6" s="2780" t="s">
        <v>1022</v>
      </c>
      <c r="C6" s="2780"/>
      <c r="D6" s="2780"/>
      <c r="E6" s="2780"/>
      <c r="F6" s="2780"/>
      <c r="G6" s="2780"/>
    </row>
    <row r="7" spans="1:76" ht="15.75" customHeight="1">
      <c r="A7" s="2222"/>
      <c r="B7" s="2781" t="s">
        <v>1023</v>
      </c>
      <c r="C7" s="2781"/>
      <c r="D7" s="2781"/>
      <c r="E7" s="2781" t="s">
        <v>1024</v>
      </c>
      <c r="F7" s="2781"/>
      <c r="G7" s="2781"/>
    </row>
    <row r="8" spans="1:76" ht="52.5" customHeight="1">
      <c r="A8" s="2222"/>
      <c r="B8" s="1756" t="s">
        <v>2846</v>
      </c>
      <c r="C8" s="1756" t="s">
        <v>2849</v>
      </c>
      <c r="D8" s="1756" t="s">
        <v>2848</v>
      </c>
      <c r="E8" s="1756" t="s">
        <v>2846</v>
      </c>
      <c r="F8" s="1756" t="s">
        <v>2847</v>
      </c>
      <c r="G8" s="1756" t="s">
        <v>2850</v>
      </c>
      <c r="BW8" s="1797" t="s">
        <v>2089</v>
      </c>
      <c r="BX8" s="1796" t="s">
        <v>2090</v>
      </c>
    </row>
    <row r="9" spans="1:76">
      <c r="A9" s="2619" t="s">
        <v>304</v>
      </c>
      <c r="B9" s="2782" t="s">
        <v>1044</v>
      </c>
      <c r="C9" s="2782"/>
      <c r="D9" s="2782"/>
      <c r="E9" s="2782"/>
      <c r="F9" s="2782"/>
      <c r="G9" s="2782"/>
      <c r="BS9" s="1767">
        <f>BS11+BS23+BS33+BS41</f>
        <v>0</v>
      </c>
      <c r="BW9" s="1767">
        <f>BW11+BW23+BW33+BW41</f>
        <v>622</v>
      </c>
      <c r="BX9" s="1787">
        <f>BS9+BT9+BU9+BW9</f>
        <v>622</v>
      </c>
    </row>
    <row r="10" spans="1:76" ht="16.5" customHeight="1">
      <c r="A10" s="2619"/>
      <c r="B10" s="2783" t="s">
        <v>1025</v>
      </c>
      <c r="C10" s="2783"/>
      <c r="D10" s="2783"/>
      <c r="E10" s="2783" t="s">
        <v>1026</v>
      </c>
      <c r="F10" s="2783"/>
      <c r="G10" s="2783"/>
      <c r="BX10" s="1787"/>
    </row>
    <row r="11" spans="1:76" ht="57" customHeight="1">
      <c r="A11" s="2619"/>
      <c r="B11" s="1759" t="s">
        <v>1009</v>
      </c>
      <c r="C11" s="1759" t="s">
        <v>1010</v>
      </c>
      <c r="D11" s="1759" t="s">
        <v>1028</v>
      </c>
      <c r="E11" s="1759" t="s">
        <v>1009</v>
      </c>
      <c r="F11" s="1759" t="s">
        <v>2851</v>
      </c>
      <c r="G11" s="1759" t="s">
        <v>1028</v>
      </c>
      <c r="BW11" s="1767">
        <f>BW13+BW18</f>
        <v>1713</v>
      </c>
      <c r="BX11" s="1787">
        <f>BS11+BT11+BU11+BW11</f>
        <v>1713</v>
      </c>
    </row>
    <row r="12" spans="1:76" hidden="1">
      <c r="A12" s="1795">
        <v>2001</v>
      </c>
      <c r="B12" s="1942"/>
      <c r="C12" s="1942"/>
      <c r="D12" s="1942"/>
      <c r="E12" s="1942"/>
      <c r="F12" s="1942"/>
      <c r="G12" s="1941"/>
      <c r="BX12" s="1787"/>
    </row>
    <row r="13" spans="1:76" hidden="1">
      <c r="A13" s="1791">
        <v>2002</v>
      </c>
      <c r="B13" s="1939"/>
      <c r="C13" s="1940"/>
      <c r="D13" s="1940"/>
      <c r="E13" s="1939"/>
      <c r="F13" s="1939"/>
      <c r="G13" s="1938"/>
      <c r="BW13" s="1767">
        <f>BW15+BW16</f>
        <v>4361</v>
      </c>
      <c r="BX13" s="1787">
        <f>BS13+BT13+BU13+BW13</f>
        <v>4361</v>
      </c>
    </row>
    <row r="14" spans="1:76" hidden="1">
      <c r="A14" s="1791">
        <f>A13+1</f>
        <v>2003</v>
      </c>
      <c r="B14" s="1939"/>
      <c r="C14" s="1940"/>
      <c r="D14" s="1940"/>
      <c r="E14" s="1939"/>
      <c r="F14" s="1939"/>
      <c r="G14" s="1938"/>
      <c r="BX14" s="1787"/>
    </row>
    <row r="15" spans="1:76" hidden="1">
      <c r="A15" s="1791">
        <f>A14+1</f>
        <v>2004</v>
      </c>
      <c r="B15" s="1939"/>
      <c r="C15" s="1940"/>
      <c r="D15" s="1940"/>
      <c r="E15" s="1939"/>
      <c r="F15" s="1939"/>
      <c r="G15" s="1938"/>
      <c r="BW15" s="1767">
        <v>3917</v>
      </c>
      <c r="BX15" s="1787">
        <f>BS15+BT15+BU15+BW15</f>
        <v>3917</v>
      </c>
    </row>
    <row r="16" spans="1:76" hidden="1">
      <c r="A16" s="1788">
        <v>2005</v>
      </c>
      <c r="B16" s="1936"/>
      <c r="C16" s="1936"/>
      <c r="D16" s="1936"/>
      <c r="E16" s="1936"/>
      <c r="F16" s="1936"/>
      <c r="G16" s="1935"/>
      <c r="BW16" s="1767">
        <v>444</v>
      </c>
      <c r="BX16" s="1787">
        <f>BS16+BT16+BU16+BW16</f>
        <v>444</v>
      </c>
    </row>
    <row r="17" spans="1:76" ht="1.5" hidden="1" customHeight="1">
      <c r="A17" s="1786" t="s">
        <v>18</v>
      </c>
      <c r="B17" s="1936"/>
      <c r="C17" s="1936"/>
      <c r="D17" s="1936"/>
      <c r="E17" s="1936"/>
      <c r="F17" s="1936"/>
      <c r="G17" s="1935"/>
      <c r="BX17" s="1787"/>
    </row>
    <row r="18" spans="1:76" hidden="1">
      <c r="A18" s="1786" t="s">
        <v>19</v>
      </c>
      <c r="B18" s="1936"/>
      <c r="C18" s="1936"/>
      <c r="D18" s="1936"/>
      <c r="E18" s="1936"/>
      <c r="F18" s="1936"/>
      <c r="G18" s="1935"/>
      <c r="BW18" s="1767">
        <f>BW20+BW21</f>
        <v>-2648</v>
      </c>
      <c r="BX18" s="1787">
        <f>BS18+BT18+BU18+BW18</f>
        <v>-2648</v>
      </c>
    </row>
    <row r="19" spans="1:76" hidden="1">
      <c r="A19" s="1786" t="s">
        <v>20</v>
      </c>
      <c r="B19" s="1937"/>
      <c r="C19" s="1936"/>
      <c r="D19" s="1936"/>
      <c r="E19" s="1936"/>
      <c r="F19" s="1936"/>
      <c r="G19" s="1935"/>
      <c r="BX19" s="1787"/>
    </row>
    <row r="20" spans="1:76" hidden="1">
      <c r="A20" s="1786" t="s">
        <v>21</v>
      </c>
      <c r="B20" s="1937"/>
      <c r="C20" s="1936"/>
      <c r="D20" s="1936"/>
      <c r="E20" s="1936"/>
      <c r="F20" s="1936"/>
      <c r="G20" s="1935"/>
      <c r="BW20" s="1767">
        <v>-367</v>
      </c>
      <c r="BX20" s="1787">
        <f>BS20+BT20+BU20+BW20</f>
        <v>-367</v>
      </c>
    </row>
    <row r="21" spans="1:76" hidden="1">
      <c r="A21" s="1786" t="s">
        <v>22</v>
      </c>
      <c r="B21" s="1937"/>
      <c r="C21" s="1936"/>
      <c r="D21" s="1936"/>
      <c r="E21" s="1936"/>
      <c r="F21" s="1936"/>
      <c r="G21" s="1935"/>
      <c r="BW21" s="1767">
        <v>-2281</v>
      </c>
      <c r="BX21" s="1787">
        <f>BS21+BT21+BU21+BW21</f>
        <v>-2281</v>
      </c>
    </row>
    <row r="22" spans="1:76" hidden="1">
      <c r="A22" s="1786" t="s">
        <v>23</v>
      </c>
      <c r="B22" s="1936"/>
      <c r="C22" s="1936"/>
      <c r="D22" s="1936"/>
      <c r="E22" s="1936"/>
      <c r="F22" s="1936"/>
      <c r="G22" s="1935"/>
      <c r="BX22" s="1787"/>
    </row>
    <row r="23" spans="1:76" hidden="1">
      <c r="A23" s="1786" t="s">
        <v>24</v>
      </c>
      <c r="B23" s="1936"/>
      <c r="C23" s="1936"/>
      <c r="D23" s="1936"/>
      <c r="E23" s="1936"/>
      <c r="F23" s="1936"/>
      <c r="G23" s="1935"/>
      <c r="BW23" s="1767">
        <f>BW25+BW26</f>
        <v>-797</v>
      </c>
      <c r="BX23" s="1787">
        <f>BS23+BT23+BU23+BW23</f>
        <v>-797</v>
      </c>
    </row>
    <row r="24" spans="1:76" hidden="1">
      <c r="A24" s="1786" t="s">
        <v>25</v>
      </c>
      <c r="B24" s="1936"/>
      <c r="C24" s="1936"/>
      <c r="D24" s="1936"/>
      <c r="E24" s="1936"/>
      <c r="F24" s="1936"/>
      <c r="G24" s="1935"/>
      <c r="BX24" s="1787"/>
    </row>
    <row r="25" spans="1:76" hidden="1">
      <c r="A25" s="1786" t="s">
        <v>26</v>
      </c>
      <c r="B25" s="1936"/>
      <c r="C25" s="1936"/>
      <c r="D25" s="1936"/>
      <c r="E25" s="1936"/>
      <c r="F25" s="1936"/>
      <c r="G25" s="1935"/>
      <c r="BW25" s="1767">
        <v>-644</v>
      </c>
      <c r="BX25" s="1787">
        <f>BS25+BT25+BU25+BW25</f>
        <v>-644</v>
      </c>
    </row>
    <row r="26" spans="1:76" hidden="1">
      <c r="A26" s="1786" t="s">
        <v>27</v>
      </c>
      <c r="B26" s="1785"/>
      <c r="C26" s="1936"/>
      <c r="D26" s="1936"/>
      <c r="E26" s="1936"/>
      <c r="F26" s="1936"/>
      <c r="G26" s="1933"/>
      <c r="BW26" s="1767">
        <v>-153</v>
      </c>
      <c r="BX26" s="1787">
        <f>BS26+BT26+BU26+BW26</f>
        <v>-153</v>
      </c>
    </row>
    <row r="27" spans="1:76" hidden="1">
      <c r="A27" s="1786" t="s">
        <v>28</v>
      </c>
      <c r="B27" s="1785"/>
      <c r="C27" s="1936"/>
      <c r="D27" s="1936"/>
      <c r="E27" s="1785"/>
      <c r="F27" s="1785"/>
      <c r="G27" s="1933"/>
      <c r="BX27" s="1787"/>
    </row>
    <row r="28" spans="1:76" hidden="1">
      <c r="A28" s="1786" t="s">
        <v>29</v>
      </c>
      <c r="B28" s="1785"/>
      <c r="C28" s="1936"/>
      <c r="D28" s="1936"/>
      <c r="E28" s="1785"/>
      <c r="F28" s="1785"/>
      <c r="G28" s="1933"/>
      <c r="BX28" s="1787"/>
    </row>
    <row r="29" spans="1:76" hidden="1">
      <c r="A29" s="1788">
        <v>2006</v>
      </c>
      <c r="B29" s="1936"/>
      <c r="C29" s="1936"/>
      <c r="D29" s="1936"/>
      <c r="E29" s="1936"/>
      <c r="F29" s="1936"/>
      <c r="G29" s="1935"/>
      <c r="BX29" s="1787"/>
    </row>
    <row r="30" spans="1:76" ht="0.75" hidden="1" customHeight="1">
      <c r="A30" s="1786" t="s">
        <v>18</v>
      </c>
      <c r="B30" s="1936"/>
      <c r="C30" s="1936"/>
      <c r="D30" s="1936"/>
      <c r="E30" s="1936"/>
      <c r="F30" s="1936"/>
      <c r="G30" s="1935"/>
      <c r="BW30" s="1767">
        <v>-31</v>
      </c>
      <c r="BX30" s="1787">
        <f>BS30+BT30+BU30+BW30</f>
        <v>-31</v>
      </c>
    </row>
    <row r="31" spans="1:76" hidden="1">
      <c r="A31" s="1786" t="s">
        <v>19</v>
      </c>
      <c r="B31" s="1936"/>
      <c r="C31" s="1936"/>
      <c r="D31" s="1936"/>
      <c r="E31" s="1936"/>
      <c r="F31" s="1936"/>
      <c r="G31" s="1935"/>
      <c r="BW31" s="1767">
        <v>-440</v>
      </c>
      <c r="BX31" s="1787">
        <f>BS31+BT31+BU31+BW31</f>
        <v>-440</v>
      </c>
    </row>
    <row r="32" spans="1:76" hidden="1">
      <c r="A32" s="1786" t="s">
        <v>20</v>
      </c>
      <c r="B32" s="1937"/>
      <c r="C32" s="1936"/>
      <c r="D32" s="1936"/>
      <c r="E32" s="1936"/>
      <c r="F32" s="1936"/>
      <c r="G32" s="1935"/>
      <c r="BX32" s="1787"/>
    </row>
    <row r="33" spans="1:76" hidden="1">
      <c r="A33" s="1786" t="s">
        <v>21</v>
      </c>
      <c r="B33" s="1937"/>
      <c r="C33" s="1936"/>
      <c r="D33" s="1936"/>
      <c r="E33" s="1936"/>
      <c r="F33" s="1936"/>
      <c r="G33" s="1935"/>
      <c r="BW33" s="1767">
        <f>BW35+BW36</f>
        <v>-498</v>
      </c>
      <c r="BX33" s="1787">
        <f>BS33+BT33+BU33+BW33</f>
        <v>-498</v>
      </c>
    </row>
    <row r="34" spans="1:76" hidden="1">
      <c r="A34" s="1786" t="s">
        <v>22</v>
      </c>
      <c r="B34" s="1937"/>
      <c r="C34" s="1936"/>
      <c r="D34" s="1936"/>
      <c r="E34" s="1936"/>
      <c r="F34" s="1936"/>
      <c r="G34" s="1935"/>
      <c r="BX34" s="1787"/>
    </row>
    <row r="35" spans="1:76" hidden="1">
      <c r="A35" s="1786" t="s">
        <v>23</v>
      </c>
      <c r="B35" s="1936"/>
      <c r="C35" s="1936"/>
      <c r="D35" s="1936"/>
      <c r="E35" s="1936"/>
      <c r="F35" s="1936"/>
      <c r="G35" s="1935"/>
      <c r="BW35" s="1767">
        <v>-521</v>
      </c>
      <c r="BX35" s="1787">
        <f>BS35+BT35+BU35+BW35</f>
        <v>-521</v>
      </c>
    </row>
    <row r="36" spans="1:76" hidden="1">
      <c r="A36" s="1786" t="s">
        <v>24</v>
      </c>
      <c r="B36" s="1936"/>
      <c r="C36" s="1936"/>
      <c r="D36" s="1936"/>
      <c r="E36" s="1936"/>
      <c r="F36" s="1936"/>
      <c r="G36" s="1935"/>
      <c r="BW36" s="1767">
        <v>23</v>
      </c>
      <c r="BX36" s="1787">
        <f>BS36+BT36+BU36+BW36</f>
        <v>23</v>
      </c>
    </row>
    <row r="37" spans="1:76" hidden="1">
      <c r="A37" s="1786" t="s">
        <v>25</v>
      </c>
      <c r="B37" s="1936"/>
      <c r="C37" s="1936"/>
      <c r="D37" s="1936"/>
      <c r="E37" s="1936"/>
      <c r="F37" s="1936"/>
      <c r="G37" s="1935"/>
      <c r="BX37" s="1787"/>
    </row>
    <row r="38" spans="1:76" hidden="1">
      <c r="A38" s="1786" t="s">
        <v>26</v>
      </c>
      <c r="B38" s="1936"/>
      <c r="C38" s="1936"/>
      <c r="D38" s="1936"/>
      <c r="E38" s="1936"/>
      <c r="F38" s="1936"/>
      <c r="G38" s="1935"/>
      <c r="BW38" s="1767">
        <v>433</v>
      </c>
      <c r="BX38" s="1787">
        <f>BS38+BT38+BU38+BW38</f>
        <v>433</v>
      </c>
    </row>
    <row r="39" spans="1:76" hidden="1">
      <c r="A39" s="1786" t="s">
        <v>27</v>
      </c>
      <c r="B39" s="1785"/>
      <c r="C39" s="1785"/>
      <c r="D39" s="1785"/>
      <c r="E39" s="1785"/>
      <c r="F39" s="1785"/>
      <c r="G39" s="1933"/>
      <c r="BW39" s="1767">
        <v>-931</v>
      </c>
      <c r="BX39" s="1787">
        <f>BS39+BT39+BU39+BW39</f>
        <v>-931</v>
      </c>
    </row>
    <row r="40" spans="1:76" hidden="1">
      <c r="A40" s="1786" t="s">
        <v>28</v>
      </c>
      <c r="B40" s="1785"/>
      <c r="C40" s="1785"/>
      <c r="D40" s="1785"/>
      <c r="E40" s="1785"/>
      <c r="F40" s="1785"/>
      <c r="G40" s="1933"/>
      <c r="BX40" s="1787"/>
    </row>
    <row r="41" spans="1:76" hidden="1">
      <c r="A41" s="1786" t="s">
        <v>29</v>
      </c>
      <c r="B41" s="1785"/>
      <c r="C41" s="1785"/>
      <c r="D41" s="1785"/>
      <c r="E41" s="1785"/>
      <c r="F41" s="1785"/>
      <c r="G41" s="1933"/>
      <c r="BW41" s="1767">
        <v>204</v>
      </c>
      <c r="BX41" s="1787">
        <f>BS41+BT41+BU41+BW41</f>
        <v>204</v>
      </c>
    </row>
    <row r="42" spans="1:76" hidden="1">
      <c r="A42" s="1786" t="s">
        <v>121</v>
      </c>
      <c r="B42" s="1785"/>
      <c r="C42" s="1785"/>
      <c r="D42" s="1785"/>
      <c r="E42" s="1785"/>
      <c r="F42" s="1785"/>
      <c r="G42" s="1933"/>
      <c r="BW42" s="1767">
        <v>200</v>
      </c>
      <c r="BX42" s="1787">
        <f>BS42+BT42+BU42+BW42</f>
        <v>200</v>
      </c>
    </row>
    <row r="43" spans="1:76" hidden="1">
      <c r="A43" s="1786" t="s">
        <v>18</v>
      </c>
      <c r="B43" s="1785"/>
      <c r="C43" s="1785"/>
      <c r="D43" s="1785"/>
      <c r="E43" s="1785"/>
      <c r="F43" s="1785"/>
      <c r="G43" s="1933"/>
      <c r="BX43" s="1787"/>
    </row>
    <row r="44" spans="1:76" hidden="1">
      <c r="A44" s="1786" t="s">
        <v>19</v>
      </c>
      <c r="B44" s="1785"/>
      <c r="C44" s="1785"/>
      <c r="D44" s="1785"/>
      <c r="E44" s="1785"/>
      <c r="F44" s="1785"/>
      <c r="G44" s="1933"/>
      <c r="BW44" s="1767">
        <v>295</v>
      </c>
      <c r="BX44" s="1787">
        <f>BS44+BT44+BU44+BW44</f>
        <v>295</v>
      </c>
    </row>
    <row r="45" spans="1:76" hidden="1">
      <c r="A45" s="1786" t="s">
        <v>20</v>
      </c>
      <c r="B45" s="1785"/>
      <c r="C45" s="1785"/>
      <c r="D45" s="1785"/>
      <c r="E45" s="1785"/>
      <c r="F45" s="1785"/>
      <c r="G45" s="1933"/>
      <c r="BW45" s="1767">
        <v>-95</v>
      </c>
      <c r="BX45" s="1787">
        <f>BS45+BT45+BU45+BW45</f>
        <v>-95</v>
      </c>
    </row>
    <row r="46" spans="1:76" hidden="1">
      <c r="A46" s="1786" t="s">
        <v>21</v>
      </c>
      <c r="B46" s="1785"/>
      <c r="C46" s="1785"/>
      <c r="D46" s="1785"/>
      <c r="E46" s="1785"/>
      <c r="F46" s="1785"/>
      <c r="G46" s="1933"/>
      <c r="BX46" s="1787"/>
    </row>
    <row r="47" spans="1:76" hidden="1">
      <c r="A47" s="1786" t="s">
        <v>22</v>
      </c>
      <c r="B47" s="1785"/>
      <c r="C47" s="1785"/>
      <c r="D47" s="1785"/>
      <c r="E47" s="1785"/>
      <c r="F47" s="1785"/>
      <c r="G47" s="1933"/>
      <c r="BW47" s="1767">
        <v>0</v>
      </c>
      <c r="BX47" s="1787">
        <f>BS47+BT47+BU47+BW47</f>
        <v>0</v>
      </c>
    </row>
    <row r="48" spans="1:76" hidden="1">
      <c r="A48" s="1786" t="s">
        <v>23</v>
      </c>
      <c r="B48" s="1785"/>
      <c r="C48" s="1785"/>
      <c r="D48" s="1785"/>
      <c r="E48" s="1785"/>
      <c r="F48" s="1785"/>
      <c r="G48" s="1933"/>
      <c r="BX48" s="1787"/>
    </row>
    <row r="49" spans="1:76" hidden="1">
      <c r="A49" s="1786" t="s">
        <v>24</v>
      </c>
      <c r="B49" s="1785"/>
      <c r="C49" s="1785"/>
      <c r="D49" s="1785"/>
      <c r="E49" s="1785"/>
      <c r="F49" s="1785"/>
      <c r="G49" s="1933"/>
      <c r="BW49" s="1767">
        <f>BW50-BW54</f>
        <v>481</v>
      </c>
      <c r="BX49" s="1787">
        <f>BS49+BT49+BU49+BW49</f>
        <v>481</v>
      </c>
    </row>
    <row r="50" spans="1:76" hidden="1">
      <c r="A50" s="1786" t="s">
        <v>25</v>
      </c>
      <c r="B50" s="1785"/>
      <c r="C50" s="1785"/>
      <c r="D50" s="1785"/>
      <c r="E50" s="1785"/>
      <c r="F50" s="1785"/>
      <c r="G50" s="1933"/>
      <c r="BW50" s="1767">
        <f>BW52+BW53</f>
        <v>965</v>
      </c>
      <c r="BX50" s="1787">
        <f>BS50+BT50+BU50+BW50</f>
        <v>965</v>
      </c>
    </row>
    <row r="51" spans="1:76" hidden="1">
      <c r="A51" s="1786" t="s">
        <v>26</v>
      </c>
      <c r="B51" s="1785"/>
      <c r="C51" s="1785"/>
      <c r="D51" s="1785"/>
      <c r="E51" s="1785"/>
      <c r="F51" s="1785"/>
      <c r="G51" s="1933"/>
      <c r="BX51" s="1787"/>
    </row>
    <row r="52" spans="1:76" hidden="1">
      <c r="A52" s="1786" t="s">
        <v>27</v>
      </c>
      <c r="B52" s="1785" t="s">
        <v>1029</v>
      </c>
      <c r="C52" s="1785"/>
      <c r="D52" s="1785"/>
      <c r="E52" s="1785"/>
      <c r="F52" s="1785"/>
      <c r="G52" s="1933"/>
      <c r="BW52" s="1767">
        <v>954</v>
      </c>
      <c r="BX52" s="1787">
        <f>BS52+BT52+BU52+BW52</f>
        <v>954</v>
      </c>
    </row>
    <row r="53" spans="1:76" hidden="1">
      <c r="A53" s="1786" t="s">
        <v>28</v>
      </c>
      <c r="B53" s="1785"/>
      <c r="C53" s="1785"/>
      <c r="D53" s="1785"/>
      <c r="E53" s="1785"/>
      <c r="F53" s="1785"/>
      <c r="G53" s="1933"/>
      <c r="BW53" s="1767">
        <v>11</v>
      </c>
      <c r="BX53" s="1787">
        <f>BS53+BT53+BU53+BW53</f>
        <v>11</v>
      </c>
    </row>
    <row r="54" spans="1:76" hidden="1">
      <c r="A54" s="1786" t="s">
        <v>29</v>
      </c>
      <c r="B54" s="1785"/>
      <c r="C54" s="1785"/>
      <c r="D54" s="1785"/>
      <c r="E54" s="1785"/>
      <c r="F54" s="1785"/>
      <c r="G54" s="1933"/>
      <c r="BW54" s="1767">
        <f>BW56+BW57+BW58+BW59</f>
        <v>484</v>
      </c>
      <c r="BX54" s="1787">
        <f>BS54+BT54+BU54+BW54</f>
        <v>484</v>
      </c>
    </row>
    <row r="55" spans="1:76" hidden="1">
      <c r="A55" s="1786" t="s">
        <v>114</v>
      </c>
      <c r="B55" s="1785"/>
      <c r="C55" s="1785"/>
      <c r="D55" s="1785"/>
      <c r="E55" s="1785"/>
      <c r="F55" s="1785"/>
      <c r="G55" s="1933"/>
      <c r="BX55" s="1787"/>
    </row>
    <row r="56" spans="1:76" hidden="1">
      <c r="A56" s="1786" t="s">
        <v>18</v>
      </c>
      <c r="B56" s="1785"/>
      <c r="C56" s="1785"/>
      <c r="D56" s="1785"/>
      <c r="E56" s="1785"/>
      <c r="F56" s="1785"/>
      <c r="G56" s="1933"/>
      <c r="BW56" s="1767">
        <v>1214</v>
      </c>
      <c r="BX56" s="1787">
        <f t="shared" ref="BX56:BX61" si="0">BS56+BT56+BU56+BW56</f>
        <v>1214</v>
      </c>
    </row>
    <row r="57" spans="1:76" hidden="1">
      <c r="A57" s="1786" t="s">
        <v>19</v>
      </c>
      <c r="B57" s="1785"/>
      <c r="C57" s="1785"/>
      <c r="D57" s="1785"/>
      <c r="E57" s="1785"/>
      <c r="F57" s="1785"/>
      <c r="G57" s="1933"/>
      <c r="BW57" s="1767">
        <v>-745</v>
      </c>
      <c r="BX57" s="1787">
        <f t="shared" si="0"/>
        <v>-745</v>
      </c>
    </row>
    <row r="58" spans="1:76" hidden="1">
      <c r="A58" s="1786" t="s">
        <v>20</v>
      </c>
      <c r="B58" s="1785"/>
      <c r="C58" s="1785"/>
      <c r="D58" s="1785"/>
      <c r="E58" s="1785"/>
      <c r="F58" s="1785"/>
      <c r="G58" s="1933"/>
      <c r="BW58" s="1767">
        <v>0</v>
      </c>
      <c r="BX58" s="1787">
        <f t="shared" si="0"/>
        <v>0</v>
      </c>
    </row>
    <row r="59" spans="1:76" hidden="1">
      <c r="A59" s="1786" t="s">
        <v>21</v>
      </c>
      <c r="B59" s="1785"/>
      <c r="C59" s="1785"/>
      <c r="D59" s="1785"/>
      <c r="E59" s="1785"/>
      <c r="F59" s="1785"/>
      <c r="G59" s="1933"/>
      <c r="BW59" s="1767">
        <v>15</v>
      </c>
      <c r="BX59" s="1787">
        <f t="shared" si="0"/>
        <v>15</v>
      </c>
    </row>
    <row r="60" spans="1:76" hidden="1">
      <c r="A60" s="1786" t="s">
        <v>22</v>
      </c>
      <c r="B60" s="1785"/>
      <c r="C60" s="1785"/>
      <c r="D60" s="1785"/>
      <c r="E60" s="1785"/>
      <c r="F60" s="1785"/>
      <c r="G60" s="1933"/>
      <c r="BW60" s="1767">
        <v>-372</v>
      </c>
      <c r="BX60" s="1787">
        <f t="shared" si="0"/>
        <v>-372</v>
      </c>
    </row>
    <row r="61" spans="1:76" hidden="1">
      <c r="A61" s="1786" t="s">
        <v>23</v>
      </c>
      <c r="B61" s="1785"/>
      <c r="C61" s="1785"/>
      <c r="D61" s="1785"/>
      <c r="E61" s="1785"/>
      <c r="F61" s="1785"/>
      <c r="G61" s="1933"/>
      <c r="BW61" s="1767">
        <v>-231</v>
      </c>
      <c r="BX61" s="1787">
        <f t="shared" si="0"/>
        <v>-231</v>
      </c>
    </row>
    <row r="62" spans="1:76" hidden="1">
      <c r="A62" s="1786" t="s">
        <v>24</v>
      </c>
      <c r="B62" s="1785"/>
      <c r="C62" s="1785"/>
      <c r="D62" s="1785"/>
      <c r="E62" s="1785"/>
      <c r="F62" s="1785"/>
      <c r="G62" s="1933"/>
      <c r="BX62" s="1787"/>
    </row>
    <row r="63" spans="1:76" hidden="1">
      <c r="A63" s="1786" t="s">
        <v>25</v>
      </c>
      <c r="B63" s="1785"/>
      <c r="C63" s="1785"/>
      <c r="D63" s="1785"/>
      <c r="E63" s="1785"/>
      <c r="F63" s="1785"/>
      <c r="G63" s="1933"/>
      <c r="BW63" s="1767">
        <f>BW9+BW47-BW49+BW60-BW61</f>
        <v>0</v>
      </c>
      <c r="BX63" s="1787">
        <f>BS63+BT63+BU63+BW63</f>
        <v>0</v>
      </c>
    </row>
    <row r="64" spans="1:76" hidden="1">
      <c r="A64" s="1786" t="s">
        <v>26</v>
      </c>
      <c r="B64" s="1785"/>
      <c r="C64" s="1785"/>
      <c r="D64" s="1785"/>
      <c r="E64" s="1785"/>
      <c r="F64" s="1785"/>
      <c r="G64" s="1933"/>
    </row>
    <row r="65" spans="1:7" hidden="1">
      <c r="A65" s="1786" t="s">
        <v>27</v>
      </c>
      <c r="B65" s="1785"/>
      <c r="C65" s="1785"/>
      <c r="D65" s="1785"/>
      <c r="E65" s="1785"/>
      <c r="F65" s="1785"/>
      <c r="G65" s="1933"/>
    </row>
    <row r="66" spans="1:7" hidden="1">
      <c r="A66" s="1786" t="s">
        <v>28</v>
      </c>
      <c r="B66" s="1785"/>
      <c r="C66" s="1785"/>
      <c r="D66" s="1785"/>
      <c r="E66" s="1785"/>
      <c r="F66" s="1785"/>
      <c r="G66" s="1933"/>
    </row>
    <row r="67" spans="1:7" hidden="1">
      <c r="A67" s="1786" t="s">
        <v>29</v>
      </c>
      <c r="B67" s="1785"/>
      <c r="C67" s="1934"/>
      <c r="D67" s="1934"/>
      <c r="E67" s="1785"/>
      <c r="F67" s="1785"/>
      <c r="G67" s="1933"/>
    </row>
    <row r="68" spans="1:7">
      <c r="A68" s="1784" t="s">
        <v>43</v>
      </c>
      <c r="B68" s="1783">
        <f>SUM(B69:B80)</f>
        <v>1295.3400000000001</v>
      </c>
      <c r="C68" s="1783">
        <f>SUM(C69:C80)</f>
        <v>722.2</v>
      </c>
      <c r="D68" s="1783">
        <f t="shared" ref="D68:D81" si="1">+C68/B68*1000</f>
        <v>557.53701730819705</v>
      </c>
      <c r="E68" s="1783">
        <f>SUM(E69:E80)</f>
        <v>326.85000000000002</v>
      </c>
      <c r="F68" s="1783">
        <f>SUM(F69:F80)</f>
        <v>149.05000000000001</v>
      </c>
      <c r="G68" s="1783">
        <f t="shared" ref="G68:G81" si="2">+F68/E68*1000</f>
        <v>456.01958084748355</v>
      </c>
    </row>
    <row r="69" spans="1:7" hidden="1">
      <c r="A69" s="1776" t="s">
        <v>18</v>
      </c>
      <c r="B69" s="1867">
        <v>82.89</v>
      </c>
      <c r="C69" s="1867">
        <v>47.7</v>
      </c>
      <c r="D69" s="1774">
        <f t="shared" si="1"/>
        <v>575.46145494028235</v>
      </c>
      <c r="E69" s="1867">
        <v>28.639999999999997</v>
      </c>
      <c r="F69" s="1867">
        <v>10.4</v>
      </c>
      <c r="G69" s="1774">
        <f t="shared" si="2"/>
        <v>363.12849162011179</v>
      </c>
    </row>
    <row r="70" spans="1:7" hidden="1">
      <c r="A70" s="1776" t="s">
        <v>19</v>
      </c>
      <c r="B70" s="1867">
        <v>79.09</v>
      </c>
      <c r="C70" s="1867">
        <v>38.6</v>
      </c>
      <c r="D70" s="1774">
        <f t="shared" si="1"/>
        <v>488.05158679984828</v>
      </c>
      <c r="E70" s="1867">
        <v>31.66</v>
      </c>
      <c r="F70" s="1867">
        <v>11.7</v>
      </c>
      <c r="G70" s="1774">
        <f t="shared" si="2"/>
        <v>369.55148452305747</v>
      </c>
    </row>
    <row r="71" spans="1:7" hidden="1">
      <c r="A71" s="1776" t="s">
        <v>20</v>
      </c>
      <c r="B71" s="1867">
        <v>86.92</v>
      </c>
      <c r="C71" s="1867">
        <v>42.9</v>
      </c>
      <c r="D71" s="1774">
        <f t="shared" si="1"/>
        <v>493.55729406350662</v>
      </c>
      <c r="E71" s="1867">
        <v>25.29</v>
      </c>
      <c r="F71" s="1867">
        <v>10.1</v>
      </c>
      <c r="G71" s="1774">
        <f t="shared" si="2"/>
        <v>399.36733886911821</v>
      </c>
    </row>
    <row r="72" spans="1:7" hidden="1">
      <c r="A72" s="1776" t="s">
        <v>21</v>
      </c>
      <c r="B72" s="1867">
        <v>100.11</v>
      </c>
      <c r="C72" s="1867">
        <v>47.5</v>
      </c>
      <c r="D72" s="1774">
        <f t="shared" si="1"/>
        <v>474.47807411846969</v>
      </c>
      <c r="E72" s="1867">
        <v>28.91</v>
      </c>
      <c r="F72" s="1867">
        <v>10.3</v>
      </c>
      <c r="G72" s="1774">
        <f t="shared" si="2"/>
        <v>356.27810446212391</v>
      </c>
    </row>
    <row r="73" spans="1:7" hidden="1">
      <c r="A73" s="1776" t="s">
        <v>22</v>
      </c>
      <c r="B73" s="1867">
        <v>97.78</v>
      </c>
      <c r="C73" s="1867">
        <v>61.4</v>
      </c>
      <c r="D73" s="1774">
        <f t="shared" si="1"/>
        <v>627.94027408467991</v>
      </c>
      <c r="E73" s="1867">
        <v>24.43</v>
      </c>
      <c r="F73" s="1867">
        <v>11.4</v>
      </c>
      <c r="G73" s="1774">
        <f t="shared" si="2"/>
        <v>466.63937781416291</v>
      </c>
    </row>
    <row r="74" spans="1:7" hidden="1">
      <c r="A74" s="1776" t="s">
        <v>23</v>
      </c>
      <c r="B74" s="1867">
        <v>115.48</v>
      </c>
      <c r="C74" s="1867">
        <v>66.5</v>
      </c>
      <c r="D74" s="1774">
        <f t="shared" si="1"/>
        <v>575.85729130585389</v>
      </c>
      <c r="E74" s="1867">
        <v>27.279999999999998</v>
      </c>
      <c r="F74" s="1867">
        <v>10.8</v>
      </c>
      <c r="G74" s="1774">
        <f t="shared" si="2"/>
        <v>395.89442815249271</v>
      </c>
    </row>
    <row r="75" spans="1:7" hidden="1">
      <c r="A75" s="1776" t="s">
        <v>24</v>
      </c>
      <c r="B75" s="1867">
        <v>128.52000000000001</v>
      </c>
      <c r="C75" s="1867">
        <v>70.3</v>
      </c>
      <c r="D75" s="1774">
        <f t="shared" si="1"/>
        <v>546.99657640834107</v>
      </c>
      <c r="E75" s="1867">
        <v>28.93</v>
      </c>
      <c r="F75" s="1867">
        <v>12.02</v>
      </c>
      <c r="G75" s="1774">
        <f t="shared" si="2"/>
        <v>415.48565502938123</v>
      </c>
    </row>
    <row r="76" spans="1:7" hidden="1">
      <c r="A76" s="1776" t="s">
        <v>25</v>
      </c>
      <c r="B76" s="1867">
        <v>126.50999999999999</v>
      </c>
      <c r="C76" s="1867">
        <v>66.599999999999994</v>
      </c>
      <c r="D76" s="1774">
        <f t="shared" si="1"/>
        <v>526.44059758121887</v>
      </c>
      <c r="E76" s="1867">
        <v>29.16</v>
      </c>
      <c r="F76" s="1867">
        <v>11.3</v>
      </c>
      <c r="G76" s="1774">
        <f t="shared" si="2"/>
        <v>387.51714677640609</v>
      </c>
    </row>
    <row r="77" spans="1:7" hidden="1">
      <c r="A77" s="1776" t="s">
        <v>26</v>
      </c>
      <c r="B77" s="1867">
        <v>127.57</v>
      </c>
      <c r="C77" s="1867">
        <v>71.2</v>
      </c>
      <c r="D77" s="1774">
        <f t="shared" si="1"/>
        <v>558.12495100729018</v>
      </c>
      <c r="E77" s="1867">
        <v>23.81</v>
      </c>
      <c r="F77" s="1867">
        <v>13.04</v>
      </c>
      <c r="G77" s="1774">
        <f t="shared" si="2"/>
        <v>547.66904661906756</v>
      </c>
    </row>
    <row r="78" spans="1:7" hidden="1">
      <c r="A78" s="1776" t="s">
        <v>27</v>
      </c>
      <c r="B78" s="1867">
        <v>121.75</v>
      </c>
      <c r="C78" s="1867">
        <v>74.599999999999994</v>
      </c>
      <c r="D78" s="1774">
        <f t="shared" si="1"/>
        <v>612.73100616016416</v>
      </c>
      <c r="E78" s="1867">
        <v>25.02</v>
      </c>
      <c r="F78" s="1867">
        <v>13.1</v>
      </c>
      <c r="G78" s="1774">
        <f t="shared" si="2"/>
        <v>523.58113509192651</v>
      </c>
    </row>
    <row r="79" spans="1:7" hidden="1">
      <c r="A79" s="1776" t="s">
        <v>28</v>
      </c>
      <c r="B79" s="1867">
        <v>101.76</v>
      </c>
      <c r="C79" s="1867">
        <v>61.6</v>
      </c>
      <c r="D79" s="1774">
        <f t="shared" si="1"/>
        <v>605.34591194968561</v>
      </c>
      <c r="E79" s="1867">
        <v>23.169999999999998</v>
      </c>
      <c r="F79" s="1867">
        <v>12.09</v>
      </c>
      <c r="G79" s="1774">
        <f t="shared" si="2"/>
        <v>521.79542511868806</v>
      </c>
    </row>
    <row r="80" spans="1:7" hidden="1">
      <c r="A80" s="1776" t="s">
        <v>29</v>
      </c>
      <c r="B80" s="1867">
        <v>126.96000000000001</v>
      </c>
      <c r="C80" s="1867">
        <v>73.3</v>
      </c>
      <c r="D80" s="1774">
        <f t="shared" si="1"/>
        <v>577.34719596723369</v>
      </c>
      <c r="E80" s="1867">
        <v>30.55</v>
      </c>
      <c r="F80" s="1867">
        <v>22.8</v>
      </c>
      <c r="G80" s="1774">
        <f t="shared" si="2"/>
        <v>746.31751227495909</v>
      </c>
    </row>
    <row r="81" spans="1:7">
      <c r="A81" s="1776" t="s">
        <v>48</v>
      </c>
      <c r="B81" s="1779">
        <f>SUM(B82:B93)</f>
        <v>1627.9299999999998</v>
      </c>
      <c r="C81" s="1779">
        <f>SUM(C82:C93)</f>
        <v>876.9</v>
      </c>
      <c r="D81" s="1779">
        <f t="shared" si="1"/>
        <v>538.65952467243687</v>
      </c>
      <c r="E81" s="1779">
        <f>SUM(E82:E93)</f>
        <v>447.85</v>
      </c>
      <c r="F81" s="1779">
        <f>SUM(F82:F93)</f>
        <v>306.60000000000002</v>
      </c>
      <c r="G81" s="1779">
        <f t="shared" si="2"/>
        <v>684.60422016300106</v>
      </c>
    </row>
    <row r="82" spans="1:7" hidden="1">
      <c r="A82" s="1776" t="s">
        <v>1030</v>
      </c>
      <c r="B82" s="1932">
        <v>91.429999999999993</v>
      </c>
      <c r="C82" s="1932">
        <v>54</v>
      </c>
      <c r="D82" s="1777">
        <v>590.61577162856838</v>
      </c>
      <c r="E82" s="1932">
        <v>20.349999999999998</v>
      </c>
      <c r="F82" s="1932">
        <v>18.3</v>
      </c>
      <c r="G82" s="1777">
        <v>899.2628992628994</v>
      </c>
    </row>
    <row r="83" spans="1:7" hidden="1">
      <c r="A83" s="1776" t="s">
        <v>311</v>
      </c>
      <c r="B83" s="1932">
        <v>89</v>
      </c>
      <c r="C83" s="1932">
        <v>45</v>
      </c>
      <c r="D83" s="1777">
        <v>505.61797752808991</v>
      </c>
      <c r="E83" s="1932">
        <v>22</v>
      </c>
      <c r="F83" s="1932">
        <v>14</v>
      </c>
      <c r="G83" s="1777">
        <v>636.36363636363637</v>
      </c>
    </row>
    <row r="84" spans="1:7" hidden="1">
      <c r="A84" s="1776" t="s">
        <v>310</v>
      </c>
      <c r="B84" s="1777">
        <v>124</v>
      </c>
      <c r="C84" s="1777">
        <v>62.4</v>
      </c>
      <c r="D84" s="1777">
        <v>503.22580645161287</v>
      </c>
      <c r="E84" s="1777">
        <v>26</v>
      </c>
      <c r="F84" s="1777">
        <v>19.600000000000001</v>
      </c>
      <c r="G84" s="1777">
        <v>753.84615384615392</v>
      </c>
    </row>
    <row r="85" spans="1:7" hidden="1">
      <c r="A85" s="1776" t="s">
        <v>1031</v>
      </c>
      <c r="B85" s="1777">
        <v>134</v>
      </c>
      <c r="C85" s="1932">
        <v>66</v>
      </c>
      <c r="D85" s="1777">
        <v>492.53731343283579</v>
      </c>
      <c r="E85" s="1777">
        <v>29</v>
      </c>
      <c r="F85" s="1932">
        <v>18</v>
      </c>
      <c r="G85" s="1777">
        <v>620.68965517241384</v>
      </c>
    </row>
    <row r="86" spans="1:7" hidden="1">
      <c r="A86" s="1776" t="s">
        <v>309</v>
      </c>
      <c r="B86" s="1777">
        <v>125</v>
      </c>
      <c r="C86" s="1932">
        <v>63.5</v>
      </c>
      <c r="D86" s="1777">
        <v>508</v>
      </c>
      <c r="E86" s="1777">
        <v>31</v>
      </c>
      <c r="F86" s="1932">
        <v>19</v>
      </c>
      <c r="G86" s="1777">
        <v>612.90322580645159</v>
      </c>
    </row>
    <row r="87" spans="1:7" hidden="1">
      <c r="A87" s="1776" t="s">
        <v>1032</v>
      </c>
      <c r="B87" s="1777">
        <v>142</v>
      </c>
      <c r="C87" s="1932">
        <v>76</v>
      </c>
      <c r="D87" s="1777">
        <v>535.21126760563379</v>
      </c>
      <c r="E87" s="1777">
        <v>36</v>
      </c>
      <c r="F87" s="1932">
        <v>21.7</v>
      </c>
      <c r="G87" s="1777">
        <v>602.77777777777771</v>
      </c>
    </row>
    <row r="88" spans="1:7" hidden="1">
      <c r="A88" s="1776" t="s">
        <v>307</v>
      </c>
      <c r="B88" s="1777">
        <v>144.4</v>
      </c>
      <c r="C88" s="1932">
        <v>82.2</v>
      </c>
      <c r="D88" s="1777">
        <v>569.25207756232692</v>
      </c>
      <c r="E88" s="1777">
        <v>48.5</v>
      </c>
      <c r="F88" s="1932">
        <v>23</v>
      </c>
      <c r="G88" s="1777">
        <v>474.2268041237113</v>
      </c>
    </row>
    <row r="89" spans="1:7" hidden="1">
      <c r="A89" s="1776" t="s">
        <v>308</v>
      </c>
      <c r="B89" s="1777">
        <v>173</v>
      </c>
      <c r="C89" s="1932">
        <v>84.3</v>
      </c>
      <c r="D89" s="1777">
        <v>487.28323699421964</v>
      </c>
      <c r="E89" s="1777">
        <v>54</v>
      </c>
      <c r="F89" s="1932">
        <v>29.8</v>
      </c>
      <c r="G89" s="1777">
        <v>551.85185185185185</v>
      </c>
    </row>
    <row r="90" spans="1:7" hidden="1">
      <c r="A90" s="1776" t="s">
        <v>306</v>
      </c>
      <c r="B90" s="1777">
        <v>163</v>
      </c>
      <c r="C90" s="1932">
        <v>86.5</v>
      </c>
      <c r="D90" s="1777">
        <v>530.67484662576692</v>
      </c>
      <c r="E90" s="1777">
        <v>49</v>
      </c>
      <c r="F90" s="1932">
        <v>26.7</v>
      </c>
      <c r="G90" s="1777">
        <v>544.89795918367349</v>
      </c>
    </row>
    <row r="91" spans="1:7" hidden="1">
      <c r="A91" s="1776" t="s">
        <v>27</v>
      </c>
      <c r="B91" s="1777">
        <v>146.1</v>
      </c>
      <c r="C91" s="1932">
        <v>86.9</v>
      </c>
      <c r="D91" s="1777">
        <v>594.7980835044491</v>
      </c>
      <c r="E91" s="1777">
        <v>40</v>
      </c>
      <c r="F91" s="1932">
        <v>32.5</v>
      </c>
      <c r="G91" s="1777">
        <v>812.5</v>
      </c>
    </row>
    <row r="92" spans="1:7" hidden="1">
      <c r="A92" s="1776" t="s">
        <v>28</v>
      </c>
      <c r="B92" s="1777">
        <v>143</v>
      </c>
      <c r="C92" s="1932">
        <v>81.099999999999994</v>
      </c>
      <c r="D92" s="1777">
        <v>567.13286713286709</v>
      </c>
      <c r="E92" s="1777">
        <v>46</v>
      </c>
      <c r="F92" s="1932">
        <v>41.4</v>
      </c>
      <c r="G92" s="1777">
        <v>900</v>
      </c>
    </row>
    <row r="93" spans="1:7" hidden="1">
      <c r="A93" s="1776" t="s">
        <v>29</v>
      </c>
      <c r="B93" s="1777">
        <v>153</v>
      </c>
      <c r="C93" s="1932">
        <v>89</v>
      </c>
      <c r="D93" s="1777">
        <v>581.69934640522877</v>
      </c>
      <c r="E93" s="1777">
        <v>46</v>
      </c>
      <c r="F93" s="1932">
        <v>42.6</v>
      </c>
      <c r="G93" s="1777">
        <v>926.08695652173913</v>
      </c>
    </row>
    <row r="94" spans="1:7">
      <c r="A94" s="1776" t="s">
        <v>1045</v>
      </c>
      <c r="B94" s="1779">
        <f>SUM(B95:B106)</f>
        <v>1834.67</v>
      </c>
      <c r="C94" s="1779">
        <f>SUM(C95:C106)</f>
        <v>1046.1599999999999</v>
      </c>
      <c r="D94" s="1779">
        <f>+C94/B94*1000</f>
        <v>570.2169872511131</v>
      </c>
      <c r="E94" s="1779">
        <f>SUM(E95:E106)</f>
        <v>464.8</v>
      </c>
      <c r="F94" s="1779">
        <f>SUM(F95:F106)</f>
        <v>416.428</v>
      </c>
      <c r="G94" s="1779">
        <f>+F94/E94*1000</f>
        <v>895.92943201376931</v>
      </c>
    </row>
    <row r="95" spans="1:7" hidden="1">
      <c r="A95" s="1776" t="s">
        <v>18</v>
      </c>
      <c r="B95" s="1777">
        <v>111</v>
      </c>
      <c r="C95" s="1932">
        <v>72.8</v>
      </c>
      <c r="D95" s="1777">
        <v>655.85585585585579</v>
      </c>
      <c r="E95" s="1777">
        <v>29</v>
      </c>
      <c r="F95" s="1932">
        <v>24.6</v>
      </c>
      <c r="G95" s="1777">
        <v>848.27586206896558</v>
      </c>
    </row>
    <row r="96" spans="1:7" hidden="1">
      <c r="A96" s="1776" t="s">
        <v>19</v>
      </c>
      <c r="B96" s="1777">
        <v>111</v>
      </c>
      <c r="C96" s="1932">
        <v>62</v>
      </c>
      <c r="D96" s="1777">
        <v>558.5585585585585</v>
      </c>
      <c r="E96" s="1777">
        <v>28.1</v>
      </c>
      <c r="F96" s="1932">
        <v>27.1</v>
      </c>
      <c r="G96" s="1777">
        <v>964.41281138790032</v>
      </c>
    </row>
    <row r="97" spans="1:7" hidden="1">
      <c r="A97" s="1776" t="s">
        <v>20</v>
      </c>
      <c r="B97" s="1777">
        <v>136</v>
      </c>
      <c r="C97" s="1932">
        <v>70.2</v>
      </c>
      <c r="D97" s="1777">
        <v>516.17647058823536</v>
      </c>
      <c r="E97" s="1777">
        <v>32.9</v>
      </c>
      <c r="F97" s="1932">
        <v>29.1</v>
      </c>
      <c r="G97" s="1777">
        <v>884.49848024316111</v>
      </c>
    </row>
    <row r="98" spans="1:7" hidden="1">
      <c r="A98" s="1776" t="s">
        <v>21</v>
      </c>
      <c r="B98" s="1777">
        <v>146</v>
      </c>
      <c r="C98" s="1932">
        <v>77.900000000000006</v>
      </c>
      <c r="D98" s="1777">
        <v>533.56164383561645</v>
      </c>
      <c r="E98" s="1777">
        <v>36</v>
      </c>
      <c r="F98" s="1932">
        <v>32.799999999999997</v>
      </c>
      <c r="G98" s="1777">
        <v>911.11111111111097</v>
      </c>
    </row>
    <row r="99" spans="1:7" hidden="1">
      <c r="A99" s="1776" t="s">
        <v>22</v>
      </c>
      <c r="B99" s="1777">
        <v>174</v>
      </c>
      <c r="C99" s="1932">
        <v>84.8</v>
      </c>
      <c r="D99" s="1777">
        <v>487.35632183908046</v>
      </c>
      <c r="E99" s="1777">
        <v>32.200000000000003</v>
      </c>
      <c r="F99" s="1932">
        <v>31.3</v>
      </c>
      <c r="G99" s="1777">
        <v>972.04968944099369</v>
      </c>
    </row>
    <row r="100" spans="1:7" hidden="1">
      <c r="A100" s="1776" t="s">
        <v>23</v>
      </c>
      <c r="B100" s="1777">
        <v>172.77</v>
      </c>
      <c r="C100" s="1932">
        <v>98.36</v>
      </c>
      <c r="D100" s="1777">
        <v>569.31180181744514</v>
      </c>
      <c r="E100" s="1777">
        <v>35.9</v>
      </c>
      <c r="F100" s="1932">
        <v>30.128</v>
      </c>
      <c r="G100" s="1777">
        <v>839.2200557103065</v>
      </c>
    </row>
    <row r="101" spans="1:7" hidden="1">
      <c r="A101" s="1776" t="s">
        <v>24</v>
      </c>
      <c r="B101" s="1777">
        <v>185</v>
      </c>
      <c r="C101" s="1932">
        <v>103</v>
      </c>
      <c r="D101" s="1777">
        <v>556.75675675675677</v>
      </c>
      <c r="E101" s="1777">
        <v>37</v>
      </c>
      <c r="F101" s="1932">
        <v>32.1</v>
      </c>
      <c r="G101" s="1777">
        <v>867.56756756756761</v>
      </c>
    </row>
    <row r="102" spans="1:7" hidden="1">
      <c r="A102" s="1776" t="s">
        <v>25</v>
      </c>
      <c r="B102" s="1777">
        <v>159</v>
      </c>
      <c r="C102" s="1932">
        <v>94</v>
      </c>
      <c r="D102" s="1777">
        <v>591.19496855345915</v>
      </c>
      <c r="E102" s="1777">
        <v>47.2</v>
      </c>
      <c r="F102" s="1932">
        <v>34.299999999999997</v>
      </c>
      <c r="G102" s="1777">
        <v>726.69491525423723</v>
      </c>
    </row>
    <row r="103" spans="1:7" hidden="1">
      <c r="A103" s="1776" t="s">
        <v>26</v>
      </c>
      <c r="B103" s="1777">
        <v>179.9</v>
      </c>
      <c r="C103" s="1932">
        <v>102.4</v>
      </c>
      <c r="D103" s="1777">
        <v>569.20511395219569</v>
      </c>
      <c r="E103" s="1777">
        <v>41.5</v>
      </c>
      <c r="F103" s="1932">
        <v>35</v>
      </c>
      <c r="G103" s="1777">
        <v>843.37349397590367</v>
      </c>
    </row>
    <row r="104" spans="1:7" hidden="1">
      <c r="A104" s="1776" t="s">
        <v>27</v>
      </c>
      <c r="B104" s="1777">
        <v>155</v>
      </c>
      <c r="C104" s="1932">
        <v>96.1</v>
      </c>
      <c r="D104" s="1777">
        <v>620</v>
      </c>
      <c r="E104" s="1777">
        <v>45</v>
      </c>
      <c r="F104" s="1932">
        <v>45.7</v>
      </c>
      <c r="G104" s="1777">
        <v>1015.5555555555555</v>
      </c>
    </row>
    <row r="105" spans="1:7" hidden="1">
      <c r="A105" s="1776" t="s">
        <v>28</v>
      </c>
      <c r="B105" s="1777">
        <v>147</v>
      </c>
      <c r="C105" s="1932">
        <v>95.8</v>
      </c>
      <c r="D105" s="1777">
        <v>651.7006802721088</v>
      </c>
      <c r="E105" s="1777">
        <v>45</v>
      </c>
      <c r="F105" s="1932">
        <v>41.7</v>
      </c>
      <c r="G105" s="1777">
        <v>926.66666666666674</v>
      </c>
    </row>
    <row r="106" spans="1:7" hidden="1">
      <c r="A106" s="1776" t="s">
        <v>29</v>
      </c>
      <c r="B106" s="1777">
        <v>158</v>
      </c>
      <c r="C106" s="1932">
        <v>88.8</v>
      </c>
      <c r="D106" s="1777">
        <v>562.02531645569616</v>
      </c>
      <c r="E106" s="1777">
        <v>55</v>
      </c>
      <c r="F106" s="1932">
        <v>52.6</v>
      </c>
      <c r="G106" s="1777">
        <v>956.36363636363637</v>
      </c>
    </row>
    <row r="107" spans="1:7">
      <c r="A107" s="1776" t="s">
        <v>1327</v>
      </c>
      <c r="B107" s="1779">
        <f>SUM(B108:B119)</f>
        <v>2082.34</v>
      </c>
      <c r="C107" s="1779">
        <f>SUM(C108:C119)</f>
        <v>1245.8020000000001</v>
      </c>
      <c r="D107" s="1779">
        <f>+C107/B107*1000</f>
        <v>598.27021523862572</v>
      </c>
      <c r="E107" s="1779">
        <f>SUM(E108:E119)</f>
        <v>695.59999999999991</v>
      </c>
      <c r="F107" s="1779">
        <f>SUM(F108:F119)</f>
        <v>542.51499999999999</v>
      </c>
      <c r="G107" s="1779">
        <f>+F107/E107*1000</f>
        <v>779.92380678550899</v>
      </c>
    </row>
    <row r="108" spans="1:7" hidden="1">
      <c r="A108" s="1776" t="s">
        <v>18</v>
      </c>
      <c r="B108" s="1774">
        <v>113</v>
      </c>
      <c r="C108" s="1867">
        <v>67.2</v>
      </c>
      <c r="D108" s="1774">
        <v>594.69026548672571</v>
      </c>
      <c r="E108" s="1774">
        <v>44</v>
      </c>
      <c r="F108" s="1867">
        <v>38.6</v>
      </c>
      <c r="G108" s="1774">
        <v>877.27272727272737</v>
      </c>
    </row>
    <row r="109" spans="1:7" hidden="1">
      <c r="A109" s="1776" t="s">
        <v>19</v>
      </c>
      <c r="B109" s="1774">
        <v>123.09</v>
      </c>
      <c r="C109" s="1867">
        <v>84.197999999999993</v>
      </c>
      <c r="D109" s="1774">
        <v>684.03607116743831</v>
      </c>
      <c r="E109" s="1774">
        <v>48.13</v>
      </c>
      <c r="F109" s="1867">
        <v>45.182000000000002</v>
      </c>
      <c r="G109" s="1774">
        <v>938.74922086017034</v>
      </c>
    </row>
    <row r="110" spans="1:7" hidden="1">
      <c r="A110" s="1776" t="s">
        <v>20</v>
      </c>
      <c r="B110" s="1774">
        <v>143.69999999999999</v>
      </c>
      <c r="C110" s="1867">
        <v>81</v>
      </c>
      <c r="D110" s="1774">
        <v>563.67432150313152</v>
      </c>
      <c r="E110" s="1774">
        <v>49.6</v>
      </c>
      <c r="F110" s="1867">
        <v>38.700000000000003</v>
      </c>
      <c r="G110" s="1774">
        <v>780.24193548387098</v>
      </c>
    </row>
    <row r="111" spans="1:7" hidden="1">
      <c r="A111" s="1776" t="s">
        <v>21</v>
      </c>
      <c r="B111" s="1774">
        <v>154</v>
      </c>
      <c r="C111" s="1867">
        <v>86.751999999999995</v>
      </c>
      <c r="D111" s="1774">
        <v>563.32467532467535</v>
      </c>
      <c r="E111" s="1774">
        <v>51.61</v>
      </c>
      <c r="F111" s="1867">
        <v>40.075000000000003</v>
      </c>
      <c r="G111" s="1774">
        <v>776.49680294516577</v>
      </c>
    </row>
    <row r="112" spans="1:7" hidden="1">
      <c r="A112" s="1776" t="s">
        <v>22</v>
      </c>
      <c r="B112" s="1774">
        <v>171.6</v>
      </c>
      <c r="C112" s="1867">
        <v>98.64</v>
      </c>
      <c r="D112" s="1774">
        <v>574.82517482517483</v>
      </c>
      <c r="E112" s="1774">
        <v>56.32</v>
      </c>
      <c r="F112" s="1867">
        <v>54.935000000000002</v>
      </c>
      <c r="G112" s="1774">
        <v>975.40838068181824</v>
      </c>
    </row>
    <row r="113" spans="1:7" hidden="1">
      <c r="A113" s="1776" t="s">
        <v>23</v>
      </c>
      <c r="B113" s="1774">
        <v>166.82</v>
      </c>
      <c r="C113" s="1867">
        <v>100.2</v>
      </c>
      <c r="D113" s="1774">
        <v>600.64740438796321</v>
      </c>
      <c r="E113" s="1774">
        <v>51.16</v>
      </c>
      <c r="F113" s="1867">
        <v>49.228999999999999</v>
      </c>
      <c r="G113" s="1774">
        <v>962.25566849100858</v>
      </c>
    </row>
    <row r="114" spans="1:7" hidden="1">
      <c r="A114" s="1776" t="s">
        <v>24</v>
      </c>
      <c r="B114" s="1774">
        <v>189.5</v>
      </c>
      <c r="C114" s="1867">
        <v>101.5</v>
      </c>
      <c r="D114" s="1774">
        <v>535.62005277044852</v>
      </c>
      <c r="E114" s="1774">
        <v>55.6</v>
      </c>
      <c r="F114" s="1867">
        <v>53.8</v>
      </c>
      <c r="G114" s="1774">
        <v>967.62589928057548</v>
      </c>
    </row>
    <row r="115" spans="1:7" hidden="1">
      <c r="A115" s="1776" t="s">
        <v>25</v>
      </c>
      <c r="B115" s="1774">
        <v>206.3</v>
      </c>
      <c r="C115" s="1867">
        <v>126.95399999999999</v>
      </c>
      <c r="D115" s="1774">
        <v>615.38536112457575</v>
      </c>
      <c r="E115" s="1774">
        <v>44.26</v>
      </c>
      <c r="F115" s="1867">
        <v>41.171999999999997</v>
      </c>
      <c r="G115" s="1774">
        <v>930.23045639403529</v>
      </c>
    </row>
    <row r="116" spans="1:7" hidden="1">
      <c r="A116" s="1776" t="s">
        <v>26</v>
      </c>
      <c r="B116" s="1774">
        <v>196.85</v>
      </c>
      <c r="C116" s="1867">
        <v>121.125</v>
      </c>
      <c r="D116" s="1774">
        <v>615.31623063246127</v>
      </c>
      <c r="E116" s="1774">
        <v>63.17</v>
      </c>
      <c r="F116" s="1867">
        <v>40.692999999999998</v>
      </c>
      <c r="G116" s="1774">
        <v>644.18236504669937</v>
      </c>
    </row>
    <row r="117" spans="1:7" hidden="1">
      <c r="A117" s="1776" t="s">
        <v>27</v>
      </c>
      <c r="B117" s="1774">
        <v>219.14</v>
      </c>
      <c r="C117" s="1867">
        <v>129.4</v>
      </c>
      <c r="D117" s="1774">
        <v>590.49009765446749</v>
      </c>
      <c r="E117" s="1774">
        <v>71</v>
      </c>
      <c r="F117" s="1867">
        <v>48.585999999999999</v>
      </c>
      <c r="G117" s="1774">
        <v>684.30985915492954</v>
      </c>
    </row>
    <row r="118" spans="1:7" hidden="1">
      <c r="A118" s="1776" t="s">
        <v>28</v>
      </c>
      <c r="B118" s="1774">
        <v>197.81</v>
      </c>
      <c r="C118" s="1867">
        <v>124.43300000000001</v>
      </c>
      <c r="D118" s="1774">
        <v>629.05313179313487</v>
      </c>
      <c r="E118" s="1774">
        <v>76.430000000000007</v>
      </c>
      <c r="F118" s="1867">
        <v>41.177999999999997</v>
      </c>
      <c r="G118" s="1774">
        <v>538.76749967290323</v>
      </c>
    </row>
    <row r="119" spans="1:7" hidden="1">
      <c r="A119" s="1776" t="s">
        <v>29</v>
      </c>
      <c r="B119" s="1774">
        <v>200.53</v>
      </c>
      <c r="C119" s="1867">
        <v>124.4</v>
      </c>
      <c r="D119" s="1774">
        <v>620.35605645040653</v>
      </c>
      <c r="E119" s="1774">
        <v>84.32</v>
      </c>
      <c r="F119" s="1867">
        <v>50.365000000000002</v>
      </c>
      <c r="G119" s="1774">
        <v>597.30787476280841</v>
      </c>
    </row>
    <row r="120" spans="1:7">
      <c r="A120" s="1776">
        <v>2013</v>
      </c>
      <c r="B120" s="1779">
        <f>SUM(B121:B132)</f>
        <v>2526.13</v>
      </c>
      <c r="C120" s="1779">
        <f>SUM(C121:C132)</f>
        <v>1565.5319999999999</v>
      </c>
      <c r="D120" s="1779">
        <f>+C120/B120*1000</f>
        <v>619.73532636879338</v>
      </c>
      <c r="E120" s="1779">
        <f>SUM(E121:E132)</f>
        <v>985.85099999999989</v>
      </c>
      <c r="F120" s="1779">
        <f>SUM(F121:F132)</f>
        <v>779.57799999999997</v>
      </c>
      <c r="G120" s="1779">
        <f>+F120/E120*1000</f>
        <v>790.76655600085621</v>
      </c>
    </row>
    <row r="121" spans="1:7" hidden="1">
      <c r="A121" s="1776">
        <v>1</v>
      </c>
      <c r="B121" s="1774">
        <v>156.279</v>
      </c>
      <c r="C121" s="1867">
        <v>89.822000000000003</v>
      </c>
      <c r="D121" s="1774">
        <v>574.75412563428233</v>
      </c>
      <c r="E121" s="1774">
        <v>65.950999999999993</v>
      </c>
      <c r="F121" s="1867">
        <v>38.4</v>
      </c>
      <c r="G121" s="1774">
        <v>582.25045867386393</v>
      </c>
    </row>
    <row r="122" spans="1:7" hidden="1">
      <c r="A122" s="1776">
        <v>2</v>
      </c>
      <c r="B122" s="1774">
        <v>164.3</v>
      </c>
      <c r="C122" s="1867">
        <v>93.7</v>
      </c>
      <c r="D122" s="1774">
        <v>570.2982349360924</v>
      </c>
      <c r="E122" s="1774">
        <v>73.8</v>
      </c>
      <c r="F122" s="1867">
        <v>44.1</v>
      </c>
      <c r="G122" s="1774">
        <v>597.56097560975616</v>
      </c>
    </row>
    <row r="123" spans="1:7" hidden="1">
      <c r="A123" s="1776">
        <v>3</v>
      </c>
      <c r="B123" s="1774">
        <v>176.709</v>
      </c>
      <c r="C123" s="1867">
        <v>94.1</v>
      </c>
      <c r="D123" s="1774">
        <v>532.51390704491564</v>
      </c>
      <c r="E123" s="1774">
        <v>73.099999999999994</v>
      </c>
      <c r="F123" s="1867">
        <v>43.4</v>
      </c>
      <c r="G123" s="1774">
        <v>593.70725034199734</v>
      </c>
    </row>
    <row r="124" spans="1:7" hidden="1">
      <c r="A124" s="1776">
        <v>4</v>
      </c>
      <c r="B124" s="1774">
        <v>209.9</v>
      </c>
      <c r="C124" s="1867">
        <v>121.9</v>
      </c>
      <c r="D124" s="1774">
        <v>580.75273939971419</v>
      </c>
      <c r="E124" s="1774">
        <v>87.7</v>
      </c>
      <c r="F124" s="1867">
        <v>60.878</v>
      </c>
      <c r="G124" s="1774">
        <v>694.16191562143672</v>
      </c>
    </row>
    <row r="125" spans="1:7" hidden="1">
      <c r="A125" s="1776">
        <v>5</v>
      </c>
      <c r="B125" s="1774">
        <v>215.24199999999999</v>
      </c>
      <c r="C125" s="1867">
        <v>133.29499999999999</v>
      </c>
      <c r="D125" s="1774">
        <v>619.27969448341867</v>
      </c>
      <c r="E125" s="1774">
        <v>88.1</v>
      </c>
      <c r="F125" s="1867">
        <v>60.7</v>
      </c>
      <c r="G125" s="1774">
        <v>688.98978433598188</v>
      </c>
    </row>
    <row r="126" spans="1:7" hidden="1">
      <c r="A126" s="1776">
        <v>6</v>
      </c>
      <c r="B126" s="1774">
        <v>217.3</v>
      </c>
      <c r="C126" s="1867">
        <v>131.30000000000001</v>
      </c>
      <c r="D126" s="1774">
        <v>604.23377818683855</v>
      </c>
      <c r="E126" s="1774">
        <v>74.7</v>
      </c>
      <c r="F126" s="1867">
        <v>62.3</v>
      </c>
      <c r="G126" s="1774">
        <v>834.00267737617128</v>
      </c>
    </row>
    <row r="127" spans="1:7" hidden="1">
      <c r="A127" s="1776">
        <v>7</v>
      </c>
      <c r="B127" s="1774">
        <v>245.5</v>
      </c>
      <c r="C127" s="1867">
        <v>162.25700000000001</v>
      </c>
      <c r="D127" s="1774">
        <v>660.92464358452139</v>
      </c>
      <c r="E127" s="1774">
        <v>81</v>
      </c>
      <c r="F127" s="1867">
        <v>76.5</v>
      </c>
      <c r="G127" s="1774">
        <v>944.44444444444446</v>
      </c>
    </row>
    <row r="128" spans="1:7" hidden="1">
      <c r="A128" s="1776">
        <v>8</v>
      </c>
      <c r="B128" s="1774">
        <v>237</v>
      </c>
      <c r="C128" s="1867">
        <v>148.4</v>
      </c>
      <c r="D128" s="1774">
        <v>626.16033755274259</v>
      </c>
      <c r="E128" s="1774">
        <v>74</v>
      </c>
      <c r="F128" s="1867">
        <v>84</v>
      </c>
      <c r="G128" s="1774">
        <v>1135.135135135135</v>
      </c>
    </row>
    <row r="129" spans="1:7" hidden="1">
      <c r="A129" s="1776">
        <v>9</v>
      </c>
      <c r="B129" s="1774">
        <v>234.1</v>
      </c>
      <c r="C129" s="1867">
        <v>145.6</v>
      </c>
      <c r="D129" s="1774">
        <v>621.95642887654844</v>
      </c>
      <c r="E129" s="1774">
        <v>83.3</v>
      </c>
      <c r="F129" s="1867">
        <v>69.8</v>
      </c>
      <c r="G129" s="1774">
        <v>837.93517406962781</v>
      </c>
    </row>
    <row r="130" spans="1:7" hidden="1">
      <c r="A130" s="1776">
        <v>10</v>
      </c>
      <c r="B130" s="1774">
        <v>236.9</v>
      </c>
      <c r="C130" s="1867">
        <v>155.9</v>
      </c>
      <c r="D130" s="1774">
        <v>658.0835795694386</v>
      </c>
      <c r="E130" s="1774">
        <v>94.8</v>
      </c>
      <c r="F130" s="1867">
        <v>86.9</v>
      </c>
      <c r="G130" s="1774">
        <v>916.66666666666674</v>
      </c>
    </row>
    <row r="131" spans="1:7" hidden="1">
      <c r="A131" s="1776">
        <v>11</v>
      </c>
      <c r="B131" s="1774">
        <v>214.9</v>
      </c>
      <c r="C131" s="1867">
        <v>148.15799999999999</v>
      </c>
      <c r="D131" s="1774">
        <v>689.42764076314552</v>
      </c>
      <c r="E131" s="1774">
        <v>88.2</v>
      </c>
      <c r="F131" s="1867">
        <v>72.2</v>
      </c>
      <c r="G131" s="1774">
        <v>818.59410430839011</v>
      </c>
    </row>
    <row r="132" spans="1:7" hidden="1">
      <c r="A132" s="1776">
        <v>12</v>
      </c>
      <c r="B132" s="1774">
        <v>218</v>
      </c>
      <c r="C132" s="1867">
        <v>141.1</v>
      </c>
      <c r="D132" s="1774">
        <v>647.24770642201838</v>
      </c>
      <c r="E132" s="1774">
        <v>101.2</v>
      </c>
      <c r="F132" s="1867">
        <v>80.400000000000006</v>
      </c>
      <c r="G132" s="1774">
        <v>794.46640316205537</v>
      </c>
    </row>
    <row r="133" spans="1:7">
      <c r="A133" s="1776">
        <v>2014</v>
      </c>
      <c r="B133" s="1779">
        <f>SUM(B134:B145)</f>
        <v>2626.8220000000001</v>
      </c>
      <c r="C133" s="1779">
        <f>SUM(C134:C145)</f>
        <v>1634.1690000000001</v>
      </c>
      <c r="D133" s="1779">
        <f>+C133/B133*1000</f>
        <v>622.10876869464312</v>
      </c>
      <c r="E133" s="1779">
        <f>SUM(E134:E145)</f>
        <v>1306.9160000000002</v>
      </c>
      <c r="F133" s="1779">
        <f>SUM(F134:F145)</f>
        <v>979.65899999999988</v>
      </c>
      <c r="G133" s="1779">
        <f>+F133/E133*1000</f>
        <v>749.59599545800938</v>
      </c>
    </row>
    <row r="134" spans="1:7" hidden="1">
      <c r="A134" s="1776">
        <v>1</v>
      </c>
      <c r="B134" s="1774">
        <v>194.4</v>
      </c>
      <c r="C134" s="1867">
        <v>122</v>
      </c>
      <c r="D134" s="1774">
        <v>627.57201646090527</v>
      </c>
      <c r="E134" s="1774">
        <v>78.239999999999995</v>
      </c>
      <c r="F134" s="1867">
        <v>64.099999999999994</v>
      </c>
      <c r="G134" s="1774">
        <v>819.27402862985684</v>
      </c>
    </row>
    <row r="135" spans="1:7" hidden="1">
      <c r="A135" s="1776">
        <v>2</v>
      </c>
      <c r="B135" s="1774">
        <v>189.1</v>
      </c>
      <c r="C135" s="1867">
        <v>108.5</v>
      </c>
      <c r="D135" s="1774">
        <v>573.77049180327867</v>
      </c>
      <c r="E135" s="1774">
        <v>101.6</v>
      </c>
      <c r="F135" s="1867">
        <v>100.8</v>
      </c>
      <c r="G135" s="1774">
        <v>992.12598425196848</v>
      </c>
    </row>
    <row r="136" spans="1:7" hidden="1">
      <c r="A136" s="1776">
        <v>3</v>
      </c>
      <c r="B136" s="1774">
        <v>199.7</v>
      </c>
      <c r="C136" s="1867">
        <v>114.9</v>
      </c>
      <c r="D136" s="1774">
        <v>575.36304456685036</v>
      </c>
      <c r="E136" s="1774">
        <v>104.8</v>
      </c>
      <c r="F136" s="1867">
        <v>65.7</v>
      </c>
      <c r="G136" s="1774">
        <v>626.90839694656495</v>
      </c>
    </row>
    <row r="137" spans="1:7" hidden="1">
      <c r="A137" s="1776">
        <v>4</v>
      </c>
      <c r="B137" s="1774">
        <v>237.22200000000001</v>
      </c>
      <c r="C137" s="1867">
        <v>138.76900000000001</v>
      </c>
      <c r="D137" s="1774">
        <v>584.97525524614082</v>
      </c>
      <c r="E137" s="1774">
        <v>119.57599999999999</v>
      </c>
      <c r="F137" s="1867">
        <v>88.858999999999995</v>
      </c>
      <c r="G137" s="1774">
        <v>743.11734796280189</v>
      </c>
    </row>
    <row r="138" spans="1:7" hidden="1">
      <c r="A138" s="1776">
        <v>5</v>
      </c>
      <c r="B138" s="1774">
        <v>229.7</v>
      </c>
      <c r="C138" s="1867">
        <v>145.5</v>
      </c>
      <c r="D138" s="1774">
        <v>633.43491510666092</v>
      </c>
      <c r="E138" s="1774">
        <v>123.6</v>
      </c>
      <c r="F138" s="1867">
        <v>87.2</v>
      </c>
      <c r="G138" s="1774">
        <v>705.50161812297745</v>
      </c>
    </row>
    <row r="139" spans="1:7" hidden="1">
      <c r="A139" s="1776">
        <v>6</v>
      </c>
      <c r="B139" s="1774">
        <v>235</v>
      </c>
      <c r="C139" s="1867">
        <v>154.6</v>
      </c>
      <c r="D139" s="1774">
        <v>657.87234042553189</v>
      </c>
      <c r="E139" s="1774">
        <v>103</v>
      </c>
      <c r="F139" s="1867">
        <v>72.5</v>
      </c>
      <c r="G139" s="1774">
        <v>703.88349514563106</v>
      </c>
    </row>
    <row r="140" spans="1:7" hidden="1">
      <c r="A140" s="1776">
        <v>7</v>
      </c>
      <c r="B140" s="1774">
        <v>239.3</v>
      </c>
      <c r="C140" s="1867">
        <v>158.80000000000001</v>
      </c>
      <c r="D140" s="1774">
        <v>663.60217300459681</v>
      </c>
      <c r="E140" s="1774">
        <v>102.3</v>
      </c>
      <c r="F140" s="1867">
        <v>78.400000000000006</v>
      </c>
      <c r="G140" s="1774">
        <v>766.37341153470197</v>
      </c>
    </row>
    <row r="141" spans="1:7" hidden="1">
      <c r="A141" s="1776">
        <v>8</v>
      </c>
      <c r="B141" s="1774">
        <v>232.8</v>
      </c>
      <c r="C141" s="1867">
        <v>148.19999999999999</v>
      </c>
      <c r="D141" s="1774">
        <v>636.59793814432987</v>
      </c>
      <c r="E141" s="1774">
        <v>94.6</v>
      </c>
      <c r="F141" s="1867">
        <v>75</v>
      </c>
      <c r="G141" s="1774">
        <v>792.81183932346732</v>
      </c>
    </row>
    <row r="142" spans="1:7" hidden="1">
      <c r="A142" s="1776">
        <v>9</v>
      </c>
      <c r="B142" s="1774">
        <v>245.6</v>
      </c>
      <c r="C142" s="1867">
        <v>151.4</v>
      </c>
      <c r="D142" s="1774">
        <v>616.44951140065155</v>
      </c>
      <c r="E142" s="1774">
        <v>107.6</v>
      </c>
      <c r="F142" s="1867">
        <v>83.8</v>
      </c>
      <c r="G142" s="1774">
        <v>778.81040892193312</v>
      </c>
    </row>
    <row r="143" spans="1:7" hidden="1">
      <c r="A143" s="1776">
        <v>10</v>
      </c>
      <c r="B143" s="1774">
        <v>233</v>
      </c>
      <c r="C143" s="1867">
        <v>145.1</v>
      </c>
      <c r="D143" s="1774">
        <v>622.7467811158798</v>
      </c>
      <c r="E143" s="1774">
        <v>113.2</v>
      </c>
      <c r="F143" s="1867">
        <v>77.400000000000006</v>
      </c>
      <c r="G143" s="1774">
        <v>683.74558303886931</v>
      </c>
    </row>
    <row r="144" spans="1:7" hidden="1">
      <c r="A144" s="1776">
        <v>11</v>
      </c>
      <c r="B144" s="1774">
        <v>190.3</v>
      </c>
      <c r="C144" s="1867">
        <v>125</v>
      </c>
      <c r="D144" s="1774">
        <v>656.85759327377821</v>
      </c>
      <c r="E144" s="1774">
        <v>111.7</v>
      </c>
      <c r="F144" s="1867">
        <v>84.1</v>
      </c>
      <c r="G144" s="1774">
        <v>752.90957923008045</v>
      </c>
    </row>
    <row r="145" spans="1:7" hidden="1">
      <c r="A145" s="1776">
        <v>12</v>
      </c>
      <c r="B145" s="1774">
        <v>200.7</v>
      </c>
      <c r="C145" s="1867">
        <v>121.4</v>
      </c>
      <c r="D145" s="1774">
        <v>604.88290981564535</v>
      </c>
      <c r="E145" s="1774">
        <v>146.69999999999999</v>
      </c>
      <c r="F145" s="1867">
        <v>101.8</v>
      </c>
      <c r="G145" s="1774">
        <v>693.93319700068173</v>
      </c>
    </row>
    <row r="146" spans="1:7">
      <c r="A146" s="1776">
        <v>2015</v>
      </c>
      <c r="B146" s="1779">
        <f>SUM(B147:B158)</f>
        <v>2280.172</v>
      </c>
      <c r="C146" s="1779">
        <f>SUM(C147:C158)</f>
        <v>1251.2218320000002</v>
      </c>
      <c r="D146" s="1779">
        <f>+C146/B146*1000</f>
        <v>548.74010907949059</v>
      </c>
      <c r="E146" s="1779">
        <f>SUM(E147:E158)</f>
        <v>1278.3770000000002</v>
      </c>
      <c r="F146" s="1779">
        <f>SUM(F147:F158)</f>
        <v>800.83499999999992</v>
      </c>
      <c r="G146" s="1779">
        <f>+F146/E146*1000</f>
        <v>626.44665853656613</v>
      </c>
    </row>
    <row r="147" spans="1:7" hidden="1">
      <c r="A147" s="1776">
        <v>1</v>
      </c>
      <c r="B147" s="1774">
        <v>148.4</v>
      </c>
      <c r="C147" s="1867">
        <v>77.2</v>
      </c>
      <c r="D147" s="1774">
        <v>520.21563342318052</v>
      </c>
      <c r="E147" s="1774">
        <v>107.9</v>
      </c>
      <c r="F147" s="1867">
        <v>65.293000000000006</v>
      </c>
      <c r="G147" s="1774">
        <v>605.12511584800745</v>
      </c>
    </row>
    <row r="148" spans="1:7" hidden="1">
      <c r="A148" s="1776" t="s">
        <v>311</v>
      </c>
      <c r="B148" s="1774">
        <v>151.19999999999999</v>
      </c>
      <c r="C148" s="1867">
        <v>79.3</v>
      </c>
      <c r="D148" s="1774">
        <v>524.47089947089955</v>
      </c>
      <c r="E148" s="1774">
        <v>116.2</v>
      </c>
      <c r="F148" s="1867">
        <v>70.599999999999994</v>
      </c>
      <c r="G148" s="1774">
        <v>607.57314974182441</v>
      </c>
    </row>
    <row r="149" spans="1:7" hidden="1">
      <c r="A149" s="1776" t="s">
        <v>310</v>
      </c>
      <c r="B149" s="1774">
        <v>159.9</v>
      </c>
      <c r="C149" s="1867">
        <v>84.244</v>
      </c>
      <c r="D149" s="1774">
        <v>526.85428392745462</v>
      </c>
      <c r="E149" s="1774">
        <v>98.1</v>
      </c>
      <c r="F149" s="1867">
        <v>60.488</v>
      </c>
      <c r="G149" s="1774">
        <v>616.59531090723749</v>
      </c>
    </row>
    <row r="150" spans="1:7" hidden="1">
      <c r="A150" s="1776" t="s">
        <v>1031</v>
      </c>
      <c r="B150" s="1774">
        <v>200.3</v>
      </c>
      <c r="C150" s="1867">
        <v>107.19</v>
      </c>
      <c r="D150" s="1774">
        <v>535.9</v>
      </c>
      <c r="E150" s="1774">
        <v>116.7</v>
      </c>
      <c r="F150" s="1867">
        <v>65.14</v>
      </c>
      <c r="G150" s="1774">
        <v>557.79999999999995</v>
      </c>
    </row>
    <row r="151" spans="1:7" hidden="1">
      <c r="A151" s="1776" t="s">
        <v>309</v>
      </c>
      <c r="B151" s="1774">
        <v>199.05199999999999</v>
      </c>
      <c r="C151" s="1867">
        <v>111.957832</v>
      </c>
      <c r="D151" s="1774">
        <v>557.70000000000005</v>
      </c>
      <c r="E151" s="1774">
        <v>107.05500000000001</v>
      </c>
      <c r="F151" s="1867">
        <v>59.588999999999999</v>
      </c>
      <c r="G151" s="1774">
        <v>556</v>
      </c>
    </row>
    <row r="152" spans="1:7" hidden="1">
      <c r="A152" s="1776" t="s">
        <v>1032</v>
      </c>
      <c r="B152" s="1774">
        <v>213.38</v>
      </c>
      <c r="C152" s="1867">
        <v>127.7</v>
      </c>
      <c r="D152" s="1774">
        <v>531.20000000000005</v>
      </c>
      <c r="E152" s="1774">
        <v>108.7</v>
      </c>
      <c r="F152" s="1867">
        <v>65.704999999999998</v>
      </c>
      <c r="G152" s="1774">
        <v>604</v>
      </c>
    </row>
    <row r="153" spans="1:7" hidden="1">
      <c r="A153" s="1776" t="s">
        <v>307</v>
      </c>
      <c r="B153" s="1774">
        <v>206.47</v>
      </c>
      <c r="C153" s="1867">
        <v>120.7</v>
      </c>
      <c r="D153" s="1774">
        <v>585.9</v>
      </c>
      <c r="E153" s="1774">
        <v>98.13</v>
      </c>
      <c r="F153" s="1867">
        <v>74.5</v>
      </c>
      <c r="G153" s="1774">
        <v>759.4</v>
      </c>
    </row>
    <row r="154" spans="1:7" hidden="1">
      <c r="A154" s="1776">
        <v>8</v>
      </c>
      <c r="B154" s="1774">
        <v>195.1</v>
      </c>
      <c r="C154" s="1867">
        <v>107.5</v>
      </c>
      <c r="D154" s="1774">
        <v>550.99948744233734</v>
      </c>
      <c r="E154" s="1774">
        <v>95.9</v>
      </c>
      <c r="F154" s="1867">
        <v>68.900000000000006</v>
      </c>
      <c r="G154" s="1774">
        <v>718.45672575599588</v>
      </c>
    </row>
    <row r="155" spans="1:7" hidden="1">
      <c r="A155" s="1776">
        <v>9</v>
      </c>
      <c r="B155" s="1774">
        <v>203.3</v>
      </c>
      <c r="C155" s="1867">
        <v>100.5</v>
      </c>
      <c r="D155" s="1774">
        <v>494.34333497294637</v>
      </c>
      <c r="E155" s="1774">
        <v>98.262</v>
      </c>
      <c r="F155" s="1867">
        <v>65.55</v>
      </c>
      <c r="G155" s="1774">
        <v>667.09409537766373</v>
      </c>
    </row>
    <row r="156" spans="1:7" hidden="1">
      <c r="A156" s="1776">
        <v>10</v>
      </c>
      <c r="B156" s="1774">
        <v>206.2</v>
      </c>
      <c r="C156" s="1867">
        <v>112.3</v>
      </c>
      <c r="D156" s="1774">
        <v>544.6168768186227</v>
      </c>
      <c r="E156" s="1774">
        <v>109.93</v>
      </c>
      <c r="F156" s="1867">
        <v>66.77</v>
      </c>
      <c r="G156" s="1774">
        <v>607.38651869371404</v>
      </c>
    </row>
    <row r="157" spans="1:7" hidden="1">
      <c r="A157" s="1776">
        <v>11</v>
      </c>
      <c r="B157" s="1774">
        <v>181.1</v>
      </c>
      <c r="C157" s="1867">
        <v>92.2</v>
      </c>
      <c r="D157" s="1774">
        <v>509.23161967938091</v>
      </c>
      <c r="E157" s="1774">
        <v>104.6</v>
      </c>
      <c r="F157" s="1867">
        <v>61.8</v>
      </c>
      <c r="G157" s="1774">
        <v>590.82217973231354</v>
      </c>
    </row>
    <row r="158" spans="1:7" hidden="1">
      <c r="A158" s="1776">
        <v>12</v>
      </c>
      <c r="B158" s="1774">
        <v>215.77</v>
      </c>
      <c r="C158" s="1867">
        <v>130.43</v>
      </c>
      <c r="D158" s="1774">
        <v>604.64037122969842</v>
      </c>
      <c r="E158" s="1774">
        <v>116.9</v>
      </c>
      <c r="F158" s="1867">
        <v>76.5</v>
      </c>
      <c r="G158" s="1774">
        <v>654.40547476475615</v>
      </c>
    </row>
    <row r="159" spans="1:7">
      <c r="A159" s="1776" t="s">
        <v>1879</v>
      </c>
      <c r="B159" s="1779">
        <f>SUM(B160:B171)</f>
        <v>5681.6500000000015</v>
      </c>
      <c r="C159" s="1779">
        <f>SUM(C160:C171)</f>
        <v>1869.0000000000002</v>
      </c>
      <c r="D159" s="1779">
        <f>+C159/B159*1000</f>
        <v>328.95373703061608</v>
      </c>
      <c r="E159" s="1779">
        <f>SUM(E160:E171)</f>
        <v>3901.13</v>
      </c>
      <c r="F159" s="1779">
        <f>SUM(F160:F171)</f>
        <v>882.84</v>
      </c>
      <c r="G159" s="1779">
        <f>+F159/E159*1000</f>
        <v>226.30366073419754</v>
      </c>
    </row>
    <row r="160" spans="1:7">
      <c r="A160" s="1776">
        <v>1</v>
      </c>
      <c r="B160" s="1774">
        <v>360.86</v>
      </c>
      <c r="C160" s="1867">
        <v>99.69</v>
      </c>
      <c r="D160" s="1774">
        <v>276.25672005764</v>
      </c>
      <c r="E160" s="1774">
        <v>259.13</v>
      </c>
      <c r="F160" s="1867">
        <v>54.89</v>
      </c>
      <c r="G160" s="1774">
        <v>211.82418091305499</v>
      </c>
    </row>
    <row r="161" spans="1:9">
      <c r="A161" s="1776">
        <v>2</v>
      </c>
      <c r="B161" s="1774">
        <v>407.78</v>
      </c>
      <c r="C161" s="1867">
        <v>111.59</v>
      </c>
      <c r="D161" s="1774">
        <v>273.65245965961998</v>
      </c>
      <c r="E161" s="1774">
        <v>292.91000000000003</v>
      </c>
      <c r="F161" s="1867">
        <v>65.69</v>
      </c>
      <c r="G161" s="1774">
        <v>224.26683964357699</v>
      </c>
    </row>
    <row r="162" spans="1:9">
      <c r="A162" s="1776" t="s">
        <v>310</v>
      </c>
      <c r="B162" s="1774">
        <v>419.04</v>
      </c>
      <c r="C162" s="1867">
        <v>123.33</v>
      </c>
      <c r="D162" s="1774">
        <v>294.31557846506303</v>
      </c>
      <c r="E162" s="1774">
        <v>280.64</v>
      </c>
      <c r="F162" s="1867">
        <v>64.87</v>
      </c>
      <c r="G162" s="1774">
        <v>231.15022805017099</v>
      </c>
    </row>
    <row r="163" spans="1:9">
      <c r="A163" s="1776" t="s">
        <v>1031</v>
      </c>
      <c r="B163" s="1774">
        <v>460.21</v>
      </c>
      <c r="C163" s="1867">
        <v>135.37</v>
      </c>
      <c r="D163" s="1774">
        <v>294.14832359140399</v>
      </c>
      <c r="E163" s="1774">
        <v>318.32</v>
      </c>
      <c r="F163" s="1867">
        <v>73.069999999999993</v>
      </c>
      <c r="G163" s="1774">
        <v>229.54888162854999</v>
      </c>
    </row>
    <row r="164" spans="1:9">
      <c r="A164" s="1776" t="s">
        <v>309</v>
      </c>
      <c r="B164" s="1774">
        <v>481.06</v>
      </c>
      <c r="C164" s="1867">
        <v>150.57</v>
      </c>
      <c r="D164" s="1774">
        <v>312.99629983785798</v>
      </c>
      <c r="E164" s="1774">
        <v>328.46</v>
      </c>
      <c r="F164" s="1867">
        <v>76.36</v>
      </c>
      <c r="G164" s="1774">
        <v>232.47884065030701</v>
      </c>
    </row>
    <row r="165" spans="1:9">
      <c r="A165" s="1776" t="s">
        <v>1032</v>
      </c>
      <c r="B165" s="1774">
        <v>494.32</v>
      </c>
      <c r="C165" s="1867">
        <v>194.14</v>
      </c>
      <c r="D165" s="1774">
        <v>392.74154393914898</v>
      </c>
      <c r="E165" s="1774">
        <v>330.85</v>
      </c>
      <c r="F165" s="1867">
        <v>82.39</v>
      </c>
      <c r="G165" s="1774">
        <v>249.025238023273</v>
      </c>
    </row>
    <row r="166" spans="1:9">
      <c r="A166" s="1776" t="s">
        <v>307</v>
      </c>
      <c r="B166" s="1774">
        <v>457.44</v>
      </c>
      <c r="C166" s="1867">
        <v>158.6</v>
      </c>
      <c r="D166" s="1774">
        <v>346.71213711087802</v>
      </c>
      <c r="E166" s="1774">
        <v>299.81</v>
      </c>
      <c r="F166" s="1867">
        <v>68.2</v>
      </c>
      <c r="G166" s="1774">
        <v>227.47740235482499</v>
      </c>
    </row>
    <row r="167" spans="1:9">
      <c r="A167" s="1776" t="s">
        <v>308</v>
      </c>
      <c r="B167" s="1774">
        <v>513.63</v>
      </c>
      <c r="C167" s="1867">
        <v>193.04</v>
      </c>
      <c r="D167" s="1774">
        <v>375.83474485524602</v>
      </c>
      <c r="E167" s="1774">
        <v>332.29</v>
      </c>
      <c r="F167" s="1867">
        <v>90.48</v>
      </c>
      <c r="G167" s="1774">
        <v>272.292274820187</v>
      </c>
    </row>
    <row r="168" spans="1:9" s="432" customFormat="1">
      <c r="A168" s="1776">
        <v>9</v>
      </c>
      <c r="B168" s="1774">
        <v>495.55</v>
      </c>
      <c r="C168" s="1867">
        <v>167.66</v>
      </c>
      <c r="D168" s="1774">
        <v>338.33114721017103</v>
      </c>
      <c r="E168" s="1774">
        <v>318.51</v>
      </c>
      <c r="F168" s="1867">
        <v>68.61</v>
      </c>
      <c r="G168" s="1774">
        <v>215.409249317133</v>
      </c>
    </row>
    <row r="169" spans="1:9" s="432" customFormat="1">
      <c r="A169" s="1776">
        <v>10</v>
      </c>
      <c r="B169" s="1774">
        <v>513.52</v>
      </c>
      <c r="C169" s="1867">
        <v>176.15</v>
      </c>
      <c r="D169" s="1774">
        <v>343.02461442592301</v>
      </c>
      <c r="E169" s="1774">
        <v>358.94</v>
      </c>
      <c r="F169" s="1867">
        <v>76.459999999999994</v>
      </c>
      <c r="G169" s="1774">
        <v>213.01610296985601</v>
      </c>
      <c r="I169" s="433"/>
    </row>
    <row r="170" spans="1:9" s="432" customFormat="1">
      <c r="A170" s="1776">
        <v>11</v>
      </c>
      <c r="B170" s="1774">
        <v>508.97</v>
      </c>
      <c r="C170" s="1867">
        <v>168.15</v>
      </c>
      <c r="D170" s="1774">
        <v>330.37310646992898</v>
      </c>
      <c r="E170" s="1774">
        <v>372.63</v>
      </c>
      <c r="F170" s="1867">
        <v>75.599999999999994</v>
      </c>
      <c r="G170" s="1774">
        <v>202.882215602608</v>
      </c>
      <c r="I170" s="433"/>
    </row>
    <row r="171" spans="1:9" s="432" customFormat="1">
      <c r="A171" s="1776" t="s">
        <v>29</v>
      </c>
      <c r="B171" s="1774">
        <v>569.27</v>
      </c>
      <c r="C171" s="1867">
        <v>190.71</v>
      </c>
      <c r="D171" s="1774">
        <v>335.00799269239599</v>
      </c>
      <c r="E171" s="1774">
        <v>408.64</v>
      </c>
      <c r="F171" s="1867">
        <v>86.22</v>
      </c>
      <c r="G171" s="1774">
        <v>210.99256068911501</v>
      </c>
      <c r="I171" s="433"/>
    </row>
    <row r="172" spans="1:9" s="432" customFormat="1">
      <c r="A172" s="1776" t="s">
        <v>1942</v>
      </c>
      <c r="B172" s="1779">
        <f>SUM(B173:B184)</f>
        <v>6453.6600000000008</v>
      </c>
      <c r="C172" s="1779">
        <f>SUM(C173:C184)</f>
        <v>2321.3999999999996</v>
      </c>
      <c r="D172" s="1779">
        <f t="shared" ref="D172:D203" si="3">+C172/B172*1000</f>
        <v>359.70286628052912</v>
      </c>
      <c r="E172" s="1779">
        <f>SUM(E173:E184)</f>
        <v>4308.5300000000007</v>
      </c>
      <c r="F172" s="1779">
        <f>SUM(F173:F184)</f>
        <v>931.51</v>
      </c>
      <c r="G172" s="1779">
        <f t="shared" ref="G172:G203" si="4">+F172/E172*1000</f>
        <v>216.20134941615814</v>
      </c>
      <c r="I172" s="433"/>
    </row>
    <row r="173" spans="1:9" s="432" customFormat="1">
      <c r="A173" s="1776" t="s">
        <v>18</v>
      </c>
      <c r="B173" s="1774">
        <v>428.2</v>
      </c>
      <c r="C173" s="1867">
        <v>152.37</v>
      </c>
      <c r="D173" s="1773">
        <f t="shared" si="3"/>
        <v>355.83839327417098</v>
      </c>
      <c r="E173" s="1774">
        <v>298.52</v>
      </c>
      <c r="F173" s="1867">
        <v>61.46</v>
      </c>
      <c r="G173" s="1773">
        <f t="shared" si="4"/>
        <v>205.88235294117649</v>
      </c>
      <c r="I173" s="433"/>
    </row>
    <row r="174" spans="1:9" s="432" customFormat="1">
      <c r="A174" s="1776" t="s">
        <v>19</v>
      </c>
      <c r="B174" s="1774">
        <v>444.72</v>
      </c>
      <c r="C174" s="1867">
        <v>146.16999999999999</v>
      </c>
      <c r="D174" s="1773">
        <f t="shared" si="3"/>
        <v>328.67871919409964</v>
      </c>
      <c r="E174" s="1774">
        <v>317.20999999999998</v>
      </c>
      <c r="F174" s="1867">
        <v>75.48</v>
      </c>
      <c r="G174" s="1773">
        <f t="shared" si="4"/>
        <v>237.94962327795469</v>
      </c>
      <c r="I174" s="433"/>
    </row>
    <row r="175" spans="1:9" s="432" customFormat="1">
      <c r="A175" s="1776" t="s">
        <v>20</v>
      </c>
      <c r="B175" s="1774">
        <v>499.38</v>
      </c>
      <c r="C175" s="1867">
        <v>163.16</v>
      </c>
      <c r="D175" s="1773">
        <f t="shared" si="3"/>
        <v>326.72513917257402</v>
      </c>
      <c r="E175" s="1774">
        <v>331.23</v>
      </c>
      <c r="F175" s="1867">
        <v>69.08</v>
      </c>
      <c r="G175" s="1773">
        <f t="shared" si="4"/>
        <v>208.55598828608518</v>
      </c>
      <c r="I175" s="433"/>
    </row>
    <row r="176" spans="1:9" s="432" customFormat="1">
      <c r="A176" s="1776" t="s">
        <v>21</v>
      </c>
      <c r="B176" s="1774">
        <v>522.55999999999995</v>
      </c>
      <c r="C176" s="1867">
        <v>177.17</v>
      </c>
      <c r="D176" s="1773">
        <f t="shared" si="3"/>
        <v>339.04240661359466</v>
      </c>
      <c r="E176" s="1774">
        <v>339.18</v>
      </c>
      <c r="F176" s="1867">
        <v>75.42</v>
      </c>
      <c r="G176" s="1773">
        <f t="shared" si="4"/>
        <v>222.35980895099948</v>
      </c>
      <c r="I176" s="433"/>
    </row>
    <row r="177" spans="1:10" s="432" customFormat="1">
      <c r="A177" s="1776" t="s">
        <v>22</v>
      </c>
      <c r="B177" s="1774">
        <v>548.83000000000004</v>
      </c>
      <c r="C177" s="1867">
        <v>202.45</v>
      </c>
      <c r="D177" s="1773">
        <f t="shared" si="3"/>
        <v>368.8756081118014</v>
      </c>
      <c r="E177" s="1774">
        <v>370.2</v>
      </c>
      <c r="F177" s="1867">
        <v>79.38</v>
      </c>
      <c r="G177" s="1773">
        <f t="shared" si="4"/>
        <v>214.42463533225285</v>
      </c>
      <c r="I177" s="433"/>
    </row>
    <row r="178" spans="1:10" s="432" customFormat="1">
      <c r="A178" s="1776" t="s">
        <v>23</v>
      </c>
      <c r="B178" s="1774">
        <v>520.5</v>
      </c>
      <c r="C178" s="1867">
        <v>206.61</v>
      </c>
      <c r="D178" s="1773">
        <f t="shared" si="3"/>
        <v>396.94524495677234</v>
      </c>
      <c r="E178" s="1774">
        <v>338.63</v>
      </c>
      <c r="F178" s="1867">
        <v>73.78</v>
      </c>
      <c r="G178" s="1773">
        <f t="shared" si="4"/>
        <v>217.87791985352746</v>
      </c>
      <c r="I178" s="433"/>
      <c r="J178" s="434"/>
    </row>
    <row r="179" spans="1:10" s="432" customFormat="1">
      <c r="A179" s="1776" t="s">
        <v>24</v>
      </c>
      <c r="B179" s="1774">
        <v>551.04999999999995</v>
      </c>
      <c r="C179" s="1867">
        <v>194.72</v>
      </c>
      <c r="D179" s="1773">
        <f t="shared" si="3"/>
        <v>353.3617639052718</v>
      </c>
      <c r="E179" s="1774">
        <v>362.81</v>
      </c>
      <c r="F179" s="1867">
        <v>70.180000000000007</v>
      </c>
      <c r="G179" s="1773">
        <f t="shared" si="4"/>
        <v>193.43458008323918</v>
      </c>
      <c r="I179" s="433"/>
    </row>
    <row r="180" spans="1:10" s="432" customFormat="1">
      <c r="A180" s="1776" t="s">
        <v>25</v>
      </c>
      <c r="B180" s="1774">
        <v>586.45000000000005</v>
      </c>
      <c r="C180" s="1867">
        <v>214.25</v>
      </c>
      <c r="D180" s="1773">
        <f t="shared" si="3"/>
        <v>365.33378804672179</v>
      </c>
      <c r="E180" s="1774">
        <v>362.59</v>
      </c>
      <c r="F180" s="1867">
        <v>82.75</v>
      </c>
      <c r="G180" s="1773">
        <f t="shared" si="4"/>
        <v>228.21920075015859</v>
      </c>
      <c r="I180" s="433"/>
    </row>
    <row r="181" spans="1:10" s="432" customFormat="1">
      <c r="A181" s="1776" t="s">
        <v>26</v>
      </c>
      <c r="B181" s="1774">
        <v>561.64</v>
      </c>
      <c r="C181" s="1867">
        <v>205.61</v>
      </c>
      <c r="D181" s="1773">
        <f t="shared" si="3"/>
        <v>366.0885976782281</v>
      </c>
      <c r="E181" s="1774">
        <v>359.26</v>
      </c>
      <c r="F181" s="1867">
        <v>80.11</v>
      </c>
      <c r="G181" s="1773">
        <f t="shared" si="4"/>
        <v>222.98613817291098</v>
      </c>
      <c r="I181" s="433"/>
    </row>
    <row r="182" spans="1:10" s="432" customFormat="1">
      <c r="A182" s="1776" t="s">
        <v>27</v>
      </c>
      <c r="B182" s="1774">
        <v>600.76</v>
      </c>
      <c r="C182" s="1867">
        <v>222.06</v>
      </c>
      <c r="D182" s="1773">
        <f t="shared" si="3"/>
        <v>369.63179972035419</v>
      </c>
      <c r="E182" s="1774">
        <v>402.59</v>
      </c>
      <c r="F182" s="1867">
        <v>90.89</v>
      </c>
      <c r="G182" s="1773">
        <f t="shared" si="4"/>
        <v>225.76318338756553</v>
      </c>
      <c r="I182" s="433"/>
    </row>
    <row r="183" spans="1:10" s="432" customFormat="1">
      <c r="A183" s="1776" t="s">
        <v>28</v>
      </c>
      <c r="B183" s="1774">
        <v>561.14</v>
      </c>
      <c r="C183" s="1867">
        <v>224.16</v>
      </c>
      <c r="D183" s="1773">
        <f t="shared" si="3"/>
        <v>399.47250240581673</v>
      </c>
      <c r="E183" s="1774">
        <v>387.15</v>
      </c>
      <c r="F183" s="1867">
        <v>83.04</v>
      </c>
      <c r="G183" s="1773">
        <f t="shared" si="4"/>
        <v>214.49050755521117</v>
      </c>
      <c r="I183" s="433"/>
    </row>
    <row r="184" spans="1:10" s="432" customFormat="1">
      <c r="A184" s="1776" t="s">
        <v>29</v>
      </c>
      <c r="B184" s="1774">
        <v>628.42999999999995</v>
      </c>
      <c r="C184" s="1867">
        <v>212.67</v>
      </c>
      <c r="D184" s="1773">
        <f t="shared" si="3"/>
        <v>338.41477968906639</v>
      </c>
      <c r="E184" s="1774">
        <v>439.16</v>
      </c>
      <c r="F184" s="1867">
        <v>89.94</v>
      </c>
      <c r="G184" s="1773">
        <f t="shared" si="4"/>
        <v>204.80007286638124</v>
      </c>
      <c r="I184" s="433"/>
    </row>
    <row r="185" spans="1:10" s="432" customFormat="1">
      <c r="A185" s="1776" t="s">
        <v>2078</v>
      </c>
      <c r="B185" s="1779">
        <f>SUM(B186:B197)</f>
        <v>6500.88</v>
      </c>
      <c r="C185" s="1779">
        <f>SUM(C186:C197)</f>
        <v>2495.7000000000003</v>
      </c>
      <c r="D185" s="1779">
        <f t="shared" si="3"/>
        <v>383.90187174659434</v>
      </c>
      <c r="E185" s="1779">
        <f>SUM(E186:E197)</f>
        <v>4107.7300000000005</v>
      </c>
      <c r="F185" s="1779">
        <f>SUM(F186:F197)</f>
        <v>1006.5</v>
      </c>
      <c r="G185" s="1779">
        <f t="shared" si="4"/>
        <v>245.02584152317701</v>
      </c>
      <c r="I185" s="433"/>
    </row>
    <row r="186" spans="1:10" s="432" customFormat="1">
      <c r="A186" s="1776" t="s">
        <v>18</v>
      </c>
      <c r="B186" s="1774">
        <v>498.78</v>
      </c>
      <c r="C186" s="1774">
        <v>173.88</v>
      </c>
      <c r="D186" s="1773">
        <f t="shared" si="3"/>
        <v>348.61060988812704</v>
      </c>
      <c r="E186" s="1774">
        <v>335.16</v>
      </c>
      <c r="F186" s="1774">
        <v>69.900000000000006</v>
      </c>
      <c r="G186" s="1773">
        <f t="shared" si="4"/>
        <v>208.55710705334766</v>
      </c>
      <c r="I186" s="433"/>
    </row>
    <row r="187" spans="1:10" s="432" customFormat="1">
      <c r="A187" s="1776" t="s">
        <v>19</v>
      </c>
      <c r="B187" s="1774">
        <v>496.04</v>
      </c>
      <c r="C187" s="1867">
        <v>170.68</v>
      </c>
      <c r="D187" s="1773">
        <f t="shared" si="3"/>
        <v>344.08515442303042</v>
      </c>
      <c r="E187" s="1774">
        <v>342.47</v>
      </c>
      <c r="F187" s="1867">
        <v>74.2</v>
      </c>
      <c r="G187" s="1773">
        <f t="shared" si="4"/>
        <v>216.66131339971383</v>
      </c>
      <c r="I187" s="433"/>
    </row>
    <row r="188" spans="1:10" s="432" customFormat="1">
      <c r="A188" s="1776" t="s">
        <v>20</v>
      </c>
      <c r="B188" s="1774">
        <v>528.1</v>
      </c>
      <c r="C188" s="1867">
        <v>177.57</v>
      </c>
      <c r="D188" s="1773">
        <f t="shared" si="3"/>
        <v>336.24313576974055</v>
      </c>
      <c r="E188" s="1774">
        <v>345.22</v>
      </c>
      <c r="F188" s="1867">
        <v>74.11</v>
      </c>
      <c r="G188" s="1773">
        <f t="shared" si="4"/>
        <v>214.67470019118244</v>
      </c>
      <c r="I188" s="433"/>
    </row>
    <row r="189" spans="1:10" s="432" customFormat="1">
      <c r="A189" s="1776" t="s">
        <v>21</v>
      </c>
      <c r="B189" s="1774">
        <v>521.29</v>
      </c>
      <c r="C189" s="1867">
        <v>189.61</v>
      </c>
      <c r="D189" s="1773">
        <f t="shared" si="3"/>
        <v>363.73227953730174</v>
      </c>
      <c r="E189" s="1774">
        <v>341.21</v>
      </c>
      <c r="F189" s="1867">
        <v>84.39</v>
      </c>
      <c r="G189" s="1773">
        <f t="shared" si="4"/>
        <v>247.32569385422468</v>
      </c>
      <c r="I189" s="433"/>
    </row>
    <row r="190" spans="1:10" s="432" customFormat="1">
      <c r="A190" s="1776" t="s">
        <v>22</v>
      </c>
      <c r="B190" s="1774">
        <v>580.13</v>
      </c>
      <c r="C190" s="1867">
        <v>233.08</v>
      </c>
      <c r="D190" s="1773">
        <f t="shared" si="3"/>
        <v>401.77201661696523</v>
      </c>
      <c r="E190" s="1774">
        <v>363.26</v>
      </c>
      <c r="F190" s="1867">
        <v>88.9</v>
      </c>
      <c r="G190" s="1773">
        <f t="shared" si="4"/>
        <v>244.72829378406652</v>
      </c>
      <c r="I190" s="433"/>
    </row>
    <row r="191" spans="1:10" s="432" customFormat="1">
      <c r="A191" s="1776" t="s">
        <v>23</v>
      </c>
      <c r="B191" s="1774">
        <v>529.84</v>
      </c>
      <c r="C191" s="1867">
        <v>224.94</v>
      </c>
      <c r="D191" s="1773">
        <f t="shared" si="3"/>
        <v>424.54325834214103</v>
      </c>
      <c r="E191" s="1774">
        <v>311.05</v>
      </c>
      <c r="F191" s="1867">
        <v>76.540000000000006</v>
      </c>
      <c r="G191" s="1773">
        <f t="shared" si="4"/>
        <v>246.06976370358464</v>
      </c>
      <c r="I191" s="433"/>
    </row>
    <row r="192" spans="1:10" s="432" customFormat="1">
      <c r="A192" s="1776" t="s">
        <v>24</v>
      </c>
      <c r="B192" s="1774">
        <v>552.80999999999995</v>
      </c>
      <c r="C192" s="1867">
        <v>229.44</v>
      </c>
      <c r="D192" s="1773">
        <f t="shared" si="3"/>
        <v>415.04314321376245</v>
      </c>
      <c r="E192" s="1774">
        <v>322.27999999999997</v>
      </c>
      <c r="F192" s="1867">
        <v>81.84</v>
      </c>
      <c r="G192" s="1773">
        <f t="shared" si="4"/>
        <v>253.94067270696291</v>
      </c>
      <c r="I192" s="433"/>
    </row>
    <row r="193" spans="1:9" s="432" customFormat="1">
      <c r="A193" s="1776" t="s">
        <v>25</v>
      </c>
      <c r="B193" s="1774">
        <v>543.9</v>
      </c>
      <c r="C193" s="1867">
        <v>215.83</v>
      </c>
      <c r="D193" s="1773">
        <f t="shared" si="3"/>
        <v>396.81926824783972</v>
      </c>
      <c r="E193" s="1774">
        <v>309.05</v>
      </c>
      <c r="F193" s="1867">
        <v>87.26</v>
      </c>
      <c r="G193" s="1773">
        <f t="shared" si="4"/>
        <v>282.34913444426468</v>
      </c>
      <c r="I193" s="433"/>
    </row>
    <row r="194" spans="1:9" s="432" customFormat="1">
      <c r="A194" s="1776" t="s">
        <v>26</v>
      </c>
      <c r="B194" s="1774">
        <v>528.25</v>
      </c>
      <c r="C194" s="1867">
        <v>189.25</v>
      </c>
      <c r="D194" s="1773">
        <f t="shared" si="3"/>
        <v>358.2584003786086</v>
      </c>
      <c r="E194" s="1774">
        <v>330.43</v>
      </c>
      <c r="F194" s="1867">
        <v>86.11</v>
      </c>
      <c r="G194" s="1773">
        <f t="shared" si="4"/>
        <v>260.59982447114368</v>
      </c>
      <c r="I194" s="433"/>
    </row>
    <row r="195" spans="1:9" s="432" customFormat="1">
      <c r="A195" s="1776" t="s">
        <v>27</v>
      </c>
      <c r="B195" s="1774">
        <v>586.62</v>
      </c>
      <c r="C195" s="1867">
        <v>228.14</v>
      </c>
      <c r="D195" s="1773">
        <f t="shared" si="3"/>
        <v>388.90593569943059</v>
      </c>
      <c r="E195" s="1774">
        <v>376.63</v>
      </c>
      <c r="F195" s="1867">
        <v>99.26</v>
      </c>
      <c r="G195" s="1773">
        <f t="shared" si="4"/>
        <v>263.54777898733505</v>
      </c>
      <c r="I195" s="433"/>
    </row>
    <row r="196" spans="1:9" s="432" customFormat="1">
      <c r="A196" s="1776" t="s">
        <v>28</v>
      </c>
      <c r="B196" s="1774">
        <v>546.16999999999996</v>
      </c>
      <c r="C196" s="1867">
        <v>205.65</v>
      </c>
      <c r="D196" s="1773">
        <f t="shared" si="3"/>
        <v>376.53111668528118</v>
      </c>
      <c r="E196" s="1774">
        <v>346.6</v>
      </c>
      <c r="F196" s="1867">
        <v>90.51</v>
      </c>
      <c r="G196" s="1773">
        <f t="shared" si="4"/>
        <v>261.13675706866707</v>
      </c>
      <c r="I196" s="433"/>
    </row>
    <row r="197" spans="1:9" s="432" customFormat="1">
      <c r="A197" s="1776" t="s">
        <v>29</v>
      </c>
      <c r="B197" s="1774">
        <v>588.95000000000005</v>
      </c>
      <c r="C197" s="1867">
        <v>257.63</v>
      </c>
      <c r="D197" s="1773">
        <f t="shared" si="3"/>
        <v>437.4395109941421</v>
      </c>
      <c r="E197" s="1774">
        <v>384.37</v>
      </c>
      <c r="F197" s="1867">
        <v>93.48</v>
      </c>
      <c r="G197" s="1773">
        <f t="shared" si="4"/>
        <v>243.20316361838854</v>
      </c>
      <c r="I197" s="433"/>
    </row>
    <row r="198" spans="1:9" s="432" customFormat="1">
      <c r="A198" s="1776" t="s">
        <v>2171</v>
      </c>
      <c r="B198" s="1780">
        <f>SUM(B199:B210)</f>
        <v>7278.68</v>
      </c>
      <c r="C198" s="1780">
        <f>SUM(C199:C210)</f>
        <v>2698.35</v>
      </c>
      <c r="D198" s="1779">
        <f t="shared" si="3"/>
        <v>370.71969093297133</v>
      </c>
      <c r="E198" s="1780">
        <f>SUM(E199:E210)</f>
        <v>4755.3300000000008</v>
      </c>
      <c r="F198" s="1780">
        <f>SUM(F199:F210)</f>
        <v>1327.39</v>
      </c>
      <c r="G198" s="1779">
        <f t="shared" si="4"/>
        <v>279.13730487684342</v>
      </c>
      <c r="I198" s="433"/>
    </row>
    <row r="199" spans="1:9" s="432" customFormat="1">
      <c r="A199" s="1782" t="s">
        <v>18</v>
      </c>
      <c r="B199" s="1773">
        <v>545.72</v>
      </c>
      <c r="C199" s="1773">
        <v>202.41</v>
      </c>
      <c r="D199" s="1773">
        <f t="shared" si="3"/>
        <v>370.90449314666864</v>
      </c>
      <c r="E199" s="1773">
        <v>355.07</v>
      </c>
      <c r="F199" s="1773">
        <v>100.33</v>
      </c>
      <c r="G199" s="1773">
        <f t="shared" si="4"/>
        <v>282.56400146449994</v>
      </c>
      <c r="I199" s="433"/>
    </row>
    <row r="200" spans="1:9" s="432" customFormat="1">
      <c r="A200" s="1782" t="s">
        <v>19</v>
      </c>
      <c r="B200" s="1773">
        <v>539.85</v>
      </c>
      <c r="C200" s="1773">
        <v>185.26</v>
      </c>
      <c r="D200" s="1773">
        <f t="shared" si="3"/>
        <v>343.16939890710381</v>
      </c>
      <c r="E200" s="1773">
        <v>369.42</v>
      </c>
      <c r="F200" s="1773">
        <v>94.83</v>
      </c>
      <c r="G200" s="1773">
        <f t="shared" si="4"/>
        <v>256.69969140815329</v>
      </c>
      <c r="I200" s="433"/>
    </row>
    <row r="201" spans="1:9" s="432" customFormat="1">
      <c r="A201" s="1782" t="s">
        <v>20</v>
      </c>
      <c r="B201" s="1773">
        <v>566.27</v>
      </c>
      <c r="C201" s="1773">
        <v>189.53</v>
      </c>
      <c r="D201" s="1773">
        <f t="shared" si="3"/>
        <v>334.69899517897824</v>
      </c>
      <c r="E201" s="1773">
        <v>362.29</v>
      </c>
      <c r="F201" s="1773">
        <v>92.07</v>
      </c>
      <c r="G201" s="1773">
        <f t="shared" si="4"/>
        <v>254.13342902095005</v>
      </c>
      <c r="I201" s="433"/>
    </row>
    <row r="202" spans="1:9" s="432" customFormat="1">
      <c r="A202" s="1782" t="s">
        <v>21</v>
      </c>
      <c r="B202" s="1773">
        <v>598.04</v>
      </c>
      <c r="C202" s="1773">
        <v>212.71</v>
      </c>
      <c r="D202" s="1773">
        <f t="shared" si="3"/>
        <v>355.67854992977061</v>
      </c>
      <c r="E202" s="1773">
        <v>377.23</v>
      </c>
      <c r="F202" s="1773">
        <v>103.24</v>
      </c>
      <c r="G202" s="1773">
        <f t="shared" si="4"/>
        <v>273.67918776343339</v>
      </c>
      <c r="I202" s="433"/>
    </row>
    <row r="203" spans="1:9" s="432" customFormat="1">
      <c r="A203" s="1782" t="s">
        <v>22</v>
      </c>
      <c r="B203" s="1773">
        <v>735.77</v>
      </c>
      <c r="C203" s="1773">
        <v>246.8</v>
      </c>
      <c r="D203" s="1773">
        <f t="shared" si="3"/>
        <v>335.43090911562041</v>
      </c>
      <c r="E203" s="1773">
        <v>537.28</v>
      </c>
      <c r="F203" s="1773">
        <v>124.43</v>
      </c>
      <c r="G203" s="1773">
        <f t="shared" si="4"/>
        <v>231.59246575342468</v>
      </c>
      <c r="I203" s="433"/>
    </row>
    <row r="204" spans="1:9" s="432" customFormat="1">
      <c r="A204" s="1782" t="s">
        <v>23</v>
      </c>
      <c r="B204" s="1773">
        <v>613.37</v>
      </c>
      <c r="C204" s="1773">
        <v>220.76</v>
      </c>
      <c r="D204" s="1773">
        <f t="shared" ref="D204:D235" si="5">+C204/B204*1000</f>
        <v>359.91326605474671</v>
      </c>
      <c r="E204" s="1773">
        <v>394.96</v>
      </c>
      <c r="F204" s="1773">
        <v>95.11</v>
      </c>
      <c r="G204" s="1773">
        <f t="shared" ref="G204:G235" si="6">+F204/E204*1000</f>
        <v>240.80919586793601</v>
      </c>
      <c r="I204" s="433"/>
    </row>
    <row r="205" spans="1:9" s="432" customFormat="1">
      <c r="A205" s="1782" t="s">
        <v>24</v>
      </c>
      <c r="B205" s="1773">
        <v>682.6</v>
      </c>
      <c r="C205" s="1773">
        <v>257.11</v>
      </c>
      <c r="D205" s="1773">
        <f t="shared" si="5"/>
        <v>376.66276003515969</v>
      </c>
      <c r="E205" s="1773">
        <v>449.52</v>
      </c>
      <c r="F205" s="1773">
        <v>118.71</v>
      </c>
      <c r="G205" s="1773">
        <f t="shared" si="6"/>
        <v>264.08168713294179</v>
      </c>
      <c r="I205" s="433"/>
    </row>
    <row r="206" spans="1:9">
      <c r="A206" s="1776" t="s">
        <v>25</v>
      </c>
      <c r="B206" s="1774">
        <v>606.6</v>
      </c>
      <c r="C206" s="1867">
        <v>237.66</v>
      </c>
      <c r="D206" s="1773">
        <f t="shared" si="5"/>
        <v>391.79030662710187</v>
      </c>
      <c r="E206" s="1774">
        <v>354.15</v>
      </c>
      <c r="F206" s="1867">
        <v>111.67</v>
      </c>
      <c r="G206" s="1773">
        <f t="shared" si="6"/>
        <v>315.31836792319638</v>
      </c>
      <c r="H206" s="432"/>
    </row>
    <row r="207" spans="1:9">
      <c r="A207" s="1776" t="s">
        <v>26</v>
      </c>
      <c r="B207" s="1774">
        <v>603.34</v>
      </c>
      <c r="C207" s="1867">
        <v>237.01</v>
      </c>
      <c r="D207" s="1773">
        <f t="shared" si="5"/>
        <v>392.82991348161892</v>
      </c>
      <c r="E207" s="1774">
        <v>383.09</v>
      </c>
      <c r="F207" s="1867">
        <v>119.84</v>
      </c>
      <c r="G207" s="1773">
        <f t="shared" si="6"/>
        <v>312.82466261191888</v>
      </c>
      <c r="H207" s="432"/>
    </row>
    <row r="208" spans="1:9">
      <c r="A208" s="1776" t="s">
        <v>27</v>
      </c>
      <c r="B208" s="1774">
        <v>607.58000000000004</v>
      </c>
      <c r="C208" s="1867">
        <v>244.54</v>
      </c>
      <c r="D208" s="1773">
        <f t="shared" si="5"/>
        <v>402.48197768195132</v>
      </c>
      <c r="E208" s="1774">
        <v>393.15</v>
      </c>
      <c r="F208" s="1867">
        <v>125.12</v>
      </c>
      <c r="G208" s="1773">
        <f t="shared" si="6"/>
        <v>318.25003179448055</v>
      </c>
      <c r="H208" s="432"/>
    </row>
    <row r="209" spans="1:8">
      <c r="A209" s="1776" t="s">
        <v>28</v>
      </c>
      <c r="B209" s="1774">
        <v>559.20000000000005</v>
      </c>
      <c r="C209" s="1867">
        <v>220.2</v>
      </c>
      <c r="D209" s="1773">
        <f t="shared" si="5"/>
        <v>393.77682403433471</v>
      </c>
      <c r="E209" s="1774">
        <v>364.04</v>
      </c>
      <c r="F209" s="1867">
        <v>114.94</v>
      </c>
      <c r="G209" s="1773">
        <f t="shared" si="6"/>
        <v>315.73453466652012</v>
      </c>
      <c r="H209" s="432"/>
    </row>
    <row r="210" spans="1:8">
      <c r="A210" s="1776" t="s">
        <v>29</v>
      </c>
      <c r="B210" s="1774">
        <v>620.34</v>
      </c>
      <c r="C210" s="1867">
        <v>244.36</v>
      </c>
      <c r="D210" s="1773">
        <f t="shared" si="5"/>
        <v>393.9130154431441</v>
      </c>
      <c r="E210" s="1774">
        <v>415.13</v>
      </c>
      <c r="F210" s="1867">
        <v>127.1</v>
      </c>
      <c r="G210" s="1773">
        <f t="shared" si="6"/>
        <v>306.16915183195624</v>
      </c>
      <c r="H210" s="432"/>
    </row>
    <row r="211" spans="1:8">
      <c r="A211" s="1776" t="s">
        <v>2407</v>
      </c>
      <c r="B211" s="1780">
        <f>SUM(B212:B223)</f>
        <v>6564.4700000000012</v>
      </c>
      <c r="C211" s="1780">
        <f>SUM(C212:C223)</f>
        <v>2446.4199999999996</v>
      </c>
      <c r="D211" s="1779">
        <f t="shared" si="5"/>
        <v>372.67593575718973</v>
      </c>
      <c r="E211" s="1780">
        <f>SUM(E212:E223)</f>
        <v>4566.619999999999</v>
      </c>
      <c r="F211" s="1780">
        <f>SUM(F212:F223)</f>
        <v>1396.98</v>
      </c>
      <c r="G211" s="1780">
        <f t="shared" si="6"/>
        <v>305.91115529647755</v>
      </c>
      <c r="H211" s="432"/>
    </row>
    <row r="212" spans="1:8">
      <c r="A212" s="1776" t="s">
        <v>18</v>
      </c>
      <c r="B212" s="1774">
        <v>492.9</v>
      </c>
      <c r="C212" s="1867">
        <v>196.58</v>
      </c>
      <c r="D212" s="1773">
        <f t="shared" si="5"/>
        <v>398.8232907283425</v>
      </c>
      <c r="E212" s="1774">
        <v>343.32</v>
      </c>
      <c r="F212" s="1867">
        <v>99.24</v>
      </c>
      <c r="G212" s="1773">
        <f t="shared" si="6"/>
        <v>289.05976931142959</v>
      </c>
      <c r="H212" s="432"/>
    </row>
    <row r="213" spans="1:8">
      <c r="A213" s="1776" t="s">
        <v>19</v>
      </c>
      <c r="B213" s="1774">
        <v>505.09</v>
      </c>
      <c r="C213" s="1867">
        <v>200.66</v>
      </c>
      <c r="D213" s="1773">
        <f t="shared" si="5"/>
        <v>397.2757330376765</v>
      </c>
      <c r="E213" s="1774">
        <v>352.22</v>
      </c>
      <c r="F213" s="1867">
        <v>119.96</v>
      </c>
      <c r="G213" s="1773">
        <f t="shared" si="6"/>
        <v>340.58259042643795</v>
      </c>
      <c r="H213" s="432"/>
    </row>
    <row r="214" spans="1:8">
      <c r="A214" s="1776" t="s">
        <v>20</v>
      </c>
      <c r="B214" s="1774">
        <v>479.03</v>
      </c>
      <c r="C214" s="1867">
        <v>158.37</v>
      </c>
      <c r="D214" s="1773">
        <f t="shared" si="5"/>
        <v>330.60559881427054</v>
      </c>
      <c r="E214" s="1774">
        <v>332.75</v>
      </c>
      <c r="F214" s="1867">
        <v>102.64</v>
      </c>
      <c r="G214" s="1773">
        <f t="shared" si="6"/>
        <v>308.45980465815177</v>
      </c>
      <c r="H214" s="432"/>
    </row>
    <row r="215" spans="1:8">
      <c r="A215" s="1776" t="s">
        <v>21</v>
      </c>
      <c r="B215" s="1774">
        <v>822.65</v>
      </c>
      <c r="C215" s="1867">
        <v>203.86</v>
      </c>
      <c r="D215" s="1773">
        <f t="shared" si="5"/>
        <v>247.80891022913755</v>
      </c>
      <c r="E215" s="1774">
        <v>769.92</v>
      </c>
      <c r="F215" s="1867">
        <v>173.14</v>
      </c>
      <c r="G215" s="1773">
        <f t="shared" si="6"/>
        <v>224.88050706566915</v>
      </c>
      <c r="H215" s="432"/>
    </row>
    <row r="216" spans="1:8">
      <c r="A216" s="1776" t="s">
        <v>22</v>
      </c>
      <c r="B216" s="1774">
        <v>598.46</v>
      </c>
      <c r="C216" s="1867">
        <v>186.82</v>
      </c>
      <c r="D216" s="1773">
        <f t="shared" si="5"/>
        <v>312.16789760384984</v>
      </c>
      <c r="E216" s="1774">
        <v>435.24</v>
      </c>
      <c r="F216" s="1867">
        <v>117.33</v>
      </c>
      <c r="G216" s="1773">
        <f t="shared" si="6"/>
        <v>269.5754066721808</v>
      </c>
      <c r="H216" s="432"/>
    </row>
    <row r="217" spans="1:8">
      <c r="A217" s="1776" t="s">
        <v>23</v>
      </c>
      <c r="B217" s="1774">
        <v>534.09</v>
      </c>
      <c r="C217" s="1867">
        <v>230.3</v>
      </c>
      <c r="D217" s="1773">
        <f t="shared" si="5"/>
        <v>431.20073395869605</v>
      </c>
      <c r="E217" s="1774">
        <v>343.75</v>
      </c>
      <c r="F217" s="1867">
        <v>113.45</v>
      </c>
      <c r="G217" s="1773">
        <f t="shared" si="6"/>
        <v>330.0363636363636</v>
      </c>
      <c r="H217" s="432"/>
    </row>
    <row r="218" spans="1:8">
      <c r="A218" s="1776" t="s">
        <v>24</v>
      </c>
      <c r="B218" s="1774">
        <v>558</v>
      </c>
      <c r="C218" s="1867">
        <v>228.61</v>
      </c>
      <c r="D218" s="1773">
        <f t="shared" si="5"/>
        <v>409.69534050179215</v>
      </c>
      <c r="E218" s="1774">
        <v>349.69</v>
      </c>
      <c r="F218" s="1867">
        <v>112.98</v>
      </c>
      <c r="G218" s="1773">
        <f t="shared" si="6"/>
        <v>323.08616202922593</v>
      </c>
      <c r="H218" s="432"/>
    </row>
    <row r="219" spans="1:8">
      <c r="A219" s="1776" t="s">
        <v>25</v>
      </c>
      <c r="B219" s="1774">
        <v>530.91999999999996</v>
      </c>
      <c r="C219" s="1867">
        <v>213.27</v>
      </c>
      <c r="D219" s="1773">
        <f t="shared" si="5"/>
        <v>401.69893769306117</v>
      </c>
      <c r="E219" s="1774">
        <v>329.83</v>
      </c>
      <c r="F219" s="1867">
        <v>115.52</v>
      </c>
      <c r="G219" s="1773">
        <f t="shared" si="6"/>
        <v>350.24103325955798</v>
      </c>
      <c r="H219" s="432"/>
    </row>
    <row r="220" spans="1:8">
      <c r="A220" s="1776" t="s">
        <v>26</v>
      </c>
      <c r="B220" s="1774">
        <v>529.20000000000005</v>
      </c>
      <c r="C220" s="1867">
        <v>215.79</v>
      </c>
      <c r="D220" s="1773">
        <f t="shared" si="5"/>
        <v>407.76643990929699</v>
      </c>
      <c r="E220" s="1774">
        <v>332.85</v>
      </c>
      <c r="F220" s="1867">
        <v>117.9</v>
      </c>
      <c r="G220" s="1773">
        <f t="shared" si="6"/>
        <v>354.21360973411447</v>
      </c>
      <c r="H220" s="432"/>
    </row>
    <row r="221" spans="1:8">
      <c r="A221" s="1776" t="s">
        <v>27</v>
      </c>
      <c r="B221" s="1774">
        <v>501.85</v>
      </c>
      <c r="C221" s="1867">
        <v>197.22</v>
      </c>
      <c r="D221" s="1773">
        <f t="shared" si="5"/>
        <v>392.98595197768253</v>
      </c>
      <c r="E221" s="1774">
        <v>324.27</v>
      </c>
      <c r="F221" s="1867">
        <v>106.31</v>
      </c>
      <c r="G221" s="1773">
        <f t="shared" si="6"/>
        <v>327.84408055015882</v>
      </c>
      <c r="H221" s="432"/>
    </row>
    <row r="222" spans="1:8">
      <c r="A222" s="1776" t="s">
        <v>28</v>
      </c>
      <c r="B222" s="1774">
        <v>478.14</v>
      </c>
      <c r="C222" s="1867">
        <v>197.65</v>
      </c>
      <c r="D222" s="1773">
        <f t="shared" si="5"/>
        <v>413.37265236123318</v>
      </c>
      <c r="E222" s="1774">
        <v>312.20999999999998</v>
      </c>
      <c r="F222" s="1867">
        <v>105.19</v>
      </c>
      <c r="G222" s="1773">
        <f t="shared" si="6"/>
        <v>336.92066237468373</v>
      </c>
      <c r="H222" s="432"/>
    </row>
    <row r="223" spans="1:8">
      <c r="A223" s="1776" t="s">
        <v>29</v>
      </c>
      <c r="B223" s="1774">
        <v>534.14</v>
      </c>
      <c r="C223" s="1867">
        <v>217.29</v>
      </c>
      <c r="D223" s="1773">
        <f t="shared" si="5"/>
        <v>406.80345976710225</v>
      </c>
      <c r="E223" s="1774">
        <v>340.57</v>
      </c>
      <c r="F223" s="1867">
        <v>113.32</v>
      </c>
      <c r="G223" s="1773">
        <f t="shared" si="6"/>
        <v>332.73629503479458</v>
      </c>
      <c r="H223" s="432"/>
    </row>
    <row r="224" spans="1:8">
      <c r="A224" s="1781">
        <v>2021</v>
      </c>
      <c r="B224" s="1780">
        <f>SUM(B225:B236)</f>
        <v>4813.2079999999996</v>
      </c>
      <c r="C224" s="1780">
        <f>SUM(C225:C236)</f>
        <v>2546.4567491099997</v>
      </c>
      <c r="D224" s="1777">
        <f t="shared" si="5"/>
        <v>529.05603686979669</v>
      </c>
      <c r="E224" s="1780">
        <f>SUM(E225:E236)</f>
        <v>2893.1859999999997</v>
      </c>
      <c r="F224" s="1780">
        <f>SUM(F225:F236)</f>
        <v>1633.50937935</v>
      </c>
      <c r="G224" s="1780">
        <f t="shared" si="6"/>
        <v>564.60572508991822</v>
      </c>
      <c r="H224" s="432"/>
    </row>
    <row r="225" spans="1:8">
      <c r="A225" s="1776" t="s">
        <v>18</v>
      </c>
      <c r="B225" s="1774">
        <v>372.91</v>
      </c>
      <c r="C225" s="1867">
        <v>184.25</v>
      </c>
      <c r="D225" s="1773">
        <f t="shared" si="5"/>
        <v>494.08704513153305</v>
      </c>
      <c r="E225" s="1774">
        <v>235.91</v>
      </c>
      <c r="F225" s="1867">
        <v>115.63</v>
      </c>
      <c r="G225" s="1773">
        <f t="shared" si="6"/>
        <v>490.14454664914587</v>
      </c>
      <c r="H225" s="432"/>
    </row>
    <row r="226" spans="1:8">
      <c r="A226" s="1776" t="s">
        <v>19</v>
      </c>
      <c r="B226" s="1774">
        <v>394.41</v>
      </c>
      <c r="C226" s="1867">
        <v>187.43</v>
      </c>
      <c r="D226" s="1773">
        <f t="shared" si="5"/>
        <v>475.21614563525264</v>
      </c>
      <c r="E226" s="1774">
        <v>252.19</v>
      </c>
      <c r="F226" s="1867">
        <v>120.67</v>
      </c>
      <c r="G226" s="1773">
        <f t="shared" si="6"/>
        <v>478.48844125460965</v>
      </c>
      <c r="H226" s="432"/>
    </row>
    <row r="227" spans="1:8">
      <c r="A227" s="1776" t="s">
        <v>20</v>
      </c>
      <c r="B227" s="1774">
        <v>435.2</v>
      </c>
      <c r="C227" s="1867">
        <v>208.33</v>
      </c>
      <c r="D227" s="1773">
        <f t="shared" si="5"/>
        <v>478.69944852941182</v>
      </c>
      <c r="E227" s="1774">
        <v>264.94</v>
      </c>
      <c r="F227" s="1867">
        <v>140.11000000000001</v>
      </c>
      <c r="G227" s="1773">
        <f t="shared" si="6"/>
        <v>528.83671774741458</v>
      </c>
      <c r="H227" s="432"/>
    </row>
    <row r="228" spans="1:8">
      <c r="A228" s="1776" t="s">
        <v>21</v>
      </c>
      <c r="B228" s="1774">
        <v>429.77</v>
      </c>
      <c r="C228" s="1867">
        <v>210.4</v>
      </c>
      <c r="D228" s="1773">
        <f t="shared" si="5"/>
        <v>489.56418549456686</v>
      </c>
      <c r="E228" s="1774">
        <v>272.64</v>
      </c>
      <c r="F228" s="1867">
        <v>145.91</v>
      </c>
      <c r="G228" s="1773">
        <f t="shared" si="6"/>
        <v>535.17458920187801</v>
      </c>
      <c r="H228" s="432"/>
    </row>
    <row r="229" spans="1:8">
      <c r="A229" s="1776" t="s">
        <v>22</v>
      </c>
      <c r="B229" s="1774">
        <v>386.58</v>
      </c>
      <c r="C229" s="1867">
        <v>198.31</v>
      </c>
      <c r="D229" s="1773">
        <f t="shared" si="5"/>
        <v>512.98566920171766</v>
      </c>
      <c r="E229" s="1774">
        <v>224.42</v>
      </c>
      <c r="F229" s="1867">
        <v>124.48</v>
      </c>
      <c r="G229" s="1773">
        <f t="shared" si="6"/>
        <v>554.67427145530701</v>
      </c>
      <c r="H229" s="432"/>
    </row>
    <row r="230" spans="1:8">
      <c r="A230" s="1776" t="s">
        <v>23</v>
      </c>
      <c r="B230" s="1774">
        <v>413.01</v>
      </c>
      <c r="C230" s="1867">
        <v>231.38</v>
      </c>
      <c r="D230" s="1773">
        <f t="shared" si="5"/>
        <v>560.22856589428829</v>
      </c>
      <c r="E230" s="1774">
        <v>235.11</v>
      </c>
      <c r="F230" s="1867">
        <v>139.58000000000001</v>
      </c>
      <c r="G230" s="1773">
        <f t="shared" si="6"/>
        <v>593.67955425120158</v>
      </c>
      <c r="H230" s="432"/>
    </row>
    <row r="231" spans="1:8">
      <c r="A231" s="1776" t="s">
        <v>24</v>
      </c>
      <c r="B231" s="1774">
        <v>413.1</v>
      </c>
      <c r="C231" s="1867">
        <v>224.57</v>
      </c>
      <c r="D231" s="1773">
        <f t="shared" si="5"/>
        <v>543.6213991769547</v>
      </c>
      <c r="E231" s="1774">
        <v>220.62</v>
      </c>
      <c r="F231" s="1867">
        <v>129.97</v>
      </c>
      <c r="G231" s="1773">
        <f t="shared" si="6"/>
        <v>589.1125011331701</v>
      </c>
      <c r="H231" s="432"/>
    </row>
    <row r="232" spans="1:8">
      <c r="A232" s="1776" t="s">
        <v>25</v>
      </c>
      <c r="B232" s="1774">
        <v>407.14</v>
      </c>
      <c r="C232" s="1867">
        <v>224.23</v>
      </c>
      <c r="D232" s="1773">
        <f t="shared" si="5"/>
        <v>550.74421574888243</v>
      </c>
      <c r="E232" s="1774">
        <v>216.92</v>
      </c>
      <c r="F232" s="1867">
        <v>136.49</v>
      </c>
      <c r="G232" s="1773">
        <f t="shared" si="6"/>
        <v>629.21814493822615</v>
      </c>
      <c r="H232" s="432"/>
    </row>
    <row r="233" spans="1:8">
      <c r="A233" s="1776" t="s">
        <v>26</v>
      </c>
      <c r="B233" s="1774">
        <v>396.89</v>
      </c>
      <c r="C233" s="1867">
        <v>227.57</v>
      </c>
      <c r="D233" s="1773">
        <f t="shared" si="5"/>
        <v>573.38305323893269</v>
      </c>
      <c r="E233" s="1774">
        <v>229.12</v>
      </c>
      <c r="F233" s="1867">
        <v>145.34</v>
      </c>
      <c r="G233" s="1773">
        <f t="shared" si="6"/>
        <v>634.34008379888269</v>
      </c>
      <c r="H233" s="432"/>
    </row>
    <row r="234" spans="1:8">
      <c r="A234" s="1776" t="s">
        <v>27</v>
      </c>
      <c r="B234" s="1774">
        <v>384.79</v>
      </c>
      <c r="C234" s="1867">
        <v>224.1</v>
      </c>
      <c r="D234" s="1773">
        <f t="shared" si="5"/>
        <v>582.39559240104984</v>
      </c>
      <c r="E234" s="1774">
        <v>232.4</v>
      </c>
      <c r="F234" s="1867">
        <v>139.84</v>
      </c>
      <c r="G234" s="1773">
        <f t="shared" si="6"/>
        <v>601.72117039586919</v>
      </c>
      <c r="H234" s="432"/>
    </row>
    <row r="235" spans="1:8">
      <c r="A235" s="1776" t="s">
        <v>28</v>
      </c>
      <c r="B235" s="1774">
        <v>366.42599999999999</v>
      </c>
      <c r="C235" s="1867">
        <v>207.66679133</v>
      </c>
      <c r="D235" s="1773">
        <f t="shared" si="5"/>
        <v>566.73596123091704</v>
      </c>
      <c r="E235" s="1774">
        <v>236.941</v>
      </c>
      <c r="F235" s="1867">
        <v>141.02753023</v>
      </c>
      <c r="G235" s="1773">
        <f t="shared" si="6"/>
        <v>595.20104258022036</v>
      </c>
      <c r="H235" s="1540"/>
    </row>
    <row r="236" spans="1:8">
      <c r="A236" s="1776" t="s">
        <v>29</v>
      </c>
      <c r="B236" s="1774">
        <v>412.98200000000003</v>
      </c>
      <c r="C236" s="1867">
        <v>218.21995777999999</v>
      </c>
      <c r="D236" s="1773">
        <f t="shared" ref="D236:D249" si="7">+C236/B236*1000</f>
        <v>528.40065131167933</v>
      </c>
      <c r="E236" s="1774">
        <v>271.97500000000002</v>
      </c>
      <c r="F236" s="1867">
        <v>154.46184912000001</v>
      </c>
      <c r="G236" s="1773">
        <f t="shared" ref="G236:G249" si="8">+F236/E236*1000</f>
        <v>567.92664443423109</v>
      </c>
      <c r="H236" s="432"/>
    </row>
    <row r="237" spans="1:8">
      <c r="A237" s="1776" t="s">
        <v>2892</v>
      </c>
      <c r="B237" s="1777">
        <f>SUM(B238:B249)</f>
        <v>6331.2919999999995</v>
      </c>
      <c r="C237" s="1777">
        <f>SUM(C238:C249)</f>
        <v>5798.6409711300003</v>
      </c>
      <c r="D237" s="1777">
        <f t="shared" si="7"/>
        <v>915.8700895693961</v>
      </c>
      <c r="E237" s="1777">
        <f>SUM(E238:E249)</f>
        <v>2179.0069999999996</v>
      </c>
      <c r="F237" s="1777">
        <f>SUM(F238:F249)</f>
        <v>1004.3912651399999</v>
      </c>
      <c r="G237" s="1777">
        <f t="shared" si="8"/>
        <v>460.93989837572803</v>
      </c>
      <c r="H237" s="432"/>
    </row>
    <row r="238" spans="1:8">
      <c r="A238" s="1776" t="s">
        <v>18</v>
      </c>
      <c r="B238" s="1774">
        <v>303.33300000000003</v>
      </c>
      <c r="C238" s="1867">
        <v>152.37088474999999</v>
      </c>
      <c r="D238" s="1773">
        <f t="shared" si="7"/>
        <v>502.32215007928573</v>
      </c>
      <c r="E238" s="1774">
        <v>197.20099999999999</v>
      </c>
      <c r="F238" s="1867">
        <v>106.54380983999999</v>
      </c>
      <c r="G238" s="1773">
        <f t="shared" si="8"/>
        <v>540.28027160105671</v>
      </c>
      <c r="H238" s="432"/>
    </row>
    <row r="239" spans="1:8">
      <c r="A239" s="1776" t="s">
        <v>19</v>
      </c>
      <c r="B239" s="1774">
        <v>294.709</v>
      </c>
      <c r="C239" s="1867">
        <v>141.55654557</v>
      </c>
      <c r="D239" s="1773">
        <f t="shared" si="7"/>
        <v>480.32651045607702</v>
      </c>
      <c r="E239" s="1774">
        <v>199.304</v>
      </c>
      <c r="F239" s="1867">
        <v>92.19608848</v>
      </c>
      <c r="G239" s="1773">
        <f t="shared" si="8"/>
        <v>462.59025649259422</v>
      </c>
      <c r="H239" s="432"/>
    </row>
    <row r="240" spans="1:8">
      <c r="A240" s="1776" t="s">
        <v>20</v>
      </c>
      <c r="B240" s="1774">
        <v>269.529</v>
      </c>
      <c r="C240" s="1867">
        <v>112.2229392</v>
      </c>
      <c r="D240" s="1773">
        <f t="shared" si="7"/>
        <v>416.36684438409225</v>
      </c>
      <c r="E240" s="1774">
        <v>186.846</v>
      </c>
      <c r="F240" s="1867">
        <v>84.521736809999993</v>
      </c>
      <c r="G240" s="1773">
        <f t="shared" si="8"/>
        <v>452.36042949808927</v>
      </c>
      <c r="H240" s="432"/>
    </row>
    <row r="241" spans="1:8">
      <c r="A241" s="1776" t="s">
        <v>21</v>
      </c>
      <c r="B241" s="1774">
        <v>559.97299999999996</v>
      </c>
      <c r="C241" s="1867">
        <v>646.4460752</v>
      </c>
      <c r="D241" s="1773">
        <f t="shared" si="7"/>
        <v>1154.423651140323</v>
      </c>
      <c r="E241" s="1774">
        <v>207.535</v>
      </c>
      <c r="F241" s="1867">
        <v>90.209881050000007</v>
      </c>
      <c r="G241" s="1773">
        <f t="shared" si="8"/>
        <v>434.67309634519484</v>
      </c>
      <c r="H241" s="432"/>
    </row>
    <row r="242" spans="1:8">
      <c r="A242" s="1776" t="s">
        <v>22</v>
      </c>
      <c r="B242" s="1774">
        <v>615.47</v>
      </c>
      <c r="C242" s="1867">
        <v>744.53237643</v>
      </c>
      <c r="D242" s="1773">
        <f t="shared" si="7"/>
        <v>1209.6972662030644</v>
      </c>
      <c r="E242" s="1774">
        <v>186.26499999999999</v>
      </c>
      <c r="F242" s="1867">
        <v>80.02442112</v>
      </c>
      <c r="G242" s="1773">
        <f t="shared" si="8"/>
        <v>429.62672063994847</v>
      </c>
      <c r="H242" s="432"/>
    </row>
    <row r="243" spans="1:8">
      <c r="A243" s="1776" t="s">
        <v>23</v>
      </c>
      <c r="B243" s="1774">
        <v>722.01700000000005</v>
      </c>
      <c r="C243" s="1867">
        <v>829.83250585999997</v>
      </c>
      <c r="D243" s="1773">
        <f t="shared" si="7"/>
        <v>1149.325439511812</v>
      </c>
      <c r="E243" s="1774">
        <v>184.346</v>
      </c>
      <c r="F243" s="1867">
        <v>82.359443659999997</v>
      </c>
      <c r="G243" s="1773">
        <f t="shared" si="8"/>
        <v>446.76555856921226</v>
      </c>
      <c r="H243" s="432"/>
    </row>
    <row r="244" spans="1:8">
      <c r="A244" s="1776" t="s">
        <v>24</v>
      </c>
      <c r="B244" s="1774">
        <v>649.16099999999994</v>
      </c>
      <c r="C244" s="1867">
        <v>588.11941747000003</v>
      </c>
      <c r="D244" s="1773">
        <f t="shared" si="7"/>
        <v>905.96850006392879</v>
      </c>
      <c r="E244" s="1774">
        <v>163.708</v>
      </c>
      <c r="F244" s="1867">
        <v>67.36881846</v>
      </c>
      <c r="G244" s="1773">
        <f t="shared" si="8"/>
        <v>411.5181815183131</v>
      </c>
      <c r="H244" s="432"/>
    </row>
    <row r="245" spans="1:8">
      <c r="A245" s="1776" t="s">
        <v>25</v>
      </c>
      <c r="B245" s="1774">
        <v>674.63099999999997</v>
      </c>
      <c r="C245" s="1867">
        <v>545.95442357000002</v>
      </c>
      <c r="D245" s="1773">
        <f t="shared" si="7"/>
        <v>809.26376577714348</v>
      </c>
      <c r="E245" s="1774">
        <v>174.93299999999999</v>
      </c>
      <c r="F245" s="1867">
        <v>79.7483766</v>
      </c>
      <c r="G245" s="1773">
        <f t="shared" si="8"/>
        <v>455.87954588328108</v>
      </c>
      <c r="H245" s="432"/>
    </row>
    <row r="246" spans="1:8">
      <c r="A246" s="1776" t="s">
        <v>26</v>
      </c>
      <c r="B246" s="1774">
        <v>646.678</v>
      </c>
      <c r="C246" s="1867">
        <v>658.87638109</v>
      </c>
      <c r="D246" s="1773">
        <f t="shared" si="7"/>
        <v>1018.8631453211646</v>
      </c>
      <c r="E246" s="1774">
        <v>182.74299999999999</v>
      </c>
      <c r="F246" s="1867">
        <v>84.375534549999998</v>
      </c>
      <c r="G246" s="1773">
        <f t="shared" si="8"/>
        <v>461.71691692705059</v>
      </c>
      <c r="H246" s="432"/>
    </row>
    <row r="247" spans="1:8">
      <c r="A247" s="1776" t="s">
        <v>27</v>
      </c>
      <c r="B247" s="1774">
        <v>593.06600000000003</v>
      </c>
      <c r="C247" s="1867">
        <v>504.36361791000002</v>
      </c>
      <c r="D247" s="1773">
        <f t="shared" si="7"/>
        <v>850.43421458994442</v>
      </c>
      <c r="E247" s="1774">
        <v>165.745</v>
      </c>
      <c r="F247" s="1867">
        <v>73.313266970000001</v>
      </c>
      <c r="G247" s="1773">
        <f t="shared" si="8"/>
        <v>442.32566273492415</v>
      </c>
      <c r="H247" s="432"/>
    </row>
    <row r="248" spans="1:8">
      <c r="A248" s="1776" t="s">
        <v>28</v>
      </c>
      <c r="B248" s="1774">
        <v>494.35199999999998</v>
      </c>
      <c r="C248" s="1867">
        <v>474.49482920999998</v>
      </c>
      <c r="D248" s="1773">
        <f t="shared" si="7"/>
        <v>959.8319197859015</v>
      </c>
      <c r="E248" s="1774">
        <v>154.41399999999999</v>
      </c>
      <c r="F248" s="1867">
        <v>73.858214610000005</v>
      </c>
      <c r="G248" s="1773">
        <f t="shared" si="8"/>
        <v>478.31294189646025</v>
      </c>
      <c r="H248" s="432"/>
    </row>
    <row r="249" spans="1:8">
      <c r="A249" s="1776" t="s">
        <v>29</v>
      </c>
      <c r="B249" s="1774">
        <v>508.37299999999999</v>
      </c>
      <c r="C249" s="1867">
        <v>399.87097487</v>
      </c>
      <c r="D249" s="1773">
        <f t="shared" si="7"/>
        <v>786.57004772086634</v>
      </c>
      <c r="E249" s="1774">
        <v>175.96700000000001</v>
      </c>
      <c r="F249" s="1867">
        <v>89.871672989999993</v>
      </c>
      <c r="G249" s="1773">
        <f t="shared" si="8"/>
        <v>510.73026755016559</v>
      </c>
      <c r="H249" s="432"/>
    </row>
    <row r="250" spans="1:8">
      <c r="A250" s="1776" t="s">
        <v>3605</v>
      </c>
      <c r="B250" s="1777">
        <f>SUM(B251:B262)</f>
        <v>4686.4080000000004</v>
      </c>
      <c r="C250" s="1932">
        <f>SUM(C251:C262)</f>
        <v>2468.00024046</v>
      </c>
      <c r="D250" s="1777">
        <f t="shared" ref="D250" si="9">+C250/B250*1000</f>
        <v>526.62940155018509</v>
      </c>
      <c r="E250" s="1777">
        <f>SUM(E251:E262)</f>
        <v>1400.829</v>
      </c>
      <c r="F250" s="1932">
        <f>SUM(F251:F262)</f>
        <v>616.44565897000007</v>
      </c>
      <c r="G250" s="1777">
        <f t="shared" ref="G250" si="10">+F250/E250*1000</f>
        <v>440.05775078185854</v>
      </c>
      <c r="H250" s="432"/>
    </row>
    <row r="251" spans="1:8">
      <c r="A251" s="1776" t="s">
        <v>18</v>
      </c>
      <c r="B251" s="1774">
        <v>415.26</v>
      </c>
      <c r="C251" s="1867">
        <v>249.83574229000001</v>
      </c>
      <c r="D251" s="1773">
        <f t="shared" ref="D251:D265" si="11">+C251/B251*1000</f>
        <v>601.63690769638299</v>
      </c>
      <c r="E251" s="1774">
        <v>119.70699999999999</v>
      </c>
      <c r="F251" s="1867">
        <v>62.400749519999998</v>
      </c>
      <c r="G251" s="1773">
        <f t="shared" ref="G251:G265" si="12">+F251/E251*1000</f>
        <v>521.27903564536746</v>
      </c>
      <c r="H251" s="432"/>
    </row>
    <row r="252" spans="1:8">
      <c r="A252" s="1776" t="s">
        <v>19</v>
      </c>
      <c r="B252" s="1774">
        <v>392.39400000000001</v>
      </c>
      <c r="C252" s="1867">
        <v>212.59366778</v>
      </c>
      <c r="D252" s="1773">
        <f t="shared" si="11"/>
        <v>541.78623470287516</v>
      </c>
      <c r="E252" s="1774">
        <v>133.548</v>
      </c>
      <c r="F252" s="1867">
        <v>61.735612639999999</v>
      </c>
      <c r="G252" s="1773">
        <f t="shared" si="12"/>
        <v>462.27283553478901</v>
      </c>
      <c r="H252" s="432"/>
    </row>
    <row r="253" spans="1:8">
      <c r="A253" s="1776" t="s">
        <v>20</v>
      </c>
      <c r="B253" s="1774">
        <v>399.89600000000002</v>
      </c>
      <c r="C253" s="1867">
        <v>210.3562125</v>
      </c>
      <c r="D253" s="1773">
        <f t="shared" si="11"/>
        <v>526.02729834757031</v>
      </c>
      <c r="E253" s="1774">
        <v>125.99</v>
      </c>
      <c r="F253" s="1867">
        <v>50.700010370000001</v>
      </c>
      <c r="G253" s="1773">
        <f t="shared" si="12"/>
        <v>402.41297222001748</v>
      </c>
      <c r="H253" s="432"/>
    </row>
    <row r="254" spans="1:8">
      <c r="A254" s="1776" t="s">
        <v>21</v>
      </c>
      <c r="B254" s="1774">
        <v>373.75400000000002</v>
      </c>
      <c r="C254" s="1867">
        <v>180.35123949999999</v>
      </c>
      <c r="D254" s="1773">
        <f t="shared" si="11"/>
        <v>482.53995810078283</v>
      </c>
      <c r="E254" s="1774">
        <v>122.78100000000001</v>
      </c>
      <c r="F254" s="1867">
        <v>50.281178599999997</v>
      </c>
      <c r="G254" s="1773">
        <f t="shared" si="12"/>
        <v>409.51921388488444</v>
      </c>
      <c r="H254" s="432"/>
    </row>
    <row r="255" spans="1:8">
      <c r="A255" s="1776" t="s">
        <v>22</v>
      </c>
      <c r="B255" s="1774">
        <v>418.06</v>
      </c>
      <c r="C255" s="1867">
        <v>229.08531984000001</v>
      </c>
      <c r="D255" s="1773">
        <f t="shared" si="11"/>
        <v>547.97234808400708</v>
      </c>
      <c r="E255" s="1774">
        <v>120.601</v>
      </c>
      <c r="F255" s="1867">
        <v>50.590260970000003</v>
      </c>
      <c r="G255" s="1773">
        <f t="shared" si="12"/>
        <v>419.48458943126508</v>
      </c>
      <c r="H255" s="432"/>
    </row>
    <row r="256" spans="1:8">
      <c r="A256" s="1776" t="s">
        <v>23</v>
      </c>
      <c r="B256" s="1774">
        <v>375.71499999999997</v>
      </c>
      <c r="C256" s="1867">
        <v>217.55322293</v>
      </c>
      <c r="D256" s="1773">
        <f t="shared" si="11"/>
        <v>579.03789555913397</v>
      </c>
      <c r="E256" s="1774">
        <v>102.861</v>
      </c>
      <c r="F256" s="1867">
        <v>44.577700720000003</v>
      </c>
      <c r="G256" s="1773">
        <f t="shared" si="12"/>
        <v>433.37806087827261</v>
      </c>
      <c r="H256" s="432"/>
    </row>
    <row r="257" spans="1:8">
      <c r="A257" s="1776" t="s">
        <v>24</v>
      </c>
      <c r="B257" s="1774">
        <v>412.56099999999998</v>
      </c>
      <c r="C257" s="1867">
        <v>209.15187133000001</v>
      </c>
      <c r="D257" s="1773">
        <f t="shared" si="11"/>
        <v>506.95987097665562</v>
      </c>
      <c r="E257" s="1774">
        <v>109.43600000000001</v>
      </c>
      <c r="F257" s="1867">
        <v>47.313207759999997</v>
      </c>
      <c r="G257" s="1773">
        <f t="shared" si="12"/>
        <v>432.33677912204388</v>
      </c>
      <c r="H257" s="432"/>
    </row>
    <row r="258" spans="1:8">
      <c r="A258" s="1776" t="s">
        <v>25</v>
      </c>
      <c r="B258" s="1774">
        <v>383.67099999999999</v>
      </c>
      <c r="C258" s="1867">
        <v>185.69631903999999</v>
      </c>
      <c r="D258" s="1773">
        <f t="shared" si="11"/>
        <v>483.9988402563655</v>
      </c>
      <c r="E258" s="1774">
        <v>104.146</v>
      </c>
      <c r="F258" s="1867">
        <v>48.244791480000004</v>
      </c>
      <c r="G258" s="1773">
        <f t="shared" si="12"/>
        <v>463.24190540203182</v>
      </c>
      <c r="H258" s="432"/>
    </row>
    <row r="259" spans="1:8">
      <c r="A259" s="1776" t="s">
        <v>26</v>
      </c>
      <c r="B259" s="1774">
        <v>387.21199999999999</v>
      </c>
      <c r="C259" s="1867">
        <v>189.42261429999999</v>
      </c>
      <c r="D259" s="1773">
        <f t="shared" si="11"/>
        <v>489.19613622511696</v>
      </c>
      <c r="E259" s="1774">
        <v>105.923</v>
      </c>
      <c r="F259" s="1867">
        <v>49.061813780000001</v>
      </c>
      <c r="G259" s="1773">
        <f t="shared" si="12"/>
        <v>463.18376348857186</v>
      </c>
      <c r="H259" s="432"/>
    </row>
    <row r="260" spans="1:8">
      <c r="A260" s="1776" t="s">
        <v>27</v>
      </c>
      <c r="B260" s="1774">
        <v>382.46699999999998</v>
      </c>
      <c r="C260" s="1867">
        <v>192.15268778000001</v>
      </c>
      <c r="D260" s="1773">
        <f t="shared" si="11"/>
        <v>502.4033126518105</v>
      </c>
      <c r="E260" s="1774">
        <v>110.934</v>
      </c>
      <c r="F260" s="1867">
        <v>52.022195889999999</v>
      </c>
      <c r="G260" s="1773">
        <f t="shared" si="12"/>
        <v>468.94726495033086</v>
      </c>
      <c r="H260" s="432"/>
    </row>
    <row r="261" spans="1:8">
      <c r="A261" s="1776" t="s">
        <v>28</v>
      </c>
      <c r="B261" s="1774">
        <v>353.798</v>
      </c>
      <c r="C261" s="1867">
        <v>191.02361851000001</v>
      </c>
      <c r="D261" s="1773">
        <f t="shared" si="11"/>
        <v>539.92283311381073</v>
      </c>
      <c r="E261" s="1774">
        <v>113.093</v>
      </c>
      <c r="F261" s="1867">
        <v>47.87313803</v>
      </c>
      <c r="G261" s="1773">
        <f t="shared" si="12"/>
        <v>423.30770277559179</v>
      </c>
      <c r="H261" s="432"/>
    </row>
    <row r="262" spans="1:8">
      <c r="A262" s="1776" t="s">
        <v>29</v>
      </c>
      <c r="B262" s="1774">
        <v>391.62</v>
      </c>
      <c r="C262" s="1867">
        <v>200.77772465999999</v>
      </c>
      <c r="D262" s="1773">
        <f t="shared" si="11"/>
        <v>512.68506373525361</v>
      </c>
      <c r="E262" s="1774">
        <v>131.809</v>
      </c>
      <c r="F262" s="1867">
        <v>51.644999210000002</v>
      </c>
      <c r="G262" s="1773">
        <f t="shared" si="12"/>
        <v>391.8169412559082</v>
      </c>
      <c r="H262" s="432"/>
    </row>
    <row r="263" spans="1:8">
      <c r="A263" s="1776" t="s">
        <v>4086</v>
      </c>
      <c r="B263" s="1774"/>
      <c r="C263" s="1867"/>
      <c r="D263" s="1773"/>
      <c r="E263" s="1774"/>
      <c r="F263" s="1867"/>
      <c r="G263" s="1773"/>
      <c r="H263" s="432"/>
    </row>
    <row r="264" spans="1:8">
      <c r="A264" s="1776" t="s">
        <v>18</v>
      </c>
      <c r="B264" s="1774">
        <v>305.99900000000002</v>
      </c>
      <c r="C264" s="1867">
        <v>166.51175799000001</v>
      </c>
      <c r="D264" s="1773">
        <f t="shared" si="11"/>
        <v>544.15785015637312</v>
      </c>
      <c r="E264" s="1774">
        <v>94.406999999999996</v>
      </c>
      <c r="F264" s="1867">
        <v>41.366510009999999</v>
      </c>
      <c r="G264" s="1773">
        <f t="shared" si="12"/>
        <v>438.17206361816392</v>
      </c>
      <c r="H264" s="432"/>
    </row>
    <row r="265" spans="1:8" ht="12" customHeight="1">
      <c r="A265" s="1931" t="s">
        <v>19</v>
      </c>
      <c r="B265" s="1930">
        <v>299.14400000000001</v>
      </c>
      <c r="C265" s="1929">
        <v>151.43853899000001</v>
      </c>
      <c r="D265" s="1928">
        <f t="shared" si="11"/>
        <v>506.23960029283552</v>
      </c>
      <c r="E265" s="1930">
        <v>103.57</v>
      </c>
      <c r="F265" s="1929">
        <v>45.991003550000002</v>
      </c>
      <c r="G265" s="1928">
        <f t="shared" si="12"/>
        <v>444.05719368543015</v>
      </c>
      <c r="H265" s="432"/>
    </row>
    <row r="266" spans="1:8" ht="13.8">
      <c r="A266" s="2778" t="s">
        <v>3749</v>
      </c>
      <c r="B266" s="2778"/>
      <c r="C266" s="2778"/>
      <c r="D266" s="2778"/>
      <c r="E266" s="2778"/>
      <c r="F266" s="2778"/>
      <c r="G266" s="2778"/>
      <c r="H266" s="1927"/>
    </row>
    <row r="267" spans="1:8" ht="13.8">
      <c r="A267" s="2778" t="s">
        <v>3350</v>
      </c>
      <c r="B267" s="2778"/>
      <c r="C267" s="2778"/>
      <c r="D267" s="2778"/>
      <c r="E267" s="2778"/>
      <c r="F267" s="2778"/>
      <c r="G267" s="2778"/>
    </row>
  </sheetData>
  <mergeCells count="13">
    <mergeCell ref="A266:G266"/>
    <mergeCell ref="A267:G267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5"/>
  <sheetViews>
    <sheetView showGridLines="0" view="pageBreakPreview" zoomScale="130" zoomScaleNormal="100" zoomScaleSheetLayoutView="130" workbookViewId="0">
      <pane ySplit="12" topLeftCell="A47" activePane="bottomLeft" state="frozen"/>
      <selection activeCell="G291" sqref="G291"/>
      <selection pane="bottomLeft" activeCell="H59" sqref="H59"/>
    </sheetView>
  </sheetViews>
  <sheetFormatPr defaultColWidth="8.88671875" defaultRowHeight="13.2"/>
  <cols>
    <col min="1" max="1" width="9.109375" style="1768" customWidth="1"/>
    <col min="2" max="7" width="14.88671875" style="1767" customWidth="1"/>
    <col min="8" max="9" width="8.88671875" style="1767"/>
    <col min="10" max="10" width="9.109375" style="1767" bestFit="1" customWidth="1"/>
    <col min="11" max="73" width="8.88671875" style="1767"/>
    <col min="74" max="74" width="0" style="1767" hidden="1" customWidth="1"/>
    <col min="75" max="16384" width="8.88671875" style="1767"/>
  </cols>
  <sheetData>
    <row r="1" spans="1:76" ht="12" customHeight="1">
      <c r="A1" s="2785" t="s">
        <v>3871</v>
      </c>
      <c r="B1" s="2785"/>
      <c r="C1" s="2785"/>
      <c r="D1" s="2785"/>
      <c r="E1" s="2785"/>
      <c r="F1" s="2785"/>
      <c r="G1" s="2785"/>
    </row>
    <row r="2" spans="1:76" s="1799" customFormat="1" ht="15.75" customHeight="1">
      <c r="A2" s="2785"/>
      <c r="B2" s="2785"/>
      <c r="C2" s="2785"/>
      <c r="D2" s="2785"/>
      <c r="E2" s="2785"/>
      <c r="F2" s="2785"/>
      <c r="G2" s="2785"/>
    </row>
    <row r="3" spans="1:76" ht="18.75" customHeight="1">
      <c r="A3" s="2786" t="s">
        <v>3872</v>
      </c>
      <c r="B3" s="2786"/>
      <c r="C3" s="2786"/>
      <c r="D3" s="2786"/>
      <c r="E3" s="2786"/>
      <c r="F3" s="2786"/>
      <c r="G3" s="2786"/>
    </row>
    <row r="4" spans="1:76" ht="9" customHeight="1">
      <c r="A4" s="1943"/>
      <c r="B4" s="1943"/>
      <c r="C4" s="1943"/>
      <c r="D4" s="1943"/>
      <c r="E4" s="1943"/>
      <c r="F4" s="1943"/>
      <c r="G4" s="1943"/>
    </row>
    <row r="5" spans="1:76" ht="10.5" customHeight="1">
      <c r="A5" s="1679"/>
      <c r="B5" s="1679"/>
      <c r="C5" s="1679"/>
      <c r="D5" s="1679"/>
      <c r="E5" s="1679"/>
      <c r="F5" s="1679"/>
      <c r="G5" s="1679"/>
    </row>
    <row r="6" spans="1:76" ht="10.5" customHeight="1">
      <c r="A6" s="1798"/>
      <c r="B6" s="1798"/>
      <c r="C6" s="1798"/>
      <c r="D6" s="1798"/>
      <c r="E6" s="1798"/>
      <c r="F6" s="1798"/>
      <c r="G6" s="1798"/>
    </row>
    <row r="7" spans="1:76" ht="12.75" customHeight="1">
      <c r="A7" s="2222" t="s">
        <v>182</v>
      </c>
      <c r="B7" s="2222" t="s">
        <v>3882</v>
      </c>
      <c r="C7" s="2222"/>
      <c r="D7" s="2222"/>
      <c r="E7" s="2222" t="s">
        <v>3873</v>
      </c>
      <c r="F7" s="2222"/>
      <c r="G7" s="2222"/>
    </row>
    <row r="8" spans="1:76">
      <c r="A8" s="2222"/>
      <c r="B8" s="2222"/>
      <c r="C8" s="2222"/>
      <c r="D8" s="2222"/>
      <c r="E8" s="2222"/>
      <c r="F8" s="2222"/>
      <c r="G8" s="2222"/>
    </row>
    <row r="9" spans="1:76" ht="52.5" customHeight="1">
      <c r="A9" s="2222"/>
      <c r="B9" s="1756" t="s">
        <v>3874</v>
      </c>
      <c r="C9" s="1756" t="s">
        <v>242</v>
      </c>
      <c r="D9" s="1756" t="s">
        <v>3559</v>
      </c>
      <c r="E9" s="1756" t="s">
        <v>3874</v>
      </c>
      <c r="F9" s="1756" t="s">
        <v>242</v>
      </c>
      <c r="G9" s="1756" t="s">
        <v>3559</v>
      </c>
      <c r="BW9" s="1797" t="s">
        <v>2089</v>
      </c>
      <c r="BX9" s="1796" t="s">
        <v>2090</v>
      </c>
    </row>
    <row r="10" spans="1:76" ht="12.75" customHeight="1">
      <c r="A10" s="2283" t="s">
        <v>304</v>
      </c>
      <c r="B10" s="2283" t="s">
        <v>1009</v>
      </c>
      <c r="C10" s="2283"/>
      <c r="D10" s="2283"/>
      <c r="E10" s="2283" t="s">
        <v>3875</v>
      </c>
      <c r="F10" s="2283"/>
      <c r="G10" s="2283"/>
      <c r="BS10" s="1767" t="e">
        <f>BS12+#REF!+#REF!+#REF!</f>
        <v>#REF!</v>
      </c>
      <c r="BW10" s="1767" t="e">
        <f>BW12+#REF!+#REF!+#REF!</f>
        <v>#REF!</v>
      </c>
      <c r="BX10" s="1787" t="e">
        <f>BS10+BT10+BU10+BW10</f>
        <v>#REF!</v>
      </c>
    </row>
    <row r="11" spans="1:76" ht="12" customHeight="1">
      <c r="A11" s="2283"/>
      <c r="B11" s="2283"/>
      <c r="C11" s="2283"/>
      <c r="D11" s="2283"/>
      <c r="E11" s="2283"/>
      <c r="F11" s="2283"/>
      <c r="G11" s="2283"/>
      <c r="BX11" s="1787"/>
    </row>
    <row r="12" spans="1:76" ht="46.5" customHeight="1">
      <c r="A12" s="2283"/>
      <c r="B12" s="1757" t="s">
        <v>3876</v>
      </c>
      <c r="C12" s="1757" t="s">
        <v>3877</v>
      </c>
      <c r="D12" s="1757" t="s">
        <v>3878</v>
      </c>
      <c r="E12" s="1757" t="s">
        <v>3876</v>
      </c>
      <c r="F12" s="1757" t="s">
        <v>3877</v>
      </c>
      <c r="G12" s="1757" t="s">
        <v>3878</v>
      </c>
      <c r="BW12" s="1767" t="e">
        <f>#REF!+#REF!</f>
        <v>#REF!</v>
      </c>
      <c r="BX12" s="1787" t="e">
        <f>BS12+BT12+BU12+BW12</f>
        <v>#REF!</v>
      </c>
    </row>
    <row r="13" spans="1:76">
      <c r="A13" s="1855">
        <v>2021</v>
      </c>
      <c r="B13" s="1855">
        <f t="shared" ref="B13:G13" si="0">SUM(B14:B25)</f>
        <v>91853.839000000007</v>
      </c>
      <c r="C13" s="1778">
        <f t="shared" si="0"/>
        <v>89.864000000000004</v>
      </c>
      <c r="D13" s="1778">
        <f t="shared" si="0"/>
        <v>45.247</v>
      </c>
      <c r="E13" s="1855">
        <f t="shared" si="0"/>
        <v>4705.9855538499996</v>
      </c>
      <c r="F13" s="1778">
        <f t="shared" si="0"/>
        <v>19.104749730000002</v>
      </c>
      <c r="G13" s="1778">
        <f t="shared" si="0"/>
        <v>5.3257566700000005</v>
      </c>
      <c r="BX13" s="1787"/>
    </row>
    <row r="14" spans="1:76">
      <c r="A14" s="1776" t="s">
        <v>18</v>
      </c>
      <c r="B14" s="1849">
        <v>5638.7470000000003</v>
      </c>
      <c r="C14" s="1774">
        <v>5.73</v>
      </c>
      <c r="D14" s="1774">
        <v>1.921</v>
      </c>
      <c r="E14" s="1849">
        <v>290.90560776999996</v>
      </c>
      <c r="F14" s="1774">
        <v>1.1702147700000001</v>
      </c>
      <c r="G14" s="1774">
        <v>0.24410524</v>
      </c>
      <c r="BX14" s="1787"/>
    </row>
    <row r="15" spans="1:76">
      <c r="A15" s="1776" t="s">
        <v>19</v>
      </c>
      <c r="B15" s="1849">
        <v>5573.2020000000002</v>
      </c>
      <c r="C15" s="1774">
        <v>5.5209999999999999</v>
      </c>
      <c r="D15" s="1774">
        <v>1.8720000000000001</v>
      </c>
      <c r="E15" s="1849">
        <v>287.51812044000002</v>
      </c>
      <c r="F15" s="1774">
        <v>1.1242425199999999</v>
      </c>
      <c r="G15" s="1774">
        <v>0.21491028000000001</v>
      </c>
      <c r="BX15" s="1787"/>
    </row>
    <row r="16" spans="1:76">
      <c r="A16" s="1776" t="s">
        <v>20</v>
      </c>
      <c r="B16" s="1849">
        <v>6869.3850000000002</v>
      </c>
      <c r="C16" s="1774">
        <v>6.83</v>
      </c>
      <c r="D16" s="1774">
        <v>3.0169999999999999</v>
      </c>
      <c r="E16" s="1849">
        <v>356.80157874999998</v>
      </c>
      <c r="F16" s="1774">
        <v>1.4227481199999998</v>
      </c>
      <c r="G16" s="1774">
        <v>0.31602637</v>
      </c>
      <c r="BX16" s="1787"/>
    </row>
    <row r="17" spans="1:76">
      <c r="A17" s="1776" t="s">
        <v>21</v>
      </c>
      <c r="B17" s="1849">
        <v>6391.94</v>
      </c>
      <c r="C17" s="1774">
        <v>6.8949999999999996</v>
      </c>
      <c r="D17" s="1774">
        <v>2.4860000000000002</v>
      </c>
      <c r="E17" s="1849">
        <v>325.24615839000001</v>
      </c>
      <c r="F17" s="1774">
        <v>1.3785201100000002</v>
      </c>
      <c r="G17" s="1774">
        <v>0.31007686000000001</v>
      </c>
      <c r="BX17" s="1787"/>
    </row>
    <row r="18" spans="1:76">
      <c r="A18" s="1776" t="s">
        <v>22</v>
      </c>
      <c r="B18" s="1849">
        <v>6517.3270000000002</v>
      </c>
      <c r="C18" s="1774">
        <v>6.1909999999999998</v>
      </c>
      <c r="D18" s="1774">
        <v>2.4020000000000001</v>
      </c>
      <c r="E18" s="1849">
        <v>333.95033794</v>
      </c>
      <c r="F18" s="1774">
        <v>1.2291442000000001</v>
      </c>
      <c r="G18" s="1774">
        <v>0.30204331000000001</v>
      </c>
      <c r="BX18" s="1787"/>
    </row>
    <row r="19" spans="1:76">
      <c r="A19" s="1776" t="s">
        <v>23</v>
      </c>
      <c r="B19" s="1849">
        <v>7728.8959999999997</v>
      </c>
      <c r="C19" s="1774">
        <v>6.9420000000000002</v>
      </c>
      <c r="D19" s="1774">
        <v>3.601</v>
      </c>
      <c r="E19" s="1849">
        <v>384.80414675999998</v>
      </c>
      <c r="F19" s="1774">
        <v>1.6051996399999999</v>
      </c>
      <c r="G19" s="1774">
        <v>0.53680695999999994</v>
      </c>
      <c r="BX19" s="1787"/>
    </row>
    <row r="20" spans="1:76">
      <c r="A20" s="1776" t="s">
        <v>24</v>
      </c>
      <c r="B20" s="1849">
        <v>7464.8180000000002</v>
      </c>
      <c r="C20" s="1774">
        <v>7.0170000000000003</v>
      </c>
      <c r="D20" s="1774">
        <v>4.3209999999999997</v>
      </c>
      <c r="E20" s="1849">
        <v>393.91488482</v>
      </c>
      <c r="F20" s="1774">
        <v>1.5555110599999999</v>
      </c>
      <c r="G20" s="1774">
        <v>0.47327085999999996</v>
      </c>
      <c r="BX20" s="1787"/>
    </row>
    <row r="21" spans="1:76">
      <c r="A21" s="1776" t="s">
        <v>25</v>
      </c>
      <c r="B21" s="1849">
        <v>8143.0169999999998</v>
      </c>
      <c r="C21" s="1774">
        <v>8.1639999999999997</v>
      </c>
      <c r="D21" s="1774">
        <v>5.3209999999999997</v>
      </c>
      <c r="E21" s="1849">
        <v>419.70021362</v>
      </c>
      <c r="F21" s="1774">
        <v>1.9100890299999997</v>
      </c>
      <c r="G21" s="1774">
        <v>0.58777029999999997</v>
      </c>
      <c r="BX21" s="1787"/>
    </row>
    <row r="22" spans="1:76">
      <c r="A22" s="1776" t="s">
        <v>26</v>
      </c>
      <c r="B22" s="1849">
        <v>8144.3530000000001</v>
      </c>
      <c r="C22" s="1774">
        <v>7.8319999999999999</v>
      </c>
      <c r="D22" s="1774">
        <v>4.6779999999999999</v>
      </c>
      <c r="E22" s="1849">
        <v>423.56470293000001</v>
      </c>
      <c r="F22" s="1774">
        <v>1.7376005000000001</v>
      </c>
      <c r="G22" s="1774">
        <v>0.50008386999999999</v>
      </c>
      <c r="BX22" s="1787"/>
    </row>
    <row r="23" spans="1:76">
      <c r="A23" s="1776" t="s">
        <v>27</v>
      </c>
      <c r="B23" s="1849">
        <v>8679.6530000000002</v>
      </c>
      <c r="C23" s="1774">
        <v>7.8659999999999997</v>
      </c>
      <c r="D23" s="1774">
        <v>4.4649999999999999</v>
      </c>
      <c r="E23" s="1849">
        <v>433.16883010000004</v>
      </c>
      <c r="F23" s="1774">
        <v>1.7006910200000001</v>
      </c>
      <c r="G23" s="1774">
        <v>0.52075527999999993</v>
      </c>
      <c r="BX23" s="1787"/>
    </row>
    <row r="24" spans="1:76">
      <c r="A24" s="1776" t="s">
        <v>28</v>
      </c>
      <c r="B24" s="1849">
        <v>10059.825999999999</v>
      </c>
      <c r="C24" s="1774">
        <v>10.34</v>
      </c>
      <c r="D24" s="1774">
        <v>5.2039999999999997</v>
      </c>
      <c r="E24" s="1849">
        <v>498.49068463999998</v>
      </c>
      <c r="F24" s="1774">
        <v>2.0796970099999998</v>
      </c>
      <c r="G24" s="1774">
        <v>0.59922401000000003</v>
      </c>
      <c r="BX24" s="1787"/>
    </row>
    <row r="25" spans="1:76">
      <c r="A25" s="1855">
        <v>12</v>
      </c>
      <c r="B25" s="1849">
        <v>10642.674999999999</v>
      </c>
      <c r="C25" s="1774">
        <v>10.536</v>
      </c>
      <c r="D25" s="1774">
        <v>5.9589999999999996</v>
      </c>
      <c r="E25" s="1849">
        <v>557.9202876899999</v>
      </c>
      <c r="F25" s="1774">
        <v>2.19109175</v>
      </c>
      <c r="G25" s="1774">
        <v>0.72068332999999996</v>
      </c>
      <c r="BX25" s="1787"/>
    </row>
    <row r="26" spans="1:76">
      <c r="A26" s="1776" t="s">
        <v>2892</v>
      </c>
      <c r="B26" s="1855">
        <f t="shared" ref="B26:G26" si="1">SUM(B27:B38)</f>
        <v>206759.17899999997</v>
      </c>
      <c r="C26" s="1777">
        <f t="shared" si="1"/>
        <v>150.17400000000001</v>
      </c>
      <c r="D26" s="1777">
        <f t="shared" si="1"/>
        <v>106.012</v>
      </c>
      <c r="E26" s="1855">
        <f t="shared" si="1"/>
        <v>10111.560517090002</v>
      </c>
      <c r="F26" s="1777">
        <f t="shared" si="1"/>
        <v>39.060613859999997</v>
      </c>
      <c r="G26" s="1777">
        <f t="shared" si="1"/>
        <v>14.79198055</v>
      </c>
      <c r="BX26" s="1787"/>
    </row>
    <row r="27" spans="1:76">
      <c r="A27" s="1776" t="s">
        <v>18</v>
      </c>
      <c r="B27" s="1849">
        <v>11152.299000000001</v>
      </c>
      <c r="C27" s="1774">
        <v>11.388999999999999</v>
      </c>
      <c r="D27" s="1774">
        <v>5.9720000000000004</v>
      </c>
      <c r="E27" s="1849">
        <v>550.32223004999992</v>
      </c>
      <c r="F27" s="1774">
        <v>2.3447657099999999</v>
      </c>
      <c r="G27" s="1774">
        <v>0.61725246999999994</v>
      </c>
      <c r="BX27" s="1787"/>
    </row>
    <row r="28" spans="1:76">
      <c r="A28" s="1776" t="s">
        <v>19</v>
      </c>
      <c r="B28" s="1849">
        <v>11686.228999999999</v>
      </c>
      <c r="C28" s="1774">
        <v>9.9329999999999998</v>
      </c>
      <c r="D28" s="1774">
        <v>5.5339999999999998</v>
      </c>
      <c r="E28" s="1849">
        <v>568.58432073000006</v>
      </c>
      <c r="F28" s="1774">
        <v>2.2234407300000001</v>
      </c>
      <c r="G28" s="1774">
        <v>0.59065721999999998</v>
      </c>
      <c r="BX28" s="1787"/>
    </row>
    <row r="29" spans="1:76">
      <c r="A29" s="1776" t="s">
        <v>20</v>
      </c>
      <c r="B29" s="1849">
        <v>14430.772000000001</v>
      </c>
      <c r="C29" s="1774">
        <v>11.138</v>
      </c>
      <c r="D29" s="1774">
        <v>7.0049999999999999</v>
      </c>
      <c r="E29" s="1849">
        <v>694.52381525999999</v>
      </c>
      <c r="F29" s="1774">
        <v>2.3907309700000003</v>
      </c>
      <c r="G29" s="1774">
        <v>0.69591379000000009</v>
      </c>
      <c r="BX29" s="1787"/>
    </row>
    <row r="30" spans="1:76">
      <c r="A30" s="1776" t="s">
        <v>21</v>
      </c>
      <c r="B30" s="1849">
        <v>13996.174000000001</v>
      </c>
      <c r="C30" s="1774">
        <v>10.464</v>
      </c>
      <c r="D30" s="1774">
        <v>5.3970000000000002</v>
      </c>
      <c r="E30" s="1849">
        <v>664.72949320000009</v>
      </c>
      <c r="F30" s="1774">
        <v>2.0551839599999999</v>
      </c>
      <c r="G30" s="1774">
        <v>0.62898645999999991</v>
      </c>
      <c r="BX30" s="1787"/>
    </row>
    <row r="31" spans="1:76">
      <c r="A31" s="1776" t="s">
        <v>22</v>
      </c>
      <c r="B31" s="1849">
        <v>15780.759</v>
      </c>
      <c r="C31" s="1774">
        <v>11.367000000000001</v>
      </c>
      <c r="D31" s="1774">
        <v>6.8129999999999997</v>
      </c>
      <c r="E31" s="1849">
        <v>768.40689305000001</v>
      </c>
      <c r="F31" s="1774">
        <v>2.4702857900000001</v>
      </c>
      <c r="G31" s="1774">
        <v>0.78324634999999998</v>
      </c>
      <c r="BX31" s="1787"/>
    </row>
    <row r="32" spans="1:76">
      <c r="A32" s="1776" t="s">
        <v>23</v>
      </c>
      <c r="B32" s="1849">
        <v>17487.065999999999</v>
      </c>
      <c r="C32" s="1774">
        <v>13.319000000000001</v>
      </c>
      <c r="D32" s="1774">
        <v>8.7289999999999992</v>
      </c>
      <c r="E32" s="1849">
        <v>857.55308088000015</v>
      </c>
      <c r="F32" s="1774">
        <v>3.20356635</v>
      </c>
      <c r="G32" s="1774">
        <v>1.4129091999999999</v>
      </c>
      <c r="BX32" s="1787"/>
    </row>
    <row r="33" spans="1:76">
      <c r="A33" s="1776" t="s">
        <v>24</v>
      </c>
      <c r="B33" s="1849">
        <v>16800.405999999999</v>
      </c>
      <c r="C33" s="1774">
        <v>12.061</v>
      </c>
      <c r="D33" s="1774">
        <v>9.9920000000000009</v>
      </c>
      <c r="E33" s="1849">
        <v>859.35125220000009</v>
      </c>
      <c r="F33" s="1774">
        <v>3.6872409400000001</v>
      </c>
      <c r="G33" s="1774">
        <v>1.6272106400000002</v>
      </c>
      <c r="BX33" s="1787"/>
    </row>
    <row r="34" spans="1:76">
      <c r="A34" s="1776" t="s">
        <v>25</v>
      </c>
      <c r="B34" s="1849">
        <v>20282.184000000001</v>
      </c>
      <c r="C34" s="1774">
        <v>13.693</v>
      </c>
      <c r="D34" s="1774">
        <v>10.942</v>
      </c>
      <c r="E34" s="1849">
        <v>975.81339326</v>
      </c>
      <c r="F34" s="1774">
        <v>4.1412117299999993</v>
      </c>
      <c r="G34" s="1774">
        <v>1.5859583500000001</v>
      </c>
      <c r="BX34" s="1787"/>
    </row>
    <row r="35" spans="1:76">
      <c r="A35" s="1776" t="s">
        <v>26</v>
      </c>
      <c r="B35" s="1849">
        <v>19496.096000000001</v>
      </c>
      <c r="C35" s="1774">
        <v>13.458</v>
      </c>
      <c r="D35" s="1774">
        <v>10.792</v>
      </c>
      <c r="E35" s="1849">
        <v>949.24418721000006</v>
      </c>
      <c r="F35" s="1774">
        <v>3.8169907199999997</v>
      </c>
      <c r="G35" s="1774">
        <v>1.68519083</v>
      </c>
      <c r="BX35" s="1787"/>
    </row>
    <row r="36" spans="1:76">
      <c r="A36" s="1776" t="s">
        <v>27</v>
      </c>
      <c r="B36" s="1849">
        <v>19891.609</v>
      </c>
      <c r="C36" s="1774">
        <v>13.958</v>
      </c>
      <c r="D36" s="1774">
        <v>11.263999999999999</v>
      </c>
      <c r="E36" s="1849">
        <v>986.68313869000008</v>
      </c>
      <c r="F36" s="1774">
        <v>4.3296773699999997</v>
      </c>
      <c r="G36" s="1774">
        <v>1.69251493</v>
      </c>
      <c r="BX36" s="1787"/>
    </row>
    <row r="37" spans="1:76">
      <c r="A37" s="1776" t="s">
        <v>28</v>
      </c>
      <c r="B37" s="1849">
        <v>21986.008000000002</v>
      </c>
      <c r="C37" s="1774">
        <v>14.601000000000001</v>
      </c>
      <c r="D37" s="1774">
        <v>12.375</v>
      </c>
      <c r="E37" s="1849">
        <v>1062.7264637599999</v>
      </c>
      <c r="F37" s="1774">
        <v>4.4191229199999995</v>
      </c>
      <c r="G37" s="1774">
        <v>1.7330697900000001</v>
      </c>
      <c r="BX37" s="1787"/>
    </row>
    <row r="38" spans="1:76">
      <c r="A38" s="1855">
        <v>12</v>
      </c>
      <c r="B38" s="1849">
        <v>23769.577000000001</v>
      </c>
      <c r="C38" s="1774">
        <v>14.792999999999999</v>
      </c>
      <c r="D38" s="1774">
        <v>11.196999999999999</v>
      </c>
      <c r="E38" s="1849">
        <v>1173.6222487999999</v>
      </c>
      <c r="F38" s="1774">
        <v>3.97839667</v>
      </c>
      <c r="G38" s="1774">
        <v>1.7390705200000001</v>
      </c>
      <c r="BX38" s="1787"/>
    </row>
    <row r="39" spans="1:76">
      <c r="A39" s="1776" t="s">
        <v>3605</v>
      </c>
      <c r="B39" s="1855">
        <f>SUM(B40:B51)</f>
        <v>394100.16300000006</v>
      </c>
      <c r="C39" s="1855">
        <f t="shared" ref="C39:G39" si="2">SUM(C40:C51)</f>
        <v>195.62100000000001</v>
      </c>
      <c r="D39" s="1855">
        <f t="shared" si="2"/>
        <v>149.23900000000003</v>
      </c>
      <c r="E39" s="1855">
        <f t="shared" si="2"/>
        <v>18920.899127060002</v>
      </c>
      <c r="F39" s="1855">
        <f t="shared" si="2"/>
        <v>51.244729919999997</v>
      </c>
      <c r="G39" s="1855">
        <f t="shared" si="2"/>
        <v>22.650426450000001</v>
      </c>
      <c r="H39" s="432"/>
    </row>
    <row r="40" spans="1:76">
      <c r="A40" s="1776" t="s">
        <v>18</v>
      </c>
      <c r="B40" s="1849">
        <v>25019.954000000002</v>
      </c>
      <c r="C40" s="1774">
        <v>14.661</v>
      </c>
      <c r="D40" s="1774">
        <v>11.7</v>
      </c>
      <c r="E40" s="1857">
        <v>1164.3941651</v>
      </c>
      <c r="F40" s="1774">
        <v>3.6257551100000005</v>
      </c>
      <c r="G40" s="1774">
        <v>1.5461675299999997</v>
      </c>
      <c r="H40" s="432"/>
    </row>
    <row r="41" spans="1:76">
      <c r="A41" s="1776" t="s">
        <v>19</v>
      </c>
      <c r="B41" s="1849">
        <v>24638.855</v>
      </c>
      <c r="C41" s="1774">
        <v>13.817</v>
      </c>
      <c r="D41" s="1774">
        <v>10.573</v>
      </c>
      <c r="E41" s="1857">
        <v>1181.5560661700001</v>
      </c>
      <c r="F41" s="1774">
        <v>3.5521899499999998</v>
      </c>
      <c r="G41" s="1774">
        <v>1.59492619</v>
      </c>
      <c r="H41" s="432"/>
    </row>
    <row r="42" spans="1:76">
      <c r="A42" s="1776" t="s">
        <v>20</v>
      </c>
      <c r="B42" s="1849">
        <v>28822.878000000001</v>
      </c>
      <c r="C42" s="1774">
        <v>14.162000000000001</v>
      </c>
      <c r="D42" s="1774">
        <v>11.486000000000001</v>
      </c>
      <c r="E42" s="1857">
        <v>1383.1330404300002</v>
      </c>
      <c r="F42" s="1774">
        <v>3.8591079000000006</v>
      </c>
      <c r="G42" s="1774">
        <v>1.7010388999999999</v>
      </c>
      <c r="H42" s="432"/>
    </row>
    <row r="43" spans="1:76">
      <c r="A43" s="1776" t="s">
        <v>21</v>
      </c>
      <c r="B43" s="1849">
        <v>27516.266</v>
      </c>
      <c r="C43" s="1774">
        <v>13.039</v>
      </c>
      <c r="D43" s="1774">
        <v>9.7899999999999991</v>
      </c>
      <c r="E43" s="1857">
        <v>1269.4686323699998</v>
      </c>
      <c r="F43" s="1774">
        <v>3.44374066</v>
      </c>
      <c r="G43" s="1774">
        <v>1.51835941</v>
      </c>
      <c r="H43" s="432"/>
    </row>
    <row r="44" spans="1:76">
      <c r="A44" s="1776" t="s">
        <v>22</v>
      </c>
      <c r="B44" s="1849">
        <v>34770.608</v>
      </c>
      <c r="C44" s="1774">
        <v>16.302</v>
      </c>
      <c r="D44" s="1774">
        <v>13.118</v>
      </c>
      <c r="E44" s="1857">
        <v>1584.5950614799997</v>
      </c>
      <c r="F44" s="1774">
        <v>4.32890745</v>
      </c>
      <c r="G44" s="1774">
        <v>2.0925969100000001</v>
      </c>
      <c r="H44" s="432"/>
    </row>
    <row r="45" spans="1:76">
      <c r="A45" s="1776" t="s">
        <v>23</v>
      </c>
      <c r="B45" s="1849">
        <v>27569.958999999999</v>
      </c>
      <c r="C45" s="1774">
        <v>13.164</v>
      </c>
      <c r="D45" s="1774">
        <v>10.221</v>
      </c>
      <c r="E45" s="1857">
        <v>1327.1979059600001</v>
      </c>
      <c r="F45" s="1774">
        <v>3.6951623899999997</v>
      </c>
      <c r="G45" s="1774">
        <v>1.69013601</v>
      </c>
      <c r="H45" s="432"/>
    </row>
    <row r="46" spans="1:76">
      <c r="A46" s="1776" t="s">
        <v>24</v>
      </c>
      <c r="B46" s="1849">
        <v>37759.99</v>
      </c>
      <c r="C46" s="1774">
        <v>18.841000000000001</v>
      </c>
      <c r="D46" s="1774">
        <v>16.280999999999999</v>
      </c>
      <c r="E46" s="1857">
        <v>1820.3955726700001</v>
      </c>
      <c r="F46" s="1774">
        <v>5.083335550000001</v>
      </c>
      <c r="G46" s="1774">
        <v>2.8477400499999996</v>
      </c>
      <c r="H46" s="432"/>
    </row>
    <row r="47" spans="1:76">
      <c r="A47" s="1776" t="s">
        <v>25</v>
      </c>
      <c r="B47" s="1849">
        <v>35723.472999999998</v>
      </c>
      <c r="C47" s="1774">
        <v>17.446999999999999</v>
      </c>
      <c r="D47" s="1774">
        <v>13.667</v>
      </c>
      <c r="E47" s="1857">
        <v>1718.3169999900001</v>
      </c>
      <c r="F47" s="1774">
        <v>4.9063846599999996</v>
      </c>
      <c r="G47" s="1774">
        <v>2.1747030100000004</v>
      </c>
      <c r="H47" s="432"/>
    </row>
    <row r="48" spans="1:76">
      <c r="A48" s="1776" t="s">
        <v>26</v>
      </c>
      <c r="B48" s="1849">
        <v>34643.084999999999</v>
      </c>
      <c r="C48" s="1774">
        <v>16.931999999999999</v>
      </c>
      <c r="D48" s="1774">
        <v>13.313000000000001</v>
      </c>
      <c r="E48" s="1857">
        <v>1667.8559160499999</v>
      </c>
      <c r="F48" s="1774">
        <v>4.7803670299999999</v>
      </c>
      <c r="G48" s="1774">
        <v>2.1266176699999999</v>
      </c>
      <c r="H48" s="432"/>
    </row>
    <row r="49" spans="1:31">
      <c r="A49" s="1776" t="s">
        <v>27</v>
      </c>
      <c r="B49" s="1849">
        <v>38409.798000000003</v>
      </c>
      <c r="C49" s="1774">
        <v>18.669</v>
      </c>
      <c r="D49" s="1774">
        <v>13.324999999999999</v>
      </c>
      <c r="E49" s="1857">
        <v>1909.9995778200002</v>
      </c>
      <c r="F49" s="1774">
        <v>4.7925978600000008</v>
      </c>
      <c r="G49" s="1774">
        <v>1.9981397700000001</v>
      </c>
      <c r="H49" s="432"/>
    </row>
    <row r="50" spans="1:31">
      <c r="A50" s="1776" t="s">
        <v>28</v>
      </c>
      <c r="B50" s="1849">
        <v>38232.258000000002</v>
      </c>
      <c r="C50" s="1774">
        <v>19.294</v>
      </c>
      <c r="D50" s="1774">
        <v>13.103999999999999</v>
      </c>
      <c r="E50" s="1857">
        <v>1857.82768943</v>
      </c>
      <c r="F50" s="1774">
        <v>4.7031482000000002</v>
      </c>
      <c r="G50" s="1774">
        <v>1.78959154</v>
      </c>
      <c r="H50" s="432"/>
    </row>
    <row r="51" spans="1:31">
      <c r="A51" s="1776" t="s">
        <v>29</v>
      </c>
      <c r="B51" s="1849">
        <v>40993.038999999997</v>
      </c>
      <c r="C51" s="1774">
        <v>19.292999999999999</v>
      </c>
      <c r="D51" s="1774">
        <v>12.661</v>
      </c>
      <c r="E51" s="1857">
        <v>2036.1584995900002</v>
      </c>
      <c r="F51" s="1774">
        <v>4.4740331600000003</v>
      </c>
      <c r="G51" s="1774">
        <v>1.57040946</v>
      </c>
      <c r="H51" s="432"/>
    </row>
    <row r="52" spans="1:31">
      <c r="A52" s="1776" t="s">
        <v>4086</v>
      </c>
      <c r="B52" s="1849"/>
      <c r="C52" s="1774"/>
      <c r="D52" s="1774"/>
      <c r="E52" s="1857"/>
      <c r="F52" s="1774"/>
      <c r="G52" s="1774"/>
      <c r="H52" s="432"/>
    </row>
    <row r="53" spans="1:31">
      <c r="A53" s="1776" t="s">
        <v>18</v>
      </c>
      <c r="B53" s="1849">
        <v>42523.406000000003</v>
      </c>
      <c r="C53" s="1774">
        <v>19.628</v>
      </c>
      <c r="D53" s="1774">
        <v>12.505000000000001</v>
      </c>
      <c r="E53" s="1857">
        <v>2012.46664302</v>
      </c>
      <c r="F53" s="1774">
        <v>4.7112102800000004</v>
      </c>
      <c r="G53" s="1774">
        <v>1.48889198</v>
      </c>
      <c r="H53" s="432"/>
    </row>
    <row r="54" spans="1:31">
      <c r="A54" s="1931" t="s">
        <v>19</v>
      </c>
      <c r="B54" s="1847">
        <v>41794.902000000002</v>
      </c>
      <c r="C54" s="1930">
        <v>18.853999999999999</v>
      </c>
      <c r="D54" s="1930">
        <v>11.500999999999999</v>
      </c>
      <c r="E54" s="1842">
        <v>2002.2396229799999</v>
      </c>
      <c r="F54" s="1930">
        <v>4.7014315700000004</v>
      </c>
      <c r="G54" s="1930">
        <v>1.4806760000000001</v>
      </c>
      <c r="H54" s="432"/>
    </row>
    <row r="55" spans="1:31" s="1769" customFormat="1" ht="13.5" customHeight="1">
      <c r="A55" s="2784" t="s">
        <v>2753</v>
      </c>
      <c r="B55" s="2784"/>
      <c r="C55" s="2784"/>
      <c r="D55" s="2784"/>
      <c r="E55" s="2784"/>
      <c r="F55" s="2784"/>
      <c r="G55" s="2784"/>
      <c r="H55" s="1770"/>
      <c r="I55" s="1770"/>
      <c r="J55" s="1770"/>
      <c r="K55" s="1770"/>
      <c r="L55" s="1770"/>
      <c r="M55" s="1770"/>
      <c r="N55" s="1770"/>
      <c r="O55" s="1770"/>
      <c r="P55" s="1770"/>
      <c r="Q55" s="1770"/>
      <c r="R55" s="1770"/>
      <c r="S55" s="1770"/>
      <c r="T55" s="1770"/>
      <c r="U55" s="1770"/>
      <c r="V55" s="1770"/>
      <c r="W55" s="1770"/>
      <c r="X55" s="1770"/>
      <c r="Y55" s="1770"/>
      <c r="Z55" s="1770"/>
      <c r="AA55" s="1770"/>
      <c r="AB55" s="1770"/>
      <c r="AC55" s="1770"/>
      <c r="AD55" s="1770"/>
      <c r="AE55" s="1770"/>
    </row>
  </sheetData>
  <mergeCells count="9">
    <mergeCell ref="A55:G55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S29"/>
  <sheetViews>
    <sheetView showGridLines="0" view="pageBreakPreview" zoomScale="55" zoomScaleNormal="90" zoomScaleSheetLayoutView="55" workbookViewId="0">
      <pane xSplit="16" topLeftCell="Q1" activePane="topRight" state="frozen"/>
      <selection activeCell="H31" sqref="H31"/>
      <selection pane="topRight" activeCell="H31" sqref="H31"/>
    </sheetView>
  </sheetViews>
  <sheetFormatPr defaultColWidth="9.109375" defaultRowHeight="15.6"/>
  <cols>
    <col min="1" max="1" width="76.109375" style="1160" customWidth="1"/>
    <col min="2" max="16" width="18" style="1160" hidden="1" customWidth="1"/>
    <col min="17" max="17" width="18" style="1161" customWidth="1"/>
    <col min="18" max="20" width="18" style="1161" hidden="1" customWidth="1"/>
    <col min="21" max="21" width="17.33203125" style="1161" hidden="1" customWidth="1"/>
    <col min="22" max="24" width="17.6640625" style="1161" hidden="1" customWidth="1"/>
    <col min="25" max="25" width="18" style="1161" hidden="1" customWidth="1"/>
    <col min="26" max="28" width="17.6640625" style="1161" hidden="1" customWidth="1"/>
    <col min="29" max="29" width="17.6640625" style="1161" customWidth="1"/>
    <col min="30" max="40" width="17.6640625" style="1161" hidden="1" customWidth="1"/>
    <col min="41" max="41" width="17.6640625" style="1161" customWidth="1"/>
    <col min="42" max="43" width="17.6640625" style="1161" hidden="1" customWidth="1"/>
    <col min="44" max="44" width="17.6640625" style="1161" customWidth="1"/>
    <col min="45" max="46" width="17.6640625" style="1161" hidden="1" customWidth="1"/>
    <col min="47" max="47" width="17.6640625" style="1161" customWidth="1"/>
    <col min="48" max="49" width="17.6640625" style="1161" hidden="1" customWidth="1"/>
    <col min="50" max="50" width="17.6640625" style="1161" customWidth="1"/>
    <col min="51" max="52" width="17.6640625" style="1161" hidden="1" customWidth="1"/>
    <col min="53" max="53" width="17.6640625" style="1161" customWidth="1"/>
    <col min="54" max="55" width="17.6640625" style="1161" hidden="1" customWidth="1"/>
    <col min="56" max="56" width="17.6640625" style="1161" customWidth="1"/>
    <col min="57" max="58" width="17.6640625" style="1161" hidden="1" customWidth="1"/>
    <col min="59" max="59" width="17.6640625" style="1161" customWidth="1"/>
    <col min="60" max="61" width="17.6640625" style="1161" hidden="1" customWidth="1"/>
    <col min="62" max="62" width="17.6640625" style="1161" customWidth="1"/>
    <col min="63" max="64" width="17.6640625" style="1161" hidden="1" customWidth="1"/>
    <col min="65" max="67" width="17.6640625" style="1161" customWidth="1"/>
    <col min="68" max="68" width="77.6640625" style="1161" customWidth="1"/>
    <col min="69" max="69" width="11" style="1162" customWidth="1"/>
    <col min="70" max="70" width="18.44140625" style="1161" customWidth="1"/>
    <col min="71" max="16384" width="9.109375" style="1161"/>
  </cols>
  <sheetData>
    <row r="1" spans="1:69" ht="11.4" customHeight="1">
      <c r="W1" s="1161" t="s">
        <v>2565</v>
      </c>
    </row>
    <row r="2" spans="1:69" s="1163" customFormat="1" ht="31.5" customHeight="1">
      <c r="A2" s="2789" t="s">
        <v>3358</v>
      </c>
      <c r="B2" s="2789"/>
      <c r="C2" s="2789"/>
      <c r="D2" s="2789"/>
      <c r="E2" s="2789"/>
      <c r="F2" s="2789"/>
      <c r="G2" s="2789"/>
      <c r="H2" s="2789"/>
      <c r="I2" s="2789"/>
      <c r="J2" s="2789"/>
      <c r="K2" s="2789"/>
      <c r="L2" s="2789"/>
      <c r="M2" s="2789"/>
      <c r="N2" s="2789"/>
      <c r="O2" s="2789"/>
      <c r="P2" s="2789"/>
      <c r="Q2" s="2789"/>
      <c r="R2" s="2789"/>
      <c r="S2" s="2789"/>
      <c r="T2" s="2789"/>
      <c r="U2" s="2789"/>
      <c r="V2" s="2789"/>
      <c r="W2" s="2789"/>
      <c r="X2" s="2789"/>
      <c r="Y2" s="2789"/>
      <c r="Z2" s="2789"/>
      <c r="AA2" s="2789"/>
      <c r="AB2" s="2789"/>
      <c r="AC2" s="2789"/>
      <c r="AD2" s="2789"/>
      <c r="AE2" s="2789"/>
      <c r="AF2" s="2789"/>
      <c r="AG2" s="2789"/>
      <c r="AH2" s="2789"/>
      <c r="AI2" s="2789"/>
      <c r="AJ2" s="2789"/>
      <c r="AK2" s="2789"/>
      <c r="AL2" s="2789"/>
      <c r="AM2" s="2789"/>
      <c r="AN2" s="2789"/>
      <c r="AO2" s="2789"/>
      <c r="AP2" s="2789"/>
      <c r="AQ2" s="2789"/>
      <c r="AR2" s="2789"/>
      <c r="AS2" s="2789"/>
      <c r="AT2" s="2789"/>
      <c r="AU2" s="2789"/>
      <c r="AV2" s="2789"/>
      <c r="AW2" s="2789"/>
      <c r="AX2" s="2789"/>
      <c r="AY2" s="2789"/>
      <c r="AZ2" s="2789"/>
      <c r="BA2" s="2789"/>
      <c r="BB2" s="2789"/>
      <c r="BC2" s="2789"/>
      <c r="BD2" s="2789"/>
      <c r="BE2" s="2789"/>
      <c r="BF2" s="2789"/>
      <c r="BG2" s="2789"/>
      <c r="BH2" s="2789"/>
      <c r="BI2" s="2789"/>
      <c r="BJ2" s="2789"/>
      <c r="BK2" s="2789"/>
      <c r="BL2" s="2789"/>
      <c r="BM2" s="2789"/>
      <c r="BN2" s="2789"/>
      <c r="BO2" s="2789"/>
      <c r="BP2" s="2789"/>
      <c r="BQ2" s="1164"/>
    </row>
    <row r="3" spans="1:69" s="1163" customFormat="1" ht="36" customHeight="1">
      <c r="A3" s="2790" t="s">
        <v>3359</v>
      </c>
      <c r="B3" s="2790"/>
      <c r="C3" s="2790"/>
      <c r="D3" s="2790"/>
      <c r="E3" s="2790"/>
      <c r="F3" s="2790"/>
      <c r="G3" s="2790"/>
      <c r="H3" s="2790"/>
      <c r="I3" s="2790"/>
      <c r="J3" s="2790"/>
      <c r="K3" s="2790"/>
      <c r="L3" s="2790"/>
      <c r="M3" s="2790"/>
      <c r="N3" s="2790"/>
      <c r="O3" s="2790"/>
      <c r="P3" s="2790"/>
      <c r="Q3" s="2790"/>
      <c r="R3" s="2790"/>
      <c r="S3" s="2790"/>
      <c r="T3" s="2790"/>
      <c r="U3" s="2790"/>
      <c r="V3" s="2790"/>
      <c r="W3" s="2790"/>
      <c r="X3" s="2790"/>
      <c r="Y3" s="2790"/>
      <c r="Z3" s="2790"/>
      <c r="AA3" s="2790"/>
      <c r="AB3" s="2790"/>
      <c r="AC3" s="2790"/>
      <c r="AD3" s="2790"/>
      <c r="AE3" s="2790"/>
      <c r="AF3" s="2790"/>
      <c r="AG3" s="2790"/>
      <c r="AH3" s="2790"/>
      <c r="AI3" s="2790"/>
      <c r="AJ3" s="2790"/>
      <c r="AK3" s="2790"/>
      <c r="AL3" s="2790"/>
      <c r="AM3" s="2790"/>
      <c r="AN3" s="2790"/>
      <c r="AO3" s="2790"/>
      <c r="AP3" s="2790"/>
      <c r="AQ3" s="2790"/>
      <c r="AR3" s="2790"/>
      <c r="AS3" s="2790"/>
      <c r="AT3" s="2790"/>
      <c r="AU3" s="2790"/>
      <c r="AV3" s="2790"/>
      <c r="AW3" s="2790"/>
      <c r="AX3" s="2790"/>
      <c r="AY3" s="2790"/>
      <c r="AZ3" s="2790"/>
      <c r="BA3" s="2790"/>
      <c r="BB3" s="2790"/>
      <c r="BC3" s="2790"/>
      <c r="BD3" s="2790"/>
      <c r="BE3" s="2790"/>
      <c r="BF3" s="2790"/>
      <c r="BG3" s="2790"/>
      <c r="BH3" s="2790"/>
      <c r="BI3" s="2790"/>
      <c r="BJ3" s="2790"/>
      <c r="BK3" s="2790"/>
      <c r="BL3" s="2790"/>
      <c r="BM3" s="2790"/>
      <c r="BN3" s="2790"/>
      <c r="BO3" s="2790"/>
      <c r="BP3" s="2790"/>
      <c r="BQ3" s="1164"/>
    </row>
    <row r="4" spans="1:69" s="1163" customFormat="1" ht="24" customHeight="1">
      <c r="A4" s="1575"/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164"/>
    </row>
    <row r="5" spans="1:69" s="1163" customFormat="1" ht="24" customHeight="1" thickBot="1">
      <c r="A5" s="1576"/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  <c r="AT5" s="1576"/>
      <c r="AU5" s="1576"/>
      <c r="AV5" s="1576"/>
      <c r="AW5" s="1576"/>
      <c r="AX5" s="1576"/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  <c r="BJ5" s="1576"/>
      <c r="BK5" s="1576"/>
      <c r="BL5" s="1576"/>
      <c r="BM5" s="1576"/>
      <c r="BN5" s="1576"/>
      <c r="BO5" s="1576"/>
      <c r="BP5" s="1576"/>
      <c r="BQ5" s="1164"/>
    </row>
    <row r="6" spans="1:69" ht="51" customHeight="1" thickBot="1">
      <c r="A6" s="1165"/>
      <c r="B6" s="1166">
        <v>43373</v>
      </c>
      <c r="C6" s="1167">
        <v>43404</v>
      </c>
      <c r="D6" s="1168">
        <v>43434</v>
      </c>
      <c r="E6" s="1169">
        <v>43465</v>
      </c>
      <c r="F6" s="1170">
        <v>43496</v>
      </c>
      <c r="G6" s="1170">
        <v>43524</v>
      </c>
      <c r="H6" s="1170">
        <v>43555</v>
      </c>
      <c r="I6" s="1170">
        <v>43585</v>
      </c>
      <c r="J6" s="1170">
        <v>43616</v>
      </c>
      <c r="K6" s="1170">
        <v>43646</v>
      </c>
      <c r="L6" s="1170">
        <v>43677</v>
      </c>
      <c r="M6" s="1170">
        <v>43708</v>
      </c>
      <c r="N6" s="1170">
        <v>43738</v>
      </c>
      <c r="O6" s="1170">
        <v>43769</v>
      </c>
      <c r="P6" s="1170">
        <v>43799</v>
      </c>
      <c r="Q6" s="1170">
        <v>43830</v>
      </c>
      <c r="R6" s="1170">
        <v>43861</v>
      </c>
      <c r="S6" s="1170">
        <v>43890</v>
      </c>
      <c r="T6" s="1170">
        <v>43921</v>
      </c>
      <c r="U6" s="1170" t="s">
        <v>2624</v>
      </c>
      <c r="V6" s="1170" t="s">
        <v>2625</v>
      </c>
      <c r="W6" s="1170">
        <v>44012</v>
      </c>
      <c r="X6" s="1170">
        <v>44043</v>
      </c>
      <c r="Y6" s="1170">
        <v>44074</v>
      </c>
      <c r="Z6" s="1170">
        <v>44104</v>
      </c>
      <c r="AA6" s="1170">
        <v>44135</v>
      </c>
      <c r="AB6" s="1170">
        <v>44165</v>
      </c>
      <c r="AC6" s="1170">
        <v>44196</v>
      </c>
      <c r="AD6" s="1170">
        <v>44227</v>
      </c>
      <c r="AE6" s="1170">
        <v>44255</v>
      </c>
      <c r="AF6" s="1170">
        <v>44286</v>
      </c>
      <c r="AG6" s="1170">
        <v>44316</v>
      </c>
      <c r="AH6" s="1170">
        <v>44347</v>
      </c>
      <c r="AI6" s="1170">
        <v>44377</v>
      </c>
      <c r="AJ6" s="1170">
        <v>44408</v>
      </c>
      <c r="AK6" s="1170">
        <v>44439</v>
      </c>
      <c r="AL6" s="1170">
        <v>44469</v>
      </c>
      <c r="AM6" s="1170">
        <v>44500</v>
      </c>
      <c r="AN6" s="1170">
        <v>44530</v>
      </c>
      <c r="AO6" s="1170">
        <v>44561</v>
      </c>
      <c r="AP6" s="1170">
        <v>44592</v>
      </c>
      <c r="AQ6" s="1170">
        <v>44620</v>
      </c>
      <c r="AR6" s="1170">
        <v>44651</v>
      </c>
      <c r="AS6" s="1170">
        <v>44681</v>
      </c>
      <c r="AT6" s="1170">
        <v>44712</v>
      </c>
      <c r="AU6" s="1170">
        <v>44742</v>
      </c>
      <c r="AV6" s="1170">
        <v>44773</v>
      </c>
      <c r="AW6" s="1170">
        <v>44804</v>
      </c>
      <c r="AX6" s="1170">
        <v>44834</v>
      </c>
      <c r="AY6" s="1170">
        <v>44865</v>
      </c>
      <c r="AZ6" s="1273">
        <v>44895</v>
      </c>
      <c r="BA6" s="1273">
        <v>44926</v>
      </c>
      <c r="BB6" s="1273">
        <v>44957</v>
      </c>
      <c r="BC6" s="1273">
        <v>44985</v>
      </c>
      <c r="BD6" s="1170">
        <v>45016</v>
      </c>
      <c r="BE6" s="1170">
        <v>45046</v>
      </c>
      <c r="BF6" s="1170">
        <v>45077</v>
      </c>
      <c r="BG6" s="1170">
        <v>45107</v>
      </c>
      <c r="BH6" s="1170">
        <v>45138</v>
      </c>
      <c r="BI6" s="1170">
        <v>45169</v>
      </c>
      <c r="BJ6" s="1170">
        <v>45199</v>
      </c>
      <c r="BK6" s="1170">
        <v>45230</v>
      </c>
      <c r="BL6" s="1170">
        <v>45260</v>
      </c>
      <c r="BM6" s="1170">
        <v>45291</v>
      </c>
      <c r="BN6" s="1170">
        <v>45322</v>
      </c>
      <c r="BO6" s="1170">
        <v>45351</v>
      </c>
      <c r="BP6" s="1577"/>
    </row>
    <row r="7" spans="1:69" ht="42" customHeight="1">
      <c r="A7" s="1171" t="s">
        <v>2264</v>
      </c>
      <c r="B7" s="1172">
        <v>30</v>
      </c>
      <c r="C7" s="1173">
        <v>30</v>
      </c>
      <c r="D7" s="1173">
        <v>30</v>
      </c>
      <c r="E7" s="1174">
        <v>30</v>
      </c>
      <c r="F7" s="1175">
        <v>30</v>
      </c>
      <c r="G7" s="1175">
        <v>30</v>
      </c>
      <c r="H7" s="1175">
        <v>30</v>
      </c>
      <c r="I7" s="1175">
        <v>30</v>
      </c>
      <c r="J7" s="1175">
        <v>30</v>
      </c>
      <c r="K7" s="1175">
        <v>30</v>
      </c>
      <c r="L7" s="1175">
        <v>30</v>
      </c>
      <c r="M7" s="1175">
        <v>30</v>
      </c>
      <c r="N7" s="1175">
        <v>30</v>
      </c>
      <c r="O7" s="1175">
        <v>30</v>
      </c>
      <c r="P7" s="1175">
        <v>30</v>
      </c>
      <c r="Q7" s="1175">
        <v>30</v>
      </c>
      <c r="R7" s="1175">
        <v>30</v>
      </c>
      <c r="S7" s="1175">
        <v>30</v>
      </c>
      <c r="T7" s="1175">
        <v>30</v>
      </c>
      <c r="U7" s="1175">
        <v>28</v>
      </c>
      <c r="V7" s="1175">
        <v>26</v>
      </c>
      <c r="W7" s="1175">
        <v>26</v>
      </c>
      <c r="X7" s="1175">
        <v>26</v>
      </c>
      <c r="Y7" s="1175">
        <v>26</v>
      </c>
      <c r="Z7" s="1175">
        <v>26</v>
      </c>
      <c r="AA7" s="1175">
        <v>26</v>
      </c>
      <c r="AB7" s="1175">
        <v>26</v>
      </c>
      <c r="AC7" s="1175">
        <v>26</v>
      </c>
      <c r="AD7" s="1175">
        <v>26</v>
      </c>
      <c r="AE7" s="1175">
        <v>26</v>
      </c>
      <c r="AF7" s="1175">
        <v>26</v>
      </c>
      <c r="AG7" s="1175">
        <v>26</v>
      </c>
      <c r="AH7" s="1175">
        <v>26</v>
      </c>
      <c r="AI7" s="1175">
        <v>26</v>
      </c>
      <c r="AJ7" s="1175">
        <v>26</v>
      </c>
      <c r="AK7" s="1175">
        <v>26</v>
      </c>
      <c r="AL7" s="1175">
        <v>26</v>
      </c>
      <c r="AM7" s="1175">
        <v>26</v>
      </c>
      <c r="AN7" s="1175">
        <v>26</v>
      </c>
      <c r="AO7" s="1175">
        <v>26</v>
      </c>
      <c r="AP7" s="1175">
        <v>26</v>
      </c>
      <c r="AQ7" s="1175">
        <v>26</v>
      </c>
      <c r="AR7" s="1175">
        <v>26</v>
      </c>
      <c r="AS7" s="1175">
        <v>26</v>
      </c>
      <c r="AT7" s="1175">
        <v>26</v>
      </c>
      <c r="AU7" s="1175">
        <v>26</v>
      </c>
      <c r="AV7" s="1175">
        <v>26</v>
      </c>
      <c r="AW7" s="1175">
        <v>26</v>
      </c>
      <c r="AX7" s="1175">
        <v>26</v>
      </c>
      <c r="AY7" s="1175">
        <v>25</v>
      </c>
      <c r="AZ7" s="1541">
        <v>25</v>
      </c>
      <c r="BA7" s="1541">
        <v>25</v>
      </c>
      <c r="BB7" s="1541">
        <v>25</v>
      </c>
      <c r="BC7" s="1541">
        <v>25</v>
      </c>
      <c r="BD7" s="1580">
        <v>25</v>
      </c>
      <c r="BE7" s="1580">
        <v>25</v>
      </c>
      <c r="BF7" s="1580">
        <v>24</v>
      </c>
      <c r="BG7" s="1580">
        <v>24</v>
      </c>
      <c r="BH7" s="1580">
        <v>24</v>
      </c>
      <c r="BI7" s="1580">
        <v>24</v>
      </c>
      <c r="BJ7" s="1580">
        <v>24</v>
      </c>
      <c r="BK7" s="1580">
        <v>23</v>
      </c>
      <c r="BL7" s="1580">
        <v>23</v>
      </c>
      <c r="BM7" s="1580">
        <v>23</v>
      </c>
      <c r="BN7" s="1580">
        <v>23</v>
      </c>
      <c r="BO7" s="1580">
        <v>23</v>
      </c>
      <c r="BP7" s="1578" t="s">
        <v>3649</v>
      </c>
    </row>
    <row r="8" spans="1:69" ht="42" customHeight="1">
      <c r="A8" s="1176" t="s">
        <v>152</v>
      </c>
      <c r="B8" s="1177">
        <v>2</v>
      </c>
      <c r="C8" s="1178">
        <v>2</v>
      </c>
      <c r="D8" s="1178">
        <v>2</v>
      </c>
      <c r="E8" s="1179">
        <v>2</v>
      </c>
      <c r="F8" s="1180">
        <v>2</v>
      </c>
      <c r="G8" s="1180">
        <v>2</v>
      </c>
      <c r="H8" s="1180">
        <v>2</v>
      </c>
      <c r="I8" s="1180">
        <v>2</v>
      </c>
      <c r="J8" s="1180">
        <v>2</v>
      </c>
      <c r="K8" s="1180">
        <v>2</v>
      </c>
      <c r="L8" s="1180">
        <v>2</v>
      </c>
      <c r="M8" s="1180">
        <v>2</v>
      </c>
      <c r="N8" s="1180">
        <v>2</v>
      </c>
      <c r="O8" s="1180">
        <v>2</v>
      </c>
      <c r="P8" s="1180">
        <v>2</v>
      </c>
      <c r="Q8" s="1180">
        <v>2</v>
      </c>
      <c r="R8" s="1180">
        <v>2</v>
      </c>
      <c r="S8" s="1180">
        <v>2</v>
      </c>
      <c r="T8" s="1180">
        <v>2</v>
      </c>
      <c r="U8" s="1180">
        <v>2</v>
      </c>
      <c r="V8" s="1180">
        <v>2</v>
      </c>
      <c r="W8" s="1180">
        <v>2</v>
      </c>
      <c r="X8" s="1180">
        <v>2</v>
      </c>
      <c r="Y8" s="1180">
        <v>2</v>
      </c>
      <c r="Z8" s="1180">
        <v>2</v>
      </c>
      <c r="AA8" s="1180">
        <v>2</v>
      </c>
      <c r="AB8" s="1180">
        <v>2</v>
      </c>
      <c r="AC8" s="1180">
        <v>2</v>
      </c>
      <c r="AD8" s="1180">
        <v>2</v>
      </c>
      <c r="AE8" s="1180">
        <v>2</v>
      </c>
      <c r="AF8" s="1180">
        <v>2</v>
      </c>
      <c r="AG8" s="1180">
        <v>2</v>
      </c>
      <c r="AH8" s="1180">
        <v>2</v>
      </c>
      <c r="AI8" s="1180">
        <v>2</v>
      </c>
      <c r="AJ8" s="1180">
        <v>2</v>
      </c>
      <c r="AK8" s="1180">
        <v>2</v>
      </c>
      <c r="AL8" s="1180">
        <v>2</v>
      </c>
      <c r="AM8" s="1180">
        <v>2</v>
      </c>
      <c r="AN8" s="1180">
        <v>2</v>
      </c>
      <c r="AO8" s="1180">
        <v>2</v>
      </c>
      <c r="AP8" s="1180">
        <v>2</v>
      </c>
      <c r="AQ8" s="1180">
        <v>2</v>
      </c>
      <c r="AR8" s="1180">
        <v>2</v>
      </c>
      <c r="AS8" s="1180">
        <v>2</v>
      </c>
      <c r="AT8" s="1180">
        <v>2</v>
      </c>
      <c r="AU8" s="1180">
        <v>2</v>
      </c>
      <c r="AV8" s="1180">
        <v>2</v>
      </c>
      <c r="AW8" s="1180">
        <v>2</v>
      </c>
      <c r="AX8" s="1180">
        <v>2</v>
      </c>
      <c r="AY8" s="1180">
        <v>2</v>
      </c>
      <c r="AZ8" s="1542">
        <v>2</v>
      </c>
      <c r="BA8" s="1542">
        <v>2</v>
      </c>
      <c r="BB8" s="1542">
        <v>2</v>
      </c>
      <c r="BC8" s="1542">
        <v>2</v>
      </c>
      <c r="BD8" s="1210">
        <v>2</v>
      </c>
      <c r="BE8" s="1210">
        <v>2</v>
      </c>
      <c r="BF8" s="1210">
        <v>2</v>
      </c>
      <c r="BG8" s="1210">
        <v>2</v>
      </c>
      <c r="BH8" s="1210">
        <v>2</v>
      </c>
      <c r="BI8" s="1210">
        <v>2</v>
      </c>
      <c r="BJ8" s="1210">
        <v>2</v>
      </c>
      <c r="BK8" s="1210">
        <v>2</v>
      </c>
      <c r="BL8" s="1210">
        <v>2</v>
      </c>
      <c r="BM8" s="1210">
        <v>2</v>
      </c>
      <c r="BN8" s="1210">
        <v>2</v>
      </c>
      <c r="BO8" s="1210">
        <v>2</v>
      </c>
      <c r="BP8" s="1579" t="s">
        <v>3650</v>
      </c>
    </row>
    <row r="9" spans="1:69" ht="42" customHeight="1">
      <c r="A9" s="1176" t="s">
        <v>153</v>
      </c>
      <c r="B9" s="1177">
        <v>28</v>
      </c>
      <c r="C9" s="1178">
        <v>28</v>
      </c>
      <c r="D9" s="1178">
        <v>28</v>
      </c>
      <c r="E9" s="1179">
        <v>28</v>
      </c>
      <c r="F9" s="1180">
        <v>28</v>
      </c>
      <c r="G9" s="1180">
        <v>28</v>
      </c>
      <c r="H9" s="1180">
        <v>28</v>
      </c>
      <c r="I9" s="1180">
        <v>28</v>
      </c>
      <c r="J9" s="1180">
        <v>28</v>
      </c>
      <c r="K9" s="1180">
        <v>28</v>
      </c>
      <c r="L9" s="1180">
        <v>28</v>
      </c>
      <c r="M9" s="1180">
        <v>28</v>
      </c>
      <c r="N9" s="1180">
        <v>28</v>
      </c>
      <c r="O9" s="1180">
        <v>28</v>
      </c>
      <c r="P9" s="1180">
        <v>28</v>
      </c>
      <c r="Q9" s="1180">
        <v>28</v>
      </c>
      <c r="R9" s="1180">
        <v>28</v>
      </c>
      <c r="S9" s="1180">
        <v>28</v>
      </c>
      <c r="T9" s="1180">
        <v>28</v>
      </c>
      <c r="U9" s="1180">
        <v>26</v>
      </c>
      <c r="V9" s="1180">
        <v>24</v>
      </c>
      <c r="W9" s="1180">
        <v>24</v>
      </c>
      <c r="X9" s="1180">
        <v>24</v>
      </c>
      <c r="Y9" s="1180">
        <v>24</v>
      </c>
      <c r="Z9" s="1180">
        <v>24</v>
      </c>
      <c r="AA9" s="1180">
        <v>24</v>
      </c>
      <c r="AB9" s="1180">
        <v>24</v>
      </c>
      <c r="AC9" s="1180">
        <v>24</v>
      </c>
      <c r="AD9" s="1180">
        <v>24</v>
      </c>
      <c r="AE9" s="1180">
        <v>24</v>
      </c>
      <c r="AF9" s="1180">
        <v>24</v>
      </c>
      <c r="AG9" s="1180">
        <v>24</v>
      </c>
      <c r="AH9" s="1180">
        <v>24</v>
      </c>
      <c r="AI9" s="1180">
        <v>24</v>
      </c>
      <c r="AJ9" s="1180">
        <v>24</v>
      </c>
      <c r="AK9" s="1180">
        <v>24</v>
      </c>
      <c r="AL9" s="1180">
        <v>24</v>
      </c>
      <c r="AM9" s="1180">
        <v>24</v>
      </c>
      <c r="AN9" s="1180">
        <v>24</v>
      </c>
      <c r="AO9" s="1180">
        <v>24</v>
      </c>
      <c r="AP9" s="1180">
        <v>24</v>
      </c>
      <c r="AQ9" s="1180">
        <v>24</v>
      </c>
      <c r="AR9" s="1180">
        <v>24</v>
      </c>
      <c r="AS9" s="1180">
        <v>24</v>
      </c>
      <c r="AT9" s="1180">
        <v>24</v>
      </c>
      <c r="AU9" s="1180">
        <v>24</v>
      </c>
      <c r="AV9" s="1180">
        <v>24</v>
      </c>
      <c r="AW9" s="1180">
        <v>24</v>
      </c>
      <c r="AX9" s="1180">
        <v>24</v>
      </c>
      <c r="AY9" s="1180">
        <v>23</v>
      </c>
      <c r="AZ9" s="1542">
        <v>23</v>
      </c>
      <c r="BA9" s="1542">
        <v>23</v>
      </c>
      <c r="BB9" s="1542">
        <v>23</v>
      </c>
      <c r="BC9" s="1542">
        <v>23</v>
      </c>
      <c r="BD9" s="1210">
        <v>23</v>
      </c>
      <c r="BE9" s="1210">
        <v>23</v>
      </c>
      <c r="BF9" s="1210">
        <v>22</v>
      </c>
      <c r="BG9" s="1210">
        <v>22</v>
      </c>
      <c r="BH9" s="1210">
        <v>22</v>
      </c>
      <c r="BI9" s="1210">
        <v>22</v>
      </c>
      <c r="BJ9" s="1210">
        <v>22</v>
      </c>
      <c r="BK9" s="1210">
        <v>21</v>
      </c>
      <c r="BL9" s="1210">
        <v>21</v>
      </c>
      <c r="BM9" s="1210">
        <v>21</v>
      </c>
      <c r="BN9" s="1210">
        <v>21</v>
      </c>
      <c r="BO9" s="1210">
        <v>21</v>
      </c>
      <c r="BP9" s="1579" t="s">
        <v>161</v>
      </c>
    </row>
    <row r="10" spans="1:69" ht="42" customHeight="1">
      <c r="A10" s="1176" t="s">
        <v>2263</v>
      </c>
      <c r="B10" s="1177">
        <v>15</v>
      </c>
      <c r="C10" s="1178">
        <v>15</v>
      </c>
      <c r="D10" s="1178">
        <v>15</v>
      </c>
      <c r="E10" s="1179">
        <v>15</v>
      </c>
      <c r="F10" s="1180">
        <v>15</v>
      </c>
      <c r="G10" s="1180">
        <v>15</v>
      </c>
      <c r="H10" s="1180">
        <v>15</v>
      </c>
      <c r="I10" s="1180">
        <v>15</v>
      </c>
      <c r="J10" s="1180">
        <v>15</v>
      </c>
      <c r="K10" s="1180">
        <v>14</v>
      </c>
      <c r="L10" s="1180">
        <v>14</v>
      </c>
      <c r="M10" s="1180">
        <v>14</v>
      </c>
      <c r="N10" s="1180">
        <v>14</v>
      </c>
      <c r="O10" s="1180">
        <v>14</v>
      </c>
      <c r="P10" s="1180">
        <v>14</v>
      </c>
      <c r="Q10" s="1180">
        <v>14</v>
      </c>
      <c r="R10" s="1180">
        <v>14</v>
      </c>
      <c r="S10" s="1180">
        <v>14</v>
      </c>
      <c r="T10" s="1180">
        <v>14</v>
      </c>
      <c r="U10" s="1180">
        <v>13</v>
      </c>
      <c r="V10" s="1180">
        <v>12</v>
      </c>
      <c r="W10" s="1180">
        <v>12</v>
      </c>
      <c r="X10" s="1180">
        <v>12</v>
      </c>
      <c r="Y10" s="1180">
        <v>12</v>
      </c>
      <c r="Z10" s="1180">
        <v>12</v>
      </c>
      <c r="AA10" s="1180">
        <v>12</v>
      </c>
      <c r="AB10" s="1180">
        <v>12</v>
      </c>
      <c r="AC10" s="1180">
        <v>12</v>
      </c>
      <c r="AD10" s="1180">
        <v>12</v>
      </c>
      <c r="AE10" s="1180">
        <v>12</v>
      </c>
      <c r="AF10" s="1180">
        <v>12</v>
      </c>
      <c r="AG10" s="1180">
        <v>12</v>
      </c>
      <c r="AH10" s="1180">
        <v>12</v>
      </c>
      <c r="AI10" s="1180">
        <v>12</v>
      </c>
      <c r="AJ10" s="1180">
        <v>12</v>
      </c>
      <c r="AK10" s="1180">
        <v>12</v>
      </c>
      <c r="AL10" s="1180">
        <v>12</v>
      </c>
      <c r="AM10" s="1180">
        <v>12</v>
      </c>
      <c r="AN10" s="1180">
        <v>12</v>
      </c>
      <c r="AO10" s="1180">
        <v>12</v>
      </c>
      <c r="AP10" s="1180">
        <v>12</v>
      </c>
      <c r="AQ10" s="1180">
        <v>12</v>
      </c>
      <c r="AR10" s="1180">
        <v>12</v>
      </c>
      <c r="AS10" s="1180">
        <v>12</v>
      </c>
      <c r="AT10" s="1180">
        <v>12</v>
      </c>
      <c r="AU10" s="1180">
        <v>12</v>
      </c>
      <c r="AV10" s="1180">
        <v>12</v>
      </c>
      <c r="AW10" s="1180">
        <v>12</v>
      </c>
      <c r="AX10" s="1180">
        <v>12</v>
      </c>
      <c r="AY10" s="1180">
        <v>11</v>
      </c>
      <c r="AZ10" s="1542">
        <v>11</v>
      </c>
      <c r="BA10" s="1542">
        <v>10</v>
      </c>
      <c r="BB10" s="1542">
        <v>10</v>
      </c>
      <c r="BC10" s="1542">
        <v>10</v>
      </c>
      <c r="BD10" s="1210">
        <v>10</v>
      </c>
      <c r="BE10" s="1210">
        <v>10</v>
      </c>
      <c r="BF10" s="1210">
        <v>9</v>
      </c>
      <c r="BG10" s="1210">
        <v>9</v>
      </c>
      <c r="BH10" s="1210">
        <v>9</v>
      </c>
      <c r="BI10" s="1210">
        <v>9</v>
      </c>
      <c r="BJ10" s="1210">
        <v>9</v>
      </c>
      <c r="BK10" s="1210">
        <v>9</v>
      </c>
      <c r="BL10" s="1210">
        <v>9</v>
      </c>
      <c r="BM10" s="1210">
        <v>9</v>
      </c>
      <c r="BN10" s="1210">
        <v>9</v>
      </c>
      <c r="BO10" s="1210">
        <v>9</v>
      </c>
      <c r="BP10" s="1579" t="s">
        <v>3651</v>
      </c>
    </row>
    <row r="11" spans="1:69" ht="52.2" customHeight="1">
      <c r="A11" s="1181" t="s">
        <v>2590</v>
      </c>
      <c r="B11" s="1177">
        <v>8</v>
      </c>
      <c r="C11" s="1178">
        <v>8</v>
      </c>
      <c r="D11" s="1178">
        <v>8</v>
      </c>
      <c r="E11" s="1179">
        <v>8</v>
      </c>
      <c r="F11" s="1180">
        <v>8</v>
      </c>
      <c r="G11" s="1180">
        <v>8</v>
      </c>
      <c r="H11" s="1180">
        <v>8</v>
      </c>
      <c r="I11" s="1180">
        <v>8</v>
      </c>
      <c r="J11" s="1180">
        <v>8</v>
      </c>
      <c r="K11" s="1180">
        <v>8</v>
      </c>
      <c r="L11" s="1180">
        <v>8</v>
      </c>
      <c r="M11" s="1180">
        <v>8</v>
      </c>
      <c r="N11" s="1180">
        <v>8</v>
      </c>
      <c r="O11" s="1180">
        <v>7</v>
      </c>
      <c r="P11" s="1180">
        <v>7</v>
      </c>
      <c r="Q11" s="1180">
        <v>7</v>
      </c>
      <c r="R11" s="1180">
        <v>7</v>
      </c>
      <c r="S11" s="1180">
        <v>7</v>
      </c>
      <c r="T11" s="1180">
        <v>7</v>
      </c>
      <c r="U11" s="1180">
        <v>7</v>
      </c>
      <c r="V11" s="1180">
        <v>7</v>
      </c>
      <c r="W11" s="1180">
        <v>7</v>
      </c>
      <c r="X11" s="1180">
        <v>7</v>
      </c>
      <c r="Y11" s="1180">
        <v>7</v>
      </c>
      <c r="Z11" s="1180">
        <v>7</v>
      </c>
      <c r="AA11" s="1180">
        <v>7</v>
      </c>
      <c r="AB11" s="1180">
        <v>7</v>
      </c>
      <c r="AC11" s="1180">
        <v>7</v>
      </c>
      <c r="AD11" s="1180">
        <v>7</v>
      </c>
      <c r="AE11" s="1180">
        <v>7</v>
      </c>
      <c r="AF11" s="1180">
        <v>7</v>
      </c>
      <c r="AG11" s="1180">
        <v>7</v>
      </c>
      <c r="AH11" s="1180">
        <v>7</v>
      </c>
      <c r="AI11" s="1180">
        <v>7</v>
      </c>
      <c r="AJ11" s="1180">
        <v>7</v>
      </c>
      <c r="AK11" s="1180">
        <v>7</v>
      </c>
      <c r="AL11" s="1180">
        <v>7</v>
      </c>
      <c r="AM11" s="1180">
        <v>7</v>
      </c>
      <c r="AN11" s="1180">
        <v>7</v>
      </c>
      <c r="AO11" s="1180">
        <v>7</v>
      </c>
      <c r="AP11" s="1180">
        <v>7</v>
      </c>
      <c r="AQ11" s="1180">
        <v>7</v>
      </c>
      <c r="AR11" s="1180">
        <v>7</v>
      </c>
      <c r="AS11" s="1180">
        <v>7</v>
      </c>
      <c r="AT11" s="1180">
        <v>7</v>
      </c>
      <c r="AU11" s="1180">
        <v>7</v>
      </c>
      <c r="AV11" s="1180">
        <v>7</v>
      </c>
      <c r="AW11" s="1180">
        <v>7</v>
      </c>
      <c r="AX11" s="1180">
        <v>7</v>
      </c>
      <c r="AY11" s="1180">
        <v>6</v>
      </c>
      <c r="AZ11" s="1542">
        <v>6</v>
      </c>
      <c r="BA11" s="1542">
        <v>6</v>
      </c>
      <c r="BB11" s="1542">
        <v>6</v>
      </c>
      <c r="BC11" s="1542">
        <v>6</v>
      </c>
      <c r="BD11" s="1210">
        <v>6</v>
      </c>
      <c r="BE11" s="1210">
        <v>6</v>
      </c>
      <c r="BF11" s="1210">
        <v>6</v>
      </c>
      <c r="BG11" s="1210">
        <v>5</v>
      </c>
      <c r="BH11" s="1210">
        <v>5</v>
      </c>
      <c r="BI11" s="1210">
        <v>5</v>
      </c>
      <c r="BJ11" s="1210">
        <v>5</v>
      </c>
      <c r="BK11" s="1210">
        <v>5</v>
      </c>
      <c r="BL11" s="1210">
        <v>5</v>
      </c>
      <c r="BM11" s="1210">
        <v>5</v>
      </c>
      <c r="BN11" s="1210">
        <v>5</v>
      </c>
      <c r="BO11" s="1210">
        <v>5</v>
      </c>
      <c r="BP11" s="1581" t="s">
        <v>3652</v>
      </c>
    </row>
    <row r="12" spans="1:69" ht="42" customHeight="1">
      <c r="A12" s="1181" t="s">
        <v>2566</v>
      </c>
      <c r="B12" s="1177">
        <v>2</v>
      </c>
      <c r="C12" s="1178">
        <v>2</v>
      </c>
      <c r="D12" s="1178">
        <v>2</v>
      </c>
      <c r="E12" s="1179">
        <v>2</v>
      </c>
      <c r="F12" s="1180">
        <v>2</v>
      </c>
      <c r="G12" s="1180">
        <v>2</v>
      </c>
      <c r="H12" s="1180">
        <v>2</v>
      </c>
      <c r="I12" s="1180">
        <v>2</v>
      </c>
      <c r="J12" s="1180">
        <v>2</v>
      </c>
      <c r="K12" s="1180">
        <v>2</v>
      </c>
      <c r="L12" s="1180">
        <v>2</v>
      </c>
      <c r="M12" s="1180">
        <v>2</v>
      </c>
      <c r="N12" s="1180">
        <v>2</v>
      </c>
      <c r="O12" s="1180">
        <v>2</v>
      </c>
      <c r="P12" s="1180">
        <v>2</v>
      </c>
      <c r="Q12" s="1180">
        <v>2</v>
      </c>
      <c r="R12" s="1180">
        <v>2</v>
      </c>
      <c r="S12" s="1180">
        <v>2</v>
      </c>
      <c r="T12" s="1180">
        <v>2</v>
      </c>
      <c r="U12" s="1180">
        <v>2</v>
      </c>
      <c r="V12" s="1180">
        <v>2</v>
      </c>
      <c r="W12" s="1180">
        <v>2</v>
      </c>
      <c r="X12" s="1180">
        <v>2</v>
      </c>
      <c r="Y12" s="1180">
        <v>2</v>
      </c>
      <c r="Z12" s="1180">
        <v>2</v>
      </c>
      <c r="AA12" s="1180">
        <v>2</v>
      </c>
      <c r="AB12" s="1180">
        <v>2</v>
      </c>
      <c r="AC12" s="1180">
        <v>2</v>
      </c>
      <c r="AD12" s="1180">
        <v>2</v>
      </c>
      <c r="AE12" s="1180">
        <v>2</v>
      </c>
      <c r="AF12" s="1180">
        <v>2</v>
      </c>
      <c r="AG12" s="1180">
        <v>2</v>
      </c>
      <c r="AH12" s="1180">
        <v>2</v>
      </c>
      <c r="AI12" s="1180">
        <v>2</v>
      </c>
      <c r="AJ12" s="1180">
        <v>2</v>
      </c>
      <c r="AK12" s="1180">
        <v>2</v>
      </c>
      <c r="AL12" s="1180">
        <v>2</v>
      </c>
      <c r="AM12" s="1180">
        <v>2</v>
      </c>
      <c r="AN12" s="1180">
        <v>2</v>
      </c>
      <c r="AO12" s="1180">
        <v>2</v>
      </c>
      <c r="AP12" s="1180">
        <v>2</v>
      </c>
      <c r="AQ12" s="1180">
        <v>2</v>
      </c>
      <c r="AR12" s="1180">
        <v>2</v>
      </c>
      <c r="AS12" s="1180">
        <v>2</v>
      </c>
      <c r="AT12" s="1180">
        <v>2</v>
      </c>
      <c r="AU12" s="1180">
        <v>2</v>
      </c>
      <c r="AV12" s="1180">
        <v>2</v>
      </c>
      <c r="AW12" s="1180">
        <v>2</v>
      </c>
      <c r="AX12" s="1180">
        <v>2</v>
      </c>
      <c r="AY12" s="1180">
        <v>1</v>
      </c>
      <c r="AZ12" s="1542">
        <v>1</v>
      </c>
      <c r="BA12" s="1542">
        <v>1</v>
      </c>
      <c r="BB12" s="1542">
        <v>1</v>
      </c>
      <c r="BC12" s="1542">
        <v>1</v>
      </c>
      <c r="BD12" s="1210">
        <v>1</v>
      </c>
      <c r="BE12" s="1210">
        <v>1</v>
      </c>
      <c r="BF12" s="1210">
        <v>1</v>
      </c>
      <c r="BG12" s="1210">
        <v>1</v>
      </c>
      <c r="BH12" s="1210">
        <v>1</v>
      </c>
      <c r="BI12" s="1210">
        <v>1</v>
      </c>
      <c r="BJ12" s="1210">
        <v>1</v>
      </c>
      <c r="BK12" s="1210">
        <v>1</v>
      </c>
      <c r="BL12" s="1210">
        <v>1</v>
      </c>
      <c r="BM12" s="1210">
        <v>1</v>
      </c>
      <c r="BN12" s="1210">
        <v>1</v>
      </c>
      <c r="BO12" s="1210">
        <v>1</v>
      </c>
      <c r="BP12" s="1581" t="s">
        <v>3653</v>
      </c>
    </row>
    <row r="13" spans="1:69" ht="54.6" customHeight="1" thickBot="1">
      <c r="A13" s="1182" t="s">
        <v>2258</v>
      </c>
      <c r="B13" s="1183">
        <v>7</v>
      </c>
      <c r="C13" s="1184">
        <v>7</v>
      </c>
      <c r="D13" s="1184">
        <v>7</v>
      </c>
      <c r="E13" s="1185">
        <v>7</v>
      </c>
      <c r="F13" s="1186">
        <v>7</v>
      </c>
      <c r="G13" s="1186">
        <v>7</v>
      </c>
      <c r="H13" s="1186">
        <v>7</v>
      </c>
      <c r="I13" s="1186">
        <v>7</v>
      </c>
      <c r="J13" s="1186">
        <v>7</v>
      </c>
      <c r="K13" s="1186">
        <v>6</v>
      </c>
      <c r="L13" s="1186">
        <v>6</v>
      </c>
      <c r="M13" s="1186">
        <v>6</v>
      </c>
      <c r="N13" s="1186">
        <v>6</v>
      </c>
      <c r="O13" s="1186">
        <v>6</v>
      </c>
      <c r="P13" s="1186">
        <v>7</v>
      </c>
      <c r="Q13" s="1186">
        <v>7</v>
      </c>
      <c r="R13" s="1186">
        <v>7</v>
      </c>
      <c r="S13" s="1186">
        <v>7</v>
      </c>
      <c r="T13" s="1186">
        <v>7</v>
      </c>
      <c r="U13" s="1186">
        <v>6</v>
      </c>
      <c r="V13" s="1186">
        <v>5</v>
      </c>
      <c r="W13" s="1186">
        <v>5</v>
      </c>
      <c r="X13" s="1186">
        <v>5</v>
      </c>
      <c r="Y13" s="1186">
        <v>5</v>
      </c>
      <c r="Z13" s="1186">
        <v>5</v>
      </c>
      <c r="AA13" s="1186">
        <v>5</v>
      </c>
      <c r="AB13" s="1186">
        <v>5</v>
      </c>
      <c r="AC13" s="1186">
        <v>5</v>
      </c>
      <c r="AD13" s="1186">
        <v>5</v>
      </c>
      <c r="AE13" s="1186">
        <v>5</v>
      </c>
      <c r="AF13" s="1186">
        <v>5</v>
      </c>
      <c r="AG13" s="1186">
        <v>5</v>
      </c>
      <c r="AH13" s="1186">
        <v>5</v>
      </c>
      <c r="AI13" s="1186">
        <v>5</v>
      </c>
      <c r="AJ13" s="1186">
        <v>5</v>
      </c>
      <c r="AK13" s="1186">
        <v>5</v>
      </c>
      <c r="AL13" s="1186">
        <v>5</v>
      </c>
      <c r="AM13" s="1186">
        <v>5</v>
      </c>
      <c r="AN13" s="1186">
        <v>5</v>
      </c>
      <c r="AO13" s="1186">
        <v>5</v>
      </c>
      <c r="AP13" s="1186">
        <v>5</v>
      </c>
      <c r="AQ13" s="1186">
        <v>5</v>
      </c>
      <c r="AR13" s="1186">
        <v>5</v>
      </c>
      <c r="AS13" s="1186">
        <v>5</v>
      </c>
      <c r="AT13" s="1186">
        <v>5</v>
      </c>
      <c r="AU13" s="1186">
        <v>5</v>
      </c>
      <c r="AV13" s="1186">
        <v>5</v>
      </c>
      <c r="AW13" s="1186">
        <v>5</v>
      </c>
      <c r="AX13" s="1186">
        <v>5</v>
      </c>
      <c r="AY13" s="1186">
        <v>5</v>
      </c>
      <c r="AZ13" s="1543">
        <v>5</v>
      </c>
      <c r="BA13" s="1543">
        <v>4</v>
      </c>
      <c r="BB13" s="1543">
        <v>4</v>
      </c>
      <c r="BC13" s="1543">
        <v>4</v>
      </c>
      <c r="BD13" s="1198">
        <v>4</v>
      </c>
      <c r="BE13" s="1198">
        <v>4</v>
      </c>
      <c r="BF13" s="1198">
        <v>3</v>
      </c>
      <c r="BG13" s="1198">
        <v>3</v>
      </c>
      <c r="BH13" s="1198">
        <v>3</v>
      </c>
      <c r="BI13" s="1198">
        <v>3</v>
      </c>
      <c r="BJ13" s="1198">
        <v>3</v>
      </c>
      <c r="BK13" s="1198">
        <v>3</v>
      </c>
      <c r="BL13" s="1198">
        <v>3</v>
      </c>
      <c r="BM13" s="1198">
        <v>3</v>
      </c>
      <c r="BN13" s="1198">
        <v>3</v>
      </c>
      <c r="BO13" s="1198">
        <v>3</v>
      </c>
      <c r="BP13" s="1582" t="s">
        <v>3654</v>
      </c>
    </row>
    <row r="14" spans="1:69" ht="13.95" customHeight="1" thickBot="1">
      <c r="A14" s="1187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1188"/>
      <c r="W14" s="1188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8"/>
      <c r="AY14" s="1188"/>
      <c r="AZ14" s="1188"/>
      <c r="BA14" s="1188"/>
      <c r="BB14" s="1188"/>
      <c r="BC14" s="1188"/>
      <c r="BD14" s="1188"/>
      <c r="BE14" s="1188"/>
      <c r="BF14" s="1188"/>
      <c r="BG14" s="1188"/>
      <c r="BH14" s="1188"/>
      <c r="BI14" s="1188"/>
      <c r="BJ14" s="1188"/>
      <c r="BK14" s="1188"/>
      <c r="BL14" s="1188"/>
      <c r="BM14" s="1188"/>
      <c r="BN14" s="1188"/>
      <c r="BO14" s="1188"/>
      <c r="BP14" s="1188"/>
    </row>
    <row r="15" spans="1:69" ht="74.25" customHeight="1">
      <c r="A15" s="1189" t="s">
        <v>2262</v>
      </c>
      <c r="B15" s="1190">
        <v>0</v>
      </c>
      <c r="C15" s="1191">
        <v>0</v>
      </c>
      <c r="D15" s="1191">
        <v>0</v>
      </c>
      <c r="E15" s="1192">
        <v>0</v>
      </c>
      <c r="F15" s="1193">
        <v>0</v>
      </c>
      <c r="G15" s="1193">
        <v>0</v>
      </c>
      <c r="H15" s="1193">
        <v>0</v>
      </c>
      <c r="I15" s="1193">
        <v>0</v>
      </c>
      <c r="J15" s="1193">
        <v>0</v>
      </c>
      <c r="K15" s="1193">
        <v>0</v>
      </c>
      <c r="L15" s="1193">
        <v>0</v>
      </c>
      <c r="M15" s="1193">
        <v>0</v>
      </c>
      <c r="N15" s="1193">
        <v>0</v>
      </c>
      <c r="O15" s="1193">
        <v>0</v>
      </c>
      <c r="P15" s="1193">
        <v>0</v>
      </c>
      <c r="Q15" s="1193">
        <v>0</v>
      </c>
      <c r="R15" s="1193">
        <v>0</v>
      </c>
      <c r="S15" s="1193">
        <v>0</v>
      </c>
      <c r="T15" s="1193">
        <v>0</v>
      </c>
      <c r="U15" s="1193">
        <v>0</v>
      </c>
      <c r="V15" s="1193">
        <v>0</v>
      </c>
      <c r="W15" s="1193">
        <v>0</v>
      </c>
      <c r="X15" s="1193">
        <v>0</v>
      </c>
      <c r="Y15" s="1193">
        <v>0</v>
      </c>
      <c r="Z15" s="1193">
        <v>0</v>
      </c>
      <c r="AA15" s="1193">
        <v>0</v>
      </c>
      <c r="AB15" s="1193">
        <v>0</v>
      </c>
      <c r="AC15" s="1193">
        <v>0</v>
      </c>
      <c r="AD15" s="1193">
        <v>0</v>
      </c>
      <c r="AE15" s="1193">
        <v>0</v>
      </c>
      <c r="AF15" s="1193">
        <v>0</v>
      </c>
      <c r="AG15" s="1193">
        <v>0</v>
      </c>
      <c r="AH15" s="1193">
        <v>0</v>
      </c>
      <c r="AI15" s="1193">
        <v>0</v>
      </c>
      <c r="AJ15" s="1193">
        <v>0</v>
      </c>
      <c r="AK15" s="1193">
        <v>0</v>
      </c>
      <c r="AL15" s="1193">
        <v>0</v>
      </c>
      <c r="AM15" s="1193">
        <v>0</v>
      </c>
      <c r="AN15" s="1193">
        <v>0</v>
      </c>
      <c r="AO15" s="1193">
        <v>0</v>
      </c>
      <c r="AP15" s="1193">
        <v>0</v>
      </c>
      <c r="AQ15" s="1193">
        <v>0</v>
      </c>
      <c r="AR15" s="1194">
        <v>0</v>
      </c>
      <c r="AS15" s="1194">
        <v>0</v>
      </c>
      <c r="AT15" s="1194">
        <v>0</v>
      </c>
      <c r="AU15" s="1194">
        <v>0</v>
      </c>
      <c r="AV15" s="1194">
        <v>0</v>
      </c>
      <c r="AW15" s="1194">
        <v>0</v>
      </c>
      <c r="AX15" s="1194">
        <v>0</v>
      </c>
      <c r="AY15" s="1194">
        <v>0</v>
      </c>
      <c r="AZ15" s="1194">
        <v>0</v>
      </c>
      <c r="BA15" s="1194">
        <v>0</v>
      </c>
      <c r="BB15" s="1194">
        <v>0</v>
      </c>
      <c r="BC15" s="1194">
        <v>0</v>
      </c>
      <c r="BD15" s="1194">
        <v>0</v>
      </c>
      <c r="BE15" s="1194">
        <v>0</v>
      </c>
      <c r="BF15" s="1194">
        <v>0</v>
      </c>
      <c r="BG15" s="1194">
        <v>0</v>
      </c>
      <c r="BH15" s="1194">
        <v>0</v>
      </c>
      <c r="BI15" s="1194">
        <v>0</v>
      </c>
      <c r="BJ15" s="1194">
        <v>0</v>
      </c>
      <c r="BK15" s="1194">
        <v>0</v>
      </c>
      <c r="BL15" s="1194">
        <v>0</v>
      </c>
      <c r="BM15" s="1194">
        <v>0</v>
      </c>
      <c r="BN15" s="1194">
        <v>0</v>
      </c>
      <c r="BO15" s="1194">
        <v>0</v>
      </c>
      <c r="BP15" s="1583" t="s">
        <v>3655</v>
      </c>
    </row>
    <row r="16" spans="1:69" ht="72.75" customHeight="1" thickBot="1">
      <c r="A16" s="1195" t="s">
        <v>2261</v>
      </c>
      <c r="B16" s="1196">
        <v>0</v>
      </c>
      <c r="C16" s="1197">
        <v>0</v>
      </c>
      <c r="D16" s="1197">
        <v>0</v>
      </c>
      <c r="E16" s="1185">
        <v>0</v>
      </c>
      <c r="F16" s="1186">
        <v>0</v>
      </c>
      <c r="G16" s="1186">
        <v>0</v>
      </c>
      <c r="H16" s="1186">
        <v>0</v>
      </c>
      <c r="I16" s="1186">
        <v>0</v>
      </c>
      <c r="J16" s="1186">
        <v>0</v>
      </c>
      <c r="K16" s="1186">
        <v>0</v>
      </c>
      <c r="L16" s="1186">
        <v>0</v>
      </c>
      <c r="M16" s="1186">
        <v>0</v>
      </c>
      <c r="N16" s="1186">
        <v>0</v>
      </c>
      <c r="O16" s="1186">
        <v>0</v>
      </c>
      <c r="P16" s="1186">
        <v>0</v>
      </c>
      <c r="Q16" s="1186">
        <v>0</v>
      </c>
      <c r="R16" s="1186">
        <v>0</v>
      </c>
      <c r="S16" s="1186">
        <v>0</v>
      </c>
      <c r="T16" s="1186">
        <v>0</v>
      </c>
      <c r="U16" s="1186">
        <v>2</v>
      </c>
      <c r="V16" s="1186">
        <v>4</v>
      </c>
      <c r="W16" s="1186">
        <v>4</v>
      </c>
      <c r="X16" s="1186">
        <v>4</v>
      </c>
      <c r="Y16" s="1186">
        <v>4</v>
      </c>
      <c r="Z16" s="1186">
        <v>4</v>
      </c>
      <c r="AA16" s="1186">
        <v>4</v>
      </c>
      <c r="AB16" s="1186">
        <v>4</v>
      </c>
      <c r="AC16" s="1186">
        <v>4</v>
      </c>
      <c r="AD16" s="1186">
        <v>0</v>
      </c>
      <c r="AE16" s="1186">
        <v>0</v>
      </c>
      <c r="AF16" s="1186">
        <v>0</v>
      </c>
      <c r="AG16" s="1186">
        <v>0</v>
      </c>
      <c r="AH16" s="1186">
        <v>0</v>
      </c>
      <c r="AI16" s="1186">
        <v>0</v>
      </c>
      <c r="AJ16" s="1186">
        <v>0</v>
      </c>
      <c r="AK16" s="1186">
        <v>0</v>
      </c>
      <c r="AL16" s="1186">
        <v>0</v>
      </c>
      <c r="AM16" s="1186">
        <v>0</v>
      </c>
      <c r="AN16" s="1186">
        <v>0</v>
      </c>
      <c r="AO16" s="1186">
        <v>0</v>
      </c>
      <c r="AP16" s="1186">
        <v>0</v>
      </c>
      <c r="AQ16" s="1186">
        <v>0</v>
      </c>
      <c r="AR16" s="1198">
        <v>0</v>
      </c>
      <c r="AS16" s="1198">
        <v>0</v>
      </c>
      <c r="AT16" s="1198">
        <v>0</v>
      </c>
      <c r="AU16" s="1198">
        <v>0</v>
      </c>
      <c r="AV16" s="1198">
        <v>0</v>
      </c>
      <c r="AW16" s="1198">
        <v>0</v>
      </c>
      <c r="AX16" s="1198">
        <v>0</v>
      </c>
      <c r="AY16" s="1198">
        <v>1</v>
      </c>
      <c r="AZ16" s="1198">
        <v>1</v>
      </c>
      <c r="BA16" s="1198">
        <v>1</v>
      </c>
      <c r="BB16" s="1198">
        <v>0</v>
      </c>
      <c r="BC16" s="1198">
        <v>0</v>
      </c>
      <c r="BD16" s="1198">
        <v>0</v>
      </c>
      <c r="BE16" s="1198">
        <v>0</v>
      </c>
      <c r="BF16" s="1198">
        <v>1</v>
      </c>
      <c r="BG16" s="1198">
        <v>1</v>
      </c>
      <c r="BH16" s="1198">
        <v>1</v>
      </c>
      <c r="BI16" s="1198">
        <v>1</v>
      </c>
      <c r="BJ16" s="1198">
        <v>1</v>
      </c>
      <c r="BK16" s="1198">
        <v>2</v>
      </c>
      <c r="BL16" s="1198">
        <v>2</v>
      </c>
      <c r="BM16" s="1198">
        <v>2</v>
      </c>
      <c r="BN16" s="1198">
        <v>0</v>
      </c>
      <c r="BO16" s="1198">
        <v>0</v>
      </c>
      <c r="BP16" s="1584" t="s">
        <v>3656</v>
      </c>
    </row>
    <row r="17" spans="1:71" ht="14.4" customHeight="1" thickBot="1">
      <c r="A17" s="2787"/>
      <c r="B17" s="2788"/>
      <c r="C17" s="2788"/>
      <c r="D17" s="2788"/>
      <c r="E17" s="2788"/>
      <c r="F17" s="2788"/>
      <c r="G17" s="2788"/>
      <c r="H17" s="2788"/>
      <c r="I17" s="2788"/>
      <c r="J17" s="2788"/>
      <c r="K17" s="2788"/>
      <c r="L17" s="2788"/>
      <c r="M17" s="2788"/>
      <c r="N17" s="2788"/>
      <c r="O17" s="2788"/>
      <c r="P17" s="2788"/>
      <c r="Q17" s="2788"/>
      <c r="R17" s="2788"/>
      <c r="S17" s="2788"/>
      <c r="T17" s="2788"/>
      <c r="U17" s="2788"/>
      <c r="V17" s="2788"/>
      <c r="W17" s="2788"/>
      <c r="X17" s="2788"/>
      <c r="Y17" s="2788"/>
      <c r="Z17" s="2788"/>
      <c r="AA17" s="2788"/>
      <c r="AB17" s="2788"/>
      <c r="AC17" s="2788"/>
      <c r="AD17" s="2788"/>
      <c r="AE17" s="2788"/>
      <c r="AF17" s="2788"/>
      <c r="AG17" s="2788"/>
      <c r="AH17" s="2788"/>
      <c r="AI17" s="2788"/>
      <c r="AJ17" s="2788"/>
      <c r="AK17" s="2788"/>
      <c r="AL17" s="2788"/>
      <c r="AM17" s="2788"/>
      <c r="AN17" s="2788"/>
      <c r="AO17" s="2788"/>
      <c r="AP17" s="2788"/>
      <c r="AQ17" s="2788"/>
      <c r="AR17" s="2788"/>
      <c r="AS17" s="2788"/>
      <c r="AT17" s="2788"/>
      <c r="AU17" s="2788"/>
      <c r="AV17" s="2788"/>
      <c r="AW17" s="2788"/>
      <c r="AX17" s="2788"/>
      <c r="AY17" s="2788"/>
      <c r="AZ17" s="2788"/>
      <c r="BA17" s="2788"/>
      <c r="BB17" s="2788"/>
      <c r="BC17" s="2788"/>
      <c r="BD17" s="2788"/>
      <c r="BE17" s="2788"/>
      <c r="BF17" s="2788"/>
      <c r="BG17" s="2788"/>
      <c r="BH17" s="2788"/>
      <c r="BI17" s="2788"/>
      <c r="BJ17" s="2788"/>
      <c r="BK17" s="2788"/>
      <c r="BL17" s="2788"/>
      <c r="BM17" s="2788"/>
      <c r="BN17" s="2788"/>
      <c r="BO17" s="2788"/>
      <c r="BP17" s="2788"/>
    </row>
    <row r="18" spans="1:71" ht="40.950000000000003" customHeight="1">
      <c r="A18" s="1199" t="s">
        <v>2260</v>
      </c>
      <c r="B18" s="1200">
        <v>511</v>
      </c>
      <c r="C18" s="1201">
        <v>508</v>
      </c>
      <c r="D18" s="1202">
        <v>508</v>
      </c>
      <c r="E18" s="1203">
        <v>508</v>
      </c>
      <c r="F18" s="1194">
        <v>508</v>
      </c>
      <c r="G18" s="1194">
        <v>509</v>
      </c>
      <c r="H18" s="1194">
        <v>512</v>
      </c>
      <c r="I18" s="1194">
        <v>512</v>
      </c>
      <c r="J18" s="1194">
        <v>512</v>
      </c>
      <c r="K18" s="1194">
        <v>513</v>
      </c>
      <c r="L18" s="1194">
        <v>514</v>
      </c>
      <c r="M18" s="1194">
        <v>514</v>
      </c>
      <c r="N18" s="1194">
        <v>515</v>
      </c>
      <c r="O18" s="1194">
        <v>515</v>
      </c>
      <c r="P18" s="1194">
        <v>509</v>
      </c>
      <c r="Q18" s="1194">
        <v>509</v>
      </c>
      <c r="R18" s="1194">
        <v>508</v>
      </c>
      <c r="S18" s="1194">
        <v>507</v>
      </c>
      <c r="T18" s="1194">
        <v>506</v>
      </c>
      <c r="U18" s="1194">
        <v>467</v>
      </c>
      <c r="V18" s="1194">
        <v>439</v>
      </c>
      <c r="W18" s="1194">
        <v>440</v>
      </c>
      <c r="X18" s="1194">
        <v>440</v>
      </c>
      <c r="Y18" s="1194">
        <v>440</v>
      </c>
      <c r="Z18" s="1194">
        <v>443</v>
      </c>
      <c r="AA18" s="1194">
        <v>444</v>
      </c>
      <c r="AB18" s="1194">
        <v>446</v>
      </c>
      <c r="AC18" s="1194">
        <v>455</v>
      </c>
      <c r="AD18" s="1194">
        <v>456</v>
      </c>
      <c r="AE18" s="1194">
        <v>456</v>
      </c>
      <c r="AF18" s="1194">
        <v>458</v>
      </c>
      <c r="AG18" s="1194">
        <v>462</v>
      </c>
      <c r="AH18" s="1194">
        <v>465</v>
      </c>
      <c r="AI18" s="1194">
        <v>465</v>
      </c>
      <c r="AJ18" s="1194">
        <v>465</v>
      </c>
      <c r="AK18" s="1194">
        <v>466</v>
      </c>
      <c r="AL18" s="1194">
        <v>466</v>
      </c>
      <c r="AM18" s="1194">
        <v>473</v>
      </c>
      <c r="AN18" s="1194">
        <v>474</v>
      </c>
      <c r="AO18" s="1194">
        <v>479</v>
      </c>
      <c r="AP18" s="1194">
        <v>480</v>
      </c>
      <c r="AQ18" s="1194">
        <v>481</v>
      </c>
      <c r="AR18" s="1194">
        <v>486</v>
      </c>
      <c r="AS18" s="1204">
        <v>487</v>
      </c>
      <c r="AT18" s="1204">
        <v>491</v>
      </c>
      <c r="AU18" s="1204">
        <v>492</v>
      </c>
      <c r="AV18" s="1204">
        <v>480</v>
      </c>
      <c r="AW18" s="1204">
        <v>483</v>
      </c>
      <c r="AX18" s="1204">
        <v>481</v>
      </c>
      <c r="AY18" s="1204">
        <v>483</v>
      </c>
      <c r="AZ18" s="1204">
        <v>484</v>
      </c>
      <c r="BA18" s="1204">
        <v>487</v>
      </c>
      <c r="BB18" s="1204">
        <v>489</v>
      </c>
      <c r="BC18" s="1204">
        <v>490</v>
      </c>
      <c r="BD18" s="1588">
        <v>491</v>
      </c>
      <c r="BE18" s="1588">
        <v>493</v>
      </c>
      <c r="BF18" s="1588">
        <v>483</v>
      </c>
      <c r="BG18" s="1588">
        <v>486</v>
      </c>
      <c r="BH18" s="1588">
        <v>486</v>
      </c>
      <c r="BI18" s="1588">
        <v>488</v>
      </c>
      <c r="BJ18" s="1588">
        <v>491</v>
      </c>
      <c r="BK18" s="1588">
        <v>471</v>
      </c>
      <c r="BL18" s="1588">
        <v>474</v>
      </c>
      <c r="BM18" s="1588">
        <v>475</v>
      </c>
      <c r="BN18" s="1588">
        <v>475</v>
      </c>
      <c r="BO18" s="1588">
        <v>475</v>
      </c>
      <c r="BP18" s="1585" t="s">
        <v>3657</v>
      </c>
    </row>
    <row r="19" spans="1:71" ht="40.950000000000003" customHeight="1">
      <c r="A19" s="1205" t="s">
        <v>2259</v>
      </c>
      <c r="B19" s="1206">
        <v>143</v>
      </c>
      <c r="C19" s="1207">
        <v>140</v>
      </c>
      <c r="D19" s="1208">
        <v>141</v>
      </c>
      <c r="E19" s="1209">
        <v>130</v>
      </c>
      <c r="F19" s="1210">
        <v>130</v>
      </c>
      <c r="G19" s="1210">
        <v>130</v>
      </c>
      <c r="H19" s="1210">
        <v>129</v>
      </c>
      <c r="I19" s="1210">
        <v>128</v>
      </c>
      <c r="J19" s="1210">
        <v>129</v>
      </c>
      <c r="K19" s="1210">
        <v>129</v>
      </c>
      <c r="L19" s="1210">
        <v>128</v>
      </c>
      <c r="M19" s="1210">
        <v>129</v>
      </c>
      <c r="N19" s="1210">
        <v>129</v>
      </c>
      <c r="O19" s="1210">
        <v>130</v>
      </c>
      <c r="P19" s="1210">
        <v>133</v>
      </c>
      <c r="Q19" s="1210">
        <v>133</v>
      </c>
      <c r="R19" s="1210">
        <v>132</v>
      </c>
      <c r="S19" s="1210">
        <v>127</v>
      </c>
      <c r="T19" s="1210">
        <v>126</v>
      </c>
      <c r="U19" s="1210">
        <v>117</v>
      </c>
      <c r="V19" s="1210">
        <v>115</v>
      </c>
      <c r="W19" s="1210">
        <v>117</v>
      </c>
      <c r="X19" s="1210">
        <v>116</v>
      </c>
      <c r="Y19" s="1210">
        <v>116</v>
      </c>
      <c r="Z19" s="1210">
        <v>116</v>
      </c>
      <c r="AA19" s="1210">
        <v>116</v>
      </c>
      <c r="AB19" s="1210">
        <v>115</v>
      </c>
      <c r="AC19" s="1210">
        <v>109</v>
      </c>
      <c r="AD19" s="1210">
        <v>108</v>
      </c>
      <c r="AE19" s="1210">
        <v>108</v>
      </c>
      <c r="AF19" s="1210">
        <v>105</v>
      </c>
      <c r="AG19" s="1210">
        <v>102</v>
      </c>
      <c r="AH19" s="1210">
        <v>100</v>
      </c>
      <c r="AI19" s="1210">
        <v>101</v>
      </c>
      <c r="AJ19" s="1210">
        <v>102</v>
      </c>
      <c r="AK19" s="1210">
        <v>103</v>
      </c>
      <c r="AL19" s="1210">
        <v>103</v>
      </c>
      <c r="AM19" s="1210">
        <v>97</v>
      </c>
      <c r="AN19" s="1210">
        <v>97</v>
      </c>
      <c r="AO19" s="1210">
        <v>97</v>
      </c>
      <c r="AP19" s="1210">
        <v>97</v>
      </c>
      <c r="AQ19" s="1210">
        <v>97</v>
      </c>
      <c r="AR19" s="1210">
        <v>95</v>
      </c>
      <c r="AS19" s="1211">
        <v>97</v>
      </c>
      <c r="AT19" s="1211">
        <v>96</v>
      </c>
      <c r="AU19" s="1211">
        <v>96</v>
      </c>
      <c r="AV19" s="1211">
        <v>95</v>
      </c>
      <c r="AW19" s="1211">
        <v>94</v>
      </c>
      <c r="AX19" s="1211">
        <v>93</v>
      </c>
      <c r="AY19" s="1211">
        <v>94</v>
      </c>
      <c r="AZ19" s="1211">
        <v>94</v>
      </c>
      <c r="BA19" s="1211">
        <v>91</v>
      </c>
      <c r="BB19" s="1211">
        <v>92</v>
      </c>
      <c r="BC19" s="1211">
        <v>94</v>
      </c>
      <c r="BD19" s="1589">
        <v>94</v>
      </c>
      <c r="BE19" s="1589">
        <v>94</v>
      </c>
      <c r="BF19" s="1589">
        <v>86</v>
      </c>
      <c r="BG19" s="1589">
        <v>86</v>
      </c>
      <c r="BH19" s="1589">
        <v>86</v>
      </c>
      <c r="BI19" s="1589">
        <v>89</v>
      </c>
      <c r="BJ19" s="1589">
        <v>88</v>
      </c>
      <c r="BK19" s="1589">
        <v>86</v>
      </c>
      <c r="BL19" s="1589">
        <v>86</v>
      </c>
      <c r="BM19" s="1589">
        <v>96</v>
      </c>
      <c r="BN19" s="1589">
        <v>104</v>
      </c>
      <c r="BO19" s="1589">
        <v>104</v>
      </c>
      <c r="BP19" s="1586" t="s">
        <v>3658</v>
      </c>
    </row>
    <row r="20" spans="1:71" ht="40.950000000000003" customHeight="1">
      <c r="A20" s="1205" t="s">
        <v>2567</v>
      </c>
      <c r="B20" s="1206">
        <v>2479</v>
      </c>
      <c r="C20" s="1207">
        <v>2492</v>
      </c>
      <c r="D20" s="1208">
        <v>2490</v>
      </c>
      <c r="E20" s="1209">
        <v>2502</v>
      </c>
      <c r="F20" s="1210">
        <v>2510</v>
      </c>
      <c r="G20" s="1210">
        <v>2524</v>
      </c>
      <c r="H20" s="1210">
        <v>2535</v>
      </c>
      <c r="I20" s="1210">
        <v>2544</v>
      </c>
      <c r="J20" s="1210">
        <v>2568</v>
      </c>
      <c r="K20" s="1210">
        <v>2571</v>
      </c>
      <c r="L20" s="1210">
        <v>2582</v>
      </c>
      <c r="M20" s="1210">
        <v>2588</v>
      </c>
      <c r="N20" s="1210">
        <v>2592</v>
      </c>
      <c r="O20" s="1210">
        <v>2612</v>
      </c>
      <c r="P20" s="1210">
        <v>2627</v>
      </c>
      <c r="Q20" s="1210">
        <v>2647</v>
      </c>
      <c r="R20" s="1210">
        <v>2659</v>
      </c>
      <c r="S20" s="1210">
        <v>2658</v>
      </c>
      <c r="T20" s="1210">
        <v>2677</v>
      </c>
      <c r="U20" s="1210">
        <v>2636</v>
      </c>
      <c r="V20" s="1210">
        <v>2552</v>
      </c>
      <c r="W20" s="1210">
        <v>2569</v>
      </c>
      <c r="X20" s="1210">
        <v>2585</v>
      </c>
      <c r="Y20" s="1210">
        <v>2608</v>
      </c>
      <c r="Z20" s="1210">
        <v>2640</v>
      </c>
      <c r="AA20" s="1210">
        <v>2655</v>
      </c>
      <c r="AB20" s="1210">
        <v>2688</v>
      </c>
      <c r="AC20" s="1210">
        <v>2715</v>
      </c>
      <c r="AD20" s="1210">
        <v>2740</v>
      </c>
      <c r="AE20" s="1210">
        <v>2747</v>
      </c>
      <c r="AF20" s="1210">
        <v>2765</v>
      </c>
      <c r="AG20" s="1210">
        <v>2771</v>
      </c>
      <c r="AH20" s="1210">
        <v>2785</v>
      </c>
      <c r="AI20" s="1210">
        <v>2804</v>
      </c>
      <c r="AJ20" s="1210">
        <v>2824</v>
      </c>
      <c r="AK20" s="1210">
        <v>2844</v>
      </c>
      <c r="AL20" s="1210">
        <v>2854</v>
      </c>
      <c r="AM20" s="1210">
        <v>2870</v>
      </c>
      <c r="AN20" s="1210">
        <v>2882</v>
      </c>
      <c r="AO20" s="1210">
        <v>2907</v>
      </c>
      <c r="AP20" s="1210">
        <v>2920</v>
      </c>
      <c r="AQ20" s="1210">
        <v>2931</v>
      </c>
      <c r="AR20" s="1211">
        <v>2934</v>
      </c>
      <c r="AS20" s="1211">
        <v>2933</v>
      </c>
      <c r="AT20" s="1211">
        <v>2933</v>
      </c>
      <c r="AU20" s="1211">
        <v>2935</v>
      </c>
      <c r="AV20" s="1211">
        <v>2944</v>
      </c>
      <c r="AW20" s="1211">
        <v>2960</v>
      </c>
      <c r="AX20" s="1211">
        <v>2964</v>
      </c>
      <c r="AY20" s="1211">
        <v>2965</v>
      </c>
      <c r="AZ20" s="1211">
        <v>2975</v>
      </c>
      <c r="BA20" s="1211">
        <v>2997</v>
      </c>
      <c r="BB20" s="1211">
        <v>3006</v>
      </c>
      <c r="BC20" s="1211">
        <v>3003</v>
      </c>
      <c r="BD20" s="1589">
        <v>2996</v>
      </c>
      <c r="BE20" s="1589">
        <v>3002</v>
      </c>
      <c r="BF20" s="1589">
        <v>3003</v>
      </c>
      <c r="BG20" s="1589">
        <v>3009</v>
      </c>
      <c r="BH20" s="1589">
        <v>3015</v>
      </c>
      <c r="BI20" s="1589">
        <v>3032</v>
      </c>
      <c r="BJ20" s="1589">
        <v>3047</v>
      </c>
      <c r="BK20" s="1589">
        <v>3018</v>
      </c>
      <c r="BL20" s="1589">
        <v>3042</v>
      </c>
      <c r="BM20" s="1589">
        <v>3040</v>
      </c>
      <c r="BN20" s="1589">
        <v>3044</v>
      </c>
      <c r="BO20" s="1589">
        <v>3064</v>
      </c>
      <c r="BP20" s="1586" t="s">
        <v>3659</v>
      </c>
      <c r="BQ20" s="1212"/>
      <c r="BR20" s="1213"/>
      <c r="BS20" s="1214"/>
    </row>
    <row r="21" spans="1:71" ht="38.4" customHeight="1" thickBot="1">
      <c r="A21" s="1215" t="s">
        <v>2568</v>
      </c>
      <c r="B21" s="1216">
        <v>17066</v>
      </c>
      <c r="C21" s="1217">
        <v>17211</v>
      </c>
      <c r="D21" s="1218">
        <v>17321</v>
      </c>
      <c r="E21" s="1219">
        <v>17415</v>
      </c>
      <c r="F21" s="1198">
        <v>17588</v>
      </c>
      <c r="G21" s="1198">
        <v>17683</v>
      </c>
      <c r="H21" s="1198">
        <v>17749</v>
      </c>
      <c r="I21" s="1198">
        <v>17982</v>
      </c>
      <c r="J21" s="1198">
        <v>18191</v>
      </c>
      <c r="K21" s="1198">
        <v>18288</v>
      </c>
      <c r="L21" s="1198">
        <v>18434</v>
      </c>
      <c r="M21" s="1198">
        <v>18711</v>
      </c>
      <c r="N21" s="1198">
        <v>18911</v>
      </c>
      <c r="O21" s="1198">
        <v>19108</v>
      </c>
      <c r="P21" s="1198">
        <v>19241</v>
      </c>
      <c r="Q21" s="1198">
        <v>19460</v>
      </c>
      <c r="R21" s="1198">
        <v>19572</v>
      </c>
      <c r="S21" s="1198">
        <v>19757</v>
      </c>
      <c r="T21" s="1198">
        <v>19846</v>
      </c>
      <c r="U21" s="1198">
        <v>19162</v>
      </c>
      <c r="V21" s="1198">
        <v>18391</v>
      </c>
      <c r="W21" s="1198">
        <v>18400</v>
      </c>
      <c r="X21" s="1198">
        <v>18478</v>
      </c>
      <c r="Y21" s="1198">
        <v>18489</v>
      </c>
      <c r="Z21" s="1198">
        <v>18555</v>
      </c>
      <c r="AA21" s="1198">
        <v>18536</v>
      </c>
      <c r="AB21" s="1198">
        <v>18630</v>
      </c>
      <c r="AC21" s="1198">
        <v>18708</v>
      </c>
      <c r="AD21" s="1198">
        <v>18724</v>
      </c>
      <c r="AE21" s="1198">
        <v>18724</v>
      </c>
      <c r="AF21" s="1198">
        <v>18767</v>
      </c>
      <c r="AG21" s="1198">
        <v>18893</v>
      </c>
      <c r="AH21" s="1198">
        <v>18901</v>
      </c>
      <c r="AI21" s="1198">
        <v>18993</v>
      </c>
      <c r="AJ21" s="1198">
        <v>19169</v>
      </c>
      <c r="AK21" s="1198">
        <v>19344</v>
      </c>
      <c r="AL21" s="1198">
        <v>19488</v>
      </c>
      <c r="AM21" s="1198">
        <v>19835</v>
      </c>
      <c r="AN21" s="1198">
        <v>20035</v>
      </c>
      <c r="AO21" s="1198">
        <v>20329</v>
      </c>
      <c r="AP21" s="1198">
        <v>20601</v>
      </c>
      <c r="AQ21" s="1220">
        <v>20834</v>
      </c>
      <c r="AR21" s="1198">
        <v>21031</v>
      </c>
      <c r="AS21" s="1220">
        <v>21227</v>
      </c>
      <c r="AT21" s="1220">
        <v>21379</v>
      </c>
      <c r="AU21" s="1220">
        <v>21526</v>
      </c>
      <c r="AV21" s="1220">
        <v>21729</v>
      </c>
      <c r="AW21" s="1220">
        <v>21947</v>
      </c>
      <c r="AX21" s="1220">
        <v>22116</v>
      </c>
      <c r="AY21" s="1220">
        <v>22302</v>
      </c>
      <c r="AZ21" s="1220">
        <v>22551</v>
      </c>
      <c r="BA21" s="1220">
        <v>22777</v>
      </c>
      <c r="BB21" s="1220">
        <v>22870</v>
      </c>
      <c r="BC21" s="1220">
        <v>23040</v>
      </c>
      <c r="BD21" s="1590">
        <v>23164</v>
      </c>
      <c r="BE21" s="1590">
        <v>23258</v>
      </c>
      <c r="BF21" s="1590">
        <v>23124</v>
      </c>
      <c r="BG21" s="1590">
        <v>23241</v>
      </c>
      <c r="BH21" s="1590">
        <v>23319</v>
      </c>
      <c r="BI21" s="1590">
        <v>23491</v>
      </c>
      <c r="BJ21" s="1590">
        <v>23530</v>
      </c>
      <c r="BK21" s="1590">
        <v>23292</v>
      </c>
      <c r="BL21" s="1590">
        <v>23354</v>
      </c>
      <c r="BM21" s="1590">
        <v>23569</v>
      </c>
      <c r="BN21" s="1590">
        <v>23633</v>
      </c>
      <c r="BO21" s="1590">
        <v>23878</v>
      </c>
      <c r="BP21" s="1587" t="s">
        <v>3660</v>
      </c>
      <c r="BQ21" s="1212"/>
      <c r="BR21" s="1452"/>
      <c r="BS21" s="1214"/>
    </row>
    <row r="22" spans="1:71" s="1559" customFormat="1" ht="32.25" customHeight="1">
      <c r="A22" s="1591" t="s">
        <v>3357</v>
      </c>
      <c r="B22" s="1591"/>
      <c r="C22" s="1591"/>
      <c r="D22" s="1591"/>
      <c r="E22" s="1591"/>
      <c r="F22" s="1591"/>
      <c r="G22" s="1591"/>
      <c r="H22" s="1591"/>
      <c r="I22" s="1591"/>
      <c r="J22" s="1591"/>
      <c r="K22" s="1591"/>
      <c r="L22" s="1591"/>
      <c r="M22" s="1591"/>
      <c r="N22" s="1591"/>
      <c r="O22" s="1591"/>
      <c r="P22" s="1591"/>
      <c r="Q22" s="1591"/>
      <c r="R22" s="1591"/>
      <c r="S22" s="1591"/>
      <c r="T22" s="1591"/>
      <c r="U22" s="1591"/>
      <c r="V22" s="1591"/>
      <c r="W22" s="1591"/>
      <c r="X22" s="1591"/>
      <c r="Y22" s="1591"/>
      <c r="Z22" s="1591"/>
      <c r="AA22" s="1591"/>
      <c r="AB22" s="1591"/>
      <c r="AC22" s="1591"/>
      <c r="AD22" s="1591"/>
      <c r="AE22" s="1591"/>
      <c r="AF22" s="1591"/>
      <c r="AG22" s="1591"/>
      <c r="AH22" s="1591"/>
      <c r="AI22" s="1591"/>
      <c r="AJ22" s="1591"/>
      <c r="AK22" s="1591"/>
      <c r="AL22" s="1591"/>
      <c r="AM22" s="1591"/>
      <c r="AN22" s="1591"/>
      <c r="AO22" s="1591"/>
      <c r="AP22" s="1591"/>
      <c r="AQ22" s="1591"/>
      <c r="AR22" s="1591"/>
      <c r="AS22" s="1591"/>
      <c r="AT22" s="1591"/>
      <c r="AU22" s="1591"/>
      <c r="AV22" s="1591"/>
      <c r="AW22" s="1591"/>
      <c r="AX22" s="1591"/>
      <c r="AY22" s="1591"/>
      <c r="AZ22" s="1591"/>
      <c r="BA22" s="1591"/>
      <c r="BB22" s="1591"/>
      <c r="BC22" s="1591"/>
      <c r="BD22" s="1591"/>
      <c r="BE22" s="1591"/>
      <c r="BF22" s="1591"/>
      <c r="BG22" s="1591"/>
      <c r="BH22" s="1591"/>
      <c r="BI22" s="1591"/>
      <c r="BJ22" s="1591"/>
      <c r="BK22" s="1591"/>
      <c r="BL22" s="1591"/>
      <c r="BM22" s="1591"/>
      <c r="BN22" s="1591"/>
      <c r="BO22" s="1591"/>
      <c r="BP22" s="1591"/>
    </row>
    <row r="29" spans="1:71">
      <c r="AT29" s="1221"/>
      <c r="AU29" s="1221"/>
      <c r="AV29" s="1221"/>
      <c r="AW29" s="1221"/>
      <c r="AX29" s="1221"/>
      <c r="AY29" s="1221"/>
      <c r="AZ29" s="1221"/>
      <c r="BA29" s="1221"/>
      <c r="BB29" s="1221"/>
      <c r="BC29" s="1221"/>
      <c r="BD29" s="1221"/>
      <c r="BE29" s="1221"/>
      <c r="BF29" s="1221"/>
      <c r="BG29" s="1221"/>
      <c r="BH29" s="1221"/>
      <c r="BI29" s="1221"/>
      <c r="BJ29" s="1221"/>
      <c r="BK29" s="1221"/>
      <c r="BL29" s="1221"/>
      <c r="BM29" s="1221"/>
      <c r="BN29" s="1221"/>
      <c r="BO29" s="1221"/>
    </row>
  </sheetData>
  <mergeCells count="3">
    <mergeCell ref="A17:BP17"/>
    <mergeCell ref="A2:BP2"/>
    <mergeCell ref="A3:BP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C53"/>
  <sheetViews>
    <sheetView showGridLines="0" view="pageBreakPreview" zoomScale="70" zoomScaleNormal="100" zoomScaleSheetLayoutView="70" workbookViewId="0">
      <pane xSplit="49" ySplit="7" topLeftCell="AX8" activePane="bottomRight" state="frozen"/>
      <selection activeCell="H31" sqref="H31"/>
      <selection pane="topRight" activeCell="H31" sqref="H31"/>
      <selection pane="bottomLeft" activeCell="H31" sqref="H31"/>
      <selection pane="bottomRight" activeCell="DB35" sqref="DB35"/>
    </sheetView>
  </sheetViews>
  <sheetFormatPr defaultColWidth="9.109375" defaultRowHeight="15.6"/>
  <cols>
    <col min="1" max="1" width="62.6640625" style="1080" customWidth="1"/>
    <col min="2" max="19" width="16.6640625" style="1080" hidden="1" customWidth="1"/>
    <col min="20" max="25" width="16.33203125" style="1080" hidden="1" customWidth="1"/>
    <col min="26" max="33" width="17.33203125" style="1080" hidden="1" customWidth="1"/>
    <col min="34" max="34" width="17" style="1080" hidden="1" customWidth="1"/>
    <col min="35" max="35" width="17.33203125" style="1080" hidden="1" customWidth="1"/>
    <col min="36" max="36" width="18.44140625" style="1080" hidden="1" customWidth="1"/>
    <col min="37" max="42" width="17" style="1080" hidden="1" customWidth="1"/>
    <col min="43" max="43" width="16.6640625" style="1080" hidden="1" customWidth="1"/>
    <col min="44" max="45" width="16.88671875" style="1080" hidden="1" customWidth="1"/>
    <col min="46" max="49" width="17" style="1080" hidden="1" customWidth="1"/>
    <col min="50" max="51" width="17" style="1080" customWidth="1"/>
    <col min="52" max="73" width="17" style="1080" hidden="1" customWidth="1"/>
    <col min="74" max="75" width="17" style="1080" customWidth="1"/>
    <col min="76" max="79" width="17" style="1080" hidden="1" customWidth="1"/>
    <col min="80" max="81" width="17" style="1080" customWidth="1"/>
    <col min="82" max="85" width="17" style="1080" hidden="1" customWidth="1"/>
    <col min="86" max="87" width="17" style="1080" customWidth="1"/>
    <col min="88" max="91" width="17" style="1080" hidden="1" customWidth="1"/>
    <col min="92" max="93" width="17" style="1080" customWidth="1"/>
    <col min="94" max="97" width="17" style="1080" hidden="1" customWidth="1"/>
    <col min="98" max="103" width="17" style="1080" customWidth="1"/>
    <col min="104" max="104" width="60.33203125" style="1080" customWidth="1"/>
    <col min="105" max="105" width="9.109375" style="1080"/>
    <col min="106" max="106" width="12.6640625" style="1080" bestFit="1" customWidth="1"/>
    <col min="107" max="107" width="11.109375" style="1080" bestFit="1" customWidth="1"/>
    <col min="108" max="16384" width="9.109375" style="1080"/>
  </cols>
  <sheetData>
    <row r="1" spans="1:104" ht="15.75" customHeight="1"/>
    <row r="2" spans="1:104" ht="23.4" customHeight="1">
      <c r="A2" s="2794" t="s">
        <v>2569</v>
      </c>
      <c r="B2" s="2794"/>
      <c r="C2" s="2794"/>
      <c r="D2" s="2794"/>
      <c r="E2" s="2794"/>
      <c r="F2" s="2794"/>
      <c r="G2" s="2794"/>
      <c r="H2" s="2794"/>
      <c r="I2" s="2794"/>
      <c r="J2" s="2794"/>
      <c r="K2" s="2794"/>
      <c r="L2" s="2794"/>
      <c r="M2" s="2794"/>
      <c r="N2" s="2794"/>
      <c r="O2" s="2794"/>
      <c r="P2" s="2794"/>
      <c r="Q2" s="2794"/>
      <c r="R2" s="2794"/>
      <c r="S2" s="2794"/>
      <c r="T2" s="2794"/>
      <c r="U2" s="2794"/>
      <c r="V2" s="2794"/>
      <c r="W2" s="2794"/>
      <c r="X2" s="2794"/>
      <c r="Y2" s="2794"/>
      <c r="Z2" s="2794"/>
      <c r="AA2" s="2794"/>
      <c r="AB2" s="2794"/>
      <c r="AC2" s="2794"/>
      <c r="AD2" s="2794"/>
      <c r="AE2" s="2794"/>
      <c r="AF2" s="2794"/>
      <c r="AG2" s="2794"/>
      <c r="AH2" s="2794"/>
      <c r="AI2" s="2794"/>
      <c r="AJ2" s="2794"/>
      <c r="AK2" s="2794"/>
      <c r="AL2" s="2794"/>
      <c r="AM2" s="2794"/>
      <c r="AN2" s="2794"/>
      <c r="AO2" s="2794"/>
      <c r="AP2" s="2794"/>
      <c r="AQ2" s="2794"/>
      <c r="AR2" s="2794"/>
      <c r="AS2" s="2794"/>
      <c r="AT2" s="2794"/>
      <c r="AU2" s="2794"/>
      <c r="AV2" s="2794"/>
      <c r="AW2" s="2794"/>
      <c r="AX2" s="2794"/>
      <c r="AY2" s="2794"/>
      <c r="AZ2" s="2794"/>
      <c r="BA2" s="2794"/>
      <c r="BB2" s="2794"/>
      <c r="BC2" s="2794"/>
      <c r="BD2" s="2794"/>
      <c r="BE2" s="2794"/>
      <c r="BF2" s="2794"/>
      <c r="BG2" s="2794"/>
      <c r="BH2" s="2794"/>
      <c r="BI2" s="2794"/>
      <c r="BJ2" s="2794"/>
      <c r="BK2" s="2794"/>
      <c r="BL2" s="2794"/>
      <c r="BM2" s="2794"/>
      <c r="BN2" s="2794"/>
      <c r="BO2" s="2794"/>
      <c r="BP2" s="2794"/>
      <c r="BQ2" s="2794"/>
      <c r="BR2" s="2794"/>
      <c r="BS2" s="2794"/>
      <c r="BT2" s="2794"/>
      <c r="BU2" s="2794"/>
      <c r="BV2" s="2794"/>
      <c r="BW2" s="2794"/>
      <c r="BX2" s="2794"/>
      <c r="BY2" s="2794"/>
      <c r="BZ2" s="2794"/>
      <c r="CA2" s="2794"/>
      <c r="CB2" s="2794"/>
      <c r="CC2" s="2794"/>
      <c r="CD2" s="2794"/>
      <c r="CE2" s="2794"/>
      <c r="CF2" s="2794"/>
      <c r="CG2" s="2794"/>
      <c r="CH2" s="2794"/>
      <c r="CI2" s="2794"/>
      <c r="CJ2" s="2794"/>
      <c r="CK2" s="2794"/>
      <c r="CL2" s="2794"/>
      <c r="CM2" s="2794"/>
      <c r="CN2" s="2794"/>
      <c r="CO2" s="2794"/>
      <c r="CP2" s="2794"/>
      <c r="CQ2" s="2794"/>
      <c r="CR2" s="2794"/>
      <c r="CS2" s="2794"/>
      <c r="CT2" s="2794"/>
      <c r="CU2" s="2794"/>
      <c r="CV2" s="2794"/>
      <c r="CW2" s="2794"/>
      <c r="CX2" s="2794"/>
      <c r="CY2" s="2794"/>
      <c r="CZ2" s="2794"/>
    </row>
    <row r="3" spans="1:104" ht="37.5" customHeight="1">
      <c r="A3" s="2795" t="s">
        <v>3360</v>
      </c>
      <c r="B3" s="2795"/>
      <c r="C3" s="2795"/>
      <c r="D3" s="2795"/>
      <c r="E3" s="2795"/>
      <c r="F3" s="2795"/>
      <c r="G3" s="2795"/>
      <c r="H3" s="2795"/>
      <c r="I3" s="2795"/>
      <c r="J3" s="2795"/>
      <c r="K3" s="2795"/>
      <c r="L3" s="2795"/>
      <c r="M3" s="2795"/>
      <c r="N3" s="2795"/>
      <c r="O3" s="2795"/>
      <c r="P3" s="2795"/>
      <c r="Q3" s="2795"/>
      <c r="R3" s="2795"/>
      <c r="S3" s="2795"/>
      <c r="T3" s="2795"/>
      <c r="U3" s="2795"/>
      <c r="V3" s="2795"/>
      <c r="W3" s="2795"/>
      <c r="X3" s="2795"/>
      <c r="Y3" s="2795"/>
      <c r="Z3" s="2795"/>
      <c r="AA3" s="2795"/>
      <c r="AB3" s="2795"/>
      <c r="AC3" s="2795"/>
      <c r="AD3" s="2795"/>
      <c r="AE3" s="2795"/>
      <c r="AF3" s="2795"/>
      <c r="AG3" s="2795"/>
      <c r="AH3" s="2795"/>
      <c r="AI3" s="2795"/>
      <c r="AJ3" s="2795"/>
      <c r="AK3" s="2795"/>
      <c r="AL3" s="2795"/>
      <c r="AM3" s="2795"/>
      <c r="AN3" s="2795"/>
      <c r="AO3" s="2795"/>
      <c r="AP3" s="2795"/>
      <c r="AQ3" s="2795"/>
      <c r="AR3" s="2795"/>
      <c r="AS3" s="2795"/>
      <c r="AT3" s="2795"/>
      <c r="AU3" s="2795"/>
      <c r="AV3" s="2795"/>
      <c r="AW3" s="2795"/>
      <c r="AX3" s="2795"/>
      <c r="AY3" s="2795"/>
      <c r="AZ3" s="2795"/>
      <c r="BA3" s="2795"/>
      <c r="BB3" s="2795"/>
      <c r="BC3" s="2795"/>
      <c r="BD3" s="2795"/>
      <c r="BE3" s="2795"/>
      <c r="BF3" s="2795"/>
      <c r="BG3" s="2795"/>
      <c r="BH3" s="2795"/>
      <c r="BI3" s="2795"/>
      <c r="BJ3" s="2795"/>
      <c r="BK3" s="2795"/>
      <c r="BL3" s="2795"/>
      <c r="BM3" s="2795"/>
      <c r="BN3" s="2795"/>
      <c r="BO3" s="2795"/>
      <c r="BP3" s="2795"/>
      <c r="BQ3" s="2795"/>
      <c r="BR3" s="2795"/>
      <c r="BS3" s="2795"/>
      <c r="BT3" s="2795"/>
      <c r="BU3" s="2795"/>
      <c r="BV3" s="2795"/>
      <c r="BW3" s="2795"/>
      <c r="BX3" s="2795"/>
      <c r="BY3" s="2795"/>
      <c r="BZ3" s="2795"/>
      <c r="CA3" s="2795"/>
      <c r="CB3" s="2795"/>
      <c r="CC3" s="2795"/>
      <c r="CD3" s="2795"/>
      <c r="CE3" s="2795"/>
      <c r="CF3" s="2795"/>
      <c r="CG3" s="2795"/>
      <c r="CH3" s="2795"/>
      <c r="CI3" s="2795"/>
      <c r="CJ3" s="2795"/>
      <c r="CK3" s="2795"/>
      <c r="CL3" s="2795"/>
      <c r="CM3" s="2795"/>
      <c r="CN3" s="2795"/>
      <c r="CO3" s="2795"/>
      <c r="CP3" s="2795"/>
      <c r="CQ3" s="2795"/>
      <c r="CR3" s="2795"/>
      <c r="CS3" s="2795"/>
      <c r="CT3" s="2795"/>
      <c r="CU3" s="2795"/>
      <c r="CV3" s="2795"/>
      <c r="CW3" s="2795"/>
      <c r="CX3" s="2795"/>
      <c r="CY3" s="2795"/>
      <c r="CZ3" s="2795"/>
    </row>
    <row r="4" spans="1:104" ht="19.5" customHeight="1">
      <c r="A4" s="1592"/>
      <c r="B4" s="1592"/>
      <c r="C4" s="1592"/>
      <c r="D4" s="1592"/>
      <c r="E4" s="1592"/>
      <c r="F4" s="1592"/>
      <c r="G4" s="1592"/>
      <c r="H4" s="1592"/>
      <c r="I4" s="1592"/>
      <c r="J4" s="1592"/>
      <c r="K4" s="1592"/>
      <c r="L4" s="1592"/>
      <c r="M4" s="1592"/>
      <c r="N4" s="1592"/>
      <c r="O4" s="1592"/>
      <c r="P4" s="1592"/>
      <c r="Q4" s="1592"/>
      <c r="R4" s="1592"/>
      <c r="S4" s="1592"/>
      <c r="T4" s="1592"/>
      <c r="U4" s="1592"/>
      <c r="V4" s="1592"/>
      <c r="W4" s="1592"/>
      <c r="X4" s="1592"/>
      <c r="Y4" s="1592"/>
      <c r="Z4" s="1592"/>
      <c r="AA4" s="1592"/>
      <c r="AB4" s="1592"/>
      <c r="AC4" s="1592"/>
      <c r="AD4" s="1592"/>
      <c r="AE4" s="1592"/>
      <c r="AF4" s="1592"/>
      <c r="AG4" s="1592"/>
      <c r="AH4" s="1592"/>
      <c r="AI4" s="1592"/>
      <c r="AJ4" s="1592"/>
      <c r="AK4" s="1592"/>
      <c r="AL4" s="1592"/>
      <c r="AM4" s="1592"/>
      <c r="AN4" s="1592"/>
      <c r="AO4" s="1592"/>
      <c r="AP4" s="1592"/>
      <c r="AQ4" s="1592"/>
      <c r="AR4" s="1592"/>
      <c r="AS4" s="1592"/>
      <c r="AT4" s="1592"/>
      <c r="AU4" s="1592"/>
      <c r="AV4" s="1592"/>
      <c r="AW4" s="1592"/>
      <c r="AX4" s="1592"/>
      <c r="AY4" s="1592"/>
      <c r="AZ4" s="1592"/>
      <c r="BA4" s="1592"/>
      <c r="BB4" s="1592"/>
      <c r="BC4" s="1592"/>
      <c r="BD4" s="1592"/>
      <c r="BE4" s="1592"/>
      <c r="BF4" s="1592"/>
      <c r="BG4" s="1592"/>
      <c r="BH4" s="1592"/>
      <c r="BI4" s="1592"/>
      <c r="BJ4" s="1592"/>
      <c r="BK4" s="1592"/>
      <c r="BL4" s="1592"/>
      <c r="BM4" s="1592"/>
      <c r="BN4" s="1592"/>
      <c r="BO4" s="1592"/>
      <c r="BP4" s="1592"/>
      <c r="BQ4" s="1592"/>
      <c r="BR4" s="1592"/>
      <c r="BS4" s="1592"/>
      <c r="BT4" s="1592"/>
      <c r="BU4" s="1592"/>
      <c r="BV4" s="1592"/>
      <c r="BW4" s="1592"/>
      <c r="BX4" s="1592"/>
      <c r="BY4" s="1592"/>
      <c r="BZ4" s="1592"/>
      <c r="CA4" s="1592"/>
      <c r="CB4" s="1592"/>
      <c r="CC4" s="1592"/>
      <c r="CD4" s="1592"/>
      <c r="CE4" s="1592"/>
      <c r="CF4" s="1592"/>
      <c r="CG4" s="1592"/>
      <c r="CH4" s="1592"/>
      <c r="CI4" s="1592"/>
      <c r="CJ4" s="1592"/>
      <c r="CK4" s="1592"/>
      <c r="CL4" s="1592"/>
      <c r="CM4" s="1592"/>
      <c r="CN4" s="1592"/>
      <c r="CO4" s="1592"/>
      <c r="CP4" s="1592"/>
      <c r="CQ4" s="1592"/>
      <c r="CR4" s="1592"/>
      <c r="CS4" s="1592"/>
      <c r="CT4" s="1592"/>
      <c r="CU4" s="1592"/>
      <c r="CV4" s="1592"/>
      <c r="CW4" s="1592"/>
      <c r="CX4" s="1592"/>
      <c r="CY4" s="1592"/>
      <c r="CZ4" s="1592"/>
    </row>
    <row r="5" spans="1:104" ht="19.5" customHeight="1" thickBot="1">
      <c r="A5" s="2796" t="s">
        <v>8</v>
      </c>
      <c r="B5" s="2796"/>
      <c r="C5" s="2796"/>
      <c r="D5" s="2796"/>
      <c r="E5" s="2796"/>
      <c r="F5" s="2796"/>
      <c r="G5" s="2796"/>
      <c r="H5" s="2796"/>
      <c r="I5" s="2796"/>
      <c r="J5" s="2796"/>
      <c r="K5" s="2796"/>
      <c r="L5" s="2796"/>
      <c r="M5" s="2796"/>
      <c r="N5" s="2796"/>
      <c r="O5" s="2796"/>
      <c r="P5" s="2796"/>
      <c r="Q5" s="2796"/>
      <c r="R5" s="2796"/>
      <c r="S5" s="2796"/>
      <c r="T5" s="2796"/>
      <c r="U5" s="2796"/>
      <c r="V5" s="2796"/>
      <c r="W5" s="2796"/>
      <c r="X5" s="2796"/>
      <c r="Y5" s="2796"/>
      <c r="Z5" s="2796"/>
      <c r="AA5" s="2796"/>
      <c r="AB5" s="2796"/>
      <c r="AC5" s="2796"/>
      <c r="AD5" s="2796"/>
      <c r="AE5" s="2796"/>
      <c r="AF5" s="2796"/>
      <c r="AG5" s="2796"/>
      <c r="AH5" s="2796"/>
      <c r="AI5" s="2796"/>
      <c r="AJ5" s="2796"/>
      <c r="AK5" s="2796"/>
      <c r="AL5" s="2796"/>
      <c r="AM5" s="2796"/>
      <c r="AN5" s="2796"/>
      <c r="AO5" s="2796"/>
      <c r="AP5" s="2796"/>
      <c r="AQ5" s="2796"/>
      <c r="AR5" s="2796"/>
      <c r="AS5" s="2796"/>
      <c r="AT5" s="2796"/>
      <c r="AU5" s="2796"/>
      <c r="AV5" s="2796"/>
      <c r="AW5" s="2796"/>
      <c r="AX5" s="2796"/>
      <c r="AY5" s="2796"/>
      <c r="AZ5" s="2796"/>
      <c r="BA5" s="2796"/>
      <c r="BB5" s="2796"/>
      <c r="BC5" s="2796"/>
      <c r="BD5" s="2796"/>
      <c r="BE5" s="2796"/>
      <c r="BF5" s="2796"/>
      <c r="BG5" s="2796"/>
      <c r="BH5" s="2796"/>
      <c r="BI5" s="2796"/>
      <c r="BJ5" s="2796"/>
      <c r="BK5" s="2796"/>
      <c r="BL5" s="2796"/>
      <c r="BM5" s="2796"/>
      <c r="BN5" s="2796"/>
      <c r="BO5" s="2796"/>
      <c r="BP5" s="2796"/>
      <c r="BQ5" s="2796"/>
      <c r="BR5" s="2796"/>
      <c r="BS5" s="2796"/>
      <c r="BT5" s="2796"/>
      <c r="BU5" s="2796"/>
      <c r="BV5" s="2796"/>
      <c r="BW5" s="2796"/>
      <c r="BX5" s="2796"/>
      <c r="BY5" s="2796"/>
      <c r="BZ5" s="2796"/>
      <c r="CA5" s="2796"/>
      <c r="CB5" s="2796"/>
      <c r="CC5" s="2796"/>
      <c r="CD5" s="2796"/>
      <c r="CE5" s="2796"/>
      <c r="CF5" s="2796"/>
      <c r="CG5" s="2796"/>
      <c r="CH5" s="2796"/>
      <c r="CI5" s="2796"/>
      <c r="CJ5" s="2796"/>
      <c r="CK5" s="2796"/>
      <c r="CL5" s="2796"/>
      <c r="CM5" s="2796"/>
      <c r="CN5" s="2796"/>
      <c r="CO5" s="2796"/>
      <c r="CP5" s="2796"/>
      <c r="CQ5" s="2796"/>
      <c r="CR5" s="2796"/>
      <c r="CS5" s="2796"/>
      <c r="CT5" s="2796"/>
      <c r="CU5" s="2796"/>
      <c r="CV5" s="2796"/>
      <c r="CW5" s="2796"/>
      <c r="CX5" s="2796"/>
      <c r="CY5" s="2796"/>
      <c r="CZ5" s="2796"/>
    </row>
    <row r="6" spans="1:104" s="1223" customFormat="1" ht="26.25" customHeight="1" thickBot="1">
      <c r="A6" s="2797" t="s">
        <v>2303</v>
      </c>
      <c r="B6" s="2811">
        <v>43830</v>
      </c>
      <c r="C6" s="2808"/>
      <c r="D6" s="2807">
        <v>43861</v>
      </c>
      <c r="E6" s="2808"/>
      <c r="F6" s="2807">
        <v>43890</v>
      </c>
      <c r="G6" s="2808"/>
      <c r="H6" s="2807">
        <v>43921</v>
      </c>
      <c r="I6" s="2808"/>
      <c r="J6" s="2807">
        <v>43951</v>
      </c>
      <c r="K6" s="2808"/>
      <c r="L6" s="2807">
        <v>43982</v>
      </c>
      <c r="M6" s="2808"/>
      <c r="N6" s="2791">
        <v>44012</v>
      </c>
      <c r="O6" s="2793"/>
      <c r="P6" s="2791">
        <v>44043</v>
      </c>
      <c r="Q6" s="2793"/>
      <c r="R6" s="2791">
        <v>44074</v>
      </c>
      <c r="S6" s="2793"/>
      <c r="T6" s="2791">
        <v>44104</v>
      </c>
      <c r="U6" s="2793"/>
      <c r="V6" s="2791">
        <v>44135</v>
      </c>
      <c r="W6" s="2793"/>
      <c r="X6" s="2791">
        <v>44165</v>
      </c>
      <c r="Y6" s="2793"/>
      <c r="Z6" s="2791">
        <v>44196</v>
      </c>
      <c r="AA6" s="2793"/>
      <c r="AB6" s="2791">
        <v>44227</v>
      </c>
      <c r="AC6" s="2793"/>
      <c r="AD6" s="2791">
        <v>44255</v>
      </c>
      <c r="AE6" s="2793"/>
      <c r="AF6" s="2791">
        <v>44286</v>
      </c>
      <c r="AG6" s="2793"/>
      <c r="AH6" s="2791">
        <v>44316</v>
      </c>
      <c r="AI6" s="2793"/>
      <c r="AJ6" s="2791">
        <v>44347</v>
      </c>
      <c r="AK6" s="2793"/>
      <c r="AL6" s="2791">
        <v>44377</v>
      </c>
      <c r="AM6" s="2793"/>
      <c r="AN6" s="2791">
        <v>44408</v>
      </c>
      <c r="AO6" s="2793"/>
      <c r="AP6" s="2807">
        <v>44439</v>
      </c>
      <c r="AQ6" s="2808"/>
      <c r="AR6" s="2812">
        <v>44469</v>
      </c>
      <c r="AS6" s="2812"/>
      <c r="AT6" s="2813">
        <v>44500</v>
      </c>
      <c r="AU6" s="2813"/>
      <c r="AV6" s="2791">
        <v>44530</v>
      </c>
      <c r="AW6" s="2793"/>
      <c r="AX6" s="2791">
        <v>44561</v>
      </c>
      <c r="AY6" s="2793"/>
      <c r="AZ6" s="2791">
        <v>44592</v>
      </c>
      <c r="BA6" s="2793"/>
      <c r="BB6" s="2791">
        <v>44620</v>
      </c>
      <c r="BC6" s="2793"/>
      <c r="BD6" s="2791">
        <v>44651</v>
      </c>
      <c r="BE6" s="2793"/>
      <c r="BF6" s="2791">
        <v>44681</v>
      </c>
      <c r="BG6" s="2793"/>
      <c r="BH6" s="2791">
        <v>44712</v>
      </c>
      <c r="BI6" s="2793"/>
      <c r="BJ6" s="2791">
        <v>44742</v>
      </c>
      <c r="BK6" s="2793"/>
      <c r="BL6" s="2791">
        <v>44773</v>
      </c>
      <c r="BM6" s="2793"/>
      <c r="BN6" s="2791">
        <v>44804</v>
      </c>
      <c r="BO6" s="2793"/>
      <c r="BP6" s="2791">
        <v>44834</v>
      </c>
      <c r="BQ6" s="2793"/>
      <c r="BR6" s="2791">
        <v>44865</v>
      </c>
      <c r="BS6" s="2793"/>
      <c r="BT6" s="2791">
        <v>44895</v>
      </c>
      <c r="BU6" s="2793"/>
      <c r="BV6" s="2791">
        <v>44926</v>
      </c>
      <c r="BW6" s="2793"/>
      <c r="BX6" s="2791">
        <v>44957</v>
      </c>
      <c r="BY6" s="2793"/>
      <c r="BZ6" s="2791">
        <v>44985</v>
      </c>
      <c r="CA6" s="2793"/>
      <c r="CB6" s="2791">
        <v>45016</v>
      </c>
      <c r="CC6" s="2792"/>
      <c r="CD6" s="2791">
        <v>45046</v>
      </c>
      <c r="CE6" s="2792"/>
      <c r="CF6" s="2791">
        <v>45077</v>
      </c>
      <c r="CG6" s="2792"/>
      <c r="CH6" s="2791">
        <v>45107</v>
      </c>
      <c r="CI6" s="2792"/>
      <c r="CJ6" s="2791">
        <v>45138</v>
      </c>
      <c r="CK6" s="2793"/>
      <c r="CL6" s="2791">
        <v>45169</v>
      </c>
      <c r="CM6" s="2792"/>
      <c r="CN6" s="2791">
        <v>45199</v>
      </c>
      <c r="CO6" s="2792"/>
      <c r="CP6" s="2791">
        <v>45230</v>
      </c>
      <c r="CQ6" s="2792"/>
      <c r="CR6" s="2791">
        <v>45260</v>
      </c>
      <c r="CS6" s="2792"/>
      <c r="CT6" s="2791">
        <v>45291</v>
      </c>
      <c r="CU6" s="2792"/>
      <c r="CV6" s="2791">
        <v>45322</v>
      </c>
      <c r="CW6" s="2792"/>
      <c r="CX6" s="2791">
        <v>45351</v>
      </c>
      <c r="CY6" s="2792"/>
      <c r="CZ6" s="2799" t="s">
        <v>3674</v>
      </c>
    </row>
    <row r="7" spans="1:104" s="1223" customFormat="1" ht="52.5" customHeight="1" thickBot="1">
      <c r="A7" s="2798"/>
      <c r="B7" s="1224" t="s">
        <v>155</v>
      </c>
      <c r="C7" s="1557" t="s">
        <v>3064</v>
      </c>
      <c r="D7" s="1557" t="s">
        <v>155</v>
      </c>
      <c r="E7" s="1557" t="s">
        <v>3064</v>
      </c>
      <c r="F7" s="1557" t="s">
        <v>155</v>
      </c>
      <c r="G7" s="1557" t="s">
        <v>3064</v>
      </c>
      <c r="H7" s="1557" t="s">
        <v>155</v>
      </c>
      <c r="I7" s="1557" t="s">
        <v>3064</v>
      </c>
      <c r="J7" s="1557" t="s">
        <v>155</v>
      </c>
      <c r="K7" s="1557" t="s">
        <v>3064</v>
      </c>
      <c r="L7" s="1557" t="s">
        <v>155</v>
      </c>
      <c r="M7" s="1556" t="s">
        <v>3064</v>
      </c>
      <c r="N7" s="1556" t="s">
        <v>155</v>
      </c>
      <c r="O7" s="1556" t="s">
        <v>3064</v>
      </c>
      <c r="P7" s="1556" t="s">
        <v>155</v>
      </c>
      <c r="Q7" s="1556" t="s">
        <v>3064</v>
      </c>
      <c r="R7" s="1556" t="s">
        <v>155</v>
      </c>
      <c r="S7" s="1556" t="s">
        <v>3064</v>
      </c>
      <c r="T7" s="1556" t="s">
        <v>155</v>
      </c>
      <c r="U7" s="1556" t="s">
        <v>3064</v>
      </c>
      <c r="V7" s="1556" t="s">
        <v>155</v>
      </c>
      <c r="W7" s="1556" t="s">
        <v>3064</v>
      </c>
      <c r="X7" s="1556" t="s">
        <v>155</v>
      </c>
      <c r="Y7" s="1556" t="s">
        <v>3064</v>
      </c>
      <c r="Z7" s="1556" t="s">
        <v>155</v>
      </c>
      <c r="AA7" s="1556" t="s">
        <v>3064</v>
      </c>
      <c r="AB7" s="1556" t="s">
        <v>155</v>
      </c>
      <c r="AC7" s="1556" t="s">
        <v>3064</v>
      </c>
      <c r="AD7" s="1556" t="s">
        <v>155</v>
      </c>
      <c r="AE7" s="1556" t="s">
        <v>3064</v>
      </c>
      <c r="AF7" s="1556" t="s">
        <v>155</v>
      </c>
      <c r="AG7" s="1556" t="s">
        <v>3064</v>
      </c>
      <c r="AH7" s="1556" t="s">
        <v>155</v>
      </c>
      <c r="AI7" s="1556" t="s">
        <v>3064</v>
      </c>
      <c r="AJ7" s="1556" t="s">
        <v>155</v>
      </c>
      <c r="AK7" s="1556" t="s">
        <v>3064</v>
      </c>
      <c r="AL7" s="1556" t="s">
        <v>155</v>
      </c>
      <c r="AM7" s="1556" t="s">
        <v>3064</v>
      </c>
      <c r="AN7" s="1556" t="s">
        <v>155</v>
      </c>
      <c r="AO7" s="1557" t="s">
        <v>3064</v>
      </c>
      <c r="AP7" s="1557" t="s">
        <v>155</v>
      </c>
      <c r="AQ7" s="1557" t="s">
        <v>3064</v>
      </c>
      <c r="AR7" s="1557" t="s">
        <v>155</v>
      </c>
      <c r="AS7" s="1557" t="s">
        <v>3064</v>
      </c>
      <c r="AT7" s="1556" t="s">
        <v>155</v>
      </c>
      <c r="AU7" s="1557" t="s">
        <v>3064</v>
      </c>
      <c r="AV7" s="1556" t="s">
        <v>155</v>
      </c>
      <c r="AW7" s="1556" t="s">
        <v>3064</v>
      </c>
      <c r="AX7" s="1556" t="s">
        <v>155</v>
      </c>
      <c r="AY7" s="1556" t="s">
        <v>3064</v>
      </c>
      <c r="AZ7" s="1556" t="s">
        <v>155</v>
      </c>
      <c r="BA7" s="1556" t="s">
        <v>3064</v>
      </c>
      <c r="BB7" s="1556" t="s">
        <v>155</v>
      </c>
      <c r="BC7" s="1556" t="s">
        <v>3064</v>
      </c>
      <c r="BD7" s="1556" t="s">
        <v>155</v>
      </c>
      <c r="BE7" s="1556" t="s">
        <v>3064</v>
      </c>
      <c r="BF7" s="1556" t="s">
        <v>155</v>
      </c>
      <c r="BG7" s="1556" t="s">
        <v>3064</v>
      </c>
      <c r="BH7" s="1556" t="s">
        <v>155</v>
      </c>
      <c r="BI7" s="1556" t="s">
        <v>3064</v>
      </c>
      <c r="BJ7" s="1556" t="s">
        <v>155</v>
      </c>
      <c r="BK7" s="1556" t="s">
        <v>3064</v>
      </c>
      <c r="BL7" s="1556" t="s">
        <v>155</v>
      </c>
      <c r="BM7" s="1556" t="s">
        <v>3064</v>
      </c>
      <c r="BN7" s="1556" t="s">
        <v>155</v>
      </c>
      <c r="BO7" s="1556" t="s">
        <v>3064</v>
      </c>
      <c r="BP7" s="1556" t="s">
        <v>155</v>
      </c>
      <c r="BQ7" s="1556" t="s">
        <v>3064</v>
      </c>
      <c r="BR7" s="1556" t="s">
        <v>155</v>
      </c>
      <c r="BS7" s="1556" t="s">
        <v>3064</v>
      </c>
      <c r="BT7" s="1556" t="s">
        <v>155</v>
      </c>
      <c r="BU7" s="1556" t="s">
        <v>3064</v>
      </c>
      <c r="BV7" s="1556" t="s">
        <v>155</v>
      </c>
      <c r="BW7" s="1556" t="s">
        <v>3064</v>
      </c>
      <c r="BX7" s="1556" t="s">
        <v>155</v>
      </c>
      <c r="BY7" s="1556" t="s">
        <v>3064</v>
      </c>
      <c r="BZ7" s="1562" t="s">
        <v>155</v>
      </c>
      <c r="CA7" s="1562" t="s">
        <v>3064</v>
      </c>
      <c r="CB7" s="1630" t="s">
        <v>155</v>
      </c>
      <c r="CC7" s="1629" t="s">
        <v>3064</v>
      </c>
      <c r="CD7" s="1642" t="s">
        <v>155</v>
      </c>
      <c r="CE7" s="1642" t="s">
        <v>3064</v>
      </c>
      <c r="CF7" s="1652" t="s">
        <v>155</v>
      </c>
      <c r="CG7" s="1651" t="s">
        <v>3064</v>
      </c>
      <c r="CH7" s="1668" t="s">
        <v>155</v>
      </c>
      <c r="CI7" s="1668" t="s">
        <v>3064</v>
      </c>
      <c r="CJ7" s="1694" t="s">
        <v>155</v>
      </c>
      <c r="CK7" s="1694" t="s">
        <v>3064</v>
      </c>
      <c r="CL7" s="1702" t="s">
        <v>155</v>
      </c>
      <c r="CM7" s="1701" t="s">
        <v>3064</v>
      </c>
      <c r="CN7" s="1732" t="s">
        <v>155</v>
      </c>
      <c r="CO7" s="1732" t="s">
        <v>3064</v>
      </c>
      <c r="CP7" s="2005" t="s">
        <v>155</v>
      </c>
      <c r="CQ7" s="2005" t="s">
        <v>3064</v>
      </c>
      <c r="CR7" s="2065" t="s">
        <v>155</v>
      </c>
      <c r="CS7" s="2065" t="s">
        <v>3064</v>
      </c>
      <c r="CT7" s="2092" t="s">
        <v>155</v>
      </c>
      <c r="CU7" s="2091" t="s">
        <v>3064</v>
      </c>
      <c r="CV7" s="2111" t="s">
        <v>155</v>
      </c>
      <c r="CW7" s="2110" t="s">
        <v>3064</v>
      </c>
      <c r="CX7" s="1556" t="s">
        <v>155</v>
      </c>
      <c r="CY7" s="1564" t="s">
        <v>3064</v>
      </c>
      <c r="CZ7" s="2800"/>
    </row>
    <row r="8" spans="1:104" ht="18.600000000000001" customHeight="1">
      <c r="A8" s="1225" t="s">
        <v>2302</v>
      </c>
      <c r="B8" s="1226">
        <v>1531.4880966400001</v>
      </c>
      <c r="C8" s="1226">
        <v>626.90463707790002</v>
      </c>
      <c r="D8" s="1226">
        <v>1389.3557949000001</v>
      </c>
      <c r="E8" s="1226">
        <v>614.65612881803997</v>
      </c>
      <c r="F8" s="1226">
        <v>1368.61145076</v>
      </c>
      <c r="G8" s="1226">
        <v>580.17640123375998</v>
      </c>
      <c r="H8" s="1226">
        <v>1785.45268298</v>
      </c>
      <c r="I8" s="1226">
        <v>852.50717125821996</v>
      </c>
      <c r="J8" s="1226">
        <v>1309.8722827900001</v>
      </c>
      <c r="K8" s="1226">
        <v>541.41617791214003</v>
      </c>
      <c r="L8" s="1226">
        <v>1510.2247848899999</v>
      </c>
      <c r="M8" s="1226">
        <v>579.26289798217999</v>
      </c>
      <c r="N8" s="1226">
        <v>1372.0811168</v>
      </c>
      <c r="O8" s="1226">
        <v>566.50580871679995</v>
      </c>
      <c r="P8" s="1226">
        <v>1456.6425868599999</v>
      </c>
      <c r="Q8" s="1226">
        <v>570.44021806418004</v>
      </c>
      <c r="R8" s="1226">
        <v>1410.8233962500001</v>
      </c>
      <c r="S8" s="1226">
        <v>617.39885775352002</v>
      </c>
      <c r="T8" s="1226">
        <v>1294.22425101</v>
      </c>
      <c r="U8" s="1226">
        <v>547.63281807392002</v>
      </c>
      <c r="V8" s="1226">
        <v>1267.7982907200001</v>
      </c>
      <c r="W8" s="1226">
        <v>472.15632846940002</v>
      </c>
      <c r="X8" s="1226">
        <v>1295.7898208193401</v>
      </c>
      <c r="Y8" s="1226">
        <v>488.58666516334</v>
      </c>
      <c r="Z8" s="1226">
        <v>1532.1894442099999</v>
      </c>
      <c r="AA8" s="1226">
        <v>466.14869922169999</v>
      </c>
      <c r="AB8" s="1226">
        <v>1610.7715664899999</v>
      </c>
      <c r="AC8" s="1226">
        <v>626.75812583421998</v>
      </c>
      <c r="AD8" s="1226">
        <v>1643.3609415999999</v>
      </c>
      <c r="AE8" s="1226">
        <v>662.90422842895998</v>
      </c>
      <c r="AF8" s="1226">
        <v>1884.4648175299999</v>
      </c>
      <c r="AG8" s="1226">
        <v>643.02350338628003</v>
      </c>
      <c r="AH8" s="1226">
        <v>1689.60980728</v>
      </c>
      <c r="AI8" s="1226">
        <v>730.87489969772002</v>
      </c>
      <c r="AJ8" s="1226">
        <v>1795.747566</v>
      </c>
      <c r="AK8" s="1226">
        <v>815.41662273908003</v>
      </c>
      <c r="AL8" s="1226">
        <v>1839.35551829</v>
      </c>
      <c r="AM8" s="1226">
        <v>835.34099000135996</v>
      </c>
      <c r="AN8" s="1226">
        <v>1778.84714493</v>
      </c>
      <c r="AO8" s="1226">
        <v>750.51318752947998</v>
      </c>
      <c r="AP8" s="1226">
        <v>1710.73168586</v>
      </c>
      <c r="AQ8" s="1226">
        <v>718.45621489354005</v>
      </c>
      <c r="AR8" s="1226">
        <v>1858.2229344499999</v>
      </c>
      <c r="AS8" s="1226">
        <v>801.75684039116004</v>
      </c>
      <c r="AT8" s="1226">
        <v>1777.3173773399999</v>
      </c>
      <c r="AU8" s="1226">
        <v>679.32004671567995</v>
      </c>
      <c r="AV8" s="1226">
        <v>1793.4689266400001</v>
      </c>
      <c r="AW8" s="1226">
        <v>641.04440296799999</v>
      </c>
      <c r="AX8" s="1226">
        <v>1803.2288125115999</v>
      </c>
      <c r="AY8" s="1226">
        <v>434.92272168160002</v>
      </c>
      <c r="AZ8" s="1226">
        <v>1836.54001714626</v>
      </c>
      <c r="BA8" s="1226">
        <v>591.64806061126001</v>
      </c>
      <c r="BB8" s="1226">
        <v>1629.3280488041</v>
      </c>
      <c r="BC8" s="1226">
        <v>545.79175239409994</v>
      </c>
      <c r="BD8" s="1226">
        <v>1794.2225001910999</v>
      </c>
      <c r="BE8" s="1226">
        <v>523.39104323360004</v>
      </c>
      <c r="BF8" s="1226">
        <v>1730.47792077438</v>
      </c>
      <c r="BG8" s="1226">
        <v>545.21124030537999</v>
      </c>
      <c r="BH8" s="1226">
        <v>1691.62588552688</v>
      </c>
      <c r="BI8" s="1226">
        <v>482.13387763638002</v>
      </c>
      <c r="BJ8" s="1226">
        <v>1669.72924068</v>
      </c>
      <c r="BK8" s="1226">
        <v>488.32559719</v>
      </c>
      <c r="BL8" s="1226">
        <v>1866.6990510902399</v>
      </c>
      <c r="BM8" s="1226">
        <v>548.12112787123999</v>
      </c>
      <c r="BN8" s="1226">
        <v>1924.70815586608</v>
      </c>
      <c r="BO8" s="1226">
        <v>578.84528790557999</v>
      </c>
      <c r="BP8" s="1226">
        <v>1911.1703022452</v>
      </c>
      <c r="BQ8" s="1226">
        <v>547.2613321632</v>
      </c>
      <c r="BR8" s="1226">
        <v>1918.4816629769</v>
      </c>
      <c r="BS8" s="1226">
        <v>517.28021927689997</v>
      </c>
      <c r="BT8" s="1226">
        <v>2005.7385535629001</v>
      </c>
      <c r="BU8" s="1226">
        <v>568.66990430290002</v>
      </c>
      <c r="BV8" s="1226">
        <v>1957.7547057336001</v>
      </c>
      <c r="BW8" s="1226">
        <v>540.79567358860004</v>
      </c>
      <c r="BX8" s="1226">
        <v>1924.134635287</v>
      </c>
      <c r="BY8" s="1226">
        <v>624.70317215700004</v>
      </c>
      <c r="BZ8" s="1226">
        <v>1875.3266360609</v>
      </c>
      <c r="CA8" s="1226">
        <v>624.07602515439999</v>
      </c>
      <c r="CB8" s="1226">
        <v>2139.4680679717999</v>
      </c>
      <c r="CC8" s="1601">
        <v>659.28287605180003</v>
      </c>
      <c r="CD8" s="1601">
        <v>2033.432148286</v>
      </c>
      <c r="CE8" s="1601">
        <v>700.34176892799996</v>
      </c>
      <c r="CF8" s="1226">
        <v>2070.9064977110002</v>
      </c>
      <c r="CG8" s="1601">
        <v>744.01845545100002</v>
      </c>
      <c r="CH8" s="1601">
        <v>2219.2808927880001</v>
      </c>
      <c r="CI8" s="1601">
        <v>864.23103490649999</v>
      </c>
      <c r="CJ8" s="1601">
        <v>2013.43897939</v>
      </c>
      <c r="CK8" s="1601">
        <v>653.09108212800004</v>
      </c>
      <c r="CL8" s="1226">
        <v>1967.8860712600001</v>
      </c>
      <c r="CM8" s="1601">
        <v>600.32039185799999</v>
      </c>
      <c r="CN8" s="1601">
        <v>2017.3843448699999</v>
      </c>
      <c r="CO8" s="1601">
        <v>601.38884627250002</v>
      </c>
      <c r="CP8" s="1601">
        <v>1976.1390925000001</v>
      </c>
      <c r="CQ8" s="1601">
        <v>574.14395734000004</v>
      </c>
      <c r="CR8" s="1601">
        <v>2010.8646022800001</v>
      </c>
      <c r="CS8" s="1601">
        <v>715.16066557500005</v>
      </c>
      <c r="CT8" s="1226">
        <v>1877.0198841399999</v>
      </c>
      <c r="CU8" s="1601">
        <v>431.95687389300002</v>
      </c>
      <c r="CV8" s="1226">
        <v>2089.0126929940998</v>
      </c>
      <c r="CW8" s="1601">
        <v>518.79651956409998</v>
      </c>
      <c r="CX8" s="1226">
        <v>2107.7997221174001</v>
      </c>
      <c r="CY8" s="1601">
        <v>650.06644799740002</v>
      </c>
      <c r="CZ8" s="1225" t="s">
        <v>3661</v>
      </c>
    </row>
    <row r="9" spans="1:104" ht="18" customHeight="1">
      <c r="A9" s="1225" t="s">
        <v>2301</v>
      </c>
      <c r="B9" s="1227">
        <v>2600.7363181946798</v>
      </c>
      <c r="C9" s="1227">
        <v>910.21302709948202</v>
      </c>
      <c r="D9" s="1227">
        <v>2485.4244102100001</v>
      </c>
      <c r="E9" s="1227">
        <v>1034.83553489273</v>
      </c>
      <c r="F9" s="1227">
        <v>2918.5611143800002</v>
      </c>
      <c r="G9" s="1227">
        <v>1212.0822296102499</v>
      </c>
      <c r="H9" s="1227">
        <v>1818.02810475</v>
      </c>
      <c r="I9" s="1227">
        <v>1239.77148312853</v>
      </c>
      <c r="J9" s="1227">
        <v>2218.4078706599998</v>
      </c>
      <c r="K9" s="1227">
        <v>1669.1541927215901</v>
      </c>
      <c r="L9" s="1227">
        <v>2445.2771597400001</v>
      </c>
      <c r="M9" s="1227">
        <v>1486.7799338772099</v>
      </c>
      <c r="N9" s="1227">
        <v>2583.9483715199999</v>
      </c>
      <c r="O9" s="1227">
        <v>1438.4483617783601</v>
      </c>
      <c r="P9" s="1227">
        <v>2060.20277003</v>
      </c>
      <c r="Q9" s="1227">
        <v>1047.3331617787901</v>
      </c>
      <c r="R9" s="1227">
        <v>2287.29012848</v>
      </c>
      <c r="S9" s="1227">
        <v>1058.97670395568</v>
      </c>
      <c r="T9" s="1227">
        <v>2491.46853921</v>
      </c>
      <c r="U9" s="1227">
        <v>905.00751018861797</v>
      </c>
      <c r="V9" s="1227">
        <v>2569.3207591199998</v>
      </c>
      <c r="W9" s="1227">
        <v>1284.58208153276</v>
      </c>
      <c r="X9" s="1227">
        <v>2139.50647759905</v>
      </c>
      <c r="Y9" s="1227">
        <v>1334.12896374969</v>
      </c>
      <c r="Z9" s="1227">
        <v>3071.02961512</v>
      </c>
      <c r="AA9" s="1227">
        <v>1379.20364569701</v>
      </c>
      <c r="AB9" s="1227">
        <v>2716.20890504</v>
      </c>
      <c r="AC9" s="1227">
        <v>1275.0516882811</v>
      </c>
      <c r="AD9" s="1227">
        <v>2630.0339823600002</v>
      </c>
      <c r="AE9" s="1227">
        <v>1241.3162294440499</v>
      </c>
      <c r="AF9" s="1227">
        <v>2781.5621897699998</v>
      </c>
      <c r="AG9" s="1227">
        <v>1318.5927766950999</v>
      </c>
      <c r="AH9" s="1227">
        <v>2965.93595615</v>
      </c>
      <c r="AI9" s="1227">
        <v>1249.2560175441199</v>
      </c>
      <c r="AJ9" s="1227">
        <v>3349.0987366999998</v>
      </c>
      <c r="AK9" s="1227">
        <v>1174.68531489414</v>
      </c>
      <c r="AL9" s="1227">
        <v>3272.2789938000001</v>
      </c>
      <c r="AM9" s="1227">
        <v>1255.1152997163599</v>
      </c>
      <c r="AN9" s="1227">
        <v>3360.1842249400001</v>
      </c>
      <c r="AO9" s="1227">
        <v>1291.9490041295601</v>
      </c>
      <c r="AP9" s="1227">
        <v>3327.9858799399999</v>
      </c>
      <c r="AQ9" s="1227">
        <v>1187.21581039634</v>
      </c>
      <c r="AR9" s="1227">
        <v>3445.65407581</v>
      </c>
      <c r="AS9" s="1227">
        <v>1068.9830086362001</v>
      </c>
      <c r="AT9" s="1227">
        <v>3675.5005553300002</v>
      </c>
      <c r="AU9" s="1227">
        <v>1275.2701303205399</v>
      </c>
      <c r="AV9" s="1227">
        <v>3242.2822204300001</v>
      </c>
      <c r="AW9" s="1227">
        <v>1004.85318651032</v>
      </c>
      <c r="AX9" s="1227">
        <v>7213.8780164722803</v>
      </c>
      <c r="AY9" s="1227">
        <v>1634.10913010229</v>
      </c>
      <c r="AZ9" s="1227">
        <v>3643.42293634</v>
      </c>
      <c r="BA9" s="1227">
        <v>1217.53403143267</v>
      </c>
      <c r="BB9" s="1227">
        <v>3550.2084537000001</v>
      </c>
      <c r="BC9" s="1227">
        <v>1233.3953815699999</v>
      </c>
      <c r="BD9" s="1227">
        <v>4399.8360006367702</v>
      </c>
      <c r="BE9" s="1227">
        <v>1882.2478269767801</v>
      </c>
      <c r="BF9" s="1227">
        <v>3829.39891632024</v>
      </c>
      <c r="BG9" s="1227">
        <v>1361.40331424955</v>
      </c>
      <c r="BH9" s="1227">
        <v>4544.9221885024699</v>
      </c>
      <c r="BI9" s="1227">
        <v>2190.29174246086</v>
      </c>
      <c r="BJ9" s="1227">
        <v>4458.2947054400001</v>
      </c>
      <c r="BK9" s="1227">
        <v>1781.12067493111</v>
      </c>
      <c r="BL9" s="1227">
        <v>4361.1062698547503</v>
      </c>
      <c r="BM9" s="1227">
        <v>1806.6985187366199</v>
      </c>
      <c r="BN9" s="1227">
        <v>4206.28767982507</v>
      </c>
      <c r="BO9" s="1227">
        <v>1596.4806409109201</v>
      </c>
      <c r="BP9" s="1227">
        <v>4026.2283311098499</v>
      </c>
      <c r="BQ9" s="1227">
        <v>1535.4172714014601</v>
      </c>
      <c r="BR9" s="1227">
        <v>4261.2745949404598</v>
      </c>
      <c r="BS9" s="1227">
        <v>1694.38911928838</v>
      </c>
      <c r="BT9" s="1227">
        <v>4499.2271693979601</v>
      </c>
      <c r="BU9" s="1227">
        <v>1979.62806257796</v>
      </c>
      <c r="BV9" s="1227">
        <v>6327.7451841388902</v>
      </c>
      <c r="BW9" s="1227">
        <v>3727.2403475288902</v>
      </c>
      <c r="BX9" s="1227">
        <v>3956.5522691401102</v>
      </c>
      <c r="BY9" s="1227">
        <v>1731.0101350401101</v>
      </c>
      <c r="BZ9" s="1227">
        <v>3895.75518526407</v>
      </c>
      <c r="CA9" s="1227">
        <v>1616.4674134426</v>
      </c>
      <c r="CB9" s="1227">
        <v>4368.8052558995496</v>
      </c>
      <c r="CC9" s="1602">
        <v>1936.9888692895499</v>
      </c>
      <c r="CD9" s="1602">
        <v>3788.50353461334</v>
      </c>
      <c r="CE9" s="1602">
        <v>1406.3974395523901</v>
      </c>
      <c r="CF9" s="1227">
        <v>3863.35456570733</v>
      </c>
      <c r="CG9" s="1602">
        <v>1868.2716309673301</v>
      </c>
      <c r="CH9" s="1602">
        <v>3974.25869536552</v>
      </c>
      <c r="CI9" s="1602">
        <v>1512.95571560552</v>
      </c>
      <c r="CJ9" s="1602">
        <v>3401.7566103300001</v>
      </c>
      <c r="CK9" s="1602">
        <v>1330.1998638974501</v>
      </c>
      <c r="CL9" s="1227">
        <v>3719.3003540999998</v>
      </c>
      <c r="CM9" s="1602">
        <v>1677.3510236355801</v>
      </c>
      <c r="CN9" s="1602">
        <v>3182.1485690700001</v>
      </c>
      <c r="CO9" s="1602">
        <v>1497.4089995020499</v>
      </c>
      <c r="CP9" s="1602">
        <v>3659.7565370799998</v>
      </c>
      <c r="CQ9" s="1602">
        <v>1657.68551080165</v>
      </c>
      <c r="CR9" s="1602">
        <v>3515.4764399999999</v>
      </c>
      <c r="CS9" s="1602">
        <v>1654.8348376470799</v>
      </c>
      <c r="CT9" s="1227">
        <v>6390.2963165312103</v>
      </c>
      <c r="CU9" s="1602">
        <v>2943.53312416784</v>
      </c>
      <c r="CV9" s="1227">
        <v>5668.1274842800003</v>
      </c>
      <c r="CW9" s="1602">
        <v>2472.04680809</v>
      </c>
      <c r="CX9" s="1227">
        <v>6266.3377870699996</v>
      </c>
      <c r="CY9" s="1602">
        <v>2861.0085383220699</v>
      </c>
      <c r="CZ9" s="1225" t="s">
        <v>3731</v>
      </c>
    </row>
    <row r="10" spans="1:104" ht="41.25" customHeight="1">
      <c r="A10" s="1225" t="s">
        <v>2300</v>
      </c>
      <c r="B10" s="1227">
        <v>3266.6515646668199</v>
      </c>
      <c r="C10" s="1227">
        <v>3266.6256252268199</v>
      </c>
      <c r="D10" s="1227">
        <v>3388.7044909951301</v>
      </c>
      <c r="E10" s="1227">
        <v>3388.5082907351298</v>
      </c>
      <c r="F10" s="1227">
        <v>2829.9754869573599</v>
      </c>
      <c r="G10" s="1227">
        <v>2829.9514136873599</v>
      </c>
      <c r="H10" s="1227">
        <v>2905.4908033126799</v>
      </c>
      <c r="I10" s="1227">
        <v>2905.47043913268</v>
      </c>
      <c r="J10" s="1227">
        <v>3090.7401775058001</v>
      </c>
      <c r="K10" s="1227">
        <v>3075.2703340458002</v>
      </c>
      <c r="L10" s="1227">
        <v>3625.3734355492202</v>
      </c>
      <c r="M10" s="1227">
        <v>3625.3634344092202</v>
      </c>
      <c r="N10" s="1227">
        <v>2775.6263988462401</v>
      </c>
      <c r="O10" s="1227">
        <v>2773.2096861862401</v>
      </c>
      <c r="P10" s="1227">
        <v>2626.32325570168</v>
      </c>
      <c r="Q10" s="1227">
        <v>2625.01714423168</v>
      </c>
      <c r="R10" s="1227">
        <v>3010.3052973244498</v>
      </c>
      <c r="S10" s="1227">
        <v>3001.1731523244498</v>
      </c>
      <c r="T10" s="1227">
        <v>2508.8593140017902</v>
      </c>
      <c r="U10" s="1227">
        <v>2508.8406051717898</v>
      </c>
      <c r="V10" s="1227">
        <v>2727.5275234707901</v>
      </c>
      <c r="W10" s="1227">
        <v>2727.4949200807901</v>
      </c>
      <c r="X10" s="1227">
        <v>2975.1097915527198</v>
      </c>
      <c r="Y10" s="1227">
        <v>2975.09613535273</v>
      </c>
      <c r="Z10" s="1227">
        <v>3493.8779535697399</v>
      </c>
      <c r="AA10" s="1227">
        <v>3493.8590983397398</v>
      </c>
      <c r="AB10" s="1227">
        <v>3271.8205328147401</v>
      </c>
      <c r="AC10" s="1227">
        <v>3270.54572352474</v>
      </c>
      <c r="AD10" s="1227">
        <v>3075.78428431673</v>
      </c>
      <c r="AE10" s="1227">
        <v>3075.5748967767299</v>
      </c>
      <c r="AF10" s="1227">
        <v>3072.5448353691099</v>
      </c>
      <c r="AG10" s="1227">
        <v>3072.53409443911</v>
      </c>
      <c r="AH10" s="1227">
        <v>2950.78711728386</v>
      </c>
      <c r="AI10" s="1227">
        <v>2950.7746270938601</v>
      </c>
      <c r="AJ10" s="1227">
        <v>3352.56058962624</v>
      </c>
      <c r="AK10" s="1227">
        <v>3352.3720058762401</v>
      </c>
      <c r="AL10" s="1227">
        <v>2724.41422435292</v>
      </c>
      <c r="AM10" s="1227">
        <v>2724.3916458129202</v>
      </c>
      <c r="AN10" s="1227">
        <v>3231.18212608163</v>
      </c>
      <c r="AO10" s="1227">
        <v>3231.1693972416301</v>
      </c>
      <c r="AP10" s="1227">
        <v>3023.4830854485399</v>
      </c>
      <c r="AQ10" s="1227">
        <v>3023.1120925585401</v>
      </c>
      <c r="AR10" s="1227">
        <v>3521.2367100255801</v>
      </c>
      <c r="AS10" s="1227">
        <v>3521.0062309355799</v>
      </c>
      <c r="AT10" s="1227">
        <v>3175.9189783941001</v>
      </c>
      <c r="AU10" s="1227">
        <v>3175.5415187040999</v>
      </c>
      <c r="AV10" s="1227">
        <v>4084.7606297633902</v>
      </c>
      <c r="AW10" s="1227">
        <v>4084.7369527333899</v>
      </c>
      <c r="AX10" s="1227">
        <v>4605.7446833397198</v>
      </c>
      <c r="AY10" s="1227">
        <v>4605.3960890397202</v>
      </c>
      <c r="AZ10" s="1227">
        <v>4841.53257329997</v>
      </c>
      <c r="BA10" s="1227">
        <v>4841.1776097599704</v>
      </c>
      <c r="BB10" s="1227">
        <v>4534.10832532328</v>
      </c>
      <c r="BC10" s="1227">
        <v>4534.0298918232802</v>
      </c>
      <c r="BD10" s="1227">
        <v>4841.7527588334897</v>
      </c>
      <c r="BE10" s="1227">
        <v>4841.5986628534902</v>
      </c>
      <c r="BF10" s="1227">
        <v>5298.4699095770402</v>
      </c>
      <c r="BG10" s="1227">
        <v>5298.3480016870399</v>
      </c>
      <c r="BH10" s="1227">
        <v>4694.1557424611301</v>
      </c>
      <c r="BI10" s="1227">
        <v>4693.0525439611301</v>
      </c>
      <c r="BJ10" s="1227">
        <v>5022.9879502939402</v>
      </c>
      <c r="BK10" s="1227">
        <v>5017.9853298839398</v>
      </c>
      <c r="BL10" s="1227">
        <v>4903.5298222132897</v>
      </c>
      <c r="BM10" s="1227">
        <v>4898.2410324132898</v>
      </c>
      <c r="BN10" s="1227">
        <v>4841.4535496697299</v>
      </c>
      <c r="BO10" s="1227">
        <v>4836.30751313972</v>
      </c>
      <c r="BP10" s="1227">
        <v>3241.9769976600501</v>
      </c>
      <c r="BQ10" s="1227">
        <v>3241.3807417400499</v>
      </c>
      <c r="BR10" s="1227">
        <v>3163.0856309557098</v>
      </c>
      <c r="BS10" s="1227">
        <v>3160.7931378057101</v>
      </c>
      <c r="BT10" s="1227">
        <v>3151.5385419602799</v>
      </c>
      <c r="BU10" s="1227">
        <v>3151.0860854202801</v>
      </c>
      <c r="BV10" s="1227">
        <v>3115.1342913021099</v>
      </c>
      <c r="BW10" s="1227">
        <v>3114.7831079321099</v>
      </c>
      <c r="BX10" s="1227">
        <v>3283.84837085649</v>
      </c>
      <c r="BY10" s="1227">
        <v>3283.5443891964901</v>
      </c>
      <c r="BZ10" s="1227">
        <v>3330.9482390434</v>
      </c>
      <c r="CA10" s="1227">
        <v>3330.8330166134001</v>
      </c>
      <c r="CB10" s="1227">
        <v>2453.6111856421699</v>
      </c>
      <c r="CC10" s="1602">
        <v>2453.45353334217</v>
      </c>
      <c r="CD10" s="1602">
        <v>3069.7937658787901</v>
      </c>
      <c r="CE10" s="1602">
        <v>3068.5219399887901</v>
      </c>
      <c r="CF10" s="1227">
        <v>2413.2367081926</v>
      </c>
      <c r="CG10" s="1602">
        <v>2412.5058908726</v>
      </c>
      <c r="CH10" s="1602">
        <v>2175.0305991468899</v>
      </c>
      <c r="CI10" s="1602">
        <v>2172.6711307568899</v>
      </c>
      <c r="CJ10" s="1602">
        <v>2065.5879347780901</v>
      </c>
      <c r="CK10" s="1602">
        <v>2065.18131356809</v>
      </c>
      <c r="CL10" s="1227">
        <v>2079.1085459115402</v>
      </c>
      <c r="CM10" s="1602">
        <v>2073.0916889515402</v>
      </c>
      <c r="CN10" s="1602">
        <v>2472.8379995475102</v>
      </c>
      <c r="CO10" s="1602">
        <v>2472.7469351875102</v>
      </c>
      <c r="CP10" s="1602">
        <v>2438.5438190141599</v>
      </c>
      <c r="CQ10" s="1602">
        <v>2438.43214464416</v>
      </c>
      <c r="CR10" s="1602">
        <v>2146.4016919851101</v>
      </c>
      <c r="CS10" s="1602">
        <v>2146.0223282751099</v>
      </c>
      <c r="CT10" s="1227">
        <v>2251.1927178932901</v>
      </c>
      <c r="CU10" s="1602">
        <v>2250.7606427732899</v>
      </c>
      <c r="CV10" s="1227">
        <v>2101.7114473861998</v>
      </c>
      <c r="CW10" s="1602">
        <v>2101.3091941562002</v>
      </c>
      <c r="CX10" s="1227">
        <v>1839.21653160284</v>
      </c>
      <c r="CY10" s="1602">
        <v>1838.6749989028399</v>
      </c>
      <c r="CZ10" s="1225" t="s">
        <v>3662</v>
      </c>
    </row>
    <row r="11" spans="1:104" ht="35.25" customHeight="1">
      <c r="A11" s="1225" t="s">
        <v>2299</v>
      </c>
      <c r="B11" s="1227">
        <v>5538.1630043100004</v>
      </c>
      <c r="C11" s="1227">
        <v>2345.9925722900002</v>
      </c>
      <c r="D11" s="1227">
        <v>5586.9349708399996</v>
      </c>
      <c r="E11" s="1227">
        <v>1943.3510885799999</v>
      </c>
      <c r="F11" s="1227">
        <v>5789.6601259999998</v>
      </c>
      <c r="G11" s="1227">
        <v>2337.3632488100002</v>
      </c>
      <c r="H11" s="1227">
        <v>5870.6348787899997</v>
      </c>
      <c r="I11" s="1227">
        <v>2360.8568679</v>
      </c>
      <c r="J11" s="1227">
        <v>5377.31768543</v>
      </c>
      <c r="K11" s="1227">
        <v>2137.7224859900002</v>
      </c>
      <c r="L11" s="1227">
        <v>4809.6911896700003</v>
      </c>
      <c r="M11" s="1227">
        <v>1825.75188987</v>
      </c>
      <c r="N11" s="1227">
        <v>5030.5989135500004</v>
      </c>
      <c r="O11" s="1227">
        <v>2048.3890722800002</v>
      </c>
      <c r="P11" s="1227">
        <v>4797.85293336</v>
      </c>
      <c r="Q11" s="1227">
        <v>1864.66703607</v>
      </c>
      <c r="R11" s="1227">
        <v>4544.4334059399998</v>
      </c>
      <c r="S11" s="1227">
        <v>1663.4870426499999</v>
      </c>
      <c r="T11" s="1227">
        <v>4162.9454568700003</v>
      </c>
      <c r="U11" s="1227">
        <v>1183.10875657</v>
      </c>
      <c r="V11" s="1227">
        <v>4162.2632767100004</v>
      </c>
      <c r="W11" s="1227">
        <v>1132.17921729</v>
      </c>
      <c r="X11" s="1227">
        <v>4139.0531717699996</v>
      </c>
      <c r="Y11" s="1227">
        <v>1246.0574632299999</v>
      </c>
      <c r="Z11" s="1227">
        <v>4155.7474352500003</v>
      </c>
      <c r="AA11" s="1227">
        <v>1228.4337656600001</v>
      </c>
      <c r="AB11" s="1227">
        <v>4057.6053180899999</v>
      </c>
      <c r="AC11" s="1227">
        <v>1440.2305471899999</v>
      </c>
      <c r="AD11" s="1227">
        <v>4086.42593016</v>
      </c>
      <c r="AE11" s="1227">
        <v>1489.3704719499999</v>
      </c>
      <c r="AF11" s="1227">
        <v>3962.5102365100001</v>
      </c>
      <c r="AG11" s="1227">
        <v>1365.1783012799999</v>
      </c>
      <c r="AH11" s="1227">
        <v>4052.97100667</v>
      </c>
      <c r="AI11" s="1227">
        <v>1437.60055117</v>
      </c>
      <c r="AJ11" s="1227">
        <v>3957.31014972</v>
      </c>
      <c r="AK11" s="1227">
        <v>1344.72090587</v>
      </c>
      <c r="AL11" s="1227">
        <v>3813.0659948699999</v>
      </c>
      <c r="AM11" s="1227">
        <v>1298.5462949499999</v>
      </c>
      <c r="AN11" s="1227">
        <v>3709.9755411800002</v>
      </c>
      <c r="AO11" s="1227">
        <v>1256.51710871</v>
      </c>
      <c r="AP11" s="1227">
        <v>3789.9735141299998</v>
      </c>
      <c r="AQ11" s="1227">
        <v>1327.3149089799999</v>
      </c>
      <c r="AR11" s="1227">
        <v>3840.5901892563802</v>
      </c>
      <c r="AS11" s="1227">
        <v>1370.80700644637</v>
      </c>
      <c r="AT11" s="1227">
        <v>3848.0346975038101</v>
      </c>
      <c r="AU11" s="1227">
        <v>1373.2778156638101</v>
      </c>
      <c r="AV11" s="1227">
        <v>3742.8739952635801</v>
      </c>
      <c r="AW11" s="1227">
        <v>1266.2085822535801</v>
      </c>
      <c r="AX11" s="1227">
        <v>1879.25830318971</v>
      </c>
      <c r="AY11" s="1227">
        <v>1583.9556747597101</v>
      </c>
      <c r="AZ11" s="1227">
        <v>3622.0099253264898</v>
      </c>
      <c r="BA11" s="1227">
        <v>1094.14992348649</v>
      </c>
      <c r="BB11" s="1227">
        <v>3628.8809684453799</v>
      </c>
      <c r="BC11" s="1227">
        <v>1103.86877853538</v>
      </c>
      <c r="BD11" s="1227">
        <v>3810.2134332913101</v>
      </c>
      <c r="BE11" s="1227">
        <v>1292.62051811131</v>
      </c>
      <c r="BF11" s="1227">
        <v>3956.22827393751</v>
      </c>
      <c r="BG11" s="1227">
        <v>1398.97022282751</v>
      </c>
      <c r="BH11" s="1227">
        <v>4359.1260361602999</v>
      </c>
      <c r="BI11" s="1227">
        <v>1951.6044946303</v>
      </c>
      <c r="BJ11" s="1227">
        <v>4094.2086527372999</v>
      </c>
      <c r="BK11" s="1227">
        <v>1737.4500204673</v>
      </c>
      <c r="BL11" s="1227">
        <v>3658.2574213457001</v>
      </c>
      <c r="BM11" s="1227">
        <v>2001.9903706257001</v>
      </c>
      <c r="BN11" s="1227">
        <v>4271.5199212133002</v>
      </c>
      <c r="BO11" s="1227">
        <v>2115.7408390332998</v>
      </c>
      <c r="BP11" s="1227">
        <v>6609.4830000192096</v>
      </c>
      <c r="BQ11" s="1227">
        <v>4146.0441037292103</v>
      </c>
      <c r="BR11" s="1227">
        <v>6303.9104897705602</v>
      </c>
      <c r="BS11" s="1227">
        <v>3833.2167668905599</v>
      </c>
      <c r="BT11" s="1227">
        <v>5823.8262627164904</v>
      </c>
      <c r="BU11" s="1227">
        <v>3313.4169333364898</v>
      </c>
      <c r="BV11" s="1227">
        <v>4998.3949876026099</v>
      </c>
      <c r="BW11" s="1227">
        <v>3019.5488868826101</v>
      </c>
      <c r="BX11" s="1227">
        <v>5151.9164315646003</v>
      </c>
      <c r="BY11" s="1227">
        <v>3027.7353580946001</v>
      </c>
      <c r="BZ11" s="1227">
        <v>5086.0036881403503</v>
      </c>
      <c r="CA11" s="1227">
        <v>2340.0288591103499</v>
      </c>
      <c r="CB11" s="1227">
        <v>4169.4732184403501</v>
      </c>
      <c r="CC11" s="1602">
        <v>1921.47890228035</v>
      </c>
      <c r="CD11" s="1602">
        <v>4265.6938841644896</v>
      </c>
      <c r="CE11" s="1602">
        <v>2064.13217026449</v>
      </c>
      <c r="CF11" s="1227">
        <v>4860.4164793474802</v>
      </c>
      <c r="CG11" s="1602">
        <v>2707.6626870874802</v>
      </c>
      <c r="CH11" s="1602">
        <v>3760.8453597668399</v>
      </c>
      <c r="CI11" s="1602">
        <v>2027.53451976684</v>
      </c>
      <c r="CJ11" s="1602">
        <v>3840.40724896764</v>
      </c>
      <c r="CK11" s="1602">
        <v>1776.3537389676401</v>
      </c>
      <c r="CL11" s="1227">
        <v>3636.1772634546101</v>
      </c>
      <c r="CM11" s="1602">
        <v>1552.65816251461</v>
      </c>
      <c r="CN11" s="1602">
        <v>3512.2560737306299</v>
      </c>
      <c r="CO11" s="1602">
        <v>1583.55769197063</v>
      </c>
      <c r="CP11" s="1602">
        <v>3651.59962771238</v>
      </c>
      <c r="CQ11" s="1602">
        <v>1762.2733777123799</v>
      </c>
      <c r="CR11" s="1602">
        <v>3424.0741832114199</v>
      </c>
      <c r="CS11" s="1602">
        <v>1485.34794321142</v>
      </c>
      <c r="CT11" s="1227">
        <v>4006.6052270135001</v>
      </c>
      <c r="CU11" s="1602">
        <v>1888.2687770135001</v>
      </c>
      <c r="CV11" s="1227">
        <v>4047.0221984</v>
      </c>
      <c r="CW11" s="1602">
        <v>1917.59579629</v>
      </c>
      <c r="CX11" s="1227">
        <v>3208.4395950713201</v>
      </c>
      <c r="CY11" s="1602">
        <v>1486.9488947213199</v>
      </c>
      <c r="CZ11" s="1225" t="s">
        <v>3663</v>
      </c>
    </row>
    <row r="12" spans="1:104" ht="18.75" customHeight="1">
      <c r="A12" s="1225" t="s">
        <v>2298</v>
      </c>
      <c r="B12" s="1227">
        <v>3261.3124309700002</v>
      </c>
      <c r="C12" s="1227">
        <v>1827.5045921000001</v>
      </c>
      <c r="D12" s="1227">
        <v>2979.698719385</v>
      </c>
      <c r="E12" s="1227">
        <v>1698.5436084200001</v>
      </c>
      <c r="F12" s="1227">
        <v>2973.5388128599998</v>
      </c>
      <c r="G12" s="1227">
        <v>1592.3532011</v>
      </c>
      <c r="H12" s="1227">
        <v>2866.5675957620001</v>
      </c>
      <c r="I12" s="1227">
        <v>1838.8278665769999</v>
      </c>
      <c r="J12" s="1227">
        <v>3414.8720979320001</v>
      </c>
      <c r="K12" s="1227">
        <v>1873.9242129419999</v>
      </c>
      <c r="L12" s="1227">
        <v>3197.6180010019998</v>
      </c>
      <c r="M12" s="1227">
        <v>1862.2832984219999</v>
      </c>
      <c r="N12" s="1227">
        <v>3321.8205165720001</v>
      </c>
      <c r="O12" s="1227">
        <v>1953.997111182</v>
      </c>
      <c r="P12" s="1227">
        <v>3674.05421037</v>
      </c>
      <c r="Q12" s="1227">
        <v>2133.0112883699999</v>
      </c>
      <c r="R12" s="1227">
        <v>3847.3852259499999</v>
      </c>
      <c r="S12" s="1227">
        <v>2248.0056144099999</v>
      </c>
      <c r="T12" s="1227">
        <v>3990.3647315203002</v>
      </c>
      <c r="U12" s="1227">
        <v>2221.8072455679999</v>
      </c>
      <c r="V12" s="1227">
        <v>4333.4680092079998</v>
      </c>
      <c r="W12" s="1227">
        <v>2373.2834002979998</v>
      </c>
      <c r="X12" s="1227">
        <v>4465.8332347699998</v>
      </c>
      <c r="Y12" s="1227">
        <v>2300.7272777100002</v>
      </c>
      <c r="Z12" s="1227">
        <v>4334.9635927999998</v>
      </c>
      <c r="AA12" s="1227">
        <v>2175.8531112659998</v>
      </c>
      <c r="AB12" s="1227">
        <v>4677.874355936</v>
      </c>
      <c r="AC12" s="1227">
        <v>2177.5789105859999</v>
      </c>
      <c r="AD12" s="1227">
        <v>4830.7010032480002</v>
      </c>
      <c r="AE12" s="1227">
        <v>2255.5880078979999</v>
      </c>
      <c r="AF12" s="1227">
        <v>4726.4529615270003</v>
      </c>
      <c r="AG12" s="1227">
        <v>2270.2551077369999</v>
      </c>
      <c r="AH12" s="1227">
        <v>4790.4027964569996</v>
      </c>
      <c r="AI12" s="1227">
        <v>2341.403763197</v>
      </c>
      <c r="AJ12" s="1227">
        <v>4753.3249078669996</v>
      </c>
      <c r="AK12" s="1227">
        <v>2467.2122014269999</v>
      </c>
      <c r="AL12" s="1227">
        <v>4960.3463562280003</v>
      </c>
      <c r="AM12" s="1227">
        <v>2453.5605965979998</v>
      </c>
      <c r="AN12" s="1227">
        <v>4650.5843679480004</v>
      </c>
      <c r="AO12" s="1227">
        <v>2361.7490708179998</v>
      </c>
      <c r="AP12" s="1227">
        <v>4862.8134720079997</v>
      </c>
      <c r="AQ12" s="1227">
        <v>2555.9511281579998</v>
      </c>
      <c r="AR12" s="1227">
        <v>4770.6447488809999</v>
      </c>
      <c r="AS12" s="1227">
        <v>2480.8618113110001</v>
      </c>
      <c r="AT12" s="1227">
        <v>4705.16842115492</v>
      </c>
      <c r="AU12" s="1227">
        <v>2483.0080601949198</v>
      </c>
      <c r="AV12" s="1227">
        <v>4754.6364792759996</v>
      </c>
      <c r="AW12" s="1227">
        <v>2482.4100305860002</v>
      </c>
      <c r="AX12" s="1227">
        <v>4890.0810217150001</v>
      </c>
      <c r="AY12" s="1227">
        <v>2566.7975040649999</v>
      </c>
      <c r="AZ12" s="1227">
        <v>5205.9083193850001</v>
      </c>
      <c r="BA12" s="1227">
        <v>2502.2081843329102</v>
      </c>
      <c r="BB12" s="1227">
        <v>5814.1634687879996</v>
      </c>
      <c r="BC12" s="1227">
        <v>2772.1820277724801</v>
      </c>
      <c r="BD12" s="1227">
        <v>5589.574230485</v>
      </c>
      <c r="BE12" s="1227">
        <v>2609.5604846249998</v>
      </c>
      <c r="BF12" s="1227">
        <v>5555.4712238740003</v>
      </c>
      <c r="BG12" s="1227">
        <v>2636.4976120840001</v>
      </c>
      <c r="BH12" s="1227">
        <v>5626.7004755170001</v>
      </c>
      <c r="BI12" s="1227">
        <v>2643.1080970369999</v>
      </c>
      <c r="BJ12" s="1227">
        <v>5819.5890554480002</v>
      </c>
      <c r="BK12" s="1227">
        <v>2790.5299099379999</v>
      </c>
      <c r="BL12" s="1227">
        <v>5859.7051713580004</v>
      </c>
      <c r="BM12" s="1227">
        <v>2962.9776105679998</v>
      </c>
      <c r="BN12" s="1227">
        <v>5964.44012608094</v>
      </c>
      <c r="BO12" s="1227">
        <v>3089.848258691</v>
      </c>
      <c r="BP12" s="1227">
        <v>6198.577029004</v>
      </c>
      <c r="BQ12" s="1227">
        <v>3390.191186084</v>
      </c>
      <c r="BR12" s="1227">
        <v>6576.3781529500002</v>
      </c>
      <c r="BS12" s="1227">
        <v>3454.5674931240001</v>
      </c>
      <c r="BT12" s="1227">
        <v>7079.5986473659996</v>
      </c>
      <c r="BU12" s="1227">
        <v>3734.005978226</v>
      </c>
      <c r="BV12" s="1227">
        <v>8337.695806533</v>
      </c>
      <c r="BW12" s="1227">
        <v>4052.54702817</v>
      </c>
      <c r="BX12" s="1227">
        <v>8315.8070334580007</v>
      </c>
      <c r="BY12" s="1227">
        <v>3988.126616048</v>
      </c>
      <c r="BZ12" s="1227">
        <v>7769.0335272479997</v>
      </c>
      <c r="CA12" s="1227">
        <v>3820.4921899780002</v>
      </c>
      <c r="CB12" s="1227">
        <v>7671.7335730459999</v>
      </c>
      <c r="CC12" s="1602">
        <v>3835.4427079460002</v>
      </c>
      <c r="CD12" s="1602">
        <v>7712.5423704169998</v>
      </c>
      <c r="CE12" s="1602">
        <v>3813.0073495484398</v>
      </c>
      <c r="CF12" s="1227">
        <v>7441.9537087364997</v>
      </c>
      <c r="CG12" s="1602">
        <v>3285.770171659</v>
      </c>
      <c r="CH12" s="1602">
        <v>7797.6727632480997</v>
      </c>
      <c r="CI12" s="1602">
        <v>3388.9921926830002</v>
      </c>
      <c r="CJ12" s="1602">
        <v>7709.9259508929999</v>
      </c>
      <c r="CK12" s="1602">
        <v>3101.5521866829999</v>
      </c>
      <c r="CL12" s="1227">
        <v>7622.1619553230003</v>
      </c>
      <c r="CM12" s="1602">
        <v>2978.5529519830002</v>
      </c>
      <c r="CN12" s="1602">
        <v>7839.8673120699996</v>
      </c>
      <c r="CO12" s="1602">
        <v>2965.0583147699999</v>
      </c>
      <c r="CP12" s="1602">
        <v>7338.4281834900003</v>
      </c>
      <c r="CQ12" s="1602">
        <v>2960.6093990712702</v>
      </c>
      <c r="CR12" s="1602">
        <v>7203.1837625400003</v>
      </c>
      <c r="CS12" s="1602">
        <v>2957.4447966840598</v>
      </c>
      <c r="CT12" s="1227">
        <v>7097.9912139899998</v>
      </c>
      <c r="CU12" s="1602">
        <v>3041.5355331430001</v>
      </c>
      <c r="CV12" s="1227">
        <v>7128.6384359800004</v>
      </c>
      <c r="CW12" s="1602">
        <v>3114.5406665330001</v>
      </c>
      <c r="CX12" s="1227">
        <v>7383.0259066199997</v>
      </c>
      <c r="CY12" s="1602">
        <v>3153.9132922499998</v>
      </c>
      <c r="CZ12" s="1225" t="s">
        <v>3664</v>
      </c>
    </row>
    <row r="13" spans="1:104" ht="41.25" customHeight="1">
      <c r="A13" s="1225" t="s">
        <v>2297</v>
      </c>
      <c r="B13" s="1227">
        <v>304.82624741000001</v>
      </c>
      <c r="C13" s="1227">
        <v>133.36205180000002</v>
      </c>
      <c r="D13" s="1227">
        <v>315.39288590400002</v>
      </c>
      <c r="E13" s="1227">
        <v>141.57897972399999</v>
      </c>
      <c r="F13" s="1227">
        <v>332.54405205900002</v>
      </c>
      <c r="G13" s="1227">
        <v>147.041784509</v>
      </c>
      <c r="H13" s="1227">
        <v>358.15847389300001</v>
      </c>
      <c r="I13" s="1227">
        <v>145.796980953</v>
      </c>
      <c r="J13" s="1227">
        <v>340.19160758700002</v>
      </c>
      <c r="K13" s="1227">
        <v>139.941709777</v>
      </c>
      <c r="L13" s="1227">
        <v>289.44401098999998</v>
      </c>
      <c r="M13" s="1227">
        <v>125.96959622</v>
      </c>
      <c r="N13" s="1227">
        <v>269.37254539899999</v>
      </c>
      <c r="O13" s="1227">
        <v>109.45099836899999</v>
      </c>
      <c r="P13" s="1227">
        <v>272.86217131800004</v>
      </c>
      <c r="Q13" s="1227">
        <v>108.04582351799999</v>
      </c>
      <c r="R13" s="1227">
        <v>265.88835444899996</v>
      </c>
      <c r="S13" s="1227">
        <v>106.58884489900001</v>
      </c>
      <c r="T13" s="1227">
        <v>264.99220915900003</v>
      </c>
      <c r="U13" s="1227">
        <v>103.57346671900001</v>
      </c>
      <c r="V13" s="1227">
        <v>243.919341339</v>
      </c>
      <c r="W13" s="1227">
        <v>96.450848229000002</v>
      </c>
      <c r="X13" s="1227">
        <v>242.33152621899998</v>
      </c>
      <c r="Y13" s="1227">
        <v>83.945950518999993</v>
      </c>
      <c r="Z13" s="1227">
        <v>259.69731968330001</v>
      </c>
      <c r="AA13" s="1227">
        <v>86.537330859000008</v>
      </c>
      <c r="AB13" s="1227">
        <v>251.44434331899998</v>
      </c>
      <c r="AC13" s="1227">
        <v>85.883140628999996</v>
      </c>
      <c r="AD13" s="1227">
        <v>216.08575369900001</v>
      </c>
      <c r="AE13" s="1227">
        <v>49.145216429000001</v>
      </c>
      <c r="AF13" s="1227">
        <v>213.271578089</v>
      </c>
      <c r="AG13" s="1227">
        <v>45.375157289000001</v>
      </c>
      <c r="AH13" s="1227">
        <v>216.90192650900002</v>
      </c>
      <c r="AI13" s="1227">
        <v>44.578865469</v>
      </c>
      <c r="AJ13" s="1227">
        <v>216.52116044900001</v>
      </c>
      <c r="AK13" s="1227">
        <v>46.754112108999998</v>
      </c>
      <c r="AL13" s="1227">
        <v>221.12811425899997</v>
      </c>
      <c r="AM13" s="1227">
        <v>46.451464608999999</v>
      </c>
      <c r="AN13" s="1227">
        <v>227.74018557900001</v>
      </c>
      <c r="AO13" s="1227">
        <v>47.556060449</v>
      </c>
      <c r="AP13" s="1227">
        <v>256.078503549</v>
      </c>
      <c r="AQ13" s="1227">
        <v>50.727748519000002</v>
      </c>
      <c r="AR13" s="1227">
        <v>279.77919726900001</v>
      </c>
      <c r="AS13" s="1227">
        <v>56.439356899000003</v>
      </c>
      <c r="AT13" s="1227">
        <v>290.109702239</v>
      </c>
      <c r="AU13" s="1227">
        <v>56.006596731000002</v>
      </c>
      <c r="AV13" s="1227">
        <v>288.898726329</v>
      </c>
      <c r="AW13" s="1227">
        <v>62.261001899000007</v>
      </c>
      <c r="AX13" s="1227">
        <v>323.493680649</v>
      </c>
      <c r="AY13" s="1227">
        <v>66.462824658999907</v>
      </c>
      <c r="AZ13" s="1227">
        <v>325.69115675900002</v>
      </c>
      <c r="BA13" s="1227">
        <v>65.811652429000006</v>
      </c>
      <c r="BB13" s="1227">
        <v>340.824744549</v>
      </c>
      <c r="BC13" s="1227">
        <v>70.400038168999998</v>
      </c>
      <c r="BD13" s="1227">
        <v>350.17826880999996</v>
      </c>
      <c r="BE13" s="1227">
        <v>78.033101490000007</v>
      </c>
      <c r="BF13" s="1227">
        <v>350.80770802999996</v>
      </c>
      <c r="BG13" s="1227">
        <v>78.989542999999998</v>
      </c>
      <c r="BH13" s="1227">
        <v>355.52126543999998</v>
      </c>
      <c r="BI13" s="1227">
        <v>80.873252400000013</v>
      </c>
      <c r="BJ13" s="1227">
        <v>346.42021833000001</v>
      </c>
      <c r="BK13" s="1227">
        <v>75.254714030000002</v>
      </c>
      <c r="BL13" s="1227">
        <v>346.72243993000001</v>
      </c>
      <c r="BM13" s="1227">
        <v>72.462608899999992</v>
      </c>
      <c r="BN13" s="1227">
        <v>342.54701390000002</v>
      </c>
      <c r="BO13" s="1227">
        <v>73.098770720000005</v>
      </c>
      <c r="BP13" s="1227">
        <v>365.32851277999998</v>
      </c>
      <c r="BQ13" s="1227">
        <v>74.057057399999991</v>
      </c>
      <c r="BR13" s="1227">
        <v>373.67803863</v>
      </c>
      <c r="BS13" s="1227">
        <v>77.652717569999993</v>
      </c>
      <c r="BT13" s="1227">
        <v>402.81914418999997</v>
      </c>
      <c r="BU13" s="1227">
        <v>98.253323899999998</v>
      </c>
      <c r="BV13" s="1227">
        <v>382.90305689000002</v>
      </c>
      <c r="BW13" s="1227">
        <v>84.579327243281995</v>
      </c>
      <c r="BX13" s="1227">
        <v>387.72079058000003</v>
      </c>
      <c r="BY13" s="1227">
        <v>79.515633132282005</v>
      </c>
      <c r="BZ13" s="1227">
        <v>390.32155021</v>
      </c>
      <c r="CA13" s="1227">
        <v>87.491934134060003</v>
      </c>
      <c r="CB13" s="1227">
        <v>396.95742548999999</v>
      </c>
      <c r="CC13" s="1602">
        <v>91.155313384059994</v>
      </c>
      <c r="CD13" s="1602">
        <v>442.4956717</v>
      </c>
      <c r="CE13" s="1602">
        <v>108.27310548811199</v>
      </c>
      <c r="CF13" s="1227">
        <v>421.48153926800001</v>
      </c>
      <c r="CG13" s="1602">
        <v>91.795030230913994</v>
      </c>
      <c r="CH13" s="1602">
        <v>415.320691748</v>
      </c>
      <c r="CI13" s="1602">
        <v>95.699934742105995</v>
      </c>
      <c r="CJ13" s="1602">
        <v>410.68058734800002</v>
      </c>
      <c r="CK13" s="1602">
        <v>86.3617786911</v>
      </c>
      <c r="CL13" s="1227">
        <v>418.06672852000003</v>
      </c>
      <c r="CM13" s="1602">
        <v>88.033330530000001</v>
      </c>
      <c r="CN13" s="1602">
        <v>392.39908788000002</v>
      </c>
      <c r="CO13" s="1602">
        <v>80.617958659999999</v>
      </c>
      <c r="CP13" s="1602">
        <v>387.45367549999997</v>
      </c>
      <c r="CQ13" s="1602">
        <v>81.655155480000005</v>
      </c>
      <c r="CR13" s="1602">
        <v>405.08882762799999</v>
      </c>
      <c r="CS13" s="1602">
        <v>97.407828739999999</v>
      </c>
      <c r="CT13" s="1227">
        <v>420.15787518000002</v>
      </c>
      <c r="CU13" s="1602">
        <v>111.90494246999999</v>
      </c>
      <c r="CV13" s="1227">
        <v>421.72359784000002</v>
      </c>
      <c r="CW13" s="1602">
        <v>122.57152028</v>
      </c>
      <c r="CX13" s="1227">
        <v>420.35546147000002</v>
      </c>
      <c r="CY13" s="1602">
        <v>123.78470485</v>
      </c>
      <c r="CZ13" s="1225" t="s">
        <v>3665</v>
      </c>
    </row>
    <row r="14" spans="1:104" ht="21" customHeight="1">
      <c r="A14" s="1501" t="s">
        <v>2296</v>
      </c>
      <c r="B14" s="1227">
        <v>287.65466417524999</v>
      </c>
      <c r="C14" s="1227">
        <v>125.10778404525</v>
      </c>
      <c r="D14" s="1227">
        <v>298.33283016925003</v>
      </c>
      <c r="E14" s="1227">
        <v>133.38623946925</v>
      </c>
      <c r="F14" s="1227">
        <v>315.39708632424998</v>
      </c>
      <c r="G14" s="1227">
        <v>138.86038425424999</v>
      </c>
      <c r="H14" s="1227">
        <v>341.02416330825002</v>
      </c>
      <c r="I14" s="1227">
        <v>137.62823584825</v>
      </c>
      <c r="J14" s="1227">
        <v>324.42533758474997</v>
      </c>
      <c r="K14" s="1227">
        <v>135.70773467225001</v>
      </c>
      <c r="L14" s="1227">
        <v>274.10181672524999</v>
      </c>
      <c r="M14" s="1227">
        <v>121.73561861524999</v>
      </c>
      <c r="N14" s="1227">
        <v>254.18423313425001</v>
      </c>
      <c r="O14" s="1227">
        <v>105.21702076425001</v>
      </c>
      <c r="P14" s="1227">
        <v>257.51997205325</v>
      </c>
      <c r="Q14" s="1227">
        <v>103.81184591325001</v>
      </c>
      <c r="R14" s="1227">
        <v>249.23225447425</v>
      </c>
      <c r="S14" s="1227">
        <v>101.57341479425</v>
      </c>
      <c r="T14" s="1227">
        <v>248.40361989424997</v>
      </c>
      <c r="U14" s="1227">
        <v>98.593094114250007</v>
      </c>
      <c r="V14" s="1227">
        <v>229.46530599425</v>
      </c>
      <c r="W14" s="1227">
        <v>93.605034544250003</v>
      </c>
      <c r="X14" s="1227">
        <v>228.30538587425002</v>
      </c>
      <c r="Y14" s="1227">
        <v>81.528026834249999</v>
      </c>
      <c r="Z14" s="1227">
        <v>244.67803233855</v>
      </c>
      <c r="AA14" s="1227">
        <v>82.626267174249989</v>
      </c>
      <c r="AB14" s="1227">
        <v>236.42506047424999</v>
      </c>
      <c r="AC14" s="1227">
        <v>81.972076944250006</v>
      </c>
      <c r="AD14" s="1227">
        <v>201.06647234425</v>
      </c>
      <c r="AE14" s="1227">
        <v>45.234152744249997</v>
      </c>
      <c r="AF14" s="1227">
        <v>198.25229274424998</v>
      </c>
      <c r="AG14" s="1227">
        <v>41.464093604249996</v>
      </c>
      <c r="AH14" s="1227">
        <v>201.25872445599998</v>
      </c>
      <c r="AI14" s="1227">
        <v>40.043885076000002</v>
      </c>
      <c r="AJ14" s="1227">
        <v>200.5714614195</v>
      </c>
      <c r="AK14" s="1227">
        <v>41.9126347395</v>
      </c>
      <c r="AL14" s="1227">
        <v>204.3377784555</v>
      </c>
      <c r="AM14" s="1227">
        <v>40.769355465499999</v>
      </c>
      <c r="AN14" s="1227">
        <v>210.17820241000001</v>
      </c>
      <c r="AO14" s="1227">
        <v>41.19652894</v>
      </c>
      <c r="AP14" s="1227">
        <v>237.91075288000002</v>
      </c>
      <c r="AQ14" s="1227">
        <v>43.668214509999999</v>
      </c>
      <c r="AR14" s="1227">
        <v>260.91144659999998</v>
      </c>
      <c r="AS14" s="1227">
        <v>48.679822889999997</v>
      </c>
      <c r="AT14" s="1227">
        <v>271.24195156999997</v>
      </c>
      <c r="AU14" s="1227">
        <v>48.247062721999995</v>
      </c>
      <c r="AV14" s="1227">
        <v>268.63097815999998</v>
      </c>
      <c r="AW14" s="1227">
        <v>53.101470390000003</v>
      </c>
      <c r="AX14" s="1227">
        <v>302.71380925</v>
      </c>
      <c r="AY14" s="1227">
        <v>56.791169919999902</v>
      </c>
      <c r="AZ14" s="1227">
        <v>304.93880502000002</v>
      </c>
      <c r="BA14" s="1227">
        <v>56.139997690000001</v>
      </c>
      <c r="BB14" s="1227">
        <v>320.07239281</v>
      </c>
      <c r="BC14" s="1227">
        <v>60.728383430000001</v>
      </c>
      <c r="BD14" s="1227">
        <v>333.14757180999999</v>
      </c>
      <c r="BE14" s="1227">
        <v>72.08310148999999</v>
      </c>
      <c r="BF14" s="1227">
        <v>333.77701103000004</v>
      </c>
      <c r="BG14" s="1227">
        <v>73.039543000000009</v>
      </c>
      <c r="BH14" s="1227">
        <v>338.49056844</v>
      </c>
      <c r="BI14" s="1227">
        <v>74.923252399999996</v>
      </c>
      <c r="BJ14" s="1227">
        <v>334.44592633000002</v>
      </c>
      <c r="BK14" s="1227">
        <v>75.254714030000002</v>
      </c>
      <c r="BL14" s="1227">
        <v>334.74814792999996</v>
      </c>
      <c r="BM14" s="1227">
        <v>72.462608899999992</v>
      </c>
      <c r="BN14" s="1227">
        <v>330.57272189999998</v>
      </c>
      <c r="BO14" s="1227">
        <v>73.098770720000005</v>
      </c>
      <c r="BP14" s="1227">
        <v>353.35422077999999</v>
      </c>
      <c r="BQ14" s="1227">
        <v>74.057057399999991</v>
      </c>
      <c r="BR14" s="1227">
        <v>361.43714163000004</v>
      </c>
      <c r="BS14" s="1227">
        <v>77.652717569999993</v>
      </c>
      <c r="BT14" s="1227">
        <v>390.31164719000003</v>
      </c>
      <c r="BU14" s="1227">
        <v>98.253323899999998</v>
      </c>
      <c r="BV14" s="1227">
        <v>370.92876489000002</v>
      </c>
      <c r="BW14" s="1227">
        <v>84.579327243281995</v>
      </c>
      <c r="BX14" s="1227">
        <v>374.92639258000003</v>
      </c>
      <c r="BY14" s="1227">
        <v>79.515633132282005</v>
      </c>
      <c r="BZ14" s="1227">
        <v>377.55756321000001</v>
      </c>
      <c r="CA14" s="1227">
        <v>87.491934134060003</v>
      </c>
      <c r="CB14" s="1227">
        <v>386.02302849</v>
      </c>
      <c r="CC14" s="1602">
        <v>91.155313384059994</v>
      </c>
      <c r="CD14" s="1602">
        <v>431.59210969999998</v>
      </c>
      <c r="CE14" s="1602">
        <v>108.27310548811199</v>
      </c>
      <c r="CF14" s="1227">
        <v>410.60895926799998</v>
      </c>
      <c r="CG14" s="1602">
        <v>91.795030230913994</v>
      </c>
      <c r="CH14" s="1602">
        <v>404.57340974800002</v>
      </c>
      <c r="CI14" s="1602">
        <v>95.699934742105995</v>
      </c>
      <c r="CJ14" s="1602">
        <v>400.31035484799997</v>
      </c>
      <c r="CK14" s="1602">
        <v>86.3617786911</v>
      </c>
      <c r="CL14" s="1227">
        <v>407.72544275319001</v>
      </c>
      <c r="CM14" s="1602">
        <v>88.033330530000001</v>
      </c>
      <c r="CN14" s="1602">
        <v>381.98555497000001</v>
      </c>
      <c r="CO14" s="1602">
        <v>80.576725749999994</v>
      </c>
      <c r="CP14" s="1602">
        <v>377.09021960500002</v>
      </c>
      <c r="CQ14" s="1602">
        <v>81.623291585000004</v>
      </c>
      <c r="CR14" s="1602">
        <v>394.36704298799998</v>
      </c>
      <c r="CS14" s="1602">
        <v>97.407828739999999</v>
      </c>
      <c r="CT14" s="1227">
        <v>409.61784554000002</v>
      </c>
      <c r="CU14" s="1602">
        <v>111.90494246999999</v>
      </c>
      <c r="CV14" s="1227">
        <v>411.21787619999998</v>
      </c>
      <c r="CW14" s="1602">
        <v>122.57152028</v>
      </c>
      <c r="CX14" s="1227">
        <v>405.56169283000003</v>
      </c>
      <c r="CY14" s="1602">
        <v>123.78470485</v>
      </c>
      <c r="CZ14" s="1225" t="s">
        <v>3666</v>
      </c>
    </row>
    <row r="15" spans="1:104" ht="21" customHeight="1">
      <c r="A15" s="1225" t="s">
        <v>2295</v>
      </c>
      <c r="B15" s="1227">
        <v>14900.9352388034</v>
      </c>
      <c r="C15" s="1227">
        <v>5255.0493990095702</v>
      </c>
      <c r="D15" s="1227">
        <v>15116.37144325</v>
      </c>
      <c r="E15" s="1227">
        <v>5463.90050651404</v>
      </c>
      <c r="F15" s="1227">
        <v>15299.108394364601</v>
      </c>
      <c r="G15" s="1227">
        <v>5456.7006125895996</v>
      </c>
      <c r="H15" s="1227">
        <v>15232.732370605599</v>
      </c>
      <c r="I15" s="1227">
        <v>5151.7250265306202</v>
      </c>
      <c r="J15" s="1227">
        <v>14742.1609655675</v>
      </c>
      <c r="K15" s="1227">
        <v>4919.7774075725201</v>
      </c>
      <c r="L15" s="1227">
        <v>14361.020016311701</v>
      </c>
      <c r="M15" s="1227">
        <v>4789.2151611806603</v>
      </c>
      <c r="N15" s="1227">
        <v>14169.7916186724</v>
      </c>
      <c r="O15" s="1227">
        <v>4602.79582988122</v>
      </c>
      <c r="P15" s="1227">
        <v>14204.4497066817</v>
      </c>
      <c r="Q15" s="1227">
        <v>4622.0779867639203</v>
      </c>
      <c r="R15" s="1227">
        <v>14304.2281735577</v>
      </c>
      <c r="S15" s="1227">
        <v>4590.84287693024</v>
      </c>
      <c r="T15" s="1227">
        <v>14497.027014687999</v>
      </c>
      <c r="U15" s="1227">
        <v>4613.75238415899</v>
      </c>
      <c r="V15" s="1227">
        <v>14409.3148820396</v>
      </c>
      <c r="W15" s="1227">
        <v>4483.4114157965596</v>
      </c>
      <c r="X15" s="1227">
        <v>14304.6445922701</v>
      </c>
      <c r="Y15" s="1227">
        <v>4360.2208185650497</v>
      </c>
      <c r="Z15" s="1227">
        <v>14156.979535426801</v>
      </c>
      <c r="AA15" s="1227">
        <v>4277.45925788153</v>
      </c>
      <c r="AB15" s="1227">
        <v>14213.695562521099</v>
      </c>
      <c r="AC15" s="1227">
        <v>4238.7366870808901</v>
      </c>
      <c r="AD15" s="1227">
        <v>14246.0991235827</v>
      </c>
      <c r="AE15" s="1227">
        <v>4163.0408165457202</v>
      </c>
      <c r="AF15" s="1227">
        <v>14352.3548978935</v>
      </c>
      <c r="AG15" s="1227">
        <v>4105.4263350335004</v>
      </c>
      <c r="AH15" s="1227">
        <v>14611.8145951636</v>
      </c>
      <c r="AI15" s="1227">
        <v>4103.57628516162</v>
      </c>
      <c r="AJ15" s="1227">
        <v>14691.399157010501</v>
      </c>
      <c r="AK15" s="1227">
        <v>4092.4866728019701</v>
      </c>
      <c r="AL15" s="1227">
        <v>14856.889780031601</v>
      </c>
      <c r="AM15" s="1227">
        <v>4057.01400755854</v>
      </c>
      <c r="AN15" s="1227">
        <v>14966.4982082432</v>
      </c>
      <c r="AO15" s="1227">
        <v>4063.5204313531999</v>
      </c>
      <c r="AP15" s="1227">
        <v>15206.8490947091</v>
      </c>
      <c r="AQ15" s="1227">
        <v>4128.6368770058498</v>
      </c>
      <c r="AR15" s="1227">
        <v>15538.669058032599</v>
      </c>
      <c r="AS15" s="1227">
        <v>4194.2397540725697</v>
      </c>
      <c r="AT15" s="1227">
        <v>15997.290905959901</v>
      </c>
      <c r="AU15" s="1227">
        <v>4446.0568909999001</v>
      </c>
      <c r="AV15" s="1227">
        <v>16281.9655474426</v>
      </c>
      <c r="AW15" s="1227">
        <v>4374.1023055524101</v>
      </c>
      <c r="AX15" s="1227">
        <v>16659.1139423282</v>
      </c>
      <c r="AY15" s="1227">
        <v>4363.2291728801802</v>
      </c>
      <c r="AZ15" s="1227">
        <v>16781.439074845301</v>
      </c>
      <c r="BA15" s="1227">
        <v>4364.1928036587697</v>
      </c>
      <c r="BB15" s="1227">
        <v>17126.533211405698</v>
      </c>
      <c r="BC15" s="1227">
        <v>4374.5311283063502</v>
      </c>
      <c r="BD15" s="1227">
        <v>17528.185609502601</v>
      </c>
      <c r="BE15" s="1227">
        <v>4446.4410717138999</v>
      </c>
      <c r="BF15" s="1227">
        <v>17840.380523788201</v>
      </c>
      <c r="BG15" s="1227">
        <v>4384.8223481534196</v>
      </c>
      <c r="BH15" s="1227">
        <v>18098.283291124499</v>
      </c>
      <c r="BI15" s="1227">
        <v>4408.4187724256099</v>
      </c>
      <c r="BJ15" s="1227">
        <v>18320.0215140129</v>
      </c>
      <c r="BK15" s="1227">
        <v>4271.7779155776598</v>
      </c>
      <c r="BL15" s="1227">
        <v>18487.445165762001</v>
      </c>
      <c r="BM15" s="1227">
        <v>4278.4106697905299</v>
      </c>
      <c r="BN15" s="1227">
        <v>18638.6347982097</v>
      </c>
      <c r="BO15" s="1227">
        <v>4173.8036330370096</v>
      </c>
      <c r="BP15" s="1227">
        <v>19157.176561456799</v>
      </c>
      <c r="BQ15" s="1227">
        <v>4247.7426480550403</v>
      </c>
      <c r="BR15" s="1227">
        <v>19470.7845801437</v>
      </c>
      <c r="BS15" s="1227">
        <v>4296.0958375217497</v>
      </c>
      <c r="BT15" s="1227">
        <v>19674.178382202601</v>
      </c>
      <c r="BU15" s="1227">
        <v>4163.9043623781699</v>
      </c>
      <c r="BV15" s="1227">
        <v>19594.3555676619</v>
      </c>
      <c r="BW15" s="1227">
        <v>3932.38811171111</v>
      </c>
      <c r="BX15" s="1227">
        <v>19669.591816208002</v>
      </c>
      <c r="BY15" s="1227">
        <v>3954.2349919118101</v>
      </c>
      <c r="BZ15" s="1227">
        <v>19757.429416209201</v>
      </c>
      <c r="CA15" s="1227">
        <v>3919.1413503174899</v>
      </c>
      <c r="CB15" s="1227">
        <v>20038.596163516901</v>
      </c>
      <c r="CC15" s="1602">
        <v>3982.1267265384199</v>
      </c>
      <c r="CD15" s="1602">
        <v>20379.627516663699</v>
      </c>
      <c r="CE15" s="1602">
        <v>3974.92287219011</v>
      </c>
      <c r="CF15" s="1227">
        <v>20659.269192317901</v>
      </c>
      <c r="CG15" s="1602">
        <v>3998.8409779178901</v>
      </c>
      <c r="CH15" s="1602">
        <v>21296.236125417599</v>
      </c>
      <c r="CI15" s="1602">
        <v>4240.4855867319302</v>
      </c>
      <c r="CJ15" s="1602">
        <v>21371.9913058085</v>
      </c>
      <c r="CK15" s="1602">
        <v>4078.6533600825701</v>
      </c>
      <c r="CL15" s="1227">
        <v>21814.187154987401</v>
      </c>
      <c r="CM15" s="1602">
        <v>4140.8167096778798</v>
      </c>
      <c r="CN15" s="1602">
        <v>22281.884370937401</v>
      </c>
      <c r="CO15" s="1602">
        <v>4243.7725367286102</v>
      </c>
      <c r="CP15" s="1602">
        <v>22459.711090514498</v>
      </c>
      <c r="CQ15" s="1602">
        <v>4424.1599339703498</v>
      </c>
      <c r="CR15" s="1602">
        <v>22881.231065023101</v>
      </c>
      <c r="CS15" s="1602">
        <v>4425.4043504279998</v>
      </c>
      <c r="CT15" s="1227">
        <v>23182.953697219102</v>
      </c>
      <c r="CU15" s="1602">
        <v>4366.8311645082103</v>
      </c>
      <c r="CV15" s="1227">
        <v>23566.352779695699</v>
      </c>
      <c r="CW15" s="1602">
        <v>4682.0332947120096</v>
      </c>
      <c r="CX15" s="1227">
        <v>23833.019223279101</v>
      </c>
      <c r="CY15" s="1602">
        <v>4662.6753218635404</v>
      </c>
      <c r="CZ15" s="1225" t="s">
        <v>3667</v>
      </c>
    </row>
    <row r="16" spans="1:104" ht="33.75" customHeight="1">
      <c r="A16" s="1501" t="s">
        <v>2294</v>
      </c>
      <c r="B16" s="1227">
        <v>1449.7417154759301</v>
      </c>
      <c r="C16" s="1227">
        <v>498.28579506678301</v>
      </c>
      <c r="D16" s="1227">
        <v>1458.1459824137801</v>
      </c>
      <c r="E16" s="1227">
        <v>498.31907026911801</v>
      </c>
      <c r="F16" s="1227">
        <v>1469.7561275718999</v>
      </c>
      <c r="G16" s="1227">
        <v>500.10657429888198</v>
      </c>
      <c r="H16" s="1227">
        <v>1473.0343068222801</v>
      </c>
      <c r="I16" s="1227">
        <v>492.49658738057201</v>
      </c>
      <c r="J16" s="1227">
        <v>1457.03075033503</v>
      </c>
      <c r="K16" s="1227">
        <v>484.696724370185</v>
      </c>
      <c r="L16" s="1227">
        <v>1322.3237211676601</v>
      </c>
      <c r="M16" s="1227">
        <v>419.68479147410898</v>
      </c>
      <c r="N16" s="1227">
        <v>1301.45503835301</v>
      </c>
      <c r="O16" s="1227">
        <v>393.493015825707</v>
      </c>
      <c r="P16" s="1227">
        <v>1303.4412588105399</v>
      </c>
      <c r="Q16" s="1227">
        <v>395.56343413770099</v>
      </c>
      <c r="R16" s="1227">
        <v>1338.2565160438801</v>
      </c>
      <c r="S16" s="1227">
        <v>399.70377908726903</v>
      </c>
      <c r="T16" s="1227">
        <v>1328.1037160635101</v>
      </c>
      <c r="U16" s="1227">
        <v>381.531009022175</v>
      </c>
      <c r="V16" s="1227">
        <v>1267.71839602711</v>
      </c>
      <c r="W16" s="1227">
        <v>320.67137892418202</v>
      </c>
      <c r="X16" s="1227">
        <v>1198.7273990983899</v>
      </c>
      <c r="Y16" s="1227">
        <v>268.72951789314197</v>
      </c>
      <c r="Z16" s="1227">
        <v>1136.63295221046</v>
      </c>
      <c r="AA16" s="1227">
        <v>240.67283329458101</v>
      </c>
      <c r="AB16" s="1227">
        <v>1149.64498618729</v>
      </c>
      <c r="AC16" s="1227">
        <v>220.85740804279899</v>
      </c>
      <c r="AD16" s="1227">
        <v>1166.1220926993301</v>
      </c>
      <c r="AE16" s="1227">
        <v>221.26698104887799</v>
      </c>
      <c r="AF16" s="1227">
        <v>1162.74997710805</v>
      </c>
      <c r="AG16" s="1227">
        <v>217.66316501577299</v>
      </c>
      <c r="AH16" s="1227">
        <v>1176.8770689053699</v>
      </c>
      <c r="AI16" s="1227">
        <v>208.83879953595999</v>
      </c>
      <c r="AJ16" s="1227">
        <v>1190.4179051989299</v>
      </c>
      <c r="AK16" s="1227">
        <v>208.44171208102</v>
      </c>
      <c r="AL16" s="1227">
        <v>1199.21026390616</v>
      </c>
      <c r="AM16" s="1227">
        <v>207.28421445094301</v>
      </c>
      <c r="AN16" s="1227">
        <v>1208.90495224757</v>
      </c>
      <c r="AO16" s="1227">
        <v>208.10924230318199</v>
      </c>
      <c r="AP16" s="1227">
        <v>1224.94657969078</v>
      </c>
      <c r="AQ16" s="1227">
        <v>211.35853581502599</v>
      </c>
      <c r="AR16" s="1227">
        <v>1226.580169734</v>
      </c>
      <c r="AS16" s="1227">
        <v>211.558020329431</v>
      </c>
      <c r="AT16" s="1227">
        <v>1177.41271715263</v>
      </c>
      <c r="AU16" s="1227">
        <v>208.09509049162801</v>
      </c>
      <c r="AV16" s="1227">
        <v>1184.96772755801</v>
      </c>
      <c r="AW16" s="1227">
        <v>208.03804792716301</v>
      </c>
      <c r="AX16" s="1227">
        <v>1145.7826870798001</v>
      </c>
      <c r="AY16" s="1227">
        <v>194.692931509728</v>
      </c>
      <c r="AZ16" s="1227">
        <v>1148.6364393599499</v>
      </c>
      <c r="BA16" s="1227">
        <v>192.73271052707199</v>
      </c>
      <c r="BB16" s="1227">
        <v>1150.3472334364201</v>
      </c>
      <c r="BC16" s="1227">
        <v>182.978075154701</v>
      </c>
      <c r="BD16" s="1227">
        <v>1178.18063830867</v>
      </c>
      <c r="BE16" s="1227">
        <v>180.75841243680301</v>
      </c>
      <c r="BF16" s="1227">
        <v>1194.43061149446</v>
      </c>
      <c r="BG16" s="1227">
        <v>181.27327068404</v>
      </c>
      <c r="BH16" s="1227">
        <v>1213.5286662490701</v>
      </c>
      <c r="BI16" s="1227">
        <v>180.133843811167</v>
      </c>
      <c r="BJ16" s="1227">
        <v>1216.5279655729901</v>
      </c>
      <c r="BK16" s="1227">
        <v>179.30713139930401</v>
      </c>
      <c r="BL16" s="1227">
        <v>1212.04261110783</v>
      </c>
      <c r="BM16" s="1227">
        <v>180.86966336735401</v>
      </c>
      <c r="BN16" s="1227">
        <v>1164.9630263265001</v>
      </c>
      <c r="BO16" s="1227">
        <v>157.97182611172599</v>
      </c>
      <c r="BP16" s="1227">
        <v>1166.7712553428501</v>
      </c>
      <c r="BQ16" s="1227">
        <v>152.94873287391201</v>
      </c>
      <c r="BR16" s="1227">
        <v>1185.32108616762</v>
      </c>
      <c r="BS16" s="1227">
        <v>151.61866995601</v>
      </c>
      <c r="BT16" s="1227">
        <v>1205.4410889512401</v>
      </c>
      <c r="BU16" s="1227">
        <v>152.42865911851499</v>
      </c>
      <c r="BV16" s="1227">
        <v>1158.7711385754701</v>
      </c>
      <c r="BW16" s="1227">
        <v>132.34266079228701</v>
      </c>
      <c r="BX16" s="1227">
        <v>1160.47494282142</v>
      </c>
      <c r="BY16" s="1227">
        <v>122.663618235012</v>
      </c>
      <c r="BZ16" s="1227">
        <v>1194.8597070742501</v>
      </c>
      <c r="CA16" s="1227">
        <v>133.28202272350001</v>
      </c>
      <c r="CB16" s="1227">
        <v>1195.1402684356599</v>
      </c>
      <c r="CC16" s="1602">
        <v>134.073036597168</v>
      </c>
      <c r="CD16" s="1602">
        <v>1213.34720782357</v>
      </c>
      <c r="CE16" s="1602">
        <v>132.76165535990901</v>
      </c>
      <c r="CF16" s="1227">
        <v>1230.6425286446399</v>
      </c>
      <c r="CG16" s="1602">
        <v>138.57842734366801</v>
      </c>
      <c r="CH16" s="1602">
        <v>1233.8304421696701</v>
      </c>
      <c r="CI16" s="1602">
        <v>140.279036901463</v>
      </c>
      <c r="CJ16" s="1602">
        <v>1254.65943260381</v>
      </c>
      <c r="CK16" s="1602">
        <v>137.18760100963701</v>
      </c>
      <c r="CL16" s="1227">
        <v>1289.9658645539801</v>
      </c>
      <c r="CM16" s="1602">
        <v>140.72901377996101</v>
      </c>
      <c r="CN16" s="1602">
        <v>1294.5686332676601</v>
      </c>
      <c r="CO16" s="1602">
        <v>130.01420512239301</v>
      </c>
      <c r="CP16" s="1602">
        <v>1346.55466990841</v>
      </c>
      <c r="CQ16" s="1602">
        <v>137.77301385707301</v>
      </c>
      <c r="CR16" s="1602">
        <v>1370.02321572351</v>
      </c>
      <c r="CS16" s="1602">
        <v>134.51755421220699</v>
      </c>
      <c r="CT16" s="1227">
        <v>1338.2861314069501</v>
      </c>
      <c r="CU16" s="1602">
        <v>128.75053772344299</v>
      </c>
      <c r="CV16" s="1227">
        <v>1366.71787902443</v>
      </c>
      <c r="CW16" s="1602">
        <v>129.83522170036801</v>
      </c>
      <c r="CX16" s="1227">
        <v>1384.19945565443</v>
      </c>
      <c r="CY16" s="1602">
        <v>129.45646486504299</v>
      </c>
      <c r="CZ16" s="1225" t="s">
        <v>3668</v>
      </c>
    </row>
    <row r="17" spans="1:107" ht="21" customHeight="1">
      <c r="A17" s="1501" t="s">
        <v>2293</v>
      </c>
      <c r="B17" s="1227">
        <v>13451.1935233275</v>
      </c>
      <c r="C17" s="1227">
        <v>4756.7636039427898</v>
      </c>
      <c r="D17" s="1227">
        <v>13658.2254608363</v>
      </c>
      <c r="E17" s="1227">
        <v>4965.58143624492</v>
      </c>
      <c r="F17" s="1227">
        <v>13829.352266792701</v>
      </c>
      <c r="G17" s="1227">
        <v>4956.5940382907202</v>
      </c>
      <c r="H17" s="1227">
        <v>13759.6980637833</v>
      </c>
      <c r="I17" s="1227">
        <v>4659.2284391500498</v>
      </c>
      <c r="J17" s="1227">
        <v>13285.130215232501</v>
      </c>
      <c r="K17" s="1227">
        <v>4435.08068320234</v>
      </c>
      <c r="L17" s="1227">
        <v>13038.696295144</v>
      </c>
      <c r="M17" s="1227">
        <v>4369.5303697065501</v>
      </c>
      <c r="N17" s="1227">
        <v>12868.336580319399</v>
      </c>
      <c r="O17" s="1227">
        <v>4209.3028140555098</v>
      </c>
      <c r="P17" s="1227">
        <v>12901.0084478712</v>
      </c>
      <c r="Q17" s="1227">
        <v>4226.5145526262204</v>
      </c>
      <c r="R17" s="1227">
        <v>12965.971657513899</v>
      </c>
      <c r="S17" s="1227">
        <v>4191.1390978429699</v>
      </c>
      <c r="T17" s="1227">
        <v>13168.923298624501</v>
      </c>
      <c r="U17" s="1227">
        <v>4232.2213751368099</v>
      </c>
      <c r="V17" s="1227">
        <v>13141.5964860124</v>
      </c>
      <c r="W17" s="1227">
        <v>4162.7400368723802</v>
      </c>
      <c r="X17" s="1227">
        <v>13105.917193171699</v>
      </c>
      <c r="Y17" s="1227">
        <v>4091.4913006719098</v>
      </c>
      <c r="Z17" s="1227">
        <v>13020.3465832164</v>
      </c>
      <c r="AA17" s="1227">
        <v>4036.78642458695</v>
      </c>
      <c r="AB17" s="1227">
        <v>13064.050576333801</v>
      </c>
      <c r="AC17" s="1227">
        <v>4017.8792790380899</v>
      </c>
      <c r="AD17" s="1227">
        <v>13079.977030883399</v>
      </c>
      <c r="AE17" s="1227">
        <v>3941.7738354968401</v>
      </c>
      <c r="AF17" s="1227">
        <v>13189.604920785399</v>
      </c>
      <c r="AG17" s="1227">
        <v>3887.7631700177299</v>
      </c>
      <c r="AH17" s="1227">
        <v>13434.9375262583</v>
      </c>
      <c r="AI17" s="1227">
        <v>3894.7374856256602</v>
      </c>
      <c r="AJ17" s="1227">
        <v>13500.9812518115</v>
      </c>
      <c r="AK17" s="1227">
        <v>3884.0449607209498</v>
      </c>
      <c r="AL17" s="1227">
        <v>13657.679516125399</v>
      </c>
      <c r="AM17" s="1227">
        <v>3849.7297931076</v>
      </c>
      <c r="AN17" s="1227">
        <v>13757.5932559956</v>
      </c>
      <c r="AO17" s="1227">
        <v>3855.4111890500099</v>
      </c>
      <c r="AP17" s="1227">
        <v>13981.902515018301</v>
      </c>
      <c r="AQ17" s="1227">
        <v>3917.2783411908299</v>
      </c>
      <c r="AR17" s="1227">
        <v>14312.0888882986</v>
      </c>
      <c r="AS17" s="1227">
        <v>3982.6817337431398</v>
      </c>
      <c r="AT17" s="1227">
        <v>14819.878188807301</v>
      </c>
      <c r="AU17" s="1227">
        <v>4237.9618005082702</v>
      </c>
      <c r="AV17" s="1227">
        <v>15096.9978198846</v>
      </c>
      <c r="AW17" s="1227">
        <v>4166.0642576252503</v>
      </c>
      <c r="AX17" s="1227">
        <v>15513.3312552484</v>
      </c>
      <c r="AY17" s="1227">
        <v>4168.5362413704497</v>
      </c>
      <c r="AZ17" s="1227">
        <v>15632.802635485399</v>
      </c>
      <c r="BA17" s="1227">
        <v>4171.4600931317</v>
      </c>
      <c r="BB17" s="1227">
        <v>15976.1859779693</v>
      </c>
      <c r="BC17" s="1227">
        <v>4191.5530531516497</v>
      </c>
      <c r="BD17" s="1227">
        <v>16350.004971193899</v>
      </c>
      <c r="BE17" s="1227">
        <v>4265.6826592771004</v>
      </c>
      <c r="BF17" s="1227">
        <v>16645.949912293701</v>
      </c>
      <c r="BG17" s="1227">
        <v>4203.5490774693799</v>
      </c>
      <c r="BH17" s="1227">
        <v>16884.754624875499</v>
      </c>
      <c r="BI17" s="1227">
        <v>4228.2849286144501</v>
      </c>
      <c r="BJ17" s="1227">
        <v>17103.493548439899</v>
      </c>
      <c r="BK17" s="1227">
        <v>4092.4707841783602</v>
      </c>
      <c r="BL17" s="1227">
        <v>17275.4025546542</v>
      </c>
      <c r="BM17" s="1227">
        <v>4097.5410064231701</v>
      </c>
      <c r="BN17" s="1227">
        <v>17473.671771883201</v>
      </c>
      <c r="BO17" s="1227">
        <v>4015.83180692528</v>
      </c>
      <c r="BP17" s="1227">
        <v>17990.405306113898</v>
      </c>
      <c r="BQ17" s="1227">
        <v>4094.7939151811302</v>
      </c>
      <c r="BR17" s="1227">
        <v>18285.463493976102</v>
      </c>
      <c r="BS17" s="1227">
        <v>4144.4771675657403</v>
      </c>
      <c r="BT17" s="1227">
        <v>18468.737293251299</v>
      </c>
      <c r="BU17" s="1227">
        <v>4011.4757032596599</v>
      </c>
      <c r="BV17" s="1227">
        <v>18435.584429086499</v>
      </c>
      <c r="BW17" s="1227">
        <v>3800.0454509188198</v>
      </c>
      <c r="BX17" s="1227">
        <v>18509.1168733866</v>
      </c>
      <c r="BY17" s="1227">
        <v>3831.5713736767998</v>
      </c>
      <c r="BZ17" s="1227">
        <v>18562.569709134899</v>
      </c>
      <c r="CA17" s="1227">
        <v>3785.8593275939902</v>
      </c>
      <c r="CB17" s="1227">
        <v>18843.455895081199</v>
      </c>
      <c r="CC17" s="1602">
        <v>3848.05368994126</v>
      </c>
      <c r="CD17" s="1602">
        <v>19166.2803088402</v>
      </c>
      <c r="CE17" s="1602">
        <v>3842.1612168301999</v>
      </c>
      <c r="CF17" s="1227">
        <v>19428.6266636732</v>
      </c>
      <c r="CG17" s="1602">
        <v>3860.2625505742199</v>
      </c>
      <c r="CH17" s="1602">
        <v>20062.405683247998</v>
      </c>
      <c r="CI17" s="1602">
        <v>4100.2065498304701</v>
      </c>
      <c r="CJ17" s="1602">
        <v>20117.331873204701</v>
      </c>
      <c r="CK17" s="1602">
        <v>3941.4657590729298</v>
      </c>
      <c r="CL17" s="1227">
        <v>20524.221290433499</v>
      </c>
      <c r="CM17" s="1602">
        <v>4000.0876958979202</v>
      </c>
      <c r="CN17" s="1602">
        <v>20987.315737669702</v>
      </c>
      <c r="CO17" s="1602">
        <v>4113.7583316062201</v>
      </c>
      <c r="CP17" s="1602">
        <v>21113.156420606101</v>
      </c>
      <c r="CQ17" s="1602">
        <v>4286.3869201132802</v>
      </c>
      <c r="CR17" s="1602">
        <v>21511.207849299499</v>
      </c>
      <c r="CS17" s="1602">
        <v>4290.8867962157901</v>
      </c>
      <c r="CT17" s="1227">
        <v>21844.6675658122</v>
      </c>
      <c r="CU17" s="1602">
        <v>4238.0806267847702</v>
      </c>
      <c r="CV17" s="1227">
        <v>22199.634900671299</v>
      </c>
      <c r="CW17" s="1602">
        <v>4552.1980730116502</v>
      </c>
      <c r="CX17" s="1227">
        <v>22448.8197676247</v>
      </c>
      <c r="CY17" s="1602">
        <v>4533.2188569985001</v>
      </c>
      <c r="CZ17" s="1225" t="s">
        <v>3669</v>
      </c>
    </row>
    <row r="18" spans="1:107" ht="21" customHeight="1">
      <c r="A18" s="1225" t="s">
        <v>2292</v>
      </c>
      <c r="B18" s="1227">
        <v>987.36059518219997</v>
      </c>
      <c r="C18" s="1227">
        <v>0</v>
      </c>
      <c r="D18" s="1227">
        <v>984.56140181066405</v>
      </c>
      <c r="E18" s="1227">
        <v>0</v>
      </c>
      <c r="F18" s="1227">
        <v>985.24260966300005</v>
      </c>
      <c r="G18" s="1227">
        <v>0</v>
      </c>
      <c r="H18" s="1227">
        <v>985.97731761950001</v>
      </c>
      <c r="I18" s="1227">
        <v>0</v>
      </c>
      <c r="J18" s="1227">
        <v>878.64424370760003</v>
      </c>
      <c r="K18" s="1227">
        <v>0</v>
      </c>
      <c r="L18" s="1227">
        <v>730.72212846970001</v>
      </c>
      <c r="M18" s="1227">
        <v>0</v>
      </c>
      <c r="N18" s="1227">
        <v>736.56234744999995</v>
      </c>
      <c r="O18" s="1227">
        <v>0</v>
      </c>
      <c r="P18" s="1227">
        <v>734.69590585540004</v>
      </c>
      <c r="Q18" s="1227">
        <v>0</v>
      </c>
      <c r="R18" s="1227">
        <v>732.58739179999998</v>
      </c>
      <c r="S18" s="1227">
        <v>0</v>
      </c>
      <c r="T18" s="1227">
        <v>731.78239412999994</v>
      </c>
      <c r="U18" s="1227">
        <v>0</v>
      </c>
      <c r="V18" s="1227">
        <v>737.10694173310003</v>
      </c>
      <c r="W18" s="1227">
        <v>0</v>
      </c>
      <c r="X18" s="1227">
        <v>740.89298027349605</v>
      </c>
      <c r="Y18" s="1227">
        <v>0</v>
      </c>
      <c r="Z18" s="1227">
        <v>741.40586125599998</v>
      </c>
      <c r="AA18" s="1227">
        <v>0</v>
      </c>
      <c r="AB18" s="1227">
        <v>736.69978213399997</v>
      </c>
      <c r="AC18" s="1227">
        <v>0</v>
      </c>
      <c r="AD18" s="1227">
        <v>739.42584847559999</v>
      </c>
      <c r="AE18" s="1227">
        <v>0</v>
      </c>
      <c r="AF18" s="1227">
        <v>737.50619250620002</v>
      </c>
      <c r="AG18" s="1227">
        <v>0</v>
      </c>
      <c r="AH18" s="1227">
        <v>740.15345294300005</v>
      </c>
      <c r="AI18" s="1227">
        <v>0</v>
      </c>
      <c r="AJ18" s="1227">
        <v>745.41227366999999</v>
      </c>
      <c r="AK18" s="1227">
        <v>0</v>
      </c>
      <c r="AL18" s="1227">
        <v>757.32569586572095</v>
      </c>
      <c r="AM18" s="1227">
        <v>0</v>
      </c>
      <c r="AN18" s="1227">
        <v>753.67448890169999</v>
      </c>
      <c r="AO18" s="1227">
        <v>0</v>
      </c>
      <c r="AP18" s="1227">
        <v>761.45348493999995</v>
      </c>
      <c r="AQ18" s="1227">
        <v>0</v>
      </c>
      <c r="AR18" s="1227">
        <v>765.69292516099995</v>
      </c>
      <c r="AS18" s="1227">
        <v>0</v>
      </c>
      <c r="AT18" s="1227">
        <v>764.62387394999996</v>
      </c>
      <c r="AU18" s="1227">
        <v>0</v>
      </c>
      <c r="AV18" s="1227">
        <v>763.7510644509</v>
      </c>
      <c r="AW18" s="1227">
        <v>0</v>
      </c>
      <c r="AX18" s="1227">
        <v>774.79322986299997</v>
      </c>
      <c r="AY18" s="1227">
        <v>0</v>
      </c>
      <c r="AZ18" s="1227">
        <v>772.93976327799999</v>
      </c>
      <c r="BA18" s="1227">
        <v>0</v>
      </c>
      <c r="BB18" s="1227">
        <v>780.77817801699996</v>
      </c>
      <c r="BC18" s="1227">
        <v>0</v>
      </c>
      <c r="BD18" s="1227">
        <v>781.32122232580002</v>
      </c>
      <c r="BE18" s="1227">
        <v>0</v>
      </c>
      <c r="BF18" s="1227">
        <v>781.70646635692299</v>
      </c>
      <c r="BG18" s="1227">
        <v>0</v>
      </c>
      <c r="BH18" s="1227">
        <v>782.7977226905</v>
      </c>
      <c r="BI18" s="1227">
        <v>0</v>
      </c>
      <c r="BJ18" s="1227">
        <v>785.41163827790001</v>
      </c>
      <c r="BK18" s="1227">
        <v>0</v>
      </c>
      <c r="BL18" s="1227">
        <v>784.06695910591202</v>
      </c>
      <c r="BM18" s="1227">
        <v>0</v>
      </c>
      <c r="BN18" s="1227">
        <v>786.95375922239998</v>
      </c>
      <c r="BO18" s="1227">
        <v>0</v>
      </c>
      <c r="BP18" s="1227">
        <v>792.01221928120003</v>
      </c>
      <c r="BQ18" s="1227">
        <v>0</v>
      </c>
      <c r="BR18" s="1227">
        <v>793.05651869634005</v>
      </c>
      <c r="BS18" s="1227">
        <v>0</v>
      </c>
      <c r="BT18" s="1227">
        <v>809.67860204258</v>
      </c>
      <c r="BU18" s="1227">
        <v>0</v>
      </c>
      <c r="BV18" s="1227">
        <v>812.64262287556005</v>
      </c>
      <c r="BW18" s="1227">
        <v>0</v>
      </c>
      <c r="BX18" s="1227">
        <v>810.66294384260505</v>
      </c>
      <c r="BY18" s="1227"/>
      <c r="BZ18" s="1227">
        <v>814.21814944744006</v>
      </c>
      <c r="CA18" s="1227"/>
      <c r="CB18" s="1227">
        <v>816.72999144578</v>
      </c>
      <c r="CC18" s="1602"/>
      <c r="CD18" s="1602">
        <v>814.80586888489995</v>
      </c>
      <c r="CE18" s="1602"/>
      <c r="CF18" s="1227">
        <v>826.83107294882996</v>
      </c>
      <c r="CG18" s="1602">
        <v>0</v>
      </c>
      <c r="CH18" s="1602">
        <v>820.90118034240004</v>
      </c>
      <c r="CI18" s="1602"/>
      <c r="CJ18" s="1602">
        <v>819.78602143361002</v>
      </c>
      <c r="CK18" s="1602"/>
      <c r="CL18" s="1227">
        <v>823.06132938335497</v>
      </c>
      <c r="CM18" s="1602"/>
      <c r="CN18" s="1602">
        <v>822.18144749149997</v>
      </c>
      <c r="CO18" s="1602"/>
      <c r="CP18" s="1602">
        <v>741.735732815495</v>
      </c>
      <c r="CQ18" s="1602"/>
      <c r="CR18" s="1602">
        <v>742.32263225949498</v>
      </c>
      <c r="CS18" s="1602"/>
      <c r="CT18" s="1227">
        <v>749.34262953958603</v>
      </c>
      <c r="CU18" s="1602"/>
      <c r="CV18" s="1227">
        <v>746.90482790999999</v>
      </c>
      <c r="CW18" s="1602"/>
      <c r="CX18" s="1227">
        <v>720.86274358872504</v>
      </c>
      <c r="CY18" s="1602"/>
      <c r="CZ18" s="1225" t="s">
        <v>3670</v>
      </c>
    </row>
    <row r="19" spans="1:107" ht="21" customHeight="1">
      <c r="A19" s="1225" t="s">
        <v>2291</v>
      </c>
      <c r="B19" s="1227">
        <v>167.768590749834</v>
      </c>
      <c r="C19" s="1227">
        <v>0</v>
      </c>
      <c r="D19" s="1227">
        <v>166.25573933370401</v>
      </c>
      <c r="E19" s="1227">
        <v>0</v>
      </c>
      <c r="F19" s="1227">
        <v>165.20179726624201</v>
      </c>
      <c r="G19" s="1227">
        <v>0</v>
      </c>
      <c r="H19" s="1227">
        <v>165.25849240713799</v>
      </c>
      <c r="I19" s="1227">
        <v>0</v>
      </c>
      <c r="J19" s="1227">
        <v>160.057844999461</v>
      </c>
      <c r="K19" s="1227">
        <v>0</v>
      </c>
      <c r="L19" s="1227">
        <v>146.97498478871199</v>
      </c>
      <c r="M19" s="1227">
        <v>0</v>
      </c>
      <c r="N19" s="1227">
        <v>130.77730252773799</v>
      </c>
      <c r="O19" s="1227">
        <v>0</v>
      </c>
      <c r="P19" s="1227">
        <v>130.629067570373</v>
      </c>
      <c r="Q19" s="1227">
        <v>0</v>
      </c>
      <c r="R19" s="1227">
        <v>129.99666467599999</v>
      </c>
      <c r="S19" s="1227">
        <v>11.2878753549995</v>
      </c>
      <c r="T19" s="1227">
        <v>132.85629335482301</v>
      </c>
      <c r="U19" s="1227">
        <v>0</v>
      </c>
      <c r="V19" s="1227">
        <v>135.34661978850201</v>
      </c>
      <c r="W19" s="1227">
        <v>0</v>
      </c>
      <c r="X19" s="1227">
        <v>133.723627897874</v>
      </c>
      <c r="Y19" s="1227">
        <v>0</v>
      </c>
      <c r="Z19" s="1227">
        <v>146.360106886572</v>
      </c>
      <c r="AA19" s="1227">
        <v>0</v>
      </c>
      <c r="AB19" s="1227">
        <v>147.34566323111699</v>
      </c>
      <c r="AC19" s="1227">
        <v>0</v>
      </c>
      <c r="AD19" s="1227">
        <v>146.188425163853</v>
      </c>
      <c r="AE19" s="1227">
        <v>0</v>
      </c>
      <c r="AF19" s="1227">
        <v>146.13858530850101</v>
      </c>
      <c r="AG19" s="1227">
        <v>0</v>
      </c>
      <c r="AH19" s="1227">
        <v>149.33572174474301</v>
      </c>
      <c r="AI19" s="1227">
        <v>0</v>
      </c>
      <c r="AJ19" s="1227">
        <v>149.27212675000001</v>
      </c>
      <c r="AK19" s="1227">
        <v>0</v>
      </c>
      <c r="AL19" s="1227">
        <v>148.47907741599701</v>
      </c>
      <c r="AM19" s="1227">
        <v>0</v>
      </c>
      <c r="AN19" s="1227">
        <v>146.86446055851499</v>
      </c>
      <c r="AO19" s="1227">
        <v>0</v>
      </c>
      <c r="AP19" s="1227">
        <v>150.17044832011899</v>
      </c>
      <c r="AQ19" s="1227">
        <v>0</v>
      </c>
      <c r="AR19" s="1227">
        <v>150.441849658492</v>
      </c>
      <c r="AS19" s="1227">
        <v>0</v>
      </c>
      <c r="AT19" s="1227">
        <v>149.829109145377</v>
      </c>
      <c r="AU19" s="1227">
        <v>0</v>
      </c>
      <c r="AV19" s="1227">
        <v>151.011153722459</v>
      </c>
      <c r="AW19" s="1227">
        <v>0</v>
      </c>
      <c r="AX19" s="1227">
        <v>154.90288136132</v>
      </c>
      <c r="AY19" s="1227">
        <v>0</v>
      </c>
      <c r="AZ19" s="1227">
        <v>152.83626966211</v>
      </c>
      <c r="BA19" s="1227">
        <v>9.6080854799999997</v>
      </c>
      <c r="BB19" s="1227">
        <v>150.82991383155101</v>
      </c>
      <c r="BC19" s="1227">
        <v>9.3835297900000008</v>
      </c>
      <c r="BD19" s="1227">
        <v>149.045258658298</v>
      </c>
      <c r="BE19" s="1227">
        <v>9.3374711999999995</v>
      </c>
      <c r="BF19" s="1227">
        <v>147.88058556452501</v>
      </c>
      <c r="BG19" s="1227">
        <v>0</v>
      </c>
      <c r="BH19" s="1227">
        <v>145.622181519782</v>
      </c>
      <c r="BI19" s="1227">
        <v>0</v>
      </c>
      <c r="BJ19" s="1227">
        <v>144.08006700823901</v>
      </c>
      <c r="BK19" s="1227">
        <v>0</v>
      </c>
      <c r="BL19" s="1227">
        <v>150.27255581724401</v>
      </c>
      <c r="BM19" s="1227">
        <v>0</v>
      </c>
      <c r="BN19" s="1227">
        <v>149.00737794762099</v>
      </c>
      <c r="BO19" s="1227">
        <v>0</v>
      </c>
      <c r="BP19" s="1227">
        <v>148.71786166836401</v>
      </c>
      <c r="BQ19" s="1227">
        <v>0</v>
      </c>
      <c r="BR19" s="1227">
        <v>147.025055686949</v>
      </c>
      <c r="BS19" s="1227">
        <v>0</v>
      </c>
      <c r="BT19" s="1227">
        <v>146.78168935981199</v>
      </c>
      <c r="BU19" s="1227">
        <v>0</v>
      </c>
      <c r="BV19" s="1227">
        <v>152.27937762449201</v>
      </c>
      <c r="BW19" s="1227">
        <v>0</v>
      </c>
      <c r="BX19" s="1227">
        <v>150.04970461488199</v>
      </c>
      <c r="BY19" s="1227">
        <v>0</v>
      </c>
      <c r="BZ19" s="1227">
        <v>149.27340958999801</v>
      </c>
      <c r="CA19" s="1227">
        <v>0</v>
      </c>
      <c r="CB19" s="1227">
        <v>147.39294702798</v>
      </c>
      <c r="CC19" s="1602">
        <v>0</v>
      </c>
      <c r="CD19" s="1602">
        <v>145.77256479243999</v>
      </c>
      <c r="CE19" s="1602">
        <v>0</v>
      </c>
      <c r="CF19" s="1227">
        <v>144.32286195246999</v>
      </c>
      <c r="CG19" s="1602">
        <v>0</v>
      </c>
      <c r="CH19" s="1602">
        <v>142.882607445872</v>
      </c>
      <c r="CI19" s="1602">
        <v>0</v>
      </c>
      <c r="CJ19" s="1602">
        <v>143.763722762502</v>
      </c>
      <c r="CK19" s="1602">
        <v>0</v>
      </c>
      <c r="CL19" s="1227">
        <v>142.86717506340099</v>
      </c>
      <c r="CM19" s="1602">
        <v>0</v>
      </c>
      <c r="CN19" s="1602">
        <v>142.784406937992</v>
      </c>
      <c r="CO19" s="1602">
        <v>0</v>
      </c>
      <c r="CP19" s="1602">
        <v>145.26508303250401</v>
      </c>
      <c r="CQ19" s="1602">
        <v>0</v>
      </c>
      <c r="CR19" s="1602">
        <v>147.44655010613599</v>
      </c>
      <c r="CS19" s="1602">
        <v>0</v>
      </c>
      <c r="CT19" s="1227">
        <v>152.38937225000001</v>
      </c>
      <c r="CU19" s="1602">
        <v>0</v>
      </c>
      <c r="CV19" s="1227">
        <v>151.45493726790801</v>
      </c>
      <c r="CW19" s="1602">
        <v>0</v>
      </c>
      <c r="CX19" s="1227">
        <v>149.13613835500399</v>
      </c>
      <c r="CY19" s="1602">
        <v>0</v>
      </c>
      <c r="CZ19" s="1225" t="s">
        <v>3671</v>
      </c>
    </row>
    <row r="20" spans="1:107" ht="21" customHeight="1" thickBot="1">
      <c r="A20" s="1228" t="s">
        <v>2290</v>
      </c>
      <c r="B20" s="1229">
        <v>1630.3428095235072</v>
      </c>
      <c r="C20" s="1229">
        <v>555.85891563069504</v>
      </c>
      <c r="D20" s="1229">
        <v>1925.73396181516</v>
      </c>
      <c r="E20" s="1229">
        <v>718.08271804040294</v>
      </c>
      <c r="F20" s="1229">
        <v>2020.3606786126302</v>
      </c>
      <c r="G20" s="1229">
        <v>806.06588651974198</v>
      </c>
      <c r="H20" s="1229">
        <v>1720.7767657633701</v>
      </c>
      <c r="I20" s="1229">
        <v>508.165106082242</v>
      </c>
      <c r="J20" s="1229">
        <v>1213.3147520919881</v>
      </c>
      <c r="K20" s="1229">
        <v>96.614264746660979</v>
      </c>
      <c r="L20" s="1229">
        <v>1482.1102937704302</v>
      </c>
      <c r="M20" s="1229">
        <v>65.877058466994995</v>
      </c>
      <c r="N20" s="1229">
        <v>1467.09546851351</v>
      </c>
      <c r="O20" s="1229">
        <v>201.19833495928108</v>
      </c>
      <c r="P20" s="1229">
        <v>1864.5368909217</v>
      </c>
      <c r="Q20" s="1229">
        <v>510.39888618901398</v>
      </c>
      <c r="R20" s="1229">
        <v>1887.90846643399</v>
      </c>
      <c r="S20" s="1229">
        <v>510.67839442422996</v>
      </c>
      <c r="T20" s="1229">
        <v>1889.1011301616827</v>
      </c>
      <c r="U20" s="1229">
        <v>697.57115980768697</v>
      </c>
      <c r="V20" s="1229">
        <v>1381.1988445282079</v>
      </c>
      <c r="W20" s="1229">
        <v>108.509446278197</v>
      </c>
      <c r="X20" s="1229">
        <v>1518.8392359343002</v>
      </c>
      <c r="Y20" s="1229">
        <v>122.38861225561203</v>
      </c>
      <c r="Z20" s="1229">
        <v>1314.710633445191</v>
      </c>
      <c r="AA20" s="1229">
        <v>91.508087302832024</v>
      </c>
      <c r="AB20" s="1229">
        <v>1426.0154839193631</v>
      </c>
      <c r="AC20" s="1229">
        <v>143.44240452723801</v>
      </c>
      <c r="AD20" s="1229">
        <v>1770.482284936525</v>
      </c>
      <c r="AE20" s="1229">
        <v>400.91171106124705</v>
      </c>
      <c r="AF20" s="1229">
        <v>1822.3671662176912</v>
      </c>
      <c r="AG20" s="1229">
        <v>470.25462671528004</v>
      </c>
      <c r="AH20" s="1229">
        <v>1821.296717086072</v>
      </c>
      <c r="AI20" s="1229">
        <v>357.86892044115802</v>
      </c>
      <c r="AJ20" s="1229">
        <v>2006.44840960997</v>
      </c>
      <c r="AK20" s="1229">
        <v>220.672778855416</v>
      </c>
      <c r="AL20" s="1229">
        <v>1692.5744383153242</v>
      </c>
      <c r="AM20" s="1229">
        <v>272.13289177187505</v>
      </c>
      <c r="AN20" s="1229">
        <v>2069.0471946356001</v>
      </c>
      <c r="AO20" s="1229">
        <v>419.71128214723501</v>
      </c>
      <c r="AP20" s="1229">
        <v>1580.31954298662</v>
      </c>
      <c r="AQ20" s="1229">
        <v>103.948251919618</v>
      </c>
      <c r="AR20" s="1229">
        <v>1601.0581881173248</v>
      </c>
      <c r="AS20" s="1229">
        <v>154.03142847996401</v>
      </c>
      <c r="AT20" s="1229">
        <v>1776.04093342329</v>
      </c>
      <c r="AU20" s="1229">
        <v>442.70366575240706</v>
      </c>
      <c r="AV20" s="1229">
        <v>1706.0481858599819</v>
      </c>
      <c r="AW20" s="1229">
        <v>359.86856623459397</v>
      </c>
      <c r="AX20" s="1229">
        <v>1324.2799281068237</v>
      </c>
      <c r="AY20" s="1229">
        <v>109.61402381053801</v>
      </c>
      <c r="AZ20" s="1229">
        <v>1969.3291022200999</v>
      </c>
      <c r="BA20" s="1229">
        <v>590.16851063183503</v>
      </c>
      <c r="BB20" s="1229">
        <v>2098.8693365891809</v>
      </c>
      <c r="BC20" s="1229">
        <v>485.79369038068893</v>
      </c>
      <c r="BD20" s="1229">
        <v>1624.1203213206359</v>
      </c>
      <c r="BE20" s="1229">
        <v>329.34814933408398</v>
      </c>
      <c r="BF20" s="1229">
        <v>1869.7243989802996</v>
      </c>
      <c r="BG20" s="1229">
        <v>541.59656813187701</v>
      </c>
      <c r="BH20" s="1229">
        <v>2303.3531646416</v>
      </c>
      <c r="BI20" s="1229">
        <v>704.16704098980108</v>
      </c>
      <c r="BJ20" s="1229">
        <v>2487.8872879404298</v>
      </c>
      <c r="BK20" s="1229">
        <v>803.58318896670698</v>
      </c>
      <c r="BL20" s="1229">
        <v>2395.9462816404903</v>
      </c>
      <c r="BM20" s="1229">
        <v>982.24027924254005</v>
      </c>
      <c r="BN20" s="1229">
        <v>2456.0453059292199</v>
      </c>
      <c r="BO20" s="1229">
        <v>1008.347012172157</v>
      </c>
      <c r="BP20" s="1229">
        <v>2361.4599099124198</v>
      </c>
      <c r="BQ20" s="1229">
        <v>753.62473671915495</v>
      </c>
      <c r="BR20" s="1229">
        <v>2850.5401410037398</v>
      </c>
      <c r="BS20" s="1229">
        <v>892.18237161351908</v>
      </c>
      <c r="BT20" s="1229">
        <v>3114.8577947291901</v>
      </c>
      <c r="BU20" s="1229">
        <v>1308.1810151696791</v>
      </c>
      <c r="BV20" s="1229">
        <v>2546.7639805048502</v>
      </c>
      <c r="BW20" s="1229">
        <v>725.08887332853305</v>
      </c>
      <c r="BX20" s="1229">
        <v>3384.9115863929401</v>
      </c>
      <c r="BY20" s="1229">
        <v>1650.0258984999</v>
      </c>
      <c r="BZ20" s="1229">
        <v>3847.9038144170299</v>
      </c>
      <c r="CA20" s="1229">
        <v>2066.9991791125299</v>
      </c>
      <c r="CB20" s="1229">
        <v>3846.512592086</v>
      </c>
      <c r="CC20" s="1603">
        <v>2124.7467501808701</v>
      </c>
      <c r="CD20" s="1603">
        <v>4154.2345938428898</v>
      </c>
      <c r="CE20" s="1603">
        <v>2313.7052064958798</v>
      </c>
      <c r="CF20" s="1229">
        <v>4461.52094298461</v>
      </c>
      <c r="CG20" s="1603">
        <v>2428.17074734378</v>
      </c>
      <c r="CH20" s="1603">
        <v>3860.4160528131401</v>
      </c>
      <c r="CI20" s="1603">
        <v>2056.4570320817102</v>
      </c>
      <c r="CJ20" s="1603">
        <v>4368.0230086539004</v>
      </c>
      <c r="CK20" s="1603">
        <v>2030.5273133875901</v>
      </c>
      <c r="CL20" s="1229">
        <v>4436.1770522061097</v>
      </c>
      <c r="CM20" s="1603">
        <v>1840.58837840715</v>
      </c>
      <c r="CN20" s="1603">
        <v>4171.7382755536401</v>
      </c>
      <c r="CO20" s="1603">
        <v>1234.2183073894</v>
      </c>
      <c r="CP20" s="1603">
        <v>4704.8505909799496</v>
      </c>
      <c r="CQ20" s="1603">
        <v>1375.26549302838</v>
      </c>
      <c r="CR20" s="1603">
        <v>5077.13327947179</v>
      </c>
      <c r="CS20" s="1603">
        <v>1351.72306806542</v>
      </c>
      <c r="CT20" s="1229">
        <v>4399.0734454433596</v>
      </c>
      <c r="CU20" s="1603">
        <v>1646.34269082739</v>
      </c>
      <c r="CV20" s="1229">
        <v>4753.0468522347901</v>
      </c>
      <c r="CW20" s="1603">
        <v>1814.39588750078</v>
      </c>
      <c r="CX20" s="1229">
        <v>4206.4784198423504</v>
      </c>
      <c r="CY20" s="1603">
        <v>1521.5622423831201</v>
      </c>
      <c r="CZ20" s="1228" t="s">
        <v>3672</v>
      </c>
    </row>
    <row r="21" spans="1:107" ht="21" customHeight="1" thickBot="1">
      <c r="A21" s="1230" t="s">
        <v>2289</v>
      </c>
      <c r="B21" s="1231">
        <v>32722.7715977398</v>
      </c>
      <c r="C21" s="1231">
        <v>14414.970757412901</v>
      </c>
      <c r="D21" s="1231">
        <v>32863.227780295201</v>
      </c>
      <c r="E21" s="1231">
        <v>14496.9450452005</v>
      </c>
      <c r="F21" s="1231">
        <v>33195.901429616199</v>
      </c>
      <c r="G21" s="1231">
        <v>14453.4468035061</v>
      </c>
      <c r="H21" s="1231">
        <v>32218.908868476301</v>
      </c>
      <c r="I21" s="1231">
        <v>14502.455609077</v>
      </c>
      <c r="J21" s="1231">
        <v>31272.782507934098</v>
      </c>
      <c r="K21" s="1231">
        <v>13964.890086232799</v>
      </c>
      <c r="L21" s="1231">
        <v>31260.790089749298</v>
      </c>
      <c r="M21" s="1231">
        <v>13936.5845013494</v>
      </c>
      <c r="N21" s="1231">
        <v>30541.031249233201</v>
      </c>
      <c r="O21" s="1231">
        <v>13296.2682099225</v>
      </c>
      <c r="P21" s="1231">
        <v>30503.466040593601</v>
      </c>
      <c r="Q21" s="1231">
        <v>13081.1941332431</v>
      </c>
      <c r="R21" s="1231">
        <v>31065.933888842599</v>
      </c>
      <c r="S21" s="1231">
        <v>13403.720153510099</v>
      </c>
      <c r="T21" s="1231">
        <v>30618.9290287773</v>
      </c>
      <c r="U21" s="1231">
        <v>12394.782564631099</v>
      </c>
      <c r="V21" s="1231">
        <v>30685.092057285299</v>
      </c>
      <c r="W21" s="1231">
        <v>12354.550465365801</v>
      </c>
      <c r="X21" s="1231">
        <v>30742.970919662701</v>
      </c>
      <c r="Y21" s="1231">
        <v>12640.004444967501</v>
      </c>
      <c r="Z21" s="1231">
        <v>32055.309258092399</v>
      </c>
      <c r="AA21" s="1231">
        <v>12954.4190992485</v>
      </c>
      <c r="AB21" s="1231">
        <v>31944.817244463298</v>
      </c>
      <c r="AC21" s="1231">
        <v>13033.4587559256</v>
      </c>
      <c r="AD21" s="1231">
        <v>32203.4462034883</v>
      </c>
      <c r="AE21" s="1231">
        <v>13112.6735338001</v>
      </c>
      <c r="AF21" s="1231">
        <v>32521.404198268199</v>
      </c>
      <c r="AG21" s="1231">
        <v>13069.0656738747</v>
      </c>
      <c r="AH21" s="1231">
        <v>32796.6888263289</v>
      </c>
      <c r="AI21" s="1231">
        <v>13002.5601498455</v>
      </c>
      <c r="AJ21" s="1231">
        <v>33810.727473174302</v>
      </c>
      <c r="AK21" s="1231">
        <v>13301.0374251223</v>
      </c>
      <c r="AL21" s="1231">
        <v>33069.857593718902</v>
      </c>
      <c r="AM21" s="1231">
        <v>12729.586867423601</v>
      </c>
      <c r="AN21" s="1231">
        <v>33668.131007581098</v>
      </c>
      <c r="AO21" s="1231">
        <v>13208.216768565901</v>
      </c>
      <c r="AP21" s="1231">
        <v>33426.7443815316</v>
      </c>
      <c r="AQ21" s="1231">
        <v>12876.9449626069</v>
      </c>
      <c r="AR21" s="1231">
        <v>34526.541956258297</v>
      </c>
      <c r="AS21" s="1231">
        <v>13428.8078828334</v>
      </c>
      <c r="AT21" s="1231">
        <v>34963.554086618802</v>
      </c>
      <c r="AU21" s="1231">
        <v>13715.330100581699</v>
      </c>
      <c r="AV21" s="1231">
        <v>35604.461453450996</v>
      </c>
      <c r="AW21" s="1231">
        <v>14058.2874493011</v>
      </c>
      <c r="AX21" s="1231">
        <v>38462.211941057802</v>
      </c>
      <c r="AY21" s="1231">
        <v>15160.1225547493</v>
      </c>
      <c r="AZ21" s="1231">
        <v>37982.260347163297</v>
      </c>
      <c r="BA21" s="1231">
        <v>15074.0944965568</v>
      </c>
      <c r="BB21" s="1231">
        <v>38483.425064277799</v>
      </c>
      <c r="BC21" s="1231">
        <v>14936.7264888476</v>
      </c>
      <c r="BD21" s="1231">
        <v>39673.238268746303</v>
      </c>
      <c r="BE21" s="1231">
        <v>15825.8699171014</v>
      </c>
      <c r="BF21" s="1231">
        <v>40149.084618708599</v>
      </c>
      <c r="BG21" s="1231">
        <v>16058.6155797547</v>
      </c>
      <c r="BH21" s="1231">
        <v>41371.5485903351</v>
      </c>
      <c r="BI21" s="1231">
        <v>16967.565977729901</v>
      </c>
      <c r="BJ21" s="1231">
        <v>41920.128072595697</v>
      </c>
      <c r="BK21" s="1231">
        <v>16786.720219585401</v>
      </c>
      <c r="BL21" s="1231">
        <v>41589.734235009797</v>
      </c>
      <c r="BM21" s="1231">
        <v>17370.2725547806</v>
      </c>
      <c r="BN21" s="1231">
        <v>42404.660369537502</v>
      </c>
      <c r="BO21" s="1231">
        <v>17314.500129497999</v>
      </c>
      <c r="BP21" s="1231">
        <v>43633.385177794204</v>
      </c>
      <c r="BQ21" s="1231">
        <v>17782.770344418201</v>
      </c>
      <c r="BR21" s="1231">
        <v>44660.662882586701</v>
      </c>
      <c r="BS21" s="1231">
        <v>17774.5589931348</v>
      </c>
      <c r="BT21" s="1231">
        <v>45490.196201576502</v>
      </c>
      <c r="BU21" s="1231">
        <v>18164.717006193001</v>
      </c>
      <c r="BV21" s="1231">
        <v>47054.924150291597</v>
      </c>
      <c r="BW21" s="1231">
        <v>19064.628695592801</v>
      </c>
      <c r="BX21" s="1231">
        <v>45861.926241123198</v>
      </c>
      <c r="BY21" s="1231">
        <v>18216.232575845199</v>
      </c>
      <c r="BZ21" s="1231">
        <v>45708.5899215561</v>
      </c>
      <c r="CA21" s="1231">
        <v>17672.247945139301</v>
      </c>
      <c r="CB21" s="1231">
        <v>44843.205755130803</v>
      </c>
      <c r="CC21" s="1604">
        <v>16870.602642416099</v>
      </c>
      <c r="CD21" s="1604">
        <v>45582.651149420002</v>
      </c>
      <c r="CE21" s="1604">
        <v>17316.540197096299</v>
      </c>
      <c r="CF21" s="1231">
        <v>45921.778460522102</v>
      </c>
      <c r="CG21" s="1604">
        <v>17398.4571641863</v>
      </c>
      <c r="CH21" s="1604">
        <v>45218.267243912698</v>
      </c>
      <c r="CI21" s="1604">
        <v>16218.748110373001</v>
      </c>
      <c r="CJ21" s="1604">
        <v>44880.3317052614</v>
      </c>
      <c r="CK21" s="1604">
        <v>14984.733036395801</v>
      </c>
      <c r="CL21" s="1231">
        <v>45358.686479888704</v>
      </c>
      <c r="CM21" s="1604">
        <v>14810.683623777801</v>
      </c>
      <c r="CN21" s="1604">
        <v>45530.499721911001</v>
      </c>
      <c r="CO21" s="1604">
        <v>14548.7141524483</v>
      </c>
      <c r="CP21" s="1604">
        <v>46146.565306835597</v>
      </c>
      <c r="CQ21" s="1604">
        <v>15136.4200942961</v>
      </c>
      <c r="CR21" s="1604">
        <v>46172.478034141503</v>
      </c>
      <c r="CS21" s="1604">
        <v>14698.8282644139</v>
      </c>
      <c r="CT21" s="1231">
        <v>49178.196218153098</v>
      </c>
      <c r="CU21" s="1604">
        <v>16552.3832110728</v>
      </c>
      <c r="CV21" s="1231">
        <v>49296.7716533243</v>
      </c>
      <c r="CW21" s="1604">
        <v>16613.454465425701</v>
      </c>
      <c r="CX21" s="1231">
        <v>48735.6783047223</v>
      </c>
      <c r="CY21" s="1604">
        <v>16169.177976425301</v>
      </c>
      <c r="CZ21" s="1230" t="s">
        <v>3673</v>
      </c>
      <c r="DB21" s="1222"/>
    </row>
    <row r="22" spans="1:107" ht="16.2" customHeight="1">
      <c r="A22" s="1595"/>
      <c r="B22" s="1596"/>
      <c r="C22" s="1596"/>
      <c r="D22" s="1596"/>
      <c r="E22" s="1596"/>
      <c r="F22" s="1596"/>
      <c r="G22" s="1596"/>
      <c r="H22" s="1596"/>
      <c r="I22" s="1596"/>
      <c r="J22" s="1596"/>
      <c r="K22" s="1596"/>
      <c r="L22" s="1596"/>
      <c r="M22" s="1596"/>
      <c r="N22" s="1596"/>
      <c r="O22" s="1596"/>
      <c r="P22" s="1596"/>
      <c r="Q22" s="1596"/>
      <c r="R22" s="1596"/>
      <c r="S22" s="1596"/>
      <c r="T22" s="1596"/>
      <c r="U22" s="1596"/>
      <c r="V22" s="1596"/>
      <c r="W22" s="1596"/>
      <c r="X22" s="1596"/>
      <c r="Y22" s="1596"/>
      <c r="Z22" s="1596"/>
      <c r="AA22" s="1596"/>
      <c r="AB22" s="1596"/>
      <c r="AC22" s="1596"/>
      <c r="AD22" s="1596"/>
      <c r="AE22" s="1596"/>
      <c r="AF22" s="1596"/>
      <c r="AG22" s="1596"/>
      <c r="AH22" s="1596"/>
      <c r="AI22" s="1596"/>
      <c r="AJ22" s="1596"/>
      <c r="AK22" s="1596"/>
      <c r="AL22" s="1596"/>
      <c r="AM22" s="1596"/>
      <c r="AN22" s="1596"/>
      <c r="AO22" s="1596"/>
      <c r="AP22" s="1596"/>
      <c r="AQ22" s="1596"/>
      <c r="AR22" s="1596"/>
      <c r="AS22" s="1596"/>
      <c r="AT22" s="1596"/>
      <c r="AU22" s="1596"/>
      <c r="AV22" s="1596"/>
      <c r="AW22" s="1596"/>
      <c r="AX22" s="1596"/>
      <c r="AY22" s="1596"/>
      <c r="AZ22" s="1596"/>
      <c r="BA22" s="1596"/>
      <c r="BB22" s="1596"/>
      <c r="BC22" s="1596"/>
      <c r="BD22" s="1596"/>
      <c r="BE22" s="1596"/>
      <c r="BF22" s="1596"/>
      <c r="BG22" s="1596"/>
      <c r="BH22" s="1596"/>
      <c r="BI22" s="1596"/>
      <c r="BJ22" s="1596"/>
      <c r="BK22" s="1596"/>
      <c r="BL22" s="1596"/>
      <c r="BM22" s="1596"/>
      <c r="BN22" s="1596"/>
      <c r="BO22" s="1596"/>
      <c r="BP22" s="1596"/>
      <c r="BQ22" s="1596"/>
      <c r="BR22" s="1596"/>
      <c r="BS22" s="1596"/>
      <c r="BT22" s="1596"/>
      <c r="BU22" s="1596"/>
      <c r="BV22" s="1596"/>
      <c r="BW22" s="1596"/>
      <c r="BX22" s="1596"/>
      <c r="BY22" s="1596"/>
      <c r="BZ22" s="1596"/>
      <c r="CA22" s="1596"/>
      <c r="CB22" s="1596"/>
      <c r="CC22" s="1596"/>
      <c r="CD22" s="1596"/>
      <c r="CE22" s="1596"/>
      <c r="CF22" s="1596"/>
      <c r="CG22" s="1596"/>
      <c r="CH22" s="1596"/>
      <c r="CI22" s="1596"/>
      <c r="CJ22" s="1596"/>
      <c r="CK22" s="1596"/>
      <c r="CL22" s="1596"/>
      <c r="CM22" s="1596"/>
      <c r="CN22" s="1596"/>
      <c r="CO22" s="1596"/>
      <c r="CP22" s="1596"/>
      <c r="CQ22" s="1596"/>
      <c r="CR22" s="1596"/>
      <c r="CS22" s="1596"/>
      <c r="CT22" s="1596"/>
      <c r="CU22" s="1596"/>
      <c r="CV22" s="1596"/>
      <c r="CW22" s="1596"/>
      <c r="CX22" s="1596"/>
      <c r="CY22" s="1596"/>
      <c r="CZ22" s="1596"/>
    </row>
    <row r="23" spans="1:107" ht="16.2" customHeight="1" thickBot="1">
      <c r="A23" s="2803"/>
      <c r="B23" s="2804"/>
      <c r="C23" s="2804"/>
      <c r="D23" s="2804"/>
      <c r="E23" s="2804"/>
      <c r="F23" s="2804"/>
      <c r="G23" s="2804"/>
      <c r="H23" s="2804"/>
      <c r="I23" s="2804"/>
      <c r="J23" s="2804"/>
      <c r="K23" s="2804"/>
      <c r="L23" s="2804"/>
      <c r="M23" s="2804"/>
      <c r="N23" s="2804"/>
      <c r="O23" s="2804"/>
      <c r="P23" s="2804"/>
      <c r="Q23" s="2804"/>
      <c r="R23" s="2804"/>
      <c r="S23" s="2804"/>
      <c r="T23" s="2804"/>
      <c r="U23" s="2804"/>
      <c r="V23" s="2804"/>
      <c r="W23" s="2804"/>
      <c r="X23" s="2804"/>
      <c r="Y23" s="2804"/>
      <c r="Z23" s="2804"/>
      <c r="AA23" s="2804"/>
      <c r="AB23" s="2804"/>
      <c r="AC23" s="2804"/>
      <c r="AD23" s="2804"/>
      <c r="AE23" s="2804"/>
      <c r="AF23" s="2804"/>
      <c r="AG23" s="2804"/>
      <c r="AH23" s="2804"/>
      <c r="AI23" s="2804"/>
      <c r="AJ23" s="2804"/>
      <c r="AK23" s="2804"/>
      <c r="AL23" s="2804"/>
      <c r="AM23" s="2804"/>
      <c r="AN23" s="2804"/>
      <c r="AO23" s="2804"/>
      <c r="AP23" s="2804"/>
      <c r="AQ23" s="2804"/>
      <c r="AR23" s="2804"/>
      <c r="AS23" s="2804"/>
      <c r="AT23" s="2804"/>
      <c r="AU23" s="2804"/>
      <c r="AV23" s="2804"/>
      <c r="AW23" s="2804"/>
      <c r="AX23" s="2804"/>
      <c r="AY23" s="2804"/>
      <c r="AZ23" s="2804"/>
      <c r="BA23" s="2804"/>
      <c r="BB23" s="2804"/>
      <c r="BC23" s="2804"/>
      <c r="BD23" s="2804"/>
      <c r="BE23" s="2804"/>
      <c r="BF23" s="2804"/>
      <c r="BG23" s="2804"/>
      <c r="BH23" s="2804"/>
      <c r="BI23" s="2804"/>
      <c r="BJ23" s="2804"/>
      <c r="BK23" s="2804"/>
      <c r="BL23" s="2804"/>
      <c r="BM23" s="2804"/>
      <c r="BN23" s="2804"/>
      <c r="BO23" s="2804"/>
      <c r="BP23" s="2804"/>
      <c r="BQ23" s="2804"/>
      <c r="BR23" s="2804"/>
      <c r="BS23" s="2804"/>
      <c r="BT23" s="2804"/>
      <c r="BU23" s="2804"/>
      <c r="BV23" s="2804"/>
      <c r="BW23" s="2804"/>
      <c r="BX23" s="2804"/>
      <c r="BY23" s="2804"/>
      <c r="BZ23" s="2804"/>
      <c r="CA23" s="2804"/>
      <c r="CB23" s="2804"/>
      <c r="CC23" s="2804"/>
      <c r="CD23" s="2804"/>
      <c r="CE23" s="2804"/>
      <c r="CF23" s="2804"/>
      <c r="CG23" s="2804"/>
      <c r="CH23" s="2804"/>
      <c r="CI23" s="2804"/>
      <c r="CJ23" s="2804"/>
      <c r="CK23" s="2804"/>
      <c r="CL23" s="2804"/>
      <c r="CM23" s="2804"/>
      <c r="CN23" s="2804"/>
      <c r="CO23" s="2804"/>
      <c r="CP23" s="2804"/>
      <c r="CQ23" s="2804"/>
      <c r="CR23" s="2804"/>
      <c r="CS23" s="2804"/>
      <c r="CT23" s="2804"/>
      <c r="CU23" s="2804"/>
      <c r="CV23" s="2804"/>
      <c r="CW23" s="2804"/>
      <c r="CX23" s="2804"/>
      <c r="CY23" s="2804"/>
      <c r="CZ23" s="2804"/>
    </row>
    <row r="24" spans="1:107" s="1223" customFormat="1" ht="26.25" customHeight="1" thickBot="1">
      <c r="A24" s="2799" t="s">
        <v>2288</v>
      </c>
      <c r="B24" s="2811">
        <v>43830</v>
      </c>
      <c r="C24" s="2808"/>
      <c r="D24" s="2807">
        <v>43861</v>
      </c>
      <c r="E24" s="2808"/>
      <c r="F24" s="2807">
        <v>43890</v>
      </c>
      <c r="G24" s="2808"/>
      <c r="H24" s="2807">
        <v>43921</v>
      </c>
      <c r="I24" s="2808"/>
      <c r="J24" s="2807">
        <v>43951</v>
      </c>
      <c r="K24" s="2808"/>
      <c r="L24" s="2807">
        <v>43982</v>
      </c>
      <c r="M24" s="2808"/>
      <c r="N24" s="2791">
        <v>44012</v>
      </c>
      <c r="O24" s="2793"/>
      <c r="P24" s="2791">
        <v>44043</v>
      </c>
      <c r="Q24" s="2793"/>
      <c r="R24" s="2791">
        <v>44074</v>
      </c>
      <c r="S24" s="2793"/>
      <c r="T24" s="2791">
        <v>44104</v>
      </c>
      <c r="U24" s="2793"/>
      <c r="V24" s="2791">
        <v>44135</v>
      </c>
      <c r="W24" s="2793"/>
      <c r="X24" s="2791">
        <v>44165</v>
      </c>
      <c r="Y24" s="2793"/>
      <c r="Z24" s="2791">
        <v>44196</v>
      </c>
      <c r="AA24" s="2793"/>
      <c r="AB24" s="2791">
        <v>44227</v>
      </c>
      <c r="AC24" s="2793"/>
      <c r="AD24" s="2791">
        <v>44255</v>
      </c>
      <c r="AE24" s="2793"/>
      <c r="AF24" s="2791">
        <v>44286</v>
      </c>
      <c r="AG24" s="2793"/>
      <c r="AH24" s="2791">
        <v>44316</v>
      </c>
      <c r="AI24" s="2793"/>
      <c r="AJ24" s="2791">
        <v>44347</v>
      </c>
      <c r="AK24" s="2793"/>
      <c r="AL24" s="2791">
        <v>44377</v>
      </c>
      <c r="AM24" s="2793"/>
      <c r="AN24" s="2791">
        <v>44408</v>
      </c>
      <c r="AO24" s="2793"/>
      <c r="AP24" s="2807">
        <v>44439</v>
      </c>
      <c r="AQ24" s="2808"/>
      <c r="AR24" s="2807">
        <v>44469</v>
      </c>
      <c r="AS24" s="2808"/>
      <c r="AT24" s="2792">
        <v>44500</v>
      </c>
      <c r="AU24" s="2793"/>
      <c r="AV24" s="2791">
        <v>44530</v>
      </c>
      <c r="AW24" s="2793"/>
      <c r="AX24" s="2791">
        <v>44561</v>
      </c>
      <c r="AY24" s="2793"/>
      <c r="AZ24" s="2791">
        <v>44592</v>
      </c>
      <c r="BA24" s="2793"/>
      <c r="BB24" s="2791">
        <v>44620</v>
      </c>
      <c r="BC24" s="2793"/>
      <c r="BD24" s="2791">
        <v>44651</v>
      </c>
      <c r="BE24" s="2793"/>
      <c r="BF24" s="2791">
        <v>44681</v>
      </c>
      <c r="BG24" s="2793"/>
      <c r="BH24" s="2791">
        <v>44712</v>
      </c>
      <c r="BI24" s="2793"/>
      <c r="BJ24" s="2791">
        <v>44742</v>
      </c>
      <c r="BK24" s="2793"/>
      <c r="BL24" s="2791">
        <v>44773</v>
      </c>
      <c r="BM24" s="2793"/>
      <c r="BN24" s="2791">
        <v>44804</v>
      </c>
      <c r="BO24" s="2793"/>
      <c r="BP24" s="2791">
        <v>44834</v>
      </c>
      <c r="BQ24" s="2793"/>
      <c r="BR24" s="2791">
        <v>44865</v>
      </c>
      <c r="BS24" s="2793"/>
      <c r="BT24" s="2791">
        <v>44895</v>
      </c>
      <c r="BU24" s="2793"/>
      <c r="BV24" s="2791">
        <v>44926</v>
      </c>
      <c r="BW24" s="2793"/>
      <c r="BX24" s="2791">
        <v>44957</v>
      </c>
      <c r="BY24" s="2793"/>
      <c r="BZ24" s="2791">
        <v>44985</v>
      </c>
      <c r="CA24" s="2793"/>
      <c r="CB24" s="2791">
        <v>45016</v>
      </c>
      <c r="CC24" s="2792"/>
      <c r="CD24" s="2791">
        <v>45046</v>
      </c>
      <c r="CE24" s="2792"/>
      <c r="CF24" s="2791">
        <v>45077</v>
      </c>
      <c r="CG24" s="2792"/>
      <c r="CH24" s="2791">
        <v>45107</v>
      </c>
      <c r="CI24" s="2792"/>
      <c r="CJ24" s="2791">
        <v>45138</v>
      </c>
      <c r="CK24" s="2792"/>
      <c r="CL24" s="2791">
        <v>45169</v>
      </c>
      <c r="CM24" s="2792"/>
      <c r="CN24" s="2791">
        <v>45199</v>
      </c>
      <c r="CO24" s="2792"/>
      <c r="CP24" s="2791">
        <v>45230</v>
      </c>
      <c r="CQ24" s="2792"/>
      <c r="CR24" s="2791">
        <v>45260</v>
      </c>
      <c r="CS24" s="2792"/>
      <c r="CT24" s="2791">
        <v>45291</v>
      </c>
      <c r="CU24" s="2792"/>
      <c r="CV24" s="2791">
        <v>45322</v>
      </c>
      <c r="CW24" s="2792"/>
      <c r="CX24" s="2791">
        <v>45351</v>
      </c>
      <c r="CY24" s="2792"/>
      <c r="CZ24" s="2799" t="s">
        <v>3675</v>
      </c>
      <c r="DB24" s="1453"/>
    </row>
    <row r="25" spans="1:107" s="1223" customFormat="1" ht="61.5" customHeight="1" thickBot="1">
      <c r="A25" s="2800"/>
      <c r="B25" s="1232" t="s">
        <v>155</v>
      </c>
      <c r="C25" s="1233" t="s">
        <v>3064</v>
      </c>
      <c r="D25" s="1233" t="s">
        <v>155</v>
      </c>
      <c r="E25" s="1233" t="s">
        <v>3064</v>
      </c>
      <c r="F25" s="1233" t="s">
        <v>155</v>
      </c>
      <c r="G25" s="1233" t="s">
        <v>3064</v>
      </c>
      <c r="H25" s="1233" t="s">
        <v>155</v>
      </c>
      <c r="I25" s="1233" t="s">
        <v>3064</v>
      </c>
      <c r="J25" s="1233" t="s">
        <v>155</v>
      </c>
      <c r="K25" s="1233" t="s">
        <v>3064</v>
      </c>
      <c r="L25" s="1233" t="s">
        <v>155</v>
      </c>
      <c r="M25" s="1234" t="s">
        <v>3064</v>
      </c>
      <c r="N25" s="1234" t="s">
        <v>155</v>
      </c>
      <c r="O25" s="1234" t="s">
        <v>3064</v>
      </c>
      <c r="P25" s="1234" t="s">
        <v>155</v>
      </c>
      <c r="Q25" s="1234" t="s">
        <v>3064</v>
      </c>
      <c r="R25" s="1234" t="s">
        <v>155</v>
      </c>
      <c r="S25" s="1234" t="s">
        <v>3064</v>
      </c>
      <c r="T25" s="1234" t="s">
        <v>155</v>
      </c>
      <c r="U25" s="1234" t="s">
        <v>3064</v>
      </c>
      <c r="V25" s="1234" t="s">
        <v>155</v>
      </c>
      <c r="W25" s="1234" t="s">
        <v>3064</v>
      </c>
      <c r="X25" s="1234" t="s">
        <v>155</v>
      </c>
      <c r="Y25" s="1234" t="s">
        <v>3064</v>
      </c>
      <c r="Z25" s="1234" t="s">
        <v>155</v>
      </c>
      <c r="AA25" s="1234" t="s">
        <v>3064</v>
      </c>
      <c r="AB25" s="1234" t="s">
        <v>155</v>
      </c>
      <c r="AC25" s="1234" t="s">
        <v>3064</v>
      </c>
      <c r="AD25" s="1234" t="s">
        <v>155</v>
      </c>
      <c r="AE25" s="1234" t="s">
        <v>3064</v>
      </c>
      <c r="AF25" s="1234" t="s">
        <v>155</v>
      </c>
      <c r="AG25" s="1234" t="s">
        <v>3064</v>
      </c>
      <c r="AH25" s="1234" t="s">
        <v>155</v>
      </c>
      <c r="AI25" s="1234" t="s">
        <v>3064</v>
      </c>
      <c r="AJ25" s="1234" t="s">
        <v>155</v>
      </c>
      <c r="AK25" s="1234" t="s">
        <v>3064</v>
      </c>
      <c r="AL25" s="1234" t="s">
        <v>155</v>
      </c>
      <c r="AM25" s="1234" t="s">
        <v>3064</v>
      </c>
      <c r="AN25" s="1234" t="s">
        <v>155</v>
      </c>
      <c r="AO25" s="1233" t="s">
        <v>3064</v>
      </c>
      <c r="AP25" s="1233" t="s">
        <v>155</v>
      </c>
      <c r="AQ25" s="1233" t="s">
        <v>3064</v>
      </c>
      <c r="AR25" s="1233" t="s">
        <v>155</v>
      </c>
      <c r="AS25" s="1233" t="s">
        <v>3064</v>
      </c>
      <c r="AT25" s="1234" t="s">
        <v>155</v>
      </c>
      <c r="AU25" s="1233" t="s">
        <v>3064</v>
      </c>
      <c r="AV25" s="1234" t="s">
        <v>155</v>
      </c>
      <c r="AW25" s="1234" t="s">
        <v>3064</v>
      </c>
      <c r="AX25" s="1234" t="s">
        <v>155</v>
      </c>
      <c r="AY25" s="1234" t="s">
        <v>3064</v>
      </c>
      <c r="AZ25" s="1234" t="s">
        <v>155</v>
      </c>
      <c r="BA25" s="1234" t="s">
        <v>3064</v>
      </c>
      <c r="BB25" s="1234" t="s">
        <v>155</v>
      </c>
      <c r="BC25" s="1234" t="s">
        <v>3064</v>
      </c>
      <c r="BD25" s="1234" t="s">
        <v>155</v>
      </c>
      <c r="BE25" s="1234" t="s">
        <v>3064</v>
      </c>
      <c r="BF25" s="1234" t="s">
        <v>155</v>
      </c>
      <c r="BG25" s="1234" t="s">
        <v>3064</v>
      </c>
      <c r="BH25" s="1234" t="s">
        <v>155</v>
      </c>
      <c r="BI25" s="1234" t="s">
        <v>3064</v>
      </c>
      <c r="BJ25" s="1234" t="s">
        <v>155</v>
      </c>
      <c r="BK25" s="1234" t="s">
        <v>3064</v>
      </c>
      <c r="BL25" s="1234" t="s">
        <v>155</v>
      </c>
      <c r="BM25" s="1234" t="s">
        <v>3064</v>
      </c>
      <c r="BN25" s="1234" t="s">
        <v>155</v>
      </c>
      <c r="BO25" s="1234" t="s">
        <v>3064</v>
      </c>
      <c r="BP25" s="1234" t="s">
        <v>155</v>
      </c>
      <c r="BQ25" s="1234" t="s">
        <v>3064</v>
      </c>
      <c r="BR25" s="1234" t="s">
        <v>155</v>
      </c>
      <c r="BS25" s="1234" t="s">
        <v>3064</v>
      </c>
      <c r="BT25" s="1234" t="s">
        <v>155</v>
      </c>
      <c r="BU25" s="1234" t="s">
        <v>3064</v>
      </c>
      <c r="BV25" s="1234" t="s">
        <v>155</v>
      </c>
      <c r="BW25" s="1234" t="s">
        <v>3064</v>
      </c>
      <c r="BX25" s="1234" t="s">
        <v>155</v>
      </c>
      <c r="BY25" s="1234" t="s">
        <v>3064</v>
      </c>
      <c r="BZ25" s="1234" t="s">
        <v>155</v>
      </c>
      <c r="CA25" s="1234" t="s">
        <v>3064</v>
      </c>
      <c r="CB25" s="1234" t="s">
        <v>155</v>
      </c>
      <c r="CC25" s="1600" t="s">
        <v>3064</v>
      </c>
      <c r="CD25" s="1600" t="s">
        <v>155</v>
      </c>
      <c r="CE25" s="1600" t="s">
        <v>3064</v>
      </c>
      <c r="CF25" s="1234" t="s">
        <v>155</v>
      </c>
      <c r="CG25" s="1600" t="s">
        <v>3064</v>
      </c>
      <c r="CH25" s="1600" t="s">
        <v>155</v>
      </c>
      <c r="CI25" s="1600" t="s">
        <v>3064</v>
      </c>
      <c r="CJ25" s="1234" t="s">
        <v>155</v>
      </c>
      <c r="CK25" s="1600" t="s">
        <v>3064</v>
      </c>
      <c r="CL25" s="1234" t="s">
        <v>155</v>
      </c>
      <c r="CM25" s="1600" t="s">
        <v>3064</v>
      </c>
      <c r="CN25" s="1600" t="s">
        <v>155</v>
      </c>
      <c r="CO25" s="1600" t="s">
        <v>3064</v>
      </c>
      <c r="CP25" s="1234" t="s">
        <v>155</v>
      </c>
      <c r="CQ25" s="1600" t="s">
        <v>3064</v>
      </c>
      <c r="CR25" s="1600" t="s">
        <v>155</v>
      </c>
      <c r="CS25" s="1600" t="s">
        <v>3064</v>
      </c>
      <c r="CT25" s="1234" t="s">
        <v>155</v>
      </c>
      <c r="CU25" s="1600" t="s">
        <v>3064</v>
      </c>
      <c r="CV25" s="1234" t="s">
        <v>155</v>
      </c>
      <c r="CW25" s="1600" t="s">
        <v>3064</v>
      </c>
      <c r="CX25" s="1234" t="s">
        <v>155</v>
      </c>
      <c r="CY25" s="1600" t="s">
        <v>3064</v>
      </c>
      <c r="CZ25" s="2800"/>
    </row>
    <row r="26" spans="1:107" ht="19.95" customHeight="1">
      <c r="A26" s="1235" t="s">
        <v>2287</v>
      </c>
      <c r="B26" s="1236">
        <v>21326.682102355</v>
      </c>
      <c r="C26" s="1236">
        <v>12206.423349385001</v>
      </c>
      <c r="D26" s="1236">
        <v>21660.473465005001</v>
      </c>
      <c r="E26" s="1236">
        <v>12501.982035655001</v>
      </c>
      <c r="F26" s="1236">
        <v>21790.705627815001</v>
      </c>
      <c r="G26" s="1236">
        <v>12490.660262834999</v>
      </c>
      <c r="H26" s="1236">
        <v>20586.610487645001</v>
      </c>
      <c r="I26" s="1236">
        <v>12169.275003045001</v>
      </c>
      <c r="J26" s="1236">
        <v>19940.056643234999</v>
      </c>
      <c r="K26" s="1236">
        <v>11648.261367335001</v>
      </c>
      <c r="L26" s="1236">
        <v>19949.349668735002</v>
      </c>
      <c r="M26" s="1236">
        <v>11463.3235201692</v>
      </c>
      <c r="N26" s="1236">
        <v>19381.768847374999</v>
      </c>
      <c r="O26" s="1236">
        <v>11036.2878269173</v>
      </c>
      <c r="P26" s="1236">
        <v>19367.366617525</v>
      </c>
      <c r="Q26" s="1236">
        <v>10743.1006522648</v>
      </c>
      <c r="R26" s="1236">
        <v>19569.724060205001</v>
      </c>
      <c r="S26" s="1236">
        <v>10927.6526748861</v>
      </c>
      <c r="T26" s="1236">
        <v>19377.425613980002</v>
      </c>
      <c r="U26" s="1236">
        <v>10434.665403832099</v>
      </c>
      <c r="V26" s="1236">
        <v>19407.537831900001</v>
      </c>
      <c r="W26" s="1236">
        <v>10422.3928430043</v>
      </c>
      <c r="X26" s="1236">
        <v>19312.724955720001</v>
      </c>
      <c r="Y26" s="1236">
        <v>10573.4087285038</v>
      </c>
      <c r="Z26" s="1236">
        <v>20722.939527580002</v>
      </c>
      <c r="AA26" s="1236">
        <v>11030.769439903001</v>
      </c>
      <c r="AB26" s="1236">
        <v>20292.943368155</v>
      </c>
      <c r="AC26" s="1236">
        <v>10712.110306279999</v>
      </c>
      <c r="AD26" s="1236">
        <v>20653.798704295001</v>
      </c>
      <c r="AE26" s="1236">
        <v>10710.416969100101</v>
      </c>
      <c r="AF26" s="1236">
        <v>21050.493444495001</v>
      </c>
      <c r="AG26" s="1236">
        <v>10750.4024524835</v>
      </c>
      <c r="AH26" s="1236">
        <v>21357.134023875002</v>
      </c>
      <c r="AI26" s="1236">
        <v>10582.401500763501</v>
      </c>
      <c r="AJ26" s="1236">
        <v>22065.495127664999</v>
      </c>
      <c r="AK26" s="1236">
        <v>10673.4431722478</v>
      </c>
      <c r="AL26" s="1236">
        <v>22125.043188644999</v>
      </c>
      <c r="AM26" s="1236">
        <v>10961.608304615</v>
      </c>
      <c r="AN26" s="1236">
        <v>22849.282289865001</v>
      </c>
      <c r="AO26" s="1236">
        <v>11579.7143857762</v>
      </c>
      <c r="AP26" s="1236">
        <v>22749.710369674802</v>
      </c>
      <c r="AQ26" s="1236">
        <v>11183.4897822448</v>
      </c>
      <c r="AR26" s="1236">
        <v>23650.040902735</v>
      </c>
      <c r="AS26" s="1236">
        <v>11684.851405920699</v>
      </c>
      <c r="AT26" s="1236">
        <v>24026.152705205401</v>
      </c>
      <c r="AU26" s="1236">
        <v>11860.455829340501</v>
      </c>
      <c r="AV26" s="1236">
        <v>24743.616630134999</v>
      </c>
      <c r="AW26" s="1236">
        <v>12142.504536013301</v>
      </c>
      <c r="AX26" s="1236">
        <v>26938.315908053999</v>
      </c>
      <c r="AY26" s="1236">
        <v>12827.630379693601</v>
      </c>
      <c r="AZ26" s="1236">
        <v>26954.0384782113</v>
      </c>
      <c r="BA26" s="1236">
        <v>13364.2384487786</v>
      </c>
      <c r="BB26" s="1236">
        <v>27055.5158204</v>
      </c>
      <c r="BC26" s="1236">
        <v>13439.468633738899</v>
      </c>
      <c r="BD26" s="1236">
        <v>28259.152839019102</v>
      </c>
      <c r="BE26" s="1236">
        <v>14033.8758462184</v>
      </c>
      <c r="BF26" s="1236">
        <v>28613.701051943499</v>
      </c>
      <c r="BG26" s="1236">
        <v>14097.6525655596</v>
      </c>
      <c r="BH26" s="1236">
        <v>29737.604667420899</v>
      </c>
      <c r="BI26" s="1236">
        <v>14631.4544308287</v>
      </c>
      <c r="BJ26" s="1236">
        <v>29982.0754501548</v>
      </c>
      <c r="BK26" s="1236">
        <v>14531.1770474982</v>
      </c>
      <c r="BL26" s="1236">
        <v>29600.539912042401</v>
      </c>
      <c r="BM26" s="1236">
        <v>14465.207010197901</v>
      </c>
      <c r="BN26" s="1236">
        <v>30437.2152682497</v>
      </c>
      <c r="BO26" s="1236">
        <v>14535.6146543376</v>
      </c>
      <c r="BP26" s="1236">
        <v>31373.681937013302</v>
      </c>
      <c r="BQ26" s="1236">
        <v>14895.707788242</v>
      </c>
      <c r="BR26" s="1236">
        <v>32192.095291781199</v>
      </c>
      <c r="BS26" s="1236">
        <v>14994.2902785162</v>
      </c>
      <c r="BT26" s="1236">
        <v>32860.857928113801</v>
      </c>
      <c r="BU26" s="1236">
        <v>15627.4790304907</v>
      </c>
      <c r="BV26" s="1236">
        <v>33762.562900746503</v>
      </c>
      <c r="BW26" s="1236">
        <v>15893.300352092299</v>
      </c>
      <c r="BX26" s="1236">
        <v>32968.760235367903</v>
      </c>
      <c r="BY26" s="1236">
        <v>15674.155936970001</v>
      </c>
      <c r="BZ26" s="1236">
        <v>32560.809615864</v>
      </c>
      <c r="CA26" s="1236">
        <v>15550.1986023102</v>
      </c>
      <c r="CB26" s="1236">
        <v>31933.185341749999</v>
      </c>
      <c r="CC26" s="1605">
        <v>14289.7679359501</v>
      </c>
      <c r="CD26" s="1605">
        <v>32366.92196896</v>
      </c>
      <c r="CE26" s="1605">
        <v>14451.33542093</v>
      </c>
      <c r="CF26" s="1236">
        <v>32678.744620510999</v>
      </c>
      <c r="CG26" s="1605">
        <v>14507.418817354601</v>
      </c>
      <c r="CH26" s="1605">
        <v>32056.7139322806</v>
      </c>
      <c r="CI26" s="1605">
        <v>13356.255721543899</v>
      </c>
      <c r="CJ26" s="1236">
        <v>31841.103618010002</v>
      </c>
      <c r="CK26" s="1605">
        <v>12853.7319246635</v>
      </c>
      <c r="CL26" s="1236">
        <v>31998.689850999999</v>
      </c>
      <c r="CM26" s="1605">
        <v>12554.4548352805</v>
      </c>
      <c r="CN26" s="1605">
        <v>32174.24504365</v>
      </c>
      <c r="CO26" s="1605">
        <v>12303.9899109817</v>
      </c>
      <c r="CP26" s="1236">
        <v>33081.901325480001</v>
      </c>
      <c r="CQ26" s="1605">
        <v>13148.2701235943</v>
      </c>
      <c r="CR26" s="1605">
        <v>33225.739510439998</v>
      </c>
      <c r="CS26" s="1605">
        <v>12628.463498507699</v>
      </c>
      <c r="CT26" s="1236">
        <v>34550.080116010002</v>
      </c>
      <c r="CU26" s="1605">
        <v>13278.111602475101</v>
      </c>
      <c r="CV26" s="1236">
        <v>34995.408944214498</v>
      </c>
      <c r="CW26" s="1605">
        <v>14104.522084213701</v>
      </c>
      <c r="CX26" s="1236">
        <v>34959.32922598</v>
      </c>
      <c r="CY26" s="1605">
        <v>13585.8956284747</v>
      </c>
      <c r="CZ26" s="1235" t="s">
        <v>3676</v>
      </c>
      <c r="DA26" s="1695"/>
      <c r="DB26" s="1222"/>
      <c r="DC26" s="1266"/>
    </row>
    <row r="27" spans="1:107" ht="19.95" customHeight="1">
      <c r="A27" s="1225" t="s">
        <v>2286</v>
      </c>
      <c r="B27" s="1227">
        <v>8507.9661916500008</v>
      </c>
      <c r="C27" s="1227">
        <v>4486.0544129500004</v>
      </c>
      <c r="D27" s="1227">
        <v>8425.0119079699998</v>
      </c>
      <c r="E27" s="1227">
        <v>4367.11187832</v>
      </c>
      <c r="F27" s="1227">
        <v>8571.981684549999</v>
      </c>
      <c r="G27" s="1227">
        <v>4549.6280764000003</v>
      </c>
      <c r="H27" s="1227">
        <v>8158.7243008499991</v>
      </c>
      <c r="I27" s="1227">
        <v>4526.7130002600006</v>
      </c>
      <c r="J27" s="1227">
        <v>7657.5636028499903</v>
      </c>
      <c r="K27" s="1227">
        <v>4252.4612538199999</v>
      </c>
      <c r="L27" s="1227">
        <v>7551.0428301499996</v>
      </c>
      <c r="M27" s="1227">
        <v>4106.6702645483401</v>
      </c>
      <c r="N27" s="1227">
        <v>7592.3477487700002</v>
      </c>
      <c r="O27" s="1227">
        <v>4129.9709945102604</v>
      </c>
      <c r="P27" s="1227">
        <v>7675.4436402899992</v>
      </c>
      <c r="Q27" s="1227">
        <v>4067.07445412176</v>
      </c>
      <c r="R27" s="1227">
        <v>7763.7258724999992</v>
      </c>
      <c r="S27" s="1227">
        <v>4273.5706767087195</v>
      </c>
      <c r="T27" s="1227">
        <v>7716.0314098600002</v>
      </c>
      <c r="U27" s="1227">
        <v>4203.9365644755298</v>
      </c>
      <c r="V27" s="1227">
        <v>7760.6720044699996</v>
      </c>
      <c r="W27" s="1227">
        <v>4156.6368707422598</v>
      </c>
      <c r="X27" s="1227">
        <v>7797.8231756599907</v>
      </c>
      <c r="Y27" s="1227">
        <v>4148.2632922815001</v>
      </c>
      <c r="Z27" s="1227">
        <v>8044.6634494699993</v>
      </c>
      <c r="AA27" s="1227">
        <v>4130.2778696697296</v>
      </c>
      <c r="AB27" s="1227">
        <v>8083.9919509199999</v>
      </c>
      <c r="AC27" s="1227">
        <v>4140.2237829224705</v>
      </c>
      <c r="AD27" s="1227">
        <v>8247.5165492699998</v>
      </c>
      <c r="AE27" s="1227">
        <v>4181.0871245256894</v>
      </c>
      <c r="AF27" s="1227">
        <v>8012.7626280799996</v>
      </c>
      <c r="AG27" s="1227">
        <v>4080.7633278785102</v>
      </c>
      <c r="AH27" s="1227">
        <v>8219.9180516699998</v>
      </c>
      <c r="AI27" s="1227">
        <v>4047.4006464884897</v>
      </c>
      <c r="AJ27" s="1227">
        <v>8478.035226420001</v>
      </c>
      <c r="AK27" s="1227">
        <v>3869.5815576628302</v>
      </c>
      <c r="AL27" s="1227">
        <v>8270.6716737200004</v>
      </c>
      <c r="AM27" s="1227">
        <v>3828.0251335100002</v>
      </c>
      <c r="AN27" s="1227">
        <v>8439.4801630000002</v>
      </c>
      <c r="AO27" s="1227">
        <v>3819.6880278911794</v>
      </c>
      <c r="AP27" s="1227">
        <v>8400.1808412397895</v>
      </c>
      <c r="AQ27" s="1227">
        <v>3804.2124958197901</v>
      </c>
      <c r="AR27" s="1227">
        <v>8663.6280245599992</v>
      </c>
      <c r="AS27" s="1227">
        <v>3831.3558314342299</v>
      </c>
      <c r="AT27" s="1227">
        <v>8713.8264041303992</v>
      </c>
      <c r="AU27" s="1227">
        <v>3822.2773082717899</v>
      </c>
      <c r="AV27" s="1227">
        <v>8880.9196912400002</v>
      </c>
      <c r="AW27" s="1227">
        <v>3774.94315531948</v>
      </c>
      <c r="AX27" s="1227">
        <v>9032.4343592139503</v>
      </c>
      <c r="AY27" s="1227">
        <v>3765.4688264242905</v>
      </c>
      <c r="AZ27" s="1227">
        <v>9456.8728554912996</v>
      </c>
      <c r="BA27" s="1227">
        <v>3765.3077951691198</v>
      </c>
      <c r="BB27" s="1227">
        <v>9869.7287334299999</v>
      </c>
      <c r="BC27" s="1227">
        <v>4032.62235523872</v>
      </c>
      <c r="BD27" s="1227">
        <v>10200.770097725079</v>
      </c>
      <c r="BE27" s="1227">
        <v>4364.5279128458096</v>
      </c>
      <c r="BF27" s="1227">
        <v>10340.441990019521</v>
      </c>
      <c r="BG27" s="1227">
        <v>4145.3469300618099</v>
      </c>
      <c r="BH27" s="1227">
        <v>10388.957972849999</v>
      </c>
      <c r="BI27" s="1227">
        <v>4336.0891332399997</v>
      </c>
      <c r="BJ27" s="1227">
        <v>10378.57864829</v>
      </c>
      <c r="BK27" s="1227">
        <v>4233.7704299502202</v>
      </c>
      <c r="BL27" s="1227">
        <v>10605.50772667511</v>
      </c>
      <c r="BM27" s="1227">
        <v>4284.6138262262502</v>
      </c>
      <c r="BN27" s="1227">
        <v>10631.982555091399</v>
      </c>
      <c r="BO27" s="1227">
        <v>4284.0933153640799</v>
      </c>
      <c r="BP27" s="1227">
        <v>10993.00100432703</v>
      </c>
      <c r="BQ27" s="1227">
        <v>4374.3071655334998</v>
      </c>
      <c r="BR27" s="1227">
        <v>11256.57910438718</v>
      </c>
      <c r="BS27" s="1227">
        <v>4409.4683538424797</v>
      </c>
      <c r="BT27" s="1227">
        <v>11339.89209504674</v>
      </c>
      <c r="BU27" s="1227">
        <v>4474.2164876267398</v>
      </c>
      <c r="BV27" s="1227">
        <v>11482.954058515301</v>
      </c>
      <c r="BW27" s="1227">
        <v>4568.8829403788495</v>
      </c>
      <c r="BX27" s="1227">
        <v>11686.75474631</v>
      </c>
      <c r="BY27" s="1227">
        <v>4595.9067602599998</v>
      </c>
      <c r="BZ27" s="1227">
        <v>11653.923635339999</v>
      </c>
      <c r="CA27" s="1227">
        <v>4570.7468919622797</v>
      </c>
      <c r="CB27" s="1227">
        <v>11719.45163123</v>
      </c>
      <c r="CC27" s="1602">
        <v>4533.9901328769902</v>
      </c>
      <c r="CD27" s="1602">
        <v>11955.43092742</v>
      </c>
      <c r="CE27" s="1602">
        <v>4511.4810946899997</v>
      </c>
      <c r="CF27" s="1227">
        <v>12142.99951345</v>
      </c>
      <c r="CG27" s="1602">
        <v>4671.6808838146198</v>
      </c>
      <c r="CH27" s="1602">
        <v>12472.5061308776</v>
      </c>
      <c r="CI27" s="1602">
        <v>4628.11005617091</v>
      </c>
      <c r="CJ27" s="1227">
        <v>12429.34306207</v>
      </c>
      <c r="CK27" s="1602">
        <v>4594.0430889220697</v>
      </c>
      <c r="CL27" s="1227">
        <v>12275.991355530001</v>
      </c>
      <c r="CM27" s="1602">
        <v>4528.7148786605603</v>
      </c>
      <c r="CN27" s="1602">
        <v>12418.427660969999</v>
      </c>
      <c r="CO27" s="1602">
        <v>4422.7094264916896</v>
      </c>
      <c r="CP27" s="1227">
        <v>12271.147393740001</v>
      </c>
      <c r="CQ27" s="1602">
        <v>4392.6634605930303</v>
      </c>
      <c r="CR27" s="1602">
        <v>12253.54616944</v>
      </c>
      <c r="CS27" s="1602">
        <v>4259.7200856976497</v>
      </c>
      <c r="CT27" s="1227">
        <v>12582.168386130001</v>
      </c>
      <c r="CU27" s="1602">
        <v>4271.1964002016502</v>
      </c>
      <c r="CV27" s="1227">
        <v>12831.2376878</v>
      </c>
      <c r="CW27" s="1602">
        <v>4555.5993108642697</v>
      </c>
      <c r="CX27" s="1227">
        <v>13003.61020762</v>
      </c>
      <c r="CY27" s="1602">
        <v>4655.3645736526996</v>
      </c>
      <c r="CZ27" s="1225" t="s">
        <v>3677</v>
      </c>
      <c r="DB27" s="1222"/>
      <c r="DC27" s="1266"/>
    </row>
    <row r="28" spans="1:107" ht="19.95" customHeight="1">
      <c r="A28" s="1225" t="s">
        <v>2285</v>
      </c>
      <c r="B28" s="1227">
        <v>5658.6364632955401</v>
      </c>
      <c r="C28" s="1227">
        <v>3101.3466812255401</v>
      </c>
      <c r="D28" s="1227">
        <v>5636.0755152274496</v>
      </c>
      <c r="E28" s="1227">
        <v>3012.14752427745</v>
      </c>
      <c r="F28" s="1227">
        <v>5578.04240606847</v>
      </c>
      <c r="G28" s="1227">
        <v>2957.8504355484702</v>
      </c>
      <c r="H28" s="1227">
        <v>5415.8776676592297</v>
      </c>
      <c r="I28" s="1227">
        <v>3053.1510260792302</v>
      </c>
      <c r="J28" s="1227">
        <v>4899.2239992077903</v>
      </c>
      <c r="K28" s="1227">
        <v>2834.7912728378001</v>
      </c>
      <c r="L28" s="1227">
        <v>4675.7654578771098</v>
      </c>
      <c r="M28" s="1227">
        <v>2770.5241486026198</v>
      </c>
      <c r="N28" s="1227">
        <v>4670.1055015066204</v>
      </c>
      <c r="O28" s="1227">
        <v>2752.64901065916</v>
      </c>
      <c r="P28" s="1227">
        <v>4697.2526127053297</v>
      </c>
      <c r="Q28" s="1227">
        <v>2666.36757907938</v>
      </c>
      <c r="R28" s="1227">
        <v>4953.9521524070096</v>
      </c>
      <c r="S28" s="1227">
        <v>2862.15727309574</v>
      </c>
      <c r="T28" s="1227">
        <v>4894.7348306304702</v>
      </c>
      <c r="U28" s="1227">
        <v>2797.2750865362</v>
      </c>
      <c r="V28" s="1227">
        <v>4874.7295025118401</v>
      </c>
      <c r="W28" s="1227">
        <v>2781.84826629912</v>
      </c>
      <c r="X28" s="1227">
        <v>4760.8359977397304</v>
      </c>
      <c r="Y28" s="1227">
        <v>2681.4078408784499</v>
      </c>
      <c r="Z28" s="1227">
        <v>4789.2452372411599</v>
      </c>
      <c r="AA28" s="1227">
        <v>2651.2523601488801</v>
      </c>
      <c r="AB28" s="1227">
        <v>4756.8735388277501</v>
      </c>
      <c r="AC28" s="1227">
        <v>2581.0710465910602</v>
      </c>
      <c r="AD28" s="1227">
        <v>4784.8133582194796</v>
      </c>
      <c r="AE28" s="1227">
        <v>2559.7618265855099</v>
      </c>
      <c r="AF28" s="1227">
        <v>4805.9520057207101</v>
      </c>
      <c r="AG28" s="1227">
        <v>2499.7372854792202</v>
      </c>
      <c r="AH28" s="1227">
        <v>4900.0844712032904</v>
      </c>
      <c r="AI28" s="1227">
        <v>2479.7215357117798</v>
      </c>
      <c r="AJ28" s="1227">
        <v>4981.2711391236699</v>
      </c>
      <c r="AK28" s="1227">
        <v>2499.2712871065</v>
      </c>
      <c r="AL28" s="1227">
        <v>5007.2120268307799</v>
      </c>
      <c r="AM28" s="1227">
        <v>2466.6824688107799</v>
      </c>
      <c r="AN28" s="1227">
        <v>5089.4609964806896</v>
      </c>
      <c r="AO28" s="1227">
        <v>2458.6869742918698</v>
      </c>
      <c r="AP28" s="1227">
        <v>5167.5324045123998</v>
      </c>
      <c r="AQ28" s="1227">
        <v>2466.7911414924001</v>
      </c>
      <c r="AR28" s="1227">
        <v>5237.9675451324601</v>
      </c>
      <c r="AS28" s="1227">
        <v>2445.4128843124599</v>
      </c>
      <c r="AT28" s="1227">
        <v>5260.771494177</v>
      </c>
      <c r="AU28" s="1227">
        <v>2404.13771542208</v>
      </c>
      <c r="AV28" s="1227">
        <v>5267.678796018</v>
      </c>
      <c r="AW28" s="1227">
        <v>2374.4785728099</v>
      </c>
      <c r="AX28" s="1227">
        <v>5339.0398734929504</v>
      </c>
      <c r="AY28" s="1227">
        <v>2380.8110381625702</v>
      </c>
      <c r="AZ28" s="1227">
        <v>5391.4378529303003</v>
      </c>
      <c r="BA28" s="1227">
        <v>2390.3481385702999</v>
      </c>
      <c r="BB28" s="1227">
        <v>5426.5532741280003</v>
      </c>
      <c r="BC28" s="1227">
        <v>2370.0736807032999</v>
      </c>
      <c r="BD28" s="1227">
        <v>5501.5926134696701</v>
      </c>
      <c r="BE28" s="1227">
        <v>2423.9236082678199</v>
      </c>
      <c r="BF28" s="1227">
        <v>5575.4546336834401</v>
      </c>
      <c r="BG28" s="1227">
        <v>2412.4923879994799</v>
      </c>
      <c r="BH28" s="1227">
        <v>5658.1501285470003</v>
      </c>
      <c r="BI28" s="1227">
        <v>2419.5385666369998</v>
      </c>
      <c r="BJ28" s="1227">
        <v>5736.3621133790002</v>
      </c>
      <c r="BK28" s="1227">
        <v>2400.6560975389998</v>
      </c>
      <c r="BL28" s="1227">
        <v>5814.8316768921104</v>
      </c>
      <c r="BM28" s="1227">
        <v>2405.6351858070302</v>
      </c>
      <c r="BN28" s="1227">
        <v>5880.0165887554003</v>
      </c>
      <c r="BO28" s="1227">
        <v>2381.9161691477598</v>
      </c>
      <c r="BP28" s="1227">
        <v>5964.2026268640302</v>
      </c>
      <c r="BQ28" s="1227">
        <v>2390.0988637978799</v>
      </c>
      <c r="BR28" s="1227">
        <v>5973.9945534448098</v>
      </c>
      <c r="BS28" s="1227">
        <v>2340.7853844801102</v>
      </c>
      <c r="BT28" s="1227">
        <v>6058.0030830406204</v>
      </c>
      <c r="BU28" s="1227">
        <v>2372.96273323062</v>
      </c>
      <c r="BV28" s="1227">
        <v>6204.0822370750002</v>
      </c>
      <c r="BW28" s="1227">
        <v>2418.190791855</v>
      </c>
      <c r="BX28" s="1227">
        <v>6196.2918759479999</v>
      </c>
      <c r="BY28" s="1227">
        <v>2327.7845687079998</v>
      </c>
      <c r="BZ28" s="1227">
        <v>6336.0719709080004</v>
      </c>
      <c r="CA28" s="1227">
        <v>2464.4481205975799</v>
      </c>
      <c r="CB28" s="1227">
        <v>6311.4585102450001</v>
      </c>
      <c r="CC28" s="1602">
        <v>2406.9501258149999</v>
      </c>
      <c r="CD28" s="1602">
        <v>6376.2080115950002</v>
      </c>
      <c r="CE28" s="1602">
        <v>2422.3224269249999</v>
      </c>
      <c r="CF28" s="1227">
        <v>6454.0134113249997</v>
      </c>
      <c r="CG28" s="1602">
        <v>2408.9654444396201</v>
      </c>
      <c r="CH28" s="1602">
        <v>6595.5416784551298</v>
      </c>
      <c r="CI28" s="1602">
        <v>2431.08388114847</v>
      </c>
      <c r="CJ28" s="1227">
        <v>6645.6260492310003</v>
      </c>
      <c r="CK28" s="1602">
        <v>2415.54030014417</v>
      </c>
      <c r="CL28" s="1227">
        <v>6691.5127939029999</v>
      </c>
      <c r="CM28" s="1602">
        <v>2395.3388395521802</v>
      </c>
      <c r="CN28" s="1602">
        <v>6745.3674408930001</v>
      </c>
      <c r="CO28" s="1602">
        <v>2377.9447602846799</v>
      </c>
      <c r="CP28" s="1227">
        <v>6597.7447482500002</v>
      </c>
      <c r="CQ28" s="1602">
        <v>2344.73053729</v>
      </c>
      <c r="CR28" s="1602">
        <v>6736.5456473300001</v>
      </c>
      <c r="CS28" s="1602">
        <v>2356.8446933376499</v>
      </c>
      <c r="CT28" s="1227">
        <v>6882.0549302299996</v>
      </c>
      <c r="CU28" s="1602">
        <v>2360.5934122138901</v>
      </c>
      <c r="CV28" s="1227">
        <v>7113.21038804</v>
      </c>
      <c r="CW28" s="1602">
        <v>2482.4885045917899</v>
      </c>
      <c r="CX28" s="1227">
        <v>7174.2242221099996</v>
      </c>
      <c r="CY28" s="1602">
        <v>2495.0188347517801</v>
      </c>
      <c r="CZ28" s="1225" t="s">
        <v>3678</v>
      </c>
      <c r="DB28" s="1222"/>
      <c r="DC28" s="1266"/>
    </row>
    <row r="29" spans="1:107" ht="19.95" customHeight="1">
      <c r="A29" s="1225" t="s">
        <v>2284</v>
      </c>
      <c r="B29" s="1227">
        <v>2849.3297283544598</v>
      </c>
      <c r="C29" s="1227">
        <v>1384.70773172446</v>
      </c>
      <c r="D29" s="1227">
        <v>2788.9363927425502</v>
      </c>
      <c r="E29" s="1227">
        <v>1354.96435404255</v>
      </c>
      <c r="F29" s="1227">
        <v>2993.93927848153</v>
      </c>
      <c r="G29" s="1227">
        <v>1591.7776408515299</v>
      </c>
      <c r="H29" s="1227">
        <v>2742.8466331907698</v>
      </c>
      <c r="I29" s="1227">
        <v>1473.56197418077</v>
      </c>
      <c r="J29" s="1227">
        <v>2758.3396036422</v>
      </c>
      <c r="K29" s="1227">
        <v>1417.6699809822001</v>
      </c>
      <c r="L29" s="1227">
        <v>2875.2773722728898</v>
      </c>
      <c r="M29" s="1227">
        <v>1336.1461159457201</v>
      </c>
      <c r="N29" s="1227">
        <v>2922.2422472633798</v>
      </c>
      <c r="O29" s="1227">
        <v>1377.3219838511</v>
      </c>
      <c r="P29" s="1227">
        <v>2978.1910275846699</v>
      </c>
      <c r="Q29" s="1227">
        <v>1400.70687504238</v>
      </c>
      <c r="R29" s="1227">
        <v>2809.7737200929901</v>
      </c>
      <c r="S29" s="1227">
        <v>1411.4134036129799</v>
      </c>
      <c r="T29" s="1227">
        <v>2821.2965792295299</v>
      </c>
      <c r="U29" s="1227">
        <v>1406.6614779393301</v>
      </c>
      <c r="V29" s="1227">
        <v>2885.9425019581599</v>
      </c>
      <c r="W29" s="1227">
        <v>1374.78860444314</v>
      </c>
      <c r="X29" s="1227">
        <v>3036.9871779202599</v>
      </c>
      <c r="Y29" s="1227">
        <v>1466.85545140305</v>
      </c>
      <c r="Z29" s="1227">
        <v>3255.4182122288398</v>
      </c>
      <c r="AA29" s="1227">
        <v>1479.0255095208499</v>
      </c>
      <c r="AB29" s="1227">
        <v>3327.1184120922499</v>
      </c>
      <c r="AC29" s="1227">
        <v>1559.1527363314101</v>
      </c>
      <c r="AD29" s="1227">
        <v>3462.7031910505202</v>
      </c>
      <c r="AE29" s="1227">
        <v>1621.32529794018</v>
      </c>
      <c r="AF29" s="1227">
        <v>3206.8106223592899</v>
      </c>
      <c r="AG29" s="1227">
        <v>1581.02604239929</v>
      </c>
      <c r="AH29" s="1227">
        <v>3319.8335804667099</v>
      </c>
      <c r="AI29" s="1227">
        <v>1567.6791107767101</v>
      </c>
      <c r="AJ29" s="1227">
        <v>3496.7640872963302</v>
      </c>
      <c r="AK29" s="1227">
        <v>1370.3102705563299</v>
      </c>
      <c r="AL29" s="1227">
        <v>3263.45964688922</v>
      </c>
      <c r="AM29" s="1227">
        <v>1361.34266469922</v>
      </c>
      <c r="AN29" s="1227">
        <v>3350.0191665193101</v>
      </c>
      <c r="AO29" s="1227">
        <v>1361.0010535993099</v>
      </c>
      <c r="AP29" s="1227">
        <v>3232.6484367273902</v>
      </c>
      <c r="AQ29" s="1227">
        <v>1337.42135432739</v>
      </c>
      <c r="AR29" s="1227">
        <v>3425.6604794275399</v>
      </c>
      <c r="AS29" s="1227">
        <v>1385.94294712177</v>
      </c>
      <c r="AT29" s="1227">
        <v>3453.0549099534001</v>
      </c>
      <c r="AU29" s="1227">
        <v>1418.13959284971</v>
      </c>
      <c r="AV29" s="1227">
        <v>3613.2408952219998</v>
      </c>
      <c r="AW29" s="1227">
        <v>1400.4645825095799</v>
      </c>
      <c r="AX29" s="1227">
        <v>3693.3944857209999</v>
      </c>
      <c r="AY29" s="1227">
        <v>1384.65778826172</v>
      </c>
      <c r="AZ29" s="1227">
        <v>4065.4350025610001</v>
      </c>
      <c r="BA29" s="1227">
        <v>1374.9596565988199</v>
      </c>
      <c r="BB29" s="1227">
        <v>4443.1754593019996</v>
      </c>
      <c r="BC29" s="1227">
        <v>1662.5486745354201</v>
      </c>
      <c r="BD29" s="1227">
        <v>4699.1774842554096</v>
      </c>
      <c r="BE29" s="1227">
        <v>1940.60430457799</v>
      </c>
      <c r="BF29" s="1227">
        <v>4764.9873563360798</v>
      </c>
      <c r="BG29" s="1227">
        <v>1732.85454206233</v>
      </c>
      <c r="BH29" s="1227">
        <v>4730.8078443029999</v>
      </c>
      <c r="BI29" s="1227">
        <v>1916.5505666030001</v>
      </c>
      <c r="BJ29" s="1227">
        <v>4642.2165349110001</v>
      </c>
      <c r="BK29" s="1227">
        <v>1833.1143324112199</v>
      </c>
      <c r="BL29" s="1227">
        <v>4790.6760497830001</v>
      </c>
      <c r="BM29" s="1227">
        <v>1878.97864041922</v>
      </c>
      <c r="BN29" s="1227">
        <v>4751.9659663359998</v>
      </c>
      <c r="BO29" s="1227">
        <v>1902.1771462163199</v>
      </c>
      <c r="BP29" s="1227">
        <v>5028.7983774630002</v>
      </c>
      <c r="BQ29" s="1227">
        <v>1984.2083017356199</v>
      </c>
      <c r="BR29" s="1227">
        <v>5282.5845509423698</v>
      </c>
      <c r="BS29" s="1227">
        <v>2068.6829693623699</v>
      </c>
      <c r="BT29" s="1227">
        <v>5281.8890120061196</v>
      </c>
      <c r="BU29" s="1227">
        <v>2101.2537543961198</v>
      </c>
      <c r="BV29" s="1227">
        <v>5278.8618214402604</v>
      </c>
      <c r="BW29" s="1227">
        <v>2150.6921485238499</v>
      </c>
      <c r="BX29" s="1227">
        <v>5490.4428703619997</v>
      </c>
      <c r="BY29" s="1227">
        <v>2268.122191552</v>
      </c>
      <c r="BZ29" s="1227">
        <v>5317.8416644319996</v>
      </c>
      <c r="CA29" s="1227">
        <v>2106.2987713646999</v>
      </c>
      <c r="CB29" s="1227">
        <v>5408.0031209850004</v>
      </c>
      <c r="CC29" s="1602">
        <v>2127.0400070619899</v>
      </c>
      <c r="CD29" s="1602">
        <v>5579.2229158250002</v>
      </c>
      <c r="CE29" s="1602">
        <v>2089.1586677649998</v>
      </c>
      <c r="CF29" s="1227">
        <v>5688.9861021249999</v>
      </c>
      <c r="CG29" s="1602">
        <v>2262.7154393750002</v>
      </c>
      <c r="CH29" s="1602">
        <v>5876.9644524224404</v>
      </c>
      <c r="CI29" s="1602">
        <v>2197.0261750224399</v>
      </c>
      <c r="CJ29" s="1227">
        <v>5783.7170128389998</v>
      </c>
      <c r="CK29" s="1602">
        <v>2178.5027887778901</v>
      </c>
      <c r="CL29" s="1227">
        <v>5584.4785616270001</v>
      </c>
      <c r="CM29" s="1602">
        <v>2133.3760391083802</v>
      </c>
      <c r="CN29" s="1602">
        <v>5673.0402200770004</v>
      </c>
      <c r="CO29" s="1602">
        <v>2044.7646662069999</v>
      </c>
      <c r="CP29" s="1227">
        <v>5673.4026454900004</v>
      </c>
      <c r="CQ29" s="1602">
        <v>2047.9329233030301</v>
      </c>
      <c r="CR29" s="1602">
        <v>5516.9805221099996</v>
      </c>
      <c r="CS29" s="1602">
        <v>1902.87539236</v>
      </c>
      <c r="CT29" s="1227">
        <v>5700.1134559000002</v>
      </c>
      <c r="CU29" s="1602">
        <v>1910.6029879877599</v>
      </c>
      <c r="CV29" s="1227">
        <v>5718.0272997599996</v>
      </c>
      <c r="CW29" s="1602">
        <v>2073.1108062724702</v>
      </c>
      <c r="CX29" s="1227">
        <v>5829.38598551</v>
      </c>
      <c r="CY29" s="1602">
        <v>2160.34573890092</v>
      </c>
      <c r="CZ29" s="1225" t="s">
        <v>3679</v>
      </c>
      <c r="DB29" s="1222"/>
      <c r="DC29" s="1266"/>
    </row>
    <row r="30" spans="1:107" ht="19.95" customHeight="1">
      <c r="A30" s="1225" t="s">
        <v>2283</v>
      </c>
      <c r="B30" s="1227">
        <v>12818.715910704999</v>
      </c>
      <c r="C30" s="1227">
        <v>7720.3689364350003</v>
      </c>
      <c r="D30" s="1227">
        <v>13235.461557035</v>
      </c>
      <c r="E30" s="1227">
        <v>8134.8701573350008</v>
      </c>
      <c r="F30" s="1227">
        <v>13218.723943265</v>
      </c>
      <c r="G30" s="1227">
        <v>7941.0321864349989</v>
      </c>
      <c r="H30" s="1227">
        <v>12427.886186795</v>
      </c>
      <c r="I30" s="1227">
        <v>7642.562002785</v>
      </c>
      <c r="J30" s="1227">
        <v>12282.493040384999</v>
      </c>
      <c r="K30" s="1227">
        <v>7395.8001135149998</v>
      </c>
      <c r="L30" s="1227">
        <v>12398.306838585</v>
      </c>
      <c r="M30" s="1227">
        <v>7356.6532556208203</v>
      </c>
      <c r="N30" s="1227">
        <v>11789.421098605</v>
      </c>
      <c r="O30" s="1227">
        <v>6906.3168324070102</v>
      </c>
      <c r="P30" s="1227">
        <v>11691.922977235001</v>
      </c>
      <c r="Q30" s="1227">
        <v>6676.0261981430795</v>
      </c>
      <c r="R30" s="1227">
        <v>11805.998187705001</v>
      </c>
      <c r="S30" s="1227">
        <v>6654.0819981774202</v>
      </c>
      <c r="T30" s="1227">
        <v>11661.394204120001</v>
      </c>
      <c r="U30" s="1227">
        <v>6230.7288393565996</v>
      </c>
      <c r="V30" s="1227">
        <v>11646.865827430001</v>
      </c>
      <c r="W30" s="1227">
        <v>6265.7559722620208</v>
      </c>
      <c r="X30" s="1227">
        <v>11514.901780060001</v>
      </c>
      <c r="Y30" s="1227">
        <v>6425.1454362223503</v>
      </c>
      <c r="Z30" s="1227">
        <v>12678.276078110001</v>
      </c>
      <c r="AA30" s="1227">
        <v>6900.49157023322</v>
      </c>
      <c r="AB30" s="1227">
        <v>12208.951417235001</v>
      </c>
      <c r="AC30" s="1227">
        <v>6571.8865233574797</v>
      </c>
      <c r="AD30" s="1227">
        <v>12406.282155025001</v>
      </c>
      <c r="AE30" s="1227">
        <v>6529.3298445744294</v>
      </c>
      <c r="AF30" s="1227">
        <v>13037.730816414998</v>
      </c>
      <c r="AG30" s="1227">
        <v>6669.6391246049998</v>
      </c>
      <c r="AH30" s="1227">
        <v>13137.215972205</v>
      </c>
      <c r="AI30" s="1227">
        <v>6535.0008542750002</v>
      </c>
      <c r="AJ30" s="1227">
        <v>13587.459901245002</v>
      </c>
      <c r="AK30" s="1227">
        <v>6803.8616145850001</v>
      </c>
      <c r="AL30" s="1227">
        <v>13854.371514925</v>
      </c>
      <c r="AM30" s="1227">
        <v>7133.5831711049996</v>
      </c>
      <c r="AN30" s="1227">
        <v>14409.802126865001</v>
      </c>
      <c r="AO30" s="1227">
        <v>7760.0263578850008</v>
      </c>
      <c r="AP30" s="1227">
        <v>14349.529528435</v>
      </c>
      <c r="AQ30" s="1227">
        <v>7379.2772864250001</v>
      </c>
      <c r="AR30" s="1227">
        <v>14986.412878175001</v>
      </c>
      <c r="AS30" s="1227">
        <v>7853.4955744864892</v>
      </c>
      <c r="AT30" s="1227">
        <v>15312.326301075</v>
      </c>
      <c r="AU30" s="1227">
        <v>8038.1785210687503</v>
      </c>
      <c r="AV30" s="1227">
        <v>15862.696938895</v>
      </c>
      <c r="AW30" s="1227">
        <v>8367.5613806937999</v>
      </c>
      <c r="AX30" s="1227">
        <v>17905.88154884</v>
      </c>
      <c r="AY30" s="1227">
        <v>9062.1615532693304</v>
      </c>
      <c r="AZ30" s="1227">
        <v>17497.16562272</v>
      </c>
      <c r="BA30" s="1227">
        <v>9598.9306536094609</v>
      </c>
      <c r="BB30" s="1227">
        <v>17185.787086970002</v>
      </c>
      <c r="BC30" s="1227">
        <v>9406.8462785002212</v>
      </c>
      <c r="BD30" s="1227">
        <v>18058.382741294001</v>
      </c>
      <c r="BE30" s="1227">
        <v>9669.3479333725791</v>
      </c>
      <c r="BF30" s="1227">
        <v>18273.259061924</v>
      </c>
      <c r="BG30" s="1227">
        <v>9952.3056354977798</v>
      </c>
      <c r="BH30" s="1227">
        <v>19348.6466945709</v>
      </c>
      <c r="BI30" s="1227">
        <v>10295.36529758872</v>
      </c>
      <c r="BJ30" s="1227">
        <v>19603.4968018648</v>
      </c>
      <c r="BK30" s="1227">
        <v>10297.406617548018</v>
      </c>
      <c r="BL30" s="1227">
        <v>18995.032185367298</v>
      </c>
      <c r="BM30" s="1227">
        <v>10180.59318397164</v>
      </c>
      <c r="BN30" s="1227">
        <v>19805.232713158301</v>
      </c>
      <c r="BO30" s="1227">
        <v>10251.52133897356</v>
      </c>
      <c r="BP30" s="1227">
        <v>20380.6809326863</v>
      </c>
      <c r="BQ30" s="1227">
        <v>10521.40062270855</v>
      </c>
      <c r="BR30" s="1227">
        <v>20935.516187393998</v>
      </c>
      <c r="BS30" s="1227">
        <v>10584.82192467371</v>
      </c>
      <c r="BT30" s="1227">
        <v>21520.965833067101</v>
      </c>
      <c r="BU30" s="1227">
        <v>11153.262542863999</v>
      </c>
      <c r="BV30" s="1227">
        <v>22279.618842231201</v>
      </c>
      <c r="BW30" s="1227">
        <v>11324.417411713499</v>
      </c>
      <c r="BX30" s="1227">
        <v>21282.025489057902</v>
      </c>
      <c r="BY30" s="1227">
        <v>11078.24917671</v>
      </c>
      <c r="BZ30" s="1227">
        <v>20906.885980523999</v>
      </c>
      <c r="CA30" s="1227">
        <v>10979.451710347999</v>
      </c>
      <c r="CB30" s="1227">
        <v>20213.733710519999</v>
      </c>
      <c r="CC30" s="1602">
        <v>9755.7778030730897</v>
      </c>
      <c r="CD30" s="1602">
        <v>20411.491041540001</v>
      </c>
      <c r="CE30" s="1602">
        <v>9939.8543262399999</v>
      </c>
      <c r="CF30" s="1227">
        <v>20535.745107061</v>
      </c>
      <c r="CG30" s="1602">
        <v>9835.7379335400001</v>
      </c>
      <c r="CH30" s="1602">
        <v>19584.207801403001</v>
      </c>
      <c r="CI30" s="1602">
        <v>8728.1456653730002</v>
      </c>
      <c r="CJ30" s="1227">
        <v>19411.76055594</v>
      </c>
      <c r="CK30" s="1602">
        <v>8259.6888357414191</v>
      </c>
      <c r="CL30" s="1227">
        <v>19722.698495469998</v>
      </c>
      <c r="CM30" s="1602">
        <v>8025.7399566199902</v>
      </c>
      <c r="CN30" s="1602">
        <v>19755.837382680002</v>
      </c>
      <c r="CO30" s="1602">
        <v>7881.2804844900002</v>
      </c>
      <c r="CP30" s="1227">
        <v>20810.753931740001</v>
      </c>
      <c r="CQ30" s="1602">
        <v>8755.6066630012501</v>
      </c>
      <c r="CR30" s="1602">
        <v>20972.193340999998</v>
      </c>
      <c r="CS30" s="1602">
        <v>8368.7434128099994</v>
      </c>
      <c r="CT30" s="1227">
        <v>21967.911729880001</v>
      </c>
      <c r="CU30" s="1602">
        <v>9006.9152022734997</v>
      </c>
      <c r="CV30" s="1227">
        <v>22164.171256414498</v>
      </c>
      <c r="CW30" s="1602">
        <v>9548.9227733493899</v>
      </c>
      <c r="CX30" s="1227">
        <v>21955.71901836</v>
      </c>
      <c r="CY30" s="1602">
        <v>8930.5310548219604</v>
      </c>
      <c r="CZ30" s="1225" t="s">
        <v>3732</v>
      </c>
      <c r="DB30" s="1222"/>
      <c r="DC30" s="1266"/>
    </row>
    <row r="31" spans="1:107" ht="19.95" customHeight="1">
      <c r="A31" s="1225" t="s">
        <v>2282</v>
      </c>
      <c r="B31" s="1227">
        <v>2605.632430785</v>
      </c>
      <c r="C31" s="1227">
        <v>2382.6164468349998</v>
      </c>
      <c r="D31" s="1227">
        <v>2260.6001364849999</v>
      </c>
      <c r="E31" s="1227">
        <v>2083.371422535</v>
      </c>
      <c r="F31" s="1227">
        <v>2605.7393998450002</v>
      </c>
      <c r="G31" s="1227">
        <v>2408.6889228149998</v>
      </c>
      <c r="H31" s="1227">
        <v>2411.1356402850001</v>
      </c>
      <c r="I31" s="1227">
        <v>2231.7058432550002</v>
      </c>
      <c r="J31" s="1227">
        <v>2429.483437375</v>
      </c>
      <c r="K31" s="1227">
        <v>2181.2059713449999</v>
      </c>
      <c r="L31" s="1227">
        <v>2340.9509213649999</v>
      </c>
      <c r="M31" s="1227">
        <v>2094.5010173350001</v>
      </c>
      <c r="N31" s="1227">
        <v>2549.281817305</v>
      </c>
      <c r="O31" s="1227">
        <v>2301.191623275</v>
      </c>
      <c r="P31" s="1227">
        <v>2592.8545816850001</v>
      </c>
      <c r="Q31" s="1227">
        <v>2332.4359476549998</v>
      </c>
      <c r="R31" s="1227">
        <v>2206.1379737450002</v>
      </c>
      <c r="S31" s="1227">
        <v>1948.595340605</v>
      </c>
      <c r="T31" s="1227">
        <v>1934.8432226</v>
      </c>
      <c r="U31" s="1227">
        <v>1571.96863246</v>
      </c>
      <c r="V31" s="1227">
        <v>1937.1434986700001</v>
      </c>
      <c r="W31" s="1227">
        <v>1662.2143385300001</v>
      </c>
      <c r="X31" s="1227">
        <v>2084.3042833099998</v>
      </c>
      <c r="Y31" s="1227">
        <v>1667.5833131700001</v>
      </c>
      <c r="Z31" s="1227">
        <v>2039.0041034599999</v>
      </c>
      <c r="AA31" s="1227">
        <v>1741.4113133200001</v>
      </c>
      <c r="AB31" s="1227">
        <v>2122.7036180549999</v>
      </c>
      <c r="AC31" s="1227">
        <v>1739.5043933899999</v>
      </c>
      <c r="AD31" s="1227">
        <v>2058.1809057149999</v>
      </c>
      <c r="AE31" s="1227">
        <v>1657.037388145</v>
      </c>
      <c r="AF31" s="1227">
        <v>2119.2776282149998</v>
      </c>
      <c r="AG31" s="1227">
        <v>1683.974145165</v>
      </c>
      <c r="AH31" s="1227">
        <v>2118.7239517749999</v>
      </c>
      <c r="AI31" s="1227">
        <v>1705.6937062049999</v>
      </c>
      <c r="AJ31" s="1227">
        <v>2248.0628259949999</v>
      </c>
      <c r="AK31" s="1227">
        <v>1846.9172489949999</v>
      </c>
      <c r="AL31" s="1227">
        <v>2072.9087116350001</v>
      </c>
      <c r="AM31" s="1227">
        <v>1662.2346946350001</v>
      </c>
      <c r="AN31" s="1227">
        <v>2290.118500905</v>
      </c>
      <c r="AO31" s="1227">
        <v>1860.2016339050001</v>
      </c>
      <c r="AP31" s="1227">
        <v>2229.2640762350002</v>
      </c>
      <c r="AQ31" s="1227">
        <v>1860.5797192350001</v>
      </c>
      <c r="AR31" s="1227">
        <v>2091.8701283149999</v>
      </c>
      <c r="AS31" s="1227">
        <v>1663.7679883149999</v>
      </c>
      <c r="AT31" s="1227">
        <v>2081.1034593149998</v>
      </c>
      <c r="AU31" s="1227">
        <v>1648.504192315</v>
      </c>
      <c r="AV31" s="1227">
        <v>2075.1545063449998</v>
      </c>
      <c r="AW31" s="1227">
        <v>1623.9433579449999</v>
      </c>
      <c r="AX31" s="1227">
        <v>2052.5525210000001</v>
      </c>
      <c r="AY31" s="1227">
        <v>1598.7773026</v>
      </c>
      <c r="AZ31" s="1227">
        <v>2024.4199134800001</v>
      </c>
      <c r="BA31" s="1227">
        <v>1576.9024050800001</v>
      </c>
      <c r="BB31" s="1227">
        <v>2016.8563443600001</v>
      </c>
      <c r="BC31" s="1227">
        <v>1582.07607596</v>
      </c>
      <c r="BD31" s="1227">
        <v>1934.044031334</v>
      </c>
      <c r="BE31" s="1227">
        <v>1520.5625439339999</v>
      </c>
      <c r="BF31" s="1227">
        <v>1912.1496058739999</v>
      </c>
      <c r="BG31" s="1227">
        <v>1488.525797474</v>
      </c>
      <c r="BH31" s="1227">
        <v>1873.3525037049999</v>
      </c>
      <c r="BI31" s="1227">
        <v>1440.1944053049999</v>
      </c>
      <c r="BJ31" s="1227">
        <v>2250.8323201849998</v>
      </c>
      <c r="BK31" s="1227">
        <v>1761.958749855</v>
      </c>
      <c r="BL31" s="1227">
        <v>2392.246542544</v>
      </c>
      <c r="BM31" s="1227">
        <v>1769.391132214</v>
      </c>
      <c r="BN31" s="1227">
        <v>2403.2237505640001</v>
      </c>
      <c r="BO31" s="1227">
        <v>1766.720910234</v>
      </c>
      <c r="BP31" s="1227">
        <v>2388.3390784839999</v>
      </c>
      <c r="BQ31" s="1227">
        <v>1757.374037624</v>
      </c>
      <c r="BR31" s="1227">
        <v>2450.1731224139999</v>
      </c>
      <c r="BS31" s="1227">
        <v>1787.916433414</v>
      </c>
      <c r="BT31" s="1227">
        <v>2469.8834878739999</v>
      </c>
      <c r="BU31" s="1227">
        <v>1777.505798874</v>
      </c>
      <c r="BV31" s="1227">
        <v>2577.778223754</v>
      </c>
      <c r="BW31" s="1227">
        <v>1806.754754754</v>
      </c>
      <c r="BX31" s="1227">
        <v>2463.12152522</v>
      </c>
      <c r="BY31" s="1227">
        <v>1757.1726462199999</v>
      </c>
      <c r="BZ31" s="1227">
        <v>2844.651611194</v>
      </c>
      <c r="CA31" s="1227">
        <v>2048.9305321940001</v>
      </c>
      <c r="CB31" s="1227">
        <v>2893.9651612900002</v>
      </c>
      <c r="CC31" s="1602">
        <v>2056.7239412899999</v>
      </c>
      <c r="CD31" s="1602">
        <v>2965.9256805300001</v>
      </c>
      <c r="CE31" s="1602">
        <v>2082.8629455300002</v>
      </c>
      <c r="CF31" s="1227">
        <v>3043.4810976600002</v>
      </c>
      <c r="CG31" s="1602">
        <v>2060.1226120299998</v>
      </c>
      <c r="CH31" s="1602">
        <v>3478.324287763</v>
      </c>
      <c r="CI31" s="1602">
        <v>2354.2539533529998</v>
      </c>
      <c r="CJ31" s="1227">
        <v>3595.3718442300001</v>
      </c>
      <c r="CK31" s="1602">
        <v>2376.2828469800002</v>
      </c>
      <c r="CL31" s="1227">
        <v>3783.1365950999998</v>
      </c>
      <c r="CM31" s="1602">
        <v>2409.0972072200002</v>
      </c>
      <c r="CN31" s="1602">
        <v>3859.7432993100001</v>
      </c>
      <c r="CO31" s="1602">
        <v>2419.0604319099998</v>
      </c>
      <c r="CP31" s="1227">
        <v>3977.5567397</v>
      </c>
      <c r="CQ31" s="1602">
        <v>2368.2097632300001</v>
      </c>
      <c r="CR31" s="1602">
        <v>4127.8273398800002</v>
      </c>
      <c r="CS31" s="1602">
        <v>2448.0963308400001</v>
      </c>
      <c r="CT31" s="1227">
        <v>4499.5109948299996</v>
      </c>
      <c r="CU31" s="1602">
        <v>2663.39424246</v>
      </c>
      <c r="CV31" s="1227">
        <v>4664.38734484</v>
      </c>
      <c r="CW31" s="1602">
        <v>3007.04047726</v>
      </c>
      <c r="CX31" s="1227">
        <v>4918.3782980300002</v>
      </c>
      <c r="CY31" s="1602">
        <v>3194.54447807</v>
      </c>
      <c r="CZ31" s="1225" t="s">
        <v>3680</v>
      </c>
      <c r="DB31" s="1222"/>
      <c r="DC31" s="1266"/>
    </row>
    <row r="32" spans="1:107" ht="19.95" customHeight="1">
      <c r="A32" s="1225" t="s">
        <v>2281</v>
      </c>
      <c r="B32" s="1227">
        <v>10213.08347992</v>
      </c>
      <c r="C32" s="1227">
        <v>5337.7524896000004</v>
      </c>
      <c r="D32" s="1227">
        <v>10974.86142055</v>
      </c>
      <c r="E32" s="1227">
        <v>6051.4987348000004</v>
      </c>
      <c r="F32" s="1227">
        <v>10612.98454342</v>
      </c>
      <c r="G32" s="1227">
        <v>5532.3432636199996</v>
      </c>
      <c r="H32" s="1227">
        <v>10016.75054651</v>
      </c>
      <c r="I32" s="1227">
        <v>5410.8561595299998</v>
      </c>
      <c r="J32" s="1227">
        <v>9853.0096030099994</v>
      </c>
      <c r="K32" s="1227">
        <v>5214.5941421699999</v>
      </c>
      <c r="L32" s="1227">
        <v>10057.35591722</v>
      </c>
      <c r="M32" s="1227">
        <v>5262.1522382858202</v>
      </c>
      <c r="N32" s="1227">
        <v>9240.1392813000002</v>
      </c>
      <c r="O32" s="1227">
        <v>4605.1252091320102</v>
      </c>
      <c r="P32" s="1227">
        <v>9099.0683955500008</v>
      </c>
      <c r="Q32" s="1227">
        <v>4343.5902504880796</v>
      </c>
      <c r="R32" s="1227">
        <v>9599.8602139600007</v>
      </c>
      <c r="S32" s="1227">
        <v>4705.48665757242</v>
      </c>
      <c r="T32" s="1227">
        <v>9726.5509815200003</v>
      </c>
      <c r="U32" s="1227">
        <v>4658.7602068965998</v>
      </c>
      <c r="V32" s="1227">
        <v>9709.7223287600009</v>
      </c>
      <c r="W32" s="1227">
        <v>4603.5416337320203</v>
      </c>
      <c r="X32" s="1227">
        <v>9430.5974967500006</v>
      </c>
      <c r="Y32" s="1227">
        <v>4757.5621230523502</v>
      </c>
      <c r="Z32" s="1227">
        <v>10639.271974650001</v>
      </c>
      <c r="AA32" s="1227">
        <v>5159.0802569132202</v>
      </c>
      <c r="AB32" s="1227">
        <v>10086.247799180001</v>
      </c>
      <c r="AC32" s="1227">
        <v>4832.3821299674801</v>
      </c>
      <c r="AD32" s="1227">
        <v>10348.101249310001</v>
      </c>
      <c r="AE32" s="1227">
        <v>4872.2924564294299</v>
      </c>
      <c r="AF32" s="1227">
        <v>10918.453188199999</v>
      </c>
      <c r="AG32" s="1227">
        <v>4985.66497944</v>
      </c>
      <c r="AH32" s="1227">
        <v>11018.49202043</v>
      </c>
      <c r="AI32" s="1227">
        <v>4829.30714807</v>
      </c>
      <c r="AJ32" s="1227">
        <v>11339.397075250001</v>
      </c>
      <c r="AK32" s="1227">
        <v>4956.9443655900004</v>
      </c>
      <c r="AL32" s="1227">
        <v>11781.46280329</v>
      </c>
      <c r="AM32" s="1227">
        <v>5471.3484764699997</v>
      </c>
      <c r="AN32" s="1227">
        <v>12119.68362596</v>
      </c>
      <c r="AO32" s="1227">
        <v>5899.8247239800003</v>
      </c>
      <c r="AP32" s="1227">
        <v>12120.265452199999</v>
      </c>
      <c r="AQ32" s="1227">
        <v>5518.69756719</v>
      </c>
      <c r="AR32" s="1227">
        <v>12894.54274986</v>
      </c>
      <c r="AS32" s="1227">
        <v>6189.7275861714897</v>
      </c>
      <c r="AT32" s="1227">
        <v>13231.22284176</v>
      </c>
      <c r="AU32" s="1227">
        <v>6389.6743287537502</v>
      </c>
      <c r="AV32" s="1227">
        <v>13787.542432550001</v>
      </c>
      <c r="AW32" s="1227">
        <v>6743.6180227488003</v>
      </c>
      <c r="AX32" s="1227">
        <v>15853.32902784</v>
      </c>
      <c r="AY32" s="1227">
        <v>7463.38425066933</v>
      </c>
      <c r="AZ32" s="1227">
        <v>15472.74570924</v>
      </c>
      <c r="BA32" s="1227">
        <v>8022.0282485294601</v>
      </c>
      <c r="BB32" s="1227">
        <v>15168.93074261</v>
      </c>
      <c r="BC32" s="1227">
        <v>7824.7702025402205</v>
      </c>
      <c r="BD32" s="1227">
        <v>16124.33870996</v>
      </c>
      <c r="BE32" s="1227">
        <v>8148.7853894385798</v>
      </c>
      <c r="BF32" s="1227">
        <v>16361.109456050001</v>
      </c>
      <c r="BG32" s="1227">
        <v>8463.77983802378</v>
      </c>
      <c r="BH32" s="1227">
        <v>17475.294190865901</v>
      </c>
      <c r="BI32" s="1227">
        <v>8855.1708922837206</v>
      </c>
      <c r="BJ32" s="1227">
        <v>17352.6644816798</v>
      </c>
      <c r="BK32" s="1227">
        <v>8535.4478676930194</v>
      </c>
      <c r="BL32" s="1227">
        <v>16602.785642823299</v>
      </c>
      <c r="BM32" s="1227">
        <v>8411.2020517576402</v>
      </c>
      <c r="BN32" s="1227">
        <v>17402.0089625943</v>
      </c>
      <c r="BO32" s="1227">
        <v>8484.8004287395597</v>
      </c>
      <c r="BP32" s="1227">
        <v>17992.341854202299</v>
      </c>
      <c r="BQ32" s="1227">
        <v>8764.0265850845499</v>
      </c>
      <c r="BR32" s="1227">
        <v>18485.343064979999</v>
      </c>
      <c r="BS32" s="1227">
        <v>8796.9054912597094</v>
      </c>
      <c r="BT32" s="1227">
        <v>19051.082345193099</v>
      </c>
      <c r="BU32" s="1227">
        <v>9375.7567439899994</v>
      </c>
      <c r="BV32" s="1227">
        <v>19701.840618477199</v>
      </c>
      <c r="BW32" s="1227">
        <v>9517.6626569594991</v>
      </c>
      <c r="BX32" s="1227">
        <v>18818.9039638379</v>
      </c>
      <c r="BY32" s="1227">
        <v>9321.0765304899996</v>
      </c>
      <c r="BZ32" s="1227">
        <v>18062.234369329999</v>
      </c>
      <c r="CA32" s="1227">
        <v>8930.5211781539492</v>
      </c>
      <c r="CB32" s="1227">
        <v>17319.74854923</v>
      </c>
      <c r="CC32" s="1602">
        <v>7699.0538617830798</v>
      </c>
      <c r="CD32" s="1602">
        <v>17445.565361010002</v>
      </c>
      <c r="CE32" s="1602">
        <v>7856.9913807100002</v>
      </c>
      <c r="CF32" s="1227">
        <v>17492.244009401002</v>
      </c>
      <c r="CG32" s="1602">
        <v>7775.6153215100003</v>
      </c>
      <c r="CH32" s="1602">
        <v>16105.883513639999</v>
      </c>
      <c r="CI32" s="1602">
        <v>6373.8917120200003</v>
      </c>
      <c r="CJ32" s="1227">
        <v>15816.38871171</v>
      </c>
      <c r="CK32" s="1602">
        <v>5883.4059887614203</v>
      </c>
      <c r="CL32" s="1227">
        <v>15939.561900369999</v>
      </c>
      <c r="CM32" s="1602">
        <v>5616.64274939999</v>
      </c>
      <c r="CN32" s="1602">
        <v>15896.08408337</v>
      </c>
      <c r="CO32" s="1602">
        <v>5462.2200525799999</v>
      </c>
      <c r="CP32" s="1227">
        <v>16833.207192040001</v>
      </c>
      <c r="CQ32" s="1602">
        <v>6387.39689977125</v>
      </c>
      <c r="CR32" s="1602">
        <v>16844.366001120001</v>
      </c>
      <c r="CS32" s="1602">
        <v>5920.6470819699998</v>
      </c>
      <c r="CT32" s="1227">
        <v>17468.40073505</v>
      </c>
      <c r="CU32" s="1602">
        <v>6343.5209598134998</v>
      </c>
      <c r="CV32" s="1227">
        <v>17499.783911574501</v>
      </c>
      <c r="CW32" s="1602">
        <v>6541.8822960893904</v>
      </c>
      <c r="CX32" s="1227">
        <v>17037.340720330001</v>
      </c>
      <c r="CY32" s="1602">
        <v>5735.9865767519696</v>
      </c>
      <c r="CZ32" s="1225" t="s">
        <v>3733</v>
      </c>
      <c r="DB32" s="1222"/>
      <c r="DC32" s="1266"/>
    </row>
    <row r="33" spans="1:107" ht="45" customHeight="1">
      <c r="A33" s="1225" t="s">
        <v>2280</v>
      </c>
      <c r="B33" s="1227">
        <v>129.95150220000002</v>
      </c>
      <c r="C33" s="1227">
        <v>19.143010879999999</v>
      </c>
      <c r="D33" s="1227">
        <v>163.5</v>
      </c>
      <c r="E33" s="1227">
        <v>21.52852524</v>
      </c>
      <c r="F33" s="1227">
        <v>122.4</v>
      </c>
      <c r="G33" s="1227">
        <v>22.062280520000002</v>
      </c>
      <c r="H33" s="1227">
        <v>93</v>
      </c>
      <c r="I33" s="1227">
        <v>23.282899359999998</v>
      </c>
      <c r="J33" s="1227">
        <v>100.5</v>
      </c>
      <c r="K33" s="1227">
        <v>24.534427040000001</v>
      </c>
      <c r="L33" s="1227">
        <v>110.3</v>
      </c>
      <c r="M33" s="1227">
        <v>26.108711199999998</v>
      </c>
      <c r="N33" s="1227">
        <v>114.1</v>
      </c>
      <c r="O33" s="1227">
        <v>31.476227949999998</v>
      </c>
      <c r="P33" s="1227">
        <v>98.8</v>
      </c>
      <c r="Q33" s="1227">
        <v>22.170521489999999</v>
      </c>
      <c r="R33" s="1227">
        <v>110.7</v>
      </c>
      <c r="S33" s="1227">
        <v>22.122007010000001</v>
      </c>
      <c r="T33" s="1227">
        <v>118.2</v>
      </c>
      <c r="U33" s="1227">
        <v>19.109452080000001</v>
      </c>
      <c r="V33" s="1227">
        <v>109.6</v>
      </c>
      <c r="W33" s="1227">
        <v>18.60909706</v>
      </c>
      <c r="X33" s="1227">
        <v>110.42</v>
      </c>
      <c r="Y33" s="1227">
        <v>18.62141798</v>
      </c>
      <c r="Z33" s="1227">
        <v>133.19999999999999</v>
      </c>
      <c r="AA33" s="1227">
        <v>20.974967110000001</v>
      </c>
      <c r="AB33" s="1227">
        <v>123.3</v>
      </c>
      <c r="AC33" s="1227">
        <v>20.114467319999999</v>
      </c>
      <c r="AD33" s="1227">
        <v>132.4</v>
      </c>
      <c r="AE33" s="1227">
        <v>20.606501120000001</v>
      </c>
      <c r="AF33" s="1227">
        <v>134.69999999999999</v>
      </c>
      <c r="AG33" s="1227">
        <v>20.919112539999997</v>
      </c>
      <c r="AH33" s="1227">
        <v>133</v>
      </c>
      <c r="AI33" s="1227">
        <v>20.316024290000001</v>
      </c>
      <c r="AJ33" s="1227">
        <v>157.19999999999999</v>
      </c>
      <c r="AK33" s="1227">
        <v>23.936149480000001</v>
      </c>
      <c r="AL33" s="1227">
        <v>164.74</v>
      </c>
      <c r="AM33" s="1227">
        <v>25.645431030000001</v>
      </c>
      <c r="AN33" s="1227">
        <v>166.4</v>
      </c>
      <c r="AO33" s="1227">
        <v>25.645431030000001</v>
      </c>
      <c r="AP33" s="1227">
        <v>158.9</v>
      </c>
      <c r="AQ33" s="1227">
        <v>23.883466810000002</v>
      </c>
      <c r="AR33" s="1227">
        <v>174.5</v>
      </c>
      <c r="AS33" s="1227">
        <v>21.670352080000001</v>
      </c>
      <c r="AT33" s="1227">
        <v>173.6</v>
      </c>
      <c r="AU33" s="1227">
        <v>21.75412145</v>
      </c>
      <c r="AV33" s="1227">
        <v>170.8</v>
      </c>
      <c r="AW33" s="1227">
        <v>21.987883790000001</v>
      </c>
      <c r="AX33" s="1227">
        <v>209</v>
      </c>
      <c r="AY33" s="1227">
        <v>23.822197200000002</v>
      </c>
      <c r="AZ33" s="1227">
        <v>178.9</v>
      </c>
      <c r="BA33" s="1227">
        <v>21.797542870000001</v>
      </c>
      <c r="BB33" s="1227">
        <v>166.9</v>
      </c>
      <c r="BC33" s="1227">
        <v>21.582182509999999</v>
      </c>
      <c r="BD33" s="1227">
        <v>171.3</v>
      </c>
      <c r="BE33" s="1227">
        <v>22.603369010000002</v>
      </c>
      <c r="BF33" s="1227">
        <v>175</v>
      </c>
      <c r="BG33" s="1227">
        <v>22.521953230000001</v>
      </c>
      <c r="BH33" s="1227">
        <v>204.2</v>
      </c>
      <c r="BI33" s="1227">
        <v>28.5717517</v>
      </c>
      <c r="BJ33" s="1227">
        <v>217.6</v>
      </c>
      <c r="BK33" s="1227">
        <v>28.53345633</v>
      </c>
      <c r="BL33" s="1227">
        <v>211.6</v>
      </c>
      <c r="BM33" s="1227">
        <v>29.721467109999999</v>
      </c>
      <c r="BN33" s="1227">
        <v>226.4</v>
      </c>
      <c r="BO33" s="1227">
        <v>26.136257789999998</v>
      </c>
      <c r="BP33" s="1227">
        <v>232.7</v>
      </c>
      <c r="BQ33" s="1227">
        <v>27.6</v>
      </c>
      <c r="BR33" s="1227">
        <v>243.4</v>
      </c>
      <c r="BS33" s="1227">
        <v>31.8</v>
      </c>
      <c r="BT33" s="1227">
        <v>248.7</v>
      </c>
      <c r="BU33" s="1227">
        <v>31.8</v>
      </c>
      <c r="BV33" s="1227">
        <v>260.01</v>
      </c>
      <c r="BW33" s="1227">
        <v>34.700000000000003</v>
      </c>
      <c r="BX33" s="1227">
        <v>241.7</v>
      </c>
      <c r="BY33" s="1227">
        <v>33.1</v>
      </c>
      <c r="BZ33" s="1227">
        <v>247.9</v>
      </c>
      <c r="CA33" s="1227">
        <v>32.6</v>
      </c>
      <c r="CB33" s="1227">
        <v>244.9</v>
      </c>
      <c r="CC33" s="1602">
        <v>32.700000000000003</v>
      </c>
      <c r="CD33" s="1602">
        <v>256.2</v>
      </c>
      <c r="CE33" s="1602">
        <v>34.799999999999997</v>
      </c>
      <c r="CF33" s="1227">
        <v>257.7</v>
      </c>
      <c r="CG33" s="1602">
        <v>42.2</v>
      </c>
      <c r="CH33" s="1602">
        <v>276.3</v>
      </c>
      <c r="CI33" s="1602">
        <v>33.299999999999997</v>
      </c>
      <c r="CJ33" s="1227">
        <v>276.2</v>
      </c>
      <c r="CK33" s="1602">
        <v>36.5</v>
      </c>
      <c r="CL33" s="1227">
        <v>304.10000000000002</v>
      </c>
      <c r="CM33" s="1602">
        <v>33.6</v>
      </c>
      <c r="CN33" s="1602">
        <v>287.05</v>
      </c>
      <c r="CO33" s="1602">
        <v>31.2</v>
      </c>
      <c r="CP33" s="1227">
        <v>292.93867286</v>
      </c>
      <c r="CQ33" s="1602">
        <v>29.702603989999997</v>
      </c>
      <c r="CR33" s="1602">
        <v>271.37</v>
      </c>
      <c r="CS33" s="1602">
        <v>30</v>
      </c>
      <c r="CT33" s="1227">
        <v>365.6</v>
      </c>
      <c r="CU33" s="1602">
        <v>30.5</v>
      </c>
      <c r="CV33" s="1227">
        <v>284.93504696000002</v>
      </c>
      <c r="CW33" s="1602">
        <v>29.67</v>
      </c>
      <c r="CX33" s="1227">
        <v>263.60000000000002</v>
      </c>
      <c r="CY33" s="1602">
        <v>32.369999999999997</v>
      </c>
      <c r="CZ33" s="1225" t="s">
        <v>3736</v>
      </c>
    </row>
    <row r="34" spans="1:107" ht="19.95" customHeight="1">
      <c r="A34" s="1225" t="s">
        <v>2279</v>
      </c>
      <c r="B34" s="1227">
        <v>326.14865974999998</v>
      </c>
      <c r="C34" s="1227">
        <v>0</v>
      </c>
      <c r="D34" s="1227">
        <v>343.56948649999998</v>
      </c>
      <c r="E34" s="1227">
        <v>0</v>
      </c>
      <c r="F34" s="1227">
        <v>348.07110497000002</v>
      </c>
      <c r="G34" s="1227">
        <v>0</v>
      </c>
      <c r="H34" s="1227">
        <v>350.74512256999998</v>
      </c>
      <c r="I34" s="1227">
        <v>0</v>
      </c>
      <c r="J34" s="1227">
        <v>438.34958712000002</v>
      </c>
      <c r="K34" s="1227">
        <v>0</v>
      </c>
      <c r="L34" s="1227">
        <v>397.70456969000003</v>
      </c>
      <c r="M34" s="1227">
        <v>0</v>
      </c>
      <c r="N34" s="1227">
        <v>382.40186720000003</v>
      </c>
      <c r="O34" s="1227">
        <v>0</v>
      </c>
      <c r="P34" s="1227">
        <v>382.17073699000002</v>
      </c>
      <c r="Q34" s="1227">
        <v>0</v>
      </c>
      <c r="R34" s="1227">
        <v>382.03773698999998</v>
      </c>
      <c r="S34" s="1227">
        <v>0</v>
      </c>
      <c r="T34" s="1227">
        <v>384.83773699</v>
      </c>
      <c r="U34" s="1227">
        <v>0</v>
      </c>
      <c r="V34" s="1227">
        <v>375.83773699</v>
      </c>
      <c r="W34" s="1227">
        <v>0</v>
      </c>
      <c r="X34" s="1227">
        <v>375.73773698999997</v>
      </c>
      <c r="Y34" s="1227">
        <v>0</v>
      </c>
      <c r="Z34" s="1227">
        <v>374.41500698999999</v>
      </c>
      <c r="AA34" s="1227">
        <v>0</v>
      </c>
      <c r="AB34" s="1227">
        <v>374.13773699000001</v>
      </c>
      <c r="AC34" s="1227">
        <v>0</v>
      </c>
      <c r="AD34" s="1227">
        <v>373.58773699</v>
      </c>
      <c r="AE34" s="1227">
        <v>0</v>
      </c>
      <c r="AF34" s="1227">
        <v>371.40262299</v>
      </c>
      <c r="AG34" s="1227">
        <v>0</v>
      </c>
      <c r="AH34" s="1227">
        <v>371.30262298999997</v>
      </c>
      <c r="AI34" s="1227">
        <v>0</v>
      </c>
      <c r="AJ34" s="1227">
        <v>371.30262298999997</v>
      </c>
      <c r="AK34" s="1227">
        <v>2.77450284920633E-6</v>
      </c>
      <c r="AL34" s="1227">
        <v>371.10262298999999</v>
      </c>
      <c r="AM34" s="1227">
        <v>0</v>
      </c>
      <c r="AN34" s="1227">
        <v>371.00073699000001</v>
      </c>
      <c r="AO34" s="1227">
        <v>0</v>
      </c>
      <c r="AP34" s="1227">
        <v>370.90073697000003</v>
      </c>
      <c r="AQ34" s="1227">
        <v>0</v>
      </c>
      <c r="AR34" s="1227">
        <v>370.80073697</v>
      </c>
      <c r="AS34" s="1227">
        <v>0</v>
      </c>
      <c r="AT34" s="1227">
        <v>370.24878697000003</v>
      </c>
      <c r="AU34" s="1227">
        <v>0</v>
      </c>
      <c r="AV34" s="1227">
        <v>324.21888412999999</v>
      </c>
      <c r="AW34" s="1227">
        <v>0</v>
      </c>
      <c r="AX34" s="1227">
        <v>319.05832810999999</v>
      </c>
      <c r="AY34" s="1227">
        <v>0</v>
      </c>
      <c r="AZ34" s="1227">
        <v>317.26032810999999</v>
      </c>
      <c r="BA34" s="1227">
        <v>0</v>
      </c>
      <c r="BB34" s="1227">
        <v>317.16032811000002</v>
      </c>
      <c r="BC34" s="1227">
        <v>0</v>
      </c>
      <c r="BD34" s="1227">
        <v>317.16032811000002</v>
      </c>
      <c r="BE34" s="1227">
        <v>0</v>
      </c>
      <c r="BF34" s="1227">
        <v>325.96032810999998</v>
      </c>
      <c r="BG34" s="1227">
        <v>0</v>
      </c>
      <c r="BH34" s="1227">
        <v>290.86032811000001</v>
      </c>
      <c r="BI34" s="1227">
        <v>69.003859773000002</v>
      </c>
      <c r="BJ34" s="1227">
        <v>280.98227810999998</v>
      </c>
      <c r="BK34" s="1227">
        <v>0</v>
      </c>
      <c r="BL34" s="1227">
        <v>275.42858404999998</v>
      </c>
      <c r="BM34" s="1227">
        <v>82.396163313000002</v>
      </c>
      <c r="BN34" s="1227">
        <v>274.67858404999998</v>
      </c>
      <c r="BO34" s="1227">
        <v>0</v>
      </c>
      <c r="BP34" s="1227">
        <v>270.92857405000001</v>
      </c>
      <c r="BQ34" s="1227">
        <v>0</v>
      </c>
      <c r="BR34" s="1227">
        <v>268.62858404999997</v>
      </c>
      <c r="BS34" s="1227">
        <v>0</v>
      </c>
      <c r="BT34" s="1227">
        <v>222.36971765000001</v>
      </c>
      <c r="BU34" s="1227">
        <v>0</v>
      </c>
      <c r="BV34" s="1227">
        <v>217.04051163</v>
      </c>
      <c r="BW34" s="1227">
        <v>0</v>
      </c>
      <c r="BX34" s="1227">
        <v>215.01116163</v>
      </c>
      <c r="BY34" s="1227">
        <v>0</v>
      </c>
      <c r="BZ34" s="1227">
        <v>214.71116162999999</v>
      </c>
      <c r="CA34" s="1227">
        <v>0</v>
      </c>
      <c r="CB34" s="1227">
        <v>118.86116163</v>
      </c>
      <c r="CC34" s="1602">
        <v>0</v>
      </c>
      <c r="CD34" s="1602">
        <v>108.56116163</v>
      </c>
      <c r="CE34" s="1602">
        <v>0</v>
      </c>
      <c r="CF34" s="1227">
        <v>107.66116163</v>
      </c>
      <c r="CG34" s="1602">
        <v>0</v>
      </c>
      <c r="CH34" s="1602">
        <v>107.66116163</v>
      </c>
      <c r="CI34" s="1602">
        <v>0</v>
      </c>
      <c r="CJ34" s="1227">
        <v>107.66116163</v>
      </c>
      <c r="CK34" s="1602">
        <v>0</v>
      </c>
      <c r="CL34" s="1227">
        <v>107.66116163</v>
      </c>
      <c r="CM34" s="1602">
        <v>0</v>
      </c>
      <c r="CN34" s="1602">
        <v>107.66116163</v>
      </c>
      <c r="CO34" s="1602">
        <v>0</v>
      </c>
      <c r="CP34" s="1227">
        <v>91.961361629999999</v>
      </c>
      <c r="CQ34" s="1602">
        <v>0</v>
      </c>
      <c r="CR34" s="1602">
        <v>50.60039845</v>
      </c>
      <c r="CS34" s="1602">
        <v>0</v>
      </c>
      <c r="CT34" s="1227">
        <v>47.13453243</v>
      </c>
      <c r="CU34" s="1602">
        <v>0</v>
      </c>
      <c r="CV34" s="1227">
        <v>47.13453243</v>
      </c>
      <c r="CW34" s="1602">
        <v>0</v>
      </c>
      <c r="CX34" s="1227">
        <v>47.13453243</v>
      </c>
      <c r="CY34" s="1602">
        <v>0</v>
      </c>
      <c r="CZ34" s="1225" t="s">
        <v>3681</v>
      </c>
    </row>
    <row r="35" spans="1:107" ht="19.95" customHeight="1">
      <c r="A35" s="1225" t="s">
        <v>2278</v>
      </c>
      <c r="B35" s="1227">
        <v>234.95188440999999</v>
      </c>
      <c r="C35" s="1227">
        <v>195.12327683000001</v>
      </c>
      <c r="D35" s="1227">
        <v>268.88079490000001</v>
      </c>
      <c r="E35" s="1227">
        <v>221.43274323</v>
      </c>
      <c r="F35" s="1227">
        <v>206.90925983</v>
      </c>
      <c r="G35" s="1227">
        <v>157.21659851999999</v>
      </c>
      <c r="H35" s="1227">
        <v>344.54410624000002</v>
      </c>
      <c r="I35" s="1227">
        <v>280.95656596999999</v>
      </c>
      <c r="J35" s="1227">
        <v>230.08420482</v>
      </c>
      <c r="K35" s="1227">
        <v>166.74980052000001</v>
      </c>
      <c r="L35" s="1227">
        <v>229.87628418</v>
      </c>
      <c r="M35" s="1227">
        <v>167.22694964999999</v>
      </c>
      <c r="N35" s="1227">
        <v>243.38250004</v>
      </c>
      <c r="O35" s="1227">
        <v>178.9507323405</v>
      </c>
      <c r="P35" s="1227">
        <v>210.99147250999999</v>
      </c>
      <c r="Q35" s="1227">
        <v>149.1312587553</v>
      </c>
      <c r="R35" s="1227">
        <v>221.34554524000001</v>
      </c>
      <c r="S35" s="1227">
        <v>152.62385587</v>
      </c>
      <c r="T35" s="1227">
        <v>220.34780151999999</v>
      </c>
      <c r="U35" s="1227">
        <v>152.3323612332</v>
      </c>
      <c r="V35" s="1227">
        <v>208.16022624114899</v>
      </c>
      <c r="W35" s="1227">
        <v>144.91526914714899</v>
      </c>
      <c r="X35" s="1227">
        <v>182.2740847</v>
      </c>
      <c r="Y35" s="1227">
        <v>119.2670949874</v>
      </c>
      <c r="Z35" s="1227">
        <v>232.02204954000001</v>
      </c>
      <c r="AA35" s="1227">
        <v>189.21168436299999</v>
      </c>
      <c r="AB35" s="1227">
        <v>220.95203647</v>
      </c>
      <c r="AC35" s="1227">
        <v>172.33375380769999</v>
      </c>
      <c r="AD35" s="1227">
        <v>233.29354089</v>
      </c>
      <c r="AE35" s="1227">
        <v>178.90467731909999</v>
      </c>
      <c r="AF35" s="1227">
        <v>233.55590319000001</v>
      </c>
      <c r="AG35" s="1227">
        <v>175.27538393680001</v>
      </c>
      <c r="AH35" s="1227">
        <v>262.92395310000001</v>
      </c>
      <c r="AI35" s="1227">
        <v>200.91243184999999</v>
      </c>
      <c r="AJ35" s="1227">
        <v>286.38107255675197</v>
      </c>
      <c r="AK35" s="1227">
        <v>226.143744995752</v>
      </c>
      <c r="AL35" s="1227">
        <v>227.63048746999999</v>
      </c>
      <c r="AM35" s="1227">
        <v>166.36580282</v>
      </c>
      <c r="AN35" s="1227">
        <v>213.98056588</v>
      </c>
      <c r="AO35" s="1227">
        <v>155.09159245699999</v>
      </c>
      <c r="AP35" s="1227">
        <v>193.33207709999999</v>
      </c>
      <c r="AQ35" s="1227">
        <v>132.359420296</v>
      </c>
      <c r="AR35" s="1227">
        <v>195.54766022000001</v>
      </c>
      <c r="AS35" s="1227">
        <v>134.833952616</v>
      </c>
      <c r="AT35" s="1227">
        <v>229.77275931</v>
      </c>
      <c r="AU35" s="1227">
        <v>169.78752703999999</v>
      </c>
      <c r="AV35" s="1227">
        <v>192.38832054</v>
      </c>
      <c r="AW35" s="1227">
        <v>133.339844629</v>
      </c>
      <c r="AX35" s="1227">
        <v>195.48950944804801</v>
      </c>
      <c r="AY35" s="1227">
        <v>141.84033955804799</v>
      </c>
      <c r="AZ35" s="1227">
        <v>210.17104859193799</v>
      </c>
      <c r="BA35" s="1227">
        <v>155.87378210193799</v>
      </c>
      <c r="BB35" s="1227">
        <v>210.29747437797201</v>
      </c>
      <c r="BC35" s="1227">
        <v>148.599841717972</v>
      </c>
      <c r="BD35" s="1227">
        <v>296.44900424076098</v>
      </c>
      <c r="BE35" s="1227">
        <v>237.555931030761</v>
      </c>
      <c r="BF35" s="1227">
        <v>357.15524324896302</v>
      </c>
      <c r="BG35" s="1227">
        <v>297.89144419896297</v>
      </c>
      <c r="BH35" s="1227">
        <v>418.65025798083002</v>
      </c>
      <c r="BI35" s="1227">
        <v>358.81315937083002</v>
      </c>
      <c r="BJ35" s="1227">
        <v>559.52983333999998</v>
      </c>
      <c r="BK35" s="1227">
        <v>467.95474130999997</v>
      </c>
      <c r="BL35" s="1227">
        <v>359.25306677860902</v>
      </c>
      <c r="BM35" s="1227">
        <v>293.142836318609</v>
      </c>
      <c r="BN35" s="1227">
        <v>426.36335369865299</v>
      </c>
      <c r="BO35" s="1227">
        <v>335.14947911865301</v>
      </c>
      <c r="BP35" s="1227">
        <v>568.23708756689996</v>
      </c>
      <c r="BQ35" s="1227">
        <v>477.3479928269</v>
      </c>
      <c r="BR35" s="1227">
        <v>567.73249526209895</v>
      </c>
      <c r="BS35" s="1227">
        <v>491.89208173209897</v>
      </c>
      <c r="BT35" s="1227">
        <v>512.93045197336403</v>
      </c>
      <c r="BU35" s="1227">
        <v>438.47528286336399</v>
      </c>
      <c r="BV35" s="1227">
        <v>560.36944358786104</v>
      </c>
      <c r="BW35" s="1227">
        <v>480.54995175786098</v>
      </c>
      <c r="BX35" s="1227">
        <v>479.70377755999999</v>
      </c>
      <c r="BY35" s="1227">
        <v>393.29119588999998</v>
      </c>
      <c r="BZ35" s="1227">
        <v>450.34329334276703</v>
      </c>
      <c r="CA35" s="1227">
        <v>370.052596772767</v>
      </c>
      <c r="CB35" s="1227">
        <v>420.296261081978</v>
      </c>
      <c r="CC35" s="1602">
        <v>347.80271800197801</v>
      </c>
      <c r="CD35" s="1602">
        <v>681.54565356000001</v>
      </c>
      <c r="CE35" s="1602">
        <v>598.38687166</v>
      </c>
      <c r="CF35" s="1227">
        <v>645.88828195999997</v>
      </c>
      <c r="CG35" s="1602">
        <v>568.15523129999997</v>
      </c>
      <c r="CH35" s="1602">
        <v>705.55861109</v>
      </c>
      <c r="CI35" s="1602">
        <v>622.76777428000003</v>
      </c>
      <c r="CJ35" s="1227">
        <v>353.30424454000001</v>
      </c>
      <c r="CK35" s="1602">
        <v>280.71941493000003</v>
      </c>
      <c r="CL35" s="1227">
        <v>385.36184363000001</v>
      </c>
      <c r="CM35" s="1602">
        <v>320.32537150000002</v>
      </c>
      <c r="CN35" s="1602">
        <v>291.11862941999999</v>
      </c>
      <c r="CO35" s="1602">
        <v>221.80893753000001</v>
      </c>
      <c r="CP35" s="1227">
        <v>287.04156884000002</v>
      </c>
      <c r="CQ35" s="1602">
        <v>213.65329657999999</v>
      </c>
      <c r="CR35" s="1602">
        <v>260.19356936999998</v>
      </c>
      <c r="CS35" s="1602">
        <v>178.33082769999999</v>
      </c>
      <c r="CT35" s="1227">
        <v>343.33583450162303</v>
      </c>
      <c r="CU35" s="1602">
        <v>256.12987224162299</v>
      </c>
      <c r="CV35" s="1227">
        <v>518.63267185999996</v>
      </c>
      <c r="CW35" s="1602">
        <v>382.52940505999999</v>
      </c>
      <c r="CX35" s="1227">
        <v>382.68585009999998</v>
      </c>
      <c r="CY35" s="1602">
        <v>284.44013920999998</v>
      </c>
      <c r="CZ35" s="1225" t="s">
        <v>3682</v>
      </c>
    </row>
    <row r="36" spans="1:107" ht="19.95" customHeight="1">
      <c r="A36" s="1225" t="s">
        <v>2277</v>
      </c>
      <c r="B36" s="1227">
        <v>1205.473989455</v>
      </c>
      <c r="C36" s="1227">
        <v>805.22246830500001</v>
      </c>
      <c r="D36" s="1227">
        <v>1192.509263935</v>
      </c>
      <c r="E36" s="1227">
        <v>786.42368431499995</v>
      </c>
      <c r="F36" s="1227">
        <v>1216.232269005</v>
      </c>
      <c r="G36" s="1227">
        <v>784.45135568499995</v>
      </c>
      <c r="H36" s="1227">
        <v>1438.5786233650001</v>
      </c>
      <c r="I36" s="1227">
        <v>885.936082425</v>
      </c>
      <c r="J36" s="1227">
        <v>1465.889575205</v>
      </c>
      <c r="K36" s="1227">
        <v>904.29541955499997</v>
      </c>
      <c r="L36" s="1227">
        <v>1429.892652705</v>
      </c>
      <c r="M36" s="1227">
        <v>883.25552543499998</v>
      </c>
      <c r="N36" s="1227">
        <v>1187.458369665</v>
      </c>
      <c r="O36" s="1227">
        <v>711.32252476500003</v>
      </c>
      <c r="P36" s="1227">
        <v>1202.164976215</v>
      </c>
      <c r="Q36" s="1227">
        <v>708.80436991500005</v>
      </c>
      <c r="R36" s="1227">
        <v>1184.3007328450001</v>
      </c>
      <c r="S36" s="1227">
        <v>697.36764365500005</v>
      </c>
      <c r="T36" s="1227">
        <v>1179.843269555</v>
      </c>
      <c r="U36" s="1227">
        <v>690.97068072499997</v>
      </c>
      <c r="V36" s="1227">
        <v>1127.4725294249999</v>
      </c>
      <c r="W36" s="1227">
        <v>644.60388046499997</v>
      </c>
      <c r="X36" s="1227">
        <v>1118.5774672150001</v>
      </c>
      <c r="Y36" s="1227">
        <v>640.782915495</v>
      </c>
      <c r="Z36" s="1227">
        <v>1078.2126508649999</v>
      </c>
      <c r="AA36" s="1227">
        <v>612.19329358499999</v>
      </c>
      <c r="AB36" s="1227">
        <v>1046.630043415</v>
      </c>
      <c r="AC36" s="1227">
        <v>601.56651486500004</v>
      </c>
      <c r="AD36" s="1227">
        <v>965.36994664500003</v>
      </c>
      <c r="AE36" s="1227">
        <v>550.44659183500005</v>
      </c>
      <c r="AF36" s="1227">
        <v>908.68387406500005</v>
      </c>
      <c r="AG36" s="1227">
        <v>537.42387948500004</v>
      </c>
      <c r="AH36" s="1227">
        <v>955.93976571500002</v>
      </c>
      <c r="AI36" s="1227">
        <v>551.17753047500003</v>
      </c>
      <c r="AJ36" s="1227">
        <v>999.89554780499998</v>
      </c>
      <c r="AK36" s="1227">
        <v>564.06212595500006</v>
      </c>
      <c r="AL36" s="1227">
        <v>1014.010982045</v>
      </c>
      <c r="AM36" s="1237">
        <v>566.90805074000002</v>
      </c>
      <c r="AN36" s="1237">
        <v>1069.9918661849999</v>
      </c>
      <c r="AO36" s="1227">
        <v>588.38387067999997</v>
      </c>
      <c r="AP36" s="1227">
        <v>1063.778419125</v>
      </c>
      <c r="AQ36" s="1227">
        <v>581.90072110000006</v>
      </c>
      <c r="AR36" s="1227">
        <v>1077.887039985</v>
      </c>
      <c r="AS36" s="1227">
        <v>593.22481114000004</v>
      </c>
      <c r="AT36" s="1237">
        <v>1072.896557845</v>
      </c>
      <c r="AU36" s="1227">
        <v>604.24897705000001</v>
      </c>
      <c r="AV36" s="1237">
        <v>1058.8683553349999</v>
      </c>
      <c r="AW36" s="1237">
        <v>589.63482986999998</v>
      </c>
      <c r="AX36" s="1237">
        <v>1071.31309487</v>
      </c>
      <c r="AY36" s="1237">
        <v>588.18314038999995</v>
      </c>
      <c r="AZ36" s="1237">
        <v>1023.18830723</v>
      </c>
      <c r="BA36" s="1237">
        <v>558.39187200000003</v>
      </c>
      <c r="BB36" s="1237">
        <v>1132.71004343</v>
      </c>
      <c r="BC36" s="1237">
        <v>608.69567030999997</v>
      </c>
      <c r="BD36" s="1237">
        <v>1174.58826924</v>
      </c>
      <c r="BE36" s="1237">
        <v>642.55953366999995</v>
      </c>
      <c r="BF36" s="1237">
        <v>1208.5517743</v>
      </c>
      <c r="BG36" s="1237">
        <v>662.27499895999995</v>
      </c>
      <c r="BH36" s="1237">
        <v>1156.9450921</v>
      </c>
      <c r="BI36" s="1237">
        <v>645.37396493999995</v>
      </c>
      <c r="BJ36" s="1237">
        <v>1137.444400285</v>
      </c>
      <c r="BK36" s="1237">
        <v>627.08549602999994</v>
      </c>
      <c r="BL36" s="1237">
        <v>1260.52278357</v>
      </c>
      <c r="BM36" s="1237">
        <v>726.49160674999996</v>
      </c>
      <c r="BN36" s="1237">
        <v>1247.4559421500001</v>
      </c>
      <c r="BO36" s="1237">
        <v>714.97885938000002</v>
      </c>
      <c r="BP36" s="1237">
        <v>1305.91164054</v>
      </c>
      <c r="BQ36" s="1237">
        <v>695.96127035999996</v>
      </c>
      <c r="BR36" s="1237">
        <v>1335.9250557600001</v>
      </c>
      <c r="BS36" s="1237">
        <v>676.69708051999999</v>
      </c>
      <c r="BT36" s="1237">
        <v>1380.1945748200001</v>
      </c>
      <c r="BU36" s="1237">
        <v>681.65315321000003</v>
      </c>
      <c r="BV36" s="1237">
        <v>1254.20160315</v>
      </c>
      <c r="BW36" s="1237">
        <v>626.84823133999998</v>
      </c>
      <c r="BX36" s="1237">
        <v>1438.2071495600001</v>
      </c>
      <c r="BY36" s="1237">
        <v>711.15557320000005</v>
      </c>
      <c r="BZ36" s="1237">
        <v>1510.36250853</v>
      </c>
      <c r="CA36" s="1237">
        <v>685.32684826000002</v>
      </c>
      <c r="CB36" s="1237">
        <v>1545.3613018000001</v>
      </c>
      <c r="CC36" s="1606">
        <v>721.14666957999998</v>
      </c>
      <c r="CD36" s="1606">
        <v>1504.0649733400001</v>
      </c>
      <c r="CE36" s="1606">
        <v>709.91041559999996</v>
      </c>
      <c r="CF36" s="1237">
        <v>1472.09690948</v>
      </c>
      <c r="CG36" s="1606">
        <v>692.05065702000002</v>
      </c>
      <c r="CH36" s="1606">
        <v>1156.86397932</v>
      </c>
      <c r="CI36" s="1606">
        <v>598.56722861000003</v>
      </c>
      <c r="CJ36" s="1237">
        <v>1236.89441807</v>
      </c>
      <c r="CK36" s="1606">
        <v>603.56538533000003</v>
      </c>
      <c r="CL36" s="1237">
        <v>1288.7812035100001</v>
      </c>
      <c r="CM36" s="1606">
        <v>607.09491251999998</v>
      </c>
      <c r="CN36" s="1606">
        <v>1151.2962495199999</v>
      </c>
      <c r="CO36" s="1606">
        <v>665.84418252</v>
      </c>
      <c r="CP36" s="1237">
        <v>1024.9306739199999</v>
      </c>
      <c r="CQ36" s="1606">
        <v>533.97309504999998</v>
      </c>
      <c r="CR36" s="1606">
        <v>1048.5644678599999</v>
      </c>
      <c r="CS36" s="1606">
        <v>561.73233622999999</v>
      </c>
      <c r="CT36" s="1237">
        <v>1533.52993877838</v>
      </c>
      <c r="CU36" s="1606">
        <v>712.735014588377</v>
      </c>
      <c r="CV36" s="1237">
        <v>1482.5003056200001</v>
      </c>
      <c r="CW36" s="1606">
        <v>686.23458608999999</v>
      </c>
      <c r="CX36" s="1237">
        <v>1289.83510262</v>
      </c>
      <c r="CY36" s="1606">
        <v>632.14260081999998</v>
      </c>
      <c r="CZ36" s="1225" t="s">
        <v>3683</v>
      </c>
    </row>
    <row r="37" spans="1:107" ht="19.95" customHeight="1">
      <c r="A37" s="1225" t="s">
        <v>2276</v>
      </c>
      <c r="B37" s="1227">
        <v>74.492667049999994</v>
      </c>
      <c r="C37" s="1227">
        <v>22.424890000000001</v>
      </c>
      <c r="D37" s="1227">
        <v>69.192667049999997</v>
      </c>
      <c r="E37" s="1227">
        <v>22.424890000000001</v>
      </c>
      <c r="F37" s="1227">
        <v>72.794947050000005</v>
      </c>
      <c r="G37" s="1227">
        <v>20.92717</v>
      </c>
      <c r="H37" s="1227">
        <v>85.794947050000005</v>
      </c>
      <c r="I37" s="1227">
        <v>20.92717</v>
      </c>
      <c r="J37" s="1227">
        <v>89.42494705</v>
      </c>
      <c r="K37" s="1227">
        <v>20.92717</v>
      </c>
      <c r="L37" s="1227">
        <v>74.903480889999997</v>
      </c>
      <c r="M37" s="1227">
        <v>20.92717</v>
      </c>
      <c r="N37" s="1227">
        <v>68.207170000000005</v>
      </c>
      <c r="O37" s="1227">
        <v>14.977169999999999</v>
      </c>
      <c r="P37" s="1227">
        <v>71.307169999999999</v>
      </c>
      <c r="Q37" s="1227">
        <v>14.977169999999999</v>
      </c>
      <c r="R37" s="1227">
        <v>68.179450000000003</v>
      </c>
      <c r="S37" s="1227">
        <v>13.47945</v>
      </c>
      <c r="T37" s="1227">
        <v>68.179450000000003</v>
      </c>
      <c r="U37" s="1227">
        <v>13.47945</v>
      </c>
      <c r="V37" s="1227">
        <v>48.679450000000003</v>
      </c>
      <c r="W37" s="1227">
        <v>13.47945</v>
      </c>
      <c r="X37" s="1227">
        <v>48.679450000000003</v>
      </c>
      <c r="Y37" s="1227">
        <v>13.47945</v>
      </c>
      <c r="Z37" s="1227">
        <v>48.679450000000003</v>
      </c>
      <c r="AA37" s="1227">
        <v>13.47945</v>
      </c>
      <c r="AB37" s="1227">
        <v>48.679450000000003</v>
      </c>
      <c r="AC37" s="1227">
        <v>13.47945</v>
      </c>
      <c r="AD37" s="1227">
        <v>34.18</v>
      </c>
      <c r="AE37" s="1227">
        <v>0</v>
      </c>
      <c r="AF37" s="1227">
        <v>29.18</v>
      </c>
      <c r="AG37" s="1227">
        <v>0</v>
      </c>
      <c r="AH37" s="1227">
        <v>34.28</v>
      </c>
      <c r="AI37" s="1227">
        <v>0</v>
      </c>
      <c r="AJ37" s="1227">
        <v>34.28</v>
      </c>
      <c r="AK37" s="1227">
        <v>0</v>
      </c>
      <c r="AL37" s="1227">
        <v>34.28</v>
      </c>
      <c r="AM37" s="1237">
        <v>0</v>
      </c>
      <c r="AN37" s="1237">
        <v>33.713333329999998</v>
      </c>
      <c r="AO37" s="1227">
        <v>0</v>
      </c>
      <c r="AP37" s="1227">
        <v>42.693333000000003</v>
      </c>
      <c r="AQ37" s="1227">
        <v>0</v>
      </c>
      <c r="AR37" s="1227">
        <v>71.081563000000003</v>
      </c>
      <c r="AS37" s="1227">
        <v>13.38823</v>
      </c>
      <c r="AT37" s="1237">
        <v>75.729456999999996</v>
      </c>
      <c r="AU37" s="1227">
        <v>18.602789999999999</v>
      </c>
      <c r="AV37" s="1237">
        <v>66.750027000000003</v>
      </c>
      <c r="AW37" s="1237">
        <v>9.6233599999999999</v>
      </c>
      <c r="AX37" s="1237">
        <v>130.02509699999999</v>
      </c>
      <c r="AY37" s="1237">
        <v>13.07343</v>
      </c>
      <c r="AZ37" s="1237">
        <v>125.51833999999999</v>
      </c>
      <c r="BA37" s="1237">
        <v>9.1333400000000005</v>
      </c>
      <c r="BB37" s="1237">
        <v>131.25149999999999</v>
      </c>
      <c r="BC37" s="1237">
        <v>7.3864999999999998</v>
      </c>
      <c r="BD37" s="1237">
        <v>141.54510999999999</v>
      </c>
      <c r="BE37" s="1237">
        <v>17.680109999999999</v>
      </c>
      <c r="BF37" s="1237">
        <v>147.47660300000001</v>
      </c>
      <c r="BG37" s="1237">
        <v>17.803270000000001</v>
      </c>
      <c r="BH37" s="1237">
        <v>148.56580299999999</v>
      </c>
      <c r="BI37" s="1237">
        <v>18.892469999999999</v>
      </c>
      <c r="BJ37" s="1237">
        <v>143.96605299999999</v>
      </c>
      <c r="BK37" s="1237">
        <v>14.292719999999999</v>
      </c>
      <c r="BL37" s="1237">
        <v>141.75351699999999</v>
      </c>
      <c r="BM37" s="1237">
        <v>12.646850000000001</v>
      </c>
      <c r="BN37" s="1237">
        <v>135.758657</v>
      </c>
      <c r="BO37" s="1237">
        <v>12.671989999999999</v>
      </c>
      <c r="BP37" s="1237">
        <v>145.760617</v>
      </c>
      <c r="BQ37" s="1237">
        <v>12.67395</v>
      </c>
      <c r="BR37" s="1237">
        <v>144.68964</v>
      </c>
      <c r="BS37" s="1237">
        <v>12.169639999999999</v>
      </c>
      <c r="BT37" s="1237">
        <v>144.85840999999999</v>
      </c>
      <c r="BU37" s="1237">
        <v>12.33841</v>
      </c>
      <c r="BV37" s="1237">
        <v>137.77612999999999</v>
      </c>
      <c r="BW37" s="1237">
        <v>16.756129999999999</v>
      </c>
      <c r="BX37" s="1237">
        <v>134.297303</v>
      </c>
      <c r="BY37" s="1237">
        <v>14.343970000000001</v>
      </c>
      <c r="BZ37" s="1237">
        <v>127.252343</v>
      </c>
      <c r="CA37" s="1237">
        <v>8.3190100000000005</v>
      </c>
      <c r="CB37" s="1237">
        <v>134.31285299999999</v>
      </c>
      <c r="CC37" s="1606">
        <v>8.1545199999999998</v>
      </c>
      <c r="CD37" s="1606">
        <v>150.68659700000001</v>
      </c>
      <c r="CE37" s="1606">
        <v>7.8699300000000001</v>
      </c>
      <c r="CF37" s="1237">
        <v>147.350437</v>
      </c>
      <c r="CG37" s="1606">
        <v>7.6797800000000001</v>
      </c>
      <c r="CH37" s="1606">
        <v>130.843197</v>
      </c>
      <c r="CI37" s="1606">
        <v>7.4775400000000003</v>
      </c>
      <c r="CJ37" s="1237">
        <v>124.88963</v>
      </c>
      <c r="CK37" s="1606">
        <v>3.36564</v>
      </c>
      <c r="CL37" s="1237">
        <v>119.65858</v>
      </c>
      <c r="CM37" s="1606">
        <v>3.1345900000000002</v>
      </c>
      <c r="CN37" s="1606">
        <v>93.281530000000004</v>
      </c>
      <c r="CO37" s="1606">
        <v>3.03254</v>
      </c>
      <c r="CP37" s="1237">
        <v>92.057069999999996</v>
      </c>
      <c r="CQ37" s="1606">
        <v>3.0830799999999998</v>
      </c>
      <c r="CR37" s="1606">
        <v>84.521280000000004</v>
      </c>
      <c r="CS37" s="1606">
        <v>3.14229</v>
      </c>
      <c r="CT37" s="1237">
        <v>89.090320000000006</v>
      </c>
      <c r="CU37" s="1606">
        <v>2.9863300000000002</v>
      </c>
      <c r="CV37" s="1237">
        <v>87.755629999999996</v>
      </c>
      <c r="CW37" s="1606">
        <v>2.9266399999999999</v>
      </c>
      <c r="CX37" s="1237">
        <v>107.10448</v>
      </c>
      <c r="CY37" s="1606">
        <v>2.77549</v>
      </c>
      <c r="CZ37" s="1225" t="s">
        <v>3684</v>
      </c>
      <c r="DC37" s="1266"/>
    </row>
    <row r="38" spans="1:107" ht="19.95" customHeight="1">
      <c r="A38" s="1225" t="s">
        <v>2275</v>
      </c>
      <c r="B38" s="1227">
        <v>1991.5959309699999</v>
      </c>
      <c r="C38" s="1227">
        <v>62.311436069999999</v>
      </c>
      <c r="D38" s="1227">
        <v>1994.0447383000001</v>
      </c>
      <c r="E38" s="1227">
        <v>193.48326104</v>
      </c>
      <c r="F38" s="1227">
        <v>2023.6703067399999</v>
      </c>
      <c r="G38" s="1227">
        <v>62.313036070000003</v>
      </c>
      <c r="H38" s="1227">
        <v>2057.5875685999999</v>
      </c>
      <c r="I38" s="1227">
        <v>60.02246117</v>
      </c>
      <c r="J38" s="1227">
        <v>1992.57476993</v>
      </c>
      <c r="K38" s="1227">
        <v>60.02246117</v>
      </c>
      <c r="L38" s="1227">
        <v>1994.19371813</v>
      </c>
      <c r="M38" s="1227">
        <v>60.022453759999998</v>
      </c>
      <c r="N38" s="1227">
        <v>1996.0020677499999</v>
      </c>
      <c r="O38" s="1227">
        <v>57.685599760999999</v>
      </c>
      <c r="P38" s="1227">
        <v>2008.1033840699999</v>
      </c>
      <c r="Q38" s="1227">
        <v>57.685599760999999</v>
      </c>
      <c r="R38" s="1227">
        <v>2015.27253086</v>
      </c>
      <c r="S38" s="1227">
        <v>44.085599760000001</v>
      </c>
      <c r="T38" s="1227">
        <v>2042.0841490800001</v>
      </c>
      <c r="U38" s="1227">
        <v>43.067935030000001</v>
      </c>
      <c r="V38" s="1227">
        <v>2062.4535470300002</v>
      </c>
      <c r="W38" s="1227">
        <v>43.067884030000002</v>
      </c>
      <c r="X38" s="1227">
        <v>2082.6156929099998</v>
      </c>
      <c r="Y38" s="1227">
        <v>43.067884030999998</v>
      </c>
      <c r="Z38" s="1227">
        <v>2099.0267408499999</v>
      </c>
      <c r="AA38" s="1227">
        <v>36.521122847999997</v>
      </c>
      <c r="AB38" s="1227">
        <v>2099.2303352499998</v>
      </c>
      <c r="AC38" s="1227">
        <v>39.921122848000003</v>
      </c>
      <c r="AD38" s="1227">
        <v>2106.6827942</v>
      </c>
      <c r="AE38" s="1227">
        <v>39.921122848000003</v>
      </c>
      <c r="AF38" s="1227">
        <v>2130.2433788899998</v>
      </c>
      <c r="AG38" s="1227">
        <v>39.423464848000002</v>
      </c>
      <c r="AH38" s="1227">
        <v>2161.5614141000001</v>
      </c>
      <c r="AI38" s="1227">
        <v>39.423464848000002</v>
      </c>
      <c r="AJ38" s="1227">
        <v>2181.5851008599998</v>
      </c>
      <c r="AK38" s="1227">
        <v>47.923464848000002</v>
      </c>
      <c r="AL38" s="1227">
        <v>2201.3824807199999</v>
      </c>
      <c r="AM38" s="1237">
        <v>49.019964848000001</v>
      </c>
      <c r="AN38" s="1237">
        <v>2236.9734742000001</v>
      </c>
      <c r="AO38" s="1227">
        <v>49.019964848000001</v>
      </c>
      <c r="AP38" s="1227">
        <v>2262.0172760199998</v>
      </c>
      <c r="AQ38" s="1227">
        <v>49.019964848000001</v>
      </c>
      <c r="AR38" s="1227">
        <v>2287.3991594200002</v>
      </c>
      <c r="AS38" s="1227">
        <v>49.019964848000001</v>
      </c>
      <c r="AT38" s="1237">
        <v>2308.7758762499998</v>
      </c>
      <c r="AU38" s="1227">
        <v>49.019964848000001</v>
      </c>
      <c r="AV38" s="1237">
        <v>2335.1223580199999</v>
      </c>
      <c r="AW38" s="1237">
        <v>49.019964848000001</v>
      </c>
      <c r="AX38" s="1237">
        <v>2380.7902084900002</v>
      </c>
      <c r="AY38" s="1237">
        <v>49.019964848000001</v>
      </c>
      <c r="AZ38" s="1237">
        <v>2384.4248082399999</v>
      </c>
      <c r="BA38" s="1237">
        <v>49.019964848000001</v>
      </c>
      <c r="BB38" s="1237">
        <v>2394.6327143799999</v>
      </c>
      <c r="BC38" s="1237">
        <v>49.019964848000001</v>
      </c>
      <c r="BD38" s="1237">
        <v>2422.67623753</v>
      </c>
      <c r="BE38" s="1237">
        <v>49.019964848000001</v>
      </c>
      <c r="BF38" s="1237">
        <v>2481.2654238800001</v>
      </c>
      <c r="BG38" s="1237">
        <v>43.913333299999998</v>
      </c>
      <c r="BH38" s="1237">
        <v>2507.88645473</v>
      </c>
      <c r="BI38" s="1237">
        <v>43.913333299999998</v>
      </c>
      <c r="BJ38" s="1237">
        <v>2527.3387315999998</v>
      </c>
      <c r="BK38" s="1237">
        <v>50.713333300000002</v>
      </c>
      <c r="BL38" s="1237">
        <v>2555.8420504999999</v>
      </c>
      <c r="BM38" s="1237">
        <v>55.813333299999996</v>
      </c>
      <c r="BN38" s="1237">
        <v>2564.66511593</v>
      </c>
      <c r="BO38" s="1237">
        <v>64.313333299999996</v>
      </c>
      <c r="BP38" s="1237">
        <v>2608.7272801300001</v>
      </c>
      <c r="BQ38" s="1237">
        <v>64.313333299999996</v>
      </c>
      <c r="BR38" s="1237">
        <v>2656.3770637100001</v>
      </c>
      <c r="BS38" s="1237">
        <v>64.313333299999996</v>
      </c>
      <c r="BT38" s="1237">
        <v>2672.2577377699999</v>
      </c>
      <c r="BU38" s="1237">
        <v>50.79943944</v>
      </c>
      <c r="BV38" s="1237">
        <v>2701.09393172</v>
      </c>
      <c r="BW38" s="1237">
        <v>59.21443944</v>
      </c>
      <c r="BX38" s="1237">
        <v>2681.3224838400001</v>
      </c>
      <c r="BY38" s="1237">
        <v>59.29943944</v>
      </c>
      <c r="BZ38" s="1237">
        <v>2734.0961901300002</v>
      </c>
      <c r="CA38" s="1237">
        <v>88.199439440000006</v>
      </c>
      <c r="CB38" s="1237">
        <v>2759.1433795200001</v>
      </c>
      <c r="CC38" s="1606">
        <v>94.788639439999997</v>
      </c>
      <c r="CD38" s="1606">
        <v>2844.6755539699998</v>
      </c>
      <c r="CE38" s="1606">
        <v>97.508639439999996</v>
      </c>
      <c r="CF38" s="1237">
        <v>2867.49136873</v>
      </c>
      <c r="CG38" s="1606">
        <v>98.783639440000002</v>
      </c>
      <c r="CH38" s="1606">
        <v>2895.0998305200001</v>
      </c>
      <c r="CI38" s="1606">
        <v>105.07363943999999</v>
      </c>
      <c r="CJ38" s="1237">
        <v>2918.4541028799999</v>
      </c>
      <c r="CK38" s="1606">
        <v>105.07363943999999</v>
      </c>
      <c r="CL38" s="1237">
        <v>2957.6044099400001</v>
      </c>
      <c r="CM38" s="1606">
        <v>105.07363943999999</v>
      </c>
      <c r="CN38" s="1606">
        <v>3029.8323162500001</v>
      </c>
      <c r="CO38" s="1606">
        <v>105.07363943999999</v>
      </c>
      <c r="CP38" s="1237">
        <v>2927.59141473</v>
      </c>
      <c r="CQ38" s="1606">
        <v>105.07363943999999</v>
      </c>
      <c r="CR38" s="1606">
        <v>3025.35744527</v>
      </c>
      <c r="CS38" s="1606">
        <v>102.94863943999999</v>
      </c>
      <c r="CT38" s="1237">
        <v>3077.7950090499999</v>
      </c>
      <c r="CU38" s="1606">
        <v>98.415306099999995</v>
      </c>
      <c r="CV38" s="1237">
        <v>3063.03833093</v>
      </c>
      <c r="CW38" s="1606">
        <v>90.885496099999997</v>
      </c>
      <c r="CX38" s="1237">
        <v>3062.2009270100002</v>
      </c>
      <c r="CY38" s="1606">
        <v>90.885496099999997</v>
      </c>
      <c r="CZ38" s="1225" t="s">
        <v>3685</v>
      </c>
    </row>
    <row r="39" spans="1:107" ht="19.95" customHeight="1">
      <c r="A39" s="1225" t="s">
        <v>2274</v>
      </c>
      <c r="B39" s="1227">
        <v>1747.6720299999999</v>
      </c>
      <c r="C39" s="1227">
        <v>1747.4940300000001</v>
      </c>
      <c r="D39" s="1227">
        <v>1747.67128</v>
      </c>
      <c r="E39" s="1227">
        <v>1747.4940300000001</v>
      </c>
      <c r="F39" s="1227">
        <v>1747.67028</v>
      </c>
      <c r="G39" s="1227">
        <v>1747.4940300000001</v>
      </c>
      <c r="H39" s="1227">
        <v>1747.6698799999999</v>
      </c>
      <c r="I39" s="1227">
        <v>1747.4940300000001</v>
      </c>
      <c r="J39" s="1227">
        <v>1747.66923</v>
      </c>
      <c r="K39" s="1227">
        <v>1747.4940300000001</v>
      </c>
      <c r="L39" s="1227">
        <v>1749.6681325899999</v>
      </c>
      <c r="M39" s="1227">
        <v>1747.49403259</v>
      </c>
      <c r="N39" s="1227">
        <v>1749.6668825899999</v>
      </c>
      <c r="O39" s="1227">
        <v>1747.494032591</v>
      </c>
      <c r="P39" s="1227">
        <v>1749.66648259</v>
      </c>
      <c r="Q39" s="1227">
        <v>1747.494032591</v>
      </c>
      <c r="R39" s="1227">
        <v>1749.66423259</v>
      </c>
      <c r="S39" s="1227">
        <v>1747.49403259</v>
      </c>
      <c r="T39" s="1227">
        <v>1725.36198259</v>
      </c>
      <c r="U39" s="1227">
        <v>1723.69403259</v>
      </c>
      <c r="V39" s="1227">
        <v>1706.70143259</v>
      </c>
      <c r="W39" s="1227">
        <v>1705.20143259</v>
      </c>
      <c r="X39" s="1227">
        <v>1706.70143259</v>
      </c>
      <c r="Y39" s="1227">
        <v>1705.201432591</v>
      </c>
      <c r="Z39" s="1227">
        <v>1729.65143259</v>
      </c>
      <c r="AA39" s="1227">
        <v>1728.151432591</v>
      </c>
      <c r="AB39" s="1227">
        <v>1728.1764325900001</v>
      </c>
      <c r="AC39" s="1227">
        <v>1728.151432591</v>
      </c>
      <c r="AD39" s="1227">
        <v>1728.1764325900001</v>
      </c>
      <c r="AE39" s="1227">
        <v>1728.151432591</v>
      </c>
      <c r="AF39" s="1227">
        <v>1726.0434325900001</v>
      </c>
      <c r="AG39" s="1227">
        <v>1726.0434325910001</v>
      </c>
      <c r="AH39" s="1227">
        <v>1726.0434325900001</v>
      </c>
      <c r="AI39" s="1227">
        <v>1726.0434325910001</v>
      </c>
      <c r="AJ39" s="1227">
        <v>1726.0434325900001</v>
      </c>
      <c r="AK39" s="1227">
        <v>1726.0434325910001</v>
      </c>
      <c r="AL39" s="1227">
        <v>876.04343258999995</v>
      </c>
      <c r="AM39" s="1237">
        <v>876.04343259100006</v>
      </c>
      <c r="AN39" s="1237">
        <v>876.04343258999995</v>
      </c>
      <c r="AO39" s="1227">
        <v>876.04343259100006</v>
      </c>
      <c r="AP39" s="1227">
        <v>876.04343258999995</v>
      </c>
      <c r="AQ39" s="1227">
        <v>876.04343259100006</v>
      </c>
      <c r="AR39" s="1227">
        <v>876.04343258999995</v>
      </c>
      <c r="AS39" s="1227">
        <v>876.04343259100006</v>
      </c>
      <c r="AT39" s="1237">
        <v>891.41143259</v>
      </c>
      <c r="AU39" s="1227">
        <v>891.41143259099999</v>
      </c>
      <c r="AV39" s="1237">
        <v>891.41143259</v>
      </c>
      <c r="AW39" s="1237">
        <v>891.41143259099999</v>
      </c>
      <c r="AX39" s="1237">
        <v>894.44653258999995</v>
      </c>
      <c r="AY39" s="1237">
        <v>884.44653259100005</v>
      </c>
      <c r="AZ39" s="1237">
        <v>942.20197258999997</v>
      </c>
      <c r="BA39" s="1237">
        <v>930.61005800099997</v>
      </c>
      <c r="BB39" s="1237">
        <v>880.84143724</v>
      </c>
      <c r="BC39" s="1237">
        <v>844.54143724100004</v>
      </c>
      <c r="BD39" s="1237">
        <v>893.67917244</v>
      </c>
      <c r="BE39" s="1237">
        <v>857.17117244099995</v>
      </c>
      <c r="BF39" s="1237">
        <v>861.22150260000001</v>
      </c>
      <c r="BG39" s="1237">
        <v>825.47150260000001</v>
      </c>
      <c r="BH39" s="1237">
        <v>858.29285652999999</v>
      </c>
      <c r="BI39" s="1237">
        <v>805.54285652999999</v>
      </c>
      <c r="BJ39" s="1237">
        <v>883.68211259999998</v>
      </c>
      <c r="BK39" s="1237">
        <v>802.93211259999998</v>
      </c>
      <c r="BL39" s="1237">
        <v>883.66386433000002</v>
      </c>
      <c r="BM39" s="1237">
        <v>802.91386433000002</v>
      </c>
      <c r="BN39" s="1237">
        <v>883.58562259999997</v>
      </c>
      <c r="BO39" s="1237">
        <v>802.89562260000002</v>
      </c>
      <c r="BP39" s="1237">
        <v>871.49637259999997</v>
      </c>
      <c r="BQ39" s="1237">
        <v>785.82637260000001</v>
      </c>
      <c r="BR39" s="1237">
        <v>878.32912260000001</v>
      </c>
      <c r="BS39" s="1237">
        <v>792.65912260000005</v>
      </c>
      <c r="BT39" s="1237">
        <v>893.70890259999999</v>
      </c>
      <c r="BU39" s="1237">
        <v>808.08090259999994</v>
      </c>
      <c r="BV39" s="1237">
        <v>821.2798626</v>
      </c>
      <c r="BW39" s="1237">
        <v>735.67186260000005</v>
      </c>
      <c r="BX39" s="1237">
        <v>819.58402260000003</v>
      </c>
      <c r="BY39" s="1237">
        <v>733.97602259999996</v>
      </c>
      <c r="BZ39" s="1237">
        <v>811.49012259999995</v>
      </c>
      <c r="CA39" s="1237">
        <v>725.8821226</v>
      </c>
      <c r="CB39" s="1237">
        <v>810.25127259999999</v>
      </c>
      <c r="CC39" s="1606">
        <v>725.86527260000003</v>
      </c>
      <c r="CD39" s="1606">
        <v>810.40102260000003</v>
      </c>
      <c r="CE39" s="1606">
        <v>726.01502259999995</v>
      </c>
      <c r="CF39" s="1237">
        <v>809.77557260000003</v>
      </c>
      <c r="CG39" s="1606">
        <v>725.38957259999995</v>
      </c>
      <c r="CH39" s="1606">
        <v>807.7553226</v>
      </c>
      <c r="CI39" s="1606">
        <v>725.36932260000003</v>
      </c>
      <c r="CJ39" s="1237">
        <v>793.3490726</v>
      </c>
      <c r="CK39" s="1606">
        <v>725.3490726</v>
      </c>
      <c r="CL39" s="1237">
        <v>793.57702259999996</v>
      </c>
      <c r="CM39" s="1606">
        <v>725.57702259999996</v>
      </c>
      <c r="CN39" s="1606">
        <v>807.59927259999995</v>
      </c>
      <c r="CO39" s="1606">
        <v>725.59927259999995</v>
      </c>
      <c r="CP39" s="1237">
        <v>791.39502259999995</v>
      </c>
      <c r="CQ39" s="1606">
        <v>709.39502259999995</v>
      </c>
      <c r="CR39" s="1606">
        <v>789.05137260000004</v>
      </c>
      <c r="CS39" s="1606">
        <v>709.54137260000005</v>
      </c>
      <c r="CT39" s="1237">
        <v>777.3726226</v>
      </c>
      <c r="CU39" s="1606">
        <v>709.14712259999999</v>
      </c>
      <c r="CV39" s="1237">
        <v>777.52237260000004</v>
      </c>
      <c r="CW39" s="1606">
        <v>709.29687260000003</v>
      </c>
      <c r="CX39" s="1237">
        <v>763.54232260000003</v>
      </c>
      <c r="CY39" s="1606">
        <v>710.31682260000002</v>
      </c>
      <c r="CZ39" s="1225" t="s">
        <v>3686</v>
      </c>
    </row>
    <row r="40" spans="1:107" ht="19.95" customHeight="1" thickBot="1">
      <c r="A40" s="1228" t="s">
        <v>2273</v>
      </c>
      <c r="B40" s="1238">
        <v>1232.7608181684568</v>
      </c>
      <c r="C40" s="1238">
        <v>593.00923535000004</v>
      </c>
      <c r="D40" s="1238">
        <v>942.67924958078493</v>
      </c>
      <c r="E40" s="1238">
        <v>386.22801181191306</v>
      </c>
      <c r="F40" s="1238">
        <v>1098.84030713488</v>
      </c>
      <c r="G40" s="1238">
        <v>415.87815560000001</v>
      </c>
      <c r="H40" s="1238">
        <v>866.37256658908905</v>
      </c>
      <c r="I40" s="1238">
        <v>305.87570597000001</v>
      </c>
      <c r="J40" s="1238">
        <v>807.3060651574001</v>
      </c>
      <c r="K40" s="1238">
        <v>328.6894413</v>
      </c>
      <c r="L40" s="1229">
        <v>875.75833742220004</v>
      </c>
      <c r="M40" s="1229">
        <v>322.65037169913501</v>
      </c>
      <c r="N40" s="1229">
        <v>929.55158460189705</v>
      </c>
      <c r="O40" s="1229">
        <v>307.06819269526</v>
      </c>
      <c r="P40" s="1229">
        <v>856.34888121438291</v>
      </c>
      <c r="Q40" s="1229">
        <v>286.24200996243701</v>
      </c>
      <c r="R40" s="1229">
        <v>1160.9985301929401</v>
      </c>
      <c r="S40" s="1229">
        <v>535.35833443999991</v>
      </c>
      <c r="T40" s="1229">
        <v>996.54811064860394</v>
      </c>
      <c r="U40" s="1229">
        <v>229.11929028913897</v>
      </c>
      <c r="V40" s="1229">
        <v>1154.492287637715</v>
      </c>
      <c r="W40" s="1229">
        <v>231.11402126000002</v>
      </c>
      <c r="X40" s="1229">
        <v>1254.5346365937501</v>
      </c>
      <c r="Y40" s="1229">
        <v>247.07466127999999</v>
      </c>
      <c r="Z40" s="1229">
        <v>1071.1132113595361</v>
      </c>
      <c r="AA40" s="1229">
        <v>246.69778587399998</v>
      </c>
      <c r="AB40" s="1229">
        <v>1413.3278970781503</v>
      </c>
      <c r="AC40" s="1229">
        <v>399.705752566</v>
      </c>
      <c r="AD40" s="1229">
        <v>1342.5744866432301</v>
      </c>
      <c r="AE40" s="1229">
        <v>308.76178086800002</v>
      </c>
      <c r="AF40" s="1229">
        <v>1222.4318534318099</v>
      </c>
      <c r="AG40" s="1229">
        <v>284.20651355000001</v>
      </c>
      <c r="AH40" s="1229">
        <v>1196.3760829235998</v>
      </c>
      <c r="AI40" s="1229">
        <v>308.20415137100002</v>
      </c>
      <c r="AJ40" s="1229">
        <v>1393.2599373325099</v>
      </c>
      <c r="AK40" s="1229">
        <v>389.433415121</v>
      </c>
      <c r="AL40" s="1229">
        <v>1370.6532682457</v>
      </c>
      <c r="AM40" s="1239">
        <v>504.918647792</v>
      </c>
      <c r="AN40" s="1239">
        <v>1248.6975850617</v>
      </c>
      <c r="AO40" s="1229">
        <v>232.2612827152</v>
      </c>
      <c r="AP40" s="1229">
        <v>1054.5439397145101</v>
      </c>
      <c r="AQ40" s="1229">
        <v>232.18103711000001</v>
      </c>
      <c r="AR40" s="1229">
        <v>1126.3814638638839</v>
      </c>
      <c r="AS40" s="1229">
        <v>305.14338709899999</v>
      </c>
      <c r="AT40" s="1239">
        <v>1053.790017662222</v>
      </c>
      <c r="AU40" s="1229">
        <v>367.55525785330002</v>
      </c>
      <c r="AV40" s="1239">
        <v>1020.017222411901</v>
      </c>
      <c r="AW40" s="1239">
        <v>316.716475124</v>
      </c>
      <c r="AX40" s="1239">
        <v>1563.4389219991001</v>
      </c>
      <c r="AY40" s="1239">
        <v>658.28203002576504</v>
      </c>
      <c r="AZ40" s="1239">
        <v>997.44176829724915</v>
      </c>
      <c r="BA40" s="1239">
        <v>224.964973355475</v>
      </c>
      <c r="BB40" s="1239">
        <v>1299.52951269032</v>
      </c>
      <c r="BC40" s="1239">
        <v>207.62104543217501</v>
      </c>
      <c r="BD40" s="1239">
        <v>1226.4743743270599</v>
      </c>
      <c r="BE40" s="1239">
        <v>309.27019842293498</v>
      </c>
      <c r="BF40" s="1239">
        <v>1163.8475759883302</v>
      </c>
      <c r="BG40" s="1239">
        <v>331.15122000100899</v>
      </c>
      <c r="BH40" s="1239">
        <v>1174.15030354858</v>
      </c>
      <c r="BI40" s="1239">
        <v>316.76159756667499</v>
      </c>
      <c r="BJ40" s="1239">
        <v>1259.20681119652</v>
      </c>
      <c r="BK40" s="1239">
        <v>303.45238163900001</v>
      </c>
      <c r="BL40" s="1239">
        <v>1373.50464222957</v>
      </c>
      <c r="BM40" s="1239">
        <v>529.64704529972801</v>
      </c>
      <c r="BN40" s="1239">
        <v>1168.20845986633</v>
      </c>
      <c r="BO40" s="1239">
        <v>287.85847820019598</v>
      </c>
      <c r="BP40" s="1239">
        <v>1143.5731430391102</v>
      </c>
      <c r="BQ40" s="1239">
        <v>283.57323813373603</v>
      </c>
      <c r="BR40" s="1239">
        <v>1186.9841620029199</v>
      </c>
      <c r="BS40" s="1239">
        <v>279.94102871939998</v>
      </c>
      <c r="BT40" s="1239">
        <v>1283.0466903465499</v>
      </c>
      <c r="BU40" s="1239">
        <v>273.18491201507197</v>
      </c>
      <c r="BV40" s="1239">
        <v>1978.50602698536</v>
      </c>
      <c r="BW40" s="1239">
        <v>840.067722315163</v>
      </c>
      <c r="BX40" s="1239">
        <v>1463.3458516549699</v>
      </c>
      <c r="BY40" s="1239">
        <v>275.223678430299</v>
      </c>
      <c r="BZ40" s="1239">
        <v>1563.45837559902</v>
      </c>
      <c r="CA40" s="1239">
        <v>255.13526551342099</v>
      </c>
      <c r="CB40" s="1239">
        <v>1272.5185162484199</v>
      </c>
      <c r="CC40" s="1607">
        <v>286.18398062649999</v>
      </c>
      <c r="CD40" s="1607">
        <v>1304.39699547194</v>
      </c>
      <c r="CE40" s="1607">
        <v>223.62499245294001</v>
      </c>
      <c r="CF40" s="1239">
        <v>1355.56903980225</v>
      </c>
      <c r="CG40" s="1607">
        <v>234.96886961854599</v>
      </c>
      <c r="CH40" s="1607">
        <v>1445.0644235611401</v>
      </c>
      <c r="CI40" s="1607">
        <v>322.47437264869598</v>
      </c>
      <c r="CJ40" s="1239">
        <v>1665.5360803840299</v>
      </c>
      <c r="CK40" s="1607">
        <v>237.43016633799999</v>
      </c>
      <c r="CL40" s="1239">
        <v>1822.7272920743001</v>
      </c>
      <c r="CM40" s="1607">
        <v>240.27699337999999</v>
      </c>
      <c r="CN40" s="1607">
        <v>1884.0657011562701</v>
      </c>
      <c r="CO40" s="1607">
        <v>236.89763645599999</v>
      </c>
      <c r="CP40" s="1239">
        <v>1936.16089963122</v>
      </c>
      <c r="CQ40" s="1607">
        <v>214.48008824999999</v>
      </c>
      <c r="CR40" s="1607">
        <v>1676.3173277707899</v>
      </c>
      <c r="CS40" s="1607">
        <v>246.01275967199999</v>
      </c>
      <c r="CT40" s="1239">
        <v>2696.5030285564999</v>
      </c>
      <c r="CU40" s="1607">
        <v>1029.788874909</v>
      </c>
      <c r="CV40" s="1239">
        <v>2172.4017842286999</v>
      </c>
      <c r="CW40" s="1607">
        <v>336.35762125299999</v>
      </c>
      <c r="CX40" s="1239">
        <v>1936.6028650533101</v>
      </c>
      <c r="CY40" s="1607">
        <v>365.49561118499997</v>
      </c>
      <c r="CZ40" s="1228" t="s">
        <v>3687</v>
      </c>
    </row>
    <row r="41" spans="1:107" ht="19.95" customHeight="1" thickBot="1">
      <c r="A41" s="1240" t="s">
        <v>2272</v>
      </c>
      <c r="B41" s="1231">
        <v>28139.7780821585</v>
      </c>
      <c r="C41" s="1231">
        <v>15632.00868594</v>
      </c>
      <c r="D41" s="1231">
        <v>28219.0209452708</v>
      </c>
      <c r="E41" s="1231">
        <v>15859.4686560519</v>
      </c>
      <c r="F41" s="1231">
        <v>28504.894102544898</v>
      </c>
      <c r="G41" s="1231">
        <v>15678.94060871</v>
      </c>
      <c r="H41" s="1231">
        <v>27477.903302059101</v>
      </c>
      <c r="I41" s="1231">
        <v>15470.487018579999</v>
      </c>
      <c r="J41" s="1231">
        <v>26711.3550225174</v>
      </c>
      <c r="K41" s="1231">
        <v>14876.439689880001</v>
      </c>
      <c r="L41" s="1231">
        <v>26701.346844342199</v>
      </c>
      <c r="M41" s="1231">
        <v>14664.9000233033</v>
      </c>
      <c r="N41" s="1231">
        <v>25938.4392892219</v>
      </c>
      <c r="O41" s="1231">
        <v>14053.78607907</v>
      </c>
      <c r="P41" s="1231">
        <v>25848.119721114399</v>
      </c>
      <c r="Q41" s="1231">
        <v>13707.4350932496</v>
      </c>
      <c r="R41" s="1231">
        <v>26351.522818922898</v>
      </c>
      <c r="S41" s="1231">
        <v>14118.0615912011</v>
      </c>
      <c r="T41" s="1231">
        <v>25994.628114363601</v>
      </c>
      <c r="U41" s="1231">
        <v>13287.3291536995</v>
      </c>
      <c r="V41" s="1231">
        <v>26091.335041813902</v>
      </c>
      <c r="W41" s="1231">
        <v>13204.7747804964</v>
      </c>
      <c r="X41" s="1231">
        <v>26081.8454567187</v>
      </c>
      <c r="Y41" s="1231">
        <v>13342.282166888301</v>
      </c>
      <c r="Z41" s="1231">
        <v>27356.060069774499</v>
      </c>
      <c r="AA41" s="1231">
        <v>13857.024209163999</v>
      </c>
      <c r="AB41" s="1231">
        <v>27224.077299948101</v>
      </c>
      <c r="AC41" s="1231">
        <v>13667.268332957699</v>
      </c>
      <c r="AD41" s="1231">
        <v>27437.663642253199</v>
      </c>
      <c r="AE41" s="1231">
        <v>13516.602574561201</v>
      </c>
      <c r="AF41" s="1231">
        <v>27672.034509651799</v>
      </c>
      <c r="AG41" s="1231">
        <v>13512.775126894299</v>
      </c>
      <c r="AH41" s="1231">
        <v>28065.561295293599</v>
      </c>
      <c r="AI41" s="1231">
        <v>13408.162511898499</v>
      </c>
      <c r="AJ41" s="1231">
        <v>29058.2428417993</v>
      </c>
      <c r="AK41" s="1231">
        <v>13627.049358533101</v>
      </c>
      <c r="AL41" s="1231">
        <v>28220.146462705699</v>
      </c>
      <c r="AM41" s="1231">
        <v>13124.864203405999</v>
      </c>
      <c r="AN41" s="1231">
        <v>28899.683284101699</v>
      </c>
      <c r="AO41" s="1231">
        <v>13480.514529067401</v>
      </c>
      <c r="AP41" s="1231">
        <v>28613.019584194299</v>
      </c>
      <c r="AQ41" s="1231">
        <v>13054.994358189801</v>
      </c>
      <c r="AR41" s="1231">
        <v>29655.181958783902</v>
      </c>
      <c r="AS41" s="1231">
        <v>13656.5051842147</v>
      </c>
      <c r="AT41" s="1231">
        <v>30028.777592832601</v>
      </c>
      <c r="AU41" s="1231">
        <v>13961.081778722801</v>
      </c>
      <c r="AV41" s="1231">
        <v>30632.393230161899</v>
      </c>
      <c r="AW41" s="1231">
        <v>14132.2504430753</v>
      </c>
      <c r="AX41" s="1231">
        <v>33492.8776005611</v>
      </c>
      <c r="AY41" s="1231">
        <v>15162.4758171064</v>
      </c>
      <c r="AZ41" s="1231">
        <v>32954.245051270504</v>
      </c>
      <c r="BA41" s="1231">
        <v>15292.232439085001</v>
      </c>
      <c r="BB41" s="1231">
        <v>33421.9388306283</v>
      </c>
      <c r="BC41" s="1231">
        <v>15305.3330932881</v>
      </c>
      <c r="BD41" s="1231">
        <v>34731.7253349069</v>
      </c>
      <c r="BE41" s="1231">
        <v>16147.132756631099</v>
      </c>
      <c r="BF41" s="1231">
        <v>35159.179503070802</v>
      </c>
      <c r="BG41" s="1231">
        <v>16276.1583346196</v>
      </c>
      <c r="BH41" s="1231">
        <v>36292.955763420301</v>
      </c>
      <c r="BI41" s="1231">
        <v>16889.755672309198</v>
      </c>
      <c r="BJ41" s="1231">
        <v>36774.225670286301</v>
      </c>
      <c r="BK41" s="1231">
        <v>16797.607832377202</v>
      </c>
      <c r="BL41" s="1231">
        <v>36450.508420500599</v>
      </c>
      <c r="BM41" s="1231">
        <v>16968.258709509199</v>
      </c>
      <c r="BN41" s="1231">
        <v>37137.931003544698</v>
      </c>
      <c r="BO41" s="1231">
        <v>16753.482416936498</v>
      </c>
      <c r="BP41" s="1231">
        <v>38288.316651939298</v>
      </c>
      <c r="BQ41" s="1231">
        <v>17215.403945462702</v>
      </c>
      <c r="BR41" s="1231">
        <v>39230.6614151662</v>
      </c>
      <c r="BS41" s="1231">
        <v>17311.962565387701</v>
      </c>
      <c r="BT41" s="1231">
        <v>39970.324413273702</v>
      </c>
      <c r="BU41" s="1231">
        <v>17892.011130619201</v>
      </c>
      <c r="BV41" s="1231">
        <v>41432.830410419701</v>
      </c>
      <c r="BW41" s="1231">
        <v>18652.408689545398</v>
      </c>
      <c r="BX41" s="1231">
        <v>40200.2319852129</v>
      </c>
      <c r="BY41" s="1231">
        <v>17861.4458165303</v>
      </c>
      <c r="BZ41" s="1231">
        <v>39972.523610695796</v>
      </c>
      <c r="CA41" s="1231">
        <v>17683.1138848964</v>
      </c>
      <c r="CB41" s="1231">
        <v>38993.930087630397</v>
      </c>
      <c r="CC41" s="1604">
        <v>16473.7097361985</v>
      </c>
      <c r="CD41" s="1604">
        <v>39771.253926531899</v>
      </c>
      <c r="CE41" s="1604">
        <v>16814.651292682898</v>
      </c>
      <c r="CF41" s="1231">
        <v>40084.577391713203</v>
      </c>
      <c r="CG41" s="1604">
        <v>16834.446567333202</v>
      </c>
      <c r="CH41" s="1604">
        <v>39305.560458001703</v>
      </c>
      <c r="CI41" s="1604">
        <v>15737.9855991226</v>
      </c>
      <c r="CJ41" s="1231">
        <v>39041.192328113997</v>
      </c>
      <c r="CK41" s="1604">
        <v>14809.2352433015</v>
      </c>
      <c r="CL41" s="1231">
        <v>39474.061364384303</v>
      </c>
      <c r="CM41" s="1604">
        <v>14555.937364720499</v>
      </c>
      <c r="CN41" s="1604">
        <v>39539.119904226303</v>
      </c>
      <c r="CO41" s="1604">
        <v>14262.246119527699</v>
      </c>
      <c r="CP41" s="1231">
        <v>40232.959336831198</v>
      </c>
      <c r="CQ41" s="1604">
        <v>14927.9283455143</v>
      </c>
      <c r="CR41" s="1604">
        <v>40160.355371760801</v>
      </c>
      <c r="CS41" s="1604">
        <v>14430.171724149701</v>
      </c>
      <c r="CT41" s="1231">
        <v>43114.841401926496</v>
      </c>
      <c r="CU41" s="1604">
        <v>16087.3141229142</v>
      </c>
      <c r="CV41" s="1231">
        <v>43144.394571883196</v>
      </c>
      <c r="CW41" s="1604">
        <v>16312.7527053167</v>
      </c>
      <c r="CX41" s="1231">
        <v>42548.435305793297</v>
      </c>
      <c r="CY41" s="1604">
        <v>15671.951788389701</v>
      </c>
      <c r="CZ41" s="1240" t="s">
        <v>3688</v>
      </c>
      <c r="DB41" s="1222"/>
    </row>
    <row r="42" spans="1:107" ht="16.2" customHeight="1" thickBot="1">
      <c r="A42" s="2805"/>
      <c r="B42" s="2806"/>
      <c r="C42" s="2806"/>
      <c r="D42" s="2806"/>
      <c r="E42" s="2806"/>
      <c r="F42" s="2806"/>
      <c r="G42" s="2806"/>
      <c r="H42" s="2806"/>
      <c r="I42" s="2806"/>
      <c r="J42" s="2806"/>
      <c r="K42" s="2806"/>
      <c r="L42" s="2806"/>
      <c r="M42" s="2806"/>
      <c r="N42" s="2806"/>
      <c r="O42" s="2806"/>
      <c r="P42" s="2806"/>
      <c r="Q42" s="2806"/>
      <c r="R42" s="2806"/>
      <c r="S42" s="2806"/>
      <c r="T42" s="2806"/>
      <c r="U42" s="2806"/>
      <c r="V42" s="2806"/>
      <c r="W42" s="2806"/>
      <c r="X42" s="2806"/>
      <c r="Y42" s="2806"/>
      <c r="Z42" s="2806"/>
      <c r="AA42" s="2806"/>
      <c r="AB42" s="2806"/>
      <c r="AC42" s="2806"/>
      <c r="AD42" s="2806"/>
      <c r="AE42" s="2806"/>
      <c r="AF42" s="2806"/>
      <c r="AG42" s="2806"/>
      <c r="AH42" s="2806"/>
      <c r="AI42" s="2806"/>
      <c r="AJ42" s="2806"/>
      <c r="AK42" s="2806"/>
      <c r="AL42" s="2806"/>
      <c r="AM42" s="2806"/>
      <c r="AN42" s="2806"/>
      <c r="AO42" s="2806"/>
      <c r="AP42" s="2806"/>
      <c r="AQ42" s="2806"/>
      <c r="AR42" s="2806"/>
      <c r="AS42" s="2806"/>
      <c r="AT42" s="2806"/>
      <c r="AU42" s="2806"/>
      <c r="AV42" s="2806"/>
      <c r="AW42" s="2806"/>
      <c r="AX42" s="2806"/>
      <c r="AY42" s="2806"/>
      <c r="AZ42" s="2806"/>
      <c r="BA42" s="2806"/>
      <c r="BB42" s="2806"/>
      <c r="BC42" s="2806"/>
      <c r="BD42" s="2806"/>
      <c r="BE42" s="2806"/>
      <c r="BF42" s="2806"/>
      <c r="BG42" s="2806"/>
      <c r="BH42" s="2806"/>
      <c r="BI42" s="2806"/>
      <c r="BJ42" s="2806"/>
      <c r="BK42" s="2806"/>
      <c r="BL42" s="2806"/>
      <c r="BM42" s="2806"/>
      <c r="BN42" s="2806"/>
      <c r="BO42" s="2806"/>
      <c r="BP42" s="2806"/>
      <c r="BQ42" s="2806"/>
      <c r="BR42" s="2806"/>
      <c r="BS42" s="2806"/>
      <c r="BT42" s="2806"/>
      <c r="BU42" s="2806"/>
      <c r="BV42" s="2806"/>
      <c r="BW42" s="2806"/>
      <c r="BX42" s="2806"/>
      <c r="BY42" s="2806"/>
      <c r="BZ42" s="2806"/>
      <c r="CA42" s="2806"/>
      <c r="CB42" s="2806"/>
      <c r="CC42" s="2806"/>
      <c r="CD42" s="2806"/>
      <c r="CE42" s="2806"/>
      <c r="CF42" s="2806"/>
      <c r="CG42" s="2806"/>
      <c r="CH42" s="2806"/>
      <c r="CI42" s="2806"/>
      <c r="CJ42" s="2806"/>
      <c r="CK42" s="2806"/>
      <c r="CL42" s="2806"/>
      <c r="CM42" s="2806"/>
      <c r="CN42" s="2806"/>
      <c r="CO42" s="2806"/>
      <c r="CP42" s="2806"/>
      <c r="CQ42" s="2806"/>
      <c r="CR42" s="2806"/>
      <c r="CS42" s="2806"/>
      <c r="CT42" s="2806"/>
      <c r="CU42" s="2806"/>
      <c r="CV42" s="2806"/>
      <c r="CW42" s="2806"/>
      <c r="CX42" s="2806"/>
      <c r="CY42" s="2806"/>
      <c r="CZ42" s="2806"/>
    </row>
    <row r="43" spans="1:107" s="1223" customFormat="1" ht="26.25" customHeight="1" thickBot="1">
      <c r="A43" s="2801" t="s">
        <v>2271</v>
      </c>
      <c r="B43" s="2811">
        <v>43830</v>
      </c>
      <c r="C43" s="2808"/>
      <c r="D43" s="2807">
        <v>43861</v>
      </c>
      <c r="E43" s="2808"/>
      <c r="F43" s="2807">
        <v>43890</v>
      </c>
      <c r="G43" s="2808"/>
      <c r="H43" s="2807">
        <v>43921</v>
      </c>
      <c r="I43" s="2808"/>
      <c r="J43" s="2807">
        <v>43951</v>
      </c>
      <c r="K43" s="2808"/>
      <c r="L43" s="2807">
        <v>43982</v>
      </c>
      <c r="M43" s="2808"/>
      <c r="N43" s="2791">
        <v>44012</v>
      </c>
      <c r="O43" s="2793"/>
      <c r="P43" s="2791">
        <v>44043</v>
      </c>
      <c r="Q43" s="2793"/>
      <c r="R43" s="2791">
        <v>44074</v>
      </c>
      <c r="S43" s="2793"/>
      <c r="T43" s="2791">
        <v>44104</v>
      </c>
      <c r="U43" s="2793"/>
      <c r="V43" s="2791">
        <v>44135</v>
      </c>
      <c r="W43" s="2793"/>
      <c r="X43" s="2791">
        <v>44165</v>
      </c>
      <c r="Y43" s="2793"/>
      <c r="Z43" s="2791">
        <v>44196</v>
      </c>
      <c r="AA43" s="2793"/>
      <c r="AB43" s="2791">
        <v>44227</v>
      </c>
      <c r="AC43" s="2793"/>
      <c r="AD43" s="2791">
        <v>44255</v>
      </c>
      <c r="AE43" s="2793"/>
      <c r="AF43" s="2791">
        <v>44286</v>
      </c>
      <c r="AG43" s="2793"/>
      <c r="AH43" s="2791">
        <v>44316</v>
      </c>
      <c r="AI43" s="2793"/>
      <c r="AJ43" s="2791">
        <v>44347</v>
      </c>
      <c r="AK43" s="2793"/>
      <c r="AL43" s="2791">
        <v>44377</v>
      </c>
      <c r="AM43" s="2793"/>
      <c r="AN43" s="2791">
        <v>44408</v>
      </c>
      <c r="AO43" s="2793"/>
      <c r="AP43" s="2807">
        <v>44439</v>
      </c>
      <c r="AQ43" s="2808"/>
      <c r="AR43" s="2807">
        <v>44469</v>
      </c>
      <c r="AS43" s="2808"/>
      <c r="AT43" s="2792">
        <v>44500</v>
      </c>
      <c r="AU43" s="2793"/>
      <c r="AV43" s="2791">
        <v>44530</v>
      </c>
      <c r="AW43" s="2793"/>
      <c r="AX43" s="2791">
        <v>44561</v>
      </c>
      <c r="AY43" s="2793"/>
      <c r="AZ43" s="2791">
        <v>44592</v>
      </c>
      <c r="BA43" s="2793"/>
      <c r="BB43" s="2791">
        <v>44620</v>
      </c>
      <c r="BC43" s="2793"/>
      <c r="BD43" s="2791">
        <v>44651</v>
      </c>
      <c r="BE43" s="2793"/>
      <c r="BF43" s="2791">
        <v>44681</v>
      </c>
      <c r="BG43" s="2793"/>
      <c r="BH43" s="2791">
        <v>44712</v>
      </c>
      <c r="BI43" s="2793"/>
      <c r="BJ43" s="2791">
        <v>44742</v>
      </c>
      <c r="BK43" s="2793"/>
      <c r="BL43" s="2791">
        <v>44773</v>
      </c>
      <c r="BM43" s="2793"/>
      <c r="BN43" s="2791">
        <v>44804</v>
      </c>
      <c r="BO43" s="2793"/>
      <c r="BP43" s="2791">
        <v>44834</v>
      </c>
      <c r="BQ43" s="2793"/>
      <c r="BR43" s="2791">
        <v>44865</v>
      </c>
      <c r="BS43" s="2793"/>
      <c r="BT43" s="2791">
        <v>44895</v>
      </c>
      <c r="BU43" s="2793"/>
      <c r="BV43" s="2791">
        <v>44926</v>
      </c>
      <c r="BW43" s="2793"/>
      <c r="BX43" s="2791">
        <v>44957</v>
      </c>
      <c r="BY43" s="2793"/>
      <c r="BZ43" s="2791">
        <v>44985</v>
      </c>
      <c r="CA43" s="2793"/>
      <c r="CB43" s="2791">
        <v>45016</v>
      </c>
      <c r="CC43" s="2792"/>
      <c r="CD43" s="2791">
        <v>45046</v>
      </c>
      <c r="CE43" s="2792"/>
      <c r="CF43" s="2791">
        <v>45077</v>
      </c>
      <c r="CG43" s="2792"/>
      <c r="CH43" s="2791">
        <v>45107</v>
      </c>
      <c r="CI43" s="2792"/>
      <c r="CJ43" s="2791">
        <v>45138</v>
      </c>
      <c r="CK43" s="2792"/>
      <c r="CL43" s="2791">
        <v>45169</v>
      </c>
      <c r="CM43" s="2792"/>
      <c r="CN43" s="2791">
        <v>45199</v>
      </c>
      <c r="CO43" s="2792"/>
      <c r="CP43" s="2791">
        <v>45230</v>
      </c>
      <c r="CQ43" s="2792"/>
      <c r="CR43" s="2791">
        <v>45260</v>
      </c>
      <c r="CS43" s="2792"/>
      <c r="CT43" s="2791">
        <v>45291</v>
      </c>
      <c r="CU43" s="2792"/>
      <c r="CV43" s="2791">
        <v>45322</v>
      </c>
      <c r="CW43" s="2792"/>
      <c r="CX43" s="2791">
        <v>45351</v>
      </c>
      <c r="CY43" s="2792"/>
      <c r="CZ43" s="2801" t="s">
        <v>3689</v>
      </c>
    </row>
    <row r="44" spans="1:107" s="1223" customFormat="1" ht="42.75" customHeight="1" thickBot="1">
      <c r="A44" s="2802"/>
      <c r="B44" s="1232" t="s">
        <v>155</v>
      </c>
      <c r="C44" s="1233" t="s">
        <v>3064</v>
      </c>
      <c r="D44" s="1233" t="s">
        <v>155</v>
      </c>
      <c r="E44" s="1233" t="s">
        <v>3064</v>
      </c>
      <c r="F44" s="1233" t="s">
        <v>155</v>
      </c>
      <c r="G44" s="1233" t="s">
        <v>3064</v>
      </c>
      <c r="H44" s="1233" t="s">
        <v>155</v>
      </c>
      <c r="I44" s="1233" t="s">
        <v>3064</v>
      </c>
      <c r="J44" s="1233" t="s">
        <v>155</v>
      </c>
      <c r="K44" s="1233" t="s">
        <v>3064</v>
      </c>
      <c r="L44" s="1233" t="s">
        <v>155</v>
      </c>
      <c r="M44" s="1234" t="s">
        <v>3064</v>
      </c>
      <c r="N44" s="1234" t="s">
        <v>155</v>
      </c>
      <c r="O44" s="1234" t="s">
        <v>3064</v>
      </c>
      <c r="P44" s="1234" t="s">
        <v>155</v>
      </c>
      <c r="Q44" s="1234" t="s">
        <v>3064</v>
      </c>
      <c r="R44" s="1234" t="s">
        <v>155</v>
      </c>
      <c r="S44" s="1234" t="s">
        <v>3064</v>
      </c>
      <c r="T44" s="1234" t="s">
        <v>155</v>
      </c>
      <c r="U44" s="1234" t="s">
        <v>3064</v>
      </c>
      <c r="V44" s="1234" t="s">
        <v>155</v>
      </c>
      <c r="W44" s="1234" t="s">
        <v>3064</v>
      </c>
      <c r="X44" s="1234" t="s">
        <v>155</v>
      </c>
      <c r="Y44" s="1234" t="s">
        <v>3064</v>
      </c>
      <c r="Z44" s="1234" t="s">
        <v>155</v>
      </c>
      <c r="AA44" s="1234" t="s">
        <v>3064</v>
      </c>
      <c r="AB44" s="1234" t="s">
        <v>155</v>
      </c>
      <c r="AC44" s="1234" t="s">
        <v>3064</v>
      </c>
      <c r="AD44" s="1234" t="s">
        <v>155</v>
      </c>
      <c r="AE44" s="1234" t="s">
        <v>3064</v>
      </c>
      <c r="AF44" s="1234" t="s">
        <v>155</v>
      </c>
      <c r="AG44" s="1234" t="s">
        <v>3064</v>
      </c>
      <c r="AH44" s="1234" t="s">
        <v>155</v>
      </c>
      <c r="AI44" s="1234" t="s">
        <v>3064</v>
      </c>
      <c r="AJ44" s="1234" t="s">
        <v>155</v>
      </c>
      <c r="AK44" s="1234" t="s">
        <v>3064</v>
      </c>
      <c r="AL44" s="1234" t="s">
        <v>155</v>
      </c>
      <c r="AM44" s="1234" t="s">
        <v>3064</v>
      </c>
      <c r="AN44" s="1234" t="s">
        <v>155</v>
      </c>
      <c r="AO44" s="1233" t="s">
        <v>3064</v>
      </c>
      <c r="AP44" s="1233" t="s">
        <v>155</v>
      </c>
      <c r="AQ44" s="1233" t="s">
        <v>3064</v>
      </c>
      <c r="AR44" s="1233" t="s">
        <v>155</v>
      </c>
      <c r="AS44" s="1233" t="s">
        <v>3064</v>
      </c>
      <c r="AT44" s="1234" t="s">
        <v>155</v>
      </c>
      <c r="AU44" s="1233" t="s">
        <v>3064</v>
      </c>
      <c r="AV44" s="1234" t="s">
        <v>155</v>
      </c>
      <c r="AW44" s="1234" t="s">
        <v>3064</v>
      </c>
      <c r="AX44" s="1234" t="s">
        <v>155</v>
      </c>
      <c r="AY44" s="1234" t="s">
        <v>3064</v>
      </c>
      <c r="AZ44" s="1234" t="s">
        <v>155</v>
      </c>
      <c r="BA44" s="1234" t="s">
        <v>3064</v>
      </c>
      <c r="BB44" s="1234" t="s">
        <v>155</v>
      </c>
      <c r="BC44" s="1234" t="s">
        <v>3064</v>
      </c>
      <c r="BD44" s="1234" t="s">
        <v>155</v>
      </c>
      <c r="BE44" s="1234" t="s">
        <v>3064</v>
      </c>
      <c r="BF44" s="1234" t="s">
        <v>155</v>
      </c>
      <c r="BG44" s="1234" t="s">
        <v>3064</v>
      </c>
      <c r="BH44" s="1234" t="s">
        <v>155</v>
      </c>
      <c r="BI44" s="1234" t="s">
        <v>3064</v>
      </c>
      <c r="BJ44" s="1234" t="s">
        <v>155</v>
      </c>
      <c r="BK44" s="1234" t="s">
        <v>3064</v>
      </c>
      <c r="BL44" s="1234" t="s">
        <v>155</v>
      </c>
      <c r="BM44" s="1234" t="s">
        <v>3064</v>
      </c>
      <c r="BN44" s="1234" t="s">
        <v>155</v>
      </c>
      <c r="BO44" s="1234" t="s">
        <v>3064</v>
      </c>
      <c r="BP44" s="1234" t="s">
        <v>155</v>
      </c>
      <c r="BQ44" s="1234" t="s">
        <v>3064</v>
      </c>
      <c r="BR44" s="1234" t="s">
        <v>155</v>
      </c>
      <c r="BS44" s="1234" t="s">
        <v>3064</v>
      </c>
      <c r="BT44" s="1234" t="s">
        <v>155</v>
      </c>
      <c r="BU44" s="1234" t="s">
        <v>3064</v>
      </c>
      <c r="BV44" s="1234" t="s">
        <v>155</v>
      </c>
      <c r="BW44" s="1234" t="s">
        <v>3064</v>
      </c>
      <c r="BX44" s="1234" t="s">
        <v>155</v>
      </c>
      <c r="BY44" s="1234" t="s">
        <v>3064</v>
      </c>
      <c r="BZ44" s="1234" t="s">
        <v>155</v>
      </c>
      <c r="CA44" s="1234" t="s">
        <v>3064</v>
      </c>
      <c r="CB44" s="1234" t="s">
        <v>155</v>
      </c>
      <c r="CC44" s="1600" t="s">
        <v>3064</v>
      </c>
      <c r="CD44" s="1600" t="s">
        <v>155</v>
      </c>
      <c r="CE44" s="1600" t="s">
        <v>3064</v>
      </c>
      <c r="CF44" s="1234" t="s">
        <v>155</v>
      </c>
      <c r="CG44" s="1600" t="s">
        <v>3064</v>
      </c>
      <c r="CH44" s="1600" t="s">
        <v>155</v>
      </c>
      <c r="CI44" s="1600" t="s">
        <v>3064</v>
      </c>
      <c r="CJ44" s="1234" t="s">
        <v>155</v>
      </c>
      <c r="CK44" s="1600" t="s">
        <v>3064</v>
      </c>
      <c r="CL44" s="1234" t="s">
        <v>155</v>
      </c>
      <c r="CM44" s="1600" t="s">
        <v>3064</v>
      </c>
      <c r="CN44" s="1600" t="s">
        <v>155</v>
      </c>
      <c r="CO44" s="1600" t="s">
        <v>3064</v>
      </c>
      <c r="CP44" s="1234" t="s">
        <v>155</v>
      </c>
      <c r="CQ44" s="1600" t="s">
        <v>3064</v>
      </c>
      <c r="CR44" s="1600" t="s">
        <v>155</v>
      </c>
      <c r="CS44" s="1600" t="s">
        <v>3064</v>
      </c>
      <c r="CT44" s="1234" t="s">
        <v>155</v>
      </c>
      <c r="CU44" s="1600" t="s">
        <v>3064</v>
      </c>
      <c r="CV44" s="1234" t="s">
        <v>155</v>
      </c>
      <c r="CW44" s="1600" t="s">
        <v>3064</v>
      </c>
      <c r="CX44" s="1234" t="s">
        <v>155</v>
      </c>
      <c r="CY44" s="1600" t="s">
        <v>3064</v>
      </c>
      <c r="CZ44" s="2802"/>
    </row>
    <row r="45" spans="1:107" ht="18" customHeight="1">
      <c r="A45" s="1241" t="s">
        <v>2270</v>
      </c>
      <c r="B45" s="1242">
        <v>4257.9617134878599</v>
      </c>
      <c r="C45" s="1242">
        <v>0</v>
      </c>
      <c r="D45" s="1242">
        <v>4307.4198431908098</v>
      </c>
      <c r="E45" s="1242">
        <v>0</v>
      </c>
      <c r="F45" s="1242">
        <v>4348.6656216912697</v>
      </c>
      <c r="G45" s="1242">
        <v>0</v>
      </c>
      <c r="H45" s="1242">
        <v>4408.1519801664499</v>
      </c>
      <c r="I45" s="1242">
        <v>0</v>
      </c>
      <c r="J45" s="1242">
        <v>4243.3272628137202</v>
      </c>
      <c r="K45" s="1242">
        <v>0</v>
      </c>
      <c r="L45" s="1242">
        <v>4244.4240898530197</v>
      </c>
      <c r="M45" s="1242">
        <v>0</v>
      </c>
      <c r="N45" s="1242">
        <v>4291.1048650420198</v>
      </c>
      <c r="O45" s="1242">
        <v>0</v>
      </c>
      <c r="P45" s="1242">
        <v>4336.1320081519198</v>
      </c>
      <c r="Q45" s="1242">
        <v>0</v>
      </c>
      <c r="R45" s="1242">
        <v>4387.7121877811296</v>
      </c>
      <c r="S45" s="1242">
        <v>0</v>
      </c>
      <c r="T45" s="1242">
        <v>4303.3896301985797</v>
      </c>
      <c r="U45" s="1242">
        <v>0</v>
      </c>
      <c r="V45" s="1242">
        <v>4279.4154486283096</v>
      </c>
      <c r="W45" s="1242">
        <v>0</v>
      </c>
      <c r="X45" s="1242">
        <v>4349.5690064605496</v>
      </c>
      <c r="Y45" s="1242">
        <v>0</v>
      </c>
      <c r="Z45" s="1242">
        <v>4382.8843674853097</v>
      </c>
      <c r="AA45" s="1242">
        <v>0</v>
      </c>
      <c r="AB45" s="1242">
        <v>4391.0314089588001</v>
      </c>
      <c r="AC45" s="1242">
        <v>0</v>
      </c>
      <c r="AD45" s="1242">
        <v>4438.8555008718004</v>
      </c>
      <c r="AE45" s="1242">
        <v>0</v>
      </c>
      <c r="AF45" s="1242">
        <v>4518.53998906787</v>
      </c>
      <c r="AG45" s="1242">
        <v>0</v>
      </c>
      <c r="AH45" s="1242">
        <v>4401.09138321707</v>
      </c>
      <c r="AI45" s="1242">
        <v>0</v>
      </c>
      <c r="AJ45" s="1242">
        <v>4421.8851639925397</v>
      </c>
      <c r="AK45" s="1242">
        <v>0</v>
      </c>
      <c r="AL45" s="1242">
        <v>4518.9997558170398</v>
      </c>
      <c r="AM45" s="1242">
        <v>0</v>
      </c>
      <c r="AN45" s="1242">
        <v>4434.5737748400397</v>
      </c>
      <c r="AO45" s="1242">
        <v>0</v>
      </c>
      <c r="AP45" s="1242">
        <v>4480.9567757552004</v>
      </c>
      <c r="AQ45" s="1242">
        <v>0</v>
      </c>
      <c r="AR45" s="1242">
        <v>4532.36760503</v>
      </c>
      <c r="AS45" s="1242">
        <v>0</v>
      </c>
      <c r="AT45" s="1242">
        <v>4590.7742666201702</v>
      </c>
      <c r="AU45" s="1242">
        <v>0</v>
      </c>
      <c r="AV45" s="1242">
        <v>4620.2757534499997</v>
      </c>
      <c r="AW45" s="1242">
        <v>0</v>
      </c>
      <c r="AX45" s="1242">
        <v>4607.7813907157497</v>
      </c>
      <c r="AY45" s="1242">
        <v>0</v>
      </c>
      <c r="AZ45" s="1242">
        <v>4663.7094914863001</v>
      </c>
      <c r="BA45" s="1242">
        <v>0</v>
      </c>
      <c r="BB45" s="1242">
        <v>4707.9533749744996</v>
      </c>
      <c r="BC45" s="1242">
        <v>0</v>
      </c>
      <c r="BD45" s="1242">
        <v>4620.9125135297099</v>
      </c>
      <c r="BE45" s="1242">
        <v>0</v>
      </c>
      <c r="BF45" s="1242">
        <v>4663.9026236007003</v>
      </c>
      <c r="BG45" s="1242">
        <v>0</v>
      </c>
      <c r="BH45" s="1242">
        <v>4743.8985605159996</v>
      </c>
      <c r="BI45" s="1242">
        <v>0</v>
      </c>
      <c r="BJ45" s="1242">
        <v>4803.7141631643199</v>
      </c>
      <c r="BK45" s="1242">
        <v>0</v>
      </c>
      <c r="BL45" s="1242">
        <v>4790.9808576415398</v>
      </c>
      <c r="BM45" s="1242">
        <v>0</v>
      </c>
      <c r="BN45" s="1242">
        <v>4899.7445418115403</v>
      </c>
      <c r="BO45" s="1242">
        <v>0</v>
      </c>
      <c r="BP45" s="1242">
        <v>4971.4914196085201</v>
      </c>
      <c r="BQ45" s="1242">
        <v>0</v>
      </c>
      <c r="BR45" s="1242">
        <v>5048.8744589048201</v>
      </c>
      <c r="BS45" s="1242">
        <v>0</v>
      </c>
      <c r="BT45" s="1242">
        <v>5142.3962917609997</v>
      </c>
      <c r="BU45" s="1242">
        <v>0</v>
      </c>
      <c r="BV45" s="1242">
        <v>5207.63643744614</v>
      </c>
      <c r="BW45" s="1242">
        <v>0</v>
      </c>
      <c r="BX45" s="1242">
        <v>5236.1981715687498</v>
      </c>
      <c r="BY45" s="1242"/>
      <c r="BZ45" s="1242">
        <v>5301.7027492553798</v>
      </c>
      <c r="CA45" s="1242"/>
      <c r="CB45" s="1242">
        <v>5411.9166524537504</v>
      </c>
      <c r="CC45" s="1608"/>
      <c r="CD45" s="1608">
        <v>5361.5744234999502</v>
      </c>
      <c r="CE45" s="1608"/>
      <c r="CF45" s="1242">
        <v>5389.7448504111098</v>
      </c>
      <c r="CG45" s="1608">
        <v>0</v>
      </c>
      <c r="CH45" s="1608">
        <v>5477.3464039471701</v>
      </c>
      <c r="CI45" s="1608"/>
      <c r="CJ45" s="1242">
        <v>5399.0546256961197</v>
      </c>
      <c r="CK45" s="1608"/>
      <c r="CL45" s="1242">
        <v>5437.7777928482901</v>
      </c>
      <c r="CM45" s="1608"/>
      <c r="CN45" s="1608">
        <v>5546.4778823828001</v>
      </c>
      <c r="CO45" s="1608"/>
      <c r="CP45" s="1242">
        <v>5480.8700956451603</v>
      </c>
      <c r="CQ45" s="1608"/>
      <c r="CR45" s="1608">
        <v>5570.1332107211902</v>
      </c>
      <c r="CS45" s="1608"/>
      <c r="CT45" s="1242">
        <v>5581.3410573281999</v>
      </c>
      <c r="CU45" s="1608"/>
      <c r="CV45" s="1242">
        <v>5680.9214189100003</v>
      </c>
      <c r="CW45" s="1608"/>
      <c r="CX45" s="1242">
        <v>5716.5546972900001</v>
      </c>
      <c r="CY45" s="1608"/>
      <c r="CZ45" s="1241" t="s">
        <v>3690</v>
      </c>
    </row>
    <row r="46" spans="1:107" ht="18" customHeight="1">
      <c r="A46" s="1243" t="s">
        <v>2269</v>
      </c>
      <c r="B46" s="1227">
        <v>325.03180210104398</v>
      </c>
      <c r="C46" s="1227">
        <v>0</v>
      </c>
      <c r="D46" s="1227">
        <v>336.78699184043597</v>
      </c>
      <c r="E46" s="1227">
        <v>0</v>
      </c>
      <c r="F46" s="1227">
        <v>342.34170538846399</v>
      </c>
      <c r="G46" s="1227">
        <v>0</v>
      </c>
      <c r="H46" s="1227">
        <v>332.85358624824198</v>
      </c>
      <c r="I46" s="1227">
        <v>0</v>
      </c>
      <c r="J46" s="1227">
        <v>318.10022260447101</v>
      </c>
      <c r="K46" s="1227">
        <v>0</v>
      </c>
      <c r="L46" s="1227">
        <v>315.01915555888797</v>
      </c>
      <c r="M46" s="1227">
        <v>0</v>
      </c>
      <c r="N46" s="1227">
        <v>311.48709497001698</v>
      </c>
      <c r="O46" s="1227">
        <v>0</v>
      </c>
      <c r="P46" s="1227">
        <v>319.21431133750201</v>
      </c>
      <c r="Q46" s="1227">
        <v>0</v>
      </c>
      <c r="R46" s="1227">
        <v>326.69888213528901</v>
      </c>
      <c r="S46" s="1227">
        <v>0</v>
      </c>
      <c r="T46" s="1227">
        <v>320.911284207476</v>
      </c>
      <c r="U46" s="1227">
        <v>0</v>
      </c>
      <c r="V46" s="1227">
        <v>314.34156685697099</v>
      </c>
      <c r="W46" s="1227">
        <v>0</v>
      </c>
      <c r="X46" s="1227">
        <v>311.55645648043901</v>
      </c>
      <c r="Y46" s="1227">
        <v>0</v>
      </c>
      <c r="Z46" s="1227">
        <v>316.36482083149002</v>
      </c>
      <c r="AA46" s="1227">
        <v>0</v>
      </c>
      <c r="AB46" s="1227">
        <v>329.70853555387498</v>
      </c>
      <c r="AC46" s="1227">
        <v>0</v>
      </c>
      <c r="AD46" s="1227">
        <v>326.92706036094899</v>
      </c>
      <c r="AE46" s="1227">
        <v>0</v>
      </c>
      <c r="AF46" s="1227">
        <v>330.82969954752099</v>
      </c>
      <c r="AG46" s="1227">
        <v>0</v>
      </c>
      <c r="AH46" s="1227">
        <v>330.03614782129199</v>
      </c>
      <c r="AI46" s="1227">
        <v>0</v>
      </c>
      <c r="AJ46" s="1227">
        <v>330.59946738031601</v>
      </c>
      <c r="AK46" s="1227">
        <v>0</v>
      </c>
      <c r="AL46" s="1227">
        <v>330.71137519555299</v>
      </c>
      <c r="AM46" s="1227">
        <v>0</v>
      </c>
      <c r="AN46" s="1227">
        <v>333.87394864008098</v>
      </c>
      <c r="AO46" s="1227">
        <v>0</v>
      </c>
      <c r="AP46" s="1227">
        <v>332.76802157315302</v>
      </c>
      <c r="AQ46" s="1227">
        <v>0</v>
      </c>
      <c r="AR46" s="1227">
        <v>338.99239245506402</v>
      </c>
      <c r="AS46" s="1227">
        <v>0</v>
      </c>
      <c r="AT46" s="1227">
        <v>344.00222716598199</v>
      </c>
      <c r="AU46" s="1227">
        <v>0</v>
      </c>
      <c r="AV46" s="1227">
        <v>351.79246984295202</v>
      </c>
      <c r="AW46" s="1227">
        <v>0</v>
      </c>
      <c r="AX46" s="1227">
        <v>361.552949783972</v>
      </c>
      <c r="AY46" s="1227">
        <v>0</v>
      </c>
      <c r="AZ46" s="1227">
        <v>364.30580440991702</v>
      </c>
      <c r="BA46" s="1227">
        <v>0</v>
      </c>
      <c r="BB46" s="1227">
        <v>353.53285867689101</v>
      </c>
      <c r="BC46" s="1227">
        <v>0</v>
      </c>
      <c r="BD46" s="1227">
        <v>320.60042030748701</v>
      </c>
      <c r="BE46" s="1227">
        <v>0</v>
      </c>
      <c r="BF46" s="1227">
        <v>326.00249203760097</v>
      </c>
      <c r="BG46" s="1227">
        <v>0</v>
      </c>
      <c r="BH46" s="1227">
        <v>334.69426640193598</v>
      </c>
      <c r="BI46" s="1227">
        <v>0</v>
      </c>
      <c r="BJ46" s="1227">
        <v>342.18823913773502</v>
      </c>
      <c r="BK46" s="1227">
        <v>0</v>
      </c>
      <c r="BL46" s="1227">
        <v>348.24495686271501</v>
      </c>
      <c r="BM46" s="1227">
        <v>0</v>
      </c>
      <c r="BN46" s="1227">
        <v>366.98482419269101</v>
      </c>
      <c r="BO46" s="1227">
        <v>0</v>
      </c>
      <c r="BP46" s="1227">
        <v>373.57710624446099</v>
      </c>
      <c r="BQ46" s="1227">
        <v>0</v>
      </c>
      <c r="BR46" s="1227">
        <v>381.12700851278402</v>
      </c>
      <c r="BS46" s="1227">
        <v>0</v>
      </c>
      <c r="BT46" s="1227">
        <v>377.47549654156398</v>
      </c>
      <c r="BU46" s="1227">
        <v>0</v>
      </c>
      <c r="BV46" s="1227">
        <v>414.45730242658999</v>
      </c>
      <c r="BW46" s="1227">
        <v>0</v>
      </c>
      <c r="BX46" s="1227">
        <v>425.49608434322897</v>
      </c>
      <c r="BY46" s="1227"/>
      <c r="BZ46" s="1227">
        <v>434.36356160323498</v>
      </c>
      <c r="CA46" s="1227"/>
      <c r="CB46" s="1227">
        <v>437.35901504557302</v>
      </c>
      <c r="CC46" s="1602"/>
      <c r="CD46" s="1602">
        <v>449.82279939222798</v>
      </c>
      <c r="CE46" s="1602"/>
      <c r="CF46" s="1227">
        <v>447.45621840171202</v>
      </c>
      <c r="CG46" s="1602">
        <v>0</v>
      </c>
      <c r="CH46" s="1602">
        <v>435.36038196325597</v>
      </c>
      <c r="CI46" s="1602"/>
      <c r="CJ46" s="1227">
        <v>440.08475146019799</v>
      </c>
      <c r="CK46" s="1602"/>
      <c r="CL46" s="1227">
        <v>446.84732265707902</v>
      </c>
      <c r="CM46" s="1602"/>
      <c r="CN46" s="1602">
        <v>444.90193530170001</v>
      </c>
      <c r="CO46" s="1602"/>
      <c r="CP46" s="1227">
        <v>425.66816141328098</v>
      </c>
      <c r="CQ46" s="1602"/>
      <c r="CR46" s="1602">
        <v>441.999451656818</v>
      </c>
      <c r="CS46" s="1602"/>
      <c r="CT46" s="1227">
        <v>482.05375889790503</v>
      </c>
      <c r="CU46" s="1602"/>
      <c r="CV46" s="1227">
        <v>471.45566252566698</v>
      </c>
      <c r="CW46" s="1602"/>
      <c r="CX46" s="1227">
        <v>470.68830164068999</v>
      </c>
      <c r="CY46" s="1602"/>
      <c r="CZ46" s="1243" t="s">
        <v>3691</v>
      </c>
    </row>
    <row r="47" spans="1:107" ht="24.75" customHeight="1" thickBot="1">
      <c r="A47" s="1244" t="s">
        <v>2268</v>
      </c>
      <c r="B47" s="1245">
        <v>4582.9935155889098</v>
      </c>
      <c r="C47" s="1245">
        <v>0</v>
      </c>
      <c r="D47" s="1245">
        <v>4644.2068350312502</v>
      </c>
      <c r="E47" s="1245">
        <v>0</v>
      </c>
      <c r="F47" s="1245">
        <v>4691.0073270797402</v>
      </c>
      <c r="G47" s="1245">
        <v>0</v>
      </c>
      <c r="H47" s="1245">
        <v>4741.0055664146903</v>
      </c>
      <c r="I47" s="1245">
        <v>0</v>
      </c>
      <c r="J47" s="1245">
        <v>4561.4274854181904</v>
      </c>
      <c r="K47" s="1245">
        <v>0</v>
      </c>
      <c r="L47" s="1246">
        <v>4559.4432454118996</v>
      </c>
      <c r="M47" s="1246">
        <v>0</v>
      </c>
      <c r="N47" s="1246">
        <v>4602.5919600120296</v>
      </c>
      <c r="O47" s="1246">
        <v>0</v>
      </c>
      <c r="P47" s="1246">
        <v>4655.3463194894202</v>
      </c>
      <c r="Q47" s="1246">
        <v>0</v>
      </c>
      <c r="R47" s="1246">
        <v>4714.4110699164203</v>
      </c>
      <c r="S47" s="1246">
        <v>0</v>
      </c>
      <c r="T47" s="1246">
        <v>4624.3009144060497</v>
      </c>
      <c r="U47" s="1246">
        <v>0</v>
      </c>
      <c r="V47" s="1246">
        <v>4593.7570154852801</v>
      </c>
      <c r="W47" s="1246">
        <v>0</v>
      </c>
      <c r="X47" s="1246">
        <v>4661.1254629409896</v>
      </c>
      <c r="Y47" s="1246">
        <v>0</v>
      </c>
      <c r="Z47" s="1246">
        <v>4699.2491883168004</v>
      </c>
      <c r="AA47" s="1246">
        <v>0</v>
      </c>
      <c r="AB47" s="1246">
        <v>4720.7399445126703</v>
      </c>
      <c r="AC47" s="1246">
        <v>0</v>
      </c>
      <c r="AD47" s="1246">
        <v>4765.7825612327497</v>
      </c>
      <c r="AE47" s="1246">
        <v>0</v>
      </c>
      <c r="AF47" s="1246">
        <v>4849.3696886153903</v>
      </c>
      <c r="AG47" s="1246">
        <v>0</v>
      </c>
      <c r="AH47" s="1246">
        <v>4731.1275310383598</v>
      </c>
      <c r="AI47" s="1246">
        <v>0</v>
      </c>
      <c r="AJ47" s="1246">
        <v>4752.4846313728603</v>
      </c>
      <c r="AK47" s="1246">
        <v>0</v>
      </c>
      <c r="AL47" s="1246">
        <v>4849.7111310125902</v>
      </c>
      <c r="AM47" s="1246">
        <v>0</v>
      </c>
      <c r="AN47" s="1246">
        <v>4768.4477234801197</v>
      </c>
      <c r="AO47" s="1246">
        <v>0</v>
      </c>
      <c r="AP47" s="1246">
        <v>4813.7247973283502</v>
      </c>
      <c r="AQ47" s="1246">
        <v>0</v>
      </c>
      <c r="AR47" s="1246">
        <v>4871.3599974850604</v>
      </c>
      <c r="AS47" s="1246">
        <v>0</v>
      </c>
      <c r="AT47" s="1246">
        <v>4934.7764937861502</v>
      </c>
      <c r="AU47" s="1246">
        <v>0</v>
      </c>
      <c r="AV47" s="1246">
        <v>4972.0682232929503</v>
      </c>
      <c r="AW47" s="1246">
        <v>0</v>
      </c>
      <c r="AX47" s="1246">
        <v>4969.3343404997204</v>
      </c>
      <c r="AY47" s="1246">
        <v>0</v>
      </c>
      <c r="AZ47" s="1246">
        <v>5028.0152958962199</v>
      </c>
      <c r="BA47" s="1246">
        <v>0</v>
      </c>
      <c r="BB47" s="1246">
        <v>5061.4862336513897</v>
      </c>
      <c r="BC47" s="1246">
        <v>0</v>
      </c>
      <c r="BD47" s="1246">
        <v>4941.5129338371898</v>
      </c>
      <c r="BE47" s="1246">
        <v>0</v>
      </c>
      <c r="BF47" s="1246">
        <v>4989.9051156383002</v>
      </c>
      <c r="BG47" s="1246">
        <v>0</v>
      </c>
      <c r="BH47" s="1246">
        <v>5078.5928269179403</v>
      </c>
      <c r="BI47" s="1246">
        <v>0</v>
      </c>
      <c r="BJ47" s="1246">
        <v>5145.9024023020602</v>
      </c>
      <c r="BK47" s="1246">
        <v>0</v>
      </c>
      <c r="BL47" s="1246">
        <v>5139.2258145042497</v>
      </c>
      <c r="BM47" s="1246">
        <v>0</v>
      </c>
      <c r="BN47" s="1246">
        <v>5266.7293660042296</v>
      </c>
      <c r="BO47" s="1246">
        <v>0</v>
      </c>
      <c r="BP47" s="1246">
        <v>5345.0685258529802</v>
      </c>
      <c r="BQ47" s="1246">
        <v>0</v>
      </c>
      <c r="BR47" s="1246">
        <v>5430.00146741761</v>
      </c>
      <c r="BS47" s="1246">
        <v>0</v>
      </c>
      <c r="BT47" s="1246">
        <v>5519.8717883025702</v>
      </c>
      <c r="BU47" s="1246">
        <v>0</v>
      </c>
      <c r="BV47" s="1246">
        <v>5622.0937398727301</v>
      </c>
      <c r="BW47" s="1246">
        <v>0</v>
      </c>
      <c r="BX47" s="1246">
        <v>5661.6942559119798</v>
      </c>
      <c r="BY47" s="1246"/>
      <c r="BZ47" s="1246">
        <v>5736.0663108586104</v>
      </c>
      <c r="CA47" s="1246"/>
      <c r="CB47" s="1246">
        <v>5849.2756674993298</v>
      </c>
      <c r="CC47" s="1609"/>
      <c r="CD47" s="1609">
        <v>5811.3972228921803</v>
      </c>
      <c r="CE47" s="1609"/>
      <c r="CF47" s="1246">
        <v>5837.2010688128203</v>
      </c>
      <c r="CG47" s="1609">
        <v>0</v>
      </c>
      <c r="CH47" s="1609">
        <v>5912.70678591042</v>
      </c>
      <c r="CI47" s="1609"/>
      <c r="CJ47" s="1246">
        <v>5839.1393771563198</v>
      </c>
      <c r="CK47" s="1609"/>
      <c r="CL47" s="1246">
        <v>5884.6251155053696</v>
      </c>
      <c r="CM47" s="1609"/>
      <c r="CN47" s="1609">
        <v>5991.3798176845003</v>
      </c>
      <c r="CO47" s="1609"/>
      <c r="CP47" s="1246">
        <v>5913.6259700084402</v>
      </c>
      <c r="CQ47" s="1609"/>
      <c r="CR47" s="1609">
        <v>6012.1326623780096</v>
      </c>
      <c r="CS47" s="1609"/>
      <c r="CT47" s="1246">
        <v>6063.3548162261104</v>
      </c>
      <c r="CU47" s="1609"/>
      <c r="CV47" s="1246">
        <v>6152.3770814356703</v>
      </c>
      <c r="CW47" s="1609"/>
      <c r="CX47" s="1246">
        <v>6187.2529989306904</v>
      </c>
      <c r="CY47" s="1609"/>
      <c r="CZ47" s="1244" t="s">
        <v>3692</v>
      </c>
    </row>
    <row r="48" spans="1:107" s="1265" customFormat="1" ht="39.75" customHeight="1" thickBot="1">
      <c r="A48" s="1593" t="s">
        <v>2267</v>
      </c>
      <c r="B48" s="1594">
        <v>32722.7715977474</v>
      </c>
      <c r="C48" s="1594">
        <v>15632.00868594</v>
      </c>
      <c r="D48" s="1594">
        <v>32863.227780301997</v>
      </c>
      <c r="E48" s="1594">
        <v>15859.4686560519</v>
      </c>
      <c r="F48" s="1594">
        <v>33195.901429624602</v>
      </c>
      <c r="G48" s="1594">
        <v>15678.94060871</v>
      </c>
      <c r="H48" s="1594">
        <v>32218.908868473802</v>
      </c>
      <c r="I48" s="1594">
        <v>15470.487018579999</v>
      </c>
      <c r="J48" s="1594">
        <v>31272.782507935601</v>
      </c>
      <c r="K48" s="1594">
        <v>14876.439689880001</v>
      </c>
      <c r="L48" s="1594">
        <v>31260.7900897541</v>
      </c>
      <c r="M48" s="1594">
        <v>14664.9000233033</v>
      </c>
      <c r="N48" s="1594">
        <v>30541.0312492339</v>
      </c>
      <c r="O48" s="1594">
        <v>14053.78607907</v>
      </c>
      <c r="P48" s="1594">
        <v>30503.466040603798</v>
      </c>
      <c r="Q48" s="1594">
        <v>13707.4350932496</v>
      </c>
      <c r="R48" s="1594">
        <v>31065.933888839401</v>
      </c>
      <c r="S48" s="1594">
        <v>14118.0615912011</v>
      </c>
      <c r="T48" s="1594">
        <v>30618.9290287697</v>
      </c>
      <c r="U48" s="1594">
        <v>13287.3291536995</v>
      </c>
      <c r="V48" s="1594">
        <v>30685.092057299102</v>
      </c>
      <c r="W48" s="1594">
        <v>13204.7747804964</v>
      </c>
      <c r="X48" s="1594">
        <v>30742.9709196597</v>
      </c>
      <c r="Y48" s="1594">
        <v>13342.282166888301</v>
      </c>
      <c r="Z48" s="1594">
        <v>32055.3092580913</v>
      </c>
      <c r="AA48" s="1594">
        <v>13857.024209163999</v>
      </c>
      <c r="AB48" s="1594">
        <v>31944.817244460799</v>
      </c>
      <c r="AC48" s="1594">
        <v>13667.268332957699</v>
      </c>
      <c r="AD48" s="1594">
        <v>32203.446203486001</v>
      </c>
      <c r="AE48" s="1594">
        <v>13516.602574561201</v>
      </c>
      <c r="AF48" s="1594">
        <v>32521.404198267199</v>
      </c>
      <c r="AG48" s="1594">
        <v>13512.775126894299</v>
      </c>
      <c r="AH48" s="1594">
        <v>32796.688826332</v>
      </c>
      <c r="AI48" s="1594">
        <v>13408.162511898499</v>
      </c>
      <c r="AJ48" s="1594">
        <v>33810.727473172097</v>
      </c>
      <c r="AK48" s="1594">
        <v>13627.049358533101</v>
      </c>
      <c r="AL48" s="1594">
        <v>33069.857593718298</v>
      </c>
      <c r="AM48" s="1594">
        <v>13124.864203405999</v>
      </c>
      <c r="AN48" s="1594">
        <v>33668.131007581796</v>
      </c>
      <c r="AO48" s="1594">
        <v>13480.514529067401</v>
      </c>
      <c r="AP48" s="1594">
        <v>33426.744381522702</v>
      </c>
      <c r="AQ48" s="1594">
        <v>13054.994358189801</v>
      </c>
      <c r="AR48" s="1594">
        <v>34526.541956268899</v>
      </c>
      <c r="AS48" s="1594">
        <v>13656.5051842147</v>
      </c>
      <c r="AT48" s="1594">
        <v>34963.554086618802</v>
      </c>
      <c r="AU48" s="1594">
        <v>13961.081778722801</v>
      </c>
      <c r="AV48" s="1594">
        <v>35604.461453454896</v>
      </c>
      <c r="AW48" s="1594">
        <v>14132.2504430753</v>
      </c>
      <c r="AX48" s="1594">
        <v>38462.211941060799</v>
      </c>
      <c r="AY48" s="1594">
        <v>15162.4758171064</v>
      </c>
      <c r="AZ48" s="1594">
        <v>37982.260347166703</v>
      </c>
      <c r="BA48" s="1594">
        <v>15292.232439085001</v>
      </c>
      <c r="BB48" s="1594">
        <v>38483.425064279698</v>
      </c>
      <c r="BC48" s="1594">
        <v>15305.3330932881</v>
      </c>
      <c r="BD48" s="1594">
        <v>39673.238268744099</v>
      </c>
      <c r="BE48" s="1594">
        <v>16147.132756631099</v>
      </c>
      <c r="BF48" s="1594">
        <v>40149.084618709101</v>
      </c>
      <c r="BG48" s="1594">
        <v>16276.1583346196</v>
      </c>
      <c r="BH48" s="1594">
        <v>41371.5485903382</v>
      </c>
      <c r="BI48" s="1594">
        <v>16889.755672309198</v>
      </c>
      <c r="BJ48" s="1594">
        <v>41920.128072588399</v>
      </c>
      <c r="BK48" s="1594">
        <v>16797.607832377202</v>
      </c>
      <c r="BL48" s="1594">
        <v>41589.734235004798</v>
      </c>
      <c r="BM48" s="1594">
        <v>16968.258709509199</v>
      </c>
      <c r="BN48" s="1594">
        <v>42404.660369548903</v>
      </c>
      <c r="BO48" s="1594">
        <v>16753.482416936498</v>
      </c>
      <c r="BP48" s="1594">
        <v>43633.385177792297</v>
      </c>
      <c r="BQ48" s="1594">
        <v>17215.403945462702</v>
      </c>
      <c r="BR48" s="1594">
        <v>44660.662882583798</v>
      </c>
      <c r="BS48" s="1594">
        <v>17311.962565387701</v>
      </c>
      <c r="BT48" s="1594">
        <v>45490.196201576298</v>
      </c>
      <c r="BU48" s="1594">
        <v>17892.011130619201</v>
      </c>
      <c r="BV48" s="1594">
        <v>47054.924150292398</v>
      </c>
      <c r="BW48" s="1594">
        <v>18652.408689545398</v>
      </c>
      <c r="BX48" s="1594">
        <v>45861.9262411249</v>
      </c>
      <c r="BY48" s="1594">
        <v>17861.4458165303</v>
      </c>
      <c r="BZ48" s="1594">
        <v>45708.589921554398</v>
      </c>
      <c r="CA48" s="1594">
        <v>17683.1138848964</v>
      </c>
      <c r="CB48" s="1594">
        <v>44843.205755129697</v>
      </c>
      <c r="CC48" s="1610">
        <v>16473.7097361985</v>
      </c>
      <c r="CD48" s="1610">
        <v>45582.651149424099</v>
      </c>
      <c r="CE48" s="1610">
        <v>16814.651292682898</v>
      </c>
      <c r="CF48" s="1594">
        <v>45921.778460526097</v>
      </c>
      <c r="CG48" s="1610">
        <v>16834.446567333202</v>
      </c>
      <c r="CH48" s="1610">
        <v>45218.267243912102</v>
      </c>
      <c r="CI48" s="1610">
        <v>15737.9855991226</v>
      </c>
      <c r="CJ48" s="1594">
        <v>44880.331705270299</v>
      </c>
      <c r="CK48" s="1610">
        <v>14809.2352433015</v>
      </c>
      <c r="CL48" s="1594">
        <v>45358.6864798897</v>
      </c>
      <c r="CM48" s="1610">
        <v>14555.937364720499</v>
      </c>
      <c r="CN48" s="1610">
        <v>45530.499721910797</v>
      </c>
      <c r="CO48" s="1610">
        <v>14262.246119527699</v>
      </c>
      <c r="CP48" s="1594">
        <v>46146.565306839599</v>
      </c>
      <c r="CQ48" s="1610">
        <v>14927.9283455143</v>
      </c>
      <c r="CR48" s="1610">
        <v>46172.478034138803</v>
      </c>
      <c r="CS48" s="1610">
        <v>14430.171724149701</v>
      </c>
      <c r="CT48" s="1594">
        <v>49178.196218152603</v>
      </c>
      <c r="CU48" s="1610">
        <v>16087.3141229142</v>
      </c>
      <c r="CV48" s="1594">
        <v>49296.7716533188</v>
      </c>
      <c r="CW48" s="1610">
        <v>16312.7527053167</v>
      </c>
      <c r="CX48" s="1594">
        <v>48735.678304724002</v>
      </c>
      <c r="CY48" s="1610">
        <v>15671.951788389701</v>
      </c>
      <c r="CZ48" s="1611" t="s">
        <v>3693</v>
      </c>
    </row>
    <row r="49" spans="1:62" s="1249" customFormat="1" ht="20.25" customHeight="1">
      <c r="A49" s="1247" t="s">
        <v>3730</v>
      </c>
      <c r="B49" s="1247"/>
      <c r="C49" s="1247"/>
      <c r="D49" s="1247"/>
      <c r="E49" s="1248"/>
      <c r="F49" s="1248"/>
      <c r="G49" s="1248"/>
      <c r="H49" s="1248"/>
      <c r="I49" s="1248"/>
      <c r="J49" s="1248"/>
      <c r="K49" s="1248"/>
      <c r="L49" s="1248"/>
      <c r="M49" s="1462"/>
      <c r="N49" s="1462"/>
      <c r="O49" s="1462"/>
      <c r="P49" s="1462"/>
      <c r="Q49" s="1462"/>
      <c r="R49" s="1462"/>
      <c r="S49" s="1462"/>
      <c r="T49" s="1462"/>
      <c r="U49" s="1462"/>
      <c r="V49" s="1462"/>
      <c r="W49" s="1462"/>
      <c r="X49" s="1462"/>
      <c r="Y49" s="1462"/>
      <c r="Z49" s="1462"/>
      <c r="AA49" s="1462"/>
      <c r="AB49" s="1462"/>
      <c r="AC49" s="1462"/>
      <c r="AD49" s="1462"/>
      <c r="AE49" s="1462"/>
      <c r="AF49" s="1462"/>
      <c r="AG49" s="1462"/>
      <c r="AH49" s="1462"/>
      <c r="AI49" s="1462"/>
      <c r="AJ49" s="1462"/>
      <c r="AK49" s="1462"/>
      <c r="AL49" s="1462"/>
      <c r="AM49" s="1462"/>
      <c r="AN49" s="1462"/>
      <c r="AO49" s="1462"/>
      <c r="AP49" s="1462"/>
      <c r="AQ49" s="1462"/>
      <c r="AR49" s="1462"/>
      <c r="AS49" s="1462"/>
      <c r="AT49" s="1462"/>
      <c r="AU49" s="1462"/>
      <c r="AV49" s="1462"/>
      <c r="AW49" s="1462"/>
      <c r="AX49" s="1462"/>
      <c r="AY49" s="1462"/>
      <c r="AZ49" s="1462"/>
      <c r="BA49" s="1462"/>
      <c r="BB49" s="1462"/>
      <c r="BC49" s="1462"/>
      <c r="BD49" s="1462"/>
      <c r="BE49" s="1462"/>
      <c r="BF49" s="1462"/>
      <c r="BG49" s="1462"/>
      <c r="BH49" s="1462"/>
      <c r="BI49" s="1462"/>
      <c r="BJ49" s="1462"/>
    </row>
    <row r="50" spans="1:62" s="1250" customFormat="1" ht="35.25" customHeight="1">
      <c r="A50" s="2809" t="s">
        <v>2266</v>
      </c>
      <c r="B50" s="2809"/>
      <c r="C50" s="2809"/>
      <c r="D50" s="2809"/>
      <c r="E50" s="2809"/>
      <c r="F50" s="2809"/>
      <c r="G50" s="2809"/>
      <c r="H50" s="2809"/>
      <c r="I50" s="2809"/>
      <c r="J50" s="2809"/>
      <c r="K50" s="2809"/>
      <c r="L50" s="2809"/>
      <c r="M50" s="2809"/>
      <c r="N50" s="2809"/>
      <c r="O50" s="2809"/>
      <c r="P50" s="2809"/>
      <c r="Q50" s="2809"/>
      <c r="R50" s="2809"/>
      <c r="S50" s="2809"/>
      <c r="T50" s="2809"/>
      <c r="U50" s="2809"/>
      <c r="V50" s="2809"/>
      <c r="W50" s="2809"/>
      <c r="X50" s="2809"/>
      <c r="Y50" s="2809"/>
      <c r="Z50" s="2809"/>
      <c r="AA50" s="2809"/>
      <c r="AB50" s="2809"/>
      <c r="AC50" s="2809"/>
      <c r="AD50" s="2809"/>
      <c r="AE50" s="2809"/>
      <c r="AF50" s="2809"/>
      <c r="AG50" s="2809"/>
      <c r="AH50" s="2809"/>
      <c r="AI50" s="1463"/>
      <c r="AJ50" s="1463"/>
      <c r="AK50" s="1463"/>
      <c r="AL50" s="1463"/>
      <c r="AM50" s="1463"/>
      <c r="AN50" s="1463"/>
      <c r="AO50" s="1463"/>
      <c r="AP50" s="1463"/>
      <c r="AQ50" s="1463"/>
      <c r="AR50" s="1463"/>
      <c r="AS50" s="1463"/>
      <c r="AT50" s="1463"/>
      <c r="AU50" s="1463"/>
      <c r="AV50" s="1463"/>
      <c r="AW50" s="1463"/>
      <c r="AX50" s="1463"/>
      <c r="AY50" s="1463"/>
      <c r="AZ50" s="1463"/>
      <c r="BA50" s="1463"/>
      <c r="BB50" s="1463"/>
      <c r="BC50" s="1463"/>
      <c r="BD50" s="1463"/>
      <c r="BE50" s="1463"/>
      <c r="BF50" s="1463"/>
      <c r="BG50" s="1463"/>
      <c r="BH50" s="1463"/>
      <c r="BI50" s="1463"/>
      <c r="BJ50" s="1463"/>
    </row>
    <row r="51" spans="1:62" s="1251" customFormat="1" ht="33" customHeight="1">
      <c r="A51" s="2810" t="s">
        <v>3734</v>
      </c>
      <c r="B51" s="2810"/>
      <c r="C51" s="2810"/>
      <c r="D51" s="2810"/>
      <c r="E51" s="2810"/>
      <c r="F51" s="2810"/>
      <c r="G51" s="2810"/>
      <c r="H51" s="2810"/>
      <c r="I51" s="2810"/>
      <c r="J51" s="2810"/>
      <c r="K51" s="2810"/>
      <c r="L51" s="2810"/>
      <c r="M51" s="2810"/>
      <c r="N51" s="2810"/>
      <c r="O51" s="2810"/>
      <c r="P51" s="2810"/>
      <c r="Q51" s="2810"/>
      <c r="R51" s="2810"/>
      <c r="S51" s="2810"/>
      <c r="T51" s="2810"/>
      <c r="U51" s="2810"/>
      <c r="V51" s="2810"/>
      <c r="W51" s="2810"/>
      <c r="X51" s="2810"/>
      <c r="Y51" s="2810"/>
      <c r="Z51" s="2810"/>
      <c r="AA51" s="2810"/>
      <c r="AB51" s="2810"/>
      <c r="AC51" s="2810"/>
      <c r="AD51" s="2810"/>
      <c r="AE51" s="2810"/>
      <c r="AF51" s="2810"/>
      <c r="AG51" s="2810"/>
      <c r="AH51" s="2810"/>
      <c r="AI51" s="2810"/>
      <c r="AJ51" s="2810"/>
      <c r="AK51" s="2810"/>
      <c r="AL51" s="2810"/>
      <c r="AM51" s="2810"/>
      <c r="AN51" s="2810"/>
      <c r="AO51" s="2810"/>
      <c r="AP51" s="2810"/>
      <c r="AQ51" s="2810"/>
      <c r="AR51" s="2810"/>
      <c r="AS51" s="2810"/>
      <c r="AT51" s="2810"/>
      <c r="AU51" s="2810"/>
      <c r="AV51" s="2810"/>
      <c r="AW51" s="2810"/>
      <c r="AX51" s="2810"/>
      <c r="AY51" s="2810"/>
      <c r="AZ51" s="2810"/>
      <c r="BA51" s="2810"/>
      <c r="BB51" s="2810"/>
      <c r="BC51" s="2810"/>
      <c r="BD51" s="2810"/>
      <c r="BE51" s="2810"/>
      <c r="BF51" s="2810"/>
      <c r="BG51" s="2810"/>
      <c r="BH51" s="2810"/>
      <c r="BI51" s="2810"/>
      <c r="BJ51" s="2810"/>
    </row>
    <row r="52" spans="1:62" s="1251" customFormat="1" ht="20.25" customHeight="1">
      <c r="A52" s="1464" t="s">
        <v>3735</v>
      </c>
      <c r="B52" s="1465"/>
      <c r="C52" s="1465"/>
      <c r="D52" s="1465"/>
      <c r="E52" s="1252"/>
      <c r="F52" s="1252"/>
      <c r="G52" s="1252"/>
      <c r="H52" s="1252"/>
      <c r="I52" s="1252"/>
      <c r="J52" s="1252"/>
      <c r="K52" s="1252"/>
      <c r="L52" s="1252"/>
      <c r="M52" s="1466"/>
      <c r="N52" s="1466"/>
      <c r="O52" s="1466"/>
      <c r="P52" s="1466"/>
      <c r="Q52" s="1466"/>
      <c r="R52" s="1466"/>
      <c r="S52" s="1466"/>
      <c r="T52" s="1466"/>
      <c r="U52" s="1466"/>
      <c r="V52" s="1466"/>
      <c r="W52" s="1466"/>
      <c r="X52" s="1466"/>
      <c r="Y52" s="1466"/>
      <c r="Z52" s="1466"/>
      <c r="AA52" s="1466"/>
      <c r="AB52" s="1466"/>
      <c r="AC52" s="1466"/>
      <c r="AD52" s="1466"/>
      <c r="AE52" s="1466"/>
      <c r="AF52" s="1466"/>
      <c r="AG52" s="1466"/>
      <c r="AH52" s="1466"/>
      <c r="AI52" s="1466"/>
      <c r="AJ52" s="1466"/>
      <c r="AK52" s="1466"/>
      <c r="AL52" s="1466"/>
      <c r="AM52" s="1466"/>
      <c r="AN52" s="1466"/>
      <c r="AO52" s="1466"/>
      <c r="AP52" s="1466"/>
      <c r="AQ52" s="1466"/>
      <c r="AR52" s="1466"/>
      <c r="AS52" s="1466"/>
      <c r="AT52" s="1466"/>
      <c r="AU52" s="1466"/>
      <c r="AV52" s="1466"/>
      <c r="AW52" s="1466"/>
      <c r="AX52" s="1466"/>
      <c r="AY52" s="1466"/>
      <c r="AZ52" s="1466"/>
      <c r="BA52" s="1466"/>
      <c r="BB52" s="1466"/>
      <c r="BC52" s="1466"/>
      <c r="BD52" s="1466"/>
      <c r="BE52" s="1466"/>
      <c r="BF52" s="1466"/>
      <c r="BG52" s="1466"/>
      <c r="BH52" s="1466"/>
      <c r="BI52" s="1466"/>
      <c r="BJ52" s="1466"/>
    </row>
    <row r="53" spans="1:62" s="1559" customFormat="1" ht="20.25" customHeight="1">
      <c r="A53" s="1560" t="s">
        <v>3355</v>
      </c>
      <c r="B53" s="1558"/>
      <c r="C53" s="1558"/>
      <c r="D53" s="1558"/>
      <c r="E53" s="1558"/>
      <c r="F53" s="1558"/>
      <c r="G53" s="1558"/>
      <c r="H53" s="1558"/>
      <c r="I53" s="1558"/>
      <c r="J53" s="1558"/>
      <c r="K53" s="1558"/>
      <c r="L53" s="1558"/>
      <c r="M53" s="1558"/>
      <c r="N53" s="1558"/>
      <c r="O53" s="1558"/>
      <c r="P53" s="1558"/>
      <c r="Q53" s="1558"/>
      <c r="R53" s="1558"/>
      <c r="S53" s="1558"/>
      <c r="T53" s="1558"/>
      <c r="U53" s="1558"/>
      <c r="V53" s="1558"/>
      <c r="W53" s="1558"/>
      <c r="X53" s="1558"/>
      <c r="Y53" s="1558"/>
      <c r="Z53" s="1558"/>
      <c r="AA53" s="1558"/>
      <c r="AB53" s="1558"/>
      <c r="AC53" s="1558"/>
      <c r="AD53" s="1558"/>
      <c r="AE53" s="1558"/>
      <c r="AF53" s="1558"/>
      <c r="AG53" s="1558"/>
      <c r="AH53" s="1558"/>
    </row>
  </sheetData>
  <mergeCells count="166"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CX6:CY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CH6:CI6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Z43:CA43"/>
    <mergeCell ref="A2:CZ2"/>
    <mergeCell ref="A3:CZ3"/>
    <mergeCell ref="A5:CZ5"/>
    <mergeCell ref="A6:A7"/>
    <mergeCell ref="A24:A25"/>
    <mergeCell ref="A43:A44"/>
    <mergeCell ref="CZ6:CZ7"/>
    <mergeCell ref="A23:CZ23"/>
    <mergeCell ref="CZ24:CZ25"/>
    <mergeCell ref="A42:CZ42"/>
    <mergeCell ref="CZ43:CZ44"/>
    <mergeCell ref="BX43:BY43"/>
    <mergeCell ref="CX43:CY43"/>
    <mergeCell ref="AJ43:AK43"/>
    <mergeCell ref="AL43:AM43"/>
    <mergeCell ref="P43:Q43"/>
    <mergeCell ref="R43:S43"/>
    <mergeCell ref="T43:U43"/>
    <mergeCell ref="BX24:BY24"/>
    <mergeCell ref="CX24:CY24"/>
    <mergeCell ref="CJ6:CK6"/>
    <mergeCell ref="CJ24:CK24"/>
    <mergeCell ref="CJ43:CK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</mergeCells>
  <pageMargins left="0.5" right="0.4" top="0.3" bottom="0.3" header="0.3" footer="0.3"/>
  <pageSetup paperSize="9" scale="35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F34"/>
  <sheetViews>
    <sheetView showGridLines="0" view="pageBreakPreview" zoomScale="55" zoomScaleNormal="70" zoomScaleSheetLayoutView="55" workbookViewId="0">
      <pane xSplit="1" topLeftCell="B1" activePane="topRight" state="frozen"/>
      <selection activeCell="H31" sqref="H31"/>
      <selection pane="topRight" activeCell="H31" sqref="H31"/>
    </sheetView>
  </sheetViews>
  <sheetFormatPr defaultColWidth="9.109375" defaultRowHeight="17.399999999999999"/>
  <cols>
    <col min="1" max="1" width="126.88671875" style="1253" customWidth="1"/>
    <col min="2" max="2" width="22.6640625" style="1267" customWidth="1"/>
    <col min="3" max="13" width="22.6640625" style="1080" hidden="1" customWidth="1"/>
    <col min="14" max="14" width="22.6640625" style="1080" customWidth="1"/>
    <col min="15" max="25" width="22.6640625" style="1080" hidden="1" customWidth="1"/>
    <col min="26" max="26" width="22.6640625" style="1080" customWidth="1"/>
    <col min="27" max="37" width="22.6640625" style="1080" hidden="1" customWidth="1"/>
    <col min="38" max="41" width="22.6640625" style="1080" customWidth="1"/>
    <col min="42" max="43" width="22.6640625" style="1080" hidden="1" customWidth="1"/>
    <col min="44" max="44" width="22.6640625" style="1080" customWidth="1"/>
    <col min="45" max="46" width="22.6640625" style="1080" hidden="1" customWidth="1"/>
    <col min="47" max="47" width="22.6640625" style="1080" customWidth="1"/>
    <col min="48" max="49" width="22.6640625" style="1080" hidden="1" customWidth="1"/>
    <col min="50" max="52" width="22.6640625" style="1080" customWidth="1"/>
    <col min="53" max="53" width="113.6640625" style="1080" customWidth="1"/>
    <col min="54" max="54" width="13.6640625" style="1222" customWidth="1"/>
    <col min="55" max="55" width="15.33203125" style="1080" customWidth="1"/>
    <col min="56" max="56" width="19.6640625" style="1222" customWidth="1"/>
    <col min="57" max="57" width="9.109375" style="1080"/>
    <col min="58" max="58" width="9.109375" style="1222"/>
    <col min="59" max="16384" width="9.109375" style="1080"/>
  </cols>
  <sheetData>
    <row r="1" spans="1:58" ht="15" customHeight="1"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  <c r="U1" s="1254"/>
      <c r="V1" s="1254"/>
      <c r="W1" s="1254"/>
      <c r="X1" s="1254"/>
      <c r="Y1" s="1254"/>
      <c r="Z1" s="1254"/>
      <c r="AA1" s="1254"/>
      <c r="AB1" s="1254"/>
      <c r="AC1" s="1254"/>
      <c r="AD1" s="1254"/>
      <c r="AE1" s="1254"/>
      <c r="AF1" s="1254"/>
      <c r="AG1" s="1254"/>
      <c r="AH1" s="1254"/>
      <c r="AI1" s="1254"/>
      <c r="AJ1" s="1254"/>
      <c r="AK1" s="1254"/>
      <c r="AL1" s="1254"/>
      <c r="AM1" s="1254"/>
      <c r="AN1" s="1254"/>
      <c r="AO1" s="1254"/>
      <c r="AP1" s="1254"/>
      <c r="AQ1" s="1254"/>
      <c r="AR1" s="1254"/>
      <c r="AS1" s="1254"/>
      <c r="AT1" s="1254"/>
      <c r="AU1" s="1254"/>
      <c r="AV1" s="1254"/>
      <c r="AW1" s="1254"/>
      <c r="AX1" s="1254"/>
      <c r="AY1" s="1254"/>
      <c r="AZ1" s="1254"/>
    </row>
    <row r="2" spans="1:58" s="1255" customFormat="1" ht="36" customHeight="1">
      <c r="A2" s="2815" t="s">
        <v>2570</v>
      </c>
      <c r="B2" s="2815"/>
      <c r="C2" s="2815"/>
      <c r="D2" s="2815"/>
      <c r="E2" s="2815"/>
      <c r="F2" s="2815"/>
      <c r="G2" s="2815"/>
      <c r="H2" s="2815"/>
      <c r="I2" s="2815"/>
      <c r="J2" s="2815"/>
      <c r="K2" s="2815"/>
      <c r="L2" s="2815"/>
      <c r="M2" s="2815"/>
      <c r="N2" s="2815"/>
      <c r="O2" s="2815"/>
      <c r="P2" s="2815"/>
      <c r="Q2" s="2815"/>
      <c r="R2" s="2815"/>
      <c r="S2" s="2815"/>
      <c r="T2" s="2815"/>
      <c r="U2" s="2815"/>
      <c r="V2" s="2815"/>
      <c r="W2" s="2815"/>
      <c r="X2" s="2815"/>
      <c r="Y2" s="2815"/>
      <c r="Z2" s="2815"/>
      <c r="AA2" s="2815"/>
      <c r="AB2" s="2815"/>
      <c r="AC2" s="2815"/>
      <c r="AD2" s="2815"/>
      <c r="AE2" s="2815"/>
      <c r="AF2" s="2815"/>
      <c r="AG2" s="2815"/>
      <c r="AH2" s="2815"/>
      <c r="AI2" s="2815"/>
      <c r="AJ2" s="2815"/>
      <c r="AK2" s="2815"/>
      <c r="AL2" s="2815"/>
      <c r="AM2" s="2815"/>
      <c r="AN2" s="2815"/>
      <c r="AO2" s="2815"/>
      <c r="AP2" s="2815"/>
      <c r="AQ2" s="2815"/>
      <c r="AR2" s="2815"/>
      <c r="AS2" s="2815"/>
      <c r="AT2" s="2815"/>
      <c r="AU2" s="2815"/>
      <c r="AV2" s="2815"/>
      <c r="AW2" s="2815"/>
      <c r="AX2" s="2815"/>
      <c r="AY2" s="2815"/>
      <c r="AZ2" s="2815"/>
      <c r="BA2" s="2815"/>
      <c r="BB2" s="1256"/>
      <c r="BD2" s="1256"/>
      <c r="BF2" s="1256"/>
    </row>
    <row r="3" spans="1:58" s="1255" customFormat="1" ht="46.5" customHeight="1">
      <c r="A3" s="2816" t="s">
        <v>3361</v>
      </c>
      <c r="B3" s="2816"/>
      <c r="C3" s="2816"/>
      <c r="D3" s="2816"/>
      <c r="E3" s="2816"/>
      <c r="F3" s="2816"/>
      <c r="G3" s="2816"/>
      <c r="H3" s="2816"/>
      <c r="I3" s="2816"/>
      <c r="J3" s="2816"/>
      <c r="K3" s="2816"/>
      <c r="L3" s="2816"/>
      <c r="M3" s="2816"/>
      <c r="N3" s="2816"/>
      <c r="O3" s="2816"/>
      <c r="P3" s="2816"/>
      <c r="Q3" s="2816"/>
      <c r="R3" s="2816"/>
      <c r="S3" s="2816"/>
      <c r="T3" s="2816"/>
      <c r="U3" s="2816"/>
      <c r="V3" s="2816"/>
      <c r="W3" s="2816"/>
      <c r="X3" s="2816"/>
      <c r="Y3" s="2816"/>
      <c r="Z3" s="2816"/>
      <c r="AA3" s="2816"/>
      <c r="AB3" s="2816"/>
      <c r="AC3" s="2816"/>
      <c r="AD3" s="2816"/>
      <c r="AE3" s="2816"/>
      <c r="AF3" s="2816"/>
      <c r="AG3" s="2816"/>
      <c r="AH3" s="2816"/>
      <c r="AI3" s="2816"/>
      <c r="AJ3" s="2816"/>
      <c r="AK3" s="2816"/>
      <c r="AL3" s="2816"/>
      <c r="AM3" s="2816"/>
      <c r="AN3" s="2816"/>
      <c r="AO3" s="2816"/>
      <c r="AP3" s="2816"/>
      <c r="AQ3" s="2816"/>
      <c r="AR3" s="2816"/>
      <c r="AS3" s="2816"/>
      <c r="AT3" s="2816"/>
      <c r="AU3" s="2816"/>
      <c r="AV3" s="2816"/>
      <c r="AW3" s="2816"/>
      <c r="AX3" s="2816"/>
      <c r="AY3" s="2816"/>
      <c r="AZ3" s="2816"/>
      <c r="BA3" s="2816"/>
      <c r="BB3" s="1256"/>
      <c r="BD3" s="1256"/>
      <c r="BF3" s="1256"/>
    </row>
    <row r="4" spans="1:58" ht="22.5" customHeight="1">
      <c r="A4" s="1257"/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597"/>
      <c r="O4" s="1597"/>
      <c r="P4" s="1597"/>
      <c r="Q4" s="1597"/>
      <c r="R4" s="1597"/>
      <c r="S4" s="1597"/>
      <c r="T4" s="1597"/>
      <c r="U4" s="1597"/>
      <c r="V4" s="1597"/>
      <c r="W4" s="1597"/>
      <c r="X4" s="1597"/>
      <c r="Y4" s="1597"/>
      <c r="Z4" s="1597"/>
      <c r="AA4" s="1597"/>
      <c r="AB4" s="1597"/>
      <c r="AC4" s="1597"/>
      <c r="AD4" s="1597"/>
      <c r="AE4" s="1597"/>
      <c r="AF4" s="1597"/>
      <c r="AG4" s="1597"/>
      <c r="AH4" s="1597"/>
      <c r="AI4" s="1597"/>
      <c r="AJ4" s="1597"/>
      <c r="AK4" s="1597"/>
      <c r="AL4" s="1597"/>
      <c r="AM4" s="1597"/>
      <c r="AN4" s="1597"/>
      <c r="AO4" s="1597"/>
      <c r="AP4" s="1597"/>
      <c r="AQ4" s="1597"/>
      <c r="AR4" s="1597"/>
      <c r="AS4" s="1597"/>
      <c r="AT4" s="1597"/>
      <c r="AU4" s="1597"/>
      <c r="AV4" s="1597"/>
      <c r="AW4" s="1597"/>
      <c r="AX4" s="1597"/>
      <c r="AY4" s="1597"/>
      <c r="AZ4" s="1597"/>
      <c r="BA4" s="1597"/>
    </row>
    <row r="5" spans="1:58" ht="22.5" customHeight="1" thickBot="1">
      <c r="A5" s="1454"/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4"/>
      <c r="Y5" s="1454"/>
      <c r="Z5" s="1454"/>
      <c r="AA5" s="1454"/>
      <c r="AB5" s="1454"/>
      <c r="AC5" s="1454"/>
      <c r="AD5" s="1454"/>
      <c r="AE5" s="1454"/>
      <c r="AF5" s="1454"/>
      <c r="AG5" s="1454"/>
      <c r="AH5" s="1454"/>
      <c r="AI5" s="2814" t="s">
        <v>8</v>
      </c>
      <c r="AJ5" s="2814"/>
      <c r="AK5" s="2814"/>
      <c r="AL5" s="2814"/>
      <c r="AM5" s="2814"/>
      <c r="AN5" s="2814"/>
      <c r="AO5" s="2814"/>
      <c r="AP5" s="2814"/>
      <c r="AQ5" s="2814"/>
      <c r="AR5" s="2814"/>
      <c r="AS5" s="2814"/>
      <c r="AT5" s="2814"/>
      <c r="AU5" s="2814"/>
      <c r="AV5" s="2814"/>
      <c r="AW5" s="2814"/>
      <c r="AX5" s="2814"/>
      <c r="AY5" s="2814"/>
      <c r="AZ5" s="2814"/>
      <c r="BA5" s="2814"/>
    </row>
    <row r="6" spans="1:58" s="1261" customFormat="1" ht="39.6" customHeight="1" thickBot="1">
      <c r="A6" s="1258" t="s">
        <v>2312</v>
      </c>
      <c r="B6" s="1259">
        <v>43830</v>
      </c>
      <c r="C6" s="1259">
        <v>43861</v>
      </c>
      <c r="D6" s="1259">
        <v>43890</v>
      </c>
      <c r="E6" s="1259">
        <v>43921</v>
      </c>
      <c r="F6" s="1259">
        <v>43951</v>
      </c>
      <c r="G6" s="1259">
        <v>43982</v>
      </c>
      <c r="H6" s="1259">
        <v>44012</v>
      </c>
      <c r="I6" s="1259">
        <v>44043</v>
      </c>
      <c r="J6" s="1259">
        <v>44074</v>
      </c>
      <c r="K6" s="1259">
        <v>44104</v>
      </c>
      <c r="L6" s="1259">
        <v>44135</v>
      </c>
      <c r="M6" s="1259">
        <v>44165</v>
      </c>
      <c r="N6" s="1259">
        <v>44196</v>
      </c>
      <c r="O6" s="1259">
        <v>44227</v>
      </c>
      <c r="P6" s="1259">
        <v>44255</v>
      </c>
      <c r="Q6" s="1259">
        <v>44286</v>
      </c>
      <c r="R6" s="1259">
        <v>44316</v>
      </c>
      <c r="S6" s="1259">
        <v>44347</v>
      </c>
      <c r="T6" s="1259">
        <v>44377</v>
      </c>
      <c r="U6" s="1259">
        <v>44408</v>
      </c>
      <c r="V6" s="1259">
        <v>44439</v>
      </c>
      <c r="W6" s="1259">
        <v>44469</v>
      </c>
      <c r="X6" s="1259">
        <v>44500</v>
      </c>
      <c r="Y6" s="1260">
        <v>44530</v>
      </c>
      <c r="Z6" s="1260">
        <v>44561</v>
      </c>
      <c r="AA6" s="1259">
        <v>44592</v>
      </c>
      <c r="AB6" s="1259">
        <v>44620</v>
      </c>
      <c r="AC6" s="1259">
        <v>44651</v>
      </c>
      <c r="AD6" s="1259">
        <v>44681</v>
      </c>
      <c r="AE6" s="1259">
        <v>44712</v>
      </c>
      <c r="AF6" s="1259">
        <v>44742</v>
      </c>
      <c r="AG6" s="1259">
        <v>44773</v>
      </c>
      <c r="AH6" s="1259">
        <v>44804</v>
      </c>
      <c r="AI6" s="1259">
        <v>44834</v>
      </c>
      <c r="AJ6" s="1259">
        <v>44865</v>
      </c>
      <c r="AK6" s="1259">
        <v>44895</v>
      </c>
      <c r="AL6" s="1259">
        <v>44926</v>
      </c>
      <c r="AM6" s="1259">
        <v>44957</v>
      </c>
      <c r="AN6" s="1259">
        <v>44985</v>
      </c>
      <c r="AO6" s="1259">
        <v>45016</v>
      </c>
      <c r="AP6" s="1259">
        <v>45046</v>
      </c>
      <c r="AQ6" s="1259">
        <v>45077</v>
      </c>
      <c r="AR6" s="1259">
        <v>45107</v>
      </c>
      <c r="AS6" s="1259">
        <v>45138</v>
      </c>
      <c r="AT6" s="1259">
        <v>45169</v>
      </c>
      <c r="AU6" s="1259">
        <v>45199</v>
      </c>
      <c r="AV6" s="1259">
        <v>45230</v>
      </c>
      <c r="AW6" s="1259">
        <v>45260</v>
      </c>
      <c r="AX6" s="1259">
        <v>45291</v>
      </c>
      <c r="AY6" s="1259">
        <v>45322</v>
      </c>
      <c r="AZ6" s="1259">
        <v>45351</v>
      </c>
      <c r="BA6" s="1598" t="s">
        <v>3694</v>
      </c>
      <c r="BB6" s="1262"/>
      <c r="BD6" s="1262"/>
      <c r="BF6" s="1262"/>
    </row>
    <row r="7" spans="1:58" s="1265" customFormat="1" ht="37.5" customHeight="1">
      <c r="A7" s="1738" t="s">
        <v>2311</v>
      </c>
      <c r="B7" s="1739">
        <v>1922.18350958</v>
      </c>
      <c r="C7" s="1739">
        <v>167.36582049</v>
      </c>
      <c r="D7" s="1739">
        <v>334.03538810999999</v>
      </c>
      <c r="E7" s="1739">
        <v>501.55130761999999</v>
      </c>
      <c r="F7" s="1739">
        <v>653.89601643000003</v>
      </c>
      <c r="G7" s="1739">
        <v>799.19558998000002</v>
      </c>
      <c r="H7" s="1739">
        <v>954.68306960999996</v>
      </c>
      <c r="I7" s="1739">
        <v>1109.78274633</v>
      </c>
      <c r="J7" s="1739">
        <v>1267.7251774399999</v>
      </c>
      <c r="K7" s="1739">
        <v>1427.51534152</v>
      </c>
      <c r="L7" s="1739">
        <v>1592.1122517900001</v>
      </c>
      <c r="M7" s="1739">
        <v>1759.35523304</v>
      </c>
      <c r="N7" s="1739">
        <v>1920.5161872599999</v>
      </c>
      <c r="O7" s="1739">
        <v>163.09612456799999</v>
      </c>
      <c r="P7" s="1739">
        <v>324.87427970300001</v>
      </c>
      <c r="Q7" s="1739">
        <v>495.287322179</v>
      </c>
      <c r="R7" s="1739">
        <v>662.59111928000004</v>
      </c>
      <c r="S7" s="1739">
        <v>835.10041541999999</v>
      </c>
      <c r="T7" s="1739">
        <v>1008.6153288100001</v>
      </c>
      <c r="U7" s="1739">
        <v>1184.6435380999999</v>
      </c>
      <c r="V7" s="1739">
        <v>1361.9870598699999</v>
      </c>
      <c r="W7" s="1739">
        <v>1545.79392233</v>
      </c>
      <c r="X7" s="1739">
        <v>1731.0328692400001</v>
      </c>
      <c r="Y7" s="1740">
        <v>1917.1504370099999</v>
      </c>
      <c r="Z7" s="1740">
        <v>2107.0247210399998</v>
      </c>
      <c r="AA7" s="1739">
        <v>189.15087209000001</v>
      </c>
      <c r="AB7" s="1739">
        <v>394.89526642999999</v>
      </c>
      <c r="AC7" s="1739">
        <v>604.17413112999998</v>
      </c>
      <c r="AD7" s="1739">
        <v>815.30793409000103</v>
      </c>
      <c r="AE7" s="1739">
        <v>1033.65586794</v>
      </c>
      <c r="AF7" s="1739">
        <v>1257.9714598979999</v>
      </c>
      <c r="AG7" s="1739">
        <v>1484.7675196499999</v>
      </c>
      <c r="AH7" s="1739">
        <v>1715.8009238300001</v>
      </c>
      <c r="AI7" s="1739">
        <v>1956.58075216</v>
      </c>
      <c r="AJ7" s="1739">
        <v>2211.5007660199999</v>
      </c>
      <c r="AK7" s="1739">
        <v>2470.2828386599999</v>
      </c>
      <c r="AL7" s="1739">
        <v>2738.8418421199999</v>
      </c>
      <c r="AM7" s="1739">
        <v>273.57439110000001</v>
      </c>
      <c r="AN7" s="1739">
        <v>549.5502735</v>
      </c>
      <c r="AO7" s="1739">
        <v>827.37658457999999</v>
      </c>
      <c r="AP7" s="1739">
        <v>1097.0944851162001</v>
      </c>
      <c r="AQ7" s="1739">
        <v>1385.9437322199999</v>
      </c>
      <c r="AR7" s="1739">
        <v>1668.7046987199999</v>
      </c>
      <c r="AS7" s="1739">
        <v>1976.19627056186</v>
      </c>
      <c r="AT7" s="1739">
        <v>2279.5175655057601</v>
      </c>
      <c r="AU7" s="1739">
        <v>2582.4460880603201</v>
      </c>
      <c r="AV7" s="1739">
        <v>2861.9390447081701</v>
      </c>
      <c r="AW7" s="1739">
        <v>3177.7258157361998</v>
      </c>
      <c r="AX7" s="1739">
        <v>3492.8988118673801</v>
      </c>
      <c r="AY7" s="1739">
        <v>320.986386051507</v>
      </c>
      <c r="AZ7" s="1739">
        <v>641.746127</v>
      </c>
      <c r="BA7" s="1741" t="s">
        <v>3695</v>
      </c>
      <c r="BB7" s="1264"/>
      <c r="BC7" s="1263"/>
      <c r="BD7" s="1264"/>
      <c r="BF7" s="1264"/>
    </row>
    <row r="8" spans="1:58" s="1265" customFormat="1" ht="37.5" customHeight="1">
      <c r="A8" s="1742" t="s">
        <v>3065</v>
      </c>
      <c r="B8" s="1743">
        <v>1421.5616915840001</v>
      </c>
      <c r="C8" s="1743">
        <v>131.11049270999999</v>
      </c>
      <c r="D8" s="1743">
        <v>264.19833334999998</v>
      </c>
      <c r="E8" s="1743">
        <v>399.2930715</v>
      </c>
      <c r="F8" s="1743">
        <v>520.10729892999996</v>
      </c>
      <c r="G8" s="1743">
        <v>633.62716278000005</v>
      </c>
      <c r="H8" s="1743">
        <v>758.46006046000002</v>
      </c>
      <c r="I8" s="1743">
        <v>881.24205788999996</v>
      </c>
      <c r="J8" s="1743">
        <v>1005.48281518</v>
      </c>
      <c r="K8" s="1743">
        <v>1132.10757388</v>
      </c>
      <c r="L8" s="1743">
        <v>1261.49743994</v>
      </c>
      <c r="M8" s="1743">
        <v>1393.6233150600001</v>
      </c>
      <c r="N8" s="1743">
        <v>1519.5306910300001</v>
      </c>
      <c r="O8" s="1743">
        <v>129.73309539799999</v>
      </c>
      <c r="P8" s="1743">
        <v>259.34639728299999</v>
      </c>
      <c r="Q8" s="1743">
        <v>394.15448168900002</v>
      </c>
      <c r="R8" s="1743">
        <v>527.68435718000001</v>
      </c>
      <c r="S8" s="1743">
        <v>665.04112633</v>
      </c>
      <c r="T8" s="1743">
        <v>805.71367308000004</v>
      </c>
      <c r="U8" s="1743">
        <v>948.36307151000005</v>
      </c>
      <c r="V8" s="1743">
        <v>1092.1127882200001</v>
      </c>
      <c r="W8" s="1743">
        <v>1242.4459611899999</v>
      </c>
      <c r="X8" s="1743">
        <v>1394.2931615699999</v>
      </c>
      <c r="Y8" s="1744">
        <v>1549.30984177</v>
      </c>
      <c r="Z8" s="1744">
        <v>1708.13883403</v>
      </c>
      <c r="AA8" s="1743">
        <v>158.20366501000001</v>
      </c>
      <c r="AB8" s="1743">
        <v>330.25666576999998</v>
      </c>
      <c r="AC8" s="1743">
        <v>501.421078010001</v>
      </c>
      <c r="AD8" s="1743">
        <v>674.32692543000098</v>
      </c>
      <c r="AE8" s="1743">
        <v>852.82972173000098</v>
      </c>
      <c r="AF8" s="1743">
        <v>1036.260445638</v>
      </c>
      <c r="AG8" s="1743">
        <v>1220.9233130800001</v>
      </c>
      <c r="AH8" s="1743">
        <v>1408.56574669</v>
      </c>
      <c r="AI8" s="1743">
        <v>1597.3454924299999</v>
      </c>
      <c r="AJ8" s="1743">
        <v>1795.6375033100001</v>
      </c>
      <c r="AK8" s="1743">
        <v>1993.34529484</v>
      </c>
      <c r="AL8" s="1743">
        <v>2194.4326419700001</v>
      </c>
      <c r="AM8" s="1743">
        <v>199.90132969999999</v>
      </c>
      <c r="AN8" s="1743">
        <v>404.82448291999998</v>
      </c>
      <c r="AO8" s="1743">
        <v>610.40047375999995</v>
      </c>
      <c r="AP8" s="1743">
        <v>810.02508126619603</v>
      </c>
      <c r="AQ8" s="1743">
        <v>1020.91702002</v>
      </c>
      <c r="AR8" s="1743">
        <v>1234.6859653700001</v>
      </c>
      <c r="AS8" s="1743">
        <v>1456.8567157218599</v>
      </c>
      <c r="AT8" s="1743">
        <v>1680.17393438576</v>
      </c>
      <c r="AU8" s="1743">
        <v>1903.1041786912399</v>
      </c>
      <c r="AV8" s="1743">
        <v>2101.7817550090899</v>
      </c>
      <c r="AW8" s="1743">
        <v>2336.6044774071102</v>
      </c>
      <c r="AX8" s="1743">
        <v>2573.7654502482901</v>
      </c>
      <c r="AY8" s="1743">
        <v>239.74393975479799</v>
      </c>
      <c r="AZ8" s="1743">
        <v>482.19490633542199</v>
      </c>
      <c r="BA8" s="1745" t="s">
        <v>3696</v>
      </c>
      <c r="BB8" s="1264"/>
      <c r="BC8" s="1263"/>
      <c r="BD8" s="1264"/>
      <c r="BF8" s="1264"/>
    </row>
    <row r="9" spans="1:58" s="1265" customFormat="1" ht="37.5" customHeight="1">
      <c r="A9" s="1746" t="s">
        <v>3066</v>
      </c>
      <c r="B9" s="1743">
        <v>44.026935348824097</v>
      </c>
      <c r="C9" s="1743">
        <v>4.6270340250172097</v>
      </c>
      <c r="D9" s="1743">
        <v>11.4544652022563</v>
      </c>
      <c r="E9" s="1743">
        <v>18.397967333355101</v>
      </c>
      <c r="F9" s="1743">
        <v>23.7770484480621</v>
      </c>
      <c r="G9" s="1743">
        <v>24.5471354302233</v>
      </c>
      <c r="H9" s="1743">
        <v>33.031389219522502</v>
      </c>
      <c r="I9" s="1743">
        <v>36.932245490731198</v>
      </c>
      <c r="J9" s="1743">
        <v>43.959787634119998</v>
      </c>
      <c r="K9" s="1743">
        <v>46.576227493418401</v>
      </c>
      <c r="L9" s="1743">
        <v>59.835957608528403</v>
      </c>
      <c r="M9" s="1743">
        <v>63.516491246918399</v>
      </c>
      <c r="N9" s="1743">
        <v>59.893042865429003</v>
      </c>
      <c r="O9" s="1743">
        <v>10.041754534100001</v>
      </c>
      <c r="P9" s="1743">
        <v>12.8088974888555</v>
      </c>
      <c r="Q9" s="1743">
        <v>14.558249609418001</v>
      </c>
      <c r="R9" s="1743">
        <v>12.648174050610001</v>
      </c>
      <c r="S9" s="1743">
        <v>14.236606472376501</v>
      </c>
      <c r="T9" s="1743">
        <v>15.173885405736</v>
      </c>
      <c r="U9" s="1743">
        <v>19.373225177868601</v>
      </c>
      <c r="V9" s="1743">
        <v>23.782275569883002</v>
      </c>
      <c r="W9" s="1743">
        <v>29.270552907037001</v>
      </c>
      <c r="X9" s="1743">
        <v>32.712899379935003</v>
      </c>
      <c r="Y9" s="1744">
        <v>31.664223531739999</v>
      </c>
      <c r="Z9" s="1744">
        <v>31.0856740926037</v>
      </c>
      <c r="AA9" s="1743">
        <v>4.47476270791541</v>
      </c>
      <c r="AB9" s="1743">
        <v>8.6984154809312209</v>
      </c>
      <c r="AC9" s="1743">
        <v>13.5441543823937</v>
      </c>
      <c r="AD9" s="1743">
        <v>13.8401624087554</v>
      </c>
      <c r="AE9" s="1743">
        <v>18.926761087097798</v>
      </c>
      <c r="AF9" s="1743">
        <v>22.1309346062</v>
      </c>
      <c r="AG9" s="1743">
        <v>27.701147217489201</v>
      </c>
      <c r="AH9" s="1743">
        <v>35.068537723368998</v>
      </c>
      <c r="AI9" s="1743">
        <v>37.052122632554799</v>
      </c>
      <c r="AJ9" s="1743">
        <v>41.535722500609197</v>
      </c>
      <c r="AK9" s="1743">
        <v>43.536139644071099</v>
      </c>
      <c r="AL9" s="1743">
        <v>40.462978024433802</v>
      </c>
      <c r="AM9" s="1743">
        <v>5.81591245141421</v>
      </c>
      <c r="AN9" s="1743">
        <v>12.4301786819554</v>
      </c>
      <c r="AO9" s="1743">
        <v>17.501649871033401</v>
      </c>
      <c r="AP9" s="1743">
        <v>22.5923985143035</v>
      </c>
      <c r="AQ9" s="1743">
        <v>26.4979943227119</v>
      </c>
      <c r="AR9" s="1743">
        <v>28.745792063661501</v>
      </c>
      <c r="AS9" s="1743">
        <v>33.552286157753002</v>
      </c>
      <c r="AT9" s="1743">
        <v>38.264516985956803</v>
      </c>
      <c r="AU9" s="1743">
        <v>40.020571388956803</v>
      </c>
      <c r="AV9" s="1743">
        <v>42.314191302417903</v>
      </c>
      <c r="AW9" s="1743">
        <v>43.881391879480397</v>
      </c>
      <c r="AX9" s="1743">
        <v>44.818891366930899</v>
      </c>
      <c r="AY9" s="1743">
        <v>7.3585658551320101</v>
      </c>
      <c r="AZ9" s="1743">
        <v>12.7415447994485</v>
      </c>
      <c r="BA9" s="1747" t="s">
        <v>3697</v>
      </c>
      <c r="BB9" s="1264"/>
      <c r="BC9" s="1263"/>
      <c r="BD9" s="1264"/>
      <c r="BF9" s="1264"/>
    </row>
    <row r="10" spans="1:58" s="1265" customFormat="1" ht="37.5" customHeight="1">
      <c r="A10" s="1742" t="s">
        <v>3067</v>
      </c>
      <c r="B10" s="1743">
        <v>278.14437040599978</v>
      </c>
      <c r="C10" s="1743">
        <v>20.81439391</v>
      </c>
      <c r="D10" s="1743">
        <v>40.705028419999984</v>
      </c>
      <c r="E10" s="1743">
        <v>59.397419890000016</v>
      </c>
      <c r="F10" s="1743">
        <v>77.389534550000022</v>
      </c>
      <c r="G10" s="1743">
        <v>92.957434800000001</v>
      </c>
      <c r="H10" s="1743">
        <v>108.64220639000001</v>
      </c>
      <c r="I10" s="1743">
        <v>123.82178992</v>
      </c>
      <c r="J10" s="1743">
        <v>139.21802933000001</v>
      </c>
      <c r="K10" s="1743">
        <v>152.10475198999998</v>
      </c>
      <c r="L10" s="1743">
        <v>166.28208188000002</v>
      </c>
      <c r="M10" s="1743">
        <v>180.29035636</v>
      </c>
      <c r="N10" s="1743">
        <v>194.16260339000002</v>
      </c>
      <c r="O10" s="1743">
        <v>12.71505099</v>
      </c>
      <c r="P10" s="1743">
        <v>24.047755650000003</v>
      </c>
      <c r="Q10" s="1743">
        <v>36.372481909999998</v>
      </c>
      <c r="R10" s="1743">
        <v>48.357049529999998</v>
      </c>
      <c r="S10" s="1743">
        <v>60.866308199999999</v>
      </c>
      <c r="T10" s="1743">
        <v>71.873093999999995</v>
      </c>
      <c r="U10" s="1743">
        <v>83.223068149999989</v>
      </c>
      <c r="V10" s="1743">
        <v>94.705080080000002</v>
      </c>
      <c r="W10" s="1743">
        <v>105.87100833000001</v>
      </c>
      <c r="X10" s="1743">
        <v>117.41803273000001</v>
      </c>
      <c r="Y10" s="1744">
        <v>128.11040939</v>
      </c>
      <c r="Z10" s="1744">
        <v>137.74457970882258</v>
      </c>
      <c r="AA10" s="1743">
        <v>9.3992107399999991</v>
      </c>
      <c r="AB10" s="1743">
        <v>20.22420447</v>
      </c>
      <c r="AC10" s="1743">
        <v>31.536524610000001</v>
      </c>
      <c r="AD10" s="1743">
        <v>43.589743569999996</v>
      </c>
      <c r="AE10" s="1743">
        <v>57.278620749999995</v>
      </c>
      <c r="AF10" s="1743">
        <v>71.827452120000004</v>
      </c>
      <c r="AG10" s="1743">
        <v>86.747746829999997</v>
      </c>
      <c r="AH10" s="1743">
        <v>103.89231793</v>
      </c>
      <c r="AI10" s="1743">
        <v>125.57658256000001</v>
      </c>
      <c r="AJ10" s="1743">
        <v>150.01074874999998</v>
      </c>
      <c r="AK10" s="1743">
        <v>175.57222056000001</v>
      </c>
      <c r="AL10" s="1743">
        <v>202.70640779000001</v>
      </c>
      <c r="AM10" s="1743">
        <v>26.455791189999999</v>
      </c>
      <c r="AN10" s="1743">
        <v>52.272527910000001</v>
      </c>
      <c r="AO10" s="1743">
        <v>79.408409910000003</v>
      </c>
      <c r="AP10" s="1743">
        <v>106.40535190999999</v>
      </c>
      <c r="AQ10" s="1743">
        <v>137.03044426</v>
      </c>
      <c r="AR10" s="1743">
        <v>164.36272582000001</v>
      </c>
      <c r="AS10" s="1743">
        <v>199.52559661999999</v>
      </c>
      <c r="AT10" s="1743">
        <v>229.71598587</v>
      </c>
      <c r="AU10" s="1743">
        <v>260.06894892000003</v>
      </c>
      <c r="AV10" s="1743">
        <v>287.89653010000001</v>
      </c>
      <c r="AW10" s="1743">
        <v>320.56932941999997</v>
      </c>
      <c r="AX10" s="1743">
        <v>351.32536374</v>
      </c>
      <c r="AY10" s="1743">
        <v>32.855981336709199</v>
      </c>
      <c r="AZ10" s="1743">
        <v>63.598601114578301</v>
      </c>
      <c r="BA10" s="1745" t="s">
        <v>3698</v>
      </c>
      <c r="BB10" s="1264"/>
      <c r="BC10" s="1263"/>
      <c r="BD10" s="1264"/>
      <c r="BF10" s="1264"/>
    </row>
    <row r="11" spans="1:58" s="1265" customFormat="1" ht="37.5" customHeight="1">
      <c r="A11" s="1742" t="s">
        <v>3068</v>
      </c>
      <c r="B11" s="1743">
        <v>170.87955628999998</v>
      </c>
      <c r="C11" s="1743">
        <v>10.943830250000001</v>
      </c>
      <c r="D11" s="1743">
        <v>20.616287159999999</v>
      </c>
      <c r="E11" s="1743">
        <v>30.958997199999999</v>
      </c>
      <c r="F11" s="1743">
        <v>42.031088159999996</v>
      </c>
      <c r="G11" s="1743">
        <v>55.224163910000001</v>
      </c>
      <c r="H11" s="1743">
        <v>67.875867979999995</v>
      </c>
      <c r="I11" s="1743">
        <v>82.373402190000007</v>
      </c>
      <c r="J11" s="1743">
        <v>98.018741070000004</v>
      </c>
      <c r="K11" s="1743">
        <v>115.39330385</v>
      </c>
      <c r="L11" s="1743">
        <v>134.14191305</v>
      </c>
      <c r="M11" s="1743">
        <v>152.22158433000001</v>
      </c>
      <c r="N11" s="1743">
        <v>171.06510257000002</v>
      </c>
      <c r="O11" s="1743">
        <v>18.308235940000003</v>
      </c>
      <c r="P11" s="1743">
        <v>36.872118659999998</v>
      </c>
      <c r="Q11" s="1743">
        <v>57.96633988</v>
      </c>
      <c r="R11" s="1743">
        <v>77.447171040000001</v>
      </c>
      <c r="S11" s="1743">
        <v>97.913995830000005</v>
      </c>
      <c r="T11" s="1743">
        <v>117.44729229000001</v>
      </c>
      <c r="U11" s="1743">
        <v>137.12717845999998</v>
      </c>
      <c r="V11" s="1743">
        <v>157.02902245999999</v>
      </c>
      <c r="W11" s="1743">
        <v>177.01464837</v>
      </c>
      <c r="X11" s="1743">
        <v>196.25123473000002</v>
      </c>
      <c r="Y11" s="1744">
        <v>214.89037901</v>
      </c>
      <c r="Z11" s="1744">
        <v>233.94449924842701</v>
      </c>
      <c r="AA11" s="1743">
        <v>19.67357578</v>
      </c>
      <c r="AB11" s="1743">
        <v>40.543343759999999</v>
      </c>
      <c r="AC11" s="1743">
        <v>63.551696229999997</v>
      </c>
      <c r="AD11" s="1743">
        <v>85.717649960000003</v>
      </c>
      <c r="AE11" s="1743">
        <v>108.25741988</v>
      </c>
      <c r="AF11" s="1743">
        <v>129.75279</v>
      </c>
      <c r="AG11" s="1743">
        <v>151.52512707</v>
      </c>
      <c r="AH11" s="1743">
        <v>173.49937875000001</v>
      </c>
      <c r="AI11" s="1743">
        <v>196.23909086</v>
      </c>
      <c r="AJ11" s="1743">
        <v>220.49407858000001</v>
      </c>
      <c r="AK11" s="1743">
        <v>246.17794873000003</v>
      </c>
      <c r="AL11" s="1743">
        <v>275.12436678999995</v>
      </c>
      <c r="AM11" s="1743">
        <v>34.603138379999997</v>
      </c>
      <c r="AN11" s="1743">
        <v>67.047470579999995</v>
      </c>
      <c r="AO11" s="1743">
        <v>101.3831795</v>
      </c>
      <c r="AP11" s="1743">
        <v>133.21380685</v>
      </c>
      <c r="AQ11" s="1743">
        <v>167.71254127</v>
      </c>
      <c r="AR11" s="1743">
        <v>200.29875987</v>
      </c>
      <c r="AS11" s="1743">
        <v>238.78305362</v>
      </c>
      <c r="AT11" s="1743">
        <v>278.34161674000001</v>
      </c>
      <c r="AU11" s="1743">
        <v>317.1893</v>
      </c>
      <c r="AV11" s="1743">
        <v>358.65066990000003</v>
      </c>
      <c r="AW11" s="1743">
        <v>395.86968931000001</v>
      </c>
      <c r="AX11" s="1743">
        <v>432.27679770999998</v>
      </c>
      <c r="AY11" s="1743">
        <v>36.226071259999998</v>
      </c>
      <c r="AZ11" s="1743">
        <v>71.480219880000007</v>
      </c>
      <c r="BA11" s="1745" t="s">
        <v>3699</v>
      </c>
      <c r="BB11" s="1264"/>
      <c r="BC11" s="1263"/>
      <c r="BD11" s="1264"/>
      <c r="BF11" s="1264"/>
    </row>
    <row r="12" spans="1:58" s="1265" customFormat="1" ht="37.5" customHeight="1">
      <c r="A12" s="1742" t="s">
        <v>3069</v>
      </c>
      <c r="B12" s="1743">
        <v>51.597891300000128</v>
      </c>
      <c r="C12" s="1743">
        <v>4.497103620000015</v>
      </c>
      <c r="D12" s="1743">
        <v>8.5157391800000184</v>
      </c>
      <c r="E12" s="1743">
        <v>11.901819029999977</v>
      </c>
      <c r="F12" s="1743">
        <v>14.368094790000058</v>
      </c>
      <c r="G12" s="1743">
        <v>17.386828489999971</v>
      </c>
      <c r="H12" s="1743">
        <v>19.704934779999931</v>
      </c>
      <c r="I12" s="1743">
        <v>22.345496330000046</v>
      </c>
      <c r="J12" s="1743">
        <v>25.005591859999925</v>
      </c>
      <c r="K12" s="1743">
        <v>27.909711799999997</v>
      </c>
      <c r="L12" s="1743">
        <v>30.190816920000003</v>
      </c>
      <c r="M12" s="1743">
        <v>33.219977289999918</v>
      </c>
      <c r="N12" s="1743">
        <v>35.757790269999816</v>
      </c>
      <c r="O12" s="1743">
        <v>2.3397422399999996</v>
      </c>
      <c r="P12" s="1743">
        <v>4.6080081100000285</v>
      </c>
      <c r="Q12" s="1743">
        <v>6.7940186999999739</v>
      </c>
      <c r="R12" s="1743">
        <v>9.102541530000039</v>
      </c>
      <c r="S12" s="1743">
        <v>11.278985059999997</v>
      </c>
      <c r="T12" s="1743">
        <v>13.581269440000028</v>
      </c>
      <c r="U12" s="1743">
        <v>15.930219979999862</v>
      </c>
      <c r="V12" s="1743">
        <v>18.140169109999846</v>
      </c>
      <c r="W12" s="1743">
        <v>20.462304440000054</v>
      </c>
      <c r="X12" s="1743">
        <v>23.070440210000129</v>
      </c>
      <c r="Y12" s="1744">
        <v>24.839806839999852</v>
      </c>
      <c r="Z12" s="1744">
        <v>27.196808052750214</v>
      </c>
      <c r="AA12" s="1743">
        <v>1.8744205599999972</v>
      </c>
      <c r="AB12" s="1743">
        <v>3.871052430000006</v>
      </c>
      <c r="AC12" s="1743">
        <v>7.6648322799989828</v>
      </c>
      <c r="AD12" s="1743">
        <v>11.673615130000044</v>
      </c>
      <c r="AE12" s="1743">
        <v>15.290105579999036</v>
      </c>
      <c r="AF12" s="1743">
        <v>20.130772139999948</v>
      </c>
      <c r="AG12" s="1743">
        <v>25.57133266999989</v>
      </c>
      <c r="AH12" s="1743">
        <v>29.843480460000137</v>
      </c>
      <c r="AI12" s="1743">
        <v>37.419586310000028</v>
      </c>
      <c r="AJ12" s="1743">
        <v>45.358435379999889</v>
      </c>
      <c r="AK12" s="1743">
        <v>55.187374529999943</v>
      </c>
      <c r="AL12" s="1743">
        <v>66.578425569999865</v>
      </c>
      <c r="AM12" s="1743">
        <v>12.61413183</v>
      </c>
      <c r="AN12" s="1743">
        <v>25.405792089999998</v>
      </c>
      <c r="AO12" s="1743">
        <v>36.184521410000002</v>
      </c>
      <c r="AP12" s="1743">
        <v>47.450245090000003</v>
      </c>
      <c r="AQ12" s="1743">
        <v>60.28372667</v>
      </c>
      <c r="AR12" s="1743">
        <v>69.357247659999999</v>
      </c>
      <c r="AS12" s="1743">
        <v>81.0309046</v>
      </c>
      <c r="AT12" s="1743">
        <v>91.286028509999994</v>
      </c>
      <c r="AU12" s="1743">
        <v>102.083660449083</v>
      </c>
      <c r="AV12" s="1743">
        <v>113.61008969908301</v>
      </c>
      <c r="AW12" s="1743">
        <v>124.682319599083</v>
      </c>
      <c r="AX12" s="1743">
        <v>135.53120016908301</v>
      </c>
      <c r="AY12" s="1743">
        <v>12.1603937</v>
      </c>
      <c r="AZ12" s="1743">
        <v>24.472399670000001</v>
      </c>
      <c r="BA12" s="1745" t="s">
        <v>3700</v>
      </c>
      <c r="BB12" s="1264"/>
      <c r="BC12" s="1263"/>
      <c r="BD12" s="1264"/>
      <c r="BF12" s="1264"/>
    </row>
    <row r="13" spans="1:58" s="1265" customFormat="1" ht="37.5" customHeight="1">
      <c r="A13" s="1746" t="s">
        <v>2310</v>
      </c>
      <c r="B13" s="1743">
        <v>547.88021661000005</v>
      </c>
      <c r="C13" s="1743">
        <v>47.601786760000003</v>
      </c>
      <c r="D13" s="1743">
        <v>92.444297849999998</v>
      </c>
      <c r="E13" s="1743">
        <v>134.87535634</v>
      </c>
      <c r="F13" s="1743">
        <v>170.1848809</v>
      </c>
      <c r="G13" s="1743">
        <v>201.17893853000001</v>
      </c>
      <c r="H13" s="1743">
        <v>241.16265116</v>
      </c>
      <c r="I13" s="1743">
        <v>281.64015332000002</v>
      </c>
      <c r="J13" s="1743">
        <v>322.29072158999998</v>
      </c>
      <c r="K13" s="1743">
        <v>362.44819914999999</v>
      </c>
      <c r="L13" s="1743">
        <v>408.2261939</v>
      </c>
      <c r="M13" s="1743">
        <v>451.20833531</v>
      </c>
      <c r="N13" s="1743">
        <v>492.54256068000001</v>
      </c>
      <c r="O13" s="1743">
        <v>43.443109620000001</v>
      </c>
      <c r="P13" s="1743">
        <v>85.745534340000006</v>
      </c>
      <c r="Q13" s="1743">
        <v>129.00739529000001</v>
      </c>
      <c r="R13" s="1743">
        <v>173.7585871</v>
      </c>
      <c r="S13" s="1743">
        <v>219.24497445</v>
      </c>
      <c r="T13" s="1743">
        <v>262.58779770000001</v>
      </c>
      <c r="U13" s="1743">
        <v>307.07677116000002</v>
      </c>
      <c r="V13" s="1743">
        <v>352.74422120000003</v>
      </c>
      <c r="W13" s="1743">
        <v>397.05689237000001</v>
      </c>
      <c r="X13" s="1743">
        <v>448.01144536999999</v>
      </c>
      <c r="Y13" s="1744">
        <v>490.94436571</v>
      </c>
      <c r="Z13" s="1744">
        <v>538.42681282000001</v>
      </c>
      <c r="AA13" s="1743">
        <v>46.312053810000002</v>
      </c>
      <c r="AB13" s="1743">
        <v>96.010953529999995</v>
      </c>
      <c r="AC13" s="1743">
        <v>143.36095099000099</v>
      </c>
      <c r="AD13" s="1743">
        <v>192.94012753750101</v>
      </c>
      <c r="AE13" s="1743">
        <v>245.10555164000101</v>
      </c>
      <c r="AF13" s="1743">
        <v>297.61723190000203</v>
      </c>
      <c r="AG13" s="1743">
        <v>352.61466219000198</v>
      </c>
      <c r="AH13" s="1743">
        <v>409.78643362000298</v>
      </c>
      <c r="AI13" s="1743">
        <v>467.41806101000299</v>
      </c>
      <c r="AJ13" s="1743">
        <v>528.74461715000302</v>
      </c>
      <c r="AK13" s="1743">
        <v>592.79980589000502</v>
      </c>
      <c r="AL13" s="1743">
        <v>657.80020985000499</v>
      </c>
      <c r="AM13" s="1743">
        <v>67.181827190000007</v>
      </c>
      <c r="AN13" s="1743">
        <v>134.01506075</v>
      </c>
      <c r="AO13" s="1743">
        <v>200.28434100000001</v>
      </c>
      <c r="AP13" s="1743">
        <v>268.35041928999999</v>
      </c>
      <c r="AQ13" s="1743">
        <v>335.23474764700001</v>
      </c>
      <c r="AR13" s="1743">
        <v>405.52060576999997</v>
      </c>
      <c r="AS13" s="1743">
        <v>478.29792848800003</v>
      </c>
      <c r="AT13" s="1743">
        <v>553.73419890000002</v>
      </c>
      <c r="AU13" s="1743">
        <v>628.74312277000001</v>
      </c>
      <c r="AV13" s="1743">
        <v>677.88667132</v>
      </c>
      <c r="AW13" s="1743">
        <v>755.74668654000004</v>
      </c>
      <c r="AX13" s="1743">
        <v>839.36268940000002</v>
      </c>
      <c r="AY13" s="1743">
        <v>86.44751334</v>
      </c>
      <c r="AZ13" s="1743">
        <v>172.47825943000001</v>
      </c>
      <c r="BA13" s="1747" t="s">
        <v>3701</v>
      </c>
      <c r="BB13" s="1264"/>
      <c r="BC13" s="1263"/>
      <c r="BD13" s="1264"/>
      <c r="BF13" s="1264"/>
    </row>
    <row r="14" spans="1:58" s="1265" customFormat="1" ht="37.5" customHeight="1">
      <c r="A14" s="1742" t="s">
        <v>2309</v>
      </c>
      <c r="B14" s="1743">
        <v>372.35475868999998</v>
      </c>
      <c r="C14" s="1743">
        <v>32.638438540000003</v>
      </c>
      <c r="D14" s="1743">
        <v>64.860481120000003</v>
      </c>
      <c r="E14" s="1743">
        <v>91.535804799999994</v>
      </c>
      <c r="F14" s="1743">
        <v>111.35617584000001</v>
      </c>
      <c r="G14" s="1743">
        <v>130.03879531999999</v>
      </c>
      <c r="H14" s="1743">
        <v>154.39488537</v>
      </c>
      <c r="I14" s="1743">
        <v>179.08557185000001</v>
      </c>
      <c r="J14" s="1743">
        <v>204.44773873</v>
      </c>
      <c r="K14" s="1743">
        <v>231.0388222</v>
      </c>
      <c r="L14" s="1743">
        <v>258.34628736000002</v>
      </c>
      <c r="M14" s="1743">
        <v>285.69008399000001</v>
      </c>
      <c r="N14" s="1743">
        <v>312.86389374999999</v>
      </c>
      <c r="O14" s="1743">
        <v>27.616060740000002</v>
      </c>
      <c r="P14" s="1743">
        <v>54.527394999999999</v>
      </c>
      <c r="Q14" s="1743">
        <v>82.558359159999995</v>
      </c>
      <c r="R14" s="1743">
        <v>111.41453525</v>
      </c>
      <c r="S14" s="1743">
        <v>141.69789879999999</v>
      </c>
      <c r="T14" s="1743">
        <v>172.92726016</v>
      </c>
      <c r="U14" s="1743">
        <v>201.62411054</v>
      </c>
      <c r="V14" s="1743">
        <v>231.9696299</v>
      </c>
      <c r="W14" s="1743">
        <v>263.70316704999999</v>
      </c>
      <c r="X14" s="1743">
        <v>296.42873539999999</v>
      </c>
      <c r="Y14" s="1744">
        <v>329.21707875999999</v>
      </c>
      <c r="Z14" s="1744">
        <v>362.26719543000002</v>
      </c>
      <c r="AA14" s="1743">
        <v>33.059568220000003</v>
      </c>
      <c r="AB14" s="1743">
        <v>66.187438589999999</v>
      </c>
      <c r="AC14" s="1743">
        <v>100.00116489000099</v>
      </c>
      <c r="AD14" s="1743">
        <v>134.32201600000101</v>
      </c>
      <c r="AE14" s="1743">
        <v>169.772595660001</v>
      </c>
      <c r="AF14" s="1743">
        <v>205.925754900002</v>
      </c>
      <c r="AG14" s="1743">
        <v>244.98202833000201</v>
      </c>
      <c r="AH14" s="1743">
        <v>284.60583688000298</v>
      </c>
      <c r="AI14" s="1743">
        <v>324.35249061000297</v>
      </c>
      <c r="AJ14" s="1743">
        <v>367.64522229000301</v>
      </c>
      <c r="AK14" s="1743">
        <v>412.55570776000502</v>
      </c>
      <c r="AL14" s="1743">
        <v>458.98606618000503</v>
      </c>
      <c r="AM14" s="1743">
        <v>48.041807550000001</v>
      </c>
      <c r="AN14" s="1743">
        <v>96.255995170000006</v>
      </c>
      <c r="AO14" s="1743">
        <v>142.78879875999999</v>
      </c>
      <c r="AP14" s="1743">
        <v>190.46716581999999</v>
      </c>
      <c r="AQ14" s="1743">
        <v>237.84861348999999</v>
      </c>
      <c r="AR14" s="1743">
        <v>288.48219508</v>
      </c>
      <c r="AS14" s="1743">
        <v>341.40717395799999</v>
      </c>
      <c r="AT14" s="1743">
        <v>395.17018883999998</v>
      </c>
      <c r="AU14" s="1743">
        <v>449.89676867999998</v>
      </c>
      <c r="AV14" s="1743">
        <v>479.94500348999998</v>
      </c>
      <c r="AW14" s="1743">
        <v>536.54010631000006</v>
      </c>
      <c r="AX14" s="1743">
        <v>595.96840538000004</v>
      </c>
      <c r="AY14" s="1743">
        <v>62.114248443333402</v>
      </c>
      <c r="AZ14" s="1743">
        <v>125.46146073</v>
      </c>
      <c r="BA14" s="1745" t="s">
        <v>3702</v>
      </c>
      <c r="BB14" s="1264"/>
      <c r="BC14" s="1263"/>
      <c r="BD14" s="1264"/>
      <c r="BF14" s="1264"/>
    </row>
    <row r="15" spans="1:58" s="1265" customFormat="1" ht="37.5" customHeight="1">
      <c r="A15" s="1746" t="s">
        <v>3070</v>
      </c>
      <c r="B15" s="1743">
        <v>343.07353831333302</v>
      </c>
      <c r="C15" s="1743">
        <v>30.22530742</v>
      </c>
      <c r="D15" s="1743">
        <v>60.708178750000002</v>
      </c>
      <c r="E15" s="1743">
        <v>85.421183190000008</v>
      </c>
      <c r="F15" s="1743">
        <v>104.67940378</v>
      </c>
      <c r="G15" s="1743">
        <v>123.42655450999999</v>
      </c>
      <c r="H15" s="1743">
        <v>145.33799035999999</v>
      </c>
      <c r="I15" s="1743">
        <v>168.68256138999999</v>
      </c>
      <c r="J15" s="1743">
        <v>192.38071596999998</v>
      </c>
      <c r="K15" s="1743">
        <v>217.00514679999998</v>
      </c>
      <c r="L15" s="1743">
        <v>242.35503927000002</v>
      </c>
      <c r="M15" s="1743">
        <v>266.33716489</v>
      </c>
      <c r="N15" s="1743">
        <v>292.18078932999998</v>
      </c>
      <c r="O15" s="1743">
        <v>27.032718729999999</v>
      </c>
      <c r="P15" s="1743">
        <v>52.899305409999997</v>
      </c>
      <c r="Q15" s="1743">
        <v>80.029680000000013</v>
      </c>
      <c r="R15" s="1743">
        <v>107.86792407</v>
      </c>
      <c r="S15" s="1743">
        <v>137.00142996</v>
      </c>
      <c r="T15" s="1743">
        <v>167.19063990999999</v>
      </c>
      <c r="U15" s="1743">
        <v>194.94359341999998</v>
      </c>
      <c r="V15" s="1743">
        <v>223.64797007999999</v>
      </c>
      <c r="W15" s="1743">
        <v>254.40946406</v>
      </c>
      <c r="X15" s="1743">
        <v>285.96194958000001</v>
      </c>
      <c r="Y15" s="1744">
        <v>317.42608853000002</v>
      </c>
      <c r="Z15" s="1744">
        <v>349.51441993999998</v>
      </c>
      <c r="AA15" s="1743">
        <v>31.760313889999999</v>
      </c>
      <c r="AB15" s="1743">
        <v>63.199327120000007</v>
      </c>
      <c r="AC15" s="1743">
        <v>95.277764980000001</v>
      </c>
      <c r="AD15" s="1743">
        <v>128.14272854999999</v>
      </c>
      <c r="AE15" s="1743">
        <v>162.93416773000001</v>
      </c>
      <c r="AF15" s="1743">
        <v>193.62540927000001</v>
      </c>
      <c r="AG15" s="1743">
        <v>229.53965640999999</v>
      </c>
      <c r="AH15" s="1743">
        <v>265.69480062999997</v>
      </c>
      <c r="AI15" s="1743">
        <v>301.98941665000001</v>
      </c>
      <c r="AJ15" s="1743">
        <v>339.79040101999999</v>
      </c>
      <c r="AK15" s="1743">
        <v>378.66234365000003</v>
      </c>
      <c r="AL15" s="1743">
        <v>418.67921678000005</v>
      </c>
      <c r="AM15" s="1743">
        <v>37.74582255</v>
      </c>
      <c r="AN15" s="1743">
        <v>75.985990220000005</v>
      </c>
      <c r="AO15" s="1743">
        <v>115.60642398</v>
      </c>
      <c r="AP15" s="1743">
        <v>155.74324211000001</v>
      </c>
      <c r="AQ15" s="1743">
        <v>196.2995981</v>
      </c>
      <c r="AR15" s="1743">
        <v>239.09904176000001</v>
      </c>
      <c r="AS15" s="1743">
        <v>285.20958350799998</v>
      </c>
      <c r="AT15" s="1743">
        <v>331.23423338999999</v>
      </c>
      <c r="AU15" s="1743">
        <v>378.72485756999998</v>
      </c>
      <c r="AV15" s="1743">
        <v>401.43263174999998</v>
      </c>
      <c r="AW15" s="1743">
        <v>450.40125374000002</v>
      </c>
      <c r="AX15" s="1743">
        <v>499.50625821</v>
      </c>
      <c r="AY15" s="1743">
        <v>53.235416653333303</v>
      </c>
      <c r="AZ15" s="1743">
        <v>107.07922381</v>
      </c>
      <c r="BA15" s="1747" t="s">
        <v>3703</v>
      </c>
      <c r="BB15" s="1264"/>
      <c r="BC15" s="1263"/>
      <c r="BD15" s="1264"/>
      <c r="BF15" s="1264"/>
    </row>
    <row r="16" spans="1:58" s="1265" customFormat="1" ht="37.5" customHeight="1">
      <c r="A16" s="1742" t="s">
        <v>3071</v>
      </c>
      <c r="B16" s="1743">
        <v>100.50703</v>
      </c>
      <c r="C16" s="1743">
        <v>8.1771599899999998</v>
      </c>
      <c r="D16" s="1743">
        <v>16.49925605</v>
      </c>
      <c r="E16" s="1743">
        <v>25.3591804</v>
      </c>
      <c r="F16" s="1743">
        <v>34.263219140000004</v>
      </c>
      <c r="G16" s="1743">
        <v>40.053230639999995</v>
      </c>
      <c r="H16" s="1743">
        <v>48.629548030000009</v>
      </c>
      <c r="I16" s="1743">
        <v>56.659804829999992</v>
      </c>
      <c r="J16" s="1743">
        <v>64.762398860000005</v>
      </c>
      <c r="K16" s="1743">
        <v>73.518683440000004</v>
      </c>
      <c r="L16" s="1743">
        <v>81.162522670000001</v>
      </c>
      <c r="M16" s="1743">
        <v>88.874423700000008</v>
      </c>
      <c r="N16" s="1743">
        <v>96.76730053</v>
      </c>
      <c r="O16" s="1743">
        <v>7.3612604800000003</v>
      </c>
      <c r="P16" s="1743">
        <v>14.928021879999999</v>
      </c>
      <c r="Q16" s="1743">
        <v>22.412648499999996</v>
      </c>
      <c r="R16" s="1743">
        <v>29.711434059999998</v>
      </c>
      <c r="S16" s="1743">
        <v>37.205600490000002</v>
      </c>
      <c r="T16" s="1743">
        <v>43.096359100000001</v>
      </c>
      <c r="U16" s="1743">
        <v>51.055666349999996</v>
      </c>
      <c r="V16" s="1743">
        <v>62.337085939999994</v>
      </c>
      <c r="W16" s="1743">
        <v>70.624915720000004</v>
      </c>
      <c r="X16" s="1743">
        <v>80.056743279999992</v>
      </c>
      <c r="Y16" s="1744">
        <v>87.95810990999999</v>
      </c>
      <c r="Z16" s="1744">
        <v>96.900946187854814</v>
      </c>
      <c r="AA16" s="1743">
        <v>7.7462051599999997</v>
      </c>
      <c r="AB16" s="1743">
        <v>19.115000430000002</v>
      </c>
      <c r="AC16" s="1743">
        <v>27.803757099999981</v>
      </c>
      <c r="AD16" s="1743">
        <v>34.895005579999996</v>
      </c>
      <c r="AE16" s="1743">
        <v>44.770328589999998</v>
      </c>
      <c r="AF16" s="1743">
        <v>54.941426290000003</v>
      </c>
      <c r="AG16" s="1743">
        <v>65.32609909</v>
      </c>
      <c r="AH16" s="1743">
        <v>76.160271469999998</v>
      </c>
      <c r="AI16" s="1743">
        <v>88.205393169999994</v>
      </c>
      <c r="AJ16" s="1743">
        <v>99.284737100000015</v>
      </c>
      <c r="AK16" s="1743">
        <v>110.53454195999998</v>
      </c>
      <c r="AL16" s="1743">
        <v>122.24876301</v>
      </c>
      <c r="AM16" s="1743">
        <v>12.269709649999999</v>
      </c>
      <c r="AN16" s="1743">
        <v>24.106857089999998</v>
      </c>
      <c r="AO16" s="1743">
        <v>36.718360850000003</v>
      </c>
      <c r="AP16" s="1743">
        <v>49.850404320000003</v>
      </c>
      <c r="AQ16" s="1743">
        <v>62.827472069999999</v>
      </c>
      <c r="AR16" s="1743">
        <v>75.143789479999995</v>
      </c>
      <c r="AS16" s="1743">
        <v>87.632992790000003</v>
      </c>
      <c r="AT16" s="1743">
        <v>100.99677293000001</v>
      </c>
      <c r="AU16" s="1743">
        <v>114.10363549</v>
      </c>
      <c r="AV16" s="1743">
        <v>124.39091703</v>
      </c>
      <c r="AW16" s="1743">
        <v>136.74628003000001</v>
      </c>
      <c r="AX16" s="1743">
        <v>146.54393855000001</v>
      </c>
      <c r="AY16" s="1743">
        <v>17.049983080000001</v>
      </c>
      <c r="AZ16" s="1743">
        <v>32.251625629999999</v>
      </c>
      <c r="BA16" s="1745" t="s">
        <v>3704</v>
      </c>
      <c r="BB16" s="1264"/>
      <c r="BC16" s="1263"/>
      <c r="BD16" s="1264"/>
      <c r="BF16" s="1264"/>
    </row>
    <row r="17" spans="1:58" s="1265" customFormat="1" ht="37.5" customHeight="1">
      <c r="A17" s="1742" t="s">
        <v>3346</v>
      </c>
      <c r="B17" s="1743">
        <v>75.018427920000008</v>
      </c>
      <c r="C17" s="1743">
        <v>6.7861882299999996</v>
      </c>
      <c r="D17" s="1743">
        <v>11.084560679999999</v>
      </c>
      <c r="E17" s="1748">
        <v>17.980371139999999</v>
      </c>
      <c r="F17" s="1748">
        <v>24.56548592</v>
      </c>
      <c r="G17" s="1749">
        <v>31.086912570000003</v>
      </c>
      <c r="H17" s="1749">
        <v>38.138217759999996</v>
      </c>
      <c r="I17" s="1749">
        <v>45.894776639999996</v>
      </c>
      <c r="J17" s="1749">
        <v>53.080583999999995</v>
      </c>
      <c r="K17" s="1749">
        <v>57.890693510000006</v>
      </c>
      <c r="L17" s="1749">
        <v>68.717383869999992</v>
      </c>
      <c r="M17" s="1743">
        <v>76.643827619999996</v>
      </c>
      <c r="N17" s="1743">
        <v>82.911366399999991</v>
      </c>
      <c r="O17" s="1743">
        <v>8.465788400000001</v>
      </c>
      <c r="P17" s="1750">
        <v>16.290117460000001</v>
      </c>
      <c r="Q17" s="1750">
        <v>24.03638763</v>
      </c>
      <c r="R17" s="1750">
        <v>32.632617789999998</v>
      </c>
      <c r="S17" s="1750">
        <v>40.341475160000002</v>
      </c>
      <c r="T17" s="1750">
        <v>46.564178439999992</v>
      </c>
      <c r="U17" s="1750">
        <v>54.39699427</v>
      </c>
      <c r="V17" s="1750">
        <v>58.437505360000003</v>
      </c>
      <c r="W17" s="1750">
        <v>62.728809599999998</v>
      </c>
      <c r="X17" s="1750">
        <v>71.525966690000004</v>
      </c>
      <c r="Y17" s="1751">
        <v>73.769177040000002</v>
      </c>
      <c r="Z17" s="1751">
        <v>79.258671202145322</v>
      </c>
      <c r="AA17" s="1749">
        <v>5.5062804300000003</v>
      </c>
      <c r="AB17" s="1749">
        <v>10.708514510000001</v>
      </c>
      <c r="AC17" s="1749">
        <v>15.556029000000001</v>
      </c>
      <c r="AD17" s="1749">
        <v>23.7231059575</v>
      </c>
      <c r="AE17" s="1749">
        <v>30.562627389999999</v>
      </c>
      <c r="AF17" s="1749">
        <v>36.750050710000004</v>
      </c>
      <c r="AG17" s="1749">
        <v>42.306534769999999</v>
      </c>
      <c r="AH17" s="1749">
        <v>49.020325270000001</v>
      </c>
      <c r="AI17" s="1749">
        <v>54.860177229999991</v>
      </c>
      <c r="AJ17" s="1749">
        <v>61.814657760000003</v>
      </c>
      <c r="AK17" s="1749">
        <v>69.709556169999999</v>
      </c>
      <c r="AL17" s="1749">
        <v>76.565380660000002</v>
      </c>
      <c r="AM17" s="1749">
        <v>6.87030999</v>
      </c>
      <c r="AN17" s="1749">
        <v>13.65220849</v>
      </c>
      <c r="AO17" s="1749">
        <v>20.777181389999999</v>
      </c>
      <c r="AP17" s="1749">
        <v>28.032849150000001</v>
      </c>
      <c r="AQ17" s="1749">
        <v>34.558662087000002</v>
      </c>
      <c r="AR17" s="1749">
        <v>41.894621209999997</v>
      </c>
      <c r="AS17" s="1749">
        <v>49.257761739999999</v>
      </c>
      <c r="AT17" s="1749">
        <v>57.567237130000002</v>
      </c>
      <c r="AU17" s="1749">
        <v>64.742718600000003</v>
      </c>
      <c r="AV17" s="1749">
        <v>73.550750800000003</v>
      </c>
      <c r="AW17" s="1749">
        <v>82.460300200000006</v>
      </c>
      <c r="AX17" s="1749">
        <v>96.850345469999993</v>
      </c>
      <c r="AY17" s="1749">
        <v>7.28328181666667</v>
      </c>
      <c r="AZ17" s="1749">
        <v>14.765173069999999</v>
      </c>
      <c r="BA17" s="1745" t="s">
        <v>3705</v>
      </c>
      <c r="BB17" s="1264"/>
      <c r="BC17" s="1263"/>
      <c r="BD17" s="1264"/>
      <c r="BF17" s="1264"/>
    </row>
    <row r="18" spans="1:58" s="1265" customFormat="1" ht="37.5" customHeight="1">
      <c r="A18" s="1746" t="s">
        <v>3072</v>
      </c>
      <c r="B18" s="1743">
        <v>1330.2763576211801</v>
      </c>
      <c r="C18" s="1743">
        <v>115.136999704983</v>
      </c>
      <c r="D18" s="1743">
        <v>230.136625057744</v>
      </c>
      <c r="E18" s="1743">
        <v>348.27798394664501</v>
      </c>
      <c r="F18" s="1743">
        <v>459.934087081938</v>
      </c>
      <c r="G18" s="1743">
        <v>573.46951601977696</v>
      </c>
      <c r="H18" s="1743">
        <v>680.48902923047797</v>
      </c>
      <c r="I18" s="1743">
        <v>791.21034751926902</v>
      </c>
      <c r="J18" s="1743">
        <v>901.47466821588</v>
      </c>
      <c r="K18" s="1743">
        <v>1018.49091487658</v>
      </c>
      <c r="L18" s="1743">
        <v>1124.0501002814699</v>
      </c>
      <c r="M18" s="1743">
        <v>1244.6304064830799</v>
      </c>
      <c r="N18" s="1743">
        <v>1368.0805837145699</v>
      </c>
      <c r="O18" s="1743">
        <v>109.6112604139</v>
      </c>
      <c r="P18" s="1743">
        <v>226.31984787414501</v>
      </c>
      <c r="Q18" s="1743">
        <v>351.72167727958202</v>
      </c>
      <c r="R18" s="1743">
        <v>476.18435812938998</v>
      </c>
      <c r="S18" s="1743">
        <v>601.61883449762297</v>
      </c>
      <c r="T18" s="1743">
        <v>730.85364570426395</v>
      </c>
      <c r="U18" s="1743">
        <v>858.19354176213096</v>
      </c>
      <c r="V18" s="1743">
        <v>985.46056310011704</v>
      </c>
      <c r="W18" s="1743">
        <v>1119.46647705296</v>
      </c>
      <c r="X18" s="1743">
        <v>1250.3085244900601</v>
      </c>
      <c r="Y18" s="1744">
        <v>1394.5418477682599</v>
      </c>
      <c r="Z18" s="1744">
        <v>1537.5122341274</v>
      </c>
      <c r="AA18" s="1743">
        <v>138.36405557208499</v>
      </c>
      <c r="AB18" s="1743">
        <v>290.18589741906902</v>
      </c>
      <c r="AC18" s="1743">
        <v>447.26902575760602</v>
      </c>
      <c r="AD18" s="1743">
        <v>608.52764414374496</v>
      </c>
      <c r="AE18" s="1743">
        <v>769.62355521290203</v>
      </c>
      <c r="AF18" s="1743">
        <v>938.22329339179998</v>
      </c>
      <c r="AG18" s="1743">
        <v>1104.45171024251</v>
      </c>
      <c r="AH18" s="1743">
        <v>1270.9459524866299</v>
      </c>
      <c r="AI18" s="1743">
        <v>1452.11056851745</v>
      </c>
      <c r="AJ18" s="1743">
        <v>1641.22042636939</v>
      </c>
      <c r="AK18" s="1743">
        <v>1833.94689312593</v>
      </c>
      <c r="AL18" s="1743">
        <v>2040.5786542455701</v>
      </c>
      <c r="AM18" s="1743">
        <v>200.57665145858601</v>
      </c>
      <c r="AN18" s="1743">
        <v>403.10503406804497</v>
      </c>
      <c r="AO18" s="1743">
        <v>609.59059370896705</v>
      </c>
      <c r="AP18" s="1743">
        <v>806.15166731189299</v>
      </c>
      <c r="AQ18" s="1743">
        <v>1024.21099025029</v>
      </c>
      <c r="AR18" s="1743">
        <v>1234.4383008863399</v>
      </c>
      <c r="AS18" s="1743">
        <v>1464.3460559161099</v>
      </c>
      <c r="AT18" s="1743">
        <v>1687.51884961981</v>
      </c>
      <c r="AU18" s="1743">
        <v>1913.68239390136</v>
      </c>
      <c r="AV18" s="1743">
        <v>2141.7381820857599</v>
      </c>
      <c r="AW18" s="1743">
        <v>2378.0977373167202</v>
      </c>
      <c r="AX18" s="1743">
        <v>2608.7172311004401</v>
      </c>
      <c r="AY18" s="1743">
        <v>227.18030685637501</v>
      </c>
      <c r="AZ18" s="1743">
        <v>456.52632277055102</v>
      </c>
      <c r="BA18" s="1747" t="s">
        <v>3706</v>
      </c>
      <c r="BB18" s="1264"/>
      <c r="BC18" s="1263"/>
      <c r="BD18" s="1264"/>
      <c r="BF18" s="1264"/>
    </row>
    <row r="19" spans="1:58" s="1265" customFormat="1" ht="37.5" customHeight="1">
      <c r="A19" s="1746" t="s">
        <v>2308</v>
      </c>
      <c r="B19" s="1743">
        <v>723.72507134</v>
      </c>
      <c r="C19" s="1743">
        <v>50.10405317</v>
      </c>
      <c r="D19" s="1743">
        <v>109.88105006000001</v>
      </c>
      <c r="E19" s="1743">
        <v>173.97197801999999</v>
      </c>
      <c r="F19" s="1743">
        <v>222.00232753</v>
      </c>
      <c r="G19" s="1743">
        <v>263.08640856</v>
      </c>
      <c r="H19" s="1743">
        <v>319.45122091000002</v>
      </c>
      <c r="I19" s="1743">
        <v>373.30741052000002</v>
      </c>
      <c r="J19" s="1743">
        <v>425.78752899</v>
      </c>
      <c r="K19" s="1743">
        <v>484.31416364</v>
      </c>
      <c r="L19" s="1743">
        <v>538.63744197000005</v>
      </c>
      <c r="M19" s="1743">
        <v>590.80885416000001</v>
      </c>
      <c r="N19" s="1743">
        <v>672.09659682999995</v>
      </c>
      <c r="O19" s="1743">
        <v>49.649908021999998</v>
      </c>
      <c r="P19" s="1743">
        <v>104.888694007</v>
      </c>
      <c r="Q19" s="1743">
        <v>170.78305272099999</v>
      </c>
      <c r="R19" s="1743">
        <v>236.32745337</v>
      </c>
      <c r="S19" s="1743">
        <v>334.17356974</v>
      </c>
      <c r="T19" s="1743">
        <v>418.90089870000003</v>
      </c>
      <c r="U19" s="1743">
        <v>487.94976728</v>
      </c>
      <c r="V19" s="1743">
        <v>575.12139235999996</v>
      </c>
      <c r="W19" s="1743">
        <v>625.12020948999998</v>
      </c>
      <c r="X19" s="1743">
        <v>701.99568292000004</v>
      </c>
      <c r="Y19" s="1744">
        <v>776.06907005999994</v>
      </c>
      <c r="Z19" s="1744">
        <v>875.97401637999997</v>
      </c>
      <c r="AA19" s="1743">
        <v>74.478056850000002</v>
      </c>
      <c r="AB19" s="1743">
        <v>143.99798763000001</v>
      </c>
      <c r="AC19" s="1743">
        <v>225.87735233999999</v>
      </c>
      <c r="AD19" s="1743">
        <v>327.38652169</v>
      </c>
      <c r="AE19" s="1743">
        <v>426.00718202000002</v>
      </c>
      <c r="AF19" s="1743">
        <v>533.87349017999998</v>
      </c>
      <c r="AG19" s="1743">
        <v>646.67816355000002</v>
      </c>
      <c r="AH19" s="1743">
        <v>762.32143624000003</v>
      </c>
      <c r="AI19" s="1743">
        <v>869.92494148369701</v>
      </c>
      <c r="AJ19" s="1743">
        <v>971.18270125000004</v>
      </c>
      <c r="AK19" s="1743">
        <v>1077.7916701900001</v>
      </c>
      <c r="AL19" s="1743">
        <v>1215.9753310640101</v>
      </c>
      <c r="AM19" s="1743">
        <v>84.614915719999999</v>
      </c>
      <c r="AN19" s="1743">
        <v>177.94012014</v>
      </c>
      <c r="AO19" s="1743">
        <v>275.51184685999999</v>
      </c>
      <c r="AP19" s="1743">
        <v>374.93552029976303</v>
      </c>
      <c r="AQ19" s="1743">
        <v>480.36249457000002</v>
      </c>
      <c r="AR19" s="1743">
        <v>598.49614171999997</v>
      </c>
      <c r="AS19" s="1743">
        <v>738.05869712000003</v>
      </c>
      <c r="AT19" s="1743">
        <v>860.94677231000003</v>
      </c>
      <c r="AU19" s="1743">
        <v>988.53276723120996</v>
      </c>
      <c r="AV19" s="1743">
        <v>1086.8048615800001</v>
      </c>
      <c r="AW19" s="1743">
        <v>1215.6781739400001</v>
      </c>
      <c r="AX19" s="1743">
        <v>1368.2014305</v>
      </c>
      <c r="AY19" s="1743">
        <v>141.71190128000001</v>
      </c>
      <c r="AZ19" s="1743">
        <v>269.55600559999999</v>
      </c>
      <c r="BA19" s="1747" t="s">
        <v>3707</v>
      </c>
      <c r="BB19" s="1264"/>
      <c r="BC19" s="1263"/>
      <c r="BD19" s="1264"/>
      <c r="BF19" s="1264"/>
    </row>
    <row r="20" spans="1:58" s="1265" customFormat="1" ht="39" customHeight="1">
      <c r="A20" s="1742" t="s">
        <v>3073</v>
      </c>
      <c r="B20" s="1743">
        <v>186.68414805</v>
      </c>
      <c r="C20" s="1743">
        <v>13.394629009999999</v>
      </c>
      <c r="D20" s="1743">
        <v>29.199419970000001</v>
      </c>
      <c r="E20" s="1743">
        <v>45.36901142</v>
      </c>
      <c r="F20" s="1743">
        <v>55.969749880000002</v>
      </c>
      <c r="G20" s="1743">
        <v>67.057290219999999</v>
      </c>
      <c r="H20" s="1743">
        <v>81.098202229999998</v>
      </c>
      <c r="I20" s="1743">
        <v>94.437360179999999</v>
      </c>
      <c r="J20" s="1743">
        <v>109.21975577000001</v>
      </c>
      <c r="K20" s="1743">
        <v>124.09366328999999</v>
      </c>
      <c r="L20" s="1743">
        <v>139.21853557</v>
      </c>
      <c r="M20" s="1743">
        <v>153.19281568</v>
      </c>
      <c r="N20" s="1743">
        <v>171.14248430000001</v>
      </c>
      <c r="O20" s="1743">
        <v>12.84472285</v>
      </c>
      <c r="P20" s="1743">
        <v>26.720168770000001</v>
      </c>
      <c r="Q20" s="1743">
        <v>43.178762210000002</v>
      </c>
      <c r="R20" s="1743">
        <v>60.956473879999997</v>
      </c>
      <c r="S20" s="1743">
        <v>77.94523753</v>
      </c>
      <c r="T20" s="1743">
        <v>96.286128090000005</v>
      </c>
      <c r="U20" s="1743">
        <v>116.09409288000001</v>
      </c>
      <c r="V20" s="1743">
        <v>137.69048563999999</v>
      </c>
      <c r="W20" s="1743">
        <v>156.79305823000001</v>
      </c>
      <c r="X20" s="1743">
        <v>177.79038704000001</v>
      </c>
      <c r="Y20" s="1744">
        <v>198.84579409</v>
      </c>
      <c r="Z20" s="1744">
        <v>226.36177473999999</v>
      </c>
      <c r="AA20" s="1743">
        <v>19.168760219999999</v>
      </c>
      <c r="AB20" s="1743">
        <v>39.299219770000001</v>
      </c>
      <c r="AC20" s="1743">
        <v>60.479556479999999</v>
      </c>
      <c r="AD20" s="1743">
        <v>88.582194009999995</v>
      </c>
      <c r="AE20" s="1743">
        <v>113.7535245</v>
      </c>
      <c r="AF20" s="1743">
        <v>141.14848989000001</v>
      </c>
      <c r="AG20" s="1743">
        <v>169.38462415000001</v>
      </c>
      <c r="AH20" s="1743">
        <v>199.54030897000001</v>
      </c>
      <c r="AI20" s="1743">
        <v>228.52173404000001</v>
      </c>
      <c r="AJ20" s="1743">
        <v>254.20364762</v>
      </c>
      <c r="AK20" s="1743">
        <v>284.59550589000003</v>
      </c>
      <c r="AL20" s="1743">
        <v>321.27369529999999</v>
      </c>
      <c r="AM20" s="1743">
        <v>25.641852400000001</v>
      </c>
      <c r="AN20" s="1743">
        <v>52.439446349999997</v>
      </c>
      <c r="AO20" s="1743">
        <v>81.653791510000005</v>
      </c>
      <c r="AP20" s="1743">
        <v>109.59905307</v>
      </c>
      <c r="AQ20" s="1743">
        <v>139.49856833999999</v>
      </c>
      <c r="AR20" s="1743">
        <v>167.82577462</v>
      </c>
      <c r="AS20" s="1743">
        <v>201.80971101</v>
      </c>
      <c r="AT20" s="1743">
        <v>235.63819358000001</v>
      </c>
      <c r="AU20" s="1743">
        <v>266.69982691000001</v>
      </c>
      <c r="AV20" s="1743">
        <v>285.95622150000003</v>
      </c>
      <c r="AW20" s="1743">
        <v>318.06758323000003</v>
      </c>
      <c r="AX20" s="1743">
        <v>355.77988392999998</v>
      </c>
      <c r="AY20" s="1743">
        <v>30.51965418</v>
      </c>
      <c r="AZ20" s="1743">
        <v>66.669648789999997</v>
      </c>
      <c r="BA20" s="1745" t="s">
        <v>3708</v>
      </c>
      <c r="BB20" s="1264"/>
      <c r="BC20" s="1263"/>
      <c r="BD20" s="1264"/>
      <c r="BF20" s="1264"/>
    </row>
    <row r="21" spans="1:58" s="1265" customFormat="1" ht="60.6" customHeight="1">
      <c r="A21" s="1742" t="s">
        <v>3074</v>
      </c>
      <c r="B21" s="1743">
        <v>168.50584155000001</v>
      </c>
      <c r="C21" s="1743">
        <v>11.842949969999999</v>
      </c>
      <c r="D21" s="1743">
        <v>26.075209820000001</v>
      </c>
      <c r="E21" s="1743">
        <v>43.796617650000002</v>
      </c>
      <c r="F21" s="1743">
        <v>59.64914761</v>
      </c>
      <c r="G21" s="1743">
        <v>68.468686109999993</v>
      </c>
      <c r="H21" s="1743">
        <v>80.581506950000005</v>
      </c>
      <c r="I21" s="1743">
        <v>95.937457760000001</v>
      </c>
      <c r="J21" s="1743">
        <v>106.63835553</v>
      </c>
      <c r="K21" s="1743">
        <v>116.33579262000001</v>
      </c>
      <c r="L21" s="1743">
        <v>128.50035224000001</v>
      </c>
      <c r="M21" s="1743">
        <v>137.65809715</v>
      </c>
      <c r="N21" s="1743">
        <v>156.76925575999999</v>
      </c>
      <c r="O21" s="1743">
        <v>10.18230724</v>
      </c>
      <c r="P21" s="1743">
        <v>19.980012240000001</v>
      </c>
      <c r="Q21" s="1743">
        <v>33.260520100000001</v>
      </c>
      <c r="R21" s="1743">
        <v>47.85459298</v>
      </c>
      <c r="S21" s="1743">
        <v>59.56152874</v>
      </c>
      <c r="T21" s="1743">
        <v>73.609874219999995</v>
      </c>
      <c r="U21" s="1743">
        <v>86.788413219999995</v>
      </c>
      <c r="V21" s="1743">
        <v>100.1220883</v>
      </c>
      <c r="W21" s="1743">
        <v>110.86573491999999</v>
      </c>
      <c r="X21" s="1743">
        <v>125.50100479</v>
      </c>
      <c r="Y21" s="1744">
        <v>137.78194912999999</v>
      </c>
      <c r="Z21" s="1744">
        <v>157.8306121</v>
      </c>
      <c r="AA21" s="1743">
        <v>12.33654284</v>
      </c>
      <c r="AB21" s="1743">
        <v>25.408078809999999</v>
      </c>
      <c r="AC21" s="1743">
        <v>56.851026580000003</v>
      </c>
      <c r="AD21" s="1743">
        <v>84.312422920000003</v>
      </c>
      <c r="AE21" s="1743">
        <v>111.31033970999999</v>
      </c>
      <c r="AF21" s="1743">
        <v>138.69608628</v>
      </c>
      <c r="AG21" s="1743">
        <v>160.70929251000001</v>
      </c>
      <c r="AH21" s="1743">
        <v>181.92576338000001</v>
      </c>
      <c r="AI21" s="1743">
        <v>202.18185968369701</v>
      </c>
      <c r="AJ21" s="1743">
        <v>233.13907388999999</v>
      </c>
      <c r="AK21" s="1743">
        <v>255.66029254</v>
      </c>
      <c r="AL21" s="1743">
        <v>286.33099561400701</v>
      </c>
      <c r="AM21" s="1743">
        <v>17.683631850000001</v>
      </c>
      <c r="AN21" s="1743">
        <v>32.424450950000001</v>
      </c>
      <c r="AO21" s="1743">
        <v>54.975092570000001</v>
      </c>
      <c r="AP21" s="1743">
        <v>72.146414829763401</v>
      </c>
      <c r="AQ21" s="1743">
        <v>90.281781859999995</v>
      </c>
      <c r="AR21" s="1743">
        <v>108.77284811</v>
      </c>
      <c r="AS21" s="1743">
        <v>130.26371947000001</v>
      </c>
      <c r="AT21" s="1743">
        <v>154.27928643999999</v>
      </c>
      <c r="AU21" s="1743">
        <v>173.90764640121</v>
      </c>
      <c r="AV21" s="1743">
        <v>191.57406854000001</v>
      </c>
      <c r="AW21" s="1743">
        <v>215.98782842</v>
      </c>
      <c r="AX21" s="1743">
        <v>247.87508219</v>
      </c>
      <c r="AY21" s="1743">
        <v>21.401234800000001</v>
      </c>
      <c r="AZ21" s="1743">
        <v>41.00595388</v>
      </c>
      <c r="BA21" s="1745" t="s">
        <v>3709</v>
      </c>
      <c r="BB21" s="1264"/>
      <c r="BC21" s="1263"/>
      <c r="BD21" s="1264"/>
      <c r="BF21" s="1264"/>
    </row>
    <row r="22" spans="1:58" ht="37.5" customHeight="1">
      <c r="A22" s="1742" t="s">
        <v>3075</v>
      </c>
      <c r="B22" s="1743">
        <v>-0.54753797000000004</v>
      </c>
      <c r="C22" s="1743">
        <v>2.0100000000000001E-3</v>
      </c>
      <c r="D22" s="1743">
        <v>1.8521300000000001</v>
      </c>
      <c r="E22" s="1743">
        <v>4.0109250000000003</v>
      </c>
      <c r="F22" s="1743">
        <v>1.8438950000000001</v>
      </c>
      <c r="G22" s="1743">
        <v>1.67620955</v>
      </c>
      <c r="H22" s="1743">
        <v>1.43372955</v>
      </c>
      <c r="I22" s="1743">
        <v>1.4391395499999999</v>
      </c>
      <c r="J22" s="1743">
        <v>1.2869895499999999</v>
      </c>
      <c r="K22" s="1743">
        <v>2.9185083399999998</v>
      </c>
      <c r="L22" s="1743">
        <v>2.7590395499999998</v>
      </c>
      <c r="M22" s="1743">
        <v>2.4870295499999999</v>
      </c>
      <c r="N22" s="1743">
        <v>2.3576914000000002</v>
      </c>
      <c r="O22" s="1743">
        <v>-0.17444999999999999</v>
      </c>
      <c r="P22" s="1743">
        <v>-0.32443</v>
      </c>
      <c r="Q22" s="1743">
        <v>-0.42041000000000001</v>
      </c>
      <c r="R22" s="1743">
        <v>-0.58995675999999997</v>
      </c>
      <c r="S22" s="1743">
        <v>-0.94005444999999999</v>
      </c>
      <c r="T22" s="1743">
        <v>-1.3904926</v>
      </c>
      <c r="U22" s="1743">
        <v>-0.27386493000000001</v>
      </c>
      <c r="V22" s="1743">
        <v>-0.39068492999999999</v>
      </c>
      <c r="W22" s="1743">
        <v>-0.82508493000000005</v>
      </c>
      <c r="X22" s="1743">
        <v>-0.93461492999999995</v>
      </c>
      <c r="Y22" s="1744">
        <v>-2.0675649300000001</v>
      </c>
      <c r="Z22" s="1744">
        <v>-2.48050579</v>
      </c>
      <c r="AA22" s="1743">
        <v>-1.35442701</v>
      </c>
      <c r="AB22" s="1743">
        <v>-5.1600870099999998</v>
      </c>
      <c r="AC22" s="1743">
        <v>-21.30193478</v>
      </c>
      <c r="AD22" s="1743">
        <v>-22.49786478</v>
      </c>
      <c r="AE22" s="1743">
        <v>-25.639624779999998</v>
      </c>
      <c r="AF22" s="1743">
        <v>-31.02257621</v>
      </c>
      <c r="AG22" s="1743">
        <v>-27.051972989999999</v>
      </c>
      <c r="AH22" s="1743">
        <v>-26.05298299</v>
      </c>
      <c r="AI22" s="1743">
        <v>-33.808582989999998</v>
      </c>
      <c r="AJ22" s="1743">
        <v>-35.336192990000001</v>
      </c>
      <c r="AK22" s="1743">
        <v>-30.896342990000001</v>
      </c>
      <c r="AL22" s="1743">
        <v>-18.225327069999999</v>
      </c>
      <c r="AM22" s="1743">
        <v>0.62390999999999996</v>
      </c>
      <c r="AN22" s="1743">
        <v>0.44738</v>
      </c>
      <c r="AO22" s="1743">
        <v>-2.31785</v>
      </c>
      <c r="AP22" s="1743">
        <v>-2.9508999999999999</v>
      </c>
      <c r="AQ22" s="1743">
        <v>-5.9270050799999998</v>
      </c>
      <c r="AR22" s="1743">
        <v>-6.5710610699999998</v>
      </c>
      <c r="AS22" s="1743">
        <v>-6.98760256</v>
      </c>
      <c r="AT22" s="1743">
        <v>-7.3640724000000004</v>
      </c>
      <c r="AU22" s="1743">
        <v>-7.5979955700000001</v>
      </c>
      <c r="AV22" s="1743">
        <v>-7.8069487400000002</v>
      </c>
      <c r="AW22" s="1743">
        <v>-8.5330419099999997</v>
      </c>
      <c r="AX22" s="1743">
        <v>-9.1156950800000001</v>
      </c>
      <c r="AY22" s="1743">
        <v>-0.47388317000000002</v>
      </c>
      <c r="AZ22" s="1743">
        <v>-8.7791630000000107E-2</v>
      </c>
      <c r="BA22" s="1745" t="s">
        <v>3710</v>
      </c>
      <c r="BB22" s="1264"/>
      <c r="BC22" s="1263"/>
      <c r="BD22" s="1264"/>
    </row>
    <row r="23" spans="1:58" ht="37.5" customHeight="1">
      <c r="A23" s="1742" t="s">
        <v>3076</v>
      </c>
      <c r="B23" s="1743">
        <v>369.08261971000002</v>
      </c>
      <c r="C23" s="1743">
        <v>24.86446419</v>
      </c>
      <c r="D23" s="1743">
        <v>52.754290269999998</v>
      </c>
      <c r="E23" s="1743">
        <v>80.79542395</v>
      </c>
      <c r="F23" s="1743">
        <v>104.53953504</v>
      </c>
      <c r="G23" s="1743">
        <v>125.88422268000001</v>
      </c>
      <c r="H23" s="1743">
        <v>156.33778218</v>
      </c>
      <c r="I23" s="1743">
        <v>181.49345303000004</v>
      </c>
      <c r="J23" s="1743">
        <v>208.64242813999999</v>
      </c>
      <c r="K23" s="1743">
        <v>240.96619939000001</v>
      </c>
      <c r="L23" s="1743">
        <v>268.15951461000009</v>
      </c>
      <c r="M23" s="1743">
        <v>297.47091178000005</v>
      </c>
      <c r="N23" s="1743">
        <v>341.82716536999999</v>
      </c>
      <c r="O23" s="1743">
        <v>26.797327931999995</v>
      </c>
      <c r="P23" s="1743">
        <v>58.512942996999996</v>
      </c>
      <c r="Q23" s="1743">
        <v>94.764180410999984</v>
      </c>
      <c r="R23" s="1743">
        <v>128.10634327</v>
      </c>
      <c r="S23" s="1743">
        <v>197.60685792000001</v>
      </c>
      <c r="T23" s="1743">
        <v>250.39538899000004</v>
      </c>
      <c r="U23" s="1743">
        <v>285.34112611</v>
      </c>
      <c r="V23" s="1743">
        <v>337.69950334999999</v>
      </c>
      <c r="W23" s="1743">
        <v>358.28650126999992</v>
      </c>
      <c r="X23" s="1743">
        <v>399.63890601999998</v>
      </c>
      <c r="Y23" s="1744">
        <v>441.50889176999993</v>
      </c>
      <c r="Z23" s="1744">
        <v>494.26213532999998</v>
      </c>
      <c r="AA23" s="1743">
        <v>44.327180800000008</v>
      </c>
      <c r="AB23" s="1743">
        <v>84.450776059999995</v>
      </c>
      <c r="AC23" s="1743">
        <v>129.84870405999999</v>
      </c>
      <c r="AD23" s="1743">
        <v>176.98976954</v>
      </c>
      <c r="AE23" s="1743">
        <v>226.58294259000004</v>
      </c>
      <c r="AF23" s="1743">
        <v>285.05149021999995</v>
      </c>
      <c r="AG23" s="1743">
        <v>343.63621988</v>
      </c>
      <c r="AH23" s="1743">
        <v>406.90834688000001</v>
      </c>
      <c r="AI23" s="1743">
        <v>473.02993075000006</v>
      </c>
      <c r="AJ23" s="1743">
        <v>519.17617273000008</v>
      </c>
      <c r="AK23" s="1743">
        <v>568.43221475000007</v>
      </c>
      <c r="AL23" s="1743">
        <v>626.5959672200031</v>
      </c>
      <c r="AM23" s="1743">
        <v>40.665521470000002</v>
      </c>
      <c r="AN23" s="1743">
        <v>92.628842840000004</v>
      </c>
      <c r="AO23" s="1743">
        <v>141.20081278000001</v>
      </c>
      <c r="AP23" s="1743">
        <v>196.1409524</v>
      </c>
      <c r="AQ23" s="1743">
        <v>256.50914945</v>
      </c>
      <c r="AR23" s="1743">
        <v>328.46858006000002</v>
      </c>
      <c r="AS23" s="1743">
        <v>412.97286919999999</v>
      </c>
      <c r="AT23" s="1743">
        <v>478.39336469</v>
      </c>
      <c r="AU23" s="1743">
        <v>555.52328949000002</v>
      </c>
      <c r="AV23" s="1743">
        <v>617.08152027999995</v>
      </c>
      <c r="AW23" s="1743">
        <v>690.15580420000003</v>
      </c>
      <c r="AX23" s="1743">
        <v>773.66215946</v>
      </c>
      <c r="AY23" s="1743">
        <v>90.264895469999999</v>
      </c>
      <c r="AZ23" s="1743">
        <v>161.96819456</v>
      </c>
      <c r="BA23" s="1745" t="s">
        <v>3711</v>
      </c>
      <c r="BB23" s="1264"/>
      <c r="BC23" s="1263"/>
      <c r="BD23" s="1264"/>
    </row>
    <row r="24" spans="1:58" ht="37.5" customHeight="1">
      <c r="A24" s="1746" t="s">
        <v>2307</v>
      </c>
      <c r="B24" s="1743">
        <v>1205.0047307</v>
      </c>
      <c r="C24" s="1743">
        <v>93.864179759999999</v>
      </c>
      <c r="D24" s="1743">
        <v>193.78675548000001</v>
      </c>
      <c r="E24" s="1743">
        <v>304.61036446000003</v>
      </c>
      <c r="F24" s="1743">
        <v>400.33708194000002</v>
      </c>
      <c r="G24" s="1743">
        <v>476.36899991299998</v>
      </c>
      <c r="H24" s="1743">
        <v>569.25034900000003</v>
      </c>
      <c r="I24" s="1743">
        <v>657.42629749000002</v>
      </c>
      <c r="J24" s="1743">
        <v>752.51954788</v>
      </c>
      <c r="K24" s="1743">
        <v>843.88076945</v>
      </c>
      <c r="L24" s="1743">
        <v>1001.19561645</v>
      </c>
      <c r="M24" s="1743">
        <v>1093.0970190099999</v>
      </c>
      <c r="N24" s="1743">
        <v>1236.5084193800001</v>
      </c>
      <c r="O24" s="1743">
        <v>91.50855507</v>
      </c>
      <c r="P24" s="1743">
        <v>195.03937794999999</v>
      </c>
      <c r="Q24" s="1743">
        <v>301.70303510999997</v>
      </c>
      <c r="R24" s="1743">
        <v>410.91653262</v>
      </c>
      <c r="S24" s="1743">
        <v>524.60471001999997</v>
      </c>
      <c r="T24" s="1743">
        <v>647.20792501000005</v>
      </c>
      <c r="U24" s="1743">
        <v>771.45668995999995</v>
      </c>
      <c r="V24" s="1743">
        <v>916.82324942000002</v>
      </c>
      <c r="W24" s="1743">
        <v>1020.76941966</v>
      </c>
      <c r="X24" s="1743">
        <v>1142.1282048200001</v>
      </c>
      <c r="Y24" s="1744">
        <v>1286.6848744599999</v>
      </c>
      <c r="Z24" s="1744">
        <v>1470.7307884100001</v>
      </c>
      <c r="AA24" s="1743">
        <v>123.38693252</v>
      </c>
      <c r="AB24" s="1743">
        <v>272.37857061</v>
      </c>
      <c r="AC24" s="1743">
        <v>397.76033982000001</v>
      </c>
      <c r="AD24" s="1743">
        <v>546.92157110999995</v>
      </c>
      <c r="AE24" s="1743">
        <v>691.97949572000005</v>
      </c>
      <c r="AF24" s="1743">
        <v>857.816877858</v>
      </c>
      <c r="AG24" s="1743">
        <v>1009.69939694</v>
      </c>
      <c r="AH24" s="1743">
        <v>1183.32035372</v>
      </c>
      <c r="AI24" s="1743">
        <v>1345.10494606</v>
      </c>
      <c r="AJ24" s="1743">
        <v>1495.7351140599999</v>
      </c>
      <c r="AK24" s="1743">
        <v>1672.4158395899999</v>
      </c>
      <c r="AL24" s="1743">
        <v>1885.2014401987999</v>
      </c>
      <c r="AM24" s="1743">
        <v>150.65794267999999</v>
      </c>
      <c r="AN24" s="1743">
        <v>330.43185029</v>
      </c>
      <c r="AO24" s="1743">
        <v>493.08991058999999</v>
      </c>
      <c r="AP24" s="1743">
        <v>668.14647749000005</v>
      </c>
      <c r="AQ24" s="1743">
        <v>860.44429917000002</v>
      </c>
      <c r="AR24" s="1743">
        <v>1060.5913207200001</v>
      </c>
      <c r="AS24" s="1743">
        <v>1271.0127258800001</v>
      </c>
      <c r="AT24" s="1743">
        <v>1484.4651947499999</v>
      </c>
      <c r="AU24" s="1743">
        <v>1674.9537305700001</v>
      </c>
      <c r="AV24" s="1743">
        <v>1858.9993981499999</v>
      </c>
      <c r="AW24" s="1743">
        <v>2072.5774321600002</v>
      </c>
      <c r="AX24" s="1743">
        <v>2335.6930176300002</v>
      </c>
      <c r="AY24" s="1743">
        <v>225.33954061</v>
      </c>
      <c r="AZ24" s="1743">
        <v>427.80804696000001</v>
      </c>
      <c r="BA24" s="1747" t="s">
        <v>3712</v>
      </c>
      <c r="BB24" s="1264"/>
      <c r="BC24" s="1263"/>
      <c r="BD24" s="1264"/>
    </row>
    <row r="25" spans="1:58" ht="37.5" customHeight="1">
      <c r="A25" s="1742" t="s">
        <v>3077</v>
      </c>
      <c r="B25" s="1743">
        <v>237.43996727000001</v>
      </c>
      <c r="C25" s="1743">
        <v>18.25410836</v>
      </c>
      <c r="D25" s="1743">
        <v>38.829479220000003</v>
      </c>
      <c r="E25" s="1743">
        <v>60.393550939999997</v>
      </c>
      <c r="F25" s="1743">
        <v>77.585830459999997</v>
      </c>
      <c r="G25" s="1743">
        <v>94.198738770000006</v>
      </c>
      <c r="H25" s="1743">
        <v>112.20862031</v>
      </c>
      <c r="I25" s="1743">
        <v>131.65729454000001</v>
      </c>
      <c r="J25" s="1743">
        <v>151.78302866999999</v>
      </c>
      <c r="K25" s="1743">
        <v>171.99550185000001</v>
      </c>
      <c r="L25" s="1743">
        <v>192.72367937999999</v>
      </c>
      <c r="M25" s="1743">
        <v>212.72268643000001</v>
      </c>
      <c r="N25" s="1743">
        <v>238.01116367</v>
      </c>
      <c r="O25" s="1743">
        <v>18.065429689999998</v>
      </c>
      <c r="P25" s="1743">
        <v>37.149464979999998</v>
      </c>
      <c r="Q25" s="1743">
        <v>58.571727639999999</v>
      </c>
      <c r="R25" s="1743">
        <v>78.696574279999993</v>
      </c>
      <c r="S25" s="1743">
        <v>101.00260914</v>
      </c>
      <c r="T25" s="1743">
        <v>121.26807291</v>
      </c>
      <c r="U25" s="1743">
        <v>142.05498567000001</v>
      </c>
      <c r="V25" s="1743">
        <v>165.23612021</v>
      </c>
      <c r="W25" s="1743">
        <v>187.68358456999999</v>
      </c>
      <c r="X25" s="1743">
        <v>210.41885551999999</v>
      </c>
      <c r="Y25" s="1744">
        <v>237.42387188000001</v>
      </c>
      <c r="Z25" s="1744">
        <v>264.39299384999998</v>
      </c>
      <c r="AA25" s="1743">
        <v>22.37645861</v>
      </c>
      <c r="AB25" s="1743">
        <v>44.45244632</v>
      </c>
      <c r="AC25" s="1743">
        <v>68.281960699999999</v>
      </c>
      <c r="AD25" s="1743">
        <v>92.748986540000004</v>
      </c>
      <c r="AE25" s="1743">
        <v>116.04332137999999</v>
      </c>
      <c r="AF25" s="1743">
        <v>140.15483115999999</v>
      </c>
      <c r="AG25" s="1743">
        <v>163.31928772000001</v>
      </c>
      <c r="AH25" s="1743">
        <v>191.75112554</v>
      </c>
      <c r="AI25" s="1743">
        <v>217.45383164</v>
      </c>
      <c r="AJ25" s="1743">
        <v>244.99032853</v>
      </c>
      <c r="AK25" s="1743">
        <v>271.03678737000001</v>
      </c>
      <c r="AL25" s="1743">
        <v>303.38572993999998</v>
      </c>
      <c r="AM25" s="1743">
        <v>24.380705800000001</v>
      </c>
      <c r="AN25" s="1743">
        <v>50.696051570000002</v>
      </c>
      <c r="AO25" s="1743">
        <v>77.175199430000006</v>
      </c>
      <c r="AP25" s="1743">
        <v>104.11225202999999</v>
      </c>
      <c r="AQ25" s="1743">
        <v>131.46900825</v>
      </c>
      <c r="AR25" s="1743">
        <v>159.20555485</v>
      </c>
      <c r="AS25" s="1743">
        <v>188.21645985000001</v>
      </c>
      <c r="AT25" s="1743">
        <v>218.34092097999999</v>
      </c>
      <c r="AU25" s="1743">
        <v>246.4704327</v>
      </c>
      <c r="AV25" s="1743">
        <v>272.23801003</v>
      </c>
      <c r="AW25" s="1743">
        <v>301.94605093000001</v>
      </c>
      <c r="AX25" s="1743">
        <v>337.13559880999998</v>
      </c>
      <c r="AY25" s="1743">
        <v>25.757036620000001</v>
      </c>
      <c r="AZ25" s="1743">
        <v>55.383691630000001</v>
      </c>
      <c r="BA25" s="1745" t="s">
        <v>3713</v>
      </c>
      <c r="BB25" s="1264"/>
      <c r="BC25" s="1263"/>
      <c r="BD25" s="1264"/>
    </row>
    <row r="26" spans="1:58" ht="37.5" customHeight="1">
      <c r="A26" s="1742" t="s">
        <v>3078</v>
      </c>
      <c r="B26" s="1743">
        <v>180.65592217</v>
      </c>
      <c r="C26" s="1743">
        <v>16.41282374</v>
      </c>
      <c r="D26" s="1743">
        <v>31.2781281</v>
      </c>
      <c r="E26" s="1743">
        <v>49.986383510000003</v>
      </c>
      <c r="F26" s="1743">
        <v>66.051115449999998</v>
      </c>
      <c r="G26" s="1743">
        <v>74.556124229999995</v>
      </c>
      <c r="H26" s="1743">
        <v>89.523589680000001</v>
      </c>
      <c r="I26" s="1743">
        <v>107.40585101000001</v>
      </c>
      <c r="J26" s="1743">
        <v>121.83489401999999</v>
      </c>
      <c r="K26" s="1743">
        <v>136.85528952999999</v>
      </c>
      <c r="L26" s="1743">
        <v>158.57203118999999</v>
      </c>
      <c r="M26" s="1743">
        <v>172.75164538000001</v>
      </c>
      <c r="N26" s="1743">
        <v>203.56105511000001</v>
      </c>
      <c r="O26" s="1743">
        <v>13.80656228</v>
      </c>
      <c r="P26" s="1743">
        <v>37.01860456</v>
      </c>
      <c r="Q26" s="1743">
        <v>55.394225159999998</v>
      </c>
      <c r="R26" s="1743">
        <v>81.527954820000005</v>
      </c>
      <c r="S26" s="1743">
        <v>102.50523948</v>
      </c>
      <c r="T26" s="1743">
        <v>126.29914362</v>
      </c>
      <c r="U26" s="1743">
        <v>155.51404973000001</v>
      </c>
      <c r="V26" s="1743">
        <v>185.14258104999999</v>
      </c>
      <c r="W26" s="1743">
        <v>211.87817122000001</v>
      </c>
      <c r="X26" s="1743">
        <v>238.52946019999999</v>
      </c>
      <c r="Y26" s="1744">
        <v>275.44589753999998</v>
      </c>
      <c r="Z26" s="1744">
        <v>317.32130560000002</v>
      </c>
      <c r="AA26" s="1743">
        <v>27.550809709999999</v>
      </c>
      <c r="AB26" s="1743">
        <v>68.732866200000004</v>
      </c>
      <c r="AC26" s="1743">
        <v>98.580780070000003</v>
      </c>
      <c r="AD26" s="1743">
        <v>136.39904496</v>
      </c>
      <c r="AE26" s="1743">
        <v>173.84113486000001</v>
      </c>
      <c r="AF26" s="1743">
        <v>207.41865077</v>
      </c>
      <c r="AG26" s="1743">
        <v>247.02888265999999</v>
      </c>
      <c r="AH26" s="1743">
        <v>304.78627571999999</v>
      </c>
      <c r="AI26" s="1743">
        <v>343.22379377999999</v>
      </c>
      <c r="AJ26" s="1743">
        <v>384.19431407000002</v>
      </c>
      <c r="AK26" s="1743">
        <v>433.92067693000001</v>
      </c>
      <c r="AL26" s="1743">
        <v>492.3743508</v>
      </c>
      <c r="AM26" s="1743">
        <v>43.909567369999998</v>
      </c>
      <c r="AN26" s="1743">
        <v>94.038931919999996</v>
      </c>
      <c r="AO26" s="1743">
        <v>142.34057627999999</v>
      </c>
      <c r="AP26" s="1743">
        <v>187.81973020999999</v>
      </c>
      <c r="AQ26" s="1743">
        <v>258.54602397000002</v>
      </c>
      <c r="AR26" s="1743">
        <v>306.86452917999998</v>
      </c>
      <c r="AS26" s="1743">
        <v>369.92214849999999</v>
      </c>
      <c r="AT26" s="1743">
        <v>450.40595736</v>
      </c>
      <c r="AU26" s="1743">
        <v>509.45697987</v>
      </c>
      <c r="AV26" s="1743">
        <v>579.97677693000003</v>
      </c>
      <c r="AW26" s="1743">
        <v>663.92385830000001</v>
      </c>
      <c r="AX26" s="1743">
        <v>736.56952896999996</v>
      </c>
      <c r="AY26" s="1743">
        <v>68.992679429999995</v>
      </c>
      <c r="AZ26" s="1743">
        <v>137.04900047999999</v>
      </c>
      <c r="BA26" s="1745" t="s">
        <v>3714</v>
      </c>
      <c r="BB26" s="1264"/>
      <c r="BC26" s="1263"/>
      <c r="BD26" s="1264"/>
    </row>
    <row r="27" spans="1:58" ht="37.5" customHeight="1">
      <c r="A27" s="1742" t="s">
        <v>3079</v>
      </c>
      <c r="B27" s="1743">
        <v>786.90884125999992</v>
      </c>
      <c r="C27" s="1743">
        <v>59.197247660000002</v>
      </c>
      <c r="D27" s="1743">
        <v>123.67914816000001</v>
      </c>
      <c r="E27" s="1743">
        <v>194.23043000999999</v>
      </c>
      <c r="F27" s="1743">
        <v>256.70013603000001</v>
      </c>
      <c r="G27" s="1743">
        <v>307.61413691299998</v>
      </c>
      <c r="H27" s="1743">
        <v>367.51813901000003</v>
      </c>
      <c r="I27" s="1743">
        <v>418.36315194000002</v>
      </c>
      <c r="J27" s="1743">
        <v>478.90162519</v>
      </c>
      <c r="K27" s="1743">
        <v>535.02997806999997</v>
      </c>
      <c r="L27" s="1743">
        <v>649.89990588000001</v>
      </c>
      <c r="M27" s="1743">
        <v>707.62268719999997</v>
      </c>
      <c r="N27" s="1743">
        <v>794.93620060000001</v>
      </c>
      <c r="O27" s="1743">
        <v>59.636563100000004</v>
      </c>
      <c r="P27" s="1743">
        <v>120.87130841</v>
      </c>
      <c r="Q27" s="1743">
        <v>187.73708231000001</v>
      </c>
      <c r="R27" s="1743">
        <v>250.69200352000001</v>
      </c>
      <c r="S27" s="1743">
        <v>321.09686139999997</v>
      </c>
      <c r="T27" s="1743">
        <v>399.64070848</v>
      </c>
      <c r="U27" s="1743">
        <v>473.88765455999999</v>
      </c>
      <c r="V27" s="1743">
        <v>566.44454815999995</v>
      </c>
      <c r="W27" s="1743">
        <v>621.20766387000003</v>
      </c>
      <c r="X27" s="1743">
        <v>693.17988909999997</v>
      </c>
      <c r="Y27" s="1744">
        <v>773.81510503999993</v>
      </c>
      <c r="Z27" s="1744">
        <v>889.01648896000006</v>
      </c>
      <c r="AA27" s="1743">
        <v>73.459664199999992</v>
      </c>
      <c r="AB27" s="1743">
        <v>159.19325809</v>
      </c>
      <c r="AC27" s="1743">
        <v>230.89759905</v>
      </c>
      <c r="AD27" s="1743">
        <v>317.77353961</v>
      </c>
      <c r="AE27" s="1743">
        <v>402.09503948000003</v>
      </c>
      <c r="AF27" s="1743">
        <v>510.24339592800004</v>
      </c>
      <c r="AG27" s="1743">
        <v>599.35122655999999</v>
      </c>
      <c r="AH27" s="1743">
        <v>686.78295246000005</v>
      </c>
      <c r="AI27" s="1743">
        <v>784.42732063999995</v>
      </c>
      <c r="AJ27" s="1743">
        <v>866.55047146000004</v>
      </c>
      <c r="AK27" s="1743">
        <v>967.45837529000005</v>
      </c>
      <c r="AL27" s="1743">
        <v>1089.4413594588</v>
      </c>
      <c r="AM27" s="1743">
        <v>82.367669509999999</v>
      </c>
      <c r="AN27" s="1743">
        <v>185.69686680000001</v>
      </c>
      <c r="AO27" s="1743">
        <v>273.57413487999997</v>
      </c>
      <c r="AP27" s="1743">
        <v>376.21449525000003</v>
      </c>
      <c r="AQ27" s="1743">
        <v>470.42926695</v>
      </c>
      <c r="AR27" s="1743">
        <v>594.52123669000002</v>
      </c>
      <c r="AS27" s="1743">
        <v>712.87411753000004</v>
      </c>
      <c r="AT27" s="1743">
        <v>815.71831641000006</v>
      </c>
      <c r="AU27" s="1743">
        <v>919.02631799999995</v>
      </c>
      <c r="AV27" s="1743">
        <v>1006.78461119</v>
      </c>
      <c r="AW27" s="1743">
        <v>1106.7075229300001</v>
      </c>
      <c r="AX27" s="1743">
        <v>1261.9878898500001</v>
      </c>
      <c r="AY27" s="1743">
        <v>130.58982456000001</v>
      </c>
      <c r="AZ27" s="1743">
        <v>235.37535485000001</v>
      </c>
      <c r="BA27" s="1745" t="s">
        <v>3715</v>
      </c>
      <c r="BB27" s="1264"/>
      <c r="BC27" s="1263"/>
      <c r="BD27" s="1264"/>
    </row>
    <row r="28" spans="1:58" ht="37.5" customHeight="1">
      <c r="A28" s="1746" t="s">
        <v>3080</v>
      </c>
      <c r="B28" s="1743">
        <v>848.99669826117599</v>
      </c>
      <c r="C28" s="1743">
        <v>71.3768731149828</v>
      </c>
      <c r="D28" s="1743">
        <v>146.23091963774399</v>
      </c>
      <c r="E28" s="1743">
        <v>217.639597506645</v>
      </c>
      <c r="F28" s="1743">
        <v>281.59933267193799</v>
      </c>
      <c r="G28" s="1743">
        <v>360.18692466677697</v>
      </c>
      <c r="H28" s="1743">
        <v>430.68990114047699</v>
      </c>
      <c r="I28" s="1743">
        <v>507.09146054926902</v>
      </c>
      <c r="J28" s="1743">
        <v>574.74264932588005</v>
      </c>
      <c r="K28" s="1743">
        <v>658.92430906658103</v>
      </c>
      <c r="L28" s="1743">
        <v>661.49192580147201</v>
      </c>
      <c r="M28" s="1743">
        <v>742.34224163308102</v>
      </c>
      <c r="N28" s="1743">
        <v>803.66876116457104</v>
      </c>
      <c r="O28" s="1743">
        <v>67.752613365900004</v>
      </c>
      <c r="P28" s="1743">
        <v>136.16916393114499</v>
      </c>
      <c r="Q28" s="1743">
        <v>220.80169489058201</v>
      </c>
      <c r="R28" s="1743">
        <v>301.59527887938998</v>
      </c>
      <c r="S28" s="1743">
        <v>411.187694217623</v>
      </c>
      <c r="T28" s="1743">
        <v>502.54661939426398</v>
      </c>
      <c r="U28" s="1743">
        <v>574.68661908213198</v>
      </c>
      <c r="V28" s="1743">
        <v>643.75870604011698</v>
      </c>
      <c r="W28" s="1743">
        <v>723.81726688296305</v>
      </c>
      <c r="X28" s="1743">
        <v>810.17600259006497</v>
      </c>
      <c r="Y28" s="1744">
        <v>883.92604336826003</v>
      </c>
      <c r="Z28" s="1744">
        <v>942.75546209739605</v>
      </c>
      <c r="AA28" s="1743">
        <v>89.455179902084595</v>
      </c>
      <c r="AB28" s="1743">
        <v>161.80531443906901</v>
      </c>
      <c r="AC28" s="1743">
        <v>275.38603827760602</v>
      </c>
      <c r="AD28" s="1743">
        <v>388.99259472374501</v>
      </c>
      <c r="AE28" s="1743">
        <v>503.651241512902</v>
      </c>
      <c r="AF28" s="1743">
        <v>614.27990571379996</v>
      </c>
      <c r="AG28" s="1743">
        <v>741.43047685251099</v>
      </c>
      <c r="AH28" s="1743">
        <v>849.94703500663104</v>
      </c>
      <c r="AI28" s="1743">
        <v>976.93056394114205</v>
      </c>
      <c r="AJ28" s="1743">
        <v>1116.6680135593899</v>
      </c>
      <c r="AK28" s="1743">
        <v>1239.32272372593</v>
      </c>
      <c r="AL28" s="1743">
        <v>1371.3525451107701</v>
      </c>
      <c r="AM28" s="1743">
        <v>134.53362449858599</v>
      </c>
      <c r="AN28" s="1743">
        <v>250.61330391804501</v>
      </c>
      <c r="AO28" s="1743">
        <v>392.012529978967</v>
      </c>
      <c r="AP28" s="1743">
        <v>512.94071012165602</v>
      </c>
      <c r="AQ28" s="1743">
        <v>644.12918565028804</v>
      </c>
      <c r="AR28" s="1743">
        <v>772.34312188633896</v>
      </c>
      <c r="AS28" s="1743">
        <v>931.392027156106</v>
      </c>
      <c r="AT28" s="1743">
        <v>1064.0004271798</v>
      </c>
      <c r="AU28" s="1743">
        <v>1227.26143056257</v>
      </c>
      <c r="AV28" s="1743">
        <v>1369.5436455157601</v>
      </c>
      <c r="AW28" s="1743">
        <v>1521.1984790967199</v>
      </c>
      <c r="AX28" s="1743">
        <v>1641.2256439704399</v>
      </c>
      <c r="AY28" s="1743">
        <v>143.55266752637499</v>
      </c>
      <c r="AZ28" s="1743">
        <v>298.274281410551</v>
      </c>
      <c r="BA28" s="1747" t="s">
        <v>3716</v>
      </c>
      <c r="BB28" s="1264"/>
      <c r="BC28" s="1263"/>
      <c r="BD28" s="1264"/>
    </row>
    <row r="29" spans="1:58" ht="45.6">
      <c r="A29" s="1746" t="s">
        <v>2313</v>
      </c>
      <c r="B29" s="1743">
        <v>177.34499791117599</v>
      </c>
      <c r="C29" s="1743">
        <v>16.242572235418201</v>
      </c>
      <c r="D29" s="1743">
        <v>30.430880138179099</v>
      </c>
      <c r="E29" s="1743">
        <v>29.697367464352102</v>
      </c>
      <c r="F29" s="1743">
        <v>74.369605122373301</v>
      </c>
      <c r="G29" s="1743">
        <v>-19.951893959787899</v>
      </c>
      <c r="H29" s="1743">
        <v>-21.824867169087099</v>
      </c>
      <c r="I29" s="1743">
        <v>-16.176723660731199</v>
      </c>
      <c r="J29" s="1743">
        <v>30.263432035880001</v>
      </c>
      <c r="K29" s="1743">
        <v>24.067968296581601</v>
      </c>
      <c r="L29" s="1743">
        <v>49.217731341471598</v>
      </c>
      <c r="M29" s="1743">
        <v>48.4831851530816</v>
      </c>
      <c r="N29" s="1743">
        <v>70.973846814571004</v>
      </c>
      <c r="O29" s="1743">
        <v>33.334368355899997</v>
      </c>
      <c r="P29" s="1743">
        <v>46.894571211144502</v>
      </c>
      <c r="Q29" s="1743">
        <v>38.989450090581997</v>
      </c>
      <c r="R29" s="1743">
        <v>63.600950559389901</v>
      </c>
      <c r="S29" s="1743">
        <v>87.514921667623497</v>
      </c>
      <c r="T29" s="1743">
        <v>73.616707304263997</v>
      </c>
      <c r="U29" s="1743">
        <v>94.019531012131296</v>
      </c>
      <c r="V29" s="1743">
        <v>107.398332560117</v>
      </c>
      <c r="W29" s="1743">
        <v>125.00757962296299</v>
      </c>
      <c r="X29" s="1743">
        <v>130.89559369989499</v>
      </c>
      <c r="Y29" s="1744">
        <v>149.14367176825999</v>
      </c>
      <c r="Z29" s="1744">
        <v>168.90138739739601</v>
      </c>
      <c r="AA29" s="1743">
        <v>16.8359898320846</v>
      </c>
      <c r="AB29" s="1743">
        <v>24.6412677190688</v>
      </c>
      <c r="AC29" s="1743">
        <v>59.896751617606299</v>
      </c>
      <c r="AD29" s="1743">
        <v>83.770097413744594</v>
      </c>
      <c r="AE29" s="1743">
        <v>98.944505992902194</v>
      </c>
      <c r="AF29" s="1743">
        <v>124.68711521371</v>
      </c>
      <c r="AG29" s="1743">
        <v>134.321765392511</v>
      </c>
      <c r="AH29" s="1743">
        <v>124.374670816631</v>
      </c>
      <c r="AI29" s="1743">
        <v>136.30783473744501</v>
      </c>
      <c r="AJ29" s="1743">
        <v>168.326829449391</v>
      </c>
      <c r="AK29" s="1743">
        <v>183.01486318592899</v>
      </c>
      <c r="AL29" s="1743">
        <v>195.528384595566</v>
      </c>
      <c r="AM29" s="1743">
        <v>21.471067398585799</v>
      </c>
      <c r="AN29" s="1743">
        <v>50.572409228044599</v>
      </c>
      <c r="AO29" s="1743">
        <v>55.859081218966601</v>
      </c>
      <c r="AP29" s="1743">
        <v>79.113892295696502</v>
      </c>
      <c r="AQ29" s="1743">
        <v>101.306077912788</v>
      </c>
      <c r="AR29" s="1743">
        <v>78.895459915338506</v>
      </c>
      <c r="AS29" s="1743">
        <v>113.13687968424701</v>
      </c>
      <c r="AT29" s="1743">
        <v>152.962724616543</v>
      </c>
      <c r="AU29" s="1743">
        <v>180.62487707704301</v>
      </c>
      <c r="AV29" s="1743">
        <v>226.10931857558199</v>
      </c>
      <c r="AW29" s="1743">
        <v>271.83653743052002</v>
      </c>
      <c r="AX29" s="1743">
        <v>259.34369627306899</v>
      </c>
      <c r="AY29" s="1743">
        <v>21.892886624868002</v>
      </c>
      <c r="AZ29" s="1743">
        <v>41.922403240551397</v>
      </c>
      <c r="BA29" s="1747" t="s">
        <v>3717</v>
      </c>
      <c r="BB29" s="1264"/>
      <c r="BC29" s="1263"/>
      <c r="BD29" s="1264"/>
    </row>
    <row r="30" spans="1:58" ht="37.5" customHeight="1">
      <c r="A30" s="1746" t="s">
        <v>2306</v>
      </c>
      <c r="B30" s="1743">
        <v>21.3236887891</v>
      </c>
      <c r="C30" s="1743">
        <v>2.5629899999999998E-3</v>
      </c>
      <c r="D30" s="1743">
        <v>-2.0076600000000001E-3</v>
      </c>
      <c r="E30" s="1743">
        <v>-1.318164E-2</v>
      </c>
      <c r="F30" s="1743">
        <v>-1.369164E-2</v>
      </c>
      <c r="G30" s="1743">
        <v>7.3081400000000003E-3</v>
      </c>
      <c r="H30" s="1743">
        <v>7.8834849999999998E-2</v>
      </c>
      <c r="I30" s="1743">
        <v>0.13244167000000001</v>
      </c>
      <c r="J30" s="1743">
        <v>0.14898167000000001</v>
      </c>
      <c r="K30" s="1743">
        <v>0.14809367000000001</v>
      </c>
      <c r="L30" s="1743">
        <v>0.33169419</v>
      </c>
      <c r="M30" s="1743">
        <v>0.34329819</v>
      </c>
      <c r="N30" s="1743">
        <v>0.62938432</v>
      </c>
      <c r="O30" s="1743">
        <v>-4.7499999999999999E-3</v>
      </c>
      <c r="P30" s="1743">
        <v>2.3E-3</v>
      </c>
      <c r="Q30" s="1743">
        <v>-0.89840078000000001</v>
      </c>
      <c r="R30" s="1743">
        <v>7.9673740000000007E-2</v>
      </c>
      <c r="S30" s="1743">
        <v>0.141148</v>
      </c>
      <c r="T30" s="1743">
        <v>0.141568</v>
      </c>
      <c r="U30" s="1743">
        <v>0.109539</v>
      </c>
      <c r="V30" s="1743">
        <v>0.71880500000000003</v>
      </c>
      <c r="W30" s="1743">
        <v>0.57383499999999998</v>
      </c>
      <c r="X30" s="1743">
        <v>0.55928900000000004</v>
      </c>
      <c r="Y30" s="1744">
        <v>0.88912800000000003</v>
      </c>
      <c r="Z30" s="1744">
        <v>0.75910639999999996</v>
      </c>
      <c r="AA30" s="1743">
        <v>7.9399999999999991E-3</v>
      </c>
      <c r="AB30" s="1743">
        <v>5.2060000000000002E-2</v>
      </c>
      <c r="AC30" s="1743">
        <v>7.3649999999999993E-2</v>
      </c>
      <c r="AD30" s="1743">
        <v>-4.0758950000000002E-2</v>
      </c>
      <c r="AE30" s="1743">
        <v>-4.1524949999999998E-2</v>
      </c>
      <c r="AF30" s="1743">
        <v>-0.44082094999999999</v>
      </c>
      <c r="AG30" s="1743">
        <v>-0.41664095000000001</v>
      </c>
      <c r="AH30" s="1743">
        <v>-0.41060485000000002</v>
      </c>
      <c r="AI30" s="1743">
        <v>-0.48273885</v>
      </c>
      <c r="AJ30" s="1743">
        <v>-0.46676885000000001</v>
      </c>
      <c r="AK30" s="1743">
        <v>-0.30323885</v>
      </c>
      <c r="AL30" s="1743">
        <v>0.13809104999999999</v>
      </c>
      <c r="AM30" s="1743">
        <v>-7.2609999999999994E-2</v>
      </c>
      <c r="AN30" s="1743">
        <v>-4.777E-2</v>
      </c>
      <c r="AO30" s="1743">
        <v>8.9349999999999999E-2</v>
      </c>
      <c r="AP30" s="1743">
        <v>0.28335199999999999</v>
      </c>
      <c r="AQ30" s="1743">
        <v>0.36943793000000003</v>
      </c>
      <c r="AR30" s="1743">
        <v>1.12921793</v>
      </c>
      <c r="AS30" s="1743">
        <v>0.42236611000000002</v>
      </c>
      <c r="AT30" s="1743">
        <v>0.56522311000000003</v>
      </c>
      <c r="AU30" s="1743">
        <v>0.93518270999999997</v>
      </c>
      <c r="AV30" s="1743">
        <v>2.61077285</v>
      </c>
      <c r="AW30" s="1743">
        <v>2.6354948500000002</v>
      </c>
      <c r="AX30" s="1743">
        <v>2.7122951099999999</v>
      </c>
      <c r="AY30" s="1743">
        <v>-0.12204022</v>
      </c>
      <c r="AZ30" s="1743">
        <v>1.6371337800000001</v>
      </c>
      <c r="BA30" s="1747" t="s">
        <v>3718</v>
      </c>
      <c r="BB30" s="1264"/>
      <c r="BC30" s="1263"/>
      <c r="BD30" s="1264"/>
    </row>
    <row r="31" spans="1:58" ht="37.5" customHeight="1">
      <c r="A31" s="1746" t="s">
        <v>3081</v>
      </c>
      <c r="B31" s="1743">
        <v>692.9753891391</v>
      </c>
      <c r="C31" s="1743">
        <v>55.1368638695646</v>
      </c>
      <c r="D31" s="1743">
        <v>115.798031839565</v>
      </c>
      <c r="E31" s="1743">
        <v>187.92904840229301</v>
      </c>
      <c r="F31" s="1743">
        <v>207.21603590956499</v>
      </c>
      <c r="G31" s="1743">
        <v>380.14612676656498</v>
      </c>
      <c r="H31" s="1743">
        <v>452.59360315956502</v>
      </c>
      <c r="I31" s="1743">
        <v>523.40062588000001</v>
      </c>
      <c r="J31" s="1743">
        <v>544.62819895999996</v>
      </c>
      <c r="K31" s="1743">
        <v>635.00443443999995</v>
      </c>
      <c r="L31" s="1743">
        <v>612.60588865</v>
      </c>
      <c r="M31" s="1743">
        <v>694.20235466999998</v>
      </c>
      <c r="N31" s="1743">
        <v>733.32429866999996</v>
      </c>
      <c r="O31" s="1743">
        <v>34.413495009999998</v>
      </c>
      <c r="P31" s="1743">
        <v>89.276892720000006</v>
      </c>
      <c r="Q31" s="1743">
        <v>180.91384402</v>
      </c>
      <c r="R31" s="1743">
        <v>238.07400206</v>
      </c>
      <c r="S31" s="1743">
        <v>323.81392054999998</v>
      </c>
      <c r="T31" s="1743">
        <v>429.07148009000002</v>
      </c>
      <c r="U31" s="1743">
        <v>480.77662707000002</v>
      </c>
      <c r="V31" s="1743">
        <v>537.07917848</v>
      </c>
      <c r="W31" s="1743">
        <v>599.38352225999995</v>
      </c>
      <c r="X31" s="1743">
        <v>679.83969789016999</v>
      </c>
      <c r="Y31" s="1744">
        <v>735.67149959999995</v>
      </c>
      <c r="Z31" s="1744">
        <v>774.61318110000002</v>
      </c>
      <c r="AA31" s="1743">
        <v>72.627130070000007</v>
      </c>
      <c r="AB31" s="1743">
        <v>137.21610672</v>
      </c>
      <c r="AC31" s="1743">
        <v>215.56293665999999</v>
      </c>
      <c r="AD31" s="1743">
        <v>305.18173836</v>
      </c>
      <c r="AE31" s="1743">
        <v>404.66521057</v>
      </c>
      <c r="AF31" s="1743">
        <v>489.15196955008997</v>
      </c>
      <c r="AG31" s="1743">
        <v>606.69207051000001</v>
      </c>
      <c r="AH31" s="1743">
        <v>725.16175934</v>
      </c>
      <c r="AI31" s="1743">
        <v>840.13999035369704</v>
      </c>
      <c r="AJ31" s="1743">
        <v>947.87441525999998</v>
      </c>
      <c r="AK31" s="1743">
        <v>1056.00462169</v>
      </c>
      <c r="AL31" s="1743">
        <v>1175.96225156521</v>
      </c>
      <c r="AM31" s="1743">
        <v>112.98994709999999</v>
      </c>
      <c r="AN31" s="1743">
        <v>199.99312469</v>
      </c>
      <c r="AO31" s="1743">
        <v>336.24279876000003</v>
      </c>
      <c r="AP31" s="1743">
        <v>434.11016982595902</v>
      </c>
      <c r="AQ31" s="1743">
        <v>543.19254566749999</v>
      </c>
      <c r="AR31" s="1743">
        <v>694.57687990099998</v>
      </c>
      <c r="AS31" s="1743">
        <v>818.67751358185899</v>
      </c>
      <c r="AT31" s="1743">
        <v>911.60292567326201</v>
      </c>
      <c r="AU31" s="1743">
        <v>1047.5717361955301</v>
      </c>
      <c r="AV31" s="1743">
        <v>1146.0450997901701</v>
      </c>
      <c r="AW31" s="1743">
        <v>1251.9974365162</v>
      </c>
      <c r="AX31" s="1743">
        <v>1384.5942428073699</v>
      </c>
      <c r="AY31" s="1743">
        <v>121.537740681507</v>
      </c>
      <c r="AZ31" s="1743">
        <v>257.98901195000002</v>
      </c>
      <c r="BA31" s="1747" t="s">
        <v>3719</v>
      </c>
      <c r="BB31" s="1264"/>
      <c r="BC31" s="1263"/>
      <c r="BD31" s="1264"/>
    </row>
    <row r="32" spans="1:58" ht="37.5" customHeight="1">
      <c r="A32" s="1746" t="s">
        <v>2305</v>
      </c>
      <c r="B32" s="1743">
        <v>156.04059493928199</v>
      </c>
      <c r="C32" s="1743">
        <v>5.7093485580000003</v>
      </c>
      <c r="D32" s="1743">
        <v>17.893637861799998</v>
      </c>
      <c r="E32" s="1743">
        <v>24.967664163799899</v>
      </c>
      <c r="F32" s="1743">
        <v>51.089239383799999</v>
      </c>
      <c r="G32" s="1743">
        <v>65.69319883</v>
      </c>
      <c r="H32" s="1743">
        <v>80.943094384000005</v>
      </c>
      <c r="I32" s="1743">
        <v>95.276950020000001</v>
      </c>
      <c r="J32" s="1743">
        <v>106.969110138272</v>
      </c>
      <c r="K32" s="1743">
        <v>122.197403035414</v>
      </c>
      <c r="L32" s="1743">
        <v>134.61685801269101</v>
      </c>
      <c r="M32" s="1743">
        <v>146.08238875269799</v>
      </c>
      <c r="N32" s="1743">
        <v>165.51335235793999</v>
      </c>
      <c r="O32" s="1743">
        <v>8.9811244299999995</v>
      </c>
      <c r="P32" s="1743">
        <v>16.221602445999601</v>
      </c>
      <c r="Q32" s="1743">
        <v>32.145205439999998</v>
      </c>
      <c r="R32" s="1743">
        <v>43.406834699999997</v>
      </c>
      <c r="S32" s="1743">
        <v>50.5974801759996</v>
      </c>
      <c r="T32" s="1743">
        <v>62.754082292999797</v>
      </c>
      <c r="U32" s="1743">
        <v>71.908650949999995</v>
      </c>
      <c r="V32" s="1743">
        <v>81.902188005599797</v>
      </c>
      <c r="W32" s="1743">
        <v>93.757336800000004</v>
      </c>
      <c r="X32" s="1743">
        <v>109.75815436000001</v>
      </c>
      <c r="Y32" s="1744">
        <v>121.55951423</v>
      </c>
      <c r="Z32" s="1744">
        <v>165.63430950424899</v>
      </c>
      <c r="AA32" s="1743">
        <v>14.014161339999999</v>
      </c>
      <c r="AB32" s="1743">
        <v>29.487833139999999</v>
      </c>
      <c r="AC32" s="1743">
        <v>41.623565229279997</v>
      </c>
      <c r="AD32" s="1743">
        <v>57.065285788599901</v>
      </c>
      <c r="AE32" s="1743">
        <v>73.126903389999995</v>
      </c>
      <c r="AF32" s="1743">
        <v>88.320747921767904</v>
      </c>
      <c r="AG32" s="1743">
        <v>114.13200504</v>
      </c>
      <c r="AH32" s="1743">
        <v>135.7587704</v>
      </c>
      <c r="AI32" s="1743">
        <v>156.95243816000001</v>
      </c>
      <c r="AJ32" s="1743">
        <v>177.99964438999999</v>
      </c>
      <c r="AK32" s="1743">
        <v>196.62167792</v>
      </c>
      <c r="AL32" s="1743">
        <v>261.48940542857201</v>
      </c>
      <c r="AM32" s="1743">
        <v>22.724642800000002</v>
      </c>
      <c r="AN32" s="1743">
        <v>44.247696339999997</v>
      </c>
      <c r="AO32" s="1743">
        <v>68.379251339999996</v>
      </c>
      <c r="AP32" s="1743">
        <v>88.916096640000006</v>
      </c>
      <c r="AQ32" s="1743">
        <v>106.095774140345</v>
      </c>
      <c r="AR32" s="1743">
        <v>131.26798825</v>
      </c>
      <c r="AS32" s="1743">
        <v>163.38384014129599</v>
      </c>
      <c r="AT32" s="1743">
        <v>187.42952873999999</v>
      </c>
      <c r="AU32" s="1743">
        <v>214.72093387000001</v>
      </c>
      <c r="AV32" s="1743">
        <v>237.84263820999999</v>
      </c>
      <c r="AW32" s="1743">
        <v>254.55454438000001</v>
      </c>
      <c r="AX32" s="1743">
        <v>308.17390952737298</v>
      </c>
      <c r="AY32" s="1743">
        <v>21.888439241510799</v>
      </c>
      <c r="AZ32" s="1743">
        <v>48.14531719</v>
      </c>
      <c r="BA32" s="1747" t="s">
        <v>3720</v>
      </c>
      <c r="BB32" s="1264"/>
      <c r="BC32" s="1263"/>
      <c r="BD32" s="1264"/>
      <c r="BE32" s="1266"/>
    </row>
    <row r="33" spans="1:56" ht="37.5" customHeight="1" thickBot="1">
      <c r="A33" s="1752" t="s">
        <v>2304</v>
      </c>
      <c r="B33" s="1753">
        <v>536.93479419981895</v>
      </c>
      <c r="C33" s="1753">
        <v>49.427515311564598</v>
      </c>
      <c r="D33" s="1753">
        <v>97.904393977764599</v>
      </c>
      <c r="E33" s="1753">
        <v>162.961384238493</v>
      </c>
      <c r="F33" s="1753">
        <v>156.126796525765</v>
      </c>
      <c r="G33" s="1753">
        <v>314.452927936565</v>
      </c>
      <c r="H33" s="1753">
        <v>371.65050877556502</v>
      </c>
      <c r="I33" s="1753">
        <v>428.12367585999999</v>
      </c>
      <c r="J33" s="1753">
        <v>437.65908882172801</v>
      </c>
      <c r="K33" s="1753">
        <v>512.80703140458502</v>
      </c>
      <c r="L33" s="1753">
        <v>477.98903063730899</v>
      </c>
      <c r="M33" s="1753">
        <v>548.11996591730201</v>
      </c>
      <c r="N33" s="1753">
        <v>567.81094631205997</v>
      </c>
      <c r="O33" s="1753">
        <v>25.432370580000001</v>
      </c>
      <c r="P33" s="1753">
        <v>73.055290274000399</v>
      </c>
      <c r="Q33" s="1753">
        <v>148.76863857999999</v>
      </c>
      <c r="R33" s="1753">
        <v>194.66716736000001</v>
      </c>
      <c r="S33" s="1753">
        <v>273.216440374</v>
      </c>
      <c r="T33" s="1753">
        <v>366.31739779700001</v>
      </c>
      <c r="U33" s="1753">
        <v>408.86797611999998</v>
      </c>
      <c r="V33" s="1753">
        <v>455.17699047439999</v>
      </c>
      <c r="W33" s="1753">
        <v>505.62618545999999</v>
      </c>
      <c r="X33" s="1753">
        <v>570.08154353017005</v>
      </c>
      <c r="Y33" s="1754">
        <v>614.11198536999996</v>
      </c>
      <c r="Z33" s="1754">
        <v>608.978871595751</v>
      </c>
      <c r="AA33" s="1753">
        <v>58.612968729999999</v>
      </c>
      <c r="AB33" s="1753">
        <v>107.72827358000001</v>
      </c>
      <c r="AC33" s="1753">
        <v>173.93937143072</v>
      </c>
      <c r="AD33" s="1753">
        <v>248.1164525714</v>
      </c>
      <c r="AE33" s="1753">
        <v>331.53830718</v>
      </c>
      <c r="AF33" s="1753">
        <v>400.831221628322</v>
      </c>
      <c r="AG33" s="1753">
        <v>492.56006546999998</v>
      </c>
      <c r="AH33" s="1753">
        <v>589.40298894</v>
      </c>
      <c r="AI33" s="1753">
        <v>683.187552193697</v>
      </c>
      <c r="AJ33" s="1753">
        <v>769.87477087000002</v>
      </c>
      <c r="AK33" s="1753">
        <v>859.38294377</v>
      </c>
      <c r="AL33" s="1753">
        <v>914.47284613663396</v>
      </c>
      <c r="AM33" s="1753">
        <v>90.265304299999997</v>
      </c>
      <c r="AN33" s="1753">
        <v>155.74542835</v>
      </c>
      <c r="AO33" s="1754">
        <v>267.86354741999997</v>
      </c>
      <c r="AP33" s="1754">
        <v>345.19407318596001</v>
      </c>
      <c r="AQ33" s="1754">
        <v>437.096771527155</v>
      </c>
      <c r="AR33" s="1754">
        <v>563.30889165099995</v>
      </c>
      <c r="AS33" s="1754">
        <v>655.293673440563</v>
      </c>
      <c r="AT33" s="1754">
        <v>724.17339693326198</v>
      </c>
      <c r="AU33" s="1754">
        <v>832.85080232553003</v>
      </c>
      <c r="AV33" s="1754">
        <v>908.20246158017403</v>
      </c>
      <c r="AW33" s="1754">
        <v>997.44289213619595</v>
      </c>
      <c r="AX33" s="1754">
        <v>1076.42033328</v>
      </c>
      <c r="AY33" s="1754">
        <v>99.649301439996194</v>
      </c>
      <c r="AZ33" s="1754">
        <v>209.84369476000001</v>
      </c>
      <c r="BA33" s="1755" t="s">
        <v>3721</v>
      </c>
      <c r="BB33" s="1264"/>
      <c r="BC33" s="1263"/>
      <c r="BD33" s="1264"/>
    </row>
    <row r="34" spans="1:56" s="1559" customFormat="1" ht="30" customHeight="1" thickTop="1">
      <c r="A34" s="1561" t="s">
        <v>3356</v>
      </c>
      <c r="B34" s="1558"/>
      <c r="C34" s="1558"/>
      <c r="D34" s="1558"/>
      <c r="E34" s="1558"/>
      <c r="F34" s="1558"/>
      <c r="G34" s="1558"/>
      <c r="H34" s="1558"/>
      <c r="I34" s="1558"/>
      <c r="J34" s="1558"/>
      <c r="K34" s="1558"/>
      <c r="L34" s="1558"/>
      <c r="M34" s="1558"/>
      <c r="N34" s="1558"/>
      <c r="O34" s="1558"/>
      <c r="P34" s="1558"/>
      <c r="Q34" s="1558"/>
      <c r="R34" s="1558"/>
      <c r="S34" s="1558"/>
      <c r="T34" s="1558"/>
      <c r="U34" s="1558"/>
      <c r="V34" s="1558"/>
      <c r="W34" s="1558"/>
      <c r="X34" s="1558"/>
      <c r="Y34" s="1558"/>
      <c r="Z34" s="1558"/>
      <c r="AA34" s="1558"/>
      <c r="AB34" s="1558"/>
      <c r="AC34" s="1558"/>
      <c r="AD34" s="1558"/>
      <c r="AE34" s="1558"/>
      <c r="AF34" s="1558"/>
      <c r="AG34" s="1558"/>
      <c r="AH34" s="1558"/>
      <c r="AI34" s="1558"/>
      <c r="AJ34" s="1558"/>
      <c r="AK34" s="1558"/>
    </row>
  </sheetData>
  <mergeCells count="3">
    <mergeCell ref="AI5:BA5"/>
    <mergeCell ref="A2:BA2"/>
    <mergeCell ref="A3:BA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D21"/>
  <sheetViews>
    <sheetView showGridLines="0" view="pageBreakPreview" zoomScale="70" zoomScaleNormal="90" zoomScaleSheetLayoutView="70" workbookViewId="0">
      <pane xSplit="1" topLeftCell="B1" activePane="topRight" state="frozen"/>
      <selection activeCell="H31" sqref="H31"/>
      <selection pane="topRight" activeCell="H31" sqref="H31"/>
    </sheetView>
  </sheetViews>
  <sheetFormatPr defaultColWidth="9.109375" defaultRowHeight="17.399999999999999"/>
  <cols>
    <col min="1" max="1" width="47.6640625" style="1267" customWidth="1"/>
    <col min="2" max="2" width="16.88671875" style="1080" customWidth="1"/>
    <col min="3" max="11" width="18.109375" style="1080" hidden="1" customWidth="1"/>
    <col min="12" max="13" width="16.88671875" style="1080" hidden="1" customWidth="1"/>
    <col min="14" max="14" width="16.88671875" style="1080" customWidth="1"/>
    <col min="15" max="25" width="16.88671875" style="1080" hidden="1" customWidth="1"/>
    <col min="26" max="26" width="16.88671875" style="1080" bestFit="1" customWidth="1"/>
    <col min="27" max="37" width="16.88671875" style="1080" hidden="1" customWidth="1"/>
    <col min="38" max="38" width="16.88671875" style="1080" bestFit="1" customWidth="1"/>
    <col min="39" max="40" width="16.88671875" style="1080" hidden="1" customWidth="1"/>
    <col min="41" max="41" width="16.88671875" style="1080" bestFit="1" customWidth="1"/>
    <col min="42" max="43" width="16.88671875" style="1080" hidden="1" customWidth="1"/>
    <col min="44" max="44" width="16.88671875" style="1080" customWidth="1"/>
    <col min="45" max="46" width="16.88671875" style="1080" hidden="1" customWidth="1"/>
    <col min="47" max="47" width="16.88671875" style="1080" customWidth="1"/>
    <col min="48" max="49" width="16.88671875" style="1080" hidden="1" customWidth="1"/>
    <col min="50" max="51" width="16.88671875" style="1080" customWidth="1"/>
    <col min="52" max="52" width="16.88671875" style="1080" bestFit="1" customWidth="1"/>
    <col min="53" max="53" width="34.33203125" style="1080" customWidth="1"/>
    <col min="54" max="54" width="19.88671875" style="1080" customWidth="1"/>
    <col min="55" max="55" width="9.109375" style="1222"/>
    <col min="56" max="16384" width="9.109375" style="1080"/>
  </cols>
  <sheetData>
    <row r="1" spans="1:56" ht="6" customHeight="1">
      <c r="M1" s="1268"/>
    </row>
    <row r="2" spans="1:56" s="1081" customFormat="1" ht="30.6" customHeight="1">
      <c r="A2" s="2818" t="s">
        <v>2575</v>
      </c>
      <c r="B2" s="2818"/>
      <c r="C2" s="2818"/>
      <c r="D2" s="2818"/>
      <c r="E2" s="2818"/>
      <c r="F2" s="2818"/>
      <c r="G2" s="2818"/>
      <c r="H2" s="2818"/>
      <c r="I2" s="2818"/>
      <c r="J2" s="2818"/>
      <c r="K2" s="2818"/>
      <c r="L2" s="2818"/>
      <c r="M2" s="2818"/>
      <c r="N2" s="2818"/>
      <c r="O2" s="2818"/>
      <c r="P2" s="2818"/>
      <c r="Q2" s="2818"/>
      <c r="R2" s="2818"/>
      <c r="S2" s="2818"/>
      <c r="T2" s="2818"/>
      <c r="U2" s="2818"/>
      <c r="V2" s="2818"/>
      <c r="W2" s="2818"/>
      <c r="X2" s="2818"/>
      <c r="Y2" s="2818"/>
      <c r="Z2" s="2818"/>
      <c r="AA2" s="2818"/>
      <c r="AB2" s="2818"/>
      <c r="AC2" s="2818"/>
      <c r="AD2" s="2818"/>
      <c r="AE2" s="2818"/>
      <c r="AF2" s="2818"/>
      <c r="AG2" s="2818"/>
      <c r="AH2" s="2818"/>
      <c r="AI2" s="2818"/>
      <c r="AJ2" s="2818"/>
      <c r="AK2" s="2818"/>
      <c r="AL2" s="2818"/>
      <c r="AM2" s="2818"/>
      <c r="AN2" s="2818"/>
      <c r="AO2" s="2818"/>
      <c r="AP2" s="2818"/>
      <c r="AQ2" s="2818"/>
      <c r="AR2" s="2818"/>
      <c r="AS2" s="2818"/>
      <c r="AT2" s="2818"/>
      <c r="AU2" s="2818"/>
      <c r="AV2" s="2818"/>
      <c r="AW2" s="2818"/>
      <c r="AX2" s="2818"/>
      <c r="AY2" s="2818"/>
      <c r="AZ2" s="2818"/>
      <c r="BA2" s="2818"/>
      <c r="BC2" s="1269"/>
    </row>
    <row r="3" spans="1:56" s="1081" customFormat="1" ht="44.25" customHeight="1">
      <c r="A3" s="2819" t="s">
        <v>3362</v>
      </c>
      <c r="B3" s="2819"/>
      <c r="C3" s="2819"/>
      <c r="D3" s="2819"/>
      <c r="E3" s="2819"/>
      <c r="F3" s="2819"/>
      <c r="G3" s="2819"/>
      <c r="H3" s="2819"/>
      <c r="I3" s="2819"/>
      <c r="J3" s="2819"/>
      <c r="K3" s="2819"/>
      <c r="L3" s="2819"/>
      <c r="M3" s="2819"/>
      <c r="N3" s="2819"/>
      <c r="O3" s="2819"/>
      <c r="P3" s="2819"/>
      <c r="Q3" s="2819"/>
      <c r="R3" s="2819"/>
      <c r="S3" s="2819"/>
      <c r="T3" s="2819"/>
      <c r="U3" s="2819"/>
      <c r="V3" s="2819"/>
      <c r="W3" s="2819"/>
      <c r="X3" s="2819"/>
      <c r="Y3" s="2819"/>
      <c r="Z3" s="2819"/>
      <c r="AA3" s="2819"/>
      <c r="AB3" s="2819"/>
      <c r="AC3" s="2819"/>
      <c r="AD3" s="2819"/>
      <c r="AE3" s="2819"/>
      <c r="AF3" s="2819"/>
      <c r="AG3" s="2819"/>
      <c r="AH3" s="2819"/>
      <c r="AI3" s="2819"/>
      <c r="AJ3" s="2819"/>
      <c r="AK3" s="2819"/>
      <c r="AL3" s="2819"/>
      <c r="AM3" s="2819"/>
      <c r="AN3" s="2819"/>
      <c r="AO3" s="2819"/>
      <c r="AP3" s="2819"/>
      <c r="AQ3" s="2819"/>
      <c r="AR3" s="2819"/>
      <c r="AS3" s="2819"/>
      <c r="AT3" s="2819"/>
      <c r="AU3" s="2819"/>
      <c r="AV3" s="2819"/>
      <c r="AW3" s="2819"/>
      <c r="AX3" s="2819"/>
      <c r="AY3" s="2819"/>
      <c r="AZ3" s="2819"/>
      <c r="BA3" s="2819"/>
      <c r="BC3" s="1269"/>
    </row>
    <row r="4" spans="1:56" s="1081" customFormat="1" ht="20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C4" s="1269"/>
    </row>
    <row r="5" spans="1:56" s="1081" customFormat="1" ht="20.25" customHeight="1" thickBot="1">
      <c r="A5" s="2820" t="s">
        <v>8</v>
      </c>
      <c r="B5" s="2820"/>
      <c r="C5" s="2820"/>
      <c r="D5" s="2820"/>
      <c r="E5" s="2820"/>
      <c r="F5" s="2820"/>
      <c r="G5" s="2820"/>
      <c r="H5" s="2820"/>
      <c r="I5" s="2820"/>
      <c r="J5" s="2820"/>
      <c r="K5" s="2820"/>
      <c r="L5" s="2820"/>
      <c r="M5" s="2820"/>
      <c r="N5" s="2820"/>
      <c r="O5" s="2820"/>
      <c r="P5" s="2820"/>
      <c r="Q5" s="2820"/>
      <c r="R5" s="2820"/>
      <c r="S5" s="2820"/>
      <c r="T5" s="2820"/>
      <c r="U5" s="2820"/>
      <c r="V5" s="2820"/>
      <c r="W5" s="2820"/>
      <c r="X5" s="2820"/>
      <c r="Y5" s="2820"/>
      <c r="Z5" s="2820"/>
      <c r="AA5" s="2820"/>
      <c r="AB5" s="2820"/>
      <c r="AC5" s="2820"/>
      <c r="AD5" s="2820"/>
      <c r="AE5" s="2820"/>
      <c r="AF5" s="2820"/>
      <c r="AG5" s="2820"/>
      <c r="AH5" s="2820"/>
      <c r="AI5" s="2820"/>
      <c r="AJ5" s="2820"/>
      <c r="AK5" s="2820"/>
      <c r="AL5" s="2820"/>
      <c r="AM5" s="2820"/>
      <c r="AN5" s="2820"/>
      <c r="AO5" s="2820"/>
      <c r="AP5" s="2820"/>
      <c r="AQ5" s="2820"/>
      <c r="AR5" s="2820"/>
      <c r="AS5" s="2820"/>
      <c r="AT5" s="2820"/>
      <c r="AU5" s="2820"/>
      <c r="AV5" s="2820"/>
      <c r="AW5" s="2820"/>
      <c r="AX5" s="2820"/>
      <c r="AY5" s="2820"/>
      <c r="AZ5" s="2820"/>
      <c r="BA5" s="2820"/>
      <c r="BC5" s="1269"/>
    </row>
    <row r="6" spans="1:56" ht="49.5" customHeight="1" thickBot="1">
      <c r="A6" s="1271" t="s">
        <v>2571</v>
      </c>
      <c r="B6" s="1272">
        <v>43830</v>
      </c>
      <c r="C6" s="1170">
        <v>43861</v>
      </c>
      <c r="D6" s="1170">
        <v>43890</v>
      </c>
      <c r="E6" s="1170">
        <v>43921</v>
      </c>
      <c r="F6" s="1170" t="s">
        <v>2626</v>
      </c>
      <c r="G6" s="1170" t="s">
        <v>2636</v>
      </c>
      <c r="H6" s="1170">
        <v>44012</v>
      </c>
      <c r="I6" s="1170">
        <v>44043</v>
      </c>
      <c r="J6" s="1170">
        <v>44074</v>
      </c>
      <c r="K6" s="1170">
        <v>44104</v>
      </c>
      <c r="L6" s="1170">
        <v>44135</v>
      </c>
      <c r="M6" s="1170">
        <v>44165</v>
      </c>
      <c r="N6" s="1170">
        <v>44196</v>
      </c>
      <c r="O6" s="1170">
        <v>44227</v>
      </c>
      <c r="P6" s="1170">
        <v>44255</v>
      </c>
      <c r="Q6" s="1170">
        <v>44286</v>
      </c>
      <c r="R6" s="1170">
        <v>44316</v>
      </c>
      <c r="S6" s="1170">
        <v>44347</v>
      </c>
      <c r="T6" s="1170">
        <v>44377</v>
      </c>
      <c r="U6" s="1170">
        <v>44408</v>
      </c>
      <c r="V6" s="1170">
        <v>44439</v>
      </c>
      <c r="W6" s="1170">
        <v>44469</v>
      </c>
      <c r="X6" s="1273">
        <v>44500</v>
      </c>
      <c r="Y6" s="1273">
        <v>44530</v>
      </c>
      <c r="Z6" s="1273">
        <v>44561</v>
      </c>
      <c r="AA6" s="1273">
        <v>44592</v>
      </c>
      <c r="AB6" s="1273">
        <v>44620</v>
      </c>
      <c r="AC6" s="1273">
        <v>44651</v>
      </c>
      <c r="AD6" s="1170">
        <v>44681</v>
      </c>
      <c r="AE6" s="1170">
        <v>44712</v>
      </c>
      <c r="AF6" s="1170">
        <v>44742</v>
      </c>
      <c r="AG6" s="1170">
        <v>44773</v>
      </c>
      <c r="AH6" s="1170">
        <v>44804</v>
      </c>
      <c r="AI6" s="1170">
        <v>44834</v>
      </c>
      <c r="AJ6" s="1170">
        <v>44865</v>
      </c>
      <c r="AK6" s="1170">
        <v>44895</v>
      </c>
      <c r="AL6" s="1170">
        <v>44926</v>
      </c>
      <c r="AM6" s="1170">
        <v>44957</v>
      </c>
      <c r="AN6" s="1170">
        <v>44985</v>
      </c>
      <c r="AO6" s="1170">
        <v>45016</v>
      </c>
      <c r="AP6" s="1170">
        <v>45046</v>
      </c>
      <c r="AQ6" s="1170">
        <v>45077</v>
      </c>
      <c r="AR6" s="1170">
        <v>45107</v>
      </c>
      <c r="AS6" s="1170">
        <v>45138</v>
      </c>
      <c r="AT6" s="1170">
        <v>45169</v>
      </c>
      <c r="AU6" s="1170">
        <v>45199</v>
      </c>
      <c r="AV6" s="1170">
        <v>45230</v>
      </c>
      <c r="AW6" s="1170">
        <v>45260</v>
      </c>
      <c r="AX6" s="1170">
        <v>45291</v>
      </c>
      <c r="AY6" s="1170">
        <v>45322</v>
      </c>
      <c r="AZ6" s="1170">
        <v>45351</v>
      </c>
      <c r="BA6" s="1570" t="s">
        <v>3643</v>
      </c>
    </row>
    <row r="7" spans="1:56" ht="47.25" customHeight="1">
      <c r="A7" s="1274" t="s">
        <v>3347</v>
      </c>
      <c r="B7" s="1275">
        <f>14900935.2388034/1000</f>
        <v>14900.9352388034</v>
      </c>
      <c r="C7" s="1276">
        <f>15116371.44325/1000</f>
        <v>15116.37144325</v>
      </c>
      <c r="D7" s="1276">
        <v>15299</v>
      </c>
      <c r="E7" s="1276">
        <v>15232.732370605599</v>
      </c>
      <c r="F7" s="1276">
        <v>14742.1609655675</v>
      </c>
      <c r="G7" s="1276">
        <v>14361.020016311701</v>
      </c>
      <c r="H7" s="1276">
        <v>14169.7916186724</v>
      </c>
      <c r="I7" s="1276">
        <v>14204.549706681701</v>
      </c>
      <c r="J7" s="1276">
        <v>14304.2281735577</v>
      </c>
      <c r="K7" s="1276">
        <v>14497.027014687999</v>
      </c>
      <c r="L7" s="1276">
        <v>14409.3148820396</v>
      </c>
      <c r="M7" s="1276">
        <v>14304.744592270101</v>
      </c>
      <c r="N7" s="1276">
        <v>14156.9795354296</v>
      </c>
      <c r="O7" s="1276">
        <v>14213.7955625211</v>
      </c>
      <c r="P7" s="1276">
        <v>14246.099123587101</v>
      </c>
      <c r="Q7" s="1276">
        <v>14352.3548978935</v>
      </c>
      <c r="R7" s="1276">
        <v>14611.8145951636</v>
      </c>
      <c r="S7" s="1276">
        <v>14691.399157010501</v>
      </c>
      <c r="T7" s="1276">
        <v>14856.889780031601</v>
      </c>
      <c r="U7" s="1276">
        <v>14966.4982082432</v>
      </c>
      <c r="V7" s="1276">
        <v>15206.8490947091</v>
      </c>
      <c r="W7" s="1276">
        <v>15538.669058032599</v>
      </c>
      <c r="X7" s="1277">
        <v>15997.255905959901</v>
      </c>
      <c r="Y7" s="1277">
        <v>16281.9655474426</v>
      </c>
      <c r="Z7" s="1277">
        <v>16659.1139423282</v>
      </c>
      <c r="AA7" s="1277">
        <v>16781.439074845301</v>
      </c>
      <c r="AB7" s="1277">
        <v>17126.533211405698</v>
      </c>
      <c r="AC7" s="1277">
        <v>17528.185609502601</v>
      </c>
      <c r="AD7" s="1276">
        <v>17840.380523788201</v>
      </c>
      <c r="AE7" s="1276">
        <v>18098.283291124499</v>
      </c>
      <c r="AF7" s="1276">
        <v>18320.0215140129</v>
      </c>
      <c r="AG7" s="1276">
        <v>18487.445165762099</v>
      </c>
      <c r="AH7" s="1276">
        <v>18638.6347982097</v>
      </c>
      <c r="AI7" s="1276">
        <v>19157.176561456799</v>
      </c>
      <c r="AJ7" s="1276">
        <v>19470.7845801437</v>
      </c>
      <c r="AK7" s="1276">
        <v>19674.178382202601</v>
      </c>
      <c r="AL7" s="1276">
        <v>19594.3555676619</v>
      </c>
      <c r="AM7" s="1276">
        <v>19669.591816208002</v>
      </c>
      <c r="AN7" s="1276">
        <v>19757.429416209201</v>
      </c>
      <c r="AO7" s="1276">
        <v>20038.596163516901</v>
      </c>
      <c r="AP7" s="1276">
        <v>20379.627516663699</v>
      </c>
      <c r="AQ7" s="1276">
        <v>20659.269192317901</v>
      </c>
      <c r="AR7" s="1276">
        <v>21296.236125417599</v>
      </c>
      <c r="AS7" s="1276">
        <v>21371.9913058085</v>
      </c>
      <c r="AT7" s="1276">
        <v>21814.187154987401</v>
      </c>
      <c r="AU7" s="1276">
        <v>22281.884370937401</v>
      </c>
      <c r="AV7" s="1276">
        <v>22459.711090514498</v>
      </c>
      <c r="AW7" s="1276">
        <v>22881.231065023101</v>
      </c>
      <c r="AX7" s="1276">
        <v>23182.953697219102</v>
      </c>
      <c r="AY7" s="1276">
        <v>23566.352779695699</v>
      </c>
      <c r="AZ7" s="1276">
        <v>23833.019223279101</v>
      </c>
      <c r="BA7" s="1571" t="s">
        <v>3722</v>
      </c>
      <c r="BB7" s="1455"/>
    </row>
    <row r="8" spans="1:56" ht="21.75" customHeight="1">
      <c r="A8" s="1278" t="s">
        <v>2817</v>
      </c>
      <c r="B8" s="1279"/>
      <c r="C8" s="1280"/>
      <c r="D8" s="1280"/>
      <c r="E8" s="1280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1"/>
      <c r="Y8" s="1281"/>
      <c r="Z8" s="1281"/>
      <c r="AA8" s="1281"/>
      <c r="AB8" s="1281"/>
      <c r="AC8" s="1281"/>
      <c r="AD8" s="1280"/>
      <c r="AE8" s="1280"/>
      <c r="AF8" s="1280"/>
      <c r="AG8" s="1280"/>
      <c r="AH8" s="1280"/>
      <c r="AI8" s="1280"/>
      <c r="AJ8" s="1280"/>
      <c r="AK8" s="1280"/>
      <c r="AL8" s="1280"/>
      <c r="AM8" s="1280"/>
      <c r="AN8" s="1280"/>
      <c r="AO8" s="1280"/>
      <c r="AP8" s="1280"/>
      <c r="AQ8" s="1280"/>
      <c r="AR8" s="1280"/>
      <c r="AS8" s="1280"/>
      <c r="AT8" s="1280"/>
      <c r="AU8" s="1280"/>
      <c r="AV8" s="1280"/>
      <c r="AW8" s="1280"/>
      <c r="AX8" s="1280"/>
      <c r="AY8" s="1280"/>
      <c r="AZ8" s="1280"/>
      <c r="BA8" s="1573" t="s">
        <v>3723</v>
      </c>
      <c r="BB8" s="1455"/>
    </row>
    <row r="9" spans="1:56" ht="42.6" customHeight="1">
      <c r="A9" s="1282" t="s">
        <v>2572</v>
      </c>
      <c r="B9" s="1283">
        <f>9031554.58035958/1000</f>
        <v>9031.5545803595796</v>
      </c>
      <c r="C9" s="1284">
        <f>9204734.07254856/1000</f>
        <v>9204.734072548561</v>
      </c>
      <c r="D9" s="1284">
        <v>9320</v>
      </c>
      <c r="E9" s="1284">
        <v>9365.6810480739696</v>
      </c>
      <c r="F9" s="1284">
        <v>9086.2111487842103</v>
      </c>
      <c r="G9" s="1284">
        <v>8803.5204885051407</v>
      </c>
      <c r="H9" s="1284">
        <v>8623.7086235222305</v>
      </c>
      <c r="I9" s="1284">
        <v>8627.8520207464298</v>
      </c>
      <c r="J9" s="1284">
        <v>8644.8504572669099</v>
      </c>
      <c r="K9" s="1284">
        <v>8741.1131108438294</v>
      </c>
      <c r="L9" s="1284">
        <v>8679.7547216399598</v>
      </c>
      <c r="M9" s="1284">
        <v>8576.4199081765</v>
      </c>
      <c r="N9" s="1284">
        <v>8478.2732420388493</v>
      </c>
      <c r="O9" s="1284">
        <v>8456.6530172459898</v>
      </c>
      <c r="P9" s="1284">
        <v>8530.7241070030104</v>
      </c>
      <c r="Q9" s="1284">
        <v>8565.19977037832</v>
      </c>
      <c r="R9" s="1284">
        <v>8687.9569847346193</v>
      </c>
      <c r="S9" s="1284">
        <v>8681.3914955681503</v>
      </c>
      <c r="T9" s="1284">
        <v>8729.4295989843304</v>
      </c>
      <c r="U9" s="1284">
        <v>8728.4506807199505</v>
      </c>
      <c r="V9" s="1284">
        <v>8810.0314103063192</v>
      </c>
      <c r="W9" s="1284">
        <v>9002.3337944931809</v>
      </c>
      <c r="X9" s="1285">
        <v>9352.3577934536406</v>
      </c>
      <c r="Y9" s="1285">
        <v>9526.2215396708107</v>
      </c>
      <c r="Z9" s="1285">
        <v>9740.0273733666909</v>
      </c>
      <c r="AA9" s="1285">
        <v>9746.5470725668401</v>
      </c>
      <c r="AB9" s="1285">
        <v>9972.8923026190005</v>
      </c>
      <c r="AC9" s="1285">
        <v>10182.345403994599</v>
      </c>
      <c r="AD9" s="1284">
        <v>10328.283719864699</v>
      </c>
      <c r="AE9" s="1284">
        <v>10414.01018178</v>
      </c>
      <c r="AF9" s="1284">
        <v>10481.711144418799</v>
      </c>
      <c r="AG9" s="1284">
        <v>10497.0466317302</v>
      </c>
      <c r="AH9" s="1284">
        <v>10491.951041574381</v>
      </c>
      <c r="AI9" s="1284">
        <v>10780.9439636307</v>
      </c>
      <c r="AJ9" s="1284">
        <v>10912.557114003699</v>
      </c>
      <c r="AK9" s="1284">
        <v>10975.828657382412</v>
      </c>
      <c r="AL9" s="1284">
        <v>10855.0619328595</v>
      </c>
      <c r="AM9" s="1284">
        <v>10845.560779616701</v>
      </c>
      <c r="AN9" s="1284">
        <v>10835.578601880799</v>
      </c>
      <c r="AO9" s="1284">
        <v>10971.3967768488</v>
      </c>
      <c r="AP9" s="1284">
        <v>11107.957597250899</v>
      </c>
      <c r="AQ9" s="1284">
        <v>11170.8055462252</v>
      </c>
      <c r="AR9" s="1284">
        <v>11650.5031040751</v>
      </c>
      <c r="AS9" s="1284">
        <v>11622.688762838899</v>
      </c>
      <c r="AT9" s="1284">
        <v>11821.791771283601</v>
      </c>
      <c r="AU9" s="1284">
        <v>12078.6747372461</v>
      </c>
      <c r="AV9" s="1284">
        <v>12246.3869346131</v>
      </c>
      <c r="AW9" s="1284">
        <v>12421.2469256614</v>
      </c>
      <c r="AX9" s="1284">
        <v>12616.787114836399</v>
      </c>
      <c r="AY9" s="1284">
        <v>12912.916752994601</v>
      </c>
      <c r="AZ9" s="1284">
        <v>13063.7357667661</v>
      </c>
      <c r="BA9" s="1572" t="s">
        <v>3645</v>
      </c>
      <c r="BB9" s="1455"/>
      <c r="BD9" s="1222"/>
    </row>
    <row r="10" spans="1:56" ht="42.6" customHeight="1">
      <c r="A10" s="1282" t="s">
        <v>2573</v>
      </c>
      <c r="B10" s="1283">
        <v>4075.2996161158203</v>
      </c>
      <c r="C10" s="1284">
        <v>4117</v>
      </c>
      <c r="D10" s="1284">
        <f>D7-D9-D11</f>
        <v>4140</v>
      </c>
      <c r="E10" s="1284">
        <f>E7-E9-E11</f>
        <v>3997.54851016563</v>
      </c>
      <c r="F10" s="1284">
        <v>3813.58604906131</v>
      </c>
      <c r="G10" s="1284">
        <v>3732.38447763052</v>
      </c>
      <c r="H10" s="1284">
        <v>3684.02008196421</v>
      </c>
      <c r="I10" s="1284">
        <v>3676.3274270513098</v>
      </c>
      <c r="J10" s="1284">
        <v>3736.93684552583</v>
      </c>
      <c r="K10" s="1284">
        <v>3808.5589581781601</v>
      </c>
      <c r="L10" s="1284">
        <v>3746.7136044906001</v>
      </c>
      <c r="M10" s="1284">
        <v>3730.9140567115501</v>
      </c>
      <c r="N10" s="1284">
        <v>3661.2341626307798</v>
      </c>
      <c r="O10" s="1284">
        <v>3702.5870864801</v>
      </c>
      <c r="P10" s="1284">
        <v>3634.0159463651098</v>
      </c>
      <c r="Q10" s="1284">
        <v>3680.4317218861702</v>
      </c>
      <c r="R10" s="1284">
        <v>3777.7684898810098</v>
      </c>
      <c r="S10" s="1284">
        <v>3847.31420429032</v>
      </c>
      <c r="T10" s="1284">
        <v>3939.8826836162102</v>
      </c>
      <c r="U10" s="1284">
        <v>4024.6339624112502</v>
      </c>
      <c r="V10" s="1284">
        <v>4132.9137579377402</v>
      </c>
      <c r="W10" s="1284">
        <v>4238.9990447283999</v>
      </c>
      <c r="X10" s="1285">
        <v>4314.6982107272597</v>
      </c>
      <c r="Y10" s="1285">
        <v>4400.38210608383</v>
      </c>
      <c r="Z10" s="1285">
        <v>4518.4305427454801</v>
      </c>
      <c r="AA10" s="1285">
        <v>4616.9806062794896</v>
      </c>
      <c r="AB10" s="1285">
        <v>4691.8332097017501</v>
      </c>
      <c r="AC10" s="1285">
        <v>4831.3088795529302</v>
      </c>
      <c r="AD10" s="1284">
        <v>4940.5627041954604</v>
      </c>
      <c r="AE10" s="1284">
        <v>5075.3588169995501</v>
      </c>
      <c r="AF10" s="1284">
        <v>5189.8011099740997</v>
      </c>
      <c r="AG10" s="1284">
        <v>5315.0369886608596</v>
      </c>
      <c r="AH10" s="1284">
        <v>5416.56866060632</v>
      </c>
      <c r="AI10" s="1284">
        <v>5601.5897617810597</v>
      </c>
      <c r="AJ10" s="1284">
        <v>5696.7086805500403</v>
      </c>
      <c r="AK10" s="1284">
        <v>5771.671512477189</v>
      </c>
      <c r="AL10" s="1284">
        <v>5754.1449353284897</v>
      </c>
      <c r="AM10" s="1284">
        <v>5811.8651133032299</v>
      </c>
      <c r="AN10" s="1284">
        <v>5863.5669439863896</v>
      </c>
      <c r="AO10" s="1284">
        <v>5942.4446307431099</v>
      </c>
      <c r="AP10" s="1284">
        <v>6072.3402430998103</v>
      </c>
      <c r="AQ10" s="1284">
        <v>6224.5267704956696</v>
      </c>
      <c r="AR10" s="1284">
        <v>6324.7371684745403</v>
      </c>
      <c r="AS10" s="1284">
        <v>6376.0409298506102</v>
      </c>
      <c r="AT10" s="1284">
        <v>6532.51545105487</v>
      </c>
      <c r="AU10" s="1284">
        <v>6680.1144876922299</v>
      </c>
      <c r="AV10" s="1284">
        <v>6751.3345430823701</v>
      </c>
      <c r="AW10" s="1284">
        <v>6869.7115985856499</v>
      </c>
      <c r="AX10" s="1284">
        <v>6937.0024464386797</v>
      </c>
      <c r="AY10" s="1284">
        <v>7007.9614491870998</v>
      </c>
      <c r="AZ10" s="1284">
        <v>7077.30996172904</v>
      </c>
      <c r="BA10" s="1572" t="s">
        <v>3646</v>
      </c>
      <c r="BB10" s="1455"/>
    </row>
    <row r="11" spans="1:56" ht="42.6" customHeight="1" thickBot="1">
      <c r="A11" s="1286" t="s">
        <v>2574</v>
      </c>
      <c r="B11" s="1287">
        <v>1794.041042328</v>
      </c>
      <c r="C11" s="1288">
        <v>1794.7</v>
      </c>
      <c r="D11" s="1288">
        <v>1839</v>
      </c>
      <c r="E11" s="1288">
        <v>1869.5028123659999</v>
      </c>
      <c r="F11" s="1288">
        <v>1842.3637677219999</v>
      </c>
      <c r="G11" s="1288">
        <v>1825.1150501760001</v>
      </c>
      <c r="H11" s="1288">
        <v>1862.0629131860001</v>
      </c>
      <c r="I11" s="1288">
        <v>1900.280258884</v>
      </c>
      <c r="J11" s="1288">
        <v>1922.440870765</v>
      </c>
      <c r="K11" s="1288">
        <v>1947.354945666</v>
      </c>
      <c r="L11" s="1288">
        <v>1982.846555909</v>
      </c>
      <c r="M11" s="1288">
        <v>1997.3506273820001</v>
      </c>
      <c r="N11" s="1288">
        <v>2017.47213076</v>
      </c>
      <c r="O11" s="1288">
        <v>2054.4554587950001</v>
      </c>
      <c r="P11" s="1288">
        <v>2081.3590702189999</v>
      </c>
      <c r="Q11" s="1288">
        <v>2106.8234056289998</v>
      </c>
      <c r="R11" s="1288">
        <v>2146.0491205479998</v>
      </c>
      <c r="S11" s="1288">
        <v>2162.6934571520001</v>
      </c>
      <c r="T11" s="1288">
        <v>2187.5774974310002</v>
      </c>
      <c r="U11" s="1288">
        <v>2213.413565112</v>
      </c>
      <c r="V11" s="1288">
        <v>2263.903926465</v>
      </c>
      <c r="W11" s="1288">
        <v>2297.4362188109999</v>
      </c>
      <c r="X11" s="1289">
        <v>2330.2099017790001</v>
      </c>
      <c r="Y11" s="1289">
        <v>2355.3619016880002</v>
      </c>
      <c r="Z11" s="1289">
        <v>2400.6560262160001</v>
      </c>
      <c r="AA11" s="1289">
        <v>2417.911395999</v>
      </c>
      <c r="AB11" s="1289">
        <v>2461.807699085</v>
      </c>
      <c r="AC11" s="1289">
        <v>2514.5513259549998</v>
      </c>
      <c r="AD11" s="1288">
        <v>2571.534099728</v>
      </c>
      <c r="AE11" s="1288">
        <v>2608.9142923449999</v>
      </c>
      <c r="AF11" s="1288">
        <v>2648.5092596200002</v>
      </c>
      <c r="AG11" s="1288">
        <v>2675.3615453709999</v>
      </c>
      <c r="AH11" s="1288">
        <v>2730.0150960289998</v>
      </c>
      <c r="AI11" s="1288">
        <v>2774.6528360450002</v>
      </c>
      <c r="AJ11" s="1288">
        <v>2861.5187855899999</v>
      </c>
      <c r="AK11" s="1288">
        <v>2926.6782123429998</v>
      </c>
      <c r="AL11" s="1288">
        <v>2985.1586994740001</v>
      </c>
      <c r="AM11" s="1288">
        <v>3012.1659232880002</v>
      </c>
      <c r="AN11" s="1288">
        <v>3058.1838703419999</v>
      </c>
      <c r="AO11" s="1288">
        <v>3124.7547559250002</v>
      </c>
      <c r="AP11" s="1288">
        <v>3199.3296763130002</v>
      </c>
      <c r="AQ11" s="1288">
        <v>3263.9568755969999</v>
      </c>
      <c r="AR11" s="1288">
        <v>3320.9958528679999</v>
      </c>
      <c r="AS11" s="1288">
        <v>3373.2616131189998</v>
      </c>
      <c r="AT11" s="1288">
        <v>3459.8799326489998</v>
      </c>
      <c r="AU11" s="1288">
        <v>3523.0951459990001</v>
      </c>
      <c r="AV11" s="1288">
        <v>3461.9896128189998</v>
      </c>
      <c r="AW11" s="1288">
        <v>3590.2625407760002</v>
      </c>
      <c r="AX11" s="1288">
        <v>3629.164135944</v>
      </c>
      <c r="AY11" s="1288">
        <v>3645.474577514</v>
      </c>
      <c r="AZ11" s="1288">
        <v>3691.9734947840002</v>
      </c>
      <c r="BA11" s="1574" t="s">
        <v>3724</v>
      </c>
      <c r="BB11" s="1455"/>
    </row>
    <row r="12" spans="1:56" s="1291" customFormat="1" ht="75.75" customHeight="1">
      <c r="A12" s="2817" t="s">
        <v>3725</v>
      </c>
      <c r="B12" s="2817"/>
      <c r="C12" s="2817"/>
      <c r="D12" s="2817"/>
      <c r="E12" s="2817"/>
      <c r="F12" s="2817"/>
      <c r="G12" s="2817"/>
      <c r="H12" s="2817"/>
      <c r="I12" s="2817"/>
      <c r="J12" s="2817"/>
      <c r="K12" s="2817"/>
      <c r="L12" s="2817"/>
      <c r="M12" s="2817"/>
      <c r="N12" s="2817"/>
      <c r="O12" s="2817"/>
      <c r="P12" s="2817"/>
      <c r="Q12" s="2817"/>
      <c r="R12" s="2817"/>
      <c r="S12" s="2817"/>
      <c r="T12" s="2817"/>
      <c r="U12" s="2817"/>
      <c r="V12" s="2817"/>
      <c r="W12" s="2817"/>
      <c r="X12" s="2817"/>
      <c r="Y12" s="2817"/>
      <c r="Z12" s="2817"/>
      <c r="AA12" s="2817"/>
      <c r="AB12" s="2817"/>
      <c r="AC12" s="2817"/>
      <c r="AD12" s="1290"/>
      <c r="AE12" s="1290"/>
      <c r="AF12" s="1290"/>
      <c r="AG12" s="1290"/>
      <c r="AH12" s="1290"/>
      <c r="AI12" s="1290"/>
      <c r="AJ12" s="1290"/>
      <c r="AK12" s="1290"/>
      <c r="AL12" s="1290"/>
      <c r="AM12" s="1290"/>
      <c r="AN12" s="1290"/>
      <c r="AO12" s="1290"/>
      <c r="AP12" s="1290"/>
      <c r="AQ12" s="1290"/>
      <c r="AR12" s="1290"/>
      <c r="AS12" s="1290"/>
      <c r="AT12" s="1290"/>
      <c r="AU12" s="1290"/>
      <c r="AV12" s="1290"/>
      <c r="AW12" s="1290"/>
      <c r="AX12" s="1290"/>
      <c r="AY12" s="1290"/>
      <c r="AZ12" s="1290"/>
      <c r="BC12" s="1292"/>
    </row>
    <row r="13" spans="1:56" s="1559" customFormat="1" ht="19.5" customHeight="1">
      <c r="A13" s="1561" t="s">
        <v>3356</v>
      </c>
      <c r="B13" s="1558"/>
      <c r="C13" s="1558"/>
      <c r="D13" s="1558"/>
      <c r="E13" s="1558"/>
      <c r="F13" s="1558"/>
      <c r="G13" s="1558"/>
      <c r="H13" s="1558"/>
      <c r="I13" s="1558"/>
      <c r="J13" s="1558"/>
      <c r="K13" s="1558"/>
      <c r="L13" s="1558"/>
      <c r="M13" s="1558"/>
      <c r="N13" s="1558"/>
      <c r="O13" s="1558"/>
      <c r="P13" s="1558"/>
      <c r="Q13" s="1558"/>
      <c r="R13" s="1558"/>
      <c r="S13" s="1558"/>
      <c r="T13" s="1558"/>
      <c r="U13" s="1558"/>
      <c r="V13" s="1558"/>
      <c r="W13" s="1558"/>
      <c r="X13" s="1558"/>
      <c r="Y13" s="1558"/>
      <c r="Z13" s="1558"/>
      <c r="AA13" s="1558"/>
      <c r="AB13" s="1558"/>
      <c r="AC13" s="1558"/>
      <c r="AD13" s="1558"/>
      <c r="AE13" s="1558"/>
      <c r="AF13" s="1558"/>
      <c r="AG13" s="1558"/>
      <c r="AH13" s="1558"/>
      <c r="AI13" s="1558"/>
      <c r="AJ13" s="1558"/>
      <c r="AK13" s="1558"/>
    </row>
    <row r="14" spans="1:56">
      <c r="AL14" s="1625"/>
    </row>
    <row r="15" spans="1:56">
      <c r="AH15" s="1222"/>
      <c r="AI15" s="1222"/>
      <c r="AJ15" s="1222"/>
      <c r="AK15" s="1222"/>
      <c r="AL15" s="1222"/>
      <c r="AM15" s="1222"/>
      <c r="AN15" s="1222"/>
      <c r="AO15" s="1222"/>
      <c r="AP15" s="1222"/>
      <c r="AQ15" s="1222"/>
      <c r="AR15" s="1222"/>
      <c r="AS15" s="1222"/>
      <c r="AT15" s="1222"/>
      <c r="AU15" s="1222"/>
      <c r="AV15" s="1222"/>
      <c r="AW15" s="1222"/>
      <c r="AX15" s="1222"/>
      <c r="AY15" s="1222"/>
      <c r="AZ15" s="1222"/>
    </row>
    <row r="16" spans="1:56"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  <c r="AJ16" s="1222"/>
      <c r="AK16" s="1222"/>
      <c r="AL16" s="1266"/>
      <c r="AM16" s="1266"/>
      <c r="AN16" s="1266"/>
      <c r="AO16" s="1266"/>
      <c r="AP16" s="1266"/>
      <c r="AQ16" s="1266"/>
      <c r="AR16" s="1266"/>
      <c r="AS16" s="1266"/>
      <c r="AT16" s="1266"/>
      <c r="AU16" s="1266"/>
      <c r="AV16" s="1266"/>
      <c r="AW16" s="1266"/>
      <c r="AX16" s="1266"/>
      <c r="AY16" s="1266"/>
      <c r="AZ16" s="1266"/>
    </row>
    <row r="17" spans="32:32">
      <c r="AF17" s="1222"/>
    </row>
    <row r="18" spans="32:32">
      <c r="AF18" s="1222"/>
    </row>
    <row r="21" spans="32:32">
      <c r="AF21" s="1293"/>
    </row>
  </sheetData>
  <mergeCells count="4">
    <mergeCell ref="A12:AC12"/>
    <mergeCell ref="A2:BA2"/>
    <mergeCell ref="A3:BA3"/>
    <mergeCell ref="A5:BA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B154"/>
  <sheetViews>
    <sheetView showGridLines="0" view="pageBreakPreview" zoomScale="85" zoomScaleSheetLayoutView="85" workbookViewId="0">
      <pane ySplit="6" topLeftCell="A21" activePane="bottomLeft" state="frozen"/>
      <selection activeCell="G291" sqref="G291"/>
      <selection pane="bottomLeft" activeCell="DH69" sqref="DH69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4" width="10.88671875" style="295" customWidth="1"/>
    <col min="105" max="105" width="46.88671875" style="295" customWidth="1"/>
    <col min="106" max="106" width="9.109375" style="295" customWidth="1"/>
    <col min="107" max="167" width="9.109375" style="295"/>
    <col min="168" max="168" width="9.109375" style="295" customWidth="1"/>
    <col min="169" max="16384" width="9.109375" style="295"/>
  </cols>
  <sheetData>
    <row r="1" spans="1:105" ht="9.75" customHeight="1">
      <c r="DA1" s="296"/>
    </row>
    <row r="2" spans="1:105" s="581" customFormat="1" ht="25.5" customHeight="1">
      <c r="A2" s="2178" t="s">
        <v>2786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L2" s="2178"/>
      <c r="M2" s="2178"/>
      <c r="N2" s="2178"/>
      <c r="O2" s="2178"/>
      <c r="P2" s="2178"/>
      <c r="Q2" s="2178"/>
      <c r="R2" s="2178"/>
      <c r="S2" s="2178"/>
      <c r="T2" s="2178"/>
      <c r="U2" s="2178"/>
      <c r="V2" s="2178"/>
      <c r="W2" s="2178"/>
      <c r="X2" s="2178"/>
      <c r="Y2" s="2178"/>
      <c r="Z2" s="2178"/>
      <c r="AA2" s="2178"/>
      <c r="AB2" s="2178"/>
      <c r="AC2" s="2178"/>
      <c r="AD2" s="2178"/>
      <c r="AE2" s="2178"/>
      <c r="AF2" s="2178"/>
      <c r="AG2" s="2178"/>
      <c r="AH2" s="2178"/>
      <c r="AI2" s="2178"/>
      <c r="AJ2" s="2178"/>
      <c r="AK2" s="2178"/>
      <c r="AL2" s="2178"/>
      <c r="AM2" s="2178"/>
      <c r="AN2" s="2178"/>
      <c r="AO2" s="2178"/>
      <c r="AP2" s="2178"/>
      <c r="AQ2" s="2178"/>
      <c r="AR2" s="2178"/>
      <c r="AS2" s="2178"/>
      <c r="AT2" s="2178"/>
      <c r="AU2" s="2178"/>
      <c r="AV2" s="2178"/>
      <c r="AW2" s="2178"/>
      <c r="AX2" s="2178"/>
      <c r="AY2" s="2178"/>
      <c r="AZ2" s="2178"/>
      <c r="BA2" s="2178"/>
      <c r="BB2" s="2178"/>
      <c r="BC2" s="2178"/>
      <c r="BD2" s="2178"/>
      <c r="BE2" s="2178"/>
      <c r="BF2" s="2178"/>
      <c r="BG2" s="2178"/>
      <c r="BH2" s="2178"/>
      <c r="BI2" s="2178"/>
      <c r="BJ2" s="2178"/>
      <c r="BK2" s="2178"/>
      <c r="BL2" s="2178"/>
      <c r="BM2" s="2178"/>
      <c r="BN2" s="2178"/>
      <c r="BO2" s="2178"/>
      <c r="BP2" s="2178"/>
      <c r="BQ2" s="2178"/>
      <c r="BR2" s="2178"/>
      <c r="BS2" s="2178"/>
      <c r="BT2" s="2178"/>
      <c r="BU2" s="2178"/>
      <c r="BV2" s="2178"/>
      <c r="BW2" s="2178"/>
      <c r="BX2" s="2178"/>
      <c r="BY2" s="2178"/>
      <c r="BZ2" s="2178"/>
      <c r="CA2" s="2178"/>
      <c r="CB2" s="2178"/>
      <c r="CC2" s="2178"/>
      <c r="CD2" s="2178"/>
      <c r="CE2" s="2178"/>
      <c r="CF2" s="2178"/>
      <c r="CG2" s="2178"/>
      <c r="CH2" s="2178"/>
      <c r="CI2" s="2178"/>
      <c r="CJ2" s="2178"/>
      <c r="CK2" s="2178"/>
      <c r="CL2" s="2178"/>
      <c r="CM2" s="2178"/>
      <c r="CN2" s="2178"/>
      <c r="CO2" s="2178"/>
      <c r="CP2" s="2178"/>
      <c r="CQ2" s="2178"/>
      <c r="CR2" s="2178"/>
      <c r="CS2" s="2178"/>
      <c r="CT2" s="2178"/>
      <c r="CU2" s="2178"/>
      <c r="CV2" s="2178"/>
      <c r="CW2" s="2178"/>
      <c r="CX2" s="2178"/>
      <c r="CY2" s="2178"/>
      <c r="CZ2" s="2178"/>
      <c r="DA2" s="2178"/>
    </row>
    <row r="3" spans="1:105" s="581" customFormat="1" ht="25.5" customHeight="1">
      <c r="A3" s="2179" t="s">
        <v>2787</v>
      </c>
      <c r="B3" s="2179"/>
      <c r="C3" s="2179"/>
      <c r="D3" s="2179"/>
      <c r="E3" s="2179"/>
      <c r="F3" s="2179"/>
      <c r="G3" s="2179"/>
      <c r="H3" s="2179"/>
      <c r="I3" s="2179"/>
      <c r="J3" s="2179"/>
      <c r="K3" s="2179"/>
      <c r="L3" s="2179"/>
      <c r="M3" s="2179"/>
      <c r="N3" s="2179"/>
      <c r="O3" s="2179"/>
      <c r="P3" s="2179"/>
      <c r="Q3" s="2179"/>
      <c r="R3" s="2179"/>
      <c r="S3" s="2179"/>
      <c r="T3" s="2179"/>
      <c r="U3" s="2179"/>
      <c r="V3" s="2179"/>
      <c r="W3" s="2179"/>
      <c r="X3" s="2179"/>
      <c r="Y3" s="2179"/>
      <c r="Z3" s="2179"/>
      <c r="AA3" s="2179"/>
      <c r="AB3" s="2179"/>
      <c r="AC3" s="2179"/>
      <c r="AD3" s="2179"/>
      <c r="AE3" s="2179"/>
      <c r="AF3" s="2179"/>
      <c r="AG3" s="2179"/>
      <c r="AH3" s="2179"/>
      <c r="AI3" s="2179"/>
      <c r="AJ3" s="2179"/>
      <c r="AK3" s="2179"/>
      <c r="AL3" s="2179"/>
      <c r="AM3" s="2179"/>
      <c r="AN3" s="2179"/>
      <c r="AO3" s="2179"/>
      <c r="AP3" s="2179"/>
      <c r="AQ3" s="2179"/>
      <c r="AR3" s="2179"/>
      <c r="AS3" s="2179"/>
      <c r="AT3" s="2179"/>
      <c r="AU3" s="2179"/>
      <c r="AV3" s="2179"/>
      <c r="AW3" s="2179"/>
      <c r="AX3" s="2179"/>
      <c r="AY3" s="2179"/>
      <c r="AZ3" s="2179"/>
      <c r="BA3" s="2179"/>
      <c r="BB3" s="2179"/>
      <c r="BC3" s="2179"/>
      <c r="BD3" s="2179"/>
      <c r="BE3" s="2179"/>
      <c r="BF3" s="2179"/>
      <c r="BG3" s="2179"/>
      <c r="BH3" s="2179"/>
      <c r="BI3" s="2179"/>
      <c r="BJ3" s="2179"/>
      <c r="BK3" s="2179"/>
      <c r="BL3" s="2179"/>
      <c r="BM3" s="2179"/>
      <c r="BN3" s="2179"/>
      <c r="BO3" s="2179"/>
      <c r="BP3" s="2179"/>
      <c r="BQ3" s="2179"/>
      <c r="BR3" s="2179"/>
      <c r="BS3" s="2179"/>
      <c r="BT3" s="2179"/>
      <c r="BU3" s="2179"/>
      <c r="BV3" s="2179"/>
      <c r="BW3" s="2179"/>
      <c r="BX3" s="2179"/>
      <c r="BY3" s="2179"/>
      <c r="BZ3" s="2179"/>
      <c r="CA3" s="2179"/>
      <c r="CB3" s="2179"/>
      <c r="CC3" s="2179"/>
      <c r="CD3" s="2179"/>
      <c r="CE3" s="2179"/>
      <c r="CF3" s="2179"/>
      <c r="CG3" s="2179"/>
      <c r="CH3" s="2179"/>
      <c r="CI3" s="2179"/>
      <c r="CJ3" s="2179"/>
      <c r="CK3" s="2179"/>
      <c r="CL3" s="2179"/>
      <c r="CM3" s="2179"/>
      <c r="CN3" s="2179"/>
      <c r="CO3" s="2179"/>
      <c r="CP3" s="2179"/>
      <c r="CQ3" s="2179"/>
      <c r="CR3" s="2179"/>
      <c r="CS3" s="2179"/>
      <c r="CT3" s="2179"/>
      <c r="CU3" s="2179"/>
      <c r="CV3" s="2179"/>
      <c r="CW3" s="2179"/>
      <c r="CX3" s="2179"/>
      <c r="CY3" s="2179"/>
      <c r="CZ3" s="2179"/>
      <c r="DA3" s="2179"/>
    </row>
    <row r="4" spans="1:105" s="581" customFormat="1" ht="16.5" customHeight="1">
      <c r="A4" s="582"/>
      <c r="B4" s="582"/>
      <c r="C4" s="582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582"/>
      <c r="AS4" s="582"/>
      <c r="AT4" s="582"/>
      <c r="AU4" s="582"/>
      <c r="AV4" s="582"/>
      <c r="AW4" s="582"/>
      <c r="AX4" s="582"/>
      <c r="AY4" s="582"/>
      <c r="AZ4" s="582"/>
      <c r="BA4" s="582"/>
      <c r="BB4" s="582"/>
      <c r="BC4" s="582"/>
      <c r="BD4" s="582"/>
      <c r="BE4" s="582"/>
      <c r="BF4" s="582"/>
      <c r="BG4" s="582"/>
      <c r="BH4" s="582"/>
      <c r="BI4" s="582"/>
      <c r="BJ4" s="582"/>
      <c r="BK4" s="582"/>
      <c r="BL4" s="582"/>
      <c r="BM4" s="582"/>
      <c r="BN4" s="582"/>
      <c r="BO4" s="582"/>
      <c r="BP4" s="582"/>
      <c r="BQ4" s="582"/>
      <c r="BR4" s="582"/>
      <c r="BS4" s="582"/>
      <c r="BT4" s="582"/>
      <c r="BU4" s="582"/>
      <c r="BV4" s="582"/>
      <c r="BW4" s="582"/>
      <c r="BX4" s="582"/>
      <c r="BY4" s="582"/>
      <c r="BZ4" s="582"/>
      <c r="CA4" s="582"/>
      <c r="CB4" s="582"/>
      <c r="CC4" s="582"/>
      <c r="CD4" s="582"/>
      <c r="CE4" s="582"/>
      <c r="CF4" s="582"/>
      <c r="CG4" s="582"/>
      <c r="CH4" s="582"/>
      <c r="CI4" s="582"/>
      <c r="CJ4" s="582"/>
      <c r="CK4" s="582"/>
      <c r="CL4" s="582"/>
      <c r="CM4" s="582"/>
      <c r="CN4" s="582"/>
      <c r="CO4" s="582"/>
      <c r="CP4" s="582"/>
      <c r="CQ4" s="582"/>
      <c r="CR4" s="582"/>
      <c r="CS4" s="582"/>
      <c r="CT4" s="582"/>
      <c r="CU4" s="582"/>
      <c r="CV4" s="582"/>
      <c r="CW4" s="582"/>
      <c r="CX4" s="582"/>
      <c r="CY4" s="582"/>
      <c r="CZ4" s="582"/>
      <c r="DA4" s="582"/>
    </row>
    <row r="5" spans="1:105" ht="16.5" customHeight="1">
      <c r="A5" s="2180"/>
      <c r="B5" s="2180"/>
      <c r="C5" s="2180"/>
      <c r="D5" s="2180"/>
      <c r="E5" s="2180"/>
      <c r="F5" s="2180"/>
      <c r="G5" s="2180"/>
      <c r="H5" s="2180"/>
      <c r="I5" s="2180"/>
      <c r="J5" s="2180"/>
      <c r="K5" s="2180"/>
      <c r="L5" s="2180"/>
      <c r="M5" s="2180"/>
      <c r="N5" s="2180"/>
      <c r="O5" s="2180"/>
      <c r="P5" s="2180"/>
      <c r="Q5" s="2180"/>
      <c r="R5" s="2180"/>
      <c r="S5" s="2180"/>
      <c r="T5" s="2180"/>
      <c r="U5" s="2180"/>
      <c r="V5" s="2180"/>
      <c r="W5" s="2180"/>
      <c r="X5" s="2180"/>
      <c r="Y5" s="2180"/>
      <c r="Z5" s="2180"/>
      <c r="AA5" s="2180"/>
      <c r="AB5" s="2180"/>
      <c r="AC5" s="2180"/>
      <c r="AD5" s="2180"/>
      <c r="AE5" s="2180"/>
      <c r="AF5" s="2180"/>
      <c r="AG5" s="2180"/>
      <c r="AH5" s="2180"/>
      <c r="AI5" s="2180"/>
      <c r="AJ5" s="2180"/>
      <c r="AK5" s="2180"/>
      <c r="AL5" s="2180"/>
      <c r="AM5" s="2180"/>
      <c r="AN5" s="2180"/>
      <c r="AO5" s="2180"/>
      <c r="AP5" s="2180"/>
      <c r="AQ5" s="2180"/>
      <c r="AR5" s="2180"/>
      <c r="AS5" s="2180"/>
      <c r="AT5" s="2180"/>
      <c r="AU5" s="2180"/>
      <c r="AV5" s="2180"/>
      <c r="AW5" s="2180"/>
      <c r="AX5" s="2180"/>
      <c r="AY5" s="2180"/>
      <c r="AZ5" s="2180"/>
      <c r="BA5" s="2180"/>
      <c r="BB5" s="2180"/>
      <c r="BC5" s="2180"/>
      <c r="BD5" s="2180"/>
      <c r="BE5" s="2180"/>
      <c r="BF5" s="2180"/>
      <c r="BG5" s="2180"/>
      <c r="BH5" s="2180"/>
      <c r="BI5" s="2180"/>
      <c r="BJ5" s="2180"/>
      <c r="BK5" s="2180"/>
      <c r="BL5" s="2180"/>
      <c r="BM5" s="2180"/>
      <c r="BN5" s="2180"/>
      <c r="BO5" s="2180"/>
      <c r="BP5" s="2180"/>
      <c r="BQ5" s="2180"/>
      <c r="BR5" s="2180"/>
      <c r="BS5" s="2180"/>
      <c r="BT5" s="2180"/>
      <c r="BU5" s="2180"/>
      <c r="BV5" s="2180"/>
      <c r="BW5" s="2180"/>
      <c r="BX5" s="2180"/>
      <c r="BY5" s="2180"/>
      <c r="BZ5" s="2180"/>
      <c r="CA5" s="2180"/>
      <c r="CB5" s="2180"/>
      <c r="CC5" s="2180"/>
      <c r="CD5" s="2180"/>
      <c r="CE5" s="2180"/>
      <c r="CF5" s="2180"/>
      <c r="CG5" s="583"/>
      <c r="CH5" s="583"/>
      <c r="CI5" s="583"/>
      <c r="CJ5" s="583"/>
      <c r="CK5" s="583"/>
      <c r="CL5" s="583"/>
      <c r="CM5" s="583"/>
      <c r="CN5" s="583"/>
      <c r="CO5" s="583"/>
      <c r="CP5" s="583"/>
      <c r="CQ5" s="583"/>
      <c r="CR5" s="583"/>
      <c r="CS5" s="583"/>
      <c r="CT5" s="583"/>
      <c r="CU5" s="583"/>
      <c r="CV5" s="583"/>
      <c r="CW5" s="583"/>
      <c r="CX5" s="583"/>
      <c r="CY5" s="583"/>
      <c r="CZ5" s="583"/>
      <c r="DA5" s="584" t="s">
        <v>63</v>
      </c>
    </row>
    <row r="6" spans="1:105" s="298" customFormat="1" ht="52.8">
      <c r="A6" s="635"/>
      <c r="B6" s="636">
        <v>1995</v>
      </c>
      <c r="C6" s="637">
        <v>1996</v>
      </c>
      <c r="D6" s="637">
        <v>1997</v>
      </c>
      <c r="E6" s="637">
        <v>1998</v>
      </c>
      <c r="F6" s="637">
        <v>1999</v>
      </c>
      <c r="G6" s="637">
        <v>2000</v>
      </c>
      <c r="H6" s="638" t="s">
        <v>1587</v>
      </c>
      <c r="I6" s="638" t="s">
        <v>1588</v>
      </c>
      <c r="J6" s="638" t="s">
        <v>1589</v>
      </c>
      <c r="K6" s="638" t="s">
        <v>1590</v>
      </c>
      <c r="L6" s="638" t="s">
        <v>1591</v>
      </c>
      <c r="M6" s="638" t="s">
        <v>1592</v>
      </c>
      <c r="N6" s="638" t="s">
        <v>1593</v>
      </c>
      <c r="O6" s="638" t="s">
        <v>1594</v>
      </c>
      <c r="P6" s="638" t="s">
        <v>1595</v>
      </c>
      <c r="Q6" s="638" t="s">
        <v>1596</v>
      </c>
      <c r="R6" s="638" t="s">
        <v>1597</v>
      </c>
      <c r="S6" s="638" t="s">
        <v>1598</v>
      </c>
      <c r="T6" s="638" t="s">
        <v>1599</v>
      </c>
      <c r="U6" s="638" t="s">
        <v>64</v>
      </c>
      <c r="V6" s="638" t="s">
        <v>65</v>
      </c>
      <c r="W6" s="638" t="s">
        <v>1600</v>
      </c>
      <c r="X6" s="638" t="s">
        <v>1601</v>
      </c>
      <c r="Y6" s="638" t="s">
        <v>66</v>
      </c>
      <c r="Z6" s="638" t="s">
        <v>67</v>
      </c>
      <c r="AA6" s="638" t="s">
        <v>68</v>
      </c>
      <c r="AB6" s="638" t="s">
        <v>1602</v>
      </c>
      <c r="AC6" s="638" t="s">
        <v>69</v>
      </c>
      <c r="AD6" s="638" t="s">
        <v>70</v>
      </c>
      <c r="AE6" s="638" t="s">
        <v>1603</v>
      </c>
      <c r="AF6" s="639" t="s">
        <v>1604</v>
      </c>
      <c r="AG6" s="638" t="s">
        <v>1605</v>
      </c>
      <c r="AH6" s="638" t="s">
        <v>1606</v>
      </c>
      <c r="AI6" s="638" t="s">
        <v>1607</v>
      </c>
      <c r="AJ6" s="639" t="s">
        <v>1608</v>
      </c>
      <c r="AK6" s="638" t="s">
        <v>1609</v>
      </c>
      <c r="AL6" s="638" t="s">
        <v>1610</v>
      </c>
      <c r="AM6" s="638" t="s">
        <v>1611</v>
      </c>
      <c r="AN6" s="639" t="s">
        <v>1612</v>
      </c>
      <c r="AO6" s="638" t="s">
        <v>1613</v>
      </c>
      <c r="AP6" s="638" t="s">
        <v>1614</v>
      </c>
      <c r="AQ6" s="638" t="s">
        <v>1615</v>
      </c>
      <c r="AR6" s="639" t="s">
        <v>1616</v>
      </c>
      <c r="AS6" s="638" t="s">
        <v>1617</v>
      </c>
      <c r="AT6" s="638" t="s">
        <v>1618</v>
      </c>
      <c r="AU6" s="638" t="s">
        <v>1619</v>
      </c>
      <c r="AV6" s="639" t="s">
        <v>1620</v>
      </c>
      <c r="AW6" s="638" t="s">
        <v>1621</v>
      </c>
      <c r="AX6" s="638" t="s">
        <v>1622</v>
      </c>
      <c r="AY6" s="638" t="s">
        <v>1623</v>
      </c>
      <c r="AZ6" s="639" t="s">
        <v>1515</v>
      </c>
      <c r="BA6" s="638" t="s">
        <v>1552</v>
      </c>
      <c r="BB6" s="639" t="s">
        <v>1624</v>
      </c>
      <c r="BC6" s="639" t="s">
        <v>1625</v>
      </c>
      <c r="BD6" s="640">
        <v>2012</v>
      </c>
      <c r="BE6" s="639" t="s">
        <v>1489</v>
      </c>
      <c r="BF6" s="638" t="s">
        <v>1551</v>
      </c>
      <c r="BG6" s="638" t="s">
        <v>1626</v>
      </c>
      <c r="BH6" s="639" t="s">
        <v>1670</v>
      </c>
      <c r="BI6" s="640">
        <v>2013</v>
      </c>
      <c r="BJ6" s="639" t="s">
        <v>1693</v>
      </c>
      <c r="BK6" s="639" t="s">
        <v>1731</v>
      </c>
      <c r="BL6" s="639" t="s">
        <v>1776</v>
      </c>
      <c r="BM6" s="639" t="s">
        <v>1858</v>
      </c>
      <c r="BN6" s="639">
        <v>2014</v>
      </c>
      <c r="BO6" s="639" t="s">
        <v>1871</v>
      </c>
      <c r="BP6" s="639" t="s">
        <v>1872</v>
      </c>
      <c r="BQ6" s="639" t="s">
        <v>1876</v>
      </c>
      <c r="BR6" s="640" t="s">
        <v>1877</v>
      </c>
      <c r="BS6" s="641" t="s">
        <v>1885</v>
      </c>
      <c r="BT6" s="640" t="s">
        <v>1886</v>
      </c>
      <c r="BU6" s="639" t="s">
        <v>1893</v>
      </c>
      <c r="BV6" s="639" t="s">
        <v>1897</v>
      </c>
      <c r="BW6" s="639" t="s">
        <v>1954</v>
      </c>
      <c r="BX6" s="639" t="s">
        <v>1955</v>
      </c>
      <c r="BY6" s="639" t="s">
        <v>1980</v>
      </c>
      <c r="BZ6" s="639" t="s">
        <v>2024</v>
      </c>
      <c r="CA6" s="639" t="s">
        <v>2069</v>
      </c>
      <c r="CB6" s="639" t="s">
        <v>2089</v>
      </c>
      <c r="CC6" s="639" t="s">
        <v>2110</v>
      </c>
      <c r="CD6" s="639" t="s">
        <v>2133</v>
      </c>
      <c r="CE6" s="639" t="s">
        <v>2163</v>
      </c>
      <c r="CF6" s="639" t="s">
        <v>2182</v>
      </c>
      <c r="CG6" s="639" t="s">
        <v>2205</v>
      </c>
      <c r="CH6" s="639" t="s">
        <v>2237</v>
      </c>
      <c r="CI6" s="639" t="s">
        <v>2253</v>
      </c>
      <c r="CJ6" s="639" t="s">
        <v>2417</v>
      </c>
      <c r="CK6" s="639" t="s">
        <v>2454</v>
      </c>
      <c r="CL6" s="639" t="s">
        <v>2498</v>
      </c>
      <c r="CM6" s="639" t="s">
        <v>2555</v>
      </c>
      <c r="CN6" s="639" t="s">
        <v>2606</v>
      </c>
      <c r="CO6" s="639" t="s">
        <v>2630</v>
      </c>
      <c r="CP6" s="639" t="s">
        <v>2660</v>
      </c>
      <c r="CQ6" s="639" t="s">
        <v>2871</v>
      </c>
      <c r="CR6" s="639" t="s">
        <v>2910</v>
      </c>
      <c r="CS6" s="639" t="s">
        <v>2944</v>
      </c>
      <c r="CT6" s="639" t="s">
        <v>2957</v>
      </c>
      <c r="CU6" s="639" t="s">
        <v>3502</v>
      </c>
      <c r="CV6" s="639" t="s">
        <v>3630</v>
      </c>
      <c r="CW6" s="639" t="s">
        <v>3823</v>
      </c>
      <c r="CX6" s="639" t="s">
        <v>3949</v>
      </c>
      <c r="CY6" s="639" t="s">
        <v>4035</v>
      </c>
      <c r="CZ6" s="639" t="s">
        <v>4122</v>
      </c>
      <c r="DA6" s="642"/>
    </row>
    <row r="7" spans="1:105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25">
        <v>-806</v>
      </c>
      <c r="CN7" s="300">
        <v>-20</v>
      </c>
      <c r="CO7" s="525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25">
        <v>5767.4539999999988</v>
      </c>
      <c r="CW7" s="525">
        <v>3376.2000000000012</v>
      </c>
      <c r="CX7" s="300">
        <v>1778.4260000000015</v>
      </c>
      <c r="CY7" s="2109">
        <v>1519.2969999999966</v>
      </c>
      <c r="CZ7" s="300">
        <v>1655.4450000000004</v>
      </c>
      <c r="DA7" s="305" t="s">
        <v>72</v>
      </c>
    </row>
    <row r="8" spans="1:105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1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89"/>
      <c r="CR8" s="989"/>
      <c r="CS8" s="989"/>
      <c r="CT8" s="989"/>
      <c r="CU8" s="989"/>
      <c r="CV8" s="989"/>
      <c r="CW8" s="989"/>
      <c r="CX8" s="989"/>
      <c r="CY8" s="989"/>
      <c r="CZ8" s="989"/>
      <c r="DA8" s="313"/>
    </row>
    <row r="9" spans="1:105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2">BA11+BA16</f>
        <v>5558</v>
      </c>
      <c r="BB9" s="309">
        <f t="shared" si="2"/>
        <v>5095</v>
      </c>
      <c r="BC9" s="309">
        <f t="shared" si="2"/>
        <v>4705</v>
      </c>
      <c r="BD9" s="302">
        <f>BD11+BD16</f>
        <v>22181</v>
      </c>
      <c r="BE9" s="309">
        <f>BE11+BE16</f>
        <v>6037</v>
      </c>
      <c r="BF9" s="309">
        <f t="shared" si="2"/>
        <v>4699</v>
      </c>
      <c r="BG9" s="309">
        <f t="shared" si="2"/>
        <v>5219</v>
      </c>
      <c r="BH9" s="309">
        <f t="shared" si="2"/>
        <v>5428</v>
      </c>
      <c r="BI9" s="302">
        <f>BI11+BI16</f>
        <v>21383</v>
      </c>
      <c r="BJ9" s="309">
        <f t="shared" si="2"/>
        <v>5544</v>
      </c>
      <c r="BK9" s="309">
        <f t="shared" si="2"/>
        <v>5584</v>
      </c>
      <c r="BL9" s="309">
        <f>BL11+BL16</f>
        <v>5080</v>
      </c>
      <c r="BM9" s="309">
        <f t="shared" si="2"/>
        <v>2720</v>
      </c>
      <c r="BN9" s="302">
        <f>BN11+BN16</f>
        <v>18928</v>
      </c>
      <c r="BO9" s="309">
        <f t="shared" si="2"/>
        <v>1758</v>
      </c>
      <c r="BP9" s="309">
        <f t="shared" si="2"/>
        <v>2000</v>
      </c>
      <c r="BQ9" s="309">
        <f t="shared" si="2"/>
        <v>1544</v>
      </c>
      <c r="BR9" s="309">
        <f>BR11+BR16</f>
        <v>5302</v>
      </c>
      <c r="BS9" s="309">
        <f t="shared" si="2"/>
        <v>510</v>
      </c>
      <c r="BT9" s="302">
        <f t="shared" si="2"/>
        <v>5812</v>
      </c>
      <c r="BU9" s="309">
        <f t="shared" si="2"/>
        <v>622</v>
      </c>
      <c r="BV9" s="314">
        <f t="shared" si="2"/>
        <v>1312</v>
      </c>
      <c r="BW9" s="314">
        <f t="shared" si="2"/>
        <v>981</v>
      </c>
      <c r="BX9" s="309">
        <f t="shared" si="2"/>
        <v>1291</v>
      </c>
      <c r="BY9" s="309">
        <f t="shared" si="2"/>
        <v>1890</v>
      </c>
      <c r="BZ9" s="309">
        <f t="shared" si="2"/>
        <v>1589</v>
      </c>
      <c r="CA9" s="309">
        <f t="shared" si="2"/>
        <v>923</v>
      </c>
      <c r="CB9" s="309">
        <f t="shared" si="2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89">
        <v>2887.3269999999998</v>
      </c>
      <c r="CR9" s="989">
        <v>4867.2270000000008</v>
      </c>
      <c r="CS9" s="989">
        <v>5447.0630000000001</v>
      </c>
      <c r="CT9" s="989">
        <v>7575.3100000000022</v>
      </c>
      <c r="CU9" s="989">
        <v>8669.9889999999996</v>
      </c>
      <c r="CV9" s="989">
        <v>7005.1179999999995</v>
      </c>
      <c r="CW9" s="989">
        <v>4720.6570000000011</v>
      </c>
      <c r="CX9" s="989">
        <v>2768.2780000000016</v>
      </c>
      <c r="CY9" s="989">
        <v>2487.5269999999964</v>
      </c>
      <c r="CZ9" s="989">
        <v>2829.1010000000006</v>
      </c>
      <c r="DA9" s="313" t="s">
        <v>74</v>
      </c>
    </row>
    <row r="10" spans="1:105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89"/>
      <c r="CR10" s="989"/>
      <c r="CS10" s="989"/>
      <c r="CT10" s="989"/>
      <c r="CU10" s="989"/>
      <c r="CV10" s="989"/>
      <c r="CW10" s="989"/>
      <c r="CX10" s="989"/>
      <c r="CY10" s="989"/>
      <c r="CZ10" s="989"/>
      <c r="DA10" s="313"/>
    </row>
    <row r="11" spans="1:105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3">BA13+BA14</f>
        <v>8038</v>
      </c>
      <c r="BB11" s="309">
        <f t="shared" si="3"/>
        <v>7561</v>
      </c>
      <c r="BC11" s="309">
        <f t="shared" si="3"/>
        <v>7812</v>
      </c>
      <c r="BD11" s="302">
        <f>BD13+BD14</f>
        <v>32374</v>
      </c>
      <c r="BE11" s="309">
        <f t="shared" si="3"/>
        <v>8273</v>
      </c>
      <c r="BF11" s="309">
        <f t="shared" si="3"/>
        <v>7559</v>
      </c>
      <c r="BG11" s="309">
        <f t="shared" si="3"/>
        <v>7924</v>
      </c>
      <c r="BH11" s="309">
        <f t="shared" si="3"/>
        <v>7947</v>
      </c>
      <c r="BI11" s="302">
        <f>BI13+BI14</f>
        <v>31703</v>
      </c>
      <c r="BJ11" s="309">
        <f t="shared" si="3"/>
        <v>7504</v>
      </c>
      <c r="BK11" s="309">
        <f t="shared" si="3"/>
        <v>8090</v>
      </c>
      <c r="BL11" s="309">
        <f t="shared" si="3"/>
        <v>7338</v>
      </c>
      <c r="BM11" s="309">
        <f t="shared" si="3"/>
        <v>5328</v>
      </c>
      <c r="BN11" s="302">
        <f>BN13+BN14</f>
        <v>28260</v>
      </c>
      <c r="BO11" s="309">
        <f t="shared" si="3"/>
        <v>4250</v>
      </c>
      <c r="BP11" s="309">
        <f t="shared" si="3"/>
        <v>4427</v>
      </c>
      <c r="BQ11" s="309">
        <f t="shared" si="3"/>
        <v>3646</v>
      </c>
      <c r="BR11" s="302">
        <f t="shared" si="3"/>
        <v>12323</v>
      </c>
      <c r="BS11" s="314">
        <f t="shared" si="3"/>
        <v>3263</v>
      </c>
      <c r="BT11" s="311">
        <f>BT13+BT14</f>
        <v>15586</v>
      </c>
      <c r="BU11" s="314">
        <f t="shared" si="3"/>
        <v>2552</v>
      </c>
      <c r="BV11" s="314">
        <f t="shared" si="3"/>
        <v>3709</v>
      </c>
      <c r="BW11" s="314">
        <f t="shared" si="3"/>
        <v>3274</v>
      </c>
      <c r="BX11" s="309">
        <f t="shared" si="3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89">
        <v>5540.0969999999998</v>
      </c>
      <c r="CR11" s="989">
        <v>7799.0259999999998</v>
      </c>
      <c r="CS11" s="989">
        <v>8124.2920000000004</v>
      </c>
      <c r="CT11" s="989">
        <v>10777.524000000001</v>
      </c>
      <c r="CU11" s="989">
        <v>12325.09</v>
      </c>
      <c r="CV11" s="989">
        <v>10979.79</v>
      </c>
      <c r="CW11" s="989">
        <v>8483.7800000000007</v>
      </c>
      <c r="CX11" s="989">
        <v>6673.5320000000011</v>
      </c>
      <c r="CY11" s="989">
        <v>6669.1059999999979</v>
      </c>
      <c r="CZ11" s="989">
        <v>7375.6959999999999</v>
      </c>
      <c r="DA11" s="313" t="s">
        <v>76</v>
      </c>
    </row>
    <row r="12" spans="1:105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89"/>
      <c r="CR12" s="989"/>
      <c r="CS12" s="989"/>
      <c r="CT12" s="989"/>
      <c r="CU12" s="989"/>
      <c r="CV12" s="989"/>
      <c r="CW12" s="989"/>
      <c r="CX12" s="989"/>
      <c r="CY12" s="989"/>
      <c r="CZ12" s="989"/>
      <c r="DA12" s="313"/>
    </row>
    <row r="13" spans="1:105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1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4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5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89">
        <v>4924.4759999999997</v>
      </c>
      <c r="CR13" s="989">
        <v>6930.6669999999995</v>
      </c>
      <c r="CS13" s="989">
        <v>7416.64</v>
      </c>
      <c r="CT13" s="989">
        <v>10074.204000000002</v>
      </c>
      <c r="CU13" s="989">
        <v>11696.456</v>
      </c>
      <c r="CV13" s="989">
        <v>10079.565000000001</v>
      </c>
      <c r="CW13" s="989">
        <v>7584.2550000000001</v>
      </c>
      <c r="CX13" s="989">
        <v>5833.6240000000007</v>
      </c>
      <c r="CY13" s="989">
        <v>6017.0959999999977</v>
      </c>
      <c r="CZ13" s="989">
        <v>6500.0010000000002</v>
      </c>
      <c r="DA13" s="313" t="s">
        <v>78</v>
      </c>
    </row>
    <row r="14" spans="1:105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1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4"/>
        <v>1633</v>
      </c>
      <c r="BO14" s="309">
        <v>453</v>
      </c>
      <c r="BP14" s="309">
        <v>374</v>
      </c>
      <c r="BQ14" s="310">
        <v>289</v>
      </c>
      <c r="BR14" s="311">
        <f t="shared" si="5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89">
        <v>615.62099999999998</v>
      </c>
      <c r="CR14" s="989">
        <v>868.35900000000004</v>
      </c>
      <c r="CS14" s="989">
        <v>707.65200000000004</v>
      </c>
      <c r="CT14" s="989">
        <v>703.31999999999994</v>
      </c>
      <c r="CU14" s="989">
        <v>628.63400000000001</v>
      </c>
      <c r="CV14" s="989">
        <v>900.22500000000014</v>
      </c>
      <c r="CW14" s="989">
        <v>899.52499999999998</v>
      </c>
      <c r="CX14" s="989">
        <v>839.90800000000002</v>
      </c>
      <c r="CY14" s="989">
        <v>652.01000000000022</v>
      </c>
      <c r="CZ14" s="989">
        <v>875.69499999999971</v>
      </c>
      <c r="DA14" s="313" t="s">
        <v>80</v>
      </c>
    </row>
    <row r="15" spans="1:105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89"/>
      <c r="CR15" s="989"/>
      <c r="CS15" s="989"/>
      <c r="CT15" s="989"/>
      <c r="CU15" s="989"/>
      <c r="CV15" s="989"/>
      <c r="CW15" s="989"/>
      <c r="CX15" s="989"/>
      <c r="CY15" s="989"/>
      <c r="CZ15" s="989"/>
      <c r="DA15" s="313"/>
    </row>
    <row r="16" spans="1:105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6">BA18+BA19</f>
        <v>-2480</v>
      </c>
      <c r="BB16" s="309">
        <f t="shared" si="6"/>
        <v>-2466</v>
      </c>
      <c r="BC16" s="309">
        <f t="shared" si="6"/>
        <v>-3107</v>
      </c>
      <c r="BD16" s="302">
        <f t="shared" si="6"/>
        <v>-10193</v>
      </c>
      <c r="BE16" s="309">
        <f t="shared" si="6"/>
        <v>-2236</v>
      </c>
      <c r="BF16" s="309">
        <f t="shared" si="6"/>
        <v>-2860</v>
      </c>
      <c r="BG16" s="309">
        <f t="shared" si="6"/>
        <v>-2705</v>
      </c>
      <c r="BH16" s="309">
        <f t="shared" si="6"/>
        <v>-2519</v>
      </c>
      <c r="BI16" s="302">
        <f t="shared" si="6"/>
        <v>-10320</v>
      </c>
      <c r="BJ16" s="309">
        <f t="shared" si="6"/>
        <v>-1960</v>
      </c>
      <c r="BK16" s="309">
        <f t="shared" si="6"/>
        <v>-2506</v>
      </c>
      <c r="BL16" s="309">
        <f t="shared" si="6"/>
        <v>-2258</v>
      </c>
      <c r="BM16" s="309">
        <f t="shared" si="6"/>
        <v>-2608</v>
      </c>
      <c r="BN16" s="302">
        <f>BN18+BN19</f>
        <v>-9332</v>
      </c>
      <c r="BO16" s="309">
        <f t="shared" si="6"/>
        <v>-2492</v>
      </c>
      <c r="BP16" s="309">
        <f t="shared" si="6"/>
        <v>-2427</v>
      </c>
      <c r="BQ16" s="309">
        <f t="shared" si="6"/>
        <v>-2102</v>
      </c>
      <c r="BR16" s="302">
        <f>BR18+BR19</f>
        <v>-7021</v>
      </c>
      <c r="BS16" s="314">
        <f t="shared" ref="BS16:BY16" si="7">BS18+BS19</f>
        <v>-2753</v>
      </c>
      <c r="BT16" s="311">
        <f>BT18+BT19</f>
        <v>-9774</v>
      </c>
      <c r="BU16" s="314">
        <f t="shared" si="7"/>
        <v>-1930</v>
      </c>
      <c r="BV16" s="314">
        <f t="shared" si="7"/>
        <v>-2397</v>
      </c>
      <c r="BW16" s="314">
        <f t="shared" si="7"/>
        <v>-2293</v>
      </c>
      <c r="BX16" s="309">
        <f t="shared" si="7"/>
        <v>-2384</v>
      </c>
      <c r="BY16" s="309">
        <f t="shared" si="7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89">
        <v>-2652.77</v>
      </c>
      <c r="CR16" s="989">
        <v>-2931.7989999999995</v>
      </c>
      <c r="CS16" s="989">
        <v>-2677.2290000000003</v>
      </c>
      <c r="CT16" s="989">
        <v>-3202.213999999999</v>
      </c>
      <c r="CU16" s="989">
        <v>-3655.1010000000001</v>
      </c>
      <c r="CV16" s="989">
        <v>-3974.6720000000014</v>
      </c>
      <c r="CW16" s="989">
        <v>-3763.123</v>
      </c>
      <c r="CX16" s="989">
        <v>-3905.2539999999995</v>
      </c>
      <c r="CY16" s="989">
        <v>-4181.5790000000015</v>
      </c>
      <c r="CZ16" s="989">
        <v>-4546.5949999999993</v>
      </c>
      <c r="DA16" s="313" t="s">
        <v>82</v>
      </c>
    </row>
    <row r="17" spans="1:106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89"/>
      <c r="CR17" s="989"/>
      <c r="CS17" s="989"/>
      <c r="CT17" s="989"/>
      <c r="CU17" s="989"/>
      <c r="CV17" s="989"/>
      <c r="CW17" s="989"/>
      <c r="CX17" s="989"/>
      <c r="CY17" s="989"/>
      <c r="CZ17" s="989"/>
      <c r="DA17" s="319"/>
      <c r="DB17" s="306"/>
    </row>
    <row r="18" spans="1:106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1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4"/>
        <v>-1438</v>
      </c>
      <c r="BO18" s="309">
        <v>-344</v>
      </c>
      <c r="BP18" s="309">
        <v>-590</v>
      </c>
      <c r="BQ18" s="310">
        <v>-571</v>
      </c>
      <c r="BR18" s="311">
        <f t="shared" si="5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89">
        <v>-404.13900000000001</v>
      </c>
      <c r="CR18" s="989">
        <v>-384.41000000000008</v>
      </c>
      <c r="CS18" s="989">
        <v>-331.54500000000002</v>
      </c>
      <c r="CT18" s="989">
        <v>-722.01599999999985</v>
      </c>
      <c r="CU18" s="989">
        <v>-594.04300000000012</v>
      </c>
      <c r="CV18" s="989">
        <v>-891.42100000000005</v>
      </c>
      <c r="CW18" s="989">
        <v>-848.75400000000002</v>
      </c>
      <c r="CX18" s="989">
        <v>-1117.3119999999999</v>
      </c>
      <c r="CY18" s="989">
        <v>-869.58200000000011</v>
      </c>
      <c r="CZ18" s="989">
        <v>-12.85799999999972</v>
      </c>
      <c r="DA18" s="313" t="s">
        <v>78</v>
      </c>
    </row>
    <row r="19" spans="1:106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1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4"/>
        <v>-7894</v>
      </c>
      <c r="BO19" s="309">
        <v>-2148</v>
      </c>
      <c r="BP19" s="309">
        <v>-1837</v>
      </c>
      <c r="BQ19" s="310">
        <v>-1531</v>
      </c>
      <c r="BR19" s="311">
        <f t="shared" si="5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89">
        <v>-2248.6309999999999</v>
      </c>
      <c r="CR19" s="989">
        <v>-2547.3890000000006</v>
      </c>
      <c r="CS19" s="989">
        <v>-2345.6840000000002</v>
      </c>
      <c r="CT19" s="989">
        <v>-2480.1979999999994</v>
      </c>
      <c r="CU19" s="989">
        <v>-3061.058</v>
      </c>
      <c r="CV19" s="989">
        <v>-3083.2510000000011</v>
      </c>
      <c r="CW19" s="989">
        <v>-2914.3690000000001</v>
      </c>
      <c r="CX19" s="989">
        <v>-2787.9419999999996</v>
      </c>
      <c r="CY19" s="989">
        <v>-3311.9970000000012</v>
      </c>
      <c r="CZ19" s="989">
        <v>-4533.7369999999992</v>
      </c>
      <c r="DA19" s="313" t="s">
        <v>80</v>
      </c>
    </row>
    <row r="20" spans="1:106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89"/>
      <c r="CR20" s="989"/>
      <c r="CS20" s="989"/>
      <c r="CT20" s="989"/>
      <c r="CU20" s="989"/>
      <c r="CV20" s="989"/>
      <c r="CW20" s="989"/>
      <c r="CX20" s="989"/>
      <c r="CY20" s="989"/>
      <c r="CZ20" s="989"/>
      <c r="DA20" s="313"/>
    </row>
    <row r="21" spans="1:106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8">BA23+BA24</f>
        <v>-835</v>
      </c>
      <c r="BB21" s="309">
        <f t="shared" si="8"/>
        <v>-608</v>
      </c>
      <c r="BC21" s="309">
        <f t="shared" si="8"/>
        <v>-546</v>
      </c>
      <c r="BD21" s="302">
        <f t="shared" si="8"/>
        <v>-2923</v>
      </c>
      <c r="BE21" s="309">
        <f t="shared" si="8"/>
        <v>-648</v>
      </c>
      <c r="BF21" s="309">
        <f t="shared" si="8"/>
        <v>-1397</v>
      </c>
      <c r="BG21" s="309">
        <f t="shared" si="8"/>
        <v>-1106</v>
      </c>
      <c r="BH21" s="309">
        <f t="shared" si="8"/>
        <v>-1038</v>
      </c>
      <c r="BI21" s="302">
        <f t="shared" si="8"/>
        <v>-4189</v>
      </c>
      <c r="BJ21" s="309">
        <f t="shared" si="8"/>
        <v>-1443</v>
      </c>
      <c r="BK21" s="309">
        <f t="shared" si="8"/>
        <v>-1656</v>
      </c>
      <c r="BL21" s="309">
        <f t="shared" si="8"/>
        <v>-1608</v>
      </c>
      <c r="BM21" s="309">
        <f t="shared" si="8"/>
        <v>-1383</v>
      </c>
      <c r="BN21" s="302">
        <f t="shared" si="8"/>
        <v>-6090</v>
      </c>
      <c r="BO21" s="309">
        <f t="shared" si="8"/>
        <v>-1133</v>
      </c>
      <c r="BP21" s="309">
        <f t="shared" si="8"/>
        <v>-1270</v>
      </c>
      <c r="BQ21" s="309">
        <f t="shared" si="8"/>
        <v>-1030</v>
      </c>
      <c r="BR21" s="302">
        <f>BR23+BR24</f>
        <v>-3433</v>
      </c>
      <c r="BS21" s="314">
        <f t="shared" ref="BS21:BX21" si="9">BS23+BS24</f>
        <v>-795</v>
      </c>
      <c r="BT21" s="311">
        <f>BT23+BT24</f>
        <v>-4228</v>
      </c>
      <c r="BU21" s="314">
        <f t="shared" si="9"/>
        <v>-699</v>
      </c>
      <c r="BV21" s="314">
        <f t="shared" si="9"/>
        <v>-1057</v>
      </c>
      <c r="BW21" s="314">
        <f t="shared" si="9"/>
        <v>-515</v>
      </c>
      <c r="BX21" s="309">
        <f t="shared" si="9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89">
        <v>-464.65699999999993</v>
      </c>
      <c r="CR21" s="989">
        <v>-357.96800000000019</v>
      </c>
      <c r="CS21" s="989">
        <v>-627.54999999999995</v>
      </c>
      <c r="CT21" s="989">
        <v>-704.18500000000006</v>
      </c>
      <c r="CU21" s="989">
        <v>-615.80200000000002</v>
      </c>
      <c r="CV21" s="989">
        <v>-750.28600000000006</v>
      </c>
      <c r="CW21" s="989">
        <v>-686.82500000000005</v>
      </c>
      <c r="CX21" s="989">
        <v>-426.96899999999994</v>
      </c>
      <c r="CY21" s="989">
        <v>-633.92699999999991</v>
      </c>
      <c r="CZ21" s="989">
        <v>-586.92700000000002</v>
      </c>
      <c r="DA21" s="313" t="s">
        <v>84</v>
      </c>
    </row>
    <row r="22" spans="1:106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89"/>
      <c r="CR22" s="989"/>
      <c r="CS22" s="989"/>
      <c r="CT22" s="989"/>
      <c r="CU22" s="989"/>
      <c r="CV22" s="989"/>
      <c r="CW22" s="989"/>
      <c r="CX22" s="989"/>
      <c r="CY22" s="989"/>
      <c r="CZ22" s="989"/>
      <c r="DA22" s="313"/>
    </row>
    <row r="23" spans="1:106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1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4"/>
        <v>-4059</v>
      </c>
      <c r="BO23" s="309">
        <v>-933</v>
      </c>
      <c r="BP23" s="309">
        <v>-808</v>
      </c>
      <c r="BQ23" s="310">
        <v>-747</v>
      </c>
      <c r="BR23" s="311">
        <f t="shared" si="5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89">
        <v>-325.34599999999989</v>
      </c>
      <c r="CR23" s="989">
        <v>-343.18000000000006</v>
      </c>
      <c r="CS23" s="989">
        <v>-477.32</v>
      </c>
      <c r="CT23" s="989">
        <v>-490.85100000000006</v>
      </c>
      <c r="CU23" s="989">
        <v>-457.30400000000003</v>
      </c>
      <c r="CV23" s="989">
        <v>-557.18100000000004</v>
      </c>
      <c r="CW23" s="989">
        <v>-508.637</v>
      </c>
      <c r="CX23" s="989">
        <v>-470.47999999999996</v>
      </c>
      <c r="CY23" s="989">
        <v>-524.54099999999994</v>
      </c>
      <c r="CZ23" s="989">
        <v>-558.41300000000001</v>
      </c>
      <c r="DA23" s="313" t="s">
        <v>78</v>
      </c>
    </row>
    <row r="24" spans="1:106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1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4"/>
        <v>-2031</v>
      </c>
      <c r="BO24" s="309">
        <v>-200</v>
      </c>
      <c r="BP24" s="309">
        <v>-462</v>
      </c>
      <c r="BQ24" s="310">
        <v>-283</v>
      </c>
      <c r="BR24" s="311">
        <f t="shared" si="5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89">
        <v>-139.31100000000004</v>
      </c>
      <c r="CR24" s="989">
        <v>-14.787999999999982</v>
      </c>
      <c r="CS24" s="989">
        <v>-150.22999999999999</v>
      </c>
      <c r="CT24" s="989">
        <v>-213.33400000000003</v>
      </c>
      <c r="CU24" s="989">
        <v>-158.49799999999999</v>
      </c>
      <c r="CV24" s="989">
        <v>-193.10500000000002</v>
      </c>
      <c r="CW24" s="989">
        <v>-178.18799999999999</v>
      </c>
      <c r="CX24" s="989">
        <v>43.510999999999996</v>
      </c>
      <c r="CY24" s="989">
        <v>-109.386</v>
      </c>
      <c r="CZ24" s="989">
        <v>-28.514000000000038</v>
      </c>
      <c r="DA24" s="313" t="s">
        <v>80</v>
      </c>
    </row>
    <row r="25" spans="1:106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89"/>
      <c r="CR25" s="989"/>
      <c r="CS25" s="989"/>
      <c r="CT25" s="989"/>
      <c r="CU25" s="989"/>
      <c r="CV25" s="989"/>
      <c r="CW25" s="989"/>
      <c r="CX25" s="989"/>
      <c r="CY25" s="989"/>
      <c r="CZ25" s="989"/>
      <c r="DA25" s="313"/>
    </row>
    <row r="26" spans="1:106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89"/>
      <c r="CR26" s="989"/>
      <c r="CS26" s="989"/>
      <c r="CT26" s="989"/>
      <c r="CU26" s="989"/>
      <c r="CV26" s="989"/>
      <c r="CW26" s="989"/>
      <c r="CX26" s="989"/>
      <c r="CY26" s="989"/>
      <c r="CZ26" s="989"/>
      <c r="DA26" s="321" t="s">
        <v>86</v>
      </c>
    </row>
    <row r="27" spans="1:106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89"/>
      <c r="CR27" s="989"/>
      <c r="CS27" s="989"/>
      <c r="CT27" s="989"/>
      <c r="CU27" s="989"/>
      <c r="CV27" s="989"/>
      <c r="CW27" s="989"/>
      <c r="CX27" s="989"/>
      <c r="CY27" s="989"/>
      <c r="CZ27" s="989"/>
      <c r="DA27" s="319"/>
      <c r="DB27" s="306"/>
    </row>
    <row r="28" spans="1:106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1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4"/>
        <v>130</v>
      </c>
      <c r="BO28" s="309">
        <v>-19</v>
      </c>
      <c r="BP28" s="309">
        <v>285</v>
      </c>
      <c r="BQ28" s="310">
        <v>144</v>
      </c>
      <c r="BR28" s="311">
        <f t="shared" si="5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89">
        <v>174.77499999999998</v>
      </c>
      <c r="CR28" s="989">
        <v>266.90499999999997</v>
      </c>
      <c r="CS28" s="989">
        <v>230.64</v>
      </c>
      <c r="CT28" s="989">
        <v>214.98900000000003</v>
      </c>
      <c r="CU28" s="989">
        <v>766.09399999999994</v>
      </c>
      <c r="CV28" s="989">
        <v>1020.793</v>
      </c>
      <c r="CW28" s="989">
        <v>263.95800000000003</v>
      </c>
      <c r="CX28" s="989">
        <v>308.85999999999996</v>
      </c>
      <c r="CY28" s="989">
        <v>244.08600000000001</v>
      </c>
      <c r="CZ28" s="989">
        <v>343.35599999999999</v>
      </c>
      <c r="DA28" s="313" t="s">
        <v>88</v>
      </c>
    </row>
    <row r="29" spans="1:106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1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4"/>
        <v>-3862</v>
      </c>
      <c r="BO29" s="309">
        <v>-918</v>
      </c>
      <c r="BP29" s="309">
        <v>-1017</v>
      </c>
      <c r="BQ29" s="310">
        <v>-883</v>
      </c>
      <c r="BR29" s="311">
        <f t="shared" si="5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89">
        <v>-331.64100000000002</v>
      </c>
      <c r="CR29" s="989">
        <v>-332.85700000000014</v>
      </c>
      <c r="CS29" s="989">
        <v>-268.75799999999998</v>
      </c>
      <c r="CT29" s="989">
        <v>-256.09499999999997</v>
      </c>
      <c r="CU29" s="989">
        <v>-297.495</v>
      </c>
      <c r="CV29" s="989">
        <v>-312.61500000000001</v>
      </c>
      <c r="CW29" s="989">
        <v>-328.887</v>
      </c>
      <c r="CX29" s="989">
        <v>-352.33499999999998</v>
      </c>
      <c r="CY29" s="989">
        <v>-362.79600000000005</v>
      </c>
      <c r="CZ29" s="989">
        <v>-387.07500000000005</v>
      </c>
      <c r="DA29" s="313" t="s">
        <v>90</v>
      </c>
    </row>
    <row r="30" spans="1:106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89"/>
      <c r="CR30" s="989"/>
      <c r="CS30" s="989"/>
      <c r="CT30" s="989"/>
      <c r="CU30" s="989"/>
      <c r="CV30" s="989"/>
      <c r="CW30" s="989"/>
      <c r="CX30" s="989"/>
      <c r="CY30" s="989"/>
      <c r="CZ30" s="989"/>
      <c r="DA30" s="313"/>
    </row>
    <row r="31" spans="1:106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0">BA33+BA34</f>
        <v>-1067</v>
      </c>
      <c r="BB31" s="309">
        <f t="shared" si="10"/>
        <v>-1139</v>
      </c>
      <c r="BC31" s="309">
        <f t="shared" si="10"/>
        <v>-835</v>
      </c>
      <c r="BD31" s="302">
        <f>BD33+BD34</f>
        <v>-4326</v>
      </c>
      <c r="BE31" s="309">
        <f t="shared" si="10"/>
        <v>-1160</v>
      </c>
      <c r="BF31" s="309">
        <f t="shared" si="10"/>
        <v>-837</v>
      </c>
      <c r="BG31" s="309">
        <f t="shared" si="10"/>
        <v>-1055</v>
      </c>
      <c r="BH31" s="309">
        <f t="shared" si="10"/>
        <v>-1069</v>
      </c>
      <c r="BI31" s="302">
        <f>BI33+BI34</f>
        <v>-4121</v>
      </c>
      <c r="BJ31" s="309">
        <f t="shared" si="10"/>
        <v>-754</v>
      </c>
      <c r="BK31" s="309">
        <f t="shared" si="10"/>
        <v>-827</v>
      </c>
      <c r="BL31" s="309">
        <f t="shared" si="10"/>
        <v>-824</v>
      </c>
      <c r="BM31" s="309">
        <f t="shared" si="10"/>
        <v>-176</v>
      </c>
      <c r="BN31" s="302">
        <f>BN33+BN34</f>
        <v>-2581</v>
      </c>
      <c r="BO31" s="309">
        <f t="shared" si="10"/>
        <v>-485</v>
      </c>
      <c r="BP31" s="309">
        <f t="shared" si="10"/>
        <v>-829</v>
      </c>
      <c r="BQ31" s="309">
        <f t="shared" si="10"/>
        <v>-482</v>
      </c>
      <c r="BR31" s="302">
        <f t="shared" si="10"/>
        <v>-1796</v>
      </c>
      <c r="BS31" s="314">
        <f t="shared" si="10"/>
        <v>-232</v>
      </c>
      <c r="BT31" s="311">
        <f>BT33+BT34</f>
        <v>-2028</v>
      </c>
      <c r="BU31" s="314">
        <f t="shared" si="10"/>
        <v>-358</v>
      </c>
      <c r="BV31" s="314">
        <f t="shared" si="10"/>
        <v>-645</v>
      </c>
      <c r="BW31" s="314">
        <f t="shared" si="10"/>
        <v>-795</v>
      </c>
      <c r="BX31" s="309">
        <f t="shared" si="10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89">
        <v>-506.80399999999997</v>
      </c>
      <c r="CR31" s="989">
        <v>-253.45100000000002</v>
      </c>
      <c r="CS31" s="989">
        <v>-961.76</v>
      </c>
      <c r="CT31" s="989">
        <v>-1691.6910000000003</v>
      </c>
      <c r="CU31" s="989">
        <v>-1651.4219999999998</v>
      </c>
      <c r="CV31" s="989">
        <v>-1182.105</v>
      </c>
      <c r="CW31" s="989">
        <v>-955.87999999999988</v>
      </c>
      <c r="CX31" s="989">
        <v>-861.69600000000014</v>
      </c>
      <c r="CY31" s="989">
        <v>-572.63</v>
      </c>
      <c r="CZ31" s="989">
        <v>-808.91099999999983</v>
      </c>
      <c r="DA31" s="313" t="s">
        <v>1517</v>
      </c>
    </row>
    <row r="32" spans="1:106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1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89"/>
      <c r="CR32" s="989"/>
      <c r="CS32" s="989"/>
      <c r="CT32" s="989"/>
      <c r="CU32" s="989"/>
      <c r="CV32" s="989"/>
      <c r="CW32" s="989"/>
      <c r="CX32" s="989"/>
      <c r="CY32" s="989"/>
      <c r="CZ32" s="989"/>
      <c r="DA32" s="313"/>
    </row>
    <row r="33" spans="1:105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1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4"/>
        <v>-3085</v>
      </c>
      <c r="BO33" s="309">
        <v>-373</v>
      </c>
      <c r="BP33" s="309">
        <v>-902</v>
      </c>
      <c r="BQ33" s="310">
        <v>-496</v>
      </c>
      <c r="BR33" s="311">
        <f t="shared" si="5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89">
        <v>-591.26699999999994</v>
      </c>
      <c r="CR33" s="989">
        <v>-377.3330000000002</v>
      </c>
      <c r="CS33" s="989">
        <v>-1125.405</v>
      </c>
      <c r="CT33" s="989">
        <v>-1790.0290000000002</v>
      </c>
      <c r="CU33" s="989">
        <v>-1751.1019999999999</v>
      </c>
      <c r="CV33" s="989">
        <v>-1411.3150000000001</v>
      </c>
      <c r="CW33" s="989">
        <v>-1163.6469999999999</v>
      </c>
      <c r="CX33" s="989">
        <v>-1091.5970000000002</v>
      </c>
      <c r="CY33" s="989">
        <v>-779.01099999999997</v>
      </c>
      <c r="CZ33" s="989">
        <v>-898.66899999999987</v>
      </c>
      <c r="DA33" s="313" t="s">
        <v>78</v>
      </c>
    </row>
    <row r="34" spans="1:105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1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4"/>
        <v>504</v>
      </c>
      <c r="BO34" s="309">
        <v>-112</v>
      </c>
      <c r="BP34" s="309">
        <v>73</v>
      </c>
      <c r="BQ34" s="310">
        <v>14</v>
      </c>
      <c r="BR34" s="311">
        <f t="shared" si="5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89">
        <v>84.462999999999965</v>
      </c>
      <c r="CR34" s="989">
        <v>123.88200000000003</v>
      </c>
      <c r="CS34" s="989">
        <v>163.64500000000001</v>
      </c>
      <c r="CT34" s="989">
        <v>98.337999999999994</v>
      </c>
      <c r="CU34" s="989">
        <v>99.68</v>
      </c>
      <c r="CV34" s="989">
        <v>229.21000000000004</v>
      </c>
      <c r="CW34" s="989">
        <v>207.767</v>
      </c>
      <c r="CX34" s="989">
        <v>229.90100000000001</v>
      </c>
      <c r="CY34" s="989">
        <v>206.38099999999997</v>
      </c>
      <c r="CZ34" s="989">
        <v>89.758000000000038</v>
      </c>
      <c r="DA34" s="313" t="s">
        <v>80</v>
      </c>
    </row>
    <row r="35" spans="1:105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89"/>
      <c r="CR35" s="989"/>
      <c r="CS35" s="989"/>
      <c r="CT35" s="989"/>
      <c r="CU35" s="989"/>
      <c r="CV35" s="989"/>
      <c r="CW35" s="989"/>
      <c r="CX35" s="989"/>
      <c r="CY35" s="989"/>
      <c r="CZ35" s="989"/>
      <c r="DA35" s="313"/>
    </row>
    <row r="36" spans="1:105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1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4"/>
        <v>1674</v>
      </c>
      <c r="BO36" s="309">
        <v>247</v>
      </c>
      <c r="BP36" s="309">
        <v>405</v>
      </c>
      <c r="BQ36" s="310">
        <v>289</v>
      </c>
      <c r="BR36" s="311">
        <f t="shared" si="5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89">
        <v>435.6579999999999</v>
      </c>
      <c r="CR36" s="989">
        <v>501.23900000000003</v>
      </c>
      <c r="CS36" s="989">
        <v>400.40899999999999</v>
      </c>
      <c r="CT36" s="989">
        <v>277.75700000000006</v>
      </c>
      <c r="CU36" s="989">
        <v>397.50199999999984</v>
      </c>
      <c r="CV36" s="989">
        <v>466.31599999999997</v>
      </c>
      <c r="CW36" s="989">
        <v>406.09899999999999</v>
      </c>
      <c r="CX36" s="989">
        <v>430.96700000000004</v>
      </c>
      <c r="CY36" s="989">
        <v>611.18900000000008</v>
      </c>
      <c r="CZ36" s="989">
        <v>520.85499999999979</v>
      </c>
      <c r="DA36" s="313" t="s">
        <v>1179</v>
      </c>
    </row>
    <row r="37" spans="1:105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1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4"/>
        <v>-4254</v>
      </c>
      <c r="BO37" s="309">
        <v>-732</v>
      </c>
      <c r="BP37" s="309">
        <v>-1234</v>
      </c>
      <c r="BQ37" s="310">
        <v>-771</v>
      </c>
      <c r="BR37" s="311">
        <f t="shared" si="5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89">
        <v>-942.46199999999976</v>
      </c>
      <c r="CR37" s="989">
        <v>-754.01400000000035</v>
      </c>
      <c r="CS37" s="989">
        <v>-1362.1690000000001</v>
      </c>
      <c r="CT37" s="989">
        <v>-1969.4480000000001</v>
      </c>
      <c r="CU37" s="989">
        <v>-2048.924</v>
      </c>
      <c r="CV37" s="989">
        <v>-1648.421</v>
      </c>
      <c r="CW37" s="989">
        <v>-1361.979</v>
      </c>
      <c r="CX37" s="989">
        <v>-1292.6629999999998</v>
      </c>
      <c r="CY37" s="989">
        <v>-1183.819</v>
      </c>
      <c r="CZ37" s="989">
        <v>-1329.7660000000005</v>
      </c>
      <c r="DA37" s="313" t="s">
        <v>1180</v>
      </c>
    </row>
    <row r="38" spans="1:105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89"/>
      <c r="CR38" s="989"/>
      <c r="CS38" s="989"/>
      <c r="CT38" s="989"/>
      <c r="CU38" s="989"/>
      <c r="CV38" s="989"/>
      <c r="CW38" s="989"/>
      <c r="CX38" s="989"/>
      <c r="CY38" s="989"/>
      <c r="CZ38" s="989"/>
      <c r="DA38" s="313"/>
    </row>
    <row r="39" spans="1:105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1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4"/>
        <v>174</v>
      </c>
      <c r="BO39" s="309">
        <v>-32</v>
      </c>
      <c r="BP39" s="309">
        <v>54</v>
      </c>
      <c r="BQ39" s="310">
        <v>145</v>
      </c>
      <c r="BR39" s="311">
        <f t="shared" si="5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89">
        <v>144.81100000000001</v>
      </c>
      <c r="CR39" s="989">
        <v>96.215000000000003</v>
      </c>
      <c r="CS39" s="989">
        <v>95.004999999999995</v>
      </c>
      <c r="CT39" s="989">
        <v>1198.6840000000002</v>
      </c>
      <c r="CU39" s="989">
        <v>976.9860000000001</v>
      </c>
      <c r="CV39" s="989">
        <v>694.72699999999986</v>
      </c>
      <c r="CW39" s="989">
        <v>298.24799999999999</v>
      </c>
      <c r="CX39" s="989">
        <v>298.81300000000005</v>
      </c>
      <c r="CY39" s="989">
        <v>238.327</v>
      </c>
      <c r="CZ39" s="989">
        <v>222.18199999999979</v>
      </c>
      <c r="DA39" s="313" t="s">
        <v>1519</v>
      </c>
    </row>
    <row r="40" spans="1:105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1">BA42+BA43</f>
        <v>-170</v>
      </c>
      <c r="BB40" s="314">
        <f t="shared" si="11"/>
        <v>-51</v>
      </c>
      <c r="BC40" s="314">
        <f t="shared" si="11"/>
        <v>139</v>
      </c>
      <c r="BD40" s="311">
        <f>BD42+BD43</f>
        <v>-40</v>
      </c>
      <c r="BE40" s="314">
        <f t="shared" si="11"/>
        <v>-32</v>
      </c>
      <c r="BF40" s="314">
        <f t="shared" si="11"/>
        <v>48</v>
      </c>
      <c r="BG40" s="314">
        <f t="shared" si="11"/>
        <v>42</v>
      </c>
      <c r="BH40" s="314">
        <f t="shared" si="11"/>
        <v>-57</v>
      </c>
      <c r="BI40" s="311">
        <f t="shared" si="11"/>
        <v>1</v>
      </c>
      <c r="BJ40" s="314">
        <f t="shared" si="11"/>
        <v>-17</v>
      </c>
      <c r="BK40" s="314">
        <f t="shared" si="11"/>
        <v>33</v>
      </c>
      <c r="BL40" s="314">
        <f t="shared" si="11"/>
        <v>152</v>
      </c>
      <c r="BM40" s="314">
        <f t="shared" si="11"/>
        <v>18</v>
      </c>
      <c r="BN40" s="314">
        <f>BN42+BN43</f>
        <v>186</v>
      </c>
      <c r="BO40" s="314">
        <f t="shared" si="11"/>
        <v>-31</v>
      </c>
      <c r="BP40" s="314">
        <f t="shared" si="11"/>
        <v>59</v>
      </c>
      <c r="BQ40" s="314">
        <f t="shared" si="11"/>
        <v>153</v>
      </c>
      <c r="BR40" s="314">
        <f t="shared" si="11"/>
        <v>181</v>
      </c>
      <c r="BS40" s="314">
        <f t="shared" si="11"/>
        <v>59</v>
      </c>
      <c r="BT40" s="311">
        <f t="shared" si="11"/>
        <v>240</v>
      </c>
      <c r="BU40" s="314">
        <f t="shared" si="11"/>
        <v>46</v>
      </c>
      <c r="BV40" s="314">
        <f t="shared" si="11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89">
        <v>134.87299999999999</v>
      </c>
      <c r="CR40" s="989">
        <v>101.39000000000001</v>
      </c>
      <c r="CS40" s="989">
        <v>88.423000000000002</v>
      </c>
      <c r="CT40" s="989">
        <v>1215.2239999999999</v>
      </c>
      <c r="CU40" s="989">
        <v>954.096</v>
      </c>
      <c r="CV40" s="989">
        <v>697.57600000000002</v>
      </c>
      <c r="CW40" s="989">
        <v>319.13900000000001</v>
      </c>
      <c r="CX40" s="989">
        <v>316.90099999999995</v>
      </c>
      <c r="CY40" s="989">
        <v>242.995</v>
      </c>
      <c r="CZ40" s="989">
        <v>225.65400000000011</v>
      </c>
      <c r="DA40" s="313" t="s">
        <v>92</v>
      </c>
    </row>
    <row r="41" spans="1:105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89"/>
      <c r="CR41" s="989"/>
      <c r="CS41" s="989"/>
      <c r="CT41" s="989"/>
      <c r="CU41" s="989"/>
      <c r="CV41" s="989"/>
      <c r="CW41" s="989"/>
      <c r="CX41" s="989"/>
      <c r="CY41" s="989"/>
      <c r="CZ41" s="989"/>
      <c r="DA41" s="313"/>
    </row>
    <row r="42" spans="1:105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1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4"/>
        <v>1708</v>
      </c>
      <c r="BO42" s="309">
        <v>234</v>
      </c>
      <c r="BP42" s="309">
        <v>311</v>
      </c>
      <c r="BQ42" s="310">
        <v>351</v>
      </c>
      <c r="BR42" s="311">
        <f t="shared" si="5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89">
        <v>281.06599999999997</v>
      </c>
      <c r="CR42" s="989">
        <v>360.56200000000007</v>
      </c>
      <c r="CS42" s="989">
        <v>239.971</v>
      </c>
      <c r="CT42" s="989">
        <v>1364.317</v>
      </c>
      <c r="CU42" s="989">
        <v>1174.971</v>
      </c>
      <c r="CV42" s="989">
        <v>840.85800000000017</v>
      </c>
      <c r="CW42" s="989">
        <v>451.53899999999999</v>
      </c>
      <c r="CX42" s="989">
        <v>439.21100000000001</v>
      </c>
      <c r="CY42" s="989">
        <v>390.00399999999991</v>
      </c>
      <c r="CZ42" s="989">
        <v>374.06100000000015</v>
      </c>
      <c r="DA42" s="313" t="s">
        <v>1179</v>
      </c>
    </row>
    <row r="43" spans="1:105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1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4"/>
        <v>-1522</v>
      </c>
      <c r="BO43" s="309">
        <v>-265</v>
      </c>
      <c r="BP43" s="309">
        <v>-252</v>
      </c>
      <c r="BQ43" s="310">
        <v>-198</v>
      </c>
      <c r="BR43" s="311">
        <f t="shared" si="5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89">
        <v>-146.19300000000001</v>
      </c>
      <c r="CR43" s="989">
        <v>-259.17199999999991</v>
      </c>
      <c r="CS43" s="989">
        <v>-151.548</v>
      </c>
      <c r="CT43" s="989">
        <v>-149.09300000000002</v>
      </c>
      <c r="CU43" s="989">
        <v>-220.87499999999994</v>
      </c>
      <c r="CV43" s="989">
        <v>-143.28200000000004</v>
      </c>
      <c r="CW43" s="989">
        <v>-132.4</v>
      </c>
      <c r="CX43" s="989">
        <v>-122.31</v>
      </c>
      <c r="CY43" s="989">
        <v>-147.00899999999999</v>
      </c>
      <c r="CZ43" s="989">
        <v>-148.40699999999998</v>
      </c>
      <c r="DA43" s="313" t="s">
        <v>1180</v>
      </c>
    </row>
    <row r="44" spans="1:105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1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89"/>
      <c r="CR44" s="989"/>
      <c r="CS44" s="989"/>
      <c r="CT44" s="989"/>
      <c r="CU44" s="989"/>
      <c r="CV44" s="989"/>
      <c r="CW44" s="989"/>
      <c r="CX44" s="989"/>
      <c r="CY44" s="989"/>
      <c r="CZ44" s="989"/>
      <c r="DA44" s="313"/>
    </row>
    <row r="45" spans="1:105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1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4"/>
        <v>-7</v>
      </c>
      <c r="BO45" s="309">
        <v>0</v>
      </c>
      <c r="BP45" s="309">
        <v>-2</v>
      </c>
      <c r="BQ45" s="310">
        <v>-1</v>
      </c>
      <c r="BR45" s="311">
        <f t="shared" si="5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89">
        <v>3.6999999999999998E-2</v>
      </c>
      <c r="CR45" s="989">
        <v>0.94299999999999951</v>
      </c>
      <c r="CS45" s="989">
        <v>-0.32700000000000001</v>
      </c>
      <c r="CT45" s="989">
        <v>0.253</v>
      </c>
      <c r="CU45" s="989">
        <v>2.0659999999999998</v>
      </c>
      <c r="CV45" s="989">
        <v>-1.994</v>
      </c>
      <c r="CW45" s="989">
        <v>3.3879999999999999</v>
      </c>
      <c r="CX45" s="989">
        <v>-10.154999999999999</v>
      </c>
      <c r="CY45" s="989">
        <v>-1.6619999999999999</v>
      </c>
      <c r="CZ45" s="989">
        <v>-1.1890000000000001</v>
      </c>
      <c r="DA45" s="313" t="s">
        <v>1491</v>
      </c>
    </row>
    <row r="46" spans="1:105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89"/>
      <c r="CR46" s="989"/>
      <c r="CS46" s="989"/>
      <c r="CT46" s="989"/>
      <c r="CU46" s="989"/>
      <c r="CV46" s="989"/>
      <c r="CW46" s="989"/>
      <c r="CX46" s="989"/>
      <c r="CY46" s="989"/>
      <c r="CZ46" s="989"/>
      <c r="DA46" s="313"/>
    </row>
    <row r="47" spans="1:105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2">AZ48-AZ52</f>
        <v>1766</v>
      </c>
      <c r="BA47" s="309">
        <f t="shared" si="12"/>
        <v>2659</v>
      </c>
      <c r="BB47" s="309">
        <f t="shared" si="12"/>
        <v>926</v>
      </c>
      <c r="BC47" s="309">
        <f t="shared" si="12"/>
        <v>2743</v>
      </c>
      <c r="BD47" s="302">
        <f t="shared" si="12"/>
        <v>8094</v>
      </c>
      <c r="BE47" s="309">
        <f t="shared" si="12"/>
        <v>2656</v>
      </c>
      <c r="BF47" s="309">
        <f t="shared" si="12"/>
        <v>623</v>
      </c>
      <c r="BG47" s="309">
        <f t="shared" si="12"/>
        <v>1776</v>
      </c>
      <c r="BH47" s="309">
        <f t="shared" si="12"/>
        <v>1434</v>
      </c>
      <c r="BI47" s="302">
        <f t="shared" si="12"/>
        <v>6489</v>
      </c>
      <c r="BJ47" s="309">
        <f t="shared" si="12"/>
        <v>610</v>
      </c>
      <c r="BK47" s="309">
        <f t="shared" si="12"/>
        <v>1001</v>
      </c>
      <c r="BL47" s="309">
        <f t="shared" si="12"/>
        <v>495</v>
      </c>
      <c r="BM47" s="309">
        <f t="shared" si="12"/>
        <v>1313</v>
      </c>
      <c r="BN47" s="302">
        <f t="shared" si="12"/>
        <v>3419</v>
      </c>
      <c r="BO47" s="309">
        <f t="shared" si="12"/>
        <v>4415</v>
      </c>
      <c r="BP47" s="309">
        <f t="shared" si="12"/>
        <v>1857</v>
      </c>
      <c r="BQ47" s="309">
        <f t="shared" si="12"/>
        <v>307</v>
      </c>
      <c r="BR47" s="302">
        <f t="shared" si="12"/>
        <v>6579</v>
      </c>
      <c r="BS47" s="314">
        <f t="shared" si="12"/>
        <v>2447</v>
      </c>
      <c r="BT47" s="311">
        <f>BT48-BT52</f>
        <v>9026</v>
      </c>
      <c r="BU47" s="314">
        <f t="shared" si="12"/>
        <v>2036</v>
      </c>
      <c r="BV47" s="314">
        <f t="shared" si="12"/>
        <v>145</v>
      </c>
      <c r="BW47" s="314">
        <f t="shared" si="12"/>
        <v>-207</v>
      </c>
      <c r="BX47" s="309">
        <f t="shared" si="12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89">
        <v>878.94800000000009</v>
      </c>
      <c r="CR47" s="989">
        <v>3595.4850000000001</v>
      </c>
      <c r="CS47" s="989">
        <v>1195.6099999999997</v>
      </c>
      <c r="CT47" s="989">
        <v>4102.4380500000007</v>
      </c>
      <c r="CU47" s="989">
        <v>4297.241</v>
      </c>
      <c r="CV47" s="989">
        <v>2889.8699500000002</v>
      </c>
      <c r="CW47" s="989">
        <v>-1302.6109999999999</v>
      </c>
      <c r="CX47" s="989">
        <v>794.03800000000035</v>
      </c>
      <c r="CY47" s="989">
        <v>109.87799999999987</v>
      </c>
      <c r="CZ47" s="989">
        <v>4682.6909999999998</v>
      </c>
      <c r="DA47" s="313" t="s">
        <v>1493</v>
      </c>
    </row>
    <row r="48" spans="1:105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3">BA50+BA51</f>
        <v>3009</v>
      </c>
      <c r="BB48" s="309">
        <f t="shared" si="13"/>
        <v>2634</v>
      </c>
      <c r="BC48" s="309">
        <f t="shared" si="13"/>
        <v>3283</v>
      </c>
      <c r="BD48" s="302">
        <f t="shared" si="13"/>
        <v>11865</v>
      </c>
      <c r="BE48" s="309">
        <f t="shared" si="13"/>
        <v>3975</v>
      </c>
      <c r="BF48" s="309">
        <f t="shared" si="13"/>
        <v>1607</v>
      </c>
      <c r="BG48" s="309">
        <f t="shared" si="13"/>
        <v>3189</v>
      </c>
      <c r="BH48" s="309">
        <f t="shared" si="13"/>
        <v>3000</v>
      </c>
      <c r="BI48" s="302">
        <f>BI50+BI51</f>
        <v>11771</v>
      </c>
      <c r="BJ48" s="309">
        <f t="shared" si="13"/>
        <v>3447</v>
      </c>
      <c r="BK48" s="309">
        <f t="shared" si="13"/>
        <v>2716</v>
      </c>
      <c r="BL48" s="309">
        <f t="shared" si="13"/>
        <v>1915</v>
      </c>
      <c r="BM48" s="309">
        <f t="shared" si="13"/>
        <v>3614</v>
      </c>
      <c r="BN48" s="302">
        <f>BN50+BN51</f>
        <v>11692</v>
      </c>
      <c r="BO48" s="309">
        <f t="shared" si="13"/>
        <v>6367</v>
      </c>
      <c r="BP48" s="309">
        <f t="shared" si="13"/>
        <v>2568</v>
      </c>
      <c r="BQ48" s="309">
        <f t="shared" si="13"/>
        <v>796</v>
      </c>
      <c r="BR48" s="302">
        <f>BR50+BR51</f>
        <v>9731</v>
      </c>
      <c r="BS48" s="314">
        <f t="shared" ref="BS48:CA48" si="14">BS50+BS51</f>
        <v>3990</v>
      </c>
      <c r="BT48" s="311">
        <f t="shared" si="14"/>
        <v>13721</v>
      </c>
      <c r="BU48" s="314">
        <f t="shared" si="14"/>
        <v>3098</v>
      </c>
      <c r="BV48" s="314">
        <f t="shared" si="14"/>
        <v>975</v>
      </c>
      <c r="BW48" s="314">
        <f t="shared" si="14"/>
        <v>500</v>
      </c>
      <c r="BX48" s="309">
        <f t="shared" si="14"/>
        <v>2672</v>
      </c>
      <c r="BY48" s="309">
        <f>BY50+BY51</f>
        <v>2346</v>
      </c>
      <c r="BZ48" s="309">
        <f t="shared" si="14"/>
        <v>995</v>
      </c>
      <c r="CA48" s="309">
        <f t="shared" si="14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89">
        <v>44.460000000000022</v>
      </c>
      <c r="CR48" s="989">
        <v>1823.6800000000003</v>
      </c>
      <c r="CS48" s="989">
        <v>848.89699999999993</v>
      </c>
      <c r="CT48" s="989">
        <v>2527.38805</v>
      </c>
      <c r="CU48" s="989">
        <v>2370.2570000000005</v>
      </c>
      <c r="CV48" s="989">
        <v>2033.0519499999998</v>
      </c>
      <c r="CW48" s="989">
        <v>-1118.3579999999999</v>
      </c>
      <c r="CX48" s="989">
        <v>1108.366</v>
      </c>
      <c r="CY48" s="989">
        <v>-335.09200000000033</v>
      </c>
      <c r="CZ48" s="989">
        <v>3598.6910000000007</v>
      </c>
      <c r="DA48" s="313" t="s">
        <v>1495</v>
      </c>
    </row>
    <row r="49" spans="1:106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89"/>
      <c r="CR49" s="989"/>
      <c r="CS49" s="989"/>
      <c r="CT49" s="989"/>
      <c r="CU49" s="989"/>
      <c r="CV49" s="989"/>
      <c r="CW49" s="989"/>
      <c r="CX49" s="989"/>
      <c r="CY49" s="989"/>
      <c r="CZ49" s="989"/>
      <c r="DA49" s="313" t="s">
        <v>1497</v>
      </c>
    </row>
    <row r="50" spans="1:106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1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4"/>
        <v>2209</v>
      </c>
      <c r="BO50" s="309">
        <v>1064</v>
      </c>
      <c r="BP50" s="309">
        <v>633</v>
      </c>
      <c r="BQ50" s="310">
        <v>927</v>
      </c>
      <c r="BR50" s="311">
        <f t="shared" si="5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89">
        <v>-50.513999999999982</v>
      </c>
      <c r="CR50" s="989">
        <v>-55.04000000000002</v>
      </c>
      <c r="CS50" s="989">
        <v>-36.271999999999998</v>
      </c>
      <c r="CT50" s="989">
        <v>99.037999999999997</v>
      </c>
      <c r="CU50" s="989">
        <v>-22.672999999999995</v>
      </c>
      <c r="CV50" s="989">
        <v>132.11700000000002</v>
      </c>
      <c r="CW50" s="989">
        <v>58.587000000000003</v>
      </c>
      <c r="CX50" s="989">
        <v>-161.048</v>
      </c>
      <c r="CY50" s="989">
        <v>1857.2239999999999</v>
      </c>
      <c r="CZ50" s="989">
        <v>120.46199999999999</v>
      </c>
      <c r="DA50" s="313" t="s">
        <v>1499</v>
      </c>
    </row>
    <row r="51" spans="1:106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1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4"/>
        <v>9483</v>
      </c>
      <c r="BO51" s="309">
        <v>5303</v>
      </c>
      <c r="BP51" s="309">
        <v>1935</v>
      </c>
      <c r="BQ51" s="310">
        <v>-131</v>
      </c>
      <c r="BR51" s="311">
        <f t="shared" si="5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89">
        <v>94.974000000000004</v>
      </c>
      <c r="CR51" s="989">
        <v>1878.7200000000003</v>
      </c>
      <c r="CS51" s="989">
        <v>885.16899999999998</v>
      </c>
      <c r="CT51" s="989">
        <v>2428.35005</v>
      </c>
      <c r="CU51" s="989">
        <v>2392.9300000000003</v>
      </c>
      <c r="CV51" s="989">
        <v>1900.9349499999998</v>
      </c>
      <c r="CW51" s="989">
        <v>-1176.9449999999999</v>
      </c>
      <c r="CX51" s="989">
        <v>1269.414</v>
      </c>
      <c r="CY51" s="989">
        <v>-2192.3160000000003</v>
      </c>
      <c r="CZ51" s="989">
        <v>3478.2290000000007</v>
      </c>
      <c r="DA51" s="313" t="s">
        <v>1501</v>
      </c>
    </row>
    <row r="52" spans="1:106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5">BA54+BA55+BA56+BA57</f>
        <v>350</v>
      </c>
      <c r="BB52" s="309">
        <f t="shared" si="15"/>
        <v>1708</v>
      </c>
      <c r="BC52" s="309">
        <f t="shared" si="15"/>
        <v>540</v>
      </c>
      <c r="BD52" s="302">
        <f>BD54+BD55+BD56+BD57</f>
        <v>3771</v>
      </c>
      <c r="BE52" s="309">
        <f t="shared" si="15"/>
        <v>1319</v>
      </c>
      <c r="BF52" s="309">
        <f t="shared" si="15"/>
        <v>984</v>
      </c>
      <c r="BG52" s="309">
        <f t="shared" si="15"/>
        <v>1413</v>
      </c>
      <c r="BH52" s="309">
        <f t="shared" si="15"/>
        <v>1566</v>
      </c>
      <c r="BI52" s="302">
        <f>BI54+BI55+BI56+BI57</f>
        <v>5282</v>
      </c>
      <c r="BJ52" s="309">
        <f t="shared" si="15"/>
        <v>2837</v>
      </c>
      <c r="BK52" s="309">
        <f t="shared" si="15"/>
        <v>1715</v>
      </c>
      <c r="BL52" s="309">
        <f t="shared" si="15"/>
        <v>1420</v>
      </c>
      <c r="BM52" s="309">
        <f t="shared" si="15"/>
        <v>2301</v>
      </c>
      <c r="BN52" s="302">
        <f t="shared" si="15"/>
        <v>8273</v>
      </c>
      <c r="BO52" s="309">
        <f t="shared" si="15"/>
        <v>1952</v>
      </c>
      <c r="BP52" s="309">
        <f t="shared" si="15"/>
        <v>711</v>
      </c>
      <c r="BQ52" s="309">
        <f t="shared" si="15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16">BU54+BU55+BU56+BU57</f>
        <v>1062</v>
      </c>
      <c r="BV52" s="314">
        <f t="shared" si="16"/>
        <v>830</v>
      </c>
      <c r="BW52" s="314">
        <f t="shared" si="16"/>
        <v>707</v>
      </c>
      <c r="BX52" s="309">
        <f t="shared" si="16"/>
        <v>1885</v>
      </c>
      <c r="BY52" s="309">
        <f t="shared" si="16"/>
        <v>2654</v>
      </c>
      <c r="BZ52" s="309">
        <f t="shared" si="16"/>
        <v>1085</v>
      </c>
      <c r="CA52" s="309">
        <f t="shared" si="16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89">
        <v>-834.48800000000006</v>
      </c>
      <c r="CR52" s="989">
        <v>-1771.8049999999998</v>
      </c>
      <c r="CS52" s="989">
        <v>-346.71299999999985</v>
      </c>
      <c r="CT52" s="989">
        <v>-1575.0500000000006</v>
      </c>
      <c r="CU52" s="989">
        <v>-1926.983999999999</v>
      </c>
      <c r="CV52" s="989">
        <v>-856.81800000000021</v>
      </c>
      <c r="CW52" s="989">
        <v>184.25300000000004</v>
      </c>
      <c r="CX52" s="989">
        <v>314.32799999999963</v>
      </c>
      <c r="CY52" s="989">
        <v>-444.9700000000002</v>
      </c>
      <c r="CZ52" s="989">
        <v>-1083.9999999999989</v>
      </c>
      <c r="DA52" s="325" t="s">
        <v>1503</v>
      </c>
      <c r="DB52" s="306"/>
    </row>
    <row r="53" spans="1:106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89"/>
      <c r="CR53" s="989"/>
      <c r="CS53" s="989"/>
      <c r="CT53" s="989"/>
      <c r="CU53" s="989"/>
      <c r="CV53" s="989"/>
      <c r="CW53" s="989"/>
      <c r="CX53" s="989"/>
      <c r="CY53" s="989"/>
      <c r="CZ53" s="989"/>
      <c r="DA53" s="313" t="s">
        <v>1497</v>
      </c>
      <c r="DB53" s="306"/>
    </row>
    <row r="54" spans="1:106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17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1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4"/>
        <v>8049</v>
      </c>
      <c r="BO54" s="309">
        <v>1845</v>
      </c>
      <c r="BP54" s="309">
        <v>1956</v>
      </c>
      <c r="BQ54" s="310">
        <v>1936</v>
      </c>
      <c r="BR54" s="311">
        <f t="shared" si="5"/>
        <v>5737</v>
      </c>
      <c r="BS54" s="314">
        <v>1746</v>
      </c>
      <c r="BT54" s="311">
        <f t="shared" ref="BT54:BT60" si="18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89">
        <v>1028.9939999999997</v>
      </c>
      <c r="CR54" s="989">
        <v>1130.5149999999999</v>
      </c>
      <c r="CS54" s="989">
        <v>1814.146</v>
      </c>
      <c r="CT54" s="989">
        <v>1406.4460000000001</v>
      </c>
      <c r="CU54" s="989">
        <v>1357.2679999999996</v>
      </c>
      <c r="CV54" s="989">
        <v>1697.9900000000007</v>
      </c>
      <c r="CW54" s="989">
        <v>1501.4690000000001</v>
      </c>
      <c r="CX54" s="989">
        <v>1478.0569999999998</v>
      </c>
      <c r="CY54" s="989">
        <v>1392.7039999999997</v>
      </c>
      <c r="CZ54" s="989">
        <v>2285.8380000000006</v>
      </c>
      <c r="DA54" s="325" t="s">
        <v>1506</v>
      </c>
      <c r="DB54" s="306"/>
    </row>
    <row r="55" spans="1:106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17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1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4"/>
        <v>-3636</v>
      </c>
      <c r="BO55" s="309">
        <v>-829</v>
      </c>
      <c r="BP55" s="309">
        <v>-830</v>
      </c>
      <c r="BQ55" s="310">
        <v>-856</v>
      </c>
      <c r="BR55" s="311">
        <f t="shared" si="5"/>
        <v>-2515</v>
      </c>
      <c r="BS55" s="314">
        <v>-923</v>
      </c>
      <c r="BT55" s="311">
        <f t="shared" si="18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89">
        <v>-1722.7979999999998</v>
      </c>
      <c r="CR55" s="989">
        <v>-2677.6930000000002</v>
      </c>
      <c r="CS55" s="989">
        <v>-2842.0279999999998</v>
      </c>
      <c r="CT55" s="989">
        <v>-2414.2240000000006</v>
      </c>
      <c r="CU55" s="989">
        <v>-2981.1989999999987</v>
      </c>
      <c r="CV55" s="989">
        <v>-2965.0580000000009</v>
      </c>
      <c r="CW55" s="989">
        <v>-2108.058</v>
      </c>
      <c r="CX55" s="989">
        <v>-1539.5500000000002</v>
      </c>
      <c r="CY55" s="989">
        <v>-1463.1559999999999</v>
      </c>
      <c r="CZ55" s="989">
        <v>-1765.4889999999996</v>
      </c>
      <c r="DA55" s="319" t="s">
        <v>1508</v>
      </c>
      <c r="DB55" s="306"/>
    </row>
    <row r="56" spans="1:106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17"/>
        <v>2</v>
      </c>
      <c r="BE56" s="309"/>
      <c r="BF56" s="309"/>
      <c r="BG56" s="309"/>
      <c r="BH56" s="310">
        <v>2</v>
      </c>
      <c r="BI56" s="311">
        <f t="shared" si="1"/>
        <v>2</v>
      </c>
      <c r="BJ56" s="309">
        <v>17</v>
      </c>
      <c r="BK56" s="309"/>
      <c r="BL56" s="309"/>
      <c r="BM56" s="309"/>
      <c r="BN56" s="302">
        <f t="shared" si="4"/>
        <v>17</v>
      </c>
      <c r="BO56" s="309"/>
      <c r="BP56" s="309">
        <v>2</v>
      </c>
      <c r="BQ56" s="310"/>
      <c r="BR56" s="311">
        <f t="shared" si="5"/>
        <v>2</v>
      </c>
      <c r="BS56" s="314"/>
      <c r="BT56" s="311">
        <f t="shared" si="18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89">
        <v>1.5989999999999895</v>
      </c>
      <c r="CQ56" s="989">
        <v>2</v>
      </c>
      <c r="CR56" s="989">
        <v>2.4279999999999973</v>
      </c>
      <c r="CS56" s="989">
        <v>450.178</v>
      </c>
      <c r="CT56" s="989">
        <v>2</v>
      </c>
      <c r="CU56" s="989">
        <v>0</v>
      </c>
      <c r="CV56" s="989">
        <v>0</v>
      </c>
      <c r="CW56" s="989">
        <v>450.18799999999999</v>
      </c>
      <c r="CX56" s="989">
        <v>0</v>
      </c>
      <c r="CY56" s="989">
        <v>20.833000000000027</v>
      </c>
      <c r="CZ56" s="989">
        <v>0</v>
      </c>
      <c r="DA56" s="325" t="s">
        <v>1510</v>
      </c>
      <c r="DB56" s="306"/>
    </row>
    <row r="57" spans="1:106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17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4"/>
        <v>3843</v>
      </c>
      <c r="BO57" s="309">
        <v>936</v>
      </c>
      <c r="BP57" s="309">
        <v>-417</v>
      </c>
      <c r="BQ57" s="310">
        <v>-591</v>
      </c>
      <c r="BR57" s="311">
        <f t="shared" si="5"/>
        <v>-72</v>
      </c>
      <c r="BS57" s="314">
        <v>720</v>
      </c>
      <c r="BT57" s="311">
        <f t="shared" si="18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89">
        <v>-142.684</v>
      </c>
      <c r="CR57" s="989">
        <v>-227.05499999999995</v>
      </c>
      <c r="CS57" s="989">
        <v>230.99100000000001</v>
      </c>
      <c r="CT57" s="989">
        <v>-569.27200000000005</v>
      </c>
      <c r="CU57" s="989">
        <v>-303.05299999999994</v>
      </c>
      <c r="CV57" s="989">
        <v>410.24999999999994</v>
      </c>
      <c r="CW57" s="989">
        <v>340.654</v>
      </c>
      <c r="CX57" s="989">
        <v>375.82100000000003</v>
      </c>
      <c r="CY57" s="989">
        <v>-395.351</v>
      </c>
      <c r="CZ57" s="989">
        <v>-1604.3489999999999</v>
      </c>
      <c r="DA57" s="313" t="s">
        <v>1512</v>
      </c>
      <c r="DB57" s="306"/>
    </row>
    <row r="58" spans="1:106" ht="16.5" customHeight="1">
      <c r="A58" s="327" t="s">
        <v>3631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17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1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4"/>
        <v>-2811</v>
      </c>
      <c r="BO58" s="309">
        <v>-284</v>
      </c>
      <c r="BP58" s="309">
        <v>185</v>
      </c>
      <c r="BQ58" s="310">
        <v>-2701</v>
      </c>
      <c r="BR58" s="311">
        <f t="shared" si="5"/>
        <v>-2800</v>
      </c>
      <c r="BS58" s="314">
        <v>763</v>
      </c>
      <c r="BT58" s="311">
        <f t="shared" si="18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89">
        <v>-6.0850000000000009</v>
      </c>
      <c r="CR58" s="989">
        <v>-113.446</v>
      </c>
      <c r="CS58" s="989">
        <v>-1184.44</v>
      </c>
      <c r="CT58" s="989">
        <v>785.20100000000002</v>
      </c>
      <c r="CU58" s="989">
        <v>-111.72400000000005</v>
      </c>
      <c r="CV58" s="989">
        <v>-1106.8</v>
      </c>
      <c r="CW58" s="989">
        <v>-1228.4259999999999</v>
      </c>
      <c r="CX58" s="989">
        <v>817.0329999999999</v>
      </c>
      <c r="CY58" s="989">
        <v>-250.79500000000002</v>
      </c>
      <c r="CZ58" s="989">
        <v>1982.7950000000001</v>
      </c>
      <c r="DA58" s="325" t="s">
        <v>1178</v>
      </c>
      <c r="DB58" s="306"/>
    </row>
    <row r="59" spans="1:106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17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1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4"/>
        <v>4194</v>
      </c>
      <c r="BO59" s="309">
        <v>-4591</v>
      </c>
      <c r="BP59" s="309">
        <v>-1719</v>
      </c>
      <c r="BQ59" s="310">
        <v>-2832</v>
      </c>
      <c r="BR59" s="311">
        <f t="shared" si="5"/>
        <v>-9142</v>
      </c>
      <c r="BS59" s="314">
        <v>-2188</v>
      </c>
      <c r="BT59" s="311">
        <f t="shared" si="18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89">
        <v>1175.681</v>
      </c>
      <c r="CR59" s="989">
        <v>644.37699999999995</v>
      </c>
      <c r="CS59" s="989">
        <v>1572.3810000000001</v>
      </c>
      <c r="CT59" s="989">
        <v>3061.134</v>
      </c>
      <c r="CU59" s="989">
        <v>2972.8519999999999</v>
      </c>
      <c r="CV59" s="989">
        <v>1768.7899999999991</v>
      </c>
      <c r="CW59" s="989">
        <v>3453.7730000000001</v>
      </c>
      <c r="CX59" s="989">
        <v>1791.2659999999996</v>
      </c>
      <c r="CY59" s="989">
        <v>1156.9620000000004</v>
      </c>
      <c r="CZ59" s="989">
        <v>-1045.6400000000003</v>
      </c>
      <c r="DA59" s="313" t="s">
        <v>1514</v>
      </c>
      <c r="DB59" s="306"/>
    </row>
    <row r="60" spans="1:106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5"/>
        <v>0</v>
      </c>
      <c r="BS60" s="314"/>
      <c r="BT60" s="311">
        <f t="shared" si="18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89"/>
      <c r="CR60" s="989"/>
      <c r="CS60" s="989"/>
      <c r="CT60" s="989"/>
      <c r="CU60" s="989"/>
      <c r="CV60" s="989"/>
      <c r="CW60" s="989"/>
      <c r="CX60" s="989"/>
      <c r="CY60" s="989"/>
      <c r="CZ60" s="989"/>
      <c r="DA60" s="313"/>
      <c r="DB60" s="306"/>
    </row>
    <row r="61" spans="1:106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19">AZ7+AZ45-AZ47+AZ58-AZ59</f>
        <v>0</v>
      </c>
      <c r="BA61" s="332">
        <f t="shared" si="19"/>
        <v>0</v>
      </c>
      <c r="BB61" s="332">
        <f t="shared" si="19"/>
        <v>0</v>
      </c>
      <c r="BC61" s="332">
        <f t="shared" si="19"/>
        <v>0</v>
      </c>
      <c r="BD61" s="333">
        <f t="shared" si="19"/>
        <v>0</v>
      </c>
      <c r="BE61" s="332">
        <f t="shared" si="19"/>
        <v>0</v>
      </c>
      <c r="BF61" s="332">
        <f t="shared" si="19"/>
        <v>0</v>
      </c>
      <c r="BG61" s="332">
        <f t="shared" si="19"/>
        <v>0</v>
      </c>
      <c r="BH61" s="332">
        <f t="shared" si="19"/>
        <v>0</v>
      </c>
      <c r="BI61" s="333">
        <f t="shared" si="19"/>
        <v>0</v>
      </c>
      <c r="BJ61" s="332">
        <f t="shared" si="19"/>
        <v>0</v>
      </c>
      <c r="BK61" s="332">
        <f t="shared" si="19"/>
        <v>0</v>
      </c>
      <c r="BL61" s="332">
        <f t="shared" si="19"/>
        <v>0</v>
      </c>
      <c r="BM61" s="332">
        <f t="shared" si="19"/>
        <v>0</v>
      </c>
      <c r="BN61" s="302">
        <f>SUM(BJ61:BM61)</f>
        <v>0</v>
      </c>
      <c r="BO61" s="332">
        <f t="shared" ref="BO61:CE61" si="20">BO7+BO45-BO47+BO58-BO59</f>
        <v>0</v>
      </c>
      <c r="BP61" s="332">
        <f t="shared" si="20"/>
        <v>0</v>
      </c>
      <c r="BQ61" s="334">
        <f t="shared" si="20"/>
        <v>0</v>
      </c>
      <c r="BR61" s="335">
        <f t="shared" si="20"/>
        <v>0</v>
      </c>
      <c r="BS61" s="336">
        <f t="shared" si="20"/>
        <v>0</v>
      </c>
      <c r="BT61" s="337">
        <f t="shared" si="20"/>
        <v>0</v>
      </c>
      <c r="BU61" s="336">
        <f t="shared" si="20"/>
        <v>0</v>
      </c>
      <c r="BV61" s="336">
        <f t="shared" si="20"/>
        <v>0</v>
      </c>
      <c r="BW61" s="336">
        <f t="shared" si="20"/>
        <v>0</v>
      </c>
      <c r="BX61" s="332">
        <f t="shared" si="20"/>
        <v>0</v>
      </c>
      <c r="BY61" s="332">
        <f t="shared" si="20"/>
        <v>0</v>
      </c>
      <c r="BZ61" s="332">
        <f t="shared" si="20"/>
        <v>0</v>
      </c>
      <c r="CA61" s="332">
        <f t="shared" si="20"/>
        <v>0</v>
      </c>
      <c r="CB61" s="332">
        <f t="shared" si="20"/>
        <v>0</v>
      </c>
      <c r="CC61" s="332">
        <f t="shared" si="20"/>
        <v>0</v>
      </c>
      <c r="CD61" s="332">
        <f t="shared" si="20"/>
        <v>0</v>
      </c>
      <c r="CE61" s="332">
        <f t="shared" si="20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91">
        <v>0</v>
      </c>
      <c r="CR61" s="991">
        <v>-0.17999999999949523</v>
      </c>
      <c r="CS61" s="991">
        <v>0</v>
      </c>
      <c r="CT61" s="991">
        <v>-4.999999964638846E-5</v>
      </c>
      <c r="CU61" s="991">
        <v>0</v>
      </c>
      <c r="CV61" s="991">
        <v>4.9999999873762135E-5</v>
      </c>
      <c r="CW61" s="991">
        <v>0</v>
      </c>
      <c r="CX61" s="991">
        <v>0</v>
      </c>
      <c r="CY61" s="991">
        <v>-3.865352482534945E-12</v>
      </c>
      <c r="CZ61" s="991">
        <v>0</v>
      </c>
      <c r="DA61" s="338" t="s">
        <v>95</v>
      </c>
      <c r="DB61" s="306"/>
    </row>
    <row r="62" spans="1:106" s="875" customFormat="1" ht="15.75" customHeight="1">
      <c r="A62" s="2177" t="s">
        <v>2750</v>
      </c>
      <c r="B62" s="2177"/>
      <c r="C62" s="2177"/>
      <c r="D62" s="2177"/>
      <c r="E62" s="2177"/>
      <c r="F62" s="2177"/>
      <c r="G62" s="2177"/>
      <c r="H62" s="2177"/>
      <c r="I62" s="2177"/>
      <c r="J62" s="2177"/>
      <c r="K62" s="2177"/>
      <c r="L62" s="2177"/>
      <c r="M62" s="2177"/>
      <c r="N62" s="2177"/>
      <c r="O62" s="2177"/>
      <c r="P62" s="2177"/>
      <c r="Q62" s="2177"/>
      <c r="R62" s="2177"/>
      <c r="S62" s="2177"/>
      <c r="T62" s="2177"/>
      <c r="U62" s="2177"/>
      <c r="V62" s="2177"/>
      <c r="W62" s="2177"/>
      <c r="X62" s="2177"/>
      <c r="Y62" s="2177"/>
      <c r="Z62" s="2177"/>
      <c r="AA62" s="2177"/>
      <c r="AB62" s="2177"/>
      <c r="AC62" s="2177"/>
      <c r="AD62" s="2177"/>
      <c r="AE62" s="2177"/>
      <c r="AF62" s="2177"/>
      <c r="AG62" s="2177"/>
      <c r="AH62" s="2177"/>
      <c r="AI62" s="2177"/>
      <c r="AJ62" s="2177"/>
      <c r="AK62" s="2177"/>
      <c r="AL62" s="2177"/>
      <c r="AM62" s="2177"/>
      <c r="AN62" s="2177"/>
      <c r="AO62" s="2177"/>
      <c r="AP62" s="2177"/>
      <c r="AQ62" s="2177"/>
      <c r="AR62" s="2177"/>
      <c r="AS62" s="2177"/>
      <c r="AT62" s="2177"/>
      <c r="AU62" s="2177"/>
      <c r="AV62" s="2177"/>
      <c r="AW62" s="2177"/>
      <c r="AX62" s="2177"/>
      <c r="AY62" s="2177"/>
      <c r="AZ62" s="2177"/>
      <c r="BA62" s="2177"/>
      <c r="BB62" s="2177"/>
      <c r="BC62" s="2177"/>
      <c r="BD62" s="2177"/>
      <c r="BE62" s="2177"/>
      <c r="BF62" s="2177"/>
      <c r="BG62" s="2177"/>
      <c r="BH62" s="2177"/>
      <c r="BI62" s="2177"/>
      <c r="BJ62" s="2177"/>
      <c r="BK62" s="2177"/>
      <c r="BL62" s="2177"/>
      <c r="BM62" s="2177"/>
      <c r="BN62" s="2177"/>
      <c r="BO62" s="2177"/>
      <c r="BP62" s="2177"/>
      <c r="BQ62" s="2177"/>
      <c r="BR62" s="2177"/>
      <c r="BS62" s="2177"/>
      <c r="BT62" s="2177"/>
      <c r="BU62" s="2177"/>
      <c r="BV62" s="2177"/>
      <c r="BW62" s="2177"/>
      <c r="BX62" s="2177"/>
      <c r="BY62" s="2177"/>
      <c r="BZ62" s="2177"/>
      <c r="CA62" s="2177"/>
      <c r="CB62" s="2177"/>
      <c r="CC62" s="2177"/>
      <c r="CD62" s="2177"/>
      <c r="CE62" s="2177"/>
      <c r="CF62" s="2177"/>
      <c r="CG62" s="2177"/>
      <c r="CH62" s="2177"/>
      <c r="CI62" s="2177"/>
      <c r="CJ62" s="2177"/>
      <c r="CK62" s="2177"/>
      <c r="CL62" s="2177"/>
      <c r="CM62" s="2177"/>
      <c r="CN62" s="2177"/>
      <c r="CO62" s="2177"/>
      <c r="CP62" s="2177"/>
      <c r="CQ62" s="2177"/>
      <c r="CR62" s="2177"/>
      <c r="CS62" s="2177"/>
      <c r="CT62" s="2177"/>
      <c r="CU62" s="2177"/>
      <c r="CV62" s="2177"/>
      <c r="CW62" s="2177"/>
      <c r="CX62" s="2177"/>
      <c r="CY62" s="2177"/>
      <c r="CZ62" s="2177"/>
      <c r="DA62" s="2177"/>
    </row>
    <row r="63" spans="1:106" s="875" customFormat="1" ht="15.75" customHeight="1">
      <c r="A63" s="2177" t="s">
        <v>2748</v>
      </c>
      <c r="B63" s="2177"/>
      <c r="C63" s="2177"/>
      <c r="D63" s="2177"/>
      <c r="E63" s="2177"/>
      <c r="F63" s="2177"/>
      <c r="G63" s="2177"/>
      <c r="H63" s="2177"/>
      <c r="I63" s="2177"/>
      <c r="J63" s="2177"/>
      <c r="K63" s="2177"/>
      <c r="L63" s="2177"/>
      <c r="M63" s="2177"/>
      <c r="N63" s="2177"/>
      <c r="O63" s="2177"/>
      <c r="P63" s="2177"/>
      <c r="Q63" s="2177"/>
      <c r="R63" s="2177"/>
      <c r="S63" s="2177"/>
      <c r="T63" s="2177"/>
      <c r="U63" s="2177"/>
      <c r="V63" s="2177"/>
      <c r="W63" s="2177"/>
      <c r="X63" s="2177"/>
      <c r="Y63" s="2177"/>
      <c r="Z63" s="2177"/>
      <c r="AA63" s="2177"/>
      <c r="AB63" s="2177"/>
      <c r="AC63" s="2177"/>
      <c r="AD63" s="2177"/>
      <c r="AE63" s="2177"/>
      <c r="AF63" s="2177"/>
      <c r="AG63" s="2177"/>
      <c r="AH63" s="2177"/>
      <c r="AI63" s="2177"/>
      <c r="AJ63" s="2177"/>
      <c r="AK63" s="2177"/>
      <c r="AL63" s="2177"/>
      <c r="AM63" s="2177"/>
      <c r="AN63" s="2177"/>
      <c r="AO63" s="2177"/>
      <c r="AP63" s="2177"/>
      <c r="AQ63" s="2177"/>
      <c r="AR63" s="2177"/>
      <c r="AS63" s="2177"/>
      <c r="AT63" s="2177"/>
      <c r="AU63" s="2177"/>
      <c r="AV63" s="2177"/>
      <c r="AW63" s="2177"/>
      <c r="AX63" s="2177"/>
      <c r="AY63" s="2177"/>
      <c r="AZ63" s="2177"/>
      <c r="BA63" s="2177"/>
      <c r="BB63" s="2177"/>
      <c r="BC63" s="2177"/>
      <c r="BD63" s="2177"/>
      <c r="BE63" s="2177"/>
      <c r="BF63" s="2177"/>
      <c r="BG63" s="2177"/>
      <c r="BH63" s="2177"/>
      <c r="BI63" s="2177"/>
      <c r="BJ63" s="2177"/>
      <c r="BK63" s="2177"/>
      <c r="BL63" s="2177"/>
      <c r="BM63" s="2177"/>
      <c r="BN63" s="2177"/>
      <c r="BO63" s="2177"/>
      <c r="BP63" s="2177"/>
      <c r="BQ63" s="2177"/>
      <c r="BR63" s="2177"/>
      <c r="BS63" s="2177"/>
      <c r="BT63" s="2177"/>
      <c r="BU63" s="2177"/>
      <c r="BV63" s="2177"/>
      <c r="BW63" s="2177"/>
      <c r="BX63" s="2177"/>
      <c r="BY63" s="2177"/>
      <c r="BZ63" s="2177"/>
      <c r="CA63" s="2177"/>
      <c r="CB63" s="2177"/>
      <c r="CC63" s="2177"/>
      <c r="CD63" s="2177"/>
      <c r="CE63" s="2177"/>
      <c r="CF63" s="2177"/>
      <c r="CG63" s="2177"/>
      <c r="CH63" s="2177"/>
      <c r="CI63" s="2177"/>
      <c r="CJ63" s="2177"/>
      <c r="CK63" s="2177"/>
      <c r="CL63" s="2177"/>
      <c r="CM63" s="2177"/>
      <c r="CN63" s="2177"/>
      <c r="CO63" s="2177"/>
      <c r="CP63" s="2177"/>
      <c r="CQ63" s="2177"/>
      <c r="CR63" s="2177"/>
      <c r="CS63" s="2177"/>
      <c r="CT63" s="2177"/>
      <c r="CU63" s="2177"/>
      <c r="CV63" s="2177"/>
      <c r="CW63" s="2177"/>
      <c r="CX63" s="2177"/>
      <c r="CY63" s="2177"/>
      <c r="CZ63" s="2177"/>
      <c r="DA63" s="2177"/>
    </row>
    <row r="64" spans="1:106" s="875" customFormat="1" ht="15.75" customHeight="1">
      <c r="A64" s="2177" t="s">
        <v>2749</v>
      </c>
      <c r="B64" s="2177"/>
      <c r="C64" s="2177"/>
      <c r="D64" s="2177"/>
      <c r="E64" s="2177"/>
      <c r="F64" s="2177"/>
      <c r="G64" s="2177"/>
      <c r="H64" s="2177"/>
      <c r="I64" s="2177"/>
      <c r="J64" s="2177"/>
      <c r="K64" s="2177"/>
      <c r="L64" s="2177"/>
      <c r="M64" s="2177"/>
      <c r="N64" s="2177"/>
      <c r="O64" s="2177"/>
      <c r="P64" s="2177"/>
      <c r="Q64" s="2177"/>
      <c r="R64" s="2177"/>
      <c r="S64" s="2177"/>
      <c r="T64" s="2177"/>
      <c r="U64" s="2177"/>
      <c r="V64" s="2177"/>
      <c r="W64" s="2177"/>
      <c r="X64" s="2177"/>
      <c r="Y64" s="2177"/>
      <c r="Z64" s="2177"/>
      <c r="AA64" s="2177"/>
      <c r="AB64" s="2177"/>
      <c r="AC64" s="2177"/>
      <c r="AD64" s="2177"/>
      <c r="AE64" s="2177"/>
      <c r="AF64" s="2177"/>
      <c r="AG64" s="2177"/>
      <c r="AH64" s="2177"/>
      <c r="AI64" s="2177"/>
      <c r="AJ64" s="2177"/>
      <c r="AK64" s="2177"/>
      <c r="AL64" s="2177"/>
      <c r="AM64" s="2177"/>
      <c r="AN64" s="2177"/>
      <c r="AO64" s="2177"/>
      <c r="AP64" s="2177"/>
      <c r="AQ64" s="2177"/>
      <c r="AR64" s="2177"/>
      <c r="AS64" s="2177"/>
      <c r="AT64" s="2177"/>
      <c r="AU64" s="2177"/>
      <c r="AV64" s="2177"/>
      <c r="AW64" s="2177"/>
      <c r="AX64" s="2177"/>
      <c r="AY64" s="2177"/>
      <c r="AZ64" s="2177"/>
      <c r="BA64" s="2177"/>
      <c r="BB64" s="2177"/>
      <c r="BC64" s="2177"/>
      <c r="BD64" s="2177"/>
      <c r="BE64" s="2177"/>
      <c r="BF64" s="2177"/>
      <c r="BG64" s="2177"/>
      <c r="BH64" s="2177"/>
      <c r="BI64" s="2177"/>
      <c r="BJ64" s="2177"/>
      <c r="BK64" s="2177"/>
      <c r="BL64" s="2177"/>
      <c r="BM64" s="2177"/>
      <c r="BN64" s="2177"/>
      <c r="BO64" s="2177"/>
      <c r="BP64" s="2177"/>
      <c r="BQ64" s="2177"/>
      <c r="BR64" s="2177"/>
      <c r="BS64" s="2177"/>
      <c r="BT64" s="2177"/>
      <c r="BU64" s="2177"/>
      <c r="BV64" s="2177"/>
      <c r="BW64" s="2177"/>
      <c r="BX64" s="2177"/>
      <c r="BY64" s="2177"/>
      <c r="BZ64" s="2177"/>
      <c r="CA64" s="2177"/>
      <c r="CB64" s="2177"/>
      <c r="CC64" s="2177"/>
      <c r="CD64" s="2177"/>
      <c r="CE64" s="2177"/>
      <c r="CF64" s="2177"/>
      <c r="CG64" s="2177"/>
      <c r="CH64" s="2177"/>
      <c r="CI64" s="2177"/>
      <c r="CJ64" s="2177"/>
      <c r="CK64" s="2177"/>
      <c r="CL64" s="2177"/>
      <c r="CM64" s="2177"/>
      <c r="CN64" s="2177"/>
      <c r="CO64" s="2177"/>
      <c r="CP64" s="2177"/>
      <c r="CQ64" s="2177"/>
      <c r="CR64" s="2177"/>
      <c r="CS64" s="2177"/>
      <c r="CT64" s="2177"/>
      <c r="CU64" s="2177"/>
      <c r="CV64" s="2177"/>
      <c r="CW64" s="2177"/>
      <c r="CX64" s="2177"/>
      <c r="CY64" s="2177"/>
      <c r="CZ64" s="2177"/>
      <c r="DA64" s="2177"/>
    </row>
    <row r="154" spans="7:8">
      <c r="G154" s="340"/>
      <c r="H154" s="340"/>
    </row>
  </sheetData>
  <mergeCells count="6">
    <mergeCell ref="A64:DA64"/>
    <mergeCell ref="A63:DA63"/>
    <mergeCell ref="A2:DA2"/>
    <mergeCell ref="A3:DA3"/>
    <mergeCell ref="A5:CF5"/>
    <mergeCell ref="A62:DA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Y18"/>
  <sheetViews>
    <sheetView showGridLines="0" view="pageBreakPreview" zoomScale="70" zoomScaleNormal="90" zoomScaleSheetLayoutView="70" workbookViewId="0">
      <pane xSplit="1" topLeftCell="B1" activePane="topRight" state="frozen"/>
      <selection activeCell="H31" sqref="H31"/>
      <selection pane="topRight" activeCell="H31" sqref="H31"/>
    </sheetView>
  </sheetViews>
  <sheetFormatPr defaultColWidth="9.109375" defaultRowHeight="17.399999999999999"/>
  <cols>
    <col min="1" max="1" width="47.6640625" style="1267" customWidth="1"/>
    <col min="2" max="2" width="16.88671875" style="1080" bestFit="1" customWidth="1"/>
    <col min="3" max="13" width="16.88671875" style="1080" hidden="1" customWidth="1"/>
    <col min="14" max="14" width="16.88671875" style="1080" customWidth="1"/>
    <col min="15" max="16" width="16.88671875" style="1080" hidden="1" customWidth="1"/>
    <col min="17" max="17" width="16.88671875" style="1080" bestFit="1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27" width="16.88671875" style="1080" customWidth="1"/>
    <col min="28" max="28" width="16.88671875" style="1080" bestFit="1" customWidth="1"/>
    <col min="29" max="29" width="40.33203125" style="1080" customWidth="1"/>
    <col min="30" max="31" width="19.88671875" style="1080" customWidth="1"/>
    <col min="32" max="16384" width="9.109375" style="1080"/>
  </cols>
  <sheetData>
    <row r="1" spans="1:51" ht="6" customHeight="1"/>
    <row r="2" spans="1:51" s="1081" customFormat="1" ht="30.6" customHeight="1">
      <c r="A2" s="2818" t="s">
        <v>3082</v>
      </c>
      <c r="B2" s="2818"/>
      <c r="C2" s="2818"/>
      <c r="D2" s="2818"/>
      <c r="E2" s="2818"/>
      <c r="F2" s="2818"/>
      <c r="G2" s="2818"/>
      <c r="H2" s="2818"/>
      <c r="I2" s="2818"/>
      <c r="J2" s="2818"/>
      <c r="K2" s="2818"/>
      <c r="L2" s="2818"/>
      <c r="M2" s="2818"/>
      <c r="N2" s="2818"/>
      <c r="O2" s="2818"/>
      <c r="P2" s="2818"/>
      <c r="Q2" s="2818"/>
      <c r="R2" s="2818"/>
      <c r="S2" s="2818"/>
      <c r="T2" s="2818"/>
      <c r="U2" s="2818"/>
      <c r="V2" s="2818"/>
      <c r="W2" s="2818"/>
      <c r="X2" s="2818"/>
      <c r="Y2" s="2818"/>
      <c r="Z2" s="2818"/>
      <c r="AA2" s="2818"/>
      <c r="AB2" s="2818"/>
      <c r="AC2" s="2818"/>
    </row>
    <row r="3" spans="1:51" s="1081" customFormat="1" ht="38.25" customHeight="1">
      <c r="A3" s="2819" t="s">
        <v>3363</v>
      </c>
      <c r="B3" s="2819"/>
      <c r="C3" s="2819"/>
      <c r="D3" s="2819"/>
      <c r="E3" s="2819"/>
      <c r="F3" s="2819"/>
      <c r="G3" s="2819"/>
      <c r="H3" s="2819"/>
      <c r="I3" s="2819"/>
      <c r="J3" s="2819"/>
      <c r="K3" s="2819"/>
      <c r="L3" s="2819"/>
      <c r="M3" s="2819"/>
      <c r="N3" s="2819"/>
      <c r="O3" s="2819"/>
      <c r="P3" s="2819"/>
      <c r="Q3" s="2819"/>
      <c r="R3" s="2819"/>
      <c r="S3" s="2819"/>
      <c r="T3" s="2819"/>
      <c r="U3" s="2819"/>
      <c r="V3" s="2819"/>
      <c r="W3" s="2819"/>
      <c r="X3" s="2819"/>
      <c r="Y3" s="2819"/>
      <c r="Z3" s="2819"/>
      <c r="AA3" s="2819"/>
      <c r="AB3" s="2819"/>
      <c r="AC3" s="2819"/>
    </row>
    <row r="4" spans="1:51" s="1081" customFormat="1" ht="23.25" customHeight="1">
      <c r="A4" s="1270"/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</row>
    <row r="5" spans="1:51" s="1081" customFormat="1" ht="23.25" customHeight="1" thickBot="1">
      <c r="A5" s="2820" t="s">
        <v>8</v>
      </c>
      <c r="B5" s="2820"/>
      <c r="C5" s="2820"/>
      <c r="D5" s="2820"/>
      <c r="E5" s="2820"/>
      <c r="F5" s="2820"/>
      <c r="G5" s="2820"/>
      <c r="H5" s="2820"/>
      <c r="I5" s="2820"/>
      <c r="J5" s="2820"/>
      <c r="K5" s="2820"/>
      <c r="L5" s="2820"/>
      <c r="M5" s="2820"/>
      <c r="N5" s="2820"/>
      <c r="O5" s="2820"/>
      <c r="P5" s="2820"/>
      <c r="Q5" s="2820"/>
      <c r="R5" s="2820"/>
      <c r="S5" s="2820"/>
      <c r="T5" s="2820"/>
      <c r="U5" s="2820"/>
      <c r="V5" s="2820"/>
      <c r="W5" s="2820"/>
      <c r="X5" s="2820"/>
      <c r="Y5" s="2820"/>
      <c r="Z5" s="2820"/>
      <c r="AA5" s="2820"/>
      <c r="AB5" s="2820"/>
      <c r="AC5" s="2820"/>
    </row>
    <row r="6" spans="1:51" ht="49.5" customHeight="1" thickBot="1">
      <c r="A6" s="1271" t="s">
        <v>2571</v>
      </c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570" t="s">
        <v>3643</v>
      </c>
    </row>
    <row r="7" spans="1:51" ht="47.25" customHeight="1">
      <c r="A7" s="1274" t="s">
        <v>3604</v>
      </c>
      <c r="B7" s="1277">
        <v>9740.0273733666909</v>
      </c>
      <c r="C7" s="1277">
        <v>9746.5470725668401</v>
      </c>
      <c r="D7" s="1277">
        <v>9972.8923026190005</v>
      </c>
      <c r="E7" s="1277">
        <v>10182.345403994599</v>
      </c>
      <c r="F7" s="1276">
        <v>10328.283719864699</v>
      </c>
      <c r="G7" s="1276">
        <v>10414.01018178</v>
      </c>
      <c r="H7" s="1276">
        <v>10481.711144418799</v>
      </c>
      <c r="I7" s="1276">
        <v>10497.0466317302</v>
      </c>
      <c r="J7" s="1276">
        <v>10491.951041574381</v>
      </c>
      <c r="K7" s="1276">
        <v>10780.9439636307</v>
      </c>
      <c r="L7" s="1276">
        <v>10912.557114003699</v>
      </c>
      <c r="M7" s="1276">
        <v>10975.828657382412</v>
      </c>
      <c r="N7" s="1276">
        <v>10855.0619328594</v>
      </c>
      <c r="O7" s="1276">
        <v>10845.560779616701</v>
      </c>
      <c r="P7" s="1276">
        <v>10835.578601880799</v>
      </c>
      <c r="Q7" s="1276">
        <v>10971.3967768488</v>
      </c>
      <c r="R7" s="1276">
        <v>11107.957597250899</v>
      </c>
      <c r="S7" s="1276">
        <v>11170.8055462252</v>
      </c>
      <c r="T7" s="1276">
        <v>11650.5031040751</v>
      </c>
      <c r="U7" s="1276">
        <v>11622.688762838899</v>
      </c>
      <c r="V7" s="1276">
        <v>11821.791771283601</v>
      </c>
      <c r="W7" s="1276">
        <v>12078.6747372461</v>
      </c>
      <c r="X7" s="1276">
        <v>12246.3869346131</v>
      </c>
      <c r="Y7" s="1276">
        <v>12421.2469256614</v>
      </c>
      <c r="Z7" s="1276">
        <v>12616.787114836399</v>
      </c>
      <c r="AA7" s="1276">
        <v>12912.916752994601</v>
      </c>
      <c r="AB7" s="1276">
        <v>13063.7357667661</v>
      </c>
      <c r="AC7" s="1599" t="s">
        <v>3727</v>
      </c>
      <c r="AD7" s="1222"/>
      <c r="AE7" s="1266"/>
      <c r="AF7" s="1222"/>
    </row>
    <row r="8" spans="1:51" ht="21.75" customHeight="1">
      <c r="A8" s="1278" t="s">
        <v>2817</v>
      </c>
      <c r="B8" s="1281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573" t="s">
        <v>3723</v>
      </c>
      <c r="AD8" s="1266"/>
    </row>
    <row r="9" spans="1:51" ht="42.6" customHeight="1" thickBot="1">
      <c r="A9" s="1286" t="s">
        <v>3083</v>
      </c>
      <c r="B9" s="1289">
        <v>1213.2649790600001</v>
      </c>
      <c r="C9" s="1289">
        <v>1194.03473207</v>
      </c>
      <c r="D9" s="1289">
        <v>1188.0018740199998</v>
      </c>
      <c r="E9" s="1289">
        <v>1178.7540949200002</v>
      </c>
      <c r="F9" s="1288">
        <v>1184.3395353399999</v>
      </c>
      <c r="G9" s="1288">
        <v>1173.7740077000003</v>
      </c>
      <c r="H9" s="1288">
        <v>1163.45413992</v>
      </c>
      <c r="I9" s="1288">
        <v>1146.4336508100002</v>
      </c>
      <c r="J9" s="1288">
        <v>1146.9040619899999</v>
      </c>
      <c r="K9" s="1288">
        <v>1123.9078739899999</v>
      </c>
      <c r="L9" s="1288">
        <v>1120.1178053400001</v>
      </c>
      <c r="M9" s="1288">
        <v>1040.7</v>
      </c>
      <c r="N9" s="1288">
        <v>1052.23807848</v>
      </c>
      <c r="O9" s="1288">
        <v>1018.78292154</v>
      </c>
      <c r="P9" s="1288">
        <v>998.07317490000003</v>
      </c>
      <c r="Q9" s="1288">
        <v>979.68243436</v>
      </c>
      <c r="R9" s="1288">
        <v>973.64653018000001</v>
      </c>
      <c r="S9" s="1288">
        <v>967.17990672999997</v>
      </c>
      <c r="T9" s="1288">
        <v>986.26658959999997</v>
      </c>
      <c r="U9" s="1288">
        <v>976.83708845000001</v>
      </c>
      <c r="V9" s="1288">
        <v>976.85497240999996</v>
      </c>
      <c r="W9" s="1288">
        <v>976.34565740000005</v>
      </c>
      <c r="X9" s="1288">
        <v>936.97798589000001</v>
      </c>
      <c r="Y9" s="1288">
        <v>941.50774933000002</v>
      </c>
      <c r="Z9" s="1288">
        <v>999.53326133999997</v>
      </c>
      <c r="AA9" s="1288">
        <v>986.40265442999998</v>
      </c>
      <c r="AB9" s="1288">
        <v>964.94928216000005</v>
      </c>
      <c r="AC9" s="1574" t="s">
        <v>3726</v>
      </c>
      <c r="AD9" s="1222"/>
      <c r="AE9" s="1266"/>
      <c r="AF9" s="1222"/>
    </row>
    <row r="10" spans="1:51" s="1559" customFormat="1" ht="30" customHeight="1">
      <c r="A10" s="1561" t="s">
        <v>3356</v>
      </c>
      <c r="B10" s="1558"/>
      <c r="C10" s="1558"/>
      <c r="D10" s="1558"/>
      <c r="E10" s="1558"/>
      <c r="F10" s="1558"/>
      <c r="G10" s="1558"/>
      <c r="H10" s="1558"/>
      <c r="I10" s="1558"/>
      <c r="J10" s="1558"/>
      <c r="K10" s="1558"/>
      <c r="L10" s="1558"/>
      <c r="M10" s="1558"/>
      <c r="N10" s="1558"/>
      <c r="O10" s="1558"/>
      <c r="P10" s="1558"/>
      <c r="Q10" s="1558"/>
      <c r="R10" s="1558"/>
      <c r="S10" s="1558"/>
      <c r="T10" s="1558"/>
      <c r="U10" s="1558"/>
      <c r="V10" s="1558"/>
      <c r="W10" s="1558"/>
      <c r="X10" s="1558"/>
      <c r="Y10" s="1558"/>
      <c r="Z10" s="1558"/>
      <c r="AA10" s="1558"/>
      <c r="AB10" s="1558"/>
      <c r="AC10" s="1558"/>
      <c r="AD10" s="1558"/>
      <c r="AE10" s="1558"/>
      <c r="AF10" s="1558"/>
      <c r="AG10" s="1558"/>
      <c r="AH10" s="1558"/>
      <c r="AI10" s="1558"/>
      <c r="AJ10" s="1558"/>
      <c r="AK10" s="1558"/>
      <c r="AL10" s="1558"/>
      <c r="AM10" s="1558"/>
      <c r="AN10" s="1558"/>
      <c r="AO10" s="1558"/>
      <c r="AP10" s="1558"/>
      <c r="AQ10" s="1558"/>
      <c r="AR10" s="1558"/>
      <c r="AS10" s="1558"/>
      <c r="AT10" s="1558"/>
      <c r="AU10" s="1558"/>
      <c r="AV10" s="1558"/>
      <c r="AW10" s="1558"/>
      <c r="AX10" s="1558"/>
      <c r="AY10" s="1558"/>
    </row>
    <row r="12" spans="1:51">
      <c r="B12" s="1294"/>
      <c r="C12" s="1294"/>
      <c r="D12" s="1294"/>
      <c r="E12" s="1294"/>
      <c r="F12" s="1294"/>
      <c r="G12" s="1294"/>
      <c r="H12" s="1294"/>
      <c r="I12" s="1294"/>
      <c r="J12" s="1295"/>
      <c r="K12" s="1295"/>
      <c r="L12" s="1295"/>
      <c r="M12" s="1295"/>
      <c r="N12" s="1295"/>
      <c r="O12" s="1295"/>
      <c r="P12" s="1295"/>
      <c r="Q12" s="1295"/>
      <c r="R12" s="1295"/>
      <c r="S12" s="1295"/>
      <c r="T12" s="1295"/>
      <c r="U12" s="1295"/>
      <c r="V12" s="1295"/>
      <c r="W12" s="1295"/>
      <c r="X12" s="1295"/>
      <c r="Y12" s="1295"/>
      <c r="Z12" s="1295"/>
      <c r="AA12" s="1295"/>
      <c r="AB12" s="1295"/>
    </row>
    <row r="13" spans="1:51">
      <c r="H13" s="1222"/>
      <c r="J13" s="1266"/>
      <c r="K13" s="1266"/>
      <c r="L13" s="1266"/>
      <c r="M13" s="1266"/>
      <c r="N13" s="1266"/>
      <c r="O13" s="1266"/>
      <c r="P13" s="1266"/>
      <c r="Q13" s="1266"/>
      <c r="R13" s="1266"/>
      <c r="S13" s="1266"/>
      <c r="T13" s="1266"/>
      <c r="U13" s="1266"/>
      <c r="V13" s="1266"/>
      <c r="W13" s="1266"/>
      <c r="X13" s="1266"/>
      <c r="Y13" s="1266"/>
      <c r="Z13" s="1266"/>
      <c r="AA13" s="1266"/>
      <c r="AB13" s="1266"/>
    </row>
    <row r="14" spans="1:51">
      <c r="H14" s="1222"/>
    </row>
    <row r="15" spans="1:51">
      <c r="H15" s="1222"/>
    </row>
    <row r="18" spans="8:8">
      <c r="H18" s="1293"/>
    </row>
  </sheetData>
  <mergeCells count="3">
    <mergeCell ref="A2:AC2"/>
    <mergeCell ref="A3:AC3"/>
    <mergeCell ref="A5:AC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F25"/>
  <sheetViews>
    <sheetView showGridLines="0" view="pageBreakPreview" zoomScale="60" zoomScaleNormal="70" workbookViewId="0">
      <pane xSplit="1" topLeftCell="K1" activePane="topRight" state="frozen"/>
      <selection activeCell="H31" sqref="H31"/>
      <selection pane="topRight" activeCell="H31" sqref="H31"/>
    </sheetView>
  </sheetViews>
  <sheetFormatPr defaultColWidth="9.109375" defaultRowHeight="17.399999999999999"/>
  <cols>
    <col min="1" max="1" width="56.6640625" style="1267" customWidth="1"/>
    <col min="2" max="2" width="16.88671875" style="1080" bestFit="1" customWidth="1"/>
    <col min="3" max="4" width="16.88671875" style="1080" hidden="1" customWidth="1"/>
    <col min="5" max="5" width="16.88671875" style="1080" customWidth="1"/>
    <col min="6" max="7" width="16.88671875" style="1080" hidden="1" customWidth="1"/>
    <col min="8" max="8" width="16.88671875" style="1080" customWidth="1"/>
    <col min="9" max="10" width="16.88671875" style="1080" hidden="1" customWidth="1"/>
    <col min="11" max="11" width="16.88671875" style="1080" customWidth="1"/>
    <col min="12" max="13" width="16.88671875" style="1080" hidden="1" customWidth="1"/>
    <col min="14" max="14" width="16.88671875" style="1080" bestFit="1" customWidth="1"/>
    <col min="15" max="16" width="16.88671875" style="1080" hidden="1" customWidth="1"/>
    <col min="17" max="17" width="16.88671875" style="1080" customWidth="1"/>
    <col min="18" max="19" width="16.88671875" style="1080" hidden="1" customWidth="1"/>
    <col min="20" max="20" width="16.88671875" style="1080" customWidth="1"/>
    <col min="21" max="22" width="16.88671875" style="1080" hidden="1" customWidth="1"/>
    <col min="23" max="23" width="16.88671875" style="1080" customWidth="1"/>
    <col min="24" max="25" width="16.88671875" style="1080" hidden="1" customWidth="1"/>
    <col min="26" max="27" width="16.88671875" style="1080" customWidth="1"/>
    <col min="28" max="28" width="16.88671875" style="1080" bestFit="1" customWidth="1"/>
    <col min="29" max="29" width="62.44140625" style="1565" customWidth="1"/>
    <col min="30" max="30" width="10.44140625" style="1222" customWidth="1"/>
    <col min="31" max="31" width="12.44140625" style="1565" bestFit="1" customWidth="1"/>
    <col min="32" max="32" width="9.109375" style="1222"/>
    <col min="33" max="16384" width="9.109375" style="1080"/>
  </cols>
  <sheetData>
    <row r="1" spans="1:32" ht="8.4" customHeight="1"/>
    <row r="2" spans="1:32" s="1081" customFormat="1" ht="30.6" customHeight="1">
      <c r="A2" s="2818" t="s">
        <v>3635</v>
      </c>
      <c r="B2" s="2818"/>
      <c r="C2" s="2818"/>
      <c r="D2" s="2818"/>
      <c r="E2" s="2818"/>
      <c r="F2" s="2818"/>
      <c r="G2" s="2818"/>
      <c r="H2" s="2818"/>
      <c r="I2" s="2818"/>
      <c r="J2" s="2818"/>
      <c r="K2" s="2818"/>
      <c r="L2" s="2818"/>
      <c r="M2" s="2818"/>
      <c r="N2" s="2818"/>
      <c r="O2" s="2818"/>
      <c r="P2" s="2818"/>
      <c r="Q2" s="2818"/>
      <c r="R2" s="2818"/>
      <c r="S2" s="2818"/>
      <c r="T2" s="2818"/>
      <c r="U2" s="2818"/>
      <c r="V2" s="2818"/>
      <c r="W2" s="2818"/>
      <c r="X2" s="2818"/>
      <c r="Y2" s="2818"/>
      <c r="Z2" s="2818"/>
      <c r="AA2" s="2818"/>
      <c r="AB2" s="2818"/>
      <c r="AC2" s="2818"/>
    </row>
    <row r="3" spans="1:32" s="1081" customFormat="1" ht="38.25" customHeight="1">
      <c r="A3" s="2819" t="s">
        <v>3642</v>
      </c>
      <c r="B3" s="2819"/>
      <c r="C3" s="2819"/>
      <c r="D3" s="2819"/>
      <c r="E3" s="2819"/>
      <c r="F3" s="2819"/>
      <c r="G3" s="2819"/>
      <c r="H3" s="2819"/>
      <c r="I3" s="2819"/>
      <c r="J3" s="2819"/>
      <c r="K3" s="2819"/>
      <c r="L3" s="2819"/>
      <c r="M3" s="2819"/>
      <c r="N3" s="2819"/>
      <c r="O3" s="2819"/>
      <c r="P3" s="2819"/>
      <c r="Q3" s="2819"/>
      <c r="R3" s="2819"/>
      <c r="S3" s="2819"/>
      <c r="T3" s="2819"/>
      <c r="U3" s="2819"/>
      <c r="V3" s="2819"/>
      <c r="W3" s="2819"/>
      <c r="X3" s="2819"/>
      <c r="Y3" s="2819"/>
      <c r="Z3" s="2819"/>
      <c r="AA3" s="2819"/>
      <c r="AB3" s="2819"/>
      <c r="AC3" s="2819"/>
    </row>
    <row r="4" spans="1:32" s="1081" customFormat="1" ht="25.95" customHeight="1">
      <c r="A4" s="1639"/>
      <c r="B4" s="1639"/>
      <c r="C4" s="1639"/>
      <c r="D4" s="1639"/>
      <c r="E4" s="1639"/>
      <c r="F4" s="1639"/>
      <c r="G4" s="1639"/>
      <c r="H4" s="1639"/>
      <c r="I4" s="1639"/>
      <c r="J4" s="1639"/>
      <c r="K4" s="1639"/>
      <c r="L4" s="2821"/>
      <c r="M4" s="2821"/>
      <c r="N4" s="2821"/>
      <c r="O4" s="2821"/>
      <c r="P4" s="2821"/>
      <c r="Q4" s="2821"/>
      <c r="R4" s="2821"/>
      <c r="S4" s="2821"/>
      <c r="T4" s="2821"/>
      <c r="U4" s="2821"/>
      <c r="V4" s="2821"/>
      <c r="W4" s="2821"/>
      <c r="X4" s="2821"/>
      <c r="Y4" s="2821"/>
      <c r="Z4" s="2821"/>
      <c r="AA4" s="2821"/>
      <c r="AB4" s="2821"/>
      <c r="AC4" s="2821"/>
      <c r="AD4" s="1269"/>
      <c r="AE4" s="1566"/>
      <c r="AF4" s="1269"/>
    </row>
    <row r="5" spans="1:32" s="1081" customFormat="1" ht="21.75" customHeight="1" thickBot="1">
      <c r="A5" s="2822" t="s">
        <v>3740</v>
      </c>
      <c r="B5" s="2822"/>
      <c r="C5" s="2822"/>
      <c r="D5" s="2822"/>
      <c r="E5" s="2822"/>
      <c r="F5" s="2822"/>
      <c r="G5" s="2822"/>
      <c r="H5" s="2822"/>
      <c r="I5" s="2822"/>
      <c r="J5" s="2822"/>
      <c r="K5" s="2822"/>
      <c r="L5" s="2822"/>
      <c r="M5" s="2822"/>
      <c r="N5" s="2822"/>
      <c r="O5" s="2822"/>
      <c r="P5" s="2822"/>
      <c r="Q5" s="2822"/>
      <c r="R5" s="2822"/>
      <c r="S5" s="2822"/>
      <c r="T5" s="2822"/>
      <c r="U5" s="2822"/>
      <c r="V5" s="2822"/>
      <c r="W5" s="2822"/>
      <c r="X5" s="2822"/>
      <c r="Y5" s="2822"/>
      <c r="Z5" s="2822"/>
      <c r="AA5" s="2822"/>
      <c r="AB5" s="2822"/>
      <c r="AC5" s="2822"/>
      <c r="AD5" s="1269"/>
      <c r="AE5" s="1566"/>
      <c r="AF5" s="1269"/>
    </row>
    <row r="6" spans="1:32" ht="39.75" customHeight="1" thickBot="1">
      <c r="A6" s="1271"/>
      <c r="B6" s="1273">
        <v>44561</v>
      </c>
      <c r="C6" s="1273">
        <v>44592</v>
      </c>
      <c r="D6" s="1273">
        <v>44620</v>
      </c>
      <c r="E6" s="1273">
        <v>44651</v>
      </c>
      <c r="F6" s="1170">
        <v>44681</v>
      </c>
      <c r="G6" s="1170">
        <v>44712</v>
      </c>
      <c r="H6" s="1170">
        <v>44742</v>
      </c>
      <c r="I6" s="1170">
        <v>44773</v>
      </c>
      <c r="J6" s="1170">
        <v>44804</v>
      </c>
      <c r="K6" s="1170">
        <v>44834</v>
      </c>
      <c r="L6" s="1170">
        <v>44865</v>
      </c>
      <c r="M6" s="1170">
        <v>44895</v>
      </c>
      <c r="N6" s="1170">
        <v>44926</v>
      </c>
      <c r="O6" s="1170">
        <v>44957</v>
      </c>
      <c r="P6" s="1170">
        <v>44985</v>
      </c>
      <c r="Q6" s="1170">
        <v>45016</v>
      </c>
      <c r="R6" s="1170">
        <v>45046</v>
      </c>
      <c r="S6" s="1170">
        <v>45077</v>
      </c>
      <c r="T6" s="1170">
        <v>45107</v>
      </c>
      <c r="U6" s="1170">
        <v>45138</v>
      </c>
      <c r="V6" s="1170">
        <v>45169</v>
      </c>
      <c r="W6" s="1170">
        <v>45199</v>
      </c>
      <c r="X6" s="1170">
        <v>45230</v>
      </c>
      <c r="Y6" s="1170">
        <v>45260</v>
      </c>
      <c r="Z6" s="1170">
        <v>45291</v>
      </c>
      <c r="AA6" s="1170">
        <v>45322</v>
      </c>
      <c r="AB6" s="1170">
        <v>45351</v>
      </c>
      <c r="AC6" s="1570"/>
      <c r="AE6" s="1222"/>
    </row>
    <row r="7" spans="1:32" ht="32.4" customHeight="1">
      <c r="A7" s="1274" t="s">
        <v>3636</v>
      </c>
      <c r="B7" s="1614">
        <v>747.96612139727995</v>
      </c>
      <c r="C7" s="1277">
        <v>779.29285103293796</v>
      </c>
      <c r="D7" s="1277">
        <v>776.20331534064997</v>
      </c>
      <c r="E7" s="1277">
        <v>811.55172848992504</v>
      </c>
      <c r="F7" s="1276">
        <v>813.76878466246899</v>
      </c>
      <c r="G7" s="1276">
        <v>847.27041464072897</v>
      </c>
      <c r="H7" s="1276">
        <v>826.04233962329999</v>
      </c>
      <c r="I7" s="1276">
        <v>822.61934763950001</v>
      </c>
      <c r="J7" s="1276">
        <v>778.8957381834</v>
      </c>
      <c r="K7" s="1276">
        <v>785.71793831390005</v>
      </c>
      <c r="L7" s="1276">
        <v>779.49977999309999</v>
      </c>
      <c r="M7" s="1276">
        <v>798.05695644037405</v>
      </c>
      <c r="N7" s="1276">
        <v>735.26483616739995</v>
      </c>
      <c r="O7" s="1276">
        <v>751.44527184477795</v>
      </c>
      <c r="P7" s="1276">
        <v>742.33370600740602</v>
      </c>
      <c r="Q7" s="1276">
        <v>749.51505462765704</v>
      </c>
      <c r="R7" s="1276">
        <v>770.33363209690003</v>
      </c>
      <c r="S7" s="1276">
        <v>710.00904105870006</v>
      </c>
      <c r="T7" s="1276">
        <v>730.40149287207191</v>
      </c>
      <c r="U7" s="1276">
        <v>738.38275498660005</v>
      </c>
      <c r="V7" s="1276">
        <v>777.25982567940298</v>
      </c>
      <c r="W7" s="1276">
        <v>770.15494099260002</v>
      </c>
      <c r="X7" s="1276">
        <v>666.6311036300001</v>
      </c>
      <c r="Y7" s="1276">
        <v>662.68681362250004</v>
      </c>
      <c r="Z7" s="1276">
        <v>614.21490875730001</v>
      </c>
      <c r="AA7" s="1276">
        <v>645.35858085769996</v>
      </c>
      <c r="AB7" s="1276">
        <v>672.80754476545906</v>
      </c>
      <c r="AC7" s="1571" t="s">
        <v>3644</v>
      </c>
      <c r="AE7" s="1567"/>
    </row>
    <row r="8" spans="1:32" ht="32.4" customHeight="1">
      <c r="A8" s="1278" t="s">
        <v>2817</v>
      </c>
      <c r="B8" s="1615"/>
      <c r="C8" s="1281"/>
      <c r="D8" s="1281"/>
      <c r="E8" s="1281"/>
      <c r="F8" s="1280"/>
      <c r="G8" s="1280"/>
      <c r="H8" s="1280"/>
      <c r="I8" s="1280"/>
      <c r="J8" s="1280"/>
      <c r="K8" s="1280"/>
      <c r="L8" s="1280"/>
      <c r="M8" s="1280"/>
      <c r="N8" s="1280"/>
      <c r="O8" s="1280"/>
      <c r="P8" s="1280"/>
      <c r="Q8" s="1280"/>
      <c r="R8" s="1280"/>
      <c r="S8" s="1280"/>
      <c r="T8" s="1280"/>
      <c r="U8" s="1280"/>
      <c r="V8" s="1280"/>
      <c r="W8" s="1280"/>
      <c r="X8" s="1280"/>
      <c r="Y8" s="1280"/>
      <c r="Z8" s="1280"/>
      <c r="AA8" s="1280"/>
      <c r="AB8" s="1280"/>
      <c r="AC8" s="1573" t="s">
        <v>3741</v>
      </c>
      <c r="AE8" s="1567"/>
    </row>
    <row r="9" spans="1:32" ht="32.4" customHeight="1">
      <c r="A9" s="1282" t="s">
        <v>3637</v>
      </c>
      <c r="B9" s="1616">
        <v>498.29190249848</v>
      </c>
      <c r="C9" s="1285">
        <v>530.67220717693795</v>
      </c>
      <c r="D9" s="1285">
        <v>532.50298973514998</v>
      </c>
      <c r="E9" s="1285">
        <v>557.28211234132505</v>
      </c>
      <c r="F9" s="1284">
        <v>555.992058712269</v>
      </c>
      <c r="G9" s="1284">
        <v>577.65940722532901</v>
      </c>
      <c r="H9" s="1284">
        <v>551.007209354</v>
      </c>
      <c r="I9" s="1284">
        <v>551.68533845499996</v>
      </c>
      <c r="J9" s="1284">
        <v>519.47482558399997</v>
      </c>
      <c r="K9" s="1284">
        <v>524.98552926800005</v>
      </c>
      <c r="L9" s="1284">
        <v>525.71011963700005</v>
      </c>
      <c r="M9" s="1284">
        <v>536.69645291971597</v>
      </c>
      <c r="N9" s="1284">
        <v>507.32903583900003</v>
      </c>
      <c r="O9" s="1284">
        <v>512.64201199177796</v>
      </c>
      <c r="P9" s="1284">
        <v>499.34126981800603</v>
      </c>
      <c r="Q9" s="1284">
        <v>506.10128448695707</v>
      </c>
      <c r="R9" s="1284">
        <v>522.72524006200001</v>
      </c>
      <c r="S9" s="1284">
        <v>461.714511754</v>
      </c>
      <c r="T9" s="1284">
        <v>475.447409748072</v>
      </c>
      <c r="U9" s="1284">
        <v>480.42049387600002</v>
      </c>
      <c r="V9" s="1284">
        <v>512.98697795870305</v>
      </c>
      <c r="W9" s="1284">
        <v>515.80820426000002</v>
      </c>
      <c r="X9" s="1284">
        <v>426.73220739499999</v>
      </c>
      <c r="Y9" s="1284">
        <v>421.315803415</v>
      </c>
      <c r="Z9" s="1284">
        <v>377.988852033</v>
      </c>
      <c r="AA9" s="1284">
        <v>401.46852347100003</v>
      </c>
      <c r="AB9" s="1284">
        <v>427.48858154200002</v>
      </c>
      <c r="AC9" s="1626" t="s">
        <v>3742</v>
      </c>
      <c r="AE9" s="1567"/>
    </row>
    <row r="10" spans="1:32" ht="32.4" customHeight="1">
      <c r="A10" s="1282" t="s">
        <v>2573</v>
      </c>
      <c r="B10" s="1616">
        <v>183.42723290079999</v>
      </c>
      <c r="C10" s="1285">
        <v>183.67880127999999</v>
      </c>
      <c r="D10" s="1285">
        <v>182.24322436750001</v>
      </c>
      <c r="E10" s="1285">
        <v>192.14046256660001</v>
      </c>
      <c r="F10" s="1284">
        <v>200.6043716092</v>
      </c>
      <c r="G10" s="1284">
        <v>211.72637038240001</v>
      </c>
      <c r="H10" s="1284">
        <v>221.6629191543</v>
      </c>
      <c r="I10" s="1284">
        <v>218.89212749449999</v>
      </c>
      <c r="J10" s="1284">
        <v>206.80356287239999</v>
      </c>
      <c r="K10" s="1284">
        <v>210.20191709689999</v>
      </c>
      <c r="L10" s="1284">
        <v>206.0706568471</v>
      </c>
      <c r="M10" s="1284">
        <v>215.20629734865801</v>
      </c>
      <c r="N10" s="1284">
        <v>184.92468152039999</v>
      </c>
      <c r="O10" s="1284">
        <v>193.79783089700001</v>
      </c>
      <c r="P10" s="1284">
        <v>200.25648871839999</v>
      </c>
      <c r="Q10" s="1284">
        <v>197.9862618727</v>
      </c>
      <c r="R10" s="1284">
        <v>202.74704447889999</v>
      </c>
      <c r="S10" s="1284">
        <v>207.57209344669999</v>
      </c>
      <c r="T10" s="1284">
        <v>214.674116156</v>
      </c>
      <c r="U10" s="1284">
        <v>216.49010431260001</v>
      </c>
      <c r="V10" s="1284">
        <v>222.0768853017</v>
      </c>
      <c r="W10" s="1284">
        <v>213.8063567236</v>
      </c>
      <c r="X10" s="1284">
        <v>202.249059096</v>
      </c>
      <c r="Y10" s="1284">
        <v>202.82721531449999</v>
      </c>
      <c r="Z10" s="1284">
        <v>196.7861832083</v>
      </c>
      <c r="AA10" s="1284">
        <v>204.7396170227</v>
      </c>
      <c r="AB10" s="1284">
        <v>206.346214329459</v>
      </c>
      <c r="AC10" s="1572" t="s">
        <v>3646</v>
      </c>
      <c r="AE10" s="1567"/>
    </row>
    <row r="11" spans="1:32" ht="32.4" customHeight="1" thickBot="1">
      <c r="A11" s="1286" t="s">
        <v>2574</v>
      </c>
      <c r="B11" s="1617">
        <v>66.246985998</v>
      </c>
      <c r="C11" s="1289">
        <v>64.941842575999999</v>
      </c>
      <c r="D11" s="1289">
        <v>61.457101238</v>
      </c>
      <c r="E11" s="1289">
        <v>62.129153582000001</v>
      </c>
      <c r="F11" s="1288">
        <v>57.172354341000002</v>
      </c>
      <c r="G11" s="1288">
        <v>57.884637032999997</v>
      </c>
      <c r="H11" s="1288">
        <v>53.372211114999999</v>
      </c>
      <c r="I11" s="1288">
        <v>52.041881689999997</v>
      </c>
      <c r="J11" s="1288">
        <v>52.617349726999997</v>
      </c>
      <c r="K11" s="1288">
        <v>50.530491949000002</v>
      </c>
      <c r="L11" s="1288">
        <v>47.719003508999997</v>
      </c>
      <c r="M11" s="1288">
        <v>46.154206172000002</v>
      </c>
      <c r="N11" s="1288">
        <v>43.011118807999999</v>
      </c>
      <c r="O11" s="1288">
        <v>45.005428956000003</v>
      </c>
      <c r="P11" s="1288">
        <v>42.735947471000003</v>
      </c>
      <c r="Q11" s="1288">
        <v>45.427508267999997</v>
      </c>
      <c r="R11" s="1288">
        <v>44.861347555999998</v>
      </c>
      <c r="S11" s="1288">
        <v>40.722435857999997</v>
      </c>
      <c r="T11" s="1288">
        <v>40.279966967999997</v>
      </c>
      <c r="U11" s="1288">
        <v>41.472156798</v>
      </c>
      <c r="V11" s="1288">
        <v>42.195962418999997</v>
      </c>
      <c r="W11" s="1288">
        <v>40.540380009000003</v>
      </c>
      <c r="X11" s="1288">
        <v>37.649837138999999</v>
      </c>
      <c r="Y11" s="1288">
        <v>38.543794892999998</v>
      </c>
      <c r="Z11" s="1288">
        <v>39.439873515999999</v>
      </c>
      <c r="AA11" s="1288">
        <v>39.150440363999998</v>
      </c>
      <c r="AB11" s="1288">
        <v>38.972748893999999</v>
      </c>
      <c r="AC11" s="1574" t="s">
        <v>3647</v>
      </c>
      <c r="AE11" s="1567"/>
    </row>
    <row r="12" spans="1:32" ht="35.4" customHeight="1">
      <c r="A12" s="1274" t="s">
        <v>3638</v>
      </c>
      <c r="B12" s="1618">
        <v>4.490053832685921E-2</v>
      </c>
      <c r="C12" s="1619">
        <v>4.6440016885431389E-2</v>
      </c>
      <c r="D12" s="1619">
        <v>4.5323808584905846E-2</v>
      </c>
      <c r="E12" s="1619">
        <v>4.63019249920925E-2</v>
      </c>
      <c r="F12" s="1619">
        <v>4.5615783904374436E-2</v>
      </c>
      <c r="G12" s="1619">
        <v>4.6816892969526298E-2</v>
      </c>
      <c r="H12" s="1619">
        <v>4.5091428032512107E-2</v>
      </c>
      <c r="I12" s="1619">
        <v>4.4497895721106726E-2</v>
      </c>
      <c r="J12" s="1619">
        <v>4.1790973969877958E-2</v>
      </c>
      <c r="K12" s="1619">
        <v>4.1015869805330091E-2</v>
      </c>
      <c r="L12" s="1619">
        <v>4.0034328189734771E-2</v>
      </c>
      <c r="M12" s="1619">
        <v>4.0563673914957792E-2</v>
      </c>
      <c r="N12" s="1619">
        <v>3.7524318349150772E-2</v>
      </c>
      <c r="O12" s="1619">
        <v>3.8203399382471026E-2</v>
      </c>
      <c r="P12" s="1619">
        <v>3.7572383044850347E-2</v>
      </c>
      <c r="Q12" s="1619">
        <v>3.7403571014233784E-2</v>
      </c>
      <c r="R12" s="1619">
        <v>3.7799200768857309E-2</v>
      </c>
      <c r="S12" s="1627">
        <v>3.4367577790346833E-2</v>
      </c>
      <c r="T12" s="1627">
        <v>3.4297210482199678E-2</v>
      </c>
      <c r="U12" s="1627">
        <v>3.454908550266543E-2</v>
      </c>
      <c r="V12" s="1627">
        <v>3.5630932299106875E-2</v>
      </c>
      <c r="W12" s="1627">
        <v>3.4564174563131864E-2</v>
      </c>
      <c r="X12" s="1627">
        <v>2.9681448406282149E-2</v>
      </c>
      <c r="Y12" s="1627">
        <v>2.8962026201269472E-2</v>
      </c>
      <c r="Z12" s="1627">
        <v>2.6494247315473774E-2</v>
      </c>
      <c r="AA12" s="1627">
        <v>2.7384745823449103E-2</v>
      </c>
      <c r="AB12" s="1627">
        <v>2.8549498136391162E-2</v>
      </c>
      <c r="AC12" s="1571" t="s">
        <v>3648</v>
      </c>
      <c r="AE12" s="1567"/>
    </row>
    <row r="13" spans="1:32" ht="35.4" customHeight="1">
      <c r="A13" s="1278" t="s">
        <v>2817</v>
      </c>
      <c r="B13" s="1615"/>
      <c r="C13" s="1281"/>
      <c r="D13" s="1281"/>
      <c r="E13" s="1281"/>
      <c r="F13" s="1280"/>
      <c r="G13" s="1280"/>
      <c r="H13" s="1280"/>
      <c r="I13" s="1280"/>
      <c r="J13" s="1280"/>
      <c r="K13" s="1280"/>
      <c r="L13" s="1280"/>
      <c r="M13" s="1280"/>
      <c r="N13" s="1280"/>
      <c r="O13" s="1280"/>
      <c r="P13" s="1280"/>
      <c r="Q13" s="1280"/>
      <c r="R13" s="1280"/>
      <c r="S13" s="1280"/>
      <c r="T13" s="1280"/>
      <c r="U13" s="1280"/>
      <c r="V13" s="1280"/>
      <c r="W13" s="1280"/>
      <c r="X13" s="1280"/>
      <c r="Y13" s="1280"/>
      <c r="Z13" s="1280"/>
      <c r="AA13" s="1280"/>
      <c r="AB13" s="1280"/>
      <c r="AC13" s="1573" t="s">
        <v>3741</v>
      </c>
      <c r="AE13" s="1567"/>
    </row>
    <row r="14" spans="1:32" ht="48" customHeight="1">
      <c r="A14" s="1282" t="s">
        <v>3639</v>
      </c>
      <c r="B14" s="1620">
        <v>5.1163443964925753E-2</v>
      </c>
      <c r="C14" s="1621">
        <v>5.4451622869223046E-2</v>
      </c>
      <c r="D14" s="1621">
        <v>5.3399260494625719E-2</v>
      </c>
      <c r="E14" s="1621">
        <v>5.4734447875767783E-2</v>
      </c>
      <c r="F14" s="1621">
        <v>5.3835817370095858E-2</v>
      </c>
      <c r="G14" s="1621">
        <v>5.5473353518712937E-2</v>
      </c>
      <c r="H14" s="1621">
        <v>5.2572107479085688E-2</v>
      </c>
      <c r="I14" s="1621">
        <v>5.2559895479167992E-2</v>
      </c>
      <c r="J14" s="1621">
        <v>4.9515170473005417E-2</v>
      </c>
      <c r="K14" s="1621">
        <v>4.8698973456407182E-2</v>
      </c>
      <c r="L14" s="1621">
        <v>4.8174787462269025E-2</v>
      </c>
      <c r="M14" s="1621">
        <v>4.8898034915908703E-2</v>
      </c>
      <c r="N14" s="1621">
        <v>4.6736632087124037E-2</v>
      </c>
      <c r="O14" s="1621">
        <v>4.7267450933034701E-2</v>
      </c>
      <c r="P14" s="1621">
        <v>4.6083489231607093E-2</v>
      </c>
      <c r="Q14" s="1621">
        <v>4.6129157005323371E-2</v>
      </c>
      <c r="R14" s="1621">
        <v>4.7058627608676587E-2</v>
      </c>
      <c r="S14" s="1622">
        <v>4.1332248587034173E-2</v>
      </c>
      <c r="T14" s="1622">
        <v>4.0809174118993242E-2</v>
      </c>
      <c r="U14" s="1622">
        <v>4.1334712103110204E-2</v>
      </c>
      <c r="V14" s="1622">
        <v>4.3393335619800327E-2</v>
      </c>
      <c r="W14" s="1622">
        <v>4.2704039597112511E-2</v>
      </c>
      <c r="X14" s="1622">
        <v>3.484610159031102E-2</v>
      </c>
      <c r="Y14" s="1622">
        <v>3.3918962076552227E-2</v>
      </c>
      <c r="Z14" s="1622">
        <v>2.9959200277582029E-2</v>
      </c>
      <c r="AA14" s="1622">
        <v>3.1090460130000955E-2</v>
      </c>
      <c r="AB14" s="1622">
        <v>3.310550123719045E-2</v>
      </c>
      <c r="AC14" s="1572" t="s">
        <v>3737</v>
      </c>
      <c r="AE14" s="1567"/>
    </row>
    <row r="15" spans="1:32" ht="48" customHeight="1">
      <c r="A15" s="1282" t="s">
        <v>3640</v>
      </c>
      <c r="B15" s="1620">
        <v>4.059548067565244E-2</v>
      </c>
      <c r="C15" s="1621">
        <v>3.9783447582528247E-2</v>
      </c>
      <c r="D15" s="1621">
        <v>3.8842771482037602E-2</v>
      </c>
      <c r="E15" s="1621">
        <v>3.9769977941308023E-2</v>
      </c>
      <c r="F15" s="1621">
        <v>4.0603665801285736E-2</v>
      </c>
      <c r="G15" s="1621">
        <v>4.1716648428837898E-2</v>
      </c>
      <c r="H15" s="1621">
        <v>4.2711369298398458E-2</v>
      </c>
      <c r="I15" s="1621">
        <v>4.1183661984252343E-2</v>
      </c>
      <c r="J15" s="1621">
        <v>3.8179214517379184E-2</v>
      </c>
      <c r="K15" s="1621">
        <v>3.7525489871668663E-2</v>
      </c>
      <c r="L15" s="1621">
        <v>3.6173634356742819E-2</v>
      </c>
      <c r="M15" s="1621">
        <v>3.728665030285027E-2</v>
      </c>
      <c r="N15" s="1621">
        <v>3.2137647486949007E-2</v>
      </c>
      <c r="O15" s="1621">
        <v>3.3345204528818312E-2</v>
      </c>
      <c r="P15" s="1621">
        <v>3.4152091282022311E-2</v>
      </c>
      <c r="Q15" s="1621">
        <v>3.3317308645741908E-2</v>
      </c>
      <c r="R15" s="1621">
        <v>3.3388617297801744E-2</v>
      </c>
      <c r="S15" s="1622">
        <v>3.3347449709846884E-2</v>
      </c>
      <c r="T15" s="1622">
        <v>3.3941982162679671E-2</v>
      </c>
      <c r="U15" s="1622">
        <v>3.3953687985135372E-2</v>
      </c>
      <c r="V15" s="1622">
        <v>3.3995615772457001E-2</v>
      </c>
      <c r="W15" s="1622">
        <v>3.2006391075710947E-2</v>
      </c>
      <c r="X15" s="1622">
        <v>2.9956900788338278E-2</v>
      </c>
      <c r="Y15" s="1622">
        <v>2.9524851575466207E-2</v>
      </c>
      <c r="Z15" s="1622">
        <v>2.8367610466870478E-2</v>
      </c>
      <c r="AA15" s="1622">
        <v>2.9215288712304364E-2</v>
      </c>
      <c r="AB15" s="1622">
        <v>2.9444541872215131E-2</v>
      </c>
      <c r="AC15" s="1572" t="s">
        <v>3738</v>
      </c>
      <c r="AE15" s="1567"/>
    </row>
    <row r="16" spans="1:32" ht="48" customHeight="1" thickBot="1">
      <c r="A16" s="1286" t="s">
        <v>3641</v>
      </c>
      <c r="B16" s="1623">
        <v>2.7595367797202029E-2</v>
      </c>
      <c r="C16" s="1624">
        <v>2.6858652754381929E-2</v>
      </c>
      <c r="D16" s="1624">
        <v>2.4964216847986241E-2</v>
      </c>
      <c r="E16" s="1624">
        <v>2.4708045169572035E-2</v>
      </c>
      <c r="F16" s="1624">
        <v>2.2232780948558028E-2</v>
      </c>
      <c r="G16" s="1624">
        <v>2.2187251303288653E-2</v>
      </c>
      <c r="H16" s="1624">
        <v>2.0151793285652954E-2</v>
      </c>
      <c r="I16" s="1624">
        <v>1.9452279928312718E-2</v>
      </c>
      <c r="J16" s="1624">
        <v>1.9273647901630896E-2</v>
      </c>
      <c r="K16" s="1624">
        <v>1.8211530252674468E-2</v>
      </c>
      <c r="L16" s="1624">
        <v>1.6676110514913533E-2</v>
      </c>
      <c r="M16" s="1624">
        <v>1.5770167686132635E-2</v>
      </c>
      <c r="N16" s="1624">
        <v>1.4408367266789356E-2</v>
      </c>
      <c r="O16" s="1624">
        <v>1.494121841298612E-2</v>
      </c>
      <c r="P16" s="1624">
        <v>1.3974289736287438E-2</v>
      </c>
      <c r="Q16" s="1624">
        <v>1.4537943556006332E-2</v>
      </c>
      <c r="R16" s="1624">
        <v>1.4022108408564981E-2</v>
      </c>
      <c r="S16" s="1628">
        <v>1.2476477765995871E-2</v>
      </c>
      <c r="T16" s="1628">
        <v>1.21288820439852E-2</v>
      </c>
      <c r="U16" s="1628">
        <v>1.2294379017835451E-2</v>
      </c>
      <c r="V16" s="1628">
        <v>1.2195788073689991E-2</v>
      </c>
      <c r="W16" s="1628">
        <v>1.1507035242871499E-2</v>
      </c>
      <c r="X16" s="1628">
        <v>1.0875202224637181E-2</v>
      </c>
      <c r="Y16" s="1628">
        <v>1.0735648007699496E-2</v>
      </c>
      <c r="Z16" s="1628">
        <v>1.086748133692253E-2</v>
      </c>
      <c r="AA16" s="1628">
        <v>1.0739463280168669E-2</v>
      </c>
      <c r="AB16" s="1628">
        <v>1.0690720252005469E-2</v>
      </c>
      <c r="AC16" s="1574" t="s">
        <v>3739</v>
      </c>
      <c r="AE16" s="1567"/>
    </row>
    <row r="17" spans="1:32" s="1291" customFormat="1" ht="45.75" customHeight="1">
      <c r="A17" s="2823" t="s">
        <v>3743</v>
      </c>
      <c r="B17" s="2823"/>
      <c r="C17" s="2823"/>
      <c r="D17" s="2823"/>
      <c r="E17" s="2823"/>
      <c r="F17" s="2823"/>
      <c r="G17" s="2823"/>
      <c r="H17" s="2823"/>
      <c r="I17" s="2823"/>
      <c r="J17" s="2823"/>
      <c r="K17" s="2823"/>
      <c r="L17" s="2823"/>
      <c r="M17" s="2823"/>
      <c r="N17" s="2823"/>
      <c r="O17" s="2823"/>
      <c r="P17" s="2823"/>
      <c r="Q17" s="2823"/>
      <c r="R17" s="2823"/>
      <c r="S17" s="2823"/>
      <c r="T17" s="2823"/>
      <c r="U17" s="2823"/>
      <c r="V17" s="2823"/>
      <c r="W17" s="2823"/>
      <c r="X17" s="2823"/>
      <c r="Y17" s="2823"/>
      <c r="Z17" s="2823"/>
      <c r="AA17" s="2823"/>
      <c r="AB17" s="2823"/>
      <c r="AC17" s="2823"/>
      <c r="AD17" s="1292"/>
      <c r="AE17" s="1568"/>
      <c r="AF17" s="1292"/>
    </row>
    <row r="19" spans="1:32" s="1565" customFormat="1">
      <c r="A19" s="1267"/>
      <c r="B19" s="1569"/>
      <c r="C19" s="1569"/>
      <c r="D19" s="1569"/>
      <c r="E19" s="1569"/>
      <c r="F19" s="1569"/>
      <c r="G19" s="1569"/>
      <c r="H19" s="1569"/>
      <c r="I19" s="1569"/>
      <c r="J19" s="1569"/>
      <c r="K19" s="1569"/>
      <c r="L19" s="1569"/>
      <c r="M19" s="1569"/>
      <c r="N19" s="1569"/>
      <c r="O19" s="1569"/>
      <c r="P19" s="1569"/>
      <c r="Q19" s="1569"/>
      <c r="R19" s="1569"/>
      <c r="S19" s="1569"/>
      <c r="T19" s="1569"/>
      <c r="U19" s="1569"/>
      <c r="V19" s="1569"/>
      <c r="W19" s="1569"/>
      <c r="X19" s="1569"/>
      <c r="Y19" s="1569"/>
      <c r="Z19" s="1569"/>
      <c r="AA19" s="1569"/>
      <c r="AB19" s="1569"/>
      <c r="AD19" s="1222"/>
      <c r="AF19" s="1222"/>
    </row>
    <row r="20" spans="1:32" s="1565" customFormat="1">
      <c r="A20" s="1267"/>
      <c r="B20" s="1266"/>
      <c r="C20" s="1266"/>
      <c r="D20" s="1266"/>
      <c r="E20" s="1266"/>
      <c r="F20" s="1266"/>
      <c r="G20" s="1266"/>
      <c r="H20" s="1266"/>
      <c r="I20" s="1266"/>
      <c r="J20" s="1266"/>
      <c r="K20" s="1266"/>
      <c r="L20" s="1266"/>
      <c r="M20" s="1266"/>
      <c r="N20" s="1266"/>
      <c r="O20" s="1266"/>
      <c r="P20" s="1266"/>
      <c r="Q20" s="1266"/>
      <c r="R20" s="1266"/>
      <c r="S20" s="1266"/>
      <c r="T20" s="1266"/>
      <c r="U20" s="1266"/>
      <c r="V20" s="1266"/>
      <c r="W20" s="1266"/>
      <c r="X20" s="1266"/>
      <c r="Y20" s="1266"/>
      <c r="Z20" s="1266"/>
      <c r="AA20" s="1266"/>
      <c r="AB20" s="1266"/>
      <c r="AD20" s="1222"/>
      <c r="AF20" s="1222"/>
    </row>
    <row r="21" spans="1:32" s="1565" customFormat="1">
      <c r="A21" s="1267"/>
      <c r="B21" s="1080"/>
      <c r="C21" s="1080"/>
      <c r="D21" s="1080"/>
      <c r="E21" s="1080"/>
      <c r="F21" s="1080"/>
      <c r="G21" s="1080"/>
      <c r="H21" s="1222"/>
      <c r="I21" s="1080"/>
      <c r="J21" s="1080"/>
      <c r="K21" s="1080"/>
      <c r="L21" s="1080"/>
      <c r="M21" s="1080"/>
      <c r="N21" s="1080"/>
      <c r="O21" s="1080"/>
      <c r="P21" s="1080"/>
      <c r="Q21" s="1080"/>
      <c r="R21" s="1080"/>
      <c r="S21" s="1080"/>
      <c r="T21" s="1080"/>
      <c r="U21" s="1080"/>
      <c r="V21" s="1080"/>
      <c r="W21" s="1080"/>
      <c r="X21" s="1080"/>
      <c r="Y21" s="1080"/>
      <c r="Z21" s="1080"/>
      <c r="AA21" s="1080"/>
      <c r="AB21" s="1080"/>
      <c r="AD21" s="1222"/>
      <c r="AF21" s="1222"/>
    </row>
    <row r="22" spans="1:32" s="1565" customFormat="1">
      <c r="A22" s="1267"/>
      <c r="B22" s="1080"/>
      <c r="C22" s="1080"/>
      <c r="D22" s="1080"/>
      <c r="E22" s="1080"/>
      <c r="F22" s="1080"/>
      <c r="G22" s="1080"/>
      <c r="H22" s="1222"/>
      <c r="I22" s="1080"/>
      <c r="J22" s="1080"/>
      <c r="K22" s="1080"/>
      <c r="L22" s="1080"/>
      <c r="M22" s="1080"/>
      <c r="N22" s="1080"/>
      <c r="O22" s="1080"/>
      <c r="P22" s="1080"/>
      <c r="Q22" s="1080"/>
      <c r="R22" s="1080"/>
      <c r="S22" s="1080"/>
      <c r="T22" s="1080"/>
      <c r="U22" s="1080"/>
      <c r="V22" s="1080"/>
      <c r="W22" s="1080"/>
      <c r="X22" s="1080"/>
      <c r="Y22" s="1080"/>
      <c r="Z22" s="1080"/>
      <c r="AA22" s="1080"/>
      <c r="AB22" s="1080"/>
      <c r="AD22" s="1222"/>
      <c r="AF22" s="1222"/>
    </row>
    <row r="25" spans="1:32" s="1565" customFormat="1">
      <c r="A25" s="1267"/>
      <c r="B25" s="1080"/>
      <c r="C25" s="1080"/>
      <c r="D25" s="1080"/>
      <c r="E25" s="1080"/>
      <c r="F25" s="1080"/>
      <c r="G25" s="1080"/>
      <c r="H25" s="1293"/>
      <c r="I25" s="1080"/>
      <c r="J25" s="1080"/>
      <c r="K25" s="1080"/>
      <c r="L25" s="1080"/>
      <c r="M25" s="108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080"/>
      <c r="Y25" s="1080"/>
      <c r="Z25" s="1080"/>
      <c r="AA25" s="1080"/>
      <c r="AB25" s="1080"/>
      <c r="AD25" s="1222"/>
      <c r="AF25" s="1222"/>
    </row>
  </sheetData>
  <mergeCells count="5">
    <mergeCell ref="A2:AC2"/>
    <mergeCell ref="A3:AC3"/>
    <mergeCell ref="L4:AC4"/>
    <mergeCell ref="A5:AC5"/>
    <mergeCell ref="A17:AC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M19"/>
  <sheetViews>
    <sheetView showGridLines="0" view="pageBreakPreview" zoomScale="85" zoomScaleNormal="100" zoomScaleSheetLayoutView="85" workbookViewId="0">
      <selection activeCell="J39" sqref="J39"/>
    </sheetView>
  </sheetViews>
  <sheetFormatPr defaultColWidth="9.109375" defaultRowHeight="17.399999999999999"/>
  <cols>
    <col min="1" max="1" width="72.88671875" style="1267" customWidth="1"/>
    <col min="2" max="10" width="24.5546875" style="1080" customWidth="1"/>
    <col min="11" max="11" width="23.33203125" style="1080" customWidth="1"/>
    <col min="12" max="12" width="49.109375" style="1565" customWidth="1"/>
    <col min="13" max="13" width="9.109375" style="1222"/>
    <col min="14" max="16384" width="9.109375" style="1080"/>
  </cols>
  <sheetData>
    <row r="1" spans="1:13" ht="7.95" customHeight="1"/>
    <row r="2" spans="1:13" s="1081" customFormat="1" ht="31.95" customHeight="1">
      <c r="A2" s="2818" t="s">
        <v>3907</v>
      </c>
      <c r="B2" s="2818"/>
      <c r="C2" s="2818"/>
      <c r="D2" s="2818"/>
      <c r="E2" s="2818"/>
      <c r="F2" s="2818"/>
      <c r="G2" s="2818"/>
      <c r="H2" s="2818"/>
      <c r="I2" s="2818"/>
      <c r="J2" s="2818"/>
      <c r="K2" s="2818"/>
      <c r="L2" s="2818"/>
      <c r="M2" s="1269"/>
    </row>
    <row r="3" spans="1:13" s="1081" customFormat="1" ht="31.95" customHeight="1">
      <c r="A3" s="2824" t="s">
        <v>3908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1269"/>
    </row>
    <row r="4" spans="1:13" s="1081" customFormat="1" ht="18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69"/>
    </row>
    <row r="5" spans="1:13" s="1081" customFormat="1" ht="18" customHeight="1" thickBot="1">
      <c r="A5" s="1653"/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4" t="s">
        <v>8</v>
      </c>
      <c r="M5" s="1269"/>
    </row>
    <row r="6" spans="1:13" ht="19.2" thickBot="1">
      <c r="A6" s="1657" t="s">
        <v>3909</v>
      </c>
      <c r="B6" s="1658">
        <v>45077</v>
      </c>
      <c r="C6" s="1670">
        <v>45107</v>
      </c>
      <c r="D6" s="1670">
        <v>45138</v>
      </c>
      <c r="E6" s="1670">
        <v>45169</v>
      </c>
      <c r="F6" s="1670">
        <v>45199</v>
      </c>
      <c r="G6" s="1670">
        <v>45230</v>
      </c>
      <c r="H6" s="1670">
        <v>45260</v>
      </c>
      <c r="I6" s="1670">
        <v>45291</v>
      </c>
      <c r="J6" s="1670">
        <v>45322</v>
      </c>
      <c r="K6" s="1658">
        <v>45351</v>
      </c>
      <c r="L6" s="1696" t="s">
        <v>3900</v>
      </c>
    </row>
    <row r="7" spans="1:13" ht="29.4" customHeight="1">
      <c r="A7" s="1659" t="s">
        <v>3910</v>
      </c>
      <c r="B7" s="1660">
        <v>11170.8055462252</v>
      </c>
      <c r="C7" s="1671">
        <v>11650.5031040751</v>
      </c>
      <c r="D7" s="1671">
        <v>11622.688762838899</v>
      </c>
      <c r="E7" s="1671">
        <v>11821.791771283601</v>
      </c>
      <c r="F7" s="1671">
        <v>12078.6747372461</v>
      </c>
      <c r="G7" s="1671">
        <v>12246.3869346131</v>
      </c>
      <c r="H7" s="1671">
        <v>12421.2469256614</v>
      </c>
      <c r="I7" s="1671">
        <v>12616.787114836399</v>
      </c>
      <c r="J7" s="1671">
        <v>12912.916752994601</v>
      </c>
      <c r="K7" s="1660">
        <v>13063.7357667661</v>
      </c>
      <c r="L7" s="1697" t="s">
        <v>3901</v>
      </c>
    </row>
    <row r="8" spans="1:13" ht="29.4" customHeight="1">
      <c r="A8" s="1661" t="s">
        <v>2817</v>
      </c>
      <c r="B8" s="1662"/>
      <c r="C8" s="1672"/>
      <c r="D8" s="1672"/>
      <c r="E8" s="1672"/>
      <c r="F8" s="1672"/>
      <c r="G8" s="1672"/>
      <c r="H8" s="1672"/>
      <c r="I8" s="1672"/>
      <c r="J8" s="1672"/>
      <c r="K8" s="1662"/>
      <c r="L8" s="1698" t="s">
        <v>3902</v>
      </c>
    </row>
    <row r="9" spans="1:13" ht="29.4" customHeight="1">
      <c r="A9" s="1663" t="s">
        <v>3911</v>
      </c>
      <c r="B9" s="1664">
        <f>B7-B10-B11-B12</f>
        <v>4965.0949600451995</v>
      </c>
      <c r="C9" s="1673">
        <v>5312.9069935136904</v>
      </c>
      <c r="D9" s="1673">
        <v>5307.9970474450001</v>
      </c>
      <c r="E9" s="1673">
        <v>5311.447272933</v>
      </c>
      <c r="F9" s="1673">
        <v>5412.3021281589999</v>
      </c>
      <c r="G9" s="1673">
        <v>5722.2503756276283</v>
      </c>
      <c r="H9" s="1673">
        <v>5890.8538757980004</v>
      </c>
      <c r="I9" s="1673">
        <v>6251.7</v>
      </c>
      <c r="J9" s="1673">
        <v>6849.8189641699992</v>
      </c>
      <c r="K9" s="1664">
        <v>7094.2819282799992</v>
      </c>
      <c r="L9" s="1699" t="s">
        <v>3903</v>
      </c>
    </row>
    <row r="10" spans="1:13" ht="29.4" customHeight="1">
      <c r="A10" s="1663" t="s">
        <v>3912</v>
      </c>
      <c r="B10" s="1664">
        <v>2322.2037080999999</v>
      </c>
      <c r="C10" s="1673">
        <v>2451.6720448400001</v>
      </c>
      <c r="D10" s="1673">
        <v>2444.3434839360002</v>
      </c>
      <c r="E10" s="1673">
        <v>2492.8092125600001</v>
      </c>
      <c r="F10" s="1673">
        <v>2525.8572200849999</v>
      </c>
      <c r="G10" s="1673">
        <v>2313.99519267199</v>
      </c>
      <c r="H10" s="1673">
        <v>2288.7615484600001</v>
      </c>
      <c r="I10" s="1673">
        <v>2149.65</v>
      </c>
      <c r="J10" s="1673">
        <v>1884.59871333</v>
      </c>
      <c r="K10" s="1664">
        <v>1794.60333446</v>
      </c>
      <c r="L10" s="1699" t="s">
        <v>3904</v>
      </c>
    </row>
    <row r="11" spans="1:13" ht="29.4" customHeight="1">
      <c r="A11" s="1663" t="s">
        <v>3913</v>
      </c>
      <c r="B11" s="1664">
        <v>1774.3409387999998</v>
      </c>
      <c r="C11" s="1673">
        <v>1751.1955735500001</v>
      </c>
      <c r="D11" s="1673">
        <v>1662.782720638</v>
      </c>
      <c r="E11" s="1673">
        <v>1720.9657457600001</v>
      </c>
      <c r="F11" s="1673">
        <v>1727.4274609199999</v>
      </c>
      <c r="G11" s="1673">
        <v>1681.41051199548</v>
      </c>
      <c r="H11" s="1673">
        <v>1618.7460157400001</v>
      </c>
      <c r="I11" s="1673">
        <v>1585.5</v>
      </c>
      <c r="J11" s="1673">
        <v>1546.3247116799998</v>
      </c>
      <c r="K11" s="1664">
        <v>1501.4793211699998</v>
      </c>
      <c r="L11" s="1699" t="s">
        <v>3905</v>
      </c>
    </row>
    <row r="12" spans="1:13" s="1565" customFormat="1" ht="29.4" customHeight="1" thickBot="1">
      <c r="A12" s="1665" t="s">
        <v>3914</v>
      </c>
      <c r="B12" s="1666">
        <v>2109.1659392800002</v>
      </c>
      <c r="C12" s="1674">
        <v>2134.6876764399999</v>
      </c>
      <c r="D12" s="1674">
        <v>2207.5316801900003</v>
      </c>
      <c r="E12" s="1674">
        <v>2296.5369987700001</v>
      </c>
      <c r="F12" s="1674">
        <v>2413.0601917220001</v>
      </c>
      <c r="G12" s="1674">
        <v>2528.7308543179997</v>
      </c>
      <c r="H12" s="1674">
        <v>2622.8723848</v>
      </c>
      <c r="I12" s="1674">
        <v>2629.9</v>
      </c>
      <c r="J12" s="1674">
        <v>2632.1747660300002</v>
      </c>
      <c r="K12" s="1666">
        <v>2673.3150399900001</v>
      </c>
      <c r="L12" s="1700" t="s">
        <v>3906</v>
      </c>
      <c r="M12" s="1222"/>
    </row>
    <row r="13" spans="1:13" s="1656" customFormat="1" ht="33.75" customHeight="1">
      <c r="A13" s="2825" t="s">
        <v>3915</v>
      </c>
      <c r="B13" s="2826"/>
      <c r="C13" s="2826"/>
      <c r="D13" s="2826"/>
      <c r="E13" s="2826"/>
      <c r="F13" s="2826"/>
      <c r="G13" s="2826"/>
      <c r="H13" s="2826"/>
      <c r="I13" s="2826"/>
      <c r="J13" s="2826"/>
      <c r="K13" s="2826"/>
      <c r="L13" s="2826"/>
      <c r="M13" s="1655"/>
    </row>
    <row r="14" spans="1:13" s="1565" customFormat="1">
      <c r="A14" s="1267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M14" s="1222"/>
    </row>
    <row r="15" spans="1:13" s="1565" customFormat="1">
      <c r="A15" s="1267"/>
      <c r="B15" s="1080"/>
      <c r="C15" s="1080"/>
      <c r="D15" s="1080"/>
      <c r="E15" s="1737"/>
      <c r="F15" s="1080"/>
      <c r="G15" s="1080"/>
      <c r="H15" s="1080"/>
      <c r="I15" s="1080"/>
      <c r="J15" s="1080"/>
      <c r="K15" s="1737"/>
      <c r="M15" s="1222"/>
    </row>
    <row r="16" spans="1:13" s="1565" customFormat="1">
      <c r="A16" s="1267"/>
      <c r="B16" s="1080"/>
      <c r="C16" s="1080"/>
      <c r="D16" s="1080"/>
      <c r="E16" s="1080"/>
      <c r="F16" s="1080"/>
      <c r="G16" s="1080"/>
      <c r="H16" s="1080"/>
      <c r="I16" s="1080"/>
      <c r="J16" s="1080"/>
      <c r="K16" s="2002"/>
      <c r="M16" s="1222"/>
    </row>
    <row r="17" spans="1:13">
      <c r="K17" s="1736"/>
    </row>
    <row r="19" spans="1:13" s="1565" customFormat="1">
      <c r="A19" s="1267"/>
      <c r="B19" s="1080"/>
      <c r="C19" s="1080"/>
      <c r="D19" s="1080"/>
      <c r="E19" s="1080"/>
      <c r="F19" s="1080"/>
      <c r="G19" s="1080"/>
      <c r="H19" s="1080"/>
      <c r="I19" s="1080"/>
      <c r="J19" s="1080"/>
      <c r="K19" s="1080"/>
      <c r="M19" s="1222"/>
    </row>
  </sheetData>
  <mergeCells count="3">
    <mergeCell ref="A2:L2"/>
    <mergeCell ref="A3:L3"/>
    <mergeCell ref="A13:L13"/>
  </mergeCells>
  <pageMargins left="0.51181102362204722" right="0.51181102362204722" top="0.55118110236220474" bottom="0.55118110236220474" header="0.31496062992125984" footer="0.31496062992125984"/>
  <pageSetup paperSize="9" scale="37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2380-1A58-41EE-824F-A1EF0DE08A5D}">
  <sheetPr codeName="Sheet63">
    <tabColor rgb="FF92D050"/>
  </sheetPr>
  <dimension ref="A2:KG146"/>
  <sheetViews>
    <sheetView showGridLines="0" view="pageBreakPreview" zoomScale="60" zoomScaleNormal="60" workbookViewId="0">
      <pane xSplit="10" ySplit="10" topLeftCell="FM11" activePane="bottomRight" state="frozen"/>
      <selection activeCell="G291" sqref="G291"/>
      <selection pane="topRight" activeCell="G291" sqref="G291"/>
      <selection pane="bottomLeft" activeCell="G291" sqref="G291"/>
      <selection pane="bottomRight" activeCell="GU23" sqref="GU23"/>
    </sheetView>
  </sheetViews>
  <sheetFormatPr defaultColWidth="9.109375" defaultRowHeight="14.4"/>
  <cols>
    <col min="1" max="1" width="7.6640625" style="2089" customWidth="1"/>
    <col min="2" max="2" width="93.109375" style="2089" customWidth="1"/>
    <col min="3" max="3" width="18.44140625" style="460" hidden="1" customWidth="1"/>
    <col min="4" max="4" width="18.44140625" style="2089" hidden="1" customWidth="1"/>
    <col min="5" max="14" width="18.44140625" style="2067" hidden="1" customWidth="1"/>
    <col min="15" max="16" width="18.33203125" style="2067" hidden="1" customWidth="1"/>
    <col min="17" max="30" width="18.44140625" style="2067" hidden="1" customWidth="1"/>
    <col min="31" max="31" width="19.33203125" style="2067" hidden="1" customWidth="1"/>
    <col min="32" max="50" width="18.44140625" style="2067" hidden="1" customWidth="1"/>
    <col min="51" max="68" width="18.44140625" style="459" hidden="1" customWidth="1"/>
    <col min="69" max="70" width="18.5546875" style="459" hidden="1" customWidth="1"/>
    <col min="71" max="74" width="18.44140625" style="459" hidden="1" customWidth="1"/>
    <col min="75" max="76" width="18.6640625" style="2067" hidden="1" customWidth="1"/>
    <col min="77" max="78" width="18.33203125" style="2067" hidden="1" customWidth="1"/>
    <col min="79" max="79" width="18.6640625" style="2067" hidden="1" customWidth="1"/>
    <col min="80" max="80" width="16.6640625" style="2067" hidden="1" customWidth="1"/>
    <col min="81" max="81" width="20.33203125" style="2067" hidden="1" customWidth="1"/>
    <col min="82" max="82" width="16.6640625" style="2067" hidden="1" customWidth="1"/>
    <col min="83" max="84" width="20.44140625" style="2067" hidden="1" customWidth="1"/>
    <col min="85" max="96" width="18.6640625" style="2067" hidden="1" customWidth="1"/>
    <col min="97" max="98" width="18.44140625" style="2067" hidden="1" customWidth="1"/>
    <col min="99" max="102" width="18.88671875" style="2067" hidden="1" customWidth="1"/>
    <col min="103" max="108" width="18.6640625" style="2067" hidden="1" customWidth="1"/>
    <col min="109" max="110" width="18.5546875" style="2067" hidden="1" customWidth="1"/>
    <col min="111" max="114" width="18.44140625" style="2067" hidden="1" customWidth="1"/>
    <col min="115" max="118" width="18.33203125" style="2067" hidden="1" customWidth="1"/>
    <col min="119" max="134" width="18.109375" style="2067" hidden="1" customWidth="1"/>
    <col min="135" max="135" width="26.109375" style="2067" hidden="1" customWidth="1"/>
    <col min="136" max="136" width="0.33203125" style="2067" hidden="1" customWidth="1"/>
    <col min="137" max="140" width="18.109375" style="2067" hidden="1" customWidth="1"/>
    <col min="141" max="142" width="18.88671875" style="2067" hidden="1" customWidth="1"/>
    <col min="143" max="143" width="19" style="2067" hidden="1" customWidth="1"/>
    <col min="144" max="144" width="19.5546875" style="2067" hidden="1" customWidth="1"/>
    <col min="145" max="145" width="19" style="2067" hidden="1" customWidth="1"/>
    <col min="146" max="148" width="19.5546875" style="2067" hidden="1" customWidth="1"/>
    <col min="149" max="149" width="22.109375" style="2067" hidden="1" customWidth="1"/>
    <col min="150" max="150" width="21.6640625" style="2067" hidden="1" customWidth="1"/>
    <col min="151" max="151" width="20.33203125" style="2067" hidden="1" customWidth="1"/>
    <col min="152" max="152" width="19.33203125" style="2067" hidden="1" customWidth="1"/>
    <col min="153" max="153" width="20.44140625" style="2067" hidden="1" customWidth="1"/>
    <col min="154" max="155" width="19.44140625" style="2067" hidden="1" customWidth="1"/>
    <col min="156" max="156" width="21.109375" style="2067" hidden="1" customWidth="1"/>
    <col min="157" max="157" width="18.33203125" style="2067" hidden="1" customWidth="1"/>
    <col min="158" max="158" width="20.109375" style="2067" hidden="1" customWidth="1"/>
    <col min="159" max="160" width="20.44140625" style="2067" hidden="1" customWidth="1"/>
    <col min="161" max="163" width="20.109375" style="2067" hidden="1" customWidth="1"/>
    <col min="164" max="172" width="21.109375" style="2067" hidden="1" customWidth="1"/>
    <col min="173" max="174" width="21.109375" style="2067" customWidth="1"/>
    <col min="175" max="178" width="21.109375" style="2067" hidden="1" customWidth="1"/>
    <col min="179" max="180" width="21.109375" style="2067" customWidth="1"/>
    <col min="181" max="184" width="21.109375" style="2067" hidden="1" customWidth="1"/>
    <col min="185" max="186" width="21.109375" style="2067" customWidth="1"/>
    <col min="187" max="190" width="21.109375" style="2067" hidden="1" customWidth="1"/>
    <col min="191" max="196" width="21.109375" style="2067" customWidth="1"/>
    <col min="197" max="197" width="82.44140625" style="2089" customWidth="1"/>
    <col min="198" max="16384" width="9.109375" style="2067"/>
  </cols>
  <sheetData>
    <row r="2" spans="1:293" ht="36" customHeight="1">
      <c r="A2" s="2832" t="s">
        <v>3185</v>
      </c>
      <c r="B2" s="2832"/>
      <c r="C2" s="2832"/>
      <c r="D2" s="2832"/>
      <c r="E2" s="2832"/>
      <c r="F2" s="2832"/>
      <c r="G2" s="2832"/>
      <c r="H2" s="2832"/>
      <c r="I2" s="2832"/>
      <c r="J2" s="2832"/>
      <c r="K2" s="2832"/>
      <c r="L2" s="2832"/>
      <c r="M2" s="2832"/>
      <c r="N2" s="2832"/>
      <c r="O2" s="2832"/>
      <c r="P2" s="2832"/>
      <c r="Q2" s="2832"/>
      <c r="R2" s="2832"/>
      <c r="S2" s="2832"/>
      <c r="T2" s="2832"/>
      <c r="U2" s="2832"/>
      <c r="V2" s="2832"/>
      <c r="W2" s="2832"/>
      <c r="X2" s="2832"/>
      <c r="Y2" s="2832"/>
      <c r="Z2" s="2832"/>
      <c r="AA2" s="2832"/>
      <c r="AB2" s="2832"/>
      <c r="AC2" s="2832"/>
      <c r="AD2" s="2832"/>
      <c r="AE2" s="2832"/>
      <c r="AF2" s="2832"/>
      <c r="AG2" s="2832"/>
      <c r="AH2" s="2832"/>
      <c r="AI2" s="2832"/>
      <c r="AJ2" s="2832"/>
      <c r="AK2" s="2832"/>
      <c r="AL2" s="2832"/>
      <c r="AM2" s="2832"/>
      <c r="AN2" s="2832"/>
      <c r="AO2" s="2832"/>
      <c r="AP2" s="2832"/>
      <c r="AQ2" s="2832"/>
      <c r="AR2" s="2832"/>
      <c r="AS2" s="2832"/>
      <c r="AT2" s="2832"/>
      <c r="AU2" s="2832"/>
      <c r="AV2" s="2832"/>
      <c r="AW2" s="2832"/>
      <c r="AX2" s="2832"/>
      <c r="AY2" s="2832"/>
      <c r="AZ2" s="2832"/>
      <c r="BA2" s="2832"/>
      <c r="BB2" s="2832"/>
      <c r="BC2" s="2832"/>
      <c r="BD2" s="2832"/>
      <c r="BE2" s="2832"/>
      <c r="BF2" s="2832"/>
      <c r="BG2" s="2832"/>
      <c r="BH2" s="2832"/>
      <c r="BI2" s="2832"/>
      <c r="BJ2" s="2832"/>
      <c r="BK2" s="2832"/>
      <c r="BL2" s="2832"/>
      <c r="BM2" s="2832"/>
      <c r="BN2" s="2832"/>
      <c r="BO2" s="2832"/>
      <c r="BP2" s="2832"/>
      <c r="BQ2" s="2832"/>
      <c r="BR2" s="2832"/>
      <c r="BS2" s="2832"/>
      <c r="BT2" s="2832"/>
      <c r="BU2" s="2832"/>
      <c r="BV2" s="2832"/>
      <c r="BW2" s="2832"/>
      <c r="BX2" s="2832"/>
      <c r="BY2" s="2832"/>
      <c r="BZ2" s="2832"/>
      <c r="CA2" s="2832"/>
      <c r="CB2" s="2832"/>
      <c r="CC2" s="2832"/>
      <c r="CD2" s="2832"/>
      <c r="CE2" s="2832"/>
      <c r="CF2" s="2832"/>
      <c r="CG2" s="2832"/>
      <c r="CH2" s="2832"/>
      <c r="CI2" s="2832"/>
      <c r="CJ2" s="2832"/>
      <c r="CK2" s="2832"/>
      <c r="CL2" s="2832"/>
      <c r="CM2" s="2832"/>
      <c r="CN2" s="2832"/>
      <c r="CO2" s="2832"/>
      <c r="CP2" s="2832"/>
      <c r="CQ2" s="2832"/>
      <c r="CR2" s="2832"/>
      <c r="CS2" s="2832"/>
      <c r="CT2" s="2832"/>
      <c r="CU2" s="2832"/>
      <c r="CV2" s="2832"/>
      <c r="CW2" s="2832"/>
      <c r="CX2" s="2832"/>
      <c r="CY2" s="2832"/>
      <c r="CZ2" s="2832"/>
      <c r="DA2" s="2832"/>
      <c r="DB2" s="2832"/>
      <c r="DC2" s="2832"/>
      <c r="DD2" s="2832"/>
      <c r="DE2" s="2832"/>
      <c r="DF2" s="2832"/>
      <c r="DG2" s="2832"/>
      <c r="DH2" s="2832"/>
      <c r="DI2" s="2832"/>
      <c r="DJ2" s="2832"/>
      <c r="DK2" s="2832"/>
      <c r="DL2" s="2832"/>
      <c r="DM2" s="2832"/>
      <c r="DN2" s="2832"/>
      <c r="DO2" s="2832"/>
      <c r="DP2" s="2832"/>
      <c r="DQ2" s="2832"/>
      <c r="DR2" s="2832"/>
      <c r="DS2" s="2832"/>
      <c r="DT2" s="2832"/>
      <c r="DU2" s="2832"/>
      <c r="DV2" s="2832"/>
      <c r="DW2" s="2832"/>
      <c r="DX2" s="2832"/>
      <c r="DY2" s="2832"/>
      <c r="DZ2" s="2832"/>
      <c r="EA2" s="2832"/>
      <c r="EB2" s="2832"/>
      <c r="EC2" s="2832"/>
      <c r="ED2" s="2832"/>
      <c r="EE2" s="2832"/>
      <c r="EF2" s="2832"/>
      <c r="EG2" s="2832"/>
      <c r="EH2" s="2832"/>
      <c r="EI2" s="2832"/>
      <c r="EJ2" s="2832"/>
      <c r="EK2" s="2832"/>
      <c r="EL2" s="2832"/>
      <c r="EM2" s="2832"/>
      <c r="EN2" s="2832"/>
      <c r="EO2" s="2832"/>
      <c r="EP2" s="2832"/>
      <c r="EQ2" s="2832"/>
      <c r="ER2" s="2832"/>
      <c r="ES2" s="2832"/>
      <c r="ET2" s="2832"/>
      <c r="EU2" s="2832"/>
      <c r="EV2" s="2832"/>
      <c r="EW2" s="2832"/>
      <c r="EX2" s="2832"/>
      <c r="EY2" s="2832"/>
      <c r="EZ2" s="2832"/>
      <c r="FA2" s="2832"/>
      <c r="FB2" s="2832"/>
      <c r="FC2" s="2832"/>
      <c r="FD2" s="2832"/>
      <c r="FE2" s="2832"/>
      <c r="FF2" s="2832"/>
      <c r="FG2" s="2832"/>
      <c r="FH2" s="2832"/>
      <c r="FI2" s="2832"/>
      <c r="FJ2" s="2832"/>
      <c r="FK2" s="2832"/>
      <c r="FL2" s="2832"/>
      <c r="FM2" s="2832"/>
      <c r="FN2" s="2832"/>
      <c r="FO2" s="2832"/>
      <c r="FP2" s="2832"/>
      <c r="FQ2" s="2832"/>
      <c r="FR2" s="2832"/>
      <c r="FS2" s="2832"/>
      <c r="FT2" s="2832"/>
      <c r="FU2" s="2832"/>
      <c r="FV2" s="2832"/>
      <c r="FW2" s="2832"/>
      <c r="FX2" s="2832"/>
      <c r="FY2" s="2832"/>
      <c r="FZ2" s="2832"/>
      <c r="GA2" s="2832"/>
      <c r="GB2" s="2832"/>
      <c r="GC2" s="2832"/>
      <c r="GD2" s="2832"/>
      <c r="GE2" s="2832"/>
      <c r="GF2" s="2832"/>
      <c r="GG2" s="2832"/>
      <c r="GH2" s="2832"/>
      <c r="GI2" s="2832"/>
      <c r="GJ2" s="2832"/>
      <c r="GK2" s="2832"/>
      <c r="GL2" s="2832"/>
      <c r="GM2" s="2832"/>
      <c r="GN2" s="2832"/>
      <c r="GO2" s="2832"/>
      <c r="GP2" s="2066"/>
      <c r="GQ2" s="2066"/>
      <c r="GR2" s="2066"/>
      <c r="GS2" s="2066"/>
      <c r="GT2" s="2066"/>
      <c r="GU2" s="2066"/>
      <c r="GV2" s="2066"/>
      <c r="GW2" s="2066"/>
      <c r="GX2" s="2066"/>
      <c r="GY2" s="2066"/>
      <c r="GZ2" s="2066"/>
      <c r="HA2" s="2066"/>
      <c r="HB2" s="2066"/>
      <c r="HC2" s="2066"/>
      <c r="HD2" s="2066"/>
      <c r="HE2" s="2066"/>
      <c r="HF2" s="2066"/>
      <c r="HG2" s="2066"/>
      <c r="HH2" s="2066"/>
      <c r="HI2" s="2066"/>
      <c r="HJ2" s="2066"/>
      <c r="HK2" s="2066"/>
      <c r="HL2" s="2066"/>
      <c r="HM2" s="2066"/>
      <c r="HN2" s="2066"/>
      <c r="HO2" s="2066"/>
      <c r="HP2" s="2066"/>
      <c r="HQ2" s="2066"/>
      <c r="HR2" s="2066"/>
      <c r="HS2" s="2066"/>
      <c r="HT2" s="2066"/>
      <c r="HU2" s="2066"/>
      <c r="HV2" s="2066"/>
      <c r="HW2" s="2066"/>
      <c r="HX2" s="2066"/>
      <c r="HY2" s="2066"/>
      <c r="HZ2" s="2066"/>
      <c r="IA2" s="2066"/>
      <c r="IB2" s="2066"/>
      <c r="IC2" s="2066"/>
      <c r="ID2" s="2066"/>
      <c r="IE2" s="2066"/>
      <c r="IF2" s="2066"/>
      <c r="IG2" s="2066"/>
      <c r="IH2" s="2066"/>
      <c r="II2" s="2066"/>
      <c r="IJ2" s="2066"/>
      <c r="IK2" s="2066"/>
      <c r="IL2" s="2066"/>
      <c r="IM2" s="2066"/>
      <c r="IN2" s="2066"/>
      <c r="IO2" s="2066"/>
      <c r="IP2" s="2066"/>
      <c r="IQ2" s="2066"/>
      <c r="IR2" s="2066"/>
      <c r="IS2" s="2066"/>
      <c r="IT2" s="2066"/>
      <c r="IU2" s="2066"/>
      <c r="IV2" s="2066"/>
      <c r="IW2" s="2066"/>
      <c r="IX2" s="2066"/>
      <c r="IY2" s="2066"/>
      <c r="IZ2" s="2066"/>
      <c r="JA2" s="2066"/>
      <c r="JB2" s="2066"/>
      <c r="JC2" s="2066"/>
      <c r="JD2" s="2066"/>
      <c r="JE2" s="2066"/>
      <c r="JF2" s="2066"/>
      <c r="JG2" s="2066"/>
      <c r="JH2" s="2066"/>
      <c r="JI2" s="2066"/>
      <c r="JJ2" s="2066"/>
      <c r="JK2" s="2066"/>
      <c r="JL2" s="2066"/>
      <c r="JM2" s="2066"/>
    </row>
    <row r="3" spans="1:293" ht="36" customHeight="1">
      <c r="A3" s="2833" t="s">
        <v>4085</v>
      </c>
      <c r="B3" s="2833"/>
      <c r="C3" s="2833"/>
      <c r="D3" s="2833"/>
      <c r="E3" s="2833"/>
      <c r="F3" s="2833"/>
      <c r="G3" s="2833"/>
      <c r="H3" s="2833"/>
      <c r="I3" s="2833"/>
      <c r="J3" s="2833"/>
      <c r="K3" s="2833"/>
      <c r="L3" s="2833"/>
      <c r="M3" s="2833"/>
      <c r="N3" s="2833"/>
      <c r="O3" s="2833"/>
      <c r="P3" s="2833"/>
      <c r="Q3" s="2833"/>
      <c r="R3" s="2833"/>
      <c r="S3" s="2833"/>
      <c r="T3" s="2833"/>
      <c r="U3" s="2833"/>
      <c r="V3" s="2833"/>
      <c r="W3" s="2833"/>
      <c r="X3" s="2833"/>
      <c r="Y3" s="2833"/>
      <c r="Z3" s="2833"/>
      <c r="AA3" s="2833"/>
      <c r="AB3" s="2833"/>
      <c r="AC3" s="2833"/>
      <c r="AD3" s="2833"/>
      <c r="AE3" s="2833"/>
      <c r="AF3" s="2833"/>
      <c r="AG3" s="2833"/>
      <c r="AH3" s="2833"/>
      <c r="AI3" s="2833"/>
      <c r="AJ3" s="2833"/>
      <c r="AK3" s="2833"/>
      <c r="AL3" s="2833"/>
      <c r="AM3" s="2833"/>
      <c r="AN3" s="2833"/>
      <c r="AO3" s="2833"/>
      <c r="AP3" s="2833"/>
      <c r="AQ3" s="2833"/>
      <c r="AR3" s="2833"/>
      <c r="AS3" s="2833"/>
      <c r="AT3" s="2833"/>
      <c r="AU3" s="2833"/>
      <c r="AV3" s="2833"/>
      <c r="AW3" s="2833"/>
      <c r="AX3" s="2833"/>
      <c r="AY3" s="2833"/>
      <c r="AZ3" s="2833"/>
      <c r="BA3" s="2833"/>
      <c r="BB3" s="2833"/>
      <c r="BC3" s="2833"/>
      <c r="BD3" s="2833"/>
      <c r="BE3" s="2833"/>
      <c r="BF3" s="2833"/>
      <c r="BG3" s="2833"/>
      <c r="BH3" s="2833"/>
      <c r="BI3" s="2833"/>
      <c r="BJ3" s="2833"/>
      <c r="BK3" s="2833"/>
      <c r="BL3" s="2833"/>
      <c r="BM3" s="2833"/>
      <c r="BN3" s="2833"/>
      <c r="BO3" s="2833"/>
      <c r="BP3" s="2833"/>
      <c r="BQ3" s="2833"/>
      <c r="BR3" s="2833"/>
      <c r="BS3" s="2833"/>
      <c r="BT3" s="2833"/>
      <c r="BU3" s="2833"/>
      <c r="BV3" s="2833"/>
      <c r="BW3" s="2833"/>
      <c r="BX3" s="2833"/>
      <c r="BY3" s="2833"/>
      <c r="BZ3" s="2833"/>
      <c r="CA3" s="2833"/>
      <c r="CB3" s="2833"/>
      <c r="CC3" s="2833"/>
      <c r="CD3" s="2833"/>
      <c r="CE3" s="2833"/>
      <c r="CF3" s="2833"/>
      <c r="CG3" s="2833"/>
      <c r="CH3" s="2833"/>
      <c r="CI3" s="2833"/>
      <c r="CJ3" s="2833"/>
      <c r="CK3" s="2833"/>
      <c r="CL3" s="2833"/>
      <c r="CM3" s="2833"/>
      <c r="CN3" s="2833"/>
      <c r="CO3" s="2833"/>
      <c r="CP3" s="2833"/>
      <c r="CQ3" s="2833"/>
      <c r="CR3" s="2833"/>
      <c r="CS3" s="2833"/>
      <c r="CT3" s="2833"/>
      <c r="CU3" s="2833"/>
      <c r="CV3" s="2833"/>
      <c r="CW3" s="2833"/>
      <c r="CX3" s="2833"/>
      <c r="CY3" s="2833"/>
      <c r="CZ3" s="2833"/>
      <c r="DA3" s="2833"/>
      <c r="DB3" s="2833"/>
      <c r="DC3" s="2833"/>
      <c r="DD3" s="2833"/>
      <c r="DE3" s="2833"/>
      <c r="DF3" s="2833"/>
      <c r="DG3" s="2833"/>
      <c r="DH3" s="2833"/>
      <c r="DI3" s="2833"/>
      <c r="DJ3" s="2833"/>
      <c r="DK3" s="2833"/>
      <c r="DL3" s="2833"/>
      <c r="DM3" s="2833"/>
      <c r="DN3" s="2833"/>
      <c r="DO3" s="2833"/>
      <c r="DP3" s="2833"/>
      <c r="DQ3" s="2833"/>
      <c r="DR3" s="2833"/>
      <c r="DS3" s="2833"/>
      <c r="DT3" s="2833"/>
      <c r="DU3" s="2833"/>
      <c r="DV3" s="2833"/>
      <c r="DW3" s="2833"/>
      <c r="DX3" s="2833"/>
      <c r="DY3" s="2833"/>
      <c r="DZ3" s="2833"/>
      <c r="EA3" s="2833"/>
      <c r="EB3" s="2833"/>
      <c r="EC3" s="2833"/>
      <c r="ED3" s="2833"/>
      <c r="EE3" s="2833"/>
      <c r="EF3" s="2833"/>
      <c r="EG3" s="2833"/>
      <c r="EH3" s="2833"/>
      <c r="EI3" s="2833"/>
      <c r="EJ3" s="2833"/>
      <c r="EK3" s="2833"/>
      <c r="EL3" s="2833"/>
      <c r="EM3" s="2833"/>
      <c r="EN3" s="2833"/>
      <c r="EO3" s="2833"/>
      <c r="EP3" s="2833"/>
      <c r="EQ3" s="2833"/>
      <c r="ER3" s="2833"/>
      <c r="ES3" s="2833"/>
      <c r="ET3" s="2833"/>
      <c r="EU3" s="2833"/>
      <c r="EV3" s="2833"/>
      <c r="EW3" s="2833"/>
      <c r="EX3" s="2833"/>
      <c r="EY3" s="2833"/>
      <c r="EZ3" s="2833"/>
      <c r="FA3" s="2833"/>
      <c r="FB3" s="2833"/>
      <c r="FC3" s="2833"/>
      <c r="FD3" s="2833"/>
      <c r="FE3" s="2833"/>
      <c r="FF3" s="2833"/>
      <c r="FG3" s="2833"/>
      <c r="FH3" s="2833"/>
      <c r="FI3" s="2833"/>
      <c r="FJ3" s="2833"/>
      <c r="FK3" s="2833"/>
      <c r="FL3" s="2833"/>
      <c r="FM3" s="2833"/>
      <c r="FN3" s="2833"/>
      <c r="FO3" s="2833"/>
      <c r="FP3" s="2833"/>
      <c r="FQ3" s="2833"/>
      <c r="FR3" s="2833"/>
      <c r="FS3" s="2833"/>
      <c r="FT3" s="2833"/>
      <c r="FU3" s="2833"/>
      <c r="FV3" s="2833"/>
      <c r="FW3" s="2833"/>
      <c r="FX3" s="2833"/>
      <c r="FY3" s="2833"/>
      <c r="FZ3" s="2833"/>
      <c r="GA3" s="2833"/>
      <c r="GB3" s="2833"/>
      <c r="GC3" s="2833"/>
      <c r="GD3" s="2833"/>
      <c r="GE3" s="2833"/>
      <c r="GF3" s="2833"/>
      <c r="GG3" s="2833"/>
      <c r="GH3" s="2833"/>
      <c r="GI3" s="2833"/>
      <c r="GJ3" s="2833"/>
      <c r="GK3" s="2833"/>
      <c r="GL3" s="2833"/>
      <c r="GM3" s="2833"/>
      <c r="GN3" s="2833"/>
      <c r="GO3" s="2833"/>
      <c r="GP3" s="2066"/>
      <c r="GQ3" s="2066"/>
      <c r="GR3" s="2066"/>
      <c r="GS3" s="2066"/>
      <c r="GT3" s="2066"/>
      <c r="GU3" s="2066"/>
      <c r="GV3" s="2066"/>
      <c r="GW3" s="2066"/>
      <c r="GX3" s="2066"/>
      <c r="GY3" s="2066"/>
      <c r="GZ3" s="2066"/>
      <c r="HA3" s="2066"/>
      <c r="HB3" s="2066"/>
      <c r="HC3" s="2066"/>
      <c r="HD3" s="2066"/>
      <c r="HE3" s="2066"/>
      <c r="HF3" s="2066"/>
      <c r="HG3" s="2066"/>
      <c r="HH3" s="2066"/>
      <c r="HI3" s="2066"/>
      <c r="HJ3" s="2066"/>
      <c r="HK3" s="2066"/>
      <c r="HL3" s="2066"/>
      <c r="HM3" s="2066"/>
      <c r="HN3" s="2066"/>
      <c r="HO3" s="2066"/>
      <c r="HP3" s="2066"/>
      <c r="HQ3" s="2066"/>
      <c r="HR3" s="2066"/>
      <c r="HS3" s="2066"/>
      <c r="HT3" s="2066"/>
      <c r="HU3" s="2066"/>
      <c r="HV3" s="2066"/>
      <c r="HW3" s="2066"/>
      <c r="HX3" s="2066"/>
      <c r="HY3" s="2066"/>
      <c r="HZ3" s="2066"/>
      <c r="IA3" s="2066"/>
      <c r="IB3" s="2066"/>
      <c r="IC3" s="2066"/>
      <c r="ID3" s="2066"/>
      <c r="IE3" s="2066"/>
      <c r="IF3" s="2066"/>
      <c r="IG3" s="2066"/>
      <c r="IH3" s="2066"/>
      <c r="II3" s="2066"/>
      <c r="IJ3" s="2066"/>
      <c r="IK3" s="2066"/>
      <c r="IL3" s="2066"/>
      <c r="IM3" s="2066"/>
      <c r="IN3" s="2066"/>
      <c r="IO3" s="2066"/>
      <c r="IP3" s="2066"/>
      <c r="IQ3" s="2066"/>
      <c r="IR3" s="2066"/>
      <c r="IS3" s="2066"/>
      <c r="IT3" s="2066"/>
      <c r="IU3" s="2066"/>
      <c r="IV3" s="2066"/>
      <c r="IW3" s="2066"/>
      <c r="IX3" s="2066"/>
      <c r="IY3" s="2066"/>
      <c r="IZ3" s="2066"/>
      <c r="JA3" s="2066"/>
      <c r="JB3" s="2066"/>
      <c r="JC3" s="2066"/>
      <c r="JD3" s="2066"/>
      <c r="JE3" s="2066"/>
      <c r="JF3" s="2066"/>
      <c r="JG3" s="2066"/>
      <c r="JH3" s="2066"/>
      <c r="JI3" s="2066"/>
      <c r="JJ3" s="2066"/>
      <c r="JK3" s="2066"/>
      <c r="JL3" s="2066"/>
      <c r="JM3" s="2066"/>
    </row>
    <row r="4" spans="1:293" ht="21" customHeight="1">
      <c r="A4" s="2068"/>
      <c r="B4" s="2068"/>
      <c r="C4" s="2068"/>
      <c r="D4" s="2068"/>
      <c r="E4" s="2068"/>
      <c r="F4" s="2068"/>
      <c r="G4" s="2068"/>
      <c r="H4" s="2068"/>
      <c r="I4" s="2068"/>
      <c r="J4" s="2068"/>
      <c r="K4" s="2068"/>
      <c r="L4" s="2068"/>
      <c r="M4" s="2068"/>
      <c r="N4" s="2068"/>
      <c r="O4" s="2068"/>
      <c r="P4" s="2068"/>
      <c r="Q4" s="2068"/>
      <c r="R4" s="2068"/>
      <c r="S4" s="2068"/>
      <c r="T4" s="2068"/>
      <c r="U4" s="2068"/>
      <c r="V4" s="2068"/>
      <c r="W4" s="2068"/>
      <c r="X4" s="2068"/>
      <c r="Y4" s="2068"/>
      <c r="Z4" s="2068"/>
      <c r="AA4" s="2068"/>
      <c r="AB4" s="2068"/>
      <c r="AC4" s="2068"/>
      <c r="AD4" s="2068"/>
      <c r="AE4" s="2068"/>
      <c r="AF4" s="2068"/>
      <c r="AG4" s="2068"/>
      <c r="AH4" s="2068"/>
      <c r="AI4" s="2068"/>
      <c r="AJ4" s="2068"/>
      <c r="AK4" s="2068"/>
      <c r="AL4" s="2068"/>
      <c r="AM4" s="2068"/>
      <c r="AN4" s="2068"/>
      <c r="AO4" s="2068"/>
      <c r="AP4" s="2068"/>
      <c r="AQ4" s="2068"/>
      <c r="AR4" s="2068"/>
      <c r="AS4" s="2068"/>
      <c r="AT4" s="2068"/>
      <c r="AU4" s="2068"/>
      <c r="AV4" s="2068"/>
      <c r="AW4" s="2068"/>
      <c r="AX4" s="2068"/>
      <c r="AY4" s="2068"/>
      <c r="AZ4" s="2068"/>
      <c r="BA4" s="2068"/>
      <c r="BB4" s="2068"/>
      <c r="BC4" s="2068"/>
      <c r="BD4" s="2068"/>
      <c r="BE4" s="2068"/>
      <c r="BF4" s="2068"/>
      <c r="BG4" s="2068"/>
      <c r="BH4" s="2068"/>
      <c r="BI4" s="2068"/>
      <c r="BJ4" s="2068"/>
      <c r="BK4" s="2068"/>
      <c r="BL4" s="2068"/>
      <c r="BM4" s="2068"/>
      <c r="BN4" s="2068"/>
      <c r="BO4" s="2068"/>
      <c r="BP4" s="2068"/>
      <c r="BQ4" s="2068"/>
      <c r="BR4" s="2068"/>
      <c r="BS4" s="2068"/>
      <c r="BT4" s="2068"/>
      <c r="BU4" s="2068"/>
      <c r="BV4" s="2068"/>
      <c r="BW4" s="2068"/>
      <c r="BX4" s="2068"/>
      <c r="BY4" s="2068"/>
      <c r="BZ4" s="2068"/>
      <c r="CA4" s="2068"/>
      <c r="CB4" s="2068"/>
      <c r="CC4" s="2068"/>
      <c r="CD4" s="2068"/>
      <c r="CE4" s="2068"/>
      <c r="CF4" s="2068"/>
      <c r="CG4" s="2068"/>
      <c r="CH4" s="2068"/>
      <c r="CI4" s="2068"/>
      <c r="CJ4" s="2068"/>
      <c r="CK4" s="2068"/>
      <c r="CL4" s="2068"/>
      <c r="CM4" s="2068"/>
      <c r="CN4" s="2068"/>
      <c r="CO4" s="2068"/>
      <c r="CP4" s="2068"/>
      <c r="CQ4" s="2068"/>
      <c r="CR4" s="2068"/>
      <c r="CS4" s="2068"/>
      <c r="CT4" s="2068"/>
      <c r="CU4" s="2068"/>
      <c r="CV4" s="2068"/>
      <c r="CW4" s="2068"/>
      <c r="CX4" s="2068"/>
      <c r="CY4" s="2068"/>
      <c r="CZ4" s="2068"/>
      <c r="DA4" s="2068"/>
      <c r="DB4" s="2068"/>
      <c r="DC4" s="2068"/>
      <c r="DD4" s="2068"/>
      <c r="DE4" s="2068"/>
      <c r="DF4" s="2068"/>
      <c r="DG4" s="2068"/>
      <c r="DH4" s="2068"/>
      <c r="DI4" s="2068"/>
      <c r="DJ4" s="2068"/>
      <c r="DK4" s="2068"/>
      <c r="DL4" s="2068"/>
      <c r="DM4" s="2068"/>
      <c r="DN4" s="2068"/>
      <c r="DO4" s="2068"/>
      <c r="DP4" s="2068"/>
      <c r="DQ4" s="2068"/>
      <c r="DR4" s="2068"/>
      <c r="DS4" s="2068"/>
      <c r="DT4" s="2068"/>
      <c r="DU4" s="2068"/>
      <c r="DV4" s="2068"/>
      <c r="DW4" s="2068"/>
      <c r="DX4" s="2068"/>
      <c r="DY4" s="2068"/>
      <c r="DZ4" s="2068"/>
      <c r="EA4" s="2068"/>
      <c r="EB4" s="2068"/>
      <c r="EC4" s="2068"/>
      <c r="ED4" s="2068"/>
      <c r="EE4" s="2068"/>
      <c r="EF4" s="2068"/>
      <c r="EG4" s="2068"/>
      <c r="EH4" s="2068"/>
      <c r="EI4" s="2068"/>
      <c r="EJ4" s="2068"/>
      <c r="EK4" s="2068"/>
      <c r="EL4" s="2068"/>
      <c r="EM4" s="2068"/>
      <c r="EN4" s="2068"/>
      <c r="EO4" s="2068"/>
      <c r="EP4" s="2068"/>
      <c r="EQ4" s="2068"/>
      <c r="ER4" s="2068"/>
      <c r="ES4" s="2068"/>
      <c r="ET4" s="2068"/>
      <c r="EU4" s="2068"/>
      <c r="EV4" s="2068"/>
      <c r="EW4" s="2068"/>
      <c r="EX4" s="2068"/>
      <c r="EY4" s="2068"/>
      <c r="EZ4" s="2068"/>
      <c r="FA4" s="2068"/>
      <c r="FB4" s="2068"/>
      <c r="FC4" s="2068"/>
      <c r="FD4" s="2068"/>
      <c r="FE4" s="2068"/>
      <c r="FF4" s="2068"/>
      <c r="FG4" s="2068"/>
      <c r="FH4" s="2068"/>
      <c r="FI4" s="2068"/>
      <c r="FJ4" s="2068"/>
      <c r="FK4" s="2068"/>
      <c r="FL4" s="2068"/>
      <c r="FM4" s="2068"/>
      <c r="FN4" s="2068"/>
      <c r="FO4" s="2068"/>
      <c r="FP4" s="2068"/>
      <c r="FQ4" s="2068"/>
      <c r="FR4" s="2068"/>
      <c r="FS4" s="2068"/>
      <c r="FT4" s="2068"/>
      <c r="FU4" s="2068"/>
      <c r="FV4" s="2068"/>
      <c r="FW4" s="2068"/>
      <c r="FX4" s="2068"/>
      <c r="FY4" s="2068"/>
      <c r="FZ4" s="2068"/>
      <c r="GA4" s="2068"/>
      <c r="GB4" s="2068"/>
      <c r="GC4" s="2068"/>
      <c r="GD4" s="2068"/>
      <c r="GE4" s="2068"/>
      <c r="GF4" s="2068"/>
      <c r="GG4" s="2068"/>
      <c r="GH4" s="2068"/>
      <c r="GI4" s="2068"/>
      <c r="GJ4" s="2068"/>
      <c r="GK4" s="2068"/>
      <c r="GL4" s="2068"/>
      <c r="GM4" s="2068"/>
      <c r="GN4" s="2068"/>
      <c r="GO4" s="2068"/>
      <c r="GP4" s="2066"/>
      <c r="GQ4" s="2066"/>
      <c r="GR4" s="2066"/>
      <c r="GS4" s="2066"/>
      <c r="GT4" s="2066"/>
      <c r="GU4" s="2066"/>
      <c r="GV4" s="2066"/>
      <c r="GW4" s="2066"/>
      <c r="GX4" s="2066"/>
      <c r="GY4" s="2066"/>
      <c r="GZ4" s="2066"/>
      <c r="HA4" s="2066"/>
      <c r="HB4" s="2066"/>
      <c r="HC4" s="2066"/>
      <c r="HD4" s="2066"/>
      <c r="HE4" s="2066"/>
      <c r="HF4" s="2066"/>
      <c r="HG4" s="2066"/>
      <c r="HH4" s="2066"/>
      <c r="HI4" s="2066"/>
      <c r="HJ4" s="2066"/>
      <c r="HK4" s="2066"/>
      <c r="HL4" s="2066"/>
      <c r="HM4" s="2066"/>
      <c r="HN4" s="2066"/>
      <c r="HO4" s="2066"/>
      <c r="HP4" s="2066"/>
      <c r="HQ4" s="2066"/>
      <c r="HR4" s="2066"/>
      <c r="HS4" s="2066"/>
      <c r="HT4" s="2066"/>
      <c r="HU4" s="2066"/>
      <c r="HV4" s="2066"/>
      <c r="HW4" s="2066"/>
      <c r="HX4" s="2066"/>
      <c r="HY4" s="2066"/>
      <c r="HZ4" s="2066"/>
      <c r="IA4" s="2066"/>
      <c r="IB4" s="2066"/>
      <c r="IC4" s="2066"/>
      <c r="ID4" s="2066"/>
      <c r="IE4" s="2066"/>
      <c r="IF4" s="2066"/>
      <c r="IG4" s="2066"/>
      <c r="IH4" s="2066"/>
      <c r="II4" s="2066"/>
      <c r="IJ4" s="2066"/>
      <c r="IK4" s="2066"/>
      <c r="IL4" s="2066"/>
      <c r="IM4" s="2066"/>
      <c r="IN4" s="2066"/>
      <c r="IO4" s="2066"/>
      <c r="IP4" s="2066"/>
      <c r="IQ4" s="2066"/>
      <c r="IR4" s="2066"/>
      <c r="IS4" s="2066"/>
      <c r="IT4" s="2066"/>
      <c r="IU4" s="2066"/>
      <c r="IV4" s="2066"/>
      <c r="IW4" s="2066"/>
      <c r="IX4" s="2066"/>
      <c r="IY4" s="2066"/>
      <c r="IZ4" s="2066"/>
      <c r="JA4" s="2066"/>
      <c r="JB4" s="2066"/>
      <c r="JC4" s="2066"/>
      <c r="JD4" s="2066"/>
      <c r="JE4" s="2066"/>
      <c r="JF4" s="2066"/>
      <c r="JG4" s="2066"/>
      <c r="JH4" s="2066"/>
      <c r="JI4" s="2066"/>
      <c r="JJ4" s="2066"/>
      <c r="JK4" s="2066"/>
      <c r="JL4" s="2066"/>
      <c r="JM4" s="2066"/>
    </row>
    <row r="5" spans="1:293" ht="23.25" customHeight="1">
      <c r="A5" s="2069"/>
      <c r="B5" s="2069"/>
      <c r="C5" s="2069"/>
      <c r="D5" s="2069"/>
      <c r="E5" s="2069"/>
      <c r="F5" s="2069"/>
      <c r="G5" s="2069"/>
      <c r="H5" s="2069"/>
      <c r="I5" s="2069"/>
      <c r="J5" s="2069"/>
      <c r="K5" s="2069"/>
      <c r="L5" s="2069"/>
      <c r="M5" s="2069"/>
      <c r="N5" s="2069"/>
      <c r="O5" s="2069"/>
      <c r="P5" s="2069"/>
      <c r="Q5" s="2069"/>
      <c r="R5" s="2069"/>
      <c r="S5" s="2069"/>
      <c r="T5" s="2069"/>
      <c r="U5" s="2069"/>
      <c r="V5" s="2069"/>
      <c r="W5" s="2069"/>
      <c r="X5" s="2069"/>
      <c r="Y5" s="2069"/>
      <c r="Z5" s="2069"/>
      <c r="AA5" s="2069"/>
      <c r="AB5" s="2069"/>
      <c r="AC5" s="2069"/>
      <c r="AD5" s="2069"/>
      <c r="AE5" s="2069"/>
      <c r="AF5" s="2069"/>
      <c r="AG5" s="2069"/>
      <c r="AH5" s="2069"/>
      <c r="AI5" s="2069"/>
      <c r="AJ5" s="2069"/>
      <c r="AK5" s="2069"/>
      <c r="AL5" s="2069"/>
      <c r="AM5" s="2069"/>
      <c r="AN5" s="2069"/>
      <c r="AO5" s="2069"/>
      <c r="AP5" s="2069"/>
      <c r="AQ5" s="2069"/>
      <c r="AR5" s="2069"/>
      <c r="AS5" s="2069"/>
      <c r="AT5" s="2069"/>
      <c r="AU5" s="2069"/>
      <c r="AV5" s="2069"/>
      <c r="AW5" s="2069"/>
      <c r="AX5" s="2069"/>
      <c r="AY5" s="2069"/>
      <c r="AZ5" s="2069"/>
      <c r="BA5" s="2069"/>
      <c r="BB5" s="2069"/>
      <c r="BC5" s="2069"/>
      <c r="BD5" s="2069"/>
      <c r="BE5" s="2069"/>
      <c r="BF5" s="2069"/>
      <c r="BG5" s="2069"/>
      <c r="BH5" s="2069"/>
      <c r="BI5" s="2069"/>
      <c r="BJ5" s="2069"/>
      <c r="BK5" s="2069"/>
      <c r="BL5" s="2069"/>
      <c r="BM5" s="2069"/>
      <c r="BN5" s="2069"/>
      <c r="BO5" s="2069"/>
      <c r="BP5" s="2069"/>
      <c r="BQ5" s="2069"/>
      <c r="BR5" s="2069"/>
      <c r="BS5" s="2069"/>
      <c r="BT5" s="2069"/>
      <c r="BU5" s="2069"/>
      <c r="BV5" s="2069"/>
      <c r="BW5" s="2069"/>
      <c r="BX5" s="2069"/>
      <c r="BY5" s="2069"/>
      <c r="BZ5" s="2069"/>
      <c r="CA5" s="2069"/>
      <c r="CB5" s="2069"/>
      <c r="CC5" s="2069"/>
      <c r="CD5" s="2069"/>
      <c r="CE5" s="2069"/>
      <c r="CF5" s="2069"/>
      <c r="CG5" s="2069"/>
      <c r="CH5" s="2069"/>
      <c r="CI5" s="2069"/>
      <c r="CJ5" s="2069"/>
      <c r="CK5" s="2069"/>
      <c r="CL5" s="2069"/>
      <c r="CM5" s="2069"/>
      <c r="CN5" s="2069"/>
      <c r="CO5" s="2069"/>
      <c r="CP5" s="2069"/>
      <c r="CQ5" s="2069"/>
      <c r="CR5" s="2069"/>
      <c r="CS5" s="2069"/>
      <c r="CT5" s="2069"/>
      <c r="CU5" s="2069"/>
      <c r="CV5" s="2069"/>
      <c r="CW5" s="2069"/>
      <c r="CX5" s="2069"/>
      <c r="CY5" s="2069"/>
      <c r="CZ5" s="2069"/>
      <c r="DA5" s="2069"/>
      <c r="DB5" s="2069"/>
      <c r="DC5" s="2069"/>
      <c r="DD5" s="2069"/>
      <c r="DE5" s="2069"/>
      <c r="DF5" s="2069"/>
      <c r="DG5" s="2069"/>
      <c r="DH5" s="2069"/>
      <c r="DI5" s="2069"/>
      <c r="DJ5" s="2069"/>
      <c r="DK5" s="2069"/>
      <c r="DL5" s="2069"/>
      <c r="DM5" s="2069"/>
      <c r="DN5" s="2069"/>
      <c r="DO5" s="2069"/>
      <c r="DP5" s="2069"/>
      <c r="DQ5" s="2069"/>
      <c r="DR5" s="2069"/>
      <c r="DS5" s="2069"/>
      <c r="DT5" s="2069"/>
      <c r="DU5" s="2069"/>
      <c r="DV5" s="2069"/>
      <c r="DW5" s="2069"/>
      <c r="DX5" s="2069"/>
      <c r="DY5" s="2069"/>
      <c r="DZ5" s="2069"/>
      <c r="EA5" s="2069"/>
      <c r="EB5" s="2069"/>
      <c r="EC5" s="2069"/>
      <c r="ED5" s="2069"/>
      <c r="EE5" s="2069"/>
      <c r="EF5" s="2069"/>
      <c r="EG5" s="2069"/>
      <c r="EH5" s="2069"/>
      <c r="EI5" s="2069"/>
      <c r="EJ5" s="2069"/>
      <c r="EK5" s="2069"/>
      <c r="EL5" s="2069"/>
      <c r="EM5" s="2069"/>
      <c r="EN5" s="2069"/>
      <c r="EO5" s="2069"/>
      <c r="EP5" s="2069"/>
      <c r="EQ5" s="2069"/>
      <c r="ER5" s="2069"/>
      <c r="ES5" s="2069"/>
      <c r="ET5" s="2069"/>
      <c r="EU5" s="2069"/>
      <c r="EV5" s="2069"/>
      <c r="EW5" s="2069"/>
      <c r="EX5" s="2069"/>
      <c r="EY5" s="2069"/>
      <c r="EZ5" s="2069"/>
      <c r="FA5" s="2069"/>
      <c r="FB5" s="2069"/>
      <c r="FC5" s="2069"/>
      <c r="FD5" s="2069"/>
      <c r="FE5" s="2069"/>
      <c r="FF5" s="2069"/>
      <c r="FG5" s="2069"/>
      <c r="FH5" s="2069"/>
      <c r="FI5" s="2069"/>
      <c r="FJ5" s="2069"/>
      <c r="FK5" s="2069"/>
      <c r="FL5" s="2069"/>
      <c r="FM5" s="2069"/>
      <c r="FN5" s="2069"/>
      <c r="FO5" s="2069"/>
      <c r="FP5" s="2069"/>
      <c r="FQ5" s="2069"/>
      <c r="FR5" s="2069"/>
      <c r="FS5" s="2069"/>
      <c r="FT5" s="2069"/>
      <c r="FU5" s="2069"/>
      <c r="FV5" s="2069"/>
      <c r="FW5" s="2069"/>
      <c r="FX5" s="2069"/>
      <c r="FY5" s="2069"/>
      <c r="FZ5" s="2069"/>
      <c r="GA5" s="2069"/>
      <c r="GB5" s="2069"/>
      <c r="GC5" s="2069"/>
      <c r="GD5" s="2069"/>
      <c r="GE5" s="2069"/>
      <c r="GF5" s="2069"/>
      <c r="GG5" s="2069"/>
      <c r="GH5" s="2069"/>
      <c r="GI5" s="2069"/>
      <c r="GJ5" s="2069"/>
      <c r="GK5" s="2069"/>
      <c r="GL5" s="2069"/>
      <c r="GM5" s="2069"/>
      <c r="GN5" s="2069"/>
      <c r="GO5" s="2069"/>
      <c r="GP5" s="2066"/>
      <c r="GQ5" s="2066"/>
      <c r="GR5" s="2066"/>
      <c r="GS5" s="2066"/>
      <c r="GT5" s="2066"/>
      <c r="GU5" s="2066"/>
      <c r="GV5" s="2066"/>
      <c r="GW5" s="2066"/>
      <c r="GX5" s="2066"/>
      <c r="GY5" s="2066"/>
      <c r="GZ5" s="2066"/>
      <c r="HA5" s="2066"/>
      <c r="HB5" s="2066"/>
      <c r="HC5" s="2066"/>
      <c r="HD5" s="2066"/>
      <c r="HE5" s="2066"/>
      <c r="HF5" s="2066"/>
      <c r="HG5" s="2066"/>
      <c r="HH5" s="2066"/>
      <c r="HI5" s="2066"/>
      <c r="HJ5" s="2066"/>
      <c r="HK5" s="2066"/>
      <c r="HL5" s="2066"/>
      <c r="HM5" s="2066"/>
      <c r="HN5" s="2066"/>
      <c r="HO5" s="2066"/>
      <c r="HP5" s="2066"/>
      <c r="HQ5" s="2066"/>
      <c r="HR5" s="2066"/>
      <c r="HS5" s="2066"/>
      <c r="HT5" s="2066"/>
      <c r="HU5" s="2066"/>
      <c r="HV5" s="2066"/>
      <c r="HW5" s="2066"/>
      <c r="HX5" s="2066"/>
      <c r="HY5" s="2066"/>
      <c r="HZ5" s="2066"/>
      <c r="IA5" s="2066"/>
      <c r="IB5" s="2066"/>
      <c r="IC5" s="2066"/>
      <c r="ID5" s="2066"/>
      <c r="IE5" s="2066"/>
      <c r="IF5" s="2066"/>
      <c r="IG5" s="2066"/>
      <c r="IH5" s="2066"/>
      <c r="II5" s="2066"/>
      <c r="IJ5" s="2066"/>
      <c r="IK5" s="2066"/>
      <c r="IL5" s="2066"/>
      <c r="IM5" s="2066"/>
      <c r="IN5" s="2066"/>
      <c r="IO5" s="2066"/>
      <c r="IP5" s="2066"/>
      <c r="IQ5" s="2066"/>
      <c r="IR5" s="2066"/>
      <c r="IS5" s="2066"/>
      <c r="IT5" s="2066"/>
      <c r="IU5" s="2066"/>
      <c r="IV5" s="2066"/>
      <c r="IW5" s="2066"/>
      <c r="IX5" s="2066"/>
      <c r="IY5" s="2066"/>
      <c r="IZ5" s="2066"/>
      <c r="JA5" s="2066"/>
      <c r="JB5" s="2066"/>
      <c r="JC5" s="2066"/>
      <c r="JD5" s="2066"/>
      <c r="JE5" s="2066"/>
      <c r="JF5" s="2066"/>
      <c r="JG5" s="2066"/>
      <c r="JH5" s="2066"/>
      <c r="JI5" s="2066"/>
      <c r="JJ5" s="2066"/>
      <c r="JK5" s="2066"/>
      <c r="JL5" s="2066"/>
      <c r="JM5" s="2066"/>
    </row>
    <row r="6" spans="1:293" ht="23.25" customHeight="1">
      <c r="A6" s="2070"/>
      <c r="B6" s="2070"/>
      <c r="C6" s="2070"/>
      <c r="D6" s="2070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70"/>
      <c r="Q6" s="2070"/>
      <c r="R6" s="2070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70"/>
      <c r="AD6" s="2070"/>
      <c r="AE6" s="2070"/>
      <c r="AF6" s="2070"/>
      <c r="AG6" s="2070"/>
      <c r="AH6" s="2070"/>
      <c r="AI6" s="2070"/>
      <c r="AJ6" s="2070"/>
      <c r="AK6" s="2070"/>
      <c r="AL6" s="2070"/>
      <c r="AM6" s="2070"/>
      <c r="AN6" s="2070"/>
      <c r="AO6" s="2070"/>
      <c r="AP6" s="2070"/>
      <c r="AQ6" s="2070"/>
      <c r="AR6" s="2070"/>
      <c r="AS6" s="2070"/>
      <c r="AT6" s="2070"/>
      <c r="AU6" s="2070"/>
      <c r="AV6" s="2070"/>
      <c r="AW6" s="2070"/>
      <c r="AX6" s="2070"/>
      <c r="AY6" s="2070"/>
      <c r="AZ6" s="2070"/>
      <c r="BA6" s="2070"/>
      <c r="BB6" s="2070"/>
      <c r="BC6" s="2070"/>
      <c r="BD6" s="2070"/>
      <c r="BE6" s="2070"/>
      <c r="BF6" s="2070"/>
      <c r="BG6" s="2070"/>
      <c r="BH6" s="2070"/>
      <c r="BI6" s="2070"/>
      <c r="BJ6" s="2070"/>
      <c r="BK6" s="2070"/>
      <c r="BL6" s="2070"/>
      <c r="BM6" s="2070"/>
      <c r="BN6" s="2070"/>
      <c r="BO6" s="2070"/>
      <c r="BP6" s="2070"/>
      <c r="BQ6" s="2070"/>
      <c r="BR6" s="2070"/>
      <c r="BS6" s="2070"/>
      <c r="BT6" s="2070"/>
      <c r="BU6" s="2070"/>
      <c r="BV6" s="2070"/>
      <c r="BW6" s="2070"/>
      <c r="BX6" s="2070"/>
      <c r="BY6" s="2070"/>
      <c r="BZ6" s="2070"/>
      <c r="CA6" s="2070"/>
      <c r="CB6" s="2070"/>
      <c r="CC6" s="2070"/>
      <c r="CD6" s="2070"/>
      <c r="CE6" s="2070"/>
      <c r="CF6" s="2070"/>
      <c r="CG6" s="2070"/>
      <c r="CH6" s="2070"/>
      <c r="CI6" s="2070"/>
      <c r="CJ6" s="2070"/>
      <c r="CK6" s="2070"/>
      <c r="CL6" s="2070"/>
      <c r="CM6" s="2070"/>
      <c r="CN6" s="2070"/>
      <c r="CO6" s="2070"/>
      <c r="CP6" s="2070"/>
      <c r="CQ6" s="2070"/>
      <c r="CR6" s="2070"/>
      <c r="CS6" s="2070"/>
      <c r="CT6" s="2070"/>
      <c r="CU6" s="2070"/>
      <c r="CV6" s="2070"/>
      <c r="CW6" s="2070"/>
      <c r="CX6" s="2070"/>
      <c r="CY6" s="2070"/>
      <c r="CZ6" s="2070"/>
      <c r="DA6" s="2070"/>
      <c r="DB6" s="2070"/>
      <c r="DC6" s="2070"/>
      <c r="DD6" s="2070"/>
      <c r="DE6" s="2070"/>
      <c r="DF6" s="2070"/>
      <c r="DG6" s="2070"/>
      <c r="DH6" s="2070"/>
      <c r="DI6" s="2070"/>
      <c r="DJ6" s="2070"/>
      <c r="DK6" s="2070"/>
      <c r="DL6" s="2070"/>
      <c r="DM6" s="2070"/>
      <c r="DN6" s="2070"/>
      <c r="DO6" s="2070"/>
      <c r="DP6" s="2070"/>
      <c r="DQ6" s="2070"/>
      <c r="DR6" s="2070"/>
      <c r="DS6" s="2070"/>
      <c r="DT6" s="2070"/>
      <c r="DU6" s="2070"/>
      <c r="DV6" s="2070"/>
      <c r="DW6" s="2070"/>
      <c r="DX6" s="2070"/>
      <c r="DY6" s="2070"/>
      <c r="DZ6" s="2070"/>
      <c r="EA6" s="2070"/>
      <c r="EB6" s="2070"/>
      <c r="EC6" s="2070"/>
      <c r="ED6" s="2070"/>
      <c r="EE6" s="2070"/>
      <c r="EF6" s="2070"/>
      <c r="EG6" s="2070"/>
      <c r="EH6" s="2070"/>
      <c r="EI6" s="2070"/>
      <c r="EJ6" s="2070"/>
      <c r="EK6" s="2070"/>
      <c r="EL6" s="2070"/>
      <c r="EM6" s="2070"/>
      <c r="EN6" s="2070"/>
      <c r="EO6" s="2070"/>
      <c r="EP6" s="2070"/>
      <c r="EQ6" s="2070"/>
      <c r="ER6" s="2070"/>
      <c r="ES6" s="2070"/>
      <c r="ET6" s="2070"/>
      <c r="EU6" s="2070"/>
      <c r="EV6" s="2070"/>
      <c r="EW6" s="2070"/>
      <c r="EX6" s="2070"/>
      <c r="EY6" s="2070"/>
      <c r="EZ6" s="2070"/>
      <c r="FA6" s="2070"/>
      <c r="FB6" s="2070"/>
      <c r="FC6" s="2070"/>
      <c r="FD6" s="2070"/>
      <c r="FE6" s="2070"/>
      <c r="FF6" s="2070"/>
      <c r="FG6" s="2070"/>
      <c r="FH6" s="2070"/>
      <c r="FI6" s="2070"/>
      <c r="FJ6" s="2070"/>
      <c r="FK6" s="2070"/>
      <c r="FL6" s="2070"/>
      <c r="FM6" s="2070"/>
      <c r="FN6" s="2070"/>
      <c r="FO6" s="2070"/>
      <c r="FP6" s="2070"/>
      <c r="FQ6" s="2070"/>
      <c r="FR6" s="2070"/>
      <c r="FS6" s="2070"/>
      <c r="FT6" s="2070"/>
      <c r="FU6" s="2070"/>
      <c r="FV6" s="2070"/>
      <c r="FW6" s="2070"/>
      <c r="FX6" s="2070"/>
      <c r="FY6" s="2070"/>
      <c r="FZ6" s="2070"/>
      <c r="GA6" s="2070"/>
      <c r="GB6" s="2070"/>
      <c r="GC6" s="2070"/>
      <c r="GD6" s="2070"/>
      <c r="GE6" s="2070"/>
      <c r="GF6" s="2070"/>
      <c r="GG6" s="2070"/>
      <c r="GH6" s="2070"/>
      <c r="GI6" s="2070"/>
      <c r="GJ6" s="2070"/>
      <c r="GK6" s="2070"/>
      <c r="GL6" s="2070"/>
      <c r="GM6" s="2070"/>
      <c r="GN6" s="2070"/>
      <c r="GO6" s="2093" t="s">
        <v>3146</v>
      </c>
      <c r="GP6" s="2071"/>
      <c r="GQ6" s="2071"/>
      <c r="GR6" s="2071"/>
      <c r="GS6" s="2071"/>
      <c r="GT6" s="2071"/>
      <c r="GU6" s="2071"/>
      <c r="GV6" s="2071"/>
      <c r="GW6" s="2071"/>
      <c r="GX6" s="2071"/>
      <c r="GY6" s="2071"/>
      <c r="GZ6" s="2071"/>
      <c r="HA6" s="2071"/>
      <c r="HB6" s="2071"/>
      <c r="HC6" s="2071"/>
      <c r="HD6" s="2071"/>
      <c r="HE6" s="2071"/>
      <c r="HF6" s="2071"/>
      <c r="HG6" s="2071"/>
      <c r="HH6" s="2071"/>
      <c r="HI6" s="2071"/>
      <c r="HJ6" s="2071"/>
      <c r="HK6" s="2071"/>
      <c r="HL6" s="2071"/>
      <c r="HM6" s="2071"/>
      <c r="HN6" s="2071"/>
      <c r="HO6" s="2071"/>
      <c r="HP6" s="2071"/>
      <c r="HQ6" s="2071"/>
      <c r="HR6" s="2071"/>
      <c r="HS6" s="2071"/>
      <c r="HT6" s="2071"/>
      <c r="HU6" s="2071"/>
      <c r="HV6" s="2071"/>
      <c r="HW6" s="2071"/>
      <c r="HX6" s="2071"/>
      <c r="HY6" s="2071"/>
      <c r="HZ6" s="2071"/>
      <c r="IA6" s="2071"/>
      <c r="IB6" s="2071"/>
      <c r="IC6" s="2071"/>
      <c r="ID6" s="2071"/>
      <c r="IE6" s="2071"/>
      <c r="IF6" s="2071"/>
      <c r="IG6" s="2071"/>
      <c r="IH6" s="2071"/>
      <c r="II6" s="2071"/>
      <c r="IJ6" s="2071"/>
      <c r="IK6" s="2071"/>
      <c r="IL6" s="2071"/>
      <c r="IM6" s="2071"/>
      <c r="IN6" s="2071"/>
      <c r="IO6" s="2071"/>
      <c r="IP6" s="2071"/>
      <c r="IQ6" s="2071"/>
      <c r="IR6" s="2071"/>
      <c r="IS6" s="2071"/>
      <c r="IT6" s="2071"/>
      <c r="IU6" s="2071"/>
      <c r="IV6" s="2071"/>
      <c r="IW6" s="2071"/>
      <c r="IX6" s="2071"/>
      <c r="IY6" s="2071"/>
      <c r="IZ6" s="2071"/>
      <c r="JA6" s="2071"/>
      <c r="JB6" s="2071"/>
      <c r="JC6" s="2071"/>
      <c r="JD6" s="2071"/>
      <c r="JE6" s="2071"/>
      <c r="JF6" s="2071"/>
      <c r="JG6" s="2071"/>
      <c r="JH6" s="2071"/>
      <c r="JI6" s="2071"/>
      <c r="JJ6" s="2071"/>
      <c r="JK6" s="2071"/>
      <c r="JL6" s="2071"/>
      <c r="JM6" s="2071"/>
      <c r="JN6" s="2071"/>
      <c r="JO6" s="2071"/>
      <c r="JP6" s="2071"/>
      <c r="JQ6" s="2071"/>
      <c r="JR6" s="2071"/>
      <c r="JS6" s="2071"/>
      <c r="JT6" s="2071"/>
      <c r="JU6" s="2071"/>
      <c r="JV6" s="2071"/>
      <c r="JW6" s="2071"/>
      <c r="JX6" s="2071"/>
      <c r="JY6" s="2071"/>
      <c r="JZ6" s="2071"/>
      <c r="KA6" s="2071"/>
      <c r="KB6" s="2071"/>
      <c r="KC6" s="2071"/>
      <c r="KD6" s="2071"/>
      <c r="KE6" s="2071"/>
      <c r="KF6" s="2071"/>
      <c r="KG6" s="2071"/>
    </row>
    <row r="7" spans="1:293" ht="39" customHeight="1">
      <c r="A7" s="2834"/>
      <c r="B7" s="2834"/>
      <c r="C7" s="2827">
        <v>2016</v>
      </c>
      <c r="D7" s="2827"/>
      <c r="E7" s="2827"/>
      <c r="F7" s="2827"/>
      <c r="G7" s="2827"/>
      <c r="H7" s="2827"/>
      <c r="I7" s="2827"/>
      <c r="J7" s="2827"/>
      <c r="K7" s="2827"/>
      <c r="L7" s="2827"/>
      <c r="M7" s="2827"/>
      <c r="N7" s="2827"/>
      <c r="O7" s="2827"/>
      <c r="P7" s="2827"/>
      <c r="Q7" s="2827"/>
      <c r="R7" s="2827"/>
      <c r="S7" s="2827"/>
      <c r="T7" s="2827"/>
      <c r="U7" s="2827"/>
      <c r="V7" s="2827"/>
      <c r="W7" s="2827"/>
      <c r="X7" s="2827"/>
      <c r="Y7" s="2827"/>
      <c r="Z7" s="2827"/>
      <c r="AA7" s="2827">
        <v>2017</v>
      </c>
      <c r="AB7" s="2827"/>
      <c r="AC7" s="2827"/>
      <c r="AD7" s="2827"/>
      <c r="AE7" s="2827"/>
      <c r="AF7" s="2827"/>
      <c r="AG7" s="2827"/>
      <c r="AH7" s="2827"/>
      <c r="AI7" s="2827"/>
      <c r="AJ7" s="2827"/>
      <c r="AK7" s="2827"/>
      <c r="AL7" s="2827"/>
      <c r="AM7" s="2827"/>
      <c r="AN7" s="2827"/>
      <c r="AO7" s="2827"/>
      <c r="AP7" s="2827"/>
      <c r="AQ7" s="2827"/>
      <c r="AR7" s="2827"/>
      <c r="AS7" s="2827"/>
      <c r="AT7" s="2827"/>
      <c r="AU7" s="2827"/>
      <c r="AV7" s="2827"/>
      <c r="AW7" s="2827"/>
      <c r="AX7" s="2827"/>
      <c r="AY7" s="2827">
        <v>2018</v>
      </c>
      <c r="AZ7" s="2827"/>
      <c r="BA7" s="2827"/>
      <c r="BB7" s="2827"/>
      <c r="BC7" s="2827"/>
      <c r="BD7" s="2827"/>
      <c r="BE7" s="2827"/>
      <c r="BF7" s="2827"/>
      <c r="BG7" s="2827"/>
      <c r="BH7" s="2827"/>
      <c r="BI7" s="2827"/>
      <c r="BJ7" s="2827"/>
      <c r="BK7" s="2827"/>
      <c r="BL7" s="2827"/>
      <c r="BM7" s="2827"/>
      <c r="BN7" s="2827"/>
      <c r="BO7" s="2827"/>
      <c r="BP7" s="2827"/>
      <c r="BQ7" s="2827"/>
      <c r="BR7" s="2827"/>
      <c r="BS7" s="2827"/>
      <c r="BT7" s="2827"/>
      <c r="BU7" s="2827"/>
      <c r="BV7" s="2827"/>
      <c r="BW7" s="2827">
        <v>2019</v>
      </c>
      <c r="BX7" s="2827"/>
      <c r="BY7" s="2827"/>
      <c r="BZ7" s="2827"/>
      <c r="CA7" s="2827"/>
      <c r="CB7" s="2827"/>
      <c r="CC7" s="2827"/>
      <c r="CD7" s="2827"/>
      <c r="CE7" s="2827"/>
      <c r="CF7" s="2827"/>
      <c r="CG7" s="2827"/>
      <c r="CH7" s="2827"/>
      <c r="CI7" s="2827"/>
      <c r="CJ7" s="2827"/>
      <c r="CK7" s="2827"/>
      <c r="CL7" s="2827"/>
      <c r="CM7" s="2827"/>
      <c r="CN7" s="2827"/>
      <c r="CO7" s="2827"/>
      <c r="CP7" s="2827"/>
      <c r="CQ7" s="2827"/>
      <c r="CR7" s="2827"/>
      <c r="CS7" s="2827"/>
      <c r="CT7" s="2827"/>
      <c r="CU7" s="2827">
        <v>2020</v>
      </c>
      <c r="CV7" s="2827"/>
      <c r="CW7" s="2827"/>
      <c r="CX7" s="2827"/>
      <c r="CY7" s="2827"/>
      <c r="CZ7" s="2827"/>
      <c r="DA7" s="2827"/>
      <c r="DB7" s="2827"/>
      <c r="DC7" s="2827"/>
      <c r="DD7" s="2827"/>
      <c r="DE7" s="2827"/>
      <c r="DF7" s="2827"/>
      <c r="DG7" s="2827"/>
      <c r="DH7" s="2827"/>
      <c r="DI7" s="2827"/>
      <c r="DJ7" s="2827"/>
      <c r="DK7" s="2827"/>
      <c r="DL7" s="2827"/>
      <c r="DM7" s="2827"/>
      <c r="DN7" s="2827"/>
      <c r="DO7" s="2827"/>
      <c r="DP7" s="2827"/>
      <c r="DQ7" s="2827"/>
      <c r="DR7" s="2827"/>
      <c r="DS7" s="2827">
        <v>2021</v>
      </c>
      <c r="DT7" s="2827"/>
      <c r="DU7" s="2827"/>
      <c r="DV7" s="2827"/>
      <c r="DW7" s="2827"/>
      <c r="DX7" s="2827"/>
      <c r="DY7" s="2827"/>
      <c r="DZ7" s="2827"/>
      <c r="EA7" s="2827"/>
      <c r="EB7" s="2827"/>
      <c r="EC7" s="2827"/>
      <c r="ED7" s="2827"/>
      <c r="EE7" s="2827"/>
      <c r="EF7" s="2827"/>
      <c r="EG7" s="2827"/>
      <c r="EH7" s="2827"/>
      <c r="EI7" s="2827"/>
      <c r="EJ7" s="2827"/>
      <c r="EK7" s="2827"/>
      <c r="EL7" s="2827"/>
      <c r="EM7" s="2827"/>
      <c r="EN7" s="2827"/>
      <c r="EO7" s="2827"/>
      <c r="EP7" s="2827"/>
      <c r="EQ7" s="2835">
        <v>2022</v>
      </c>
      <c r="ER7" s="2836"/>
      <c r="ES7" s="2836"/>
      <c r="ET7" s="2836"/>
      <c r="EU7" s="2836"/>
      <c r="EV7" s="2836"/>
      <c r="EW7" s="2836"/>
      <c r="EX7" s="2836"/>
      <c r="EY7" s="2836"/>
      <c r="EZ7" s="2836"/>
      <c r="FA7" s="2836"/>
      <c r="FB7" s="2836"/>
      <c r="FC7" s="2836"/>
      <c r="FD7" s="2836"/>
      <c r="FE7" s="2836"/>
      <c r="FF7" s="2836"/>
      <c r="FG7" s="2836"/>
      <c r="FH7" s="2836"/>
      <c r="FI7" s="2836"/>
      <c r="FJ7" s="2836"/>
      <c r="FK7" s="2836"/>
      <c r="FL7" s="2837"/>
      <c r="FM7" s="2835">
        <v>2023</v>
      </c>
      <c r="FN7" s="2836"/>
      <c r="FO7" s="2836"/>
      <c r="FP7" s="2836"/>
      <c r="FQ7" s="2836"/>
      <c r="FR7" s="2836"/>
      <c r="FS7" s="2836"/>
      <c r="FT7" s="2836"/>
      <c r="FU7" s="2836"/>
      <c r="FV7" s="2836"/>
      <c r="FW7" s="2836"/>
      <c r="FX7" s="2836"/>
      <c r="FY7" s="2836"/>
      <c r="FZ7" s="2836"/>
      <c r="GA7" s="2836"/>
      <c r="GB7" s="2836"/>
      <c r="GC7" s="2836"/>
      <c r="GD7" s="2836"/>
      <c r="GE7" s="2836"/>
      <c r="GF7" s="2836"/>
      <c r="GG7" s="2836"/>
      <c r="GH7" s="2836"/>
      <c r="GI7" s="2836"/>
      <c r="GJ7" s="2837"/>
      <c r="GK7" s="2835">
        <v>2024</v>
      </c>
      <c r="GL7" s="2836"/>
      <c r="GM7" s="2836"/>
      <c r="GN7" s="2837"/>
      <c r="GO7" s="2100"/>
    </row>
    <row r="8" spans="1:293" s="2072" customFormat="1" ht="36.75" customHeight="1" thickBot="1">
      <c r="A8" s="2827" t="s">
        <v>2388</v>
      </c>
      <c r="B8" s="2828" t="s">
        <v>2387</v>
      </c>
      <c r="C8" s="2831" t="s">
        <v>2358</v>
      </c>
      <c r="D8" s="2831"/>
      <c r="E8" s="2831" t="s">
        <v>3302</v>
      </c>
      <c r="F8" s="2831"/>
      <c r="G8" s="2831" t="s">
        <v>3303</v>
      </c>
      <c r="H8" s="2831"/>
      <c r="I8" s="2831" t="s">
        <v>3304</v>
      </c>
      <c r="J8" s="2831"/>
      <c r="K8" s="2831" t="s">
        <v>3305</v>
      </c>
      <c r="L8" s="2831"/>
      <c r="M8" s="2831" t="s">
        <v>3306</v>
      </c>
      <c r="N8" s="2831"/>
      <c r="O8" s="2831" t="s">
        <v>3307</v>
      </c>
      <c r="P8" s="2831"/>
      <c r="Q8" s="2831" t="s">
        <v>3308</v>
      </c>
      <c r="R8" s="2831"/>
      <c r="S8" s="2831" t="s">
        <v>3309</v>
      </c>
      <c r="T8" s="2831"/>
      <c r="U8" s="2831" t="s">
        <v>3319</v>
      </c>
      <c r="V8" s="2831"/>
      <c r="W8" s="2831" t="s">
        <v>3320</v>
      </c>
      <c r="X8" s="2831"/>
      <c r="Y8" s="2831" t="s">
        <v>3321</v>
      </c>
      <c r="Z8" s="2831"/>
      <c r="AA8" s="2831" t="s">
        <v>2358</v>
      </c>
      <c r="AB8" s="2831"/>
      <c r="AC8" s="2831" t="s">
        <v>3302</v>
      </c>
      <c r="AD8" s="2831"/>
      <c r="AE8" s="2831" t="s">
        <v>3303</v>
      </c>
      <c r="AF8" s="2831"/>
      <c r="AG8" s="2831" t="s">
        <v>3304</v>
      </c>
      <c r="AH8" s="2831"/>
      <c r="AI8" s="2831" t="s">
        <v>3305</v>
      </c>
      <c r="AJ8" s="2831"/>
      <c r="AK8" s="2831" t="s">
        <v>3306</v>
      </c>
      <c r="AL8" s="2831"/>
      <c r="AM8" s="2831" t="s">
        <v>3307</v>
      </c>
      <c r="AN8" s="2831"/>
      <c r="AO8" s="2831" t="s">
        <v>3308</v>
      </c>
      <c r="AP8" s="2831"/>
      <c r="AQ8" s="2831" t="s">
        <v>3309</v>
      </c>
      <c r="AR8" s="2831"/>
      <c r="AS8" s="2831" t="s">
        <v>3319</v>
      </c>
      <c r="AT8" s="2831"/>
      <c r="AU8" s="2831" t="s">
        <v>3320</v>
      </c>
      <c r="AV8" s="2831"/>
      <c r="AW8" s="2831" t="s">
        <v>3321</v>
      </c>
      <c r="AX8" s="2831"/>
      <c r="AY8" s="2831" t="s">
        <v>2358</v>
      </c>
      <c r="AZ8" s="2831"/>
      <c r="BA8" s="2831" t="s">
        <v>3302</v>
      </c>
      <c r="BB8" s="2831"/>
      <c r="BC8" s="2831" t="s">
        <v>3303</v>
      </c>
      <c r="BD8" s="2831"/>
      <c r="BE8" s="2831" t="s">
        <v>3304</v>
      </c>
      <c r="BF8" s="2831"/>
      <c r="BG8" s="2831" t="s">
        <v>3305</v>
      </c>
      <c r="BH8" s="2831"/>
      <c r="BI8" s="2831" t="s">
        <v>3306</v>
      </c>
      <c r="BJ8" s="2831"/>
      <c r="BK8" s="2831" t="s">
        <v>3307</v>
      </c>
      <c r="BL8" s="2831"/>
      <c r="BM8" s="2831" t="s">
        <v>3308</v>
      </c>
      <c r="BN8" s="2831"/>
      <c r="BO8" s="2831" t="s">
        <v>3309</v>
      </c>
      <c r="BP8" s="2831"/>
      <c r="BQ8" s="2831" t="s">
        <v>3319</v>
      </c>
      <c r="BR8" s="2831"/>
      <c r="BS8" s="2831" t="s">
        <v>3320</v>
      </c>
      <c r="BT8" s="2831"/>
      <c r="BU8" s="2831" t="s">
        <v>3321</v>
      </c>
      <c r="BV8" s="2831"/>
      <c r="BW8" s="2831" t="s">
        <v>2358</v>
      </c>
      <c r="BX8" s="2831"/>
      <c r="BY8" s="2831" t="s">
        <v>3302</v>
      </c>
      <c r="BZ8" s="2831"/>
      <c r="CA8" s="2831" t="s">
        <v>3303</v>
      </c>
      <c r="CB8" s="2831"/>
      <c r="CC8" s="2831" t="s">
        <v>3304</v>
      </c>
      <c r="CD8" s="2831"/>
      <c r="CE8" s="2831" t="s">
        <v>3305</v>
      </c>
      <c r="CF8" s="2831"/>
      <c r="CG8" s="2831" t="s">
        <v>3306</v>
      </c>
      <c r="CH8" s="2831"/>
      <c r="CI8" s="2831" t="s">
        <v>3307</v>
      </c>
      <c r="CJ8" s="2831"/>
      <c r="CK8" s="2831" t="s">
        <v>3308</v>
      </c>
      <c r="CL8" s="2831"/>
      <c r="CM8" s="2831" t="s">
        <v>3309</v>
      </c>
      <c r="CN8" s="2831"/>
      <c r="CO8" s="2831" t="s">
        <v>3319</v>
      </c>
      <c r="CP8" s="2831"/>
      <c r="CQ8" s="2831" t="s">
        <v>3320</v>
      </c>
      <c r="CR8" s="2831"/>
      <c r="CS8" s="2831" t="s">
        <v>3321</v>
      </c>
      <c r="CT8" s="2831"/>
      <c r="CU8" s="2831" t="s">
        <v>2358</v>
      </c>
      <c r="CV8" s="2831"/>
      <c r="CW8" s="2831" t="s">
        <v>3302</v>
      </c>
      <c r="CX8" s="2831"/>
      <c r="CY8" s="2831" t="s">
        <v>3303</v>
      </c>
      <c r="CZ8" s="2831"/>
      <c r="DA8" s="2831" t="s">
        <v>3304</v>
      </c>
      <c r="DB8" s="2831"/>
      <c r="DC8" s="2831" t="s">
        <v>3305</v>
      </c>
      <c r="DD8" s="2831"/>
      <c r="DE8" s="2831" t="s">
        <v>3306</v>
      </c>
      <c r="DF8" s="2831"/>
      <c r="DG8" s="2831" t="s">
        <v>3307</v>
      </c>
      <c r="DH8" s="2831"/>
      <c r="DI8" s="2831" t="s">
        <v>3308</v>
      </c>
      <c r="DJ8" s="2831"/>
      <c r="DK8" s="2831" t="s">
        <v>3309</v>
      </c>
      <c r="DL8" s="2831"/>
      <c r="DM8" s="2831" t="s">
        <v>3319</v>
      </c>
      <c r="DN8" s="2831"/>
      <c r="DO8" s="2831" t="s">
        <v>3320</v>
      </c>
      <c r="DP8" s="2831"/>
      <c r="DQ8" s="2831" t="s">
        <v>3321</v>
      </c>
      <c r="DR8" s="2831"/>
      <c r="DS8" s="2831" t="s">
        <v>2358</v>
      </c>
      <c r="DT8" s="2831"/>
      <c r="DU8" s="2831" t="s">
        <v>3302</v>
      </c>
      <c r="DV8" s="2831"/>
      <c r="DW8" s="2831" t="s">
        <v>3303</v>
      </c>
      <c r="DX8" s="2831"/>
      <c r="DY8" s="2831" t="s">
        <v>3304</v>
      </c>
      <c r="DZ8" s="2831"/>
      <c r="EA8" s="2831" t="s">
        <v>3305</v>
      </c>
      <c r="EB8" s="2831"/>
      <c r="EC8" s="2831" t="s">
        <v>3306</v>
      </c>
      <c r="ED8" s="2831"/>
      <c r="EE8" s="2831" t="s">
        <v>3307</v>
      </c>
      <c r="EF8" s="2831"/>
      <c r="EG8" s="2831" t="s">
        <v>3308</v>
      </c>
      <c r="EH8" s="2831"/>
      <c r="EI8" s="2831" t="s">
        <v>3309</v>
      </c>
      <c r="EJ8" s="2831"/>
      <c r="EK8" s="2831" t="s">
        <v>3319</v>
      </c>
      <c r="EL8" s="2831"/>
      <c r="EM8" s="2831" t="s">
        <v>3320</v>
      </c>
      <c r="EN8" s="2831"/>
      <c r="EO8" s="2831" t="s">
        <v>3321</v>
      </c>
      <c r="EP8" s="2831"/>
      <c r="EQ8" s="2842" t="s">
        <v>2358</v>
      </c>
      <c r="ER8" s="2843"/>
      <c r="ES8" s="2842" t="s">
        <v>3302</v>
      </c>
      <c r="ET8" s="2843"/>
      <c r="EU8" s="2842" t="s">
        <v>3303</v>
      </c>
      <c r="EV8" s="2843"/>
      <c r="EW8" s="2842" t="s">
        <v>3304</v>
      </c>
      <c r="EX8" s="2843"/>
      <c r="EY8" s="2842" t="s">
        <v>3305</v>
      </c>
      <c r="EZ8" s="2843"/>
      <c r="FA8" s="2842" t="s">
        <v>3306</v>
      </c>
      <c r="FB8" s="2843"/>
      <c r="FC8" s="2842" t="s">
        <v>3307</v>
      </c>
      <c r="FD8" s="2843"/>
      <c r="FE8" s="2842" t="s">
        <v>3309</v>
      </c>
      <c r="FF8" s="2843"/>
      <c r="FG8" s="2842" t="s">
        <v>3319</v>
      </c>
      <c r="FH8" s="2843"/>
      <c r="FI8" s="2842" t="s">
        <v>3320</v>
      </c>
      <c r="FJ8" s="2843"/>
      <c r="FK8" s="2842" t="s">
        <v>3321</v>
      </c>
      <c r="FL8" s="2843"/>
      <c r="FM8" s="2842" t="s">
        <v>2358</v>
      </c>
      <c r="FN8" s="2843"/>
      <c r="FO8" s="2842" t="s">
        <v>3302</v>
      </c>
      <c r="FP8" s="2843"/>
      <c r="FQ8" s="2842" t="s">
        <v>3303</v>
      </c>
      <c r="FR8" s="2843"/>
      <c r="FS8" s="2842" t="s">
        <v>3304</v>
      </c>
      <c r="FT8" s="2843"/>
      <c r="FU8" s="2842" t="s">
        <v>3305</v>
      </c>
      <c r="FV8" s="2843"/>
      <c r="FW8" s="2842" t="s">
        <v>3306</v>
      </c>
      <c r="FX8" s="2843"/>
      <c r="FY8" s="2842" t="s">
        <v>3936</v>
      </c>
      <c r="FZ8" s="2843"/>
      <c r="GA8" s="2842" t="s">
        <v>3308</v>
      </c>
      <c r="GB8" s="2843"/>
      <c r="GC8" s="2842" t="s">
        <v>3309</v>
      </c>
      <c r="GD8" s="2843"/>
      <c r="GE8" s="2842" t="s">
        <v>3319</v>
      </c>
      <c r="GF8" s="2843"/>
      <c r="GG8" s="2842" t="s">
        <v>3320</v>
      </c>
      <c r="GH8" s="2843"/>
      <c r="GI8" s="2842" t="s">
        <v>3321</v>
      </c>
      <c r="GJ8" s="2843"/>
      <c r="GK8" s="2842" t="s">
        <v>2358</v>
      </c>
      <c r="GL8" s="2843"/>
      <c r="GM8" s="2842" t="s">
        <v>3302</v>
      </c>
      <c r="GN8" s="2843"/>
      <c r="GO8" s="2838" t="s">
        <v>3234</v>
      </c>
    </row>
    <row r="9" spans="1:293" s="2072" customFormat="1" ht="36.75" customHeight="1">
      <c r="A9" s="2827"/>
      <c r="B9" s="2829"/>
      <c r="C9" s="2840" t="s">
        <v>3235</v>
      </c>
      <c r="D9" s="2841"/>
      <c r="E9" s="2840" t="s">
        <v>3310</v>
      </c>
      <c r="F9" s="2841"/>
      <c r="G9" s="2840" t="s">
        <v>3311</v>
      </c>
      <c r="H9" s="2841"/>
      <c r="I9" s="2840" t="s">
        <v>3312</v>
      </c>
      <c r="J9" s="2841"/>
      <c r="K9" s="2840" t="s">
        <v>3313</v>
      </c>
      <c r="L9" s="2841"/>
      <c r="M9" s="2840" t="s">
        <v>3314</v>
      </c>
      <c r="N9" s="2841"/>
      <c r="O9" s="2840" t="s">
        <v>3315</v>
      </c>
      <c r="P9" s="2841"/>
      <c r="Q9" s="2840" t="s">
        <v>3316</v>
      </c>
      <c r="R9" s="2841"/>
      <c r="S9" s="2840" t="s">
        <v>3317</v>
      </c>
      <c r="T9" s="2841"/>
      <c r="U9" s="2840" t="s">
        <v>3324</v>
      </c>
      <c r="V9" s="2841"/>
      <c r="W9" s="2840" t="s">
        <v>3323</v>
      </c>
      <c r="X9" s="2841"/>
      <c r="Y9" s="2840" t="s">
        <v>3322</v>
      </c>
      <c r="Z9" s="2841"/>
      <c r="AA9" s="2840" t="s">
        <v>3235</v>
      </c>
      <c r="AB9" s="2841"/>
      <c r="AC9" s="2840" t="s">
        <v>3310</v>
      </c>
      <c r="AD9" s="2841"/>
      <c r="AE9" s="2840" t="s">
        <v>3311</v>
      </c>
      <c r="AF9" s="2841"/>
      <c r="AG9" s="2840" t="s">
        <v>3312</v>
      </c>
      <c r="AH9" s="2841"/>
      <c r="AI9" s="2840" t="s">
        <v>3313</v>
      </c>
      <c r="AJ9" s="2841"/>
      <c r="AK9" s="2840" t="s">
        <v>3314</v>
      </c>
      <c r="AL9" s="2841"/>
      <c r="AM9" s="2840" t="s">
        <v>3315</v>
      </c>
      <c r="AN9" s="2841"/>
      <c r="AO9" s="2840" t="s">
        <v>3316</v>
      </c>
      <c r="AP9" s="2841"/>
      <c r="AQ9" s="2840" t="s">
        <v>3317</v>
      </c>
      <c r="AR9" s="2841"/>
      <c r="AS9" s="2840" t="s">
        <v>3324</v>
      </c>
      <c r="AT9" s="2841"/>
      <c r="AU9" s="2840" t="s">
        <v>3323</v>
      </c>
      <c r="AV9" s="2841"/>
      <c r="AW9" s="2840" t="s">
        <v>3322</v>
      </c>
      <c r="AX9" s="2841"/>
      <c r="AY9" s="2840" t="s">
        <v>3235</v>
      </c>
      <c r="AZ9" s="2841"/>
      <c r="BA9" s="2840" t="s">
        <v>3310</v>
      </c>
      <c r="BB9" s="2841"/>
      <c r="BC9" s="2840" t="s">
        <v>3311</v>
      </c>
      <c r="BD9" s="2841"/>
      <c r="BE9" s="2840" t="s">
        <v>3312</v>
      </c>
      <c r="BF9" s="2841"/>
      <c r="BG9" s="2840" t="s">
        <v>3313</v>
      </c>
      <c r="BH9" s="2841"/>
      <c r="BI9" s="2840" t="s">
        <v>3314</v>
      </c>
      <c r="BJ9" s="2841"/>
      <c r="BK9" s="2840" t="s">
        <v>3315</v>
      </c>
      <c r="BL9" s="2841"/>
      <c r="BM9" s="2840" t="s">
        <v>3316</v>
      </c>
      <c r="BN9" s="2841"/>
      <c r="BO9" s="2840" t="s">
        <v>3317</v>
      </c>
      <c r="BP9" s="2841"/>
      <c r="BQ9" s="2840" t="s">
        <v>3324</v>
      </c>
      <c r="BR9" s="2841"/>
      <c r="BS9" s="2840" t="s">
        <v>3323</v>
      </c>
      <c r="BT9" s="2841"/>
      <c r="BU9" s="2840" t="s">
        <v>3322</v>
      </c>
      <c r="BV9" s="2841"/>
      <c r="BW9" s="2840" t="s">
        <v>3235</v>
      </c>
      <c r="BX9" s="2841"/>
      <c r="BY9" s="2840" t="s">
        <v>3310</v>
      </c>
      <c r="BZ9" s="2841"/>
      <c r="CA9" s="2840" t="s">
        <v>3311</v>
      </c>
      <c r="CB9" s="2841"/>
      <c r="CC9" s="2840" t="s">
        <v>3312</v>
      </c>
      <c r="CD9" s="2841"/>
      <c r="CE9" s="2840" t="s">
        <v>3313</v>
      </c>
      <c r="CF9" s="2841"/>
      <c r="CG9" s="2840" t="s">
        <v>3314</v>
      </c>
      <c r="CH9" s="2841"/>
      <c r="CI9" s="2840" t="s">
        <v>3315</v>
      </c>
      <c r="CJ9" s="2841"/>
      <c r="CK9" s="2840" t="s">
        <v>3316</v>
      </c>
      <c r="CL9" s="2841"/>
      <c r="CM9" s="2840" t="s">
        <v>3317</v>
      </c>
      <c r="CN9" s="2841"/>
      <c r="CO9" s="2840" t="s">
        <v>3324</v>
      </c>
      <c r="CP9" s="2841"/>
      <c r="CQ9" s="2840" t="s">
        <v>3323</v>
      </c>
      <c r="CR9" s="2841"/>
      <c r="CS9" s="2840" t="s">
        <v>3322</v>
      </c>
      <c r="CT9" s="2841"/>
      <c r="CU9" s="2840" t="s">
        <v>3235</v>
      </c>
      <c r="CV9" s="2841"/>
      <c r="CW9" s="2840" t="s">
        <v>3310</v>
      </c>
      <c r="CX9" s="2841"/>
      <c r="CY9" s="2840" t="s">
        <v>3311</v>
      </c>
      <c r="CZ9" s="2841"/>
      <c r="DA9" s="2840" t="s">
        <v>3312</v>
      </c>
      <c r="DB9" s="2841"/>
      <c r="DC9" s="2840" t="s">
        <v>3313</v>
      </c>
      <c r="DD9" s="2841"/>
      <c r="DE9" s="2840" t="s">
        <v>3314</v>
      </c>
      <c r="DF9" s="2841"/>
      <c r="DG9" s="2840" t="s">
        <v>3315</v>
      </c>
      <c r="DH9" s="2841"/>
      <c r="DI9" s="2840" t="s">
        <v>3316</v>
      </c>
      <c r="DJ9" s="2841"/>
      <c r="DK9" s="2840" t="s">
        <v>3317</v>
      </c>
      <c r="DL9" s="2841"/>
      <c r="DM9" s="2840" t="s">
        <v>3324</v>
      </c>
      <c r="DN9" s="2841"/>
      <c r="DO9" s="2840" t="s">
        <v>3323</v>
      </c>
      <c r="DP9" s="2841"/>
      <c r="DQ9" s="2840" t="s">
        <v>3322</v>
      </c>
      <c r="DR9" s="2841"/>
      <c r="DS9" s="2831" t="s">
        <v>3235</v>
      </c>
      <c r="DT9" s="2831"/>
      <c r="DU9" s="2831" t="s">
        <v>3310</v>
      </c>
      <c r="DV9" s="2831"/>
      <c r="DW9" s="2831" t="s">
        <v>3311</v>
      </c>
      <c r="DX9" s="2831"/>
      <c r="DY9" s="2831" t="s">
        <v>3312</v>
      </c>
      <c r="DZ9" s="2831"/>
      <c r="EA9" s="2831" t="s">
        <v>3313</v>
      </c>
      <c r="EB9" s="2831"/>
      <c r="EC9" s="2831" t="s">
        <v>3314</v>
      </c>
      <c r="ED9" s="2831"/>
      <c r="EE9" s="2831" t="s">
        <v>3315</v>
      </c>
      <c r="EF9" s="2831"/>
      <c r="EG9" s="2831" t="s">
        <v>3316</v>
      </c>
      <c r="EH9" s="2831"/>
      <c r="EI9" s="2831" t="s">
        <v>3317</v>
      </c>
      <c r="EJ9" s="2831"/>
      <c r="EK9" s="2831" t="s">
        <v>3324</v>
      </c>
      <c r="EL9" s="2831"/>
      <c r="EM9" s="2831" t="s">
        <v>3323</v>
      </c>
      <c r="EN9" s="2831"/>
      <c r="EO9" s="2831" t="s">
        <v>3322</v>
      </c>
      <c r="EP9" s="2831"/>
      <c r="EQ9" s="2842" t="s">
        <v>3235</v>
      </c>
      <c r="ER9" s="2843"/>
      <c r="ES9" s="2842" t="s">
        <v>3310</v>
      </c>
      <c r="ET9" s="2843"/>
      <c r="EU9" s="2842" t="s">
        <v>3311</v>
      </c>
      <c r="EV9" s="2843"/>
      <c r="EW9" s="2842" t="s">
        <v>3312</v>
      </c>
      <c r="EX9" s="2843"/>
      <c r="EY9" s="2842" t="s">
        <v>3313</v>
      </c>
      <c r="EZ9" s="2843"/>
      <c r="FA9" s="2842" t="s">
        <v>3314</v>
      </c>
      <c r="FB9" s="2843"/>
      <c r="FC9" s="2842" t="s">
        <v>3315</v>
      </c>
      <c r="FD9" s="2843"/>
      <c r="FE9" s="2842" t="s">
        <v>3317</v>
      </c>
      <c r="FF9" s="2843"/>
      <c r="FG9" s="2842" t="s">
        <v>3478</v>
      </c>
      <c r="FH9" s="2843"/>
      <c r="FI9" s="2842" t="s">
        <v>3506</v>
      </c>
      <c r="FJ9" s="2843"/>
      <c r="FK9" s="2842" t="s">
        <v>3556</v>
      </c>
      <c r="FL9" s="2843"/>
      <c r="FM9" s="2844" t="s">
        <v>3235</v>
      </c>
      <c r="FN9" s="2845"/>
      <c r="FO9" s="2844" t="s">
        <v>3310</v>
      </c>
      <c r="FP9" s="2845"/>
      <c r="FQ9" s="2844" t="s">
        <v>3311</v>
      </c>
      <c r="FR9" s="2845"/>
      <c r="FS9" s="2844" t="s">
        <v>3312</v>
      </c>
      <c r="FT9" s="2845"/>
      <c r="FU9" s="2844" t="s">
        <v>3313</v>
      </c>
      <c r="FV9" s="2845"/>
      <c r="FW9" s="2844" t="s">
        <v>3314</v>
      </c>
      <c r="FX9" s="2845"/>
      <c r="FY9" s="2844" t="s">
        <v>3315</v>
      </c>
      <c r="FZ9" s="2845"/>
      <c r="GA9" s="2844" t="s">
        <v>3316</v>
      </c>
      <c r="GB9" s="2845"/>
      <c r="GC9" s="2844" t="s">
        <v>3317</v>
      </c>
      <c r="GD9" s="2845"/>
      <c r="GE9" s="2844" t="s">
        <v>3478</v>
      </c>
      <c r="GF9" s="2845"/>
      <c r="GG9" s="2844" t="s">
        <v>3506</v>
      </c>
      <c r="GH9" s="2845"/>
      <c r="GI9" s="2844" t="s">
        <v>3556</v>
      </c>
      <c r="GJ9" s="2845"/>
      <c r="GK9" s="2844" t="s">
        <v>3235</v>
      </c>
      <c r="GL9" s="2845"/>
      <c r="GM9" s="2844" t="s">
        <v>3310</v>
      </c>
      <c r="GN9" s="2845"/>
      <c r="GO9" s="2838"/>
    </row>
    <row r="10" spans="1:293" ht="66.75" customHeight="1">
      <c r="A10" s="2827"/>
      <c r="B10" s="2829"/>
      <c r="C10" s="1361" t="s">
        <v>3147</v>
      </c>
      <c r="D10" s="1361" t="s">
        <v>2386</v>
      </c>
      <c r="E10" s="1361" t="s">
        <v>3147</v>
      </c>
      <c r="F10" s="1361" t="s">
        <v>2386</v>
      </c>
      <c r="G10" s="1361" t="s">
        <v>3147</v>
      </c>
      <c r="H10" s="1361" t="s">
        <v>2386</v>
      </c>
      <c r="I10" s="1361" t="s">
        <v>3147</v>
      </c>
      <c r="J10" s="1361" t="s">
        <v>2386</v>
      </c>
      <c r="K10" s="1361" t="s">
        <v>3147</v>
      </c>
      <c r="L10" s="1361" t="s">
        <v>2386</v>
      </c>
      <c r="M10" s="1361" t="s">
        <v>3147</v>
      </c>
      <c r="N10" s="1361" t="s">
        <v>2386</v>
      </c>
      <c r="O10" s="1361" t="s">
        <v>3147</v>
      </c>
      <c r="P10" s="1361" t="s">
        <v>2386</v>
      </c>
      <c r="Q10" s="1361" t="s">
        <v>3147</v>
      </c>
      <c r="R10" s="1361" t="s">
        <v>2386</v>
      </c>
      <c r="S10" s="1361" t="s">
        <v>3147</v>
      </c>
      <c r="T10" s="1361" t="s">
        <v>2386</v>
      </c>
      <c r="U10" s="1361" t="s">
        <v>3147</v>
      </c>
      <c r="V10" s="1361" t="s">
        <v>2386</v>
      </c>
      <c r="W10" s="1361" t="s">
        <v>3147</v>
      </c>
      <c r="X10" s="1361" t="s">
        <v>2386</v>
      </c>
      <c r="Y10" s="1361" t="s">
        <v>3147</v>
      </c>
      <c r="Z10" s="1361" t="s">
        <v>2386</v>
      </c>
      <c r="AA10" s="1361" t="s">
        <v>3147</v>
      </c>
      <c r="AB10" s="1361" t="s">
        <v>2386</v>
      </c>
      <c r="AC10" s="1361" t="s">
        <v>3147</v>
      </c>
      <c r="AD10" s="1361" t="s">
        <v>2386</v>
      </c>
      <c r="AE10" s="1361" t="s">
        <v>3147</v>
      </c>
      <c r="AF10" s="1361" t="s">
        <v>2386</v>
      </c>
      <c r="AG10" s="1361" t="s">
        <v>3147</v>
      </c>
      <c r="AH10" s="1361" t="s">
        <v>2386</v>
      </c>
      <c r="AI10" s="1361" t="s">
        <v>3147</v>
      </c>
      <c r="AJ10" s="1361" t="s">
        <v>2386</v>
      </c>
      <c r="AK10" s="1361" t="s">
        <v>3147</v>
      </c>
      <c r="AL10" s="1361" t="s">
        <v>2386</v>
      </c>
      <c r="AM10" s="1361" t="s">
        <v>3147</v>
      </c>
      <c r="AN10" s="1361" t="s">
        <v>2386</v>
      </c>
      <c r="AO10" s="1361" t="s">
        <v>3147</v>
      </c>
      <c r="AP10" s="1361" t="s">
        <v>2386</v>
      </c>
      <c r="AQ10" s="1361" t="s">
        <v>3147</v>
      </c>
      <c r="AR10" s="1361" t="s">
        <v>2386</v>
      </c>
      <c r="AS10" s="1361" t="s">
        <v>3147</v>
      </c>
      <c r="AT10" s="1361" t="s">
        <v>2386</v>
      </c>
      <c r="AU10" s="1361" t="s">
        <v>3147</v>
      </c>
      <c r="AV10" s="1361" t="s">
        <v>2386</v>
      </c>
      <c r="AW10" s="1361" t="s">
        <v>3147</v>
      </c>
      <c r="AX10" s="1361" t="s">
        <v>2386</v>
      </c>
      <c r="AY10" s="1361" t="s">
        <v>3147</v>
      </c>
      <c r="AZ10" s="1361" t="s">
        <v>2386</v>
      </c>
      <c r="BA10" s="1361" t="s">
        <v>3147</v>
      </c>
      <c r="BB10" s="1361" t="s">
        <v>2386</v>
      </c>
      <c r="BC10" s="1361" t="s">
        <v>3147</v>
      </c>
      <c r="BD10" s="1361" t="s">
        <v>2386</v>
      </c>
      <c r="BE10" s="1361" t="s">
        <v>3147</v>
      </c>
      <c r="BF10" s="1361" t="s">
        <v>2386</v>
      </c>
      <c r="BG10" s="1361" t="s">
        <v>3147</v>
      </c>
      <c r="BH10" s="1361" t="s">
        <v>2386</v>
      </c>
      <c r="BI10" s="1361" t="s">
        <v>3147</v>
      </c>
      <c r="BJ10" s="1361" t="s">
        <v>2386</v>
      </c>
      <c r="BK10" s="1361" t="s">
        <v>3147</v>
      </c>
      <c r="BL10" s="1361" t="s">
        <v>2386</v>
      </c>
      <c r="BM10" s="1361" t="s">
        <v>3147</v>
      </c>
      <c r="BN10" s="1361" t="s">
        <v>2386</v>
      </c>
      <c r="BO10" s="1361" t="s">
        <v>3147</v>
      </c>
      <c r="BP10" s="1361" t="s">
        <v>2386</v>
      </c>
      <c r="BQ10" s="1361" t="s">
        <v>3147</v>
      </c>
      <c r="BR10" s="1361" t="s">
        <v>2386</v>
      </c>
      <c r="BS10" s="1361" t="s">
        <v>3147</v>
      </c>
      <c r="BT10" s="1361" t="s">
        <v>2386</v>
      </c>
      <c r="BU10" s="1361" t="s">
        <v>3147</v>
      </c>
      <c r="BV10" s="1361" t="s">
        <v>2386</v>
      </c>
      <c r="BW10" s="1361" t="s">
        <v>3147</v>
      </c>
      <c r="BX10" s="1361" t="s">
        <v>2386</v>
      </c>
      <c r="BY10" s="1361" t="s">
        <v>3147</v>
      </c>
      <c r="BZ10" s="1361" t="s">
        <v>2386</v>
      </c>
      <c r="CA10" s="1361" t="s">
        <v>3147</v>
      </c>
      <c r="CB10" s="1361" t="s">
        <v>2386</v>
      </c>
      <c r="CC10" s="1361" t="s">
        <v>3147</v>
      </c>
      <c r="CD10" s="1361" t="s">
        <v>2386</v>
      </c>
      <c r="CE10" s="1361" t="s">
        <v>3147</v>
      </c>
      <c r="CF10" s="1361" t="s">
        <v>2386</v>
      </c>
      <c r="CG10" s="1361" t="s">
        <v>3147</v>
      </c>
      <c r="CH10" s="1361" t="s">
        <v>2386</v>
      </c>
      <c r="CI10" s="1361" t="s">
        <v>3147</v>
      </c>
      <c r="CJ10" s="1361" t="s">
        <v>2386</v>
      </c>
      <c r="CK10" s="1361" t="s">
        <v>3147</v>
      </c>
      <c r="CL10" s="1361" t="s">
        <v>2386</v>
      </c>
      <c r="CM10" s="1361" t="s">
        <v>3147</v>
      </c>
      <c r="CN10" s="1361" t="s">
        <v>2386</v>
      </c>
      <c r="CO10" s="1361" t="s">
        <v>3147</v>
      </c>
      <c r="CP10" s="1361" t="s">
        <v>2386</v>
      </c>
      <c r="CQ10" s="1361" t="s">
        <v>3147</v>
      </c>
      <c r="CR10" s="1361" t="s">
        <v>2386</v>
      </c>
      <c r="CS10" s="1361" t="s">
        <v>3147</v>
      </c>
      <c r="CT10" s="1361" t="s">
        <v>2386</v>
      </c>
      <c r="CU10" s="1361" t="s">
        <v>3147</v>
      </c>
      <c r="CV10" s="1361" t="s">
        <v>2386</v>
      </c>
      <c r="CW10" s="1361" t="s">
        <v>3147</v>
      </c>
      <c r="CX10" s="1361" t="s">
        <v>2386</v>
      </c>
      <c r="CY10" s="1361" t="s">
        <v>3147</v>
      </c>
      <c r="CZ10" s="1361" t="s">
        <v>2386</v>
      </c>
      <c r="DA10" s="1361" t="s">
        <v>3147</v>
      </c>
      <c r="DB10" s="1361" t="s">
        <v>2386</v>
      </c>
      <c r="DC10" s="1361" t="s">
        <v>3147</v>
      </c>
      <c r="DD10" s="1361" t="s">
        <v>2386</v>
      </c>
      <c r="DE10" s="1361" t="s">
        <v>3147</v>
      </c>
      <c r="DF10" s="1361" t="s">
        <v>2386</v>
      </c>
      <c r="DG10" s="1361" t="s">
        <v>3147</v>
      </c>
      <c r="DH10" s="1361" t="s">
        <v>2386</v>
      </c>
      <c r="DI10" s="1361" t="s">
        <v>3147</v>
      </c>
      <c r="DJ10" s="1361" t="s">
        <v>2386</v>
      </c>
      <c r="DK10" s="1361" t="s">
        <v>3147</v>
      </c>
      <c r="DL10" s="1361" t="s">
        <v>2386</v>
      </c>
      <c r="DM10" s="1361" t="s">
        <v>3147</v>
      </c>
      <c r="DN10" s="1361" t="s">
        <v>2386</v>
      </c>
      <c r="DO10" s="1361" t="s">
        <v>3147</v>
      </c>
      <c r="DP10" s="1361" t="s">
        <v>2386</v>
      </c>
      <c r="DQ10" s="1361" t="s">
        <v>3147</v>
      </c>
      <c r="DR10" s="1361" t="s">
        <v>2386</v>
      </c>
      <c r="DS10" s="1361" t="s">
        <v>3147</v>
      </c>
      <c r="DT10" s="1361" t="s">
        <v>2386</v>
      </c>
      <c r="DU10" s="1361" t="s">
        <v>3147</v>
      </c>
      <c r="DV10" s="1361" t="s">
        <v>2386</v>
      </c>
      <c r="DW10" s="1361" t="s">
        <v>3147</v>
      </c>
      <c r="DX10" s="1361" t="s">
        <v>2386</v>
      </c>
      <c r="DY10" s="1361" t="s">
        <v>3147</v>
      </c>
      <c r="DZ10" s="1361" t="s">
        <v>2386</v>
      </c>
      <c r="EA10" s="1361" t="s">
        <v>3147</v>
      </c>
      <c r="EB10" s="1361" t="s">
        <v>2386</v>
      </c>
      <c r="EC10" s="1361" t="s">
        <v>3147</v>
      </c>
      <c r="ED10" s="1361" t="s">
        <v>2386</v>
      </c>
      <c r="EE10" s="1361" t="s">
        <v>3147</v>
      </c>
      <c r="EF10" s="1361" t="s">
        <v>2386</v>
      </c>
      <c r="EG10" s="1361" t="s">
        <v>3147</v>
      </c>
      <c r="EH10" s="1361" t="s">
        <v>2386</v>
      </c>
      <c r="EI10" s="1361" t="s">
        <v>3147</v>
      </c>
      <c r="EJ10" s="1361" t="s">
        <v>2386</v>
      </c>
      <c r="EK10" s="1361" t="s">
        <v>3147</v>
      </c>
      <c r="EL10" s="1361" t="s">
        <v>2386</v>
      </c>
      <c r="EM10" s="1361" t="s">
        <v>3147</v>
      </c>
      <c r="EN10" s="1361" t="s">
        <v>2386</v>
      </c>
      <c r="EO10" s="1361" t="s">
        <v>3147</v>
      </c>
      <c r="EP10" s="1361" t="s">
        <v>2386</v>
      </c>
      <c r="EQ10" s="1361" t="s">
        <v>3147</v>
      </c>
      <c r="ER10" s="1361" t="s">
        <v>2386</v>
      </c>
      <c r="ES10" s="1361" t="s">
        <v>3147</v>
      </c>
      <c r="ET10" s="1361" t="s">
        <v>2386</v>
      </c>
      <c r="EU10" s="1361" t="s">
        <v>3147</v>
      </c>
      <c r="EV10" s="1361" t="s">
        <v>2386</v>
      </c>
      <c r="EW10" s="1361" t="s">
        <v>3147</v>
      </c>
      <c r="EX10" s="1361" t="s">
        <v>2386</v>
      </c>
      <c r="EY10" s="1361" t="s">
        <v>3147</v>
      </c>
      <c r="EZ10" s="1361" t="s">
        <v>2386</v>
      </c>
      <c r="FA10" s="1361" t="s">
        <v>3147</v>
      </c>
      <c r="FB10" s="1361" t="s">
        <v>2386</v>
      </c>
      <c r="FC10" s="1361" t="s">
        <v>3147</v>
      </c>
      <c r="FD10" s="1361" t="s">
        <v>2386</v>
      </c>
      <c r="FE10" s="1361" t="s">
        <v>3147</v>
      </c>
      <c r="FF10" s="1361" t="s">
        <v>2386</v>
      </c>
      <c r="FG10" s="1361" t="s">
        <v>3147</v>
      </c>
      <c r="FH10" s="1361" t="s">
        <v>2386</v>
      </c>
      <c r="FI10" s="1361" t="s">
        <v>3147</v>
      </c>
      <c r="FJ10" s="1361" t="s">
        <v>2386</v>
      </c>
      <c r="FK10" s="1361" t="s">
        <v>3147</v>
      </c>
      <c r="FL10" s="1361" t="s">
        <v>2386</v>
      </c>
      <c r="FM10" s="1361" t="s">
        <v>3147</v>
      </c>
      <c r="FN10" s="1361" t="s">
        <v>2386</v>
      </c>
      <c r="FO10" s="1361" t="s">
        <v>3147</v>
      </c>
      <c r="FP10" s="1361" t="s">
        <v>2386</v>
      </c>
      <c r="FQ10" s="1361" t="s">
        <v>3147</v>
      </c>
      <c r="FR10" s="1361" t="s">
        <v>2386</v>
      </c>
      <c r="FS10" s="1361" t="s">
        <v>3147</v>
      </c>
      <c r="FT10" s="1361" t="s">
        <v>2386</v>
      </c>
      <c r="FU10" s="1361" t="s">
        <v>3147</v>
      </c>
      <c r="FV10" s="1361" t="s">
        <v>2386</v>
      </c>
      <c r="FW10" s="1361" t="s">
        <v>3147</v>
      </c>
      <c r="FX10" s="1361" t="s">
        <v>2386</v>
      </c>
      <c r="FY10" s="1361" t="s">
        <v>3147</v>
      </c>
      <c r="FZ10" s="1361" t="s">
        <v>2386</v>
      </c>
      <c r="GA10" s="1361" t="s">
        <v>3147</v>
      </c>
      <c r="GB10" s="1361" t="s">
        <v>2386</v>
      </c>
      <c r="GC10" s="1361" t="s">
        <v>3147</v>
      </c>
      <c r="GD10" s="1361" t="s">
        <v>2386</v>
      </c>
      <c r="GE10" s="1361" t="s">
        <v>3147</v>
      </c>
      <c r="GF10" s="1361" t="s">
        <v>2386</v>
      </c>
      <c r="GG10" s="1361" t="s">
        <v>3147</v>
      </c>
      <c r="GH10" s="1361" t="s">
        <v>2386</v>
      </c>
      <c r="GI10" s="1361" t="s">
        <v>3147</v>
      </c>
      <c r="GJ10" s="1361" t="s">
        <v>2386</v>
      </c>
      <c r="GK10" s="1361" t="s">
        <v>3147</v>
      </c>
      <c r="GL10" s="1361" t="s">
        <v>2386</v>
      </c>
      <c r="GM10" s="1361" t="s">
        <v>3147</v>
      </c>
      <c r="GN10" s="1361" t="s">
        <v>2386</v>
      </c>
      <c r="GO10" s="2838"/>
    </row>
    <row r="11" spans="1:293" ht="66.75" customHeight="1">
      <c r="A11" s="2073"/>
      <c r="B11" s="2830"/>
      <c r="C11" s="1361" t="s">
        <v>3236</v>
      </c>
      <c r="D11" s="1361" t="s">
        <v>3237</v>
      </c>
      <c r="E11" s="1361" t="s">
        <v>3236</v>
      </c>
      <c r="F11" s="1361" t="s">
        <v>3237</v>
      </c>
      <c r="G11" s="1361" t="s">
        <v>3236</v>
      </c>
      <c r="H11" s="1361" t="s">
        <v>3237</v>
      </c>
      <c r="I11" s="1361" t="s">
        <v>3236</v>
      </c>
      <c r="J11" s="1361" t="s">
        <v>3237</v>
      </c>
      <c r="K11" s="1361" t="s">
        <v>3236</v>
      </c>
      <c r="L11" s="1361" t="s">
        <v>3237</v>
      </c>
      <c r="M11" s="1361" t="s">
        <v>3236</v>
      </c>
      <c r="N11" s="1361" t="s">
        <v>3237</v>
      </c>
      <c r="O11" s="1361" t="s">
        <v>3236</v>
      </c>
      <c r="P11" s="1361" t="s">
        <v>3237</v>
      </c>
      <c r="Q11" s="1361" t="s">
        <v>3236</v>
      </c>
      <c r="R11" s="1361" t="s">
        <v>3237</v>
      </c>
      <c r="S11" s="1361" t="s">
        <v>3236</v>
      </c>
      <c r="T11" s="1361" t="s">
        <v>3237</v>
      </c>
      <c r="U11" s="1361" t="s">
        <v>3236</v>
      </c>
      <c r="V11" s="1361" t="s">
        <v>3237</v>
      </c>
      <c r="W11" s="1361" t="s">
        <v>3236</v>
      </c>
      <c r="X11" s="1361" t="s">
        <v>3237</v>
      </c>
      <c r="Y11" s="1361" t="s">
        <v>3236</v>
      </c>
      <c r="Z11" s="1361" t="s">
        <v>3237</v>
      </c>
      <c r="AA11" s="1361" t="s">
        <v>3236</v>
      </c>
      <c r="AB11" s="1361" t="s">
        <v>3237</v>
      </c>
      <c r="AC11" s="1361" t="s">
        <v>3236</v>
      </c>
      <c r="AD11" s="1361" t="s">
        <v>3237</v>
      </c>
      <c r="AE11" s="1361" t="s">
        <v>3236</v>
      </c>
      <c r="AF11" s="1361" t="s">
        <v>3237</v>
      </c>
      <c r="AG11" s="1361" t="s">
        <v>3236</v>
      </c>
      <c r="AH11" s="1361" t="s">
        <v>3237</v>
      </c>
      <c r="AI11" s="1361" t="s">
        <v>3236</v>
      </c>
      <c r="AJ11" s="1361" t="s">
        <v>3237</v>
      </c>
      <c r="AK11" s="1361" t="s">
        <v>3236</v>
      </c>
      <c r="AL11" s="1361" t="s">
        <v>3237</v>
      </c>
      <c r="AM11" s="1361" t="s">
        <v>3236</v>
      </c>
      <c r="AN11" s="1361" t="s">
        <v>3237</v>
      </c>
      <c r="AO11" s="1361" t="s">
        <v>3236</v>
      </c>
      <c r="AP11" s="1361" t="s">
        <v>3237</v>
      </c>
      <c r="AQ11" s="1361" t="s">
        <v>3236</v>
      </c>
      <c r="AR11" s="1361" t="s">
        <v>3237</v>
      </c>
      <c r="AS11" s="1361" t="s">
        <v>3236</v>
      </c>
      <c r="AT11" s="1361" t="s">
        <v>3237</v>
      </c>
      <c r="AU11" s="1361" t="s">
        <v>3236</v>
      </c>
      <c r="AV11" s="1361" t="s">
        <v>3237</v>
      </c>
      <c r="AW11" s="1361" t="s">
        <v>3236</v>
      </c>
      <c r="AX11" s="1361" t="s">
        <v>3237</v>
      </c>
      <c r="AY11" s="1361" t="s">
        <v>3236</v>
      </c>
      <c r="AZ11" s="1361" t="s">
        <v>3237</v>
      </c>
      <c r="BA11" s="1361" t="s">
        <v>3236</v>
      </c>
      <c r="BB11" s="1361" t="s">
        <v>3237</v>
      </c>
      <c r="BC11" s="1361" t="s">
        <v>3236</v>
      </c>
      <c r="BD11" s="1361" t="s">
        <v>3237</v>
      </c>
      <c r="BE11" s="1361" t="s">
        <v>3236</v>
      </c>
      <c r="BF11" s="1361" t="s">
        <v>3237</v>
      </c>
      <c r="BG11" s="1361" t="s">
        <v>3236</v>
      </c>
      <c r="BH11" s="1361" t="s">
        <v>3237</v>
      </c>
      <c r="BI11" s="1361" t="s">
        <v>3236</v>
      </c>
      <c r="BJ11" s="1361" t="s">
        <v>3237</v>
      </c>
      <c r="BK11" s="1361" t="s">
        <v>3236</v>
      </c>
      <c r="BL11" s="1361" t="s">
        <v>3237</v>
      </c>
      <c r="BM11" s="1361" t="s">
        <v>3236</v>
      </c>
      <c r="BN11" s="1361" t="s">
        <v>3237</v>
      </c>
      <c r="BO11" s="1361" t="s">
        <v>3236</v>
      </c>
      <c r="BP11" s="1361" t="s">
        <v>3237</v>
      </c>
      <c r="BQ11" s="1361" t="s">
        <v>3236</v>
      </c>
      <c r="BR11" s="1361" t="s">
        <v>3237</v>
      </c>
      <c r="BS11" s="1361" t="s">
        <v>3236</v>
      </c>
      <c r="BT11" s="1361" t="s">
        <v>3237</v>
      </c>
      <c r="BU11" s="1361" t="s">
        <v>3236</v>
      </c>
      <c r="BV11" s="1361" t="s">
        <v>3237</v>
      </c>
      <c r="BW11" s="1361" t="s">
        <v>3236</v>
      </c>
      <c r="BX11" s="1361" t="s">
        <v>3237</v>
      </c>
      <c r="BY11" s="1361" t="s">
        <v>3236</v>
      </c>
      <c r="BZ11" s="1361" t="s">
        <v>3237</v>
      </c>
      <c r="CA11" s="1361" t="s">
        <v>3236</v>
      </c>
      <c r="CB11" s="1361" t="s">
        <v>3237</v>
      </c>
      <c r="CC11" s="1361" t="s">
        <v>3236</v>
      </c>
      <c r="CD11" s="1361" t="s">
        <v>3237</v>
      </c>
      <c r="CE11" s="1361" t="s">
        <v>3236</v>
      </c>
      <c r="CF11" s="1361" t="s">
        <v>3237</v>
      </c>
      <c r="CG11" s="1361" t="s">
        <v>3236</v>
      </c>
      <c r="CH11" s="1361" t="s">
        <v>3237</v>
      </c>
      <c r="CI11" s="1361" t="s">
        <v>3236</v>
      </c>
      <c r="CJ11" s="1361" t="s">
        <v>3237</v>
      </c>
      <c r="CK11" s="1361" t="s">
        <v>3236</v>
      </c>
      <c r="CL11" s="1361" t="s">
        <v>3237</v>
      </c>
      <c r="CM11" s="1361" t="s">
        <v>3236</v>
      </c>
      <c r="CN11" s="1361" t="s">
        <v>3237</v>
      </c>
      <c r="CO11" s="1361" t="s">
        <v>3236</v>
      </c>
      <c r="CP11" s="1361" t="s">
        <v>3237</v>
      </c>
      <c r="CQ11" s="1361" t="s">
        <v>3236</v>
      </c>
      <c r="CR11" s="1361" t="s">
        <v>3237</v>
      </c>
      <c r="CS11" s="1361" t="s">
        <v>3236</v>
      </c>
      <c r="CT11" s="1361" t="s">
        <v>3237</v>
      </c>
      <c r="CU11" s="1361" t="s">
        <v>3236</v>
      </c>
      <c r="CV11" s="1361" t="s">
        <v>3237</v>
      </c>
      <c r="CW11" s="1361" t="s">
        <v>3236</v>
      </c>
      <c r="CX11" s="1361" t="s">
        <v>3237</v>
      </c>
      <c r="CY11" s="1361" t="s">
        <v>3236</v>
      </c>
      <c r="CZ11" s="1361" t="s">
        <v>3237</v>
      </c>
      <c r="DA11" s="1361" t="s">
        <v>3236</v>
      </c>
      <c r="DB11" s="1361" t="s">
        <v>3237</v>
      </c>
      <c r="DC11" s="1361" t="s">
        <v>3236</v>
      </c>
      <c r="DD11" s="1361" t="s">
        <v>3237</v>
      </c>
      <c r="DE11" s="1361" t="s">
        <v>3236</v>
      </c>
      <c r="DF11" s="1361" t="s">
        <v>3237</v>
      </c>
      <c r="DG11" s="1361" t="s">
        <v>3236</v>
      </c>
      <c r="DH11" s="1361" t="s">
        <v>3237</v>
      </c>
      <c r="DI11" s="1361" t="s">
        <v>3236</v>
      </c>
      <c r="DJ11" s="1361" t="s">
        <v>3237</v>
      </c>
      <c r="DK11" s="1361" t="s">
        <v>3236</v>
      </c>
      <c r="DL11" s="1361" t="s">
        <v>3237</v>
      </c>
      <c r="DM11" s="1361" t="s">
        <v>3236</v>
      </c>
      <c r="DN11" s="1361" t="s">
        <v>3237</v>
      </c>
      <c r="DO11" s="1361" t="s">
        <v>3236</v>
      </c>
      <c r="DP11" s="1361" t="s">
        <v>3237</v>
      </c>
      <c r="DQ11" s="1361" t="s">
        <v>3236</v>
      </c>
      <c r="DR11" s="1361" t="s">
        <v>3237</v>
      </c>
      <c r="DS11" s="1361" t="s">
        <v>3236</v>
      </c>
      <c r="DT11" s="1361" t="s">
        <v>3237</v>
      </c>
      <c r="DU11" s="1361" t="s">
        <v>3236</v>
      </c>
      <c r="DV11" s="1361" t="s">
        <v>3237</v>
      </c>
      <c r="DW11" s="1361" t="s">
        <v>3236</v>
      </c>
      <c r="DX11" s="1361" t="s">
        <v>3237</v>
      </c>
      <c r="DY11" s="1361" t="s">
        <v>3236</v>
      </c>
      <c r="DZ11" s="1361" t="s">
        <v>3237</v>
      </c>
      <c r="EA11" s="1361" t="s">
        <v>3236</v>
      </c>
      <c r="EB11" s="1361" t="s">
        <v>3237</v>
      </c>
      <c r="EC11" s="1361" t="s">
        <v>3236</v>
      </c>
      <c r="ED11" s="1361" t="s">
        <v>3237</v>
      </c>
      <c r="EE11" s="1361" t="s">
        <v>3236</v>
      </c>
      <c r="EF11" s="1361" t="s">
        <v>3237</v>
      </c>
      <c r="EG11" s="1361" t="s">
        <v>3236</v>
      </c>
      <c r="EH11" s="1361" t="s">
        <v>3237</v>
      </c>
      <c r="EI11" s="1361" t="s">
        <v>3236</v>
      </c>
      <c r="EJ11" s="1361" t="s">
        <v>3237</v>
      </c>
      <c r="EK11" s="1361" t="s">
        <v>3236</v>
      </c>
      <c r="EL11" s="1361" t="s">
        <v>3237</v>
      </c>
      <c r="EM11" s="1361" t="s">
        <v>3236</v>
      </c>
      <c r="EN11" s="1361" t="s">
        <v>3237</v>
      </c>
      <c r="EO11" s="1361" t="s">
        <v>3236</v>
      </c>
      <c r="EP11" s="1361" t="s">
        <v>3237</v>
      </c>
      <c r="EQ11" s="1361" t="s">
        <v>3236</v>
      </c>
      <c r="ER11" s="1361" t="s">
        <v>3237</v>
      </c>
      <c r="ES11" s="1361" t="s">
        <v>3236</v>
      </c>
      <c r="ET11" s="1361" t="s">
        <v>3237</v>
      </c>
      <c r="EU11" s="1361" t="s">
        <v>3236</v>
      </c>
      <c r="EV11" s="1361" t="s">
        <v>3237</v>
      </c>
      <c r="EW11" s="1361" t="s">
        <v>3236</v>
      </c>
      <c r="EX11" s="1361" t="s">
        <v>3237</v>
      </c>
      <c r="EY11" s="1361" t="s">
        <v>3236</v>
      </c>
      <c r="EZ11" s="1361" t="s">
        <v>3237</v>
      </c>
      <c r="FA11" s="1361" t="s">
        <v>3236</v>
      </c>
      <c r="FB11" s="1361" t="s">
        <v>3237</v>
      </c>
      <c r="FC11" s="1361" t="s">
        <v>3236</v>
      </c>
      <c r="FD11" s="1361" t="s">
        <v>3237</v>
      </c>
      <c r="FE11" s="1361" t="s">
        <v>3236</v>
      </c>
      <c r="FF11" s="1361" t="s">
        <v>3237</v>
      </c>
      <c r="FG11" s="1361" t="s">
        <v>3236</v>
      </c>
      <c r="FH11" s="1361" t="s">
        <v>3237</v>
      </c>
      <c r="FI11" s="1361" t="s">
        <v>3236</v>
      </c>
      <c r="FJ11" s="1361" t="s">
        <v>3237</v>
      </c>
      <c r="FK11" s="1361" t="s">
        <v>3236</v>
      </c>
      <c r="FL11" s="1361" t="s">
        <v>3237</v>
      </c>
      <c r="FM11" s="1361" t="s">
        <v>3236</v>
      </c>
      <c r="FN11" s="1361" t="s">
        <v>3237</v>
      </c>
      <c r="FO11" s="1361" t="s">
        <v>3236</v>
      </c>
      <c r="FP11" s="1361" t="s">
        <v>3237</v>
      </c>
      <c r="FQ11" s="1361" t="s">
        <v>3236</v>
      </c>
      <c r="FR11" s="1361" t="s">
        <v>3237</v>
      </c>
      <c r="FS11" s="1361" t="s">
        <v>3236</v>
      </c>
      <c r="FT11" s="1361" t="s">
        <v>3237</v>
      </c>
      <c r="FU11" s="1361" t="s">
        <v>3236</v>
      </c>
      <c r="FV11" s="1361" t="s">
        <v>3237</v>
      </c>
      <c r="FW11" s="1361" t="s">
        <v>3236</v>
      </c>
      <c r="FX11" s="1361" t="s">
        <v>3237</v>
      </c>
      <c r="FY11" s="1361" t="s">
        <v>3236</v>
      </c>
      <c r="FZ11" s="1361" t="s">
        <v>3237</v>
      </c>
      <c r="GA11" s="1361" t="s">
        <v>3236</v>
      </c>
      <c r="GB11" s="1361" t="s">
        <v>3237</v>
      </c>
      <c r="GC11" s="1361" t="s">
        <v>3236</v>
      </c>
      <c r="GD11" s="1361" t="s">
        <v>3237</v>
      </c>
      <c r="GE11" s="1361" t="s">
        <v>3236</v>
      </c>
      <c r="GF11" s="1361" t="s">
        <v>3237</v>
      </c>
      <c r="GG11" s="1361" t="s">
        <v>3236</v>
      </c>
      <c r="GH11" s="1361" t="s">
        <v>3237</v>
      </c>
      <c r="GI11" s="1361" t="s">
        <v>3236</v>
      </c>
      <c r="GJ11" s="1361" t="s">
        <v>3237</v>
      </c>
      <c r="GK11" s="1361" t="s">
        <v>3236</v>
      </c>
      <c r="GL11" s="1361" t="s">
        <v>3237</v>
      </c>
      <c r="GM11" s="1361" t="s">
        <v>3236</v>
      </c>
      <c r="GN11" s="1361" t="s">
        <v>3237</v>
      </c>
      <c r="GO11" s="2839"/>
    </row>
    <row r="12" spans="1:293" ht="36" customHeight="1">
      <c r="A12" s="2074">
        <v>1</v>
      </c>
      <c r="B12" s="2075" t="s">
        <v>2384</v>
      </c>
      <c r="C12" s="1353">
        <v>521.56506999999999</v>
      </c>
      <c r="D12" s="1353">
        <v>609.97766999999999</v>
      </c>
      <c r="E12" s="1353">
        <v>712.74069999999995</v>
      </c>
      <c r="F12" s="1353">
        <v>1288.4866299999999</v>
      </c>
      <c r="G12" s="1353">
        <v>1120.88346</v>
      </c>
      <c r="H12" s="1353">
        <v>1995.4707100000001</v>
      </c>
      <c r="I12" s="1353">
        <v>1532.0984099999998</v>
      </c>
      <c r="J12" s="1353">
        <v>2661.0898500000003</v>
      </c>
      <c r="K12" s="1353">
        <v>2214.7929599999998</v>
      </c>
      <c r="L12" s="1353">
        <v>3353.1094199999998</v>
      </c>
      <c r="M12" s="1353">
        <v>2434.9430400000001</v>
      </c>
      <c r="N12" s="1353">
        <v>4142.3781300000001</v>
      </c>
      <c r="O12" s="1353">
        <v>2649.8936800000001</v>
      </c>
      <c r="P12" s="1353">
        <v>4797.5999499999998</v>
      </c>
      <c r="Q12" s="1353">
        <v>2942.5696600000001</v>
      </c>
      <c r="R12" s="1353">
        <v>5396.7623700000004</v>
      </c>
      <c r="S12" s="1353">
        <v>3110.21173</v>
      </c>
      <c r="T12" s="1353">
        <v>6073.54889</v>
      </c>
      <c r="U12" s="1353">
        <v>4536.4784500000005</v>
      </c>
      <c r="V12" s="1353">
        <v>6668.9959000000008</v>
      </c>
      <c r="W12" s="1353">
        <v>4995.2904500000004</v>
      </c>
      <c r="X12" s="1353">
        <v>7333.2927300000001</v>
      </c>
      <c r="Y12" s="1353">
        <v>12784.855230000001</v>
      </c>
      <c r="Z12" s="1353">
        <v>7893.5309500000003</v>
      </c>
      <c r="AA12" s="1353">
        <v>785.25903000000005</v>
      </c>
      <c r="AB12" s="1353">
        <v>503.04583000000002</v>
      </c>
      <c r="AC12" s="1353">
        <v>1077.1193700000001</v>
      </c>
      <c r="AD12" s="1353">
        <v>1075.05618</v>
      </c>
      <c r="AE12" s="1353">
        <v>1621.3313600000001</v>
      </c>
      <c r="AF12" s="1353">
        <v>1736.7731999999999</v>
      </c>
      <c r="AG12" s="1353">
        <v>1786.4240500000001</v>
      </c>
      <c r="AH12" s="1353">
        <v>2533.1580899999999</v>
      </c>
      <c r="AI12" s="1353">
        <v>2278.38715</v>
      </c>
      <c r="AJ12" s="1353">
        <v>3233.13418</v>
      </c>
      <c r="AK12" s="1353">
        <v>2638.49458</v>
      </c>
      <c r="AL12" s="1353">
        <v>3896.5978500000001</v>
      </c>
      <c r="AM12" s="1353">
        <v>2953.71765</v>
      </c>
      <c r="AN12" s="1353">
        <v>4556.7329200000004</v>
      </c>
      <c r="AO12" s="1353">
        <v>3248.3417200000004</v>
      </c>
      <c r="AP12" s="1353">
        <v>5161.5096399999993</v>
      </c>
      <c r="AQ12" s="1353">
        <v>3398.6942899999999</v>
      </c>
      <c r="AR12" s="1353">
        <v>5684.6912699999993</v>
      </c>
      <c r="AS12" s="1353">
        <v>4810.6657999999998</v>
      </c>
      <c r="AT12" s="1353">
        <v>6431.1682899999996</v>
      </c>
      <c r="AU12" s="1353">
        <v>5294.1407900000004</v>
      </c>
      <c r="AV12" s="1353">
        <v>7146.0227300000006</v>
      </c>
      <c r="AW12" s="1353">
        <v>12689.677019999999</v>
      </c>
      <c r="AX12" s="1353">
        <v>8098.8740399999997</v>
      </c>
      <c r="AY12" s="1353">
        <v>1068.4988799999999</v>
      </c>
      <c r="AZ12" s="1353">
        <v>467.61790999999999</v>
      </c>
      <c r="BA12" s="1353">
        <v>1307.0958400000002</v>
      </c>
      <c r="BB12" s="1353">
        <v>1025.02531</v>
      </c>
      <c r="BC12" s="1353">
        <v>1832.92</v>
      </c>
      <c r="BD12" s="1353">
        <v>1693.34</v>
      </c>
      <c r="BE12" s="1353">
        <v>2174.2491</v>
      </c>
      <c r="BF12" s="1353">
        <v>2244.2325499999997</v>
      </c>
      <c r="BG12" s="1353">
        <v>2964.4704400000001</v>
      </c>
      <c r="BH12" s="1353">
        <v>2983.4908</v>
      </c>
      <c r="BI12" s="1353">
        <v>3306.9720000000002</v>
      </c>
      <c r="BJ12" s="1353">
        <v>3614.4890499999997</v>
      </c>
      <c r="BK12" s="1353">
        <v>3616.0998100000002</v>
      </c>
      <c r="BL12" s="1353">
        <v>4506.84058</v>
      </c>
      <c r="BM12" s="1353">
        <v>4420.9230199999993</v>
      </c>
      <c r="BN12" s="1353">
        <v>5028.0975499999995</v>
      </c>
      <c r="BO12" s="1353">
        <v>4697.7082599999994</v>
      </c>
      <c r="BP12" s="1353">
        <v>5694.9589699999997</v>
      </c>
      <c r="BQ12" s="1353">
        <v>5485.2294400000001</v>
      </c>
      <c r="BR12" s="1353">
        <v>6452.2487199999996</v>
      </c>
      <c r="BS12" s="1353">
        <v>5717.1427699999995</v>
      </c>
      <c r="BT12" s="1353">
        <v>7074.2125700000006</v>
      </c>
      <c r="BU12" s="1353">
        <v>13169.698199999999</v>
      </c>
      <c r="BV12" s="1353">
        <v>8064.4357699999991</v>
      </c>
      <c r="BW12" s="1353">
        <v>823.37162000000001</v>
      </c>
      <c r="BX12" s="1353">
        <v>669.0027</v>
      </c>
      <c r="BY12" s="1353">
        <v>1127.2551899999999</v>
      </c>
      <c r="BZ12" s="1353">
        <v>1413.05987</v>
      </c>
      <c r="CA12" s="1353">
        <v>1736.9573400000002</v>
      </c>
      <c r="CB12" s="1353">
        <v>2010.8594399999999</v>
      </c>
      <c r="CC12" s="1353">
        <v>2351.6306199999999</v>
      </c>
      <c r="CD12" s="1353">
        <v>2720.62979</v>
      </c>
      <c r="CE12" s="1353">
        <v>3570.2972999999997</v>
      </c>
      <c r="CF12" s="1353">
        <v>3434.6217200000001</v>
      </c>
      <c r="CG12" s="1353">
        <v>4291.0924999999997</v>
      </c>
      <c r="CH12" s="1353">
        <v>4112.9558200000001</v>
      </c>
      <c r="CI12" s="1353">
        <v>4637.6647599999997</v>
      </c>
      <c r="CJ12" s="1353">
        <v>4769.7659400000002</v>
      </c>
      <c r="CK12" s="1353">
        <v>5612.8711800000001</v>
      </c>
      <c r="CL12" s="1353">
        <v>5598.5563300000003</v>
      </c>
      <c r="CM12" s="1353">
        <v>6079.8845300000003</v>
      </c>
      <c r="CN12" s="1353">
        <v>6053.38339</v>
      </c>
      <c r="CO12" s="1353">
        <v>6791.0630099999998</v>
      </c>
      <c r="CP12" s="1353">
        <v>6662.0045300000002</v>
      </c>
      <c r="CQ12" s="1353">
        <v>7491.0893299999998</v>
      </c>
      <c r="CR12" s="1353">
        <v>7616.0454800000007</v>
      </c>
      <c r="CS12" s="1353">
        <v>15124.506079999999</v>
      </c>
      <c r="CT12" s="1353">
        <v>8537.9422400000003</v>
      </c>
      <c r="CU12" s="1353">
        <v>1777.1427800000001</v>
      </c>
      <c r="CV12" s="1353">
        <v>620.85117000000002</v>
      </c>
      <c r="CW12" s="1353">
        <v>2343.3306699999998</v>
      </c>
      <c r="CX12" s="1353">
        <v>1365.5934600000001</v>
      </c>
      <c r="CY12" s="1353">
        <v>3020.1414900000004</v>
      </c>
      <c r="CZ12" s="1353">
        <v>2222.4867000000004</v>
      </c>
      <c r="DA12" s="1353">
        <v>3848.2547100000002</v>
      </c>
      <c r="DB12" s="1353">
        <v>3043.62887</v>
      </c>
      <c r="DC12" s="1353">
        <v>5274.0020300000006</v>
      </c>
      <c r="DD12" s="1353">
        <v>3516.3293399999998</v>
      </c>
      <c r="DE12" s="1353">
        <v>5642.0198200000004</v>
      </c>
      <c r="DF12" s="1353">
        <v>4310.6280999999999</v>
      </c>
      <c r="DG12" s="1353">
        <v>6620.5211799999997</v>
      </c>
      <c r="DH12" s="1353">
        <v>4883.9661599999999</v>
      </c>
      <c r="DI12" s="1353">
        <v>7135.1144699999995</v>
      </c>
      <c r="DJ12" s="1353">
        <v>5426.2384599999996</v>
      </c>
      <c r="DK12" s="1353">
        <v>7596.7114900000006</v>
      </c>
      <c r="DL12" s="1353">
        <v>6101.5162799999998</v>
      </c>
      <c r="DM12" s="1353">
        <v>8269.2507999999998</v>
      </c>
      <c r="DN12" s="1353">
        <v>6918.7916500000001</v>
      </c>
      <c r="DO12" s="1353">
        <v>9415.0806099999991</v>
      </c>
      <c r="DP12" s="1353">
        <v>7646.49604</v>
      </c>
      <c r="DQ12" s="1353">
        <v>17054.060309999997</v>
      </c>
      <c r="DR12" s="1353">
        <v>8475.4506000000001</v>
      </c>
      <c r="DS12" s="1353">
        <v>1684.1983500000001</v>
      </c>
      <c r="DT12" s="1353">
        <v>698.12962000000005</v>
      </c>
      <c r="DU12" s="1353">
        <v>2149.8699900000001</v>
      </c>
      <c r="DV12" s="1353">
        <v>1594.12887</v>
      </c>
      <c r="DW12" s="1353">
        <v>4110.5806299999995</v>
      </c>
      <c r="DX12" s="1353">
        <v>2597.8390800000002</v>
      </c>
      <c r="DY12" s="1353">
        <v>5018.9550899999995</v>
      </c>
      <c r="DZ12" s="1353">
        <v>3447.64392</v>
      </c>
      <c r="EA12" s="1353">
        <v>7208.61924</v>
      </c>
      <c r="EB12" s="1353">
        <v>4430.3219500000005</v>
      </c>
      <c r="EC12" s="1353">
        <v>7949.4733299999998</v>
      </c>
      <c r="ED12" s="1353">
        <v>5478.3557199999996</v>
      </c>
      <c r="EE12" s="1353">
        <v>8768.2642100000012</v>
      </c>
      <c r="EF12" s="1353">
        <v>6129.4859500000002</v>
      </c>
      <c r="EG12" s="1353">
        <v>9953.5638400000007</v>
      </c>
      <c r="EH12" s="1353">
        <v>6967.2487699999992</v>
      </c>
      <c r="EI12" s="1353">
        <v>10398.665630000001</v>
      </c>
      <c r="EJ12" s="1353">
        <v>8338.1301399999993</v>
      </c>
      <c r="EK12" s="1353">
        <v>11234.925869999999</v>
      </c>
      <c r="EL12" s="1353">
        <v>8789.4311899999993</v>
      </c>
      <c r="EM12" s="1353">
        <v>17148.395680000001</v>
      </c>
      <c r="EN12" s="1353">
        <v>10440.9584</v>
      </c>
      <c r="EO12" s="1353">
        <v>19016.587149999999</v>
      </c>
      <c r="EP12" s="1353">
        <v>11740.65589</v>
      </c>
      <c r="EQ12" s="1353">
        <v>1363.6185499999999</v>
      </c>
      <c r="ER12" s="1353">
        <v>905.02423999999996</v>
      </c>
      <c r="ES12" s="1362">
        <v>2465.1511</v>
      </c>
      <c r="ET12" s="2031">
        <v>1576.85401</v>
      </c>
      <c r="EU12" s="1353">
        <v>4862.8275599999997</v>
      </c>
      <c r="EV12" s="1353">
        <v>2753.26397</v>
      </c>
      <c r="EW12" s="1362">
        <v>6245.8725899999999</v>
      </c>
      <c r="EX12" s="2031">
        <v>4199.7800299999999</v>
      </c>
      <c r="EY12" s="1353">
        <v>8542.33475</v>
      </c>
      <c r="EZ12" s="1353">
        <v>5251.13184</v>
      </c>
      <c r="FA12" s="1362">
        <v>9631.5551500000001</v>
      </c>
      <c r="FB12" s="2031">
        <v>6005.8307599999998</v>
      </c>
      <c r="FC12" s="1353">
        <v>11061.14734</v>
      </c>
      <c r="FD12" s="1353">
        <v>7129.4884700000002</v>
      </c>
      <c r="FE12" s="1363">
        <v>13200.974200000001</v>
      </c>
      <c r="FF12" s="1354">
        <v>9626.9398399999991</v>
      </c>
      <c r="FG12" s="1363">
        <v>14531.173129999999</v>
      </c>
      <c r="FH12" s="1354">
        <v>10560.93577</v>
      </c>
      <c r="FI12" s="1363">
        <v>22105.677090000001</v>
      </c>
      <c r="FJ12" s="1354">
        <v>11711.237550000002</v>
      </c>
      <c r="FK12" s="1363">
        <v>24628.466810000002</v>
      </c>
      <c r="FL12" s="1354">
        <v>12826.866169999999</v>
      </c>
      <c r="FM12" s="1354">
        <v>1399.5344499999999</v>
      </c>
      <c r="FN12" s="1354">
        <v>922.97871999999995</v>
      </c>
      <c r="FO12" s="1354">
        <v>2980.1940099999997</v>
      </c>
      <c r="FP12" s="1354">
        <v>2256.9822999999997</v>
      </c>
      <c r="FQ12" s="1354">
        <v>5639.0028199999997</v>
      </c>
      <c r="FR12" s="1354">
        <v>3517.4559399999998</v>
      </c>
      <c r="FS12" s="1354">
        <v>7026.78388</v>
      </c>
      <c r="FT12" s="1354">
        <v>4539.3871300000001</v>
      </c>
      <c r="FU12" s="1354">
        <v>9218.3906300000017</v>
      </c>
      <c r="FV12" s="1354">
        <v>6051.6369000000004</v>
      </c>
      <c r="FW12" s="1354">
        <v>10015.471670000001</v>
      </c>
      <c r="FX12" s="1354">
        <v>7315.9444699999995</v>
      </c>
      <c r="FY12" s="1354">
        <v>10955.146189999999</v>
      </c>
      <c r="FZ12" s="1354">
        <v>8286.8907600000002</v>
      </c>
      <c r="GA12" s="1354">
        <v>11654.341420000001</v>
      </c>
      <c r="GB12" s="1354">
        <v>9620.1559799999995</v>
      </c>
      <c r="GC12" s="1354">
        <v>12358.03818</v>
      </c>
      <c r="GD12" s="1354">
        <v>10718.8809</v>
      </c>
      <c r="GE12" s="1354">
        <v>13336.67592</v>
      </c>
      <c r="GF12" s="1354">
        <v>12104.039709999999</v>
      </c>
      <c r="GG12" s="1354">
        <v>19221.57604</v>
      </c>
      <c r="GH12" s="1354">
        <v>12932.539210000001</v>
      </c>
      <c r="GI12" s="1354">
        <v>21117.220659999999</v>
      </c>
      <c r="GJ12" s="1354">
        <v>15333.10153</v>
      </c>
      <c r="GK12" s="1354">
        <v>1045.58635</v>
      </c>
      <c r="GL12" s="1354">
        <v>898.74401</v>
      </c>
      <c r="GM12" s="1354">
        <v>3199.7561299999998</v>
      </c>
      <c r="GN12" s="1354">
        <v>2225.6363799999999</v>
      </c>
      <c r="GO12" s="2076" t="s">
        <v>3238</v>
      </c>
    </row>
    <row r="13" spans="1:293" ht="36" customHeight="1">
      <c r="A13" s="2074">
        <v>2</v>
      </c>
      <c r="B13" s="2075" t="s">
        <v>2383</v>
      </c>
      <c r="C13" s="1353">
        <v>758.95065</v>
      </c>
      <c r="D13" s="1353">
        <v>237.81532999999999</v>
      </c>
      <c r="E13" s="1353">
        <v>1206.5170900000001</v>
      </c>
      <c r="F13" s="1353">
        <v>585.33663999999999</v>
      </c>
      <c r="G13" s="1353">
        <v>2012.0612100000001</v>
      </c>
      <c r="H13" s="1353">
        <v>849.55264999999997</v>
      </c>
      <c r="I13" s="1353">
        <v>2780.4427999999998</v>
      </c>
      <c r="J13" s="1353">
        <v>1091.3744299999998</v>
      </c>
      <c r="K13" s="1353">
        <v>3287.3404300000002</v>
      </c>
      <c r="L13" s="1353">
        <v>1354.99206</v>
      </c>
      <c r="M13" s="1353">
        <v>4776.1512400000001</v>
      </c>
      <c r="N13" s="1353">
        <v>1594.8853700000002</v>
      </c>
      <c r="O13" s="1353">
        <v>6595.6164800000006</v>
      </c>
      <c r="P13" s="1353">
        <v>1854.14168</v>
      </c>
      <c r="Q13" s="1353">
        <v>7036.5734900000007</v>
      </c>
      <c r="R13" s="1353">
        <v>2145.0987599999999</v>
      </c>
      <c r="S13" s="1353">
        <v>7798.27963</v>
      </c>
      <c r="T13" s="1353">
        <v>2536.4452799999999</v>
      </c>
      <c r="U13" s="1353">
        <v>8419.4225800000004</v>
      </c>
      <c r="V13" s="1353">
        <v>2804.1086099999998</v>
      </c>
      <c r="W13" s="1353">
        <v>8813.8976899999998</v>
      </c>
      <c r="X13" s="1353">
        <v>3194.5628999999999</v>
      </c>
      <c r="Y13" s="1353">
        <v>9288.9753699999983</v>
      </c>
      <c r="Z13" s="1353">
        <v>3542.4287999999997</v>
      </c>
      <c r="AA13" s="1353">
        <v>722.75606999999991</v>
      </c>
      <c r="AB13" s="1353">
        <v>208.47714999999999</v>
      </c>
      <c r="AC13" s="1353">
        <v>1342.6148600000001</v>
      </c>
      <c r="AD13" s="1353">
        <v>529.86847999999998</v>
      </c>
      <c r="AE13" s="1353">
        <v>2295.2592400000003</v>
      </c>
      <c r="AF13" s="1353">
        <v>852.87394999999992</v>
      </c>
      <c r="AG13" s="1353">
        <v>3057.5969</v>
      </c>
      <c r="AH13" s="1353">
        <v>1098.912</v>
      </c>
      <c r="AI13" s="1353">
        <v>3906.7648399999998</v>
      </c>
      <c r="AJ13" s="1353">
        <v>1441.7331999999999</v>
      </c>
      <c r="AK13" s="1353">
        <v>4602.3380900000002</v>
      </c>
      <c r="AL13" s="1353">
        <v>66.158720000000002</v>
      </c>
      <c r="AM13" s="1353">
        <v>6869.5830800000003</v>
      </c>
      <c r="AN13" s="1353">
        <v>2147.0364399999999</v>
      </c>
      <c r="AO13" s="1353">
        <v>8227.6363700000002</v>
      </c>
      <c r="AP13" s="1353">
        <v>2743.1603399999999</v>
      </c>
      <c r="AQ13" s="1353">
        <v>9490.8142799999987</v>
      </c>
      <c r="AR13" s="1353">
        <v>3214.6781800000003</v>
      </c>
      <c r="AS13" s="1353">
        <v>11136.178390000001</v>
      </c>
      <c r="AT13" s="1353">
        <v>3691.9581800000001</v>
      </c>
      <c r="AU13" s="1353">
        <v>12752.971099999999</v>
      </c>
      <c r="AV13" s="1353">
        <v>4251.1757400000006</v>
      </c>
      <c r="AW13" s="1353">
        <v>13715.792880000001</v>
      </c>
      <c r="AX13" s="1353">
        <v>5020.0168600000006</v>
      </c>
      <c r="AY13" s="1353">
        <v>1398.92399</v>
      </c>
      <c r="AZ13" s="1353">
        <v>606.98356999999999</v>
      </c>
      <c r="BA13" s="1353">
        <v>2712.2449700000002</v>
      </c>
      <c r="BB13" s="1353">
        <v>1322.68976</v>
      </c>
      <c r="BC13" s="1353">
        <v>4236.16</v>
      </c>
      <c r="BD13" s="1353">
        <v>1832.19</v>
      </c>
      <c r="BE13" s="1353">
        <v>6141.1052099999997</v>
      </c>
      <c r="BF13" s="1353">
        <v>2519.9277099999999</v>
      </c>
      <c r="BG13" s="1353">
        <v>8080.5050799999999</v>
      </c>
      <c r="BH13" s="1353">
        <v>3263.0724500000001</v>
      </c>
      <c r="BI13" s="1353">
        <v>10355.49401</v>
      </c>
      <c r="BJ13" s="1353">
        <v>3960.5989900000004</v>
      </c>
      <c r="BK13" s="1353">
        <v>12593.303960000001</v>
      </c>
      <c r="BL13" s="1353">
        <v>4973.6734100000003</v>
      </c>
      <c r="BM13" s="1353">
        <v>14721.571029999999</v>
      </c>
      <c r="BN13" s="1353">
        <v>5925.8159400000004</v>
      </c>
      <c r="BO13" s="1353">
        <v>16299.04016</v>
      </c>
      <c r="BP13" s="1353">
        <v>6846.3999199999998</v>
      </c>
      <c r="BQ13" s="1353">
        <v>18150.404030000002</v>
      </c>
      <c r="BR13" s="1353">
        <v>8159.1861100000006</v>
      </c>
      <c r="BS13" s="1353">
        <v>20443.97409</v>
      </c>
      <c r="BT13" s="1353">
        <v>9411.1755900000007</v>
      </c>
      <c r="BU13" s="1353">
        <v>22437.54723</v>
      </c>
      <c r="BV13" s="1353">
        <v>10609.75986</v>
      </c>
      <c r="BW13" s="1353">
        <v>1997.3262</v>
      </c>
      <c r="BX13" s="1353">
        <v>1471.01171</v>
      </c>
      <c r="BY13" s="1353">
        <v>3809.1153899999999</v>
      </c>
      <c r="BZ13" s="1353">
        <v>2508.2357000000002</v>
      </c>
      <c r="CA13" s="1353">
        <v>5374.5387300000002</v>
      </c>
      <c r="CB13" s="1353">
        <v>3477.5982799999997</v>
      </c>
      <c r="CC13" s="1353">
        <v>6423.19686</v>
      </c>
      <c r="CD13" s="1353">
        <v>4934.2401</v>
      </c>
      <c r="CE13" s="1353">
        <v>8006.8544199999997</v>
      </c>
      <c r="CF13" s="1353">
        <v>6073.4053899999999</v>
      </c>
      <c r="CG13" s="1353">
        <v>9382.5616599999994</v>
      </c>
      <c r="CH13" s="1353">
        <v>7153.3515299999999</v>
      </c>
      <c r="CI13" s="1353">
        <v>11019.08547</v>
      </c>
      <c r="CJ13" s="1353">
        <v>8630.6943300000003</v>
      </c>
      <c r="CK13" s="1353">
        <v>12340.53477</v>
      </c>
      <c r="CL13" s="1353">
        <v>9943.4307499999995</v>
      </c>
      <c r="CM13" s="1353">
        <v>13722.92499</v>
      </c>
      <c r="CN13" s="1353">
        <v>11190.93154</v>
      </c>
      <c r="CO13" s="1353">
        <v>15419.79549</v>
      </c>
      <c r="CP13" s="1353">
        <v>12473.17391</v>
      </c>
      <c r="CQ13" s="1353">
        <v>16761.277439999998</v>
      </c>
      <c r="CR13" s="1353">
        <v>13478.99475</v>
      </c>
      <c r="CS13" s="1353">
        <v>18093.562870000002</v>
      </c>
      <c r="CT13" s="1353">
        <v>14628.429029999999</v>
      </c>
      <c r="CU13" s="1353">
        <v>1621.3779299999999</v>
      </c>
      <c r="CV13" s="1353">
        <v>1051.4322099999999</v>
      </c>
      <c r="CW13" s="1353">
        <v>2807.8135000000002</v>
      </c>
      <c r="CX13" s="1353">
        <v>2032.7641699999999</v>
      </c>
      <c r="CY13" s="1353">
        <v>3538.5835200000001</v>
      </c>
      <c r="CZ13" s="1353">
        <v>2761.7750099999998</v>
      </c>
      <c r="DA13" s="1353">
        <v>5373.1786500000007</v>
      </c>
      <c r="DB13" s="1353">
        <v>3421.0196900000001</v>
      </c>
      <c r="DC13" s="1353">
        <v>6245.2153600000001</v>
      </c>
      <c r="DD13" s="1353">
        <v>3996.16887</v>
      </c>
      <c r="DE13" s="1353">
        <v>7319.5199499999999</v>
      </c>
      <c r="DF13" s="1353">
        <v>4784.3614000000007</v>
      </c>
      <c r="DG13" s="1353">
        <v>8397.61715</v>
      </c>
      <c r="DH13" s="1353">
        <v>5415.6854499999999</v>
      </c>
      <c r="DI13" s="1353">
        <v>9426.6470300000001</v>
      </c>
      <c r="DJ13" s="1353">
        <v>5967.4403899999998</v>
      </c>
      <c r="DK13" s="1353">
        <v>10492.541359999999</v>
      </c>
      <c r="DL13" s="1353">
        <v>6624.7102699999996</v>
      </c>
      <c r="DM13" s="1353">
        <v>11769.283730000001</v>
      </c>
      <c r="DN13" s="1353">
        <v>7311.5651399999997</v>
      </c>
      <c r="DO13" s="1353">
        <v>12814.26391</v>
      </c>
      <c r="DP13" s="1353">
        <v>7931.1194100000002</v>
      </c>
      <c r="DQ13" s="1353">
        <v>13889.36831</v>
      </c>
      <c r="DR13" s="1353">
        <v>8710.42634</v>
      </c>
      <c r="DS13" s="1353">
        <v>1465.94976</v>
      </c>
      <c r="DT13" s="1353">
        <v>574.56593999999996</v>
      </c>
      <c r="DU13" s="1353">
        <v>2492.0214799999999</v>
      </c>
      <c r="DV13" s="1353">
        <v>1198.9430400000001</v>
      </c>
      <c r="DW13" s="1353">
        <v>3539.6148599999997</v>
      </c>
      <c r="DX13" s="1353">
        <v>2022.8599099999999</v>
      </c>
      <c r="DY13" s="1353">
        <v>4793.99208</v>
      </c>
      <c r="DZ13" s="1353">
        <v>2729.2289700000001</v>
      </c>
      <c r="EA13" s="1353">
        <v>5838.3829000000005</v>
      </c>
      <c r="EB13" s="1353">
        <v>3214.6624900000002</v>
      </c>
      <c r="EC13" s="1353">
        <v>6767.6383099999994</v>
      </c>
      <c r="ED13" s="1353">
        <v>3970.5482900000002</v>
      </c>
      <c r="EE13" s="1353">
        <v>7611.5923700000003</v>
      </c>
      <c r="EF13" s="1353">
        <v>4828.8632600000001</v>
      </c>
      <c r="EG13" s="1353">
        <v>8596.6686399999999</v>
      </c>
      <c r="EH13" s="1353">
        <v>5697.3587300000008</v>
      </c>
      <c r="EI13" s="1353">
        <v>9402.4430600000014</v>
      </c>
      <c r="EJ13" s="1353">
        <v>6555.6742100000001</v>
      </c>
      <c r="EK13" s="1353">
        <v>10205.603370000001</v>
      </c>
      <c r="EL13" s="1353">
        <v>7388.2716499999997</v>
      </c>
      <c r="EM13" s="1353">
        <v>11401.470160000001</v>
      </c>
      <c r="EN13" s="1353">
        <v>8331.6942899999995</v>
      </c>
      <c r="EO13" s="1353">
        <v>11942.26446</v>
      </c>
      <c r="EP13" s="1353">
        <v>8695.22588</v>
      </c>
      <c r="EQ13" s="1353">
        <v>907.49677999999994</v>
      </c>
      <c r="ER13" s="1353">
        <v>735.82690000000002</v>
      </c>
      <c r="ES13" s="1363">
        <v>1307.26774</v>
      </c>
      <c r="ET13" s="1354">
        <v>1227.2543700000001</v>
      </c>
      <c r="EU13" s="1353">
        <v>1445.2997600000001</v>
      </c>
      <c r="EV13" s="1353">
        <v>1774.52135</v>
      </c>
      <c r="EW13" s="1363">
        <v>1676.15491</v>
      </c>
      <c r="EX13" s="1354">
        <v>2343.9546799999998</v>
      </c>
      <c r="EY13" s="1353">
        <v>1959.93309</v>
      </c>
      <c r="EZ13" s="1353">
        <v>2836.3603199999998</v>
      </c>
      <c r="FA13" s="1363">
        <v>2351.0983900000001</v>
      </c>
      <c r="FB13" s="1354">
        <v>3315.30312</v>
      </c>
      <c r="FC13" s="1353">
        <v>2726.1724800000002</v>
      </c>
      <c r="FD13" s="1353">
        <v>3754.5696800000001</v>
      </c>
      <c r="FE13" s="1363">
        <v>3652.48864</v>
      </c>
      <c r="FF13" s="1354">
        <v>4613.6577399999996</v>
      </c>
      <c r="FG13" s="1363">
        <v>4296.57089</v>
      </c>
      <c r="FH13" s="1354">
        <v>4980.3851999999997</v>
      </c>
      <c r="FI13" s="1363">
        <v>4808.30087</v>
      </c>
      <c r="FJ13" s="1354">
        <v>5195.5890199999994</v>
      </c>
      <c r="FK13" s="1363">
        <v>5311.9363899999998</v>
      </c>
      <c r="FL13" s="1354">
        <v>5394.8896199999999</v>
      </c>
      <c r="FM13" s="1354">
        <v>997.90572999999995</v>
      </c>
      <c r="FN13" s="1354">
        <v>293.39196999999996</v>
      </c>
      <c r="FO13" s="1354">
        <v>2055.15157</v>
      </c>
      <c r="FP13" s="1354">
        <v>543.59587999999997</v>
      </c>
      <c r="FQ13" s="1354">
        <v>2670.1943700000002</v>
      </c>
      <c r="FR13" s="1354">
        <v>724.85017000000005</v>
      </c>
      <c r="FS13" s="1354">
        <v>3491.4041899999997</v>
      </c>
      <c r="FT13" s="1354">
        <v>981.62671</v>
      </c>
      <c r="FU13" s="1354">
        <v>4647.3428099999992</v>
      </c>
      <c r="FV13" s="1354">
        <v>1237.2860800000001</v>
      </c>
      <c r="FW13" s="1354">
        <v>5411.0336100000004</v>
      </c>
      <c r="FX13" s="1354">
        <v>1422.8828500000002</v>
      </c>
      <c r="FY13" s="1354">
        <v>6171.3185000000003</v>
      </c>
      <c r="FZ13" s="1354">
        <v>1806.2121499999998</v>
      </c>
      <c r="GA13" s="1354">
        <v>7003.4649399999998</v>
      </c>
      <c r="GB13" s="1354">
        <v>2105.8989200000001</v>
      </c>
      <c r="GC13" s="1354">
        <v>7554.9007099999999</v>
      </c>
      <c r="GD13" s="1354">
        <v>2358.06781</v>
      </c>
      <c r="GE13" s="1354">
        <v>8252.9687599999997</v>
      </c>
      <c r="GF13" s="1354">
        <v>2690.6121400000002</v>
      </c>
      <c r="GG13" s="1354">
        <v>8944.9280500000004</v>
      </c>
      <c r="GH13" s="1354">
        <v>2896.31592</v>
      </c>
      <c r="GI13" s="1354">
        <v>9637.8774400000002</v>
      </c>
      <c r="GJ13" s="1354">
        <v>3209.5982000000004</v>
      </c>
      <c r="GK13" s="1354">
        <v>1011.80165</v>
      </c>
      <c r="GL13" s="1354">
        <v>277.73237999999998</v>
      </c>
      <c r="GM13" s="1354">
        <v>1856.0651</v>
      </c>
      <c r="GN13" s="1354">
        <v>641.18318999999997</v>
      </c>
      <c r="GO13" s="2076" t="s">
        <v>3239</v>
      </c>
    </row>
    <row r="14" spans="1:293" ht="36" customHeight="1">
      <c r="A14" s="2074">
        <v>3</v>
      </c>
      <c r="B14" s="2075" t="s">
        <v>2382</v>
      </c>
      <c r="C14" s="1353">
        <v>2390.8798999999999</v>
      </c>
      <c r="D14" s="1353">
        <v>2505.3024599999999</v>
      </c>
      <c r="E14" s="1353">
        <v>5850.2064099999998</v>
      </c>
      <c r="F14" s="1353">
        <v>11646.467349999999</v>
      </c>
      <c r="G14" s="1353">
        <v>8496.5671700000003</v>
      </c>
      <c r="H14" s="1353">
        <v>12973.27038</v>
      </c>
      <c r="I14" s="1353">
        <v>12424.70369</v>
      </c>
      <c r="J14" s="1353">
        <v>14209.166300000001</v>
      </c>
      <c r="K14" s="1353">
        <v>20912.710920000001</v>
      </c>
      <c r="L14" s="1353">
        <v>16043.983779999999</v>
      </c>
      <c r="M14" s="1353">
        <v>19956.368710000002</v>
      </c>
      <c r="N14" s="1353">
        <v>16679.921999999999</v>
      </c>
      <c r="O14" s="1353">
        <v>21069.874489999998</v>
      </c>
      <c r="P14" s="1353">
        <v>18680.955750000001</v>
      </c>
      <c r="Q14" s="1353">
        <v>24689.272870000001</v>
      </c>
      <c r="R14" s="1353">
        <v>19900.732760000003</v>
      </c>
      <c r="S14" s="1353">
        <v>27896.805769999999</v>
      </c>
      <c r="T14" s="1353">
        <v>20430.97047</v>
      </c>
      <c r="U14" s="1353">
        <v>30344.682570000001</v>
      </c>
      <c r="V14" s="1353">
        <v>23347.903999999999</v>
      </c>
      <c r="W14" s="1353">
        <v>32194.124030000003</v>
      </c>
      <c r="X14" s="1353">
        <v>25400.923480000001</v>
      </c>
      <c r="Y14" s="1353">
        <v>37435.501389999998</v>
      </c>
      <c r="Z14" s="1353">
        <v>27111.8092</v>
      </c>
      <c r="AA14" s="1353">
        <v>1367.91077</v>
      </c>
      <c r="AB14" s="1353">
        <v>12532.490820000001</v>
      </c>
      <c r="AC14" s="1353">
        <v>4644.7344699999994</v>
      </c>
      <c r="AD14" s="1353">
        <v>17135.831760000001</v>
      </c>
      <c r="AE14" s="1353">
        <v>8205.5029200000008</v>
      </c>
      <c r="AF14" s="1353">
        <v>20574.088100000001</v>
      </c>
      <c r="AG14" s="1353">
        <v>10891.94663</v>
      </c>
      <c r="AH14" s="1353">
        <v>23599.198280000001</v>
      </c>
      <c r="AI14" s="1353">
        <v>13055.021439999999</v>
      </c>
      <c r="AJ14" s="1353">
        <v>24642.244190000001</v>
      </c>
      <c r="AK14" s="1353">
        <v>15893.12384</v>
      </c>
      <c r="AL14" s="1353">
        <v>28672.16907</v>
      </c>
      <c r="AM14" s="1353">
        <v>18259.19843</v>
      </c>
      <c r="AN14" s="1353">
        <v>30517.856680000001</v>
      </c>
      <c r="AO14" s="1353">
        <v>22945.460190000002</v>
      </c>
      <c r="AP14" s="1353">
        <v>32486.458469999998</v>
      </c>
      <c r="AQ14" s="1353">
        <v>25870.45148</v>
      </c>
      <c r="AR14" s="1353">
        <v>38563.497259999996</v>
      </c>
      <c r="AS14" s="1353">
        <v>27881.117409999999</v>
      </c>
      <c r="AT14" s="1353">
        <v>41019.968209999999</v>
      </c>
      <c r="AU14" s="1353">
        <v>31146.226730000002</v>
      </c>
      <c r="AV14" s="1353">
        <v>43444.510049999997</v>
      </c>
      <c r="AW14" s="1353">
        <v>38369.90956</v>
      </c>
      <c r="AX14" s="1353">
        <v>55046.153060000004</v>
      </c>
      <c r="AY14" s="1353">
        <v>3038.9574900000002</v>
      </c>
      <c r="AZ14" s="1353">
        <v>4372.9631100000006</v>
      </c>
      <c r="BA14" s="1353">
        <v>6245.6397999999999</v>
      </c>
      <c r="BB14" s="1353">
        <v>5461.4845999999998</v>
      </c>
      <c r="BC14" s="1353">
        <v>12877.76</v>
      </c>
      <c r="BD14" s="1353">
        <v>6310.89</v>
      </c>
      <c r="BE14" s="1353">
        <v>17396.778559999999</v>
      </c>
      <c r="BF14" s="1353">
        <v>7834.4747500000003</v>
      </c>
      <c r="BG14" s="1353">
        <v>22561.626399999997</v>
      </c>
      <c r="BH14" s="1353">
        <v>8846.0370600000006</v>
      </c>
      <c r="BI14" s="1353">
        <v>28165.661059999999</v>
      </c>
      <c r="BJ14" s="1353">
        <v>9658.2874700000011</v>
      </c>
      <c r="BK14" s="1353">
        <v>32121.042870000001</v>
      </c>
      <c r="BL14" s="1353">
        <v>11244.560939999999</v>
      </c>
      <c r="BM14" s="1353">
        <v>35440.355609999999</v>
      </c>
      <c r="BN14" s="1353">
        <v>11986.39316</v>
      </c>
      <c r="BO14" s="1353">
        <v>41413.962770000006</v>
      </c>
      <c r="BP14" s="1353">
        <v>12557.6353</v>
      </c>
      <c r="BQ14" s="1353">
        <v>46133.215770000003</v>
      </c>
      <c r="BR14" s="1353">
        <v>12937.49583</v>
      </c>
      <c r="BS14" s="1353">
        <v>52892.870909999998</v>
      </c>
      <c r="BT14" s="1353">
        <v>14274.772010000001</v>
      </c>
      <c r="BU14" s="1353">
        <v>60107.412219999998</v>
      </c>
      <c r="BV14" s="1353">
        <v>14720.319960000001</v>
      </c>
      <c r="BW14" s="1353">
        <v>2323.43109</v>
      </c>
      <c r="BX14" s="1353">
        <v>1788.21504</v>
      </c>
      <c r="BY14" s="1353">
        <v>5067.4982399999999</v>
      </c>
      <c r="BZ14" s="1353">
        <v>2485.56781</v>
      </c>
      <c r="CA14" s="1353">
        <v>9285.6196400000008</v>
      </c>
      <c r="CB14" s="1353">
        <v>2705.0421900000001</v>
      </c>
      <c r="CC14" s="1353">
        <v>12370.119259999999</v>
      </c>
      <c r="CD14" s="1353">
        <v>3257.7596600000002</v>
      </c>
      <c r="CE14" s="1353">
        <v>16945.0939</v>
      </c>
      <c r="CF14" s="1353">
        <v>4537.57143</v>
      </c>
      <c r="CG14" s="1353">
        <v>19985.617280000002</v>
      </c>
      <c r="CH14" s="1353">
        <v>6856.8180300000004</v>
      </c>
      <c r="CI14" s="1353">
        <v>22175.636039999998</v>
      </c>
      <c r="CJ14" s="1353">
        <v>7858.2601100000002</v>
      </c>
      <c r="CK14" s="1353">
        <v>25034.061890000001</v>
      </c>
      <c r="CL14" s="1353">
        <v>8358.6703899999993</v>
      </c>
      <c r="CM14" s="1353">
        <v>28628.015190000002</v>
      </c>
      <c r="CN14" s="1353">
        <v>9117.7975700000006</v>
      </c>
      <c r="CO14" s="1353">
        <v>31161.896239999998</v>
      </c>
      <c r="CP14" s="1353">
        <v>10794.176369999999</v>
      </c>
      <c r="CQ14" s="1353">
        <v>35445.099110000003</v>
      </c>
      <c r="CR14" s="1353">
        <v>11422.14661</v>
      </c>
      <c r="CS14" s="1353">
        <v>39086.738389999999</v>
      </c>
      <c r="CT14" s="1353">
        <v>19131.144559999997</v>
      </c>
      <c r="CU14" s="1353">
        <v>2979.27504</v>
      </c>
      <c r="CV14" s="1353">
        <v>1604.7873999999999</v>
      </c>
      <c r="CW14" s="1353">
        <v>6840.7647999999999</v>
      </c>
      <c r="CX14" s="1353">
        <v>3698.7301499999999</v>
      </c>
      <c r="CY14" s="1353">
        <v>11000.527900000001</v>
      </c>
      <c r="CZ14" s="1353">
        <v>4726.4493499999999</v>
      </c>
      <c r="DA14" s="1353">
        <v>15538.515529999999</v>
      </c>
      <c r="DB14" s="1353">
        <v>11042.73741</v>
      </c>
      <c r="DC14" s="1353">
        <v>18050.298329999998</v>
      </c>
      <c r="DD14" s="1353">
        <v>12914.53556</v>
      </c>
      <c r="DE14" s="1353">
        <v>21249.444319999999</v>
      </c>
      <c r="DF14" s="1353">
        <v>16202.00727</v>
      </c>
      <c r="DG14" s="1353">
        <v>24961.94011</v>
      </c>
      <c r="DH14" s="1353">
        <v>19695.211600000002</v>
      </c>
      <c r="DI14" s="1353">
        <v>27461.068340000002</v>
      </c>
      <c r="DJ14" s="1353">
        <v>26126.704710000002</v>
      </c>
      <c r="DK14" s="1353">
        <v>31200.470829999998</v>
      </c>
      <c r="DL14" s="1353">
        <v>30626.640940000001</v>
      </c>
      <c r="DM14" s="1353">
        <v>34268.469669999999</v>
      </c>
      <c r="DN14" s="1353">
        <v>39980.085290000003</v>
      </c>
      <c r="DO14" s="1353">
        <v>38350.810109999999</v>
      </c>
      <c r="DP14" s="1353">
        <v>48737.170989999999</v>
      </c>
      <c r="DQ14" s="1353">
        <v>41498.283590000006</v>
      </c>
      <c r="DR14" s="1353">
        <v>55971.466970000001</v>
      </c>
      <c r="DS14" s="1353">
        <v>3076.01343</v>
      </c>
      <c r="DT14" s="1353">
        <v>3645.1512599999996</v>
      </c>
      <c r="DU14" s="1353">
        <v>7503.2756300000001</v>
      </c>
      <c r="DV14" s="1353">
        <v>7742.6604600000001</v>
      </c>
      <c r="DW14" s="1353">
        <v>10755.582</v>
      </c>
      <c r="DX14" s="1353">
        <v>9739.9566999999988</v>
      </c>
      <c r="DY14" s="1353">
        <v>15485.33705</v>
      </c>
      <c r="DZ14" s="1353">
        <v>13385.390730000001</v>
      </c>
      <c r="EA14" s="1353">
        <v>19644.580539999999</v>
      </c>
      <c r="EB14" s="1353">
        <v>16407.60457</v>
      </c>
      <c r="EC14" s="1353">
        <v>23707.896479999999</v>
      </c>
      <c r="ED14" s="1353">
        <v>19239.317890000002</v>
      </c>
      <c r="EE14" s="1353">
        <v>28303.706420000002</v>
      </c>
      <c r="EF14" s="1353">
        <v>21043.849109999999</v>
      </c>
      <c r="EG14" s="1353">
        <v>31272.29967</v>
      </c>
      <c r="EH14" s="1353">
        <v>21860.566899999998</v>
      </c>
      <c r="EI14" s="1353">
        <v>31824.98832</v>
      </c>
      <c r="EJ14" s="1353">
        <v>24560.621780000001</v>
      </c>
      <c r="EK14" s="1353">
        <v>34193.513299999999</v>
      </c>
      <c r="EL14" s="1353">
        <v>26420.765820000001</v>
      </c>
      <c r="EM14" s="1353">
        <v>39272.155650000001</v>
      </c>
      <c r="EN14" s="1353">
        <v>29666.31277</v>
      </c>
      <c r="EO14" s="1353">
        <v>44060.232259999997</v>
      </c>
      <c r="EP14" s="1353">
        <v>31556.99064</v>
      </c>
      <c r="EQ14" s="1353">
        <v>2699.07735</v>
      </c>
      <c r="ER14" s="1353">
        <v>515.35083999999995</v>
      </c>
      <c r="ES14" s="1363">
        <v>7464.2981799999998</v>
      </c>
      <c r="ET14" s="1354">
        <v>1015.52655</v>
      </c>
      <c r="EU14" s="1353">
        <v>12490.827730000001</v>
      </c>
      <c r="EV14" s="1353">
        <v>2835.3056499999998</v>
      </c>
      <c r="EW14" s="1363">
        <v>17845.246080000001</v>
      </c>
      <c r="EX14" s="1354">
        <v>6923.2946000000002</v>
      </c>
      <c r="EY14" s="1353">
        <v>21965.07201</v>
      </c>
      <c r="EZ14" s="1353">
        <v>9665.8793700000006</v>
      </c>
      <c r="FA14" s="1363">
        <v>25686.582350000001</v>
      </c>
      <c r="FB14" s="1354">
        <v>11681.964900000001</v>
      </c>
      <c r="FC14" s="1353">
        <v>29499.813699999999</v>
      </c>
      <c r="FD14" s="1353">
        <v>13344.093709999999</v>
      </c>
      <c r="FE14" s="1363">
        <v>36557.82619</v>
      </c>
      <c r="FF14" s="1354">
        <v>17114.475549999999</v>
      </c>
      <c r="FG14" s="1363">
        <v>40381.786639999998</v>
      </c>
      <c r="FH14" s="1354">
        <v>18897.70696</v>
      </c>
      <c r="FI14" s="1363">
        <v>45979.875840000001</v>
      </c>
      <c r="FJ14" s="1354">
        <v>27729.3796</v>
      </c>
      <c r="FK14" s="1363">
        <v>53465.867760000001</v>
      </c>
      <c r="FL14" s="1354">
        <v>29992.76757</v>
      </c>
      <c r="FM14" s="1354">
        <v>3416.2914500000002</v>
      </c>
      <c r="FN14" s="1354">
        <v>3036.0753</v>
      </c>
      <c r="FO14" s="1354">
        <v>8222.6132799999996</v>
      </c>
      <c r="FP14" s="1354">
        <v>3754.5316899999998</v>
      </c>
      <c r="FQ14" s="1354">
        <v>15932.76801</v>
      </c>
      <c r="FR14" s="1354">
        <v>5715.3961099999997</v>
      </c>
      <c r="FS14" s="1354">
        <v>22241.849699999999</v>
      </c>
      <c r="FT14" s="1354">
        <v>7651.0874000000003</v>
      </c>
      <c r="FU14" s="1354">
        <v>27497.992129999999</v>
      </c>
      <c r="FV14" s="1354">
        <v>10233.276109999999</v>
      </c>
      <c r="FW14" s="1354">
        <v>32956.883629999997</v>
      </c>
      <c r="FX14" s="1354">
        <v>12809.52944</v>
      </c>
      <c r="FY14" s="1354">
        <v>38365.598490000004</v>
      </c>
      <c r="FZ14" s="1354">
        <v>14152.44173</v>
      </c>
      <c r="GA14" s="1354">
        <v>43594.933109999998</v>
      </c>
      <c r="GB14" s="1354">
        <v>16036.154039999999</v>
      </c>
      <c r="GC14" s="1354">
        <v>48934.154190000001</v>
      </c>
      <c r="GD14" s="1354">
        <v>19086.256969999999</v>
      </c>
      <c r="GE14" s="1354">
        <v>54583.295140000002</v>
      </c>
      <c r="GF14" s="1354">
        <v>21926.064559999999</v>
      </c>
      <c r="GG14" s="1354">
        <v>62409.789669999998</v>
      </c>
      <c r="GH14" s="1354">
        <v>23469.670859999998</v>
      </c>
      <c r="GI14" s="1354">
        <v>71584.057290000012</v>
      </c>
      <c r="GJ14" s="1354">
        <v>25683.30313</v>
      </c>
      <c r="GK14" s="1354">
        <v>5004.0001400000001</v>
      </c>
      <c r="GL14" s="1354">
        <v>3477.3970600000002</v>
      </c>
      <c r="GM14" s="1354">
        <v>12471.00274</v>
      </c>
      <c r="GN14" s="1354">
        <v>6512.9962599999999</v>
      </c>
      <c r="GO14" s="2076" t="s">
        <v>3240</v>
      </c>
    </row>
    <row r="15" spans="1:293" ht="36" customHeight="1">
      <c r="A15" s="2074">
        <v>4</v>
      </c>
      <c r="B15" s="2075" t="s">
        <v>2381</v>
      </c>
      <c r="C15" s="1353">
        <v>4916.9664699999994</v>
      </c>
      <c r="D15" s="1353">
        <v>993.58335</v>
      </c>
      <c r="E15" s="1353">
        <v>7412.0005799999999</v>
      </c>
      <c r="F15" s="1353">
        <v>2268.4632299999998</v>
      </c>
      <c r="G15" s="1353">
        <v>10238.31943</v>
      </c>
      <c r="H15" s="1353">
        <v>3239.9785400000001</v>
      </c>
      <c r="I15" s="1353">
        <v>13009.020279999999</v>
      </c>
      <c r="J15" s="1353">
        <v>4687.5756100000008</v>
      </c>
      <c r="K15" s="1353">
        <v>15370.130349999999</v>
      </c>
      <c r="L15" s="1353">
        <v>5926.3923199999999</v>
      </c>
      <c r="M15" s="1353">
        <v>21328.04232</v>
      </c>
      <c r="N15" s="1353">
        <v>7319.6509599999999</v>
      </c>
      <c r="O15" s="1353">
        <v>24233.06781</v>
      </c>
      <c r="P15" s="1353">
        <v>8681.9582100000007</v>
      </c>
      <c r="Q15" s="1353">
        <v>27464.330979999999</v>
      </c>
      <c r="R15" s="1353">
        <v>10083.454460000001</v>
      </c>
      <c r="S15" s="1353">
        <v>30246.36894</v>
      </c>
      <c r="T15" s="1353">
        <v>11420.43346</v>
      </c>
      <c r="U15" s="1353">
        <v>32140.221000000001</v>
      </c>
      <c r="V15" s="1353">
        <v>12951.161340000001</v>
      </c>
      <c r="W15" s="1353">
        <v>37215.464169999999</v>
      </c>
      <c r="X15" s="1353">
        <v>14266.216779999999</v>
      </c>
      <c r="Y15" s="1353">
        <v>39814.927049999998</v>
      </c>
      <c r="Z15" s="1353">
        <v>15733.20147</v>
      </c>
      <c r="AA15" s="1353">
        <v>2596.3109900000004</v>
      </c>
      <c r="AB15" s="1353">
        <v>1056.8932</v>
      </c>
      <c r="AC15" s="1353">
        <v>5083.2083899999998</v>
      </c>
      <c r="AD15" s="1353">
        <v>2319.54412</v>
      </c>
      <c r="AE15" s="1353">
        <v>7370.5330599999998</v>
      </c>
      <c r="AF15" s="1353">
        <v>3666.0715699999996</v>
      </c>
      <c r="AG15" s="1353">
        <v>10853.474249999999</v>
      </c>
      <c r="AH15" s="1353">
        <v>4935.7428899999995</v>
      </c>
      <c r="AI15" s="1353">
        <v>13207.940399999999</v>
      </c>
      <c r="AJ15" s="1353">
        <v>6347.7152900000001</v>
      </c>
      <c r="AK15" s="1353">
        <v>16648.248599999999</v>
      </c>
      <c r="AL15" s="1353">
        <v>7528.1852399999998</v>
      </c>
      <c r="AM15" s="1353">
        <v>22738.63507</v>
      </c>
      <c r="AN15" s="1353">
        <v>8817.9328000000005</v>
      </c>
      <c r="AO15" s="1353">
        <v>25419.705149999998</v>
      </c>
      <c r="AP15" s="1353">
        <v>10287.75491</v>
      </c>
      <c r="AQ15" s="1353">
        <v>27857.207480000001</v>
      </c>
      <c r="AR15" s="1353">
        <v>11662.064710000001</v>
      </c>
      <c r="AS15" s="1353">
        <v>30549.65683</v>
      </c>
      <c r="AT15" s="1353">
        <v>13004.20823</v>
      </c>
      <c r="AU15" s="1353">
        <v>35453.201479999996</v>
      </c>
      <c r="AV15" s="1353">
        <v>14399.500529999999</v>
      </c>
      <c r="AW15" s="1353">
        <v>39125.941469999998</v>
      </c>
      <c r="AX15" s="1353">
        <v>15794.315909999999</v>
      </c>
      <c r="AY15" s="1353">
        <v>2911.9238700000001</v>
      </c>
      <c r="AZ15" s="1353">
        <v>1677.6398100000001</v>
      </c>
      <c r="BA15" s="1353">
        <v>5346.6092600000002</v>
      </c>
      <c r="BB15" s="1353">
        <v>3358.1210099999998</v>
      </c>
      <c r="BC15" s="1353">
        <v>8425.1299999999992</v>
      </c>
      <c r="BD15" s="1353">
        <v>4554.9799999999996</v>
      </c>
      <c r="BE15" s="1353">
        <v>10906.670689999999</v>
      </c>
      <c r="BF15" s="1353">
        <v>6357.1668399999999</v>
      </c>
      <c r="BG15" s="1353">
        <v>13099.84628</v>
      </c>
      <c r="BH15" s="1353">
        <v>7872.0824000000002</v>
      </c>
      <c r="BI15" s="1353">
        <v>19698.589319999999</v>
      </c>
      <c r="BJ15" s="1353">
        <v>9758.7171799999996</v>
      </c>
      <c r="BK15" s="1353">
        <v>23073.08181</v>
      </c>
      <c r="BL15" s="1353">
        <v>11634.994210000001</v>
      </c>
      <c r="BM15" s="1353">
        <v>26477.661749999999</v>
      </c>
      <c r="BN15" s="1353">
        <v>13159.441419999999</v>
      </c>
      <c r="BO15" s="1353">
        <v>28576.956570000002</v>
      </c>
      <c r="BP15" s="1353">
        <v>14723.995419999999</v>
      </c>
      <c r="BQ15" s="1353">
        <v>31198.52895</v>
      </c>
      <c r="BR15" s="1353">
        <v>16837.080440000002</v>
      </c>
      <c r="BS15" s="1353">
        <v>33725.66491</v>
      </c>
      <c r="BT15" s="1353">
        <v>18482.042249999999</v>
      </c>
      <c r="BU15" s="1353">
        <v>36805.802109999997</v>
      </c>
      <c r="BV15" s="1353">
        <v>20021.92727</v>
      </c>
      <c r="BW15" s="1353">
        <v>6031.8518199999999</v>
      </c>
      <c r="BX15" s="1353">
        <v>1801.1281299999998</v>
      </c>
      <c r="BY15" s="1353">
        <v>8328.2159900000006</v>
      </c>
      <c r="BZ15" s="1353">
        <v>3370.9102699999999</v>
      </c>
      <c r="CA15" s="1353">
        <v>10528.69153</v>
      </c>
      <c r="CB15" s="1353">
        <v>4546.0320700000002</v>
      </c>
      <c r="CC15" s="1353">
        <v>11963.663369999998</v>
      </c>
      <c r="CD15" s="1353">
        <v>6426.6786700000002</v>
      </c>
      <c r="CE15" s="1353">
        <v>14272.991779999998</v>
      </c>
      <c r="CF15" s="1353">
        <v>7739.0788400000001</v>
      </c>
      <c r="CG15" s="1353">
        <v>17633.040069999999</v>
      </c>
      <c r="CH15" s="1353">
        <v>10018.446039999999</v>
      </c>
      <c r="CI15" s="1353">
        <v>23029.390170000002</v>
      </c>
      <c r="CJ15" s="1353">
        <v>11904.59964</v>
      </c>
      <c r="CK15" s="1353">
        <v>25681.91203</v>
      </c>
      <c r="CL15" s="1353">
        <v>13276.478859999999</v>
      </c>
      <c r="CM15" s="1353">
        <v>27876.95666</v>
      </c>
      <c r="CN15" s="1353">
        <v>14701.41749</v>
      </c>
      <c r="CO15" s="1353">
        <v>30458.363590000001</v>
      </c>
      <c r="CP15" s="1353">
        <v>16383.259689999999</v>
      </c>
      <c r="CQ15" s="1353">
        <v>32762.648949999999</v>
      </c>
      <c r="CR15" s="1353">
        <v>17601.312329999997</v>
      </c>
      <c r="CS15" s="1353">
        <v>36883.800560000003</v>
      </c>
      <c r="CT15" s="1353">
        <v>18985.948210000002</v>
      </c>
      <c r="CU15" s="1353">
        <v>3638.1120000000001</v>
      </c>
      <c r="CV15" s="1353">
        <v>1488.05197</v>
      </c>
      <c r="CW15" s="1353">
        <v>6427.4528</v>
      </c>
      <c r="CX15" s="1353">
        <v>3021.1530699999998</v>
      </c>
      <c r="CY15" s="1353">
        <v>7803.7245499999999</v>
      </c>
      <c r="CZ15" s="1353">
        <v>4174.4112599999999</v>
      </c>
      <c r="DA15" s="1353">
        <v>9048.4640299999992</v>
      </c>
      <c r="DB15" s="1353">
        <v>5352.6082999999999</v>
      </c>
      <c r="DC15" s="1353">
        <v>10475.44692</v>
      </c>
      <c r="DD15" s="1353">
        <v>6603.6342300000006</v>
      </c>
      <c r="DE15" s="1353">
        <v>12318.559009999999</v>
      </c>
      <c r="DF15" s="1353">
        <v>7952.0704999999998</v>
      </c>
      <c r="DG15" s="1353">
        <v>13820.86515</v>
      </c>
      <c r="DH15" s="1353">
        <v>9129.4289200000003</v>
      </c>
      <c r="DI15" s="1353">
        <v>16877.213670000001</v>
      </c>
      <c r="DJ15" s="1353">
        <v>10294.209269999999</v>
      </c>
      <c r="DK15" s="1353">
        <v>18720.076010000001</v>
      </c>
      <c r="DL15" s="1353">
        <v>11353.811710000002</v>
      </c>
      <c r="DM15" s="1353">
        <v>20878.212879999999</v>
      </c>
      <c r="DN15" s="1353">
        <v>12309.62074</v>
      </c>
      <c r="DO15" s="1353">
        <v>22612.667010000001</v>
      </c>
      <c r="DP15" s="1353">
        <v>13309.097039999999</v>
      </c>
      <c r="DQ15" s="1353">
        <v>25357.862059999999</v>
      </c>
      <c r="DR15" s="1353">
        <v>14305.60672</v>
      </c>
      <c r="DS15" s="1353">
        <v>3235.6236400000003</v>
      </c>
      <c r="DT15" s="1353">
        <v>862.38689999999997</v>
      </c>
      <c r="DU15" s="1353">
        <v>5068.1894199999997</v>
      </c>
      <c r="DV15" s="1353">
        <v>1677.3193899999999</v>
      </c>
      <c r="DW15" s="1353">
        <v>6488.0418899999995</v>
      </c>
      <c r="DX15" s="1353">
        <v>2638.1171199999999</v>
      </c>
      <c r="DY15" s="1353">
        <v>7908.1280099999994</v>
      </c>
      <c r="DZ15" s="1353">
        <v>3573.9974099999999</v>
      </c>
      <c r="EA15" s="1353">
        <v>9707.7479600000006</v>
      </c>
      <c r="EB15" s="1353">
        <v>4343.4766100000006</v>
      </c>
      <c r="EC15" s="1353">
        <v>11355.282529999999</v>
      </c>
      <c r="ED15" s="1353">
        <v>5335.3253500000001</v>
      </c>
      <c r="EE15" s="1353">
        <v>13516.450490000001</v>
      </c>
      <c r="EF15" s="1353">
        <v>6124.3449800000008</v>
      </c>
      <c r="EG15" s="1353">
        <v>15247.229029999999</v>
      </c>
      <c r="EH15" s="1353">
        <v>6933.2663300000004</v>
      </c>
      <c r="EI15" s="1353">
        <v>17236.853870000003</v>
      </c>
      <c r="EJ15" s="1353">
        <v>7792.6211299999995</v>
      </c>
      <c r="EK15" s="1353">
        <v>19396.95666</v>
      </c>
      <c r="EL15" s="1353">
        <v>8837.0401500000007</v>
      </c>
      <c r="EM15" s="1353">
        <v>22212.963759999999</v>
      </c>
      <c r="EN15" s="1353">
        <v>9581.8424599999998</v>
      </c>
      <c r="EO15" s="1353">
        <v>25113.320390000001</v>
      </c>
      <c r="EP15" s="1353">
        <v>10624.75546</v>
      </c>
      <c r="EQ15" s="1353">
        <v>2630.4606699999999</v>
      </c>
      <c r="ER15" s="1353">
        <v>881.78324999999995</v>
      </c>
      <c r="ES15" s="1363">
        <v>4792.1309199999996</v>
      </c>
      <c r="ET15" s="1354">
        <v>1792.0171499999999</v>
      </c>
      <c r="EU15" s="1353">
        <v>6820.5385500000002</v>
      </c>
      <c r="EV15" s="1353">
        <v>2759.8321700000001</v>
      </c>
      <c r="EW15" s="1363">
        <v>9456.35455</v>
      </c>
      <c r="EX15" s="1354">
        <v>3897.1519499999999</v>
      </c>
      <c r="EY15" s="1353">
        <v>11817.41784</v>
      </c>
      <c r="EZ15" s="1353">
        <v>5431.19056</v>
      </c>
      <c r="FA15" s="1363">
        <v>13316.489519999999</v>
      </c>
      <c r="FB15" s="1354">
        <v>6688.1452300000001</v>
      </c>
      <c r="FC15" s="1353">
        <v>16114.342329999999</v>
      </c>
      <c r="FD15" s="1353">
        <v>7543.9842600000002</v>
      </c>
      <c r="FE15" s="1363">
        <v>22185.69138</v>
      </c>
      <c r="FF15" s="1354">
        <v>10530.16639</v>
      </c>
      <c r="FG15" s="1363">
        <v>24497.585179999998</v>
      </c>
      <c r="FH15" s="1354">
        <v>12593.067069999999</v>
      </c>
      <c r="FI15" s="1363">
        <v>26964.33971</v>
      </c>
      <c r="FJ15" s="1354">
        <v>13970.389300000001</v>
      </c>
      <c r="FK15" s="1363">
        <v>29760.949639999999</v>
      </c>
      <c r="FL15" s="1354">
        <v>15808.13495</v>
      </c>
      <c r="FM15" s="1354">
        <v>2929.10257</v>
      </c>
      <c r="FN15" s="1354">
        <v>1175.5429299999998</v>
      </c>
      <c r="FO15" s="1354">
        <v>5153.46587</v>
      </c>
      <c r="FP15" s="1354">
        <v>2845.30465</v>
      </c>
      <c r="FQ15" s="1354">
        <v>7565.3878299999997</v>
      </c>
      <c r="FR15" s="1354">
        <v>4250.2650999999996</v>
      </c>
      <c r="FS15" s="1354">
        <v>9721.5837699999993</v>
      </c>
      <c r="FT15" s="1354">
        <v>5772.9627300000002</v>
      </c>
      <c r="FU15" s="1354">
        <v>13876.952080000001</v>
      </c>
      <c r="FV15" s="1354">
        <v>7292.1524600000002</v>
      </c>
      <c r="FW15" s="1354">
        <v>16956.192340000001</v>
      </c>
      <c r="FX15" s="1354">
        <v>8457.14</v>
      </c>
      <c r="FY15" s="1354">
        <v>21200.433410000001</v>
      </c>
      <c r="FZ15" s="1354">
        <v>9591.6176999999989</v>
      </c>
      <c r="GA15" s="1354">
        <v>26660.719400000002</v>
      </c>
      <c r="GB15" s="1354">
        <v>11311.832850000001</v>
      </c>
      <c r="GC15" s="1354">
        <v>30886.376399999997</v>
      </c>
      <c r="GD15" s="1354">
        <v>12515.499400000001</v>
      </c>
      <c r="GE15" s="1354">
        <v>34051.29984</v>
      </c>
      <c r="GF15" s="1354">
        <v>14017.54711</v>
      </c>
      <c r="GG15" s="1354">
        <v>39116.781179999998</v>
      </c>
      <c r="GH15" s="1354">
        <v>15314.625190000001</v>
      </c>
      <c r="GI15" s="1354">
        <v>44865.766369999998</v>
      </c>
      <c r="GJ15" s="1354">
        <v>16627.208210000001</v>
      </c>
      <c r="GK15" s="1354">
        <v>4186.6699100000005</v>
      </c>
      <c r="GL15" s="1354">
        <v>1343.3404499999999</v>
      </c>
      <c r="GM15" s="1354">
        <v>8186.3302000000003</v>
      </c>
      <c r="GN15" s="1354">
        <v>3007.96684</v>
      </c>
      <c r="GO15" s="2076" t="s">
        <v>3241</v>
      </c>
    </row>
    <row r="16" spans="1:293" ht="36" customHeight="1">
      <c r="A16" s="2074">
        <v>5</v>
      </c>
      <c r="B16" s="2075" t="s">
        <v>2379</v>
      </c>
      <c r="C16" s="1353">
        <v>253.33629999999999</v>
      </c>
      <c r="D16" s="1353">
        <v>259.89022</v>
      </c>
      <c r="E16" s="1353">
        <v>547.9239399999999</v>
      </c>
      <c r="F16" s="1353">
        <v>504.71914000000004</v>
      </c>
      <c r="G16" s="1353">
        <v>1369.14492</v>
      </c>
      <c r="H16" s="1353">
        <v>774.48761000000002</v>
      </c>
      <c r="I16" s="1353">
        <v>2034.25821</v>
      </c>
      <c r="J16" s="1353">
        <v>815.42926</v>
      </c>
      <c r="K16" s="1353">
        <v>2292.3925899999999</v>
      </c>
      <c r="L16" s="1353">
        <v>1398.39842</v>
      </c>
      <c r="M16" s="1353">
        <v>2702.3072400000001</v>
      </c>
      <c r="N16" s="1353">
        <v>1587.4230500000001</v>
      </c>
      <c r="O16" s="1353">
        <v>3085.5450799999999</v>
      </c>
      <c r="P16" s="1353">
        <v>1902.0135500000001</v>
      </c>
      <c r="Q16" s="1353">
        <v>3483.50342</v>
      </c>
      <c r="R16" s="1353">
        <v>2221.1866600000003</v>
      </c>
      <c r="S16" s="1353">
        <v>5175.8194400000002</v>
      </c>
      <c r="T16" s="1353">
        <v>2352.4549300000003</v>
      </c>
      <c r="U16" s="1353">
        <v>5443.8615199999995</v>
      </c>
      <c r="V16" s="1353">
        <v>2557.1864399999999</v>
      </c>
      <c r="W16" s="1353">
        <v>5832.1152899999997</v>
      </c>
      <c r="X16" s="1353">
        <v>2891.5966800000001</v>
      </c>
      <c r="Y16" s="1353">
        <v>6414.5510899999999</v>
      </c>
      <c r="Z16" s="1353">
        <v>3254.0662400000001</v>
      </c>
      <c r="AA16" s="1353">
        <v>153.45392000000001</v>
      </c>
      <c r="AB16" s="1353">
        <v>62.651660000000007</v>
      </c>
      <c r="AC16" s="1353">
        <v>379.46803999999997</v>
      </c>
      <c r="AD16" s="1353">
        <v>464.06728999999996</v>
      </c>
      <c r="AE16" s="1353">
        <v>1161.3367800000001</v>
      </c>
      <c r="AF16" s="1353">
        <v>1224.04204</v>
      </c>
      <c r="AG16" s="1353">
        <v>1394.5222699999999</v>
      </c>
      <c r="AH16" s="1353">
        <v>1425.8763000000001</v>
      </c>
      <c r="AI16" s="1353">
        <v>2734.2945800000002</v>
      </c>
      <c r="AJ16" s="1353">
        <v>1620.44094</v>
      </c>
      <c r="AK16" s="1353">
        <v>3236.64633</v>
      </c>
      <c r="AL16" s="1353">
        <v>2214.4834599999999</v>
      </c>
      <c r="AM16" s="1353">
        <v>3791.4593500000001</v>
      </c>
      <c r="AN16" s="1353">
        <v>2466.5057599999996</v>
      </c>
      <c r="AO16" s="1353">
        <v>5635.1958600000007</v>
      </c>
      <c r="AP16" s="1353">
        <v>2645.0745400000001</v>
      </c>
      <c r="AQ16" s="1353">
        <v>6267.2968499999997</v>
      </c>
      <c r="AR16" s="1353">
        <v>2726.3208399999999</v>
      </c>
      <c r="AS16" s="1353">
        <v>6466.0264999999999</v>
      </c>
      <c r="AT16" s="1353">
        <v>2973.5614700000001</v>
      </c>
      <c r="AU16" s="1353">
        <v>6608.7642000000005</v>
      </c>
      <c r="AV16" s="1353">
        <v>3126.9236599999999</v>
      </c>
      <c r="AW16" s="1353">
        <v>7227.6710400000002</v>
      </c>
      <c r="AX16" s="1353">
        <v>3360.6122400000004</v>
      </c>
      <c r="AY16" s="1353">
        <v>181.97653</v>
      </c>
      <c r="AZ16" s="1353">
        <v>237.08617000000001</v>
      </c>
      <c r="BA16" s="1353">
        <v>1484.1703200000002</v>
      </c>
      <c r="BB16" s="1353">
        <v>556.46271999999999</v>
      </c>
      <c r="BC16" s="1353">
        <v>2163.67</v>
      </c>
      <c r="BD16" s="1353">
        <v>410.31</v>
      </c>
      <c r="BE16" s="1353">
        <v>2777.2056000000002</v>
      </c>
      <c r="BF16" s="1353">
        <v>645.03587000000005</v>
      </c>
      <c r="BG16" s="1353">
        <v>3695.1037200000001</v>
      </c>
      <c r="BH16" s="1353">
        <v>864.92100000000005</v>
      </c>
      <c r="BI16" s="1353">
        <v>3998.18136</v>
      </c>
      <c r="BJ16" s="1353">
        <v>992.21291000000008</v>
      </c>
      <c r="BK16" s="1353">
        <v>5007.1372199999996</v>
      </c>
      <c r="BL16" s="1353">
        <v>1281.5297</v>
      </c>
      <c r="BM16" s="1353">
        <v>6762.5851199999997</v>
      </c>
      <c r="BN16" s="1353">
        <v>1465.6601699999999</v>
      </c>
      <c r="BO16" s="1353">
        <v>7219.0470800000003</v>
      </c>
      <c r="BP16" s="1353">
        <v>1785.48622</v>
      </c>
      <c r="BQ16" s="1353">
        <v>7444.5776900000001</v>
      </c>
      <c r="BR16" s="1353">
        <v>1928.7400500000001</v>
      </c>
      <c r="BS16" s="1353">
        <v>7656.2552300000007</v>
      </c>
      <c r="BT16" s="1353">
        <v>2106.69931</v>
      </c>
      <c r="BU16" s="1353">
        <v>8138.6656299999995</v>
      </c>
      <c r="BV16" s="1353">
        <v>2862.5341200000003</v>
      </c>
      <c r="BW16" s="1353">
        <v>419.77965</v>
      </c>
      <c r="BX16" s="1353">
        <v>52.786699999999996</v>
      </c>
      <c r="BY16" s="1353">
        <v>650.03084999999999</v>
      </c>
      <c r="BZ16" s="1353">
        <v>166.90676000000002</v>
      </c>
      <c r="CA16" s="1353">
        <v>1464.4006200000001</v>
      </c>
      <c r="CB16" s="1353">
        <v>306.77424999999999</v>
      </c>
      <c r="CC16" s="1353">
        <v>2245.8063199999997</v>
      </c>
      <c r="CD16" s="1353">
        <v>563.60536999999999</v>
      </c>
      <c r="CE16" s="1353">
        <v>2306.5902599999999</v>
      </c>
      <c r="CF16" s="1353">
        <v>781.66082999999992</v>
      </c>
      <c r="CG16" s="1353">
        <v>2663.3373199999996</v>
      </c>
      <c r="CH16" s="1353">
        <v>1007.67134</v>
      </c>
      <c r="CI16" s="1353">
        <v>3029.3253100000002</v>
      </c>
      <c r="CJ16" s="1353">
        <v>1185.8696299999999</v>
      </c>
      <c r="CK16" s="1353">
        <v>4176.7994200000003</v>
      </c>
      <c r="CL16" s="1353">
        <v>1362.2451899999999</v>
      </c>
      <c r="CM16" s="1353">
        <v>4583.6687999999995</v>
      </c>
      <c r="CN16" s="1353">
        <v>1464.6500900000001</v>
      </c>
      <c r="CO16" s="1353">
        <v>4916.8347100000001</v>
      </c>
      <c r="CP16" s="1353">
        <v>1713.4804199999999</v>
      </c>
      <c r="CQ16" s="1353">
        <v>5111.07251</v>
      </c>
      <c r="CR16" s="1353">
        <v>1859.3883999999998</v>
      </c>
      <c r="CS16" s="1353">
        <v>5631.5512099999996</v>
      </c>
      <c r="CT16" s="1353">
        <v>2019.1693300000002</v>
      </c>
      <c r="CU16" s="1353">
        <v>1697.9931100000001</v>
      </c>
      <c r="CV16" s="1353">
        <v>125.39542</v>
      </c>
      <c r="CW16" s="1353">
        <v>2134.6035699999998</v>
      </c>
      <c r="CX16" s="1353">
        <v>569.44644999999991</v>
      </c>
      <c r="CY16" s="1353">
        <v>3101.1550000000002</v>
      </c>
      <c r="CZ16" s="1353">
        <v>486.36786999999998</v>
      </c>
      <c r="DA16" s="1353">
        <v>3879.1493399999999</v>
      </c>
      <c r="DB16" s="1353">
        <v>549.63684999999998</v>
      </c>
      <c r="DC16" s="1353">
        <v>4400.5550899999998</v>
      </c>
      <c r="DD16" s="1353">
        <v>733.87682999999993</v>
      </c>
      <c r="DE16" s="1353">
        <v>5159.9410199999993</v>
      </c>
      <c r="DF16" s="1353">
        <v>938.79058999999995</v>
      </c>
      <c r="DG16" s="1353">
        <v>5977.5870700000005</v>
      </c>
      <c r="DH16" s="1353">
        <v>1084.6992399999999</v>
      </c>
      <c r="DI16" s="1353">
        <v>6676.5986800000001</v>
      </c>
      <c r="DJ16" s="1353">
        <v>1256.9549</v>
      </c>
      <c r="DK16" s="1353">
        <v>7356.75918</v>
      </c>
      <c r="DL16" s="1353">
        <v>1392.38175</v>
      </c>
      <c r="DM16" s="1353">
        <v>7926.6907000000001</v>
      </c>
      <c r="DN16" s="1353">
        <v>1609.0673999999999</v>
      </c>
      <c r="DO16" s="1353">
        <v>8359.9982600000003</v>
      </c>
      <c r="DP16" s="1353">
        <v>1833.8076599999999</v>
      </c>
      <c r="DQ16" s="1353">
        <v>9042.2850699999999</v>
      </c>
      <c r="DR16" s="1353">
        <v>2136.0991300000001</v>
      </c>
      <c r="DS16" s="1353">
        <v>1969.77567</v>
      </c>
      <c r="DT16" s="1353">
        <v>213.60101999999998</v>
      </c>
      <c r="DU16" s="1353">
        <v>3003.2240999999999</v>
      </c>
      <c r="DV16" s="1353">
        <v>470.56248999999997</v>
      </c>
      <c r="DW16" s="1353">
        <v>4893.2646500000001</v>
      </c>
      <c r="DX16" s="1353">
        <v>711.19280000000003</v>
      </c>
      <c r="DY16" s="1353">
        <v>6001.6634800000002</v>
      </c>
      <c r="DZ16" s="1353">
        <v>1155.7838400000001</v>
      </c>
      <c r="EA16" s="1353">
        <v>6518.2347599999994</v>
      </c>
      <c r="EB16" s="1353">
        <v>1485.7564</v>
      </c>
      <c r="EC16" s="1353">
        <v>7335.1494199999997</v>
      </c>
      <c r="ED16" s="1353">
        <v>1884.00143</v>
      </c>
      <c r="EE16" s="1353">
        <v>8179.8884100000005</v>
      </c>
      <c r="EF16" s="1353">
        <v>2383.6547300000002</v>
      </c>
      <c r="EG16" s="1353">
        <v>9062.2503800000013</v>
      </c>
      <c r="EH16" s="1353">
        <v>2708.3744300000003</v>
      </c>
      <c r="EI16" s="1353">
        <v>9926.031140000001</v>
      </c>
      <c r="EJ16" s="1353">
        <v>3144.26809</v>
      </c>
      <c r="EK16" s="1353">
        <v>10558.029930000001</v>
      </c>
      <c r="EL16" s="1353">
        <v>3590.2330999999999</v>
      </c>
      <c r="EM16" s="1353">
        <v>11147.2127</v>
      </c>
      <c r="EN16" s="1353">
        <v>3875.5511200000001</v>
      </c>
      <c r="EO16" s="1353">
        <v>12023.742109999999</v>
      </c>
      <c r="EP16" s="1353">
        <v>4274.64887</v>
      </c>
      <c r="EQ16" s="1353">
        <v>2570.9342799999999</v>
      </c>
      <c r="ER16" s="1353">
        <v>313.91532999999998</v>
      </c>
      <c r="ES16" s="1363">
        <v>3265.6899899999999</v>
      </c>
      <c r="ET16" s="1354">
        <v>631.32500000000005</v>
      </c>
      <c r="EU16" s="1353">
        <v>4657.3422600000004</v>
      </c>
      <c r="EV16" s="1353">
        <v>970.83370000000002</v>
      </c>
      <c r="EW16" s="1363">
        <v>6163.0390699999998</v>
      </c>
      <c r="EX16" s="1354">
        <v>1434.16021</v>
      </c>
      <c r="EY16" s="1353">
        <v>6976.2106599999997</v>
      </c>
      <c r="EZ16" s="1353">
        <v>1813.53584</v>
      </c>
      <c r="FA16" s="1363">
        <v>8155.9021700000003</v>
      </c>
      <c r="FB16" s="1354">
        <v>2152.9256500000001</v>
      </c>
      <c r="FC16" s="1353">
        <v>9035.3003100000005</v>
      </c>
      <c r="FD16" s="1353">
        <v>2541.3399199999999</v>
      </c>
      <c r="FE16" s="1363">
        <v>11448.320110000001</v>
      </c>
      <c r="FF16" s="1354">
        <v>3536.17263</v>
      </c>
      <c r="FG16" s="1363">
        <v>12325.86839</v>
      </c>
      <c r="FH16" s="1354">
        <v>4113.9287100000001</v>
      </c>
      <c r="FI16" s="1363">
        <v>13415.57316</v>
      </c>
      <c r="FJ16" s="1354">
        <v>4481.8337899999997</v>
      </c>
      <c r="FK16" s="1363">
        <v>14464.40454</v>
      </c>
      <c r="FL16" s="1354">
        <v>4892.7441600000002</v>
      </c>
      <c r="FM16" s="1354">
        <v>2676.5643700000001</v>
      </c>
      <c r="FN16" s="1354">
        <v>455.68511000000001</v>
      </c>
      <c r="FO16" s="1354">
        <v>4147.3698100000001</v>
      </c>
      <c r="FP16" s="1354">
        <v>1054.7651000000001</v>
      </c>
      <c r="FQ16" s="1354">
        <v>5207.6311900000001</v>
      </c>
      <c r="FR16" s="1354">
        <v>1498.5840599999999</v>
      </c>
      <c r="FS16" s="1354">
        <v>5983.1708799999997</v>
      </c>
      <c r="FT16" s="1354">
        <v>2101.8270000000002</v>
      </c>
      <c r="FU16" s="1354">
        <v>7989.55573</v>
      </c>
      <c r="FV16" s="1354">
        <v>2858.4999500000004</v>
      </c>
      <c r="FW16" s="1354">
        <v>9352.8002100000012</v>
      </c>
      <c r="FX16" s="1354">
        <v>3341.3641899999998</v>
      </c>
      <c r="FY16" s="1354">
        <v>10778.639710000001</v>
      </c>
      <c r="FZ16" s="1354">
        <v>5004.2890700000007</v>
      </c>
      <c r="GA16" s="1354">
        <v>12512.90141</v>
      </c>
      <c r="GB16" s="1354">
        <v>21492.01514</v>
      </c>
      <c r="GC16" s="1354">
        <v>14529.038689999999</v>
      </c>
      <c r="GD16" s="1354">
        <v>27458.29711</v>
      </c>
      <c r="GE16" s="1354">
        <v>16197.824119999999</v>
      </c>
      <c r="GF16" s="1354">
        <v>30638.965919999999</v>
      </c>
      <c r="GG16" s="1354">
        <v>18329.547419999999</v>
      </c>
      <c r="GH16" s="1354">
        <v>31514.663430000001</v>
      </c>
      <c r="GI16" s="1354">
        <v>19927.92727</v>
      </c>
      <c r="GJ16" s="1354">
        <v>32275.11795</v>
      </c>
      <c r="GK16" s="1354">
        <v>3481.4876800000002</v>
      </c>
      <c r="GL16" s="1354">
        <v>404.13853</v>
      </c>
      <c r="GM16" s="1354">
        <v>5086.8395</v>
      </c>
      <c r="GN16" s="1354">
        <v>1280.96207</v>
      </c>
      <c r="GO16" s="2076" t="s">
        <v>3242</v>
      </c>
    </row>
    <row r="17" spans="1:197" ht="36" customHeight="1">
      <c r="A17" s="2074">
        <v>6</v>
      </c>
      <c r="B17" s="2075" t="s">
        <v>3148</v>
      </c>
      <c r="C17" s="1353">
        <v>1159.9825700000001</v>
      </c>
      <c r="D17" s="1353">
        <v>562.65356000000008</v>
      </c>
      <c r="E17" s="1353">
        <v>2792.7365600000003</v>
      </c>
      <c r="F17" s="1353">
        <v>1093.8690800000002</v>
      </c>
      <c r="G17" s="1353">
        <v>5119.5651500000004</v>
      </c>
      <c r="H17" s="1353">
        <v>1730.6905900000002</v>
      </c>
      <c r="I17" s="1353">
        <v>7100.6533899999995</v>
      </c>
      <c r="J17" s="1353">
        <v>2350.5508599999998</v>
      </c>
      <c r="K17" s="1353">
        <v>9110.3430800000006</v>
      </c>
      <c r="L17" s="1353">
        <v>2830.6105699999998</v>
      </c>
      <c r="M17" s="1353">
        <v>10591.063259999999</v>
      </c>
      <c r="N17" s="1353">
        <v>3358.8099099999999</v>
      </c>
      <c r="O17" s="1353">
        <v>12637.541150000001</v>
      </c>
      <c r="P17" s="1353">
        <v>3991.5741000000003</v>
      </c>
      <c r="Q17" s="1353">
        <v>14665.597250000001</v>
      </c>
      <c r="R17" s="1353">
        <v>4939.1215999999995</v>
      </c>
      <c r="S17" s="1353">
        <v>16280.44399</v>
      </c>
      <c r="T17" s="1353">
        <v>5741.7251299999998</v>
      </c>
      <c r="U17" s="1353">
        <v>19277.735850000001</v>
      </c>
      <c r="V17" s="1353">
        <v>6427.7234400000007</v>
      </c>
      <c r="W17" s="1353">
        <v>21080.242120000003</v>
      </c>
      <c r="X17" s="1353">
        <v>7076.5058799999997</v>
      </c>
      <c r="Y17" s="1353">
        <v>22720.978280000003</v>
      </c>
      <c r="Z17" s="1353">
        <v>7753.0190499999999</v>
      </c>
      <c r="AA17" s="1353">
        <v>1402.32033</v>
      </c>
      <c r="AB17" s="1353">
        <v>798.93690000000004</v>
      </c>
      <c r="AC17" s="1353">
        <v>3019.5210699999998</v>
      </c>
      <c r="AD17" s="1353">
        <v>1242.3192300000001</v>
      </c>
      <c r="AE17" s="1353">
        <v>5139.5870000000004</v>
      </c>
      <c r="AF17" s="1353">
        <v>1974.42192</v>
      </c>
      <c r="AG17" s="1353">
        <v>7378.45453</v>
      </c>
      <c r="AH17" s="1353">
        <v>2588.57861</v>
      </c>
      <c r="AI17" s="1353">
        <v>9798.3248499999991</v>
      </c>
      <c r="AJ17" s="1353">
        <v>3388.7885099999999</v>
      </c>
      <c r="AK17" s="1353">
        <v>12380.23906</v>
      </c>
      <c r="AL17" s="1353">
        <v>4182.3076200000005</v>
      </c>
      <c r="AM17" s="1353">
        <v>14662.424140000001</v>
      </c>
      <c r="AN17" s="1353">
        <v>5059.6106600000003</v>
      </c>
      <c r="AO17" s="1353">
        <v>16973.111829999998</v>
      </c>
      <c r="AP17" s="1353">
        <v>5955.6987800000006</v>
      </c>
      <c r="AQ17" s="1353">
        <v>18794.638870000002</v>
      </c>
      <c r="AR17" s="1353">
        <v>6672.5100700000003</v>
      </c>
      <c r="AS17" s="1353">
        <v>20551.099149999998</v>
      </c>
      <c r="AT17" s="1353">
        <v>7435.66374</v>
      </c>
      <c r="AU17" s="1353">
        <v>23658.62905</v>
      </c>
      <c r="AV17" s="1353">
        <v>8387.9882600000001</v>
      </c>
      <c r="AW17" s="1353">
        <v>25317.13581</v>
      </c>
      <c r="AX17" s="1353">
        <v>9112.5963900000006</v>
      </c>
      <c r="AY17" s="1353">
        <v>1244.53676</v>
      </c>
      <c r="AZ17" s="1353">
        <v>688.99033999999995</v>
      </c>
      <c r="BA17" s="1353">
        <v>2457.0877999999998</v>
      </c>
      <c r="BB17" s="1353">
        <v>1696.8248000000001</v>
      </c>
      <c r="BC17" s="1353">
        <v>3813.91</v>
      </c>
      <c r="BD17" s="1353">
        <v>2279.84</v>
      </c>
      <c r="BE17" s="1353">
        <v>5345.6351199999999</v>
      </c>
      <c r="BF17" s="1353">
        <v>3022.8549500000004</v>
      </c>
      <c r="BG17" s="1353">
        <v>7223.2515800000001</v>
      </c>
      <c r="BH17" s="1353">
        <v>3625.3953500000002</v>
      </c>
      <c r="BI17" s="1353">
        <v>8740.747589999999</v>
      </c>
      <c r="BJ17" s="1353">
        <v>4175.51253</v>
      </c>
      <c r="BK17" s="1353">
        <v>10325.976970000002</v>
      </c>
      <c r="BL17" s="1353">
        <v>4767.9145099999996</v>
      </c>
      <c r="BM17" s="1353">
        <v>11929.05075</v>
      </c>
      <c r="BN17" s="1353">
        <v>5209.6777199999997</v>
      </c>
      <c r="BO17" s="1353">
        <v>13806.14323</v>
      </c>
      <c r="BP17" s="1353">
        <v>6714.9444899999999</v>
      </c>
      <c r="BQ17" s="1353">
        <v>15487.83986</v>
      </c>
      <c r="BR17" s="1353">
        <v>7213.5005599999995</v>
      </c>
      <c r="BS17" s="1353">
        <v>16602.210609999998</v>
      </c>
      <c r="BT17" s="1353">
        <v>7664.74892</v>
      </c>
      <c r="BU17" s="1353">
        <v>20029.664719999997</v>
      </c>
      <c r="BV17" s="1353">
        <v>8095.7427200000002</v>
      </c>
      <c r="BW17" s="1353">
        <v>1096.2246699999998</v>
      </c>
      <c r="BX17" s="1353">
        <v>430.91167999999999</v>
      </c>
      <c r="BY17" s="1353">
        <v>2163.6363700000002</v>
      </c>
      <c r="BZ17" s="1353">
        <v>816.56097</v>
      </c>
      <c r="CA17" s="1353">
        <v>3099.9076800000003</v>
      </c>
      <c r="CB17" s="1353">
        <v>1217.1698999999999</v>
      </c>
      <c r="CC17" s="1353">
        <v>4573.68037</v>
      </c>
      <c r="CD17" s="1353">
        <v>1613.7360100000001</v>
      </c>
      <c r="CE17" s="1353">
        <v>6190.81891</v>
      </c>
      <c r="CF17" s="1353">
        <v>2099.0297</v>
      </c>
      <c r="CG17" s="1353">
        <v>7263.5461599999999</v>
      </c>
      <c r="CH17" s="1353">
        <v>2349.6643199999999</v>
      </c>
      <c r="CI17" s="1353">
        <v>8637.424289999999</v>
      </c>
      <c r="CJ17" s="1353">
        <v>2758.2348099999999</v>
      </c>
      <c r="CK17" s="1353">
        <v>9796.7947800000002</v>
      </c>
      <c r="CL17" s="1353">
        <v>3108.8229200000001</v>
      </c>
      <c r="CM17" s="1353">
        <v>11330.47712</v>
      </c>
      <c r="CN17" s="1353">
        <v>3418.4608800000001</v>
      </c>
      <c r="CO17" s="1353">
        <v>12603.78601</v>
      </c>
      <c r="CP17" s="1353">
        <v>3851.4993799999997</v>
      </c>
      <c r="CQ17" s="1353">
        <v>13863.613170000001</v>
      </c>
      <c r="CR17" s="1353">
        <v>4232.4142199999997</v>
      </c>
      <c r="CS17" s="1353">
        <v>15288.88452</v>
      </c>
      <c r="CT17" s="1353">
        <v>4812.1137600000002</v>
      </c>
      <c r="CU17" s="1353">
        <v>1319.52396</v>
      </c>
      <c r="CV17" s="1353">
        <v>732.15846999999997</v>
      </c>
      <c r="CW17" s="1353">
        <v>2390.6340099999998</v>
      </c>
      <c r="CX17" s="1353">
        <v>1145.2667900000001</v>
      </c>
      <c r="CY17" s="1353">
        <v>3311.8492500000002</v>
      </c>
      <c r="CZ17" s="1353">
        <v>1512.06122</v>
      </c>
      <c r="DA17" s="1353">
        <v>4053.7283900000002</v>
      </c>
      <c r="DB17" s="1353">
        <v>1935.5978</v>
      </c>
      <c r="DC17" s="1353">
        <v>5195.5028300000004</v>
      </c>
      <c r="DD17" s="1353">
        <v>2326.48551</v>
      </c>
      <c r="DE17" s="1353">
        <v>6519.1265400000002</v>
      </c>
      <c r="DF17" s="1353">
        <v>2672.7448799999997</v>
      </c>
      <c r="DG17" s="1353">
        <v>7259.9504800000004</v>
      </c>
      <c r="DH17" s="1353">
        <v>2972.5459599999999</v>
      </c>
      <c r="DI17" s="1353">
        <v>11952.683199999999</v>
      </c>
      <c r="DJ17" s="1353">
        <v>3664.9167499999999</v>
      </c>
      <c r="DK17" s="1353">
        <v>12915.91224</v>
      </c>
      <c r="DL17" s="1353">
        <v>4529.5151699999997</v>
      </c>
      <c r="DM17" s="1353">
        <v>13792.237560000001</v>
      </c>
      <c r="DN17" s="1353">
        <v>4974.61888</v>
      </c>
      <c r="DO17" s="1353">
        <v>14431.27197</v>
      </c>
      <c r="DP17" s="1353">
        <v>5441.6627900000003</v>
      </c>
      <c r="DQ17" s="1353">
        <v>15912.586369999999</v>
      </c>
      <c r="DR17" s="1353">
        <v>5951.8272699999998</v>
      </c>
      <c r="DS17" s="1353">
        <v>1632.72234</v>
      </c>
      <c r="DT17" s="1353">
        <v>325.50061999999997</v>
      </c>
      <c r="DU17" s="1353">
        <v>2581.8296</v>
      </c>
      <c r="DV17" s="1353">
        <v>835.49797000000001</v>
      </c>
      <c r="DW17" s="1353">
        <v>3408.76883</v>
      </c>
      <c r="DX17" s="1353">
        <v>1173.0946399999998</v>
      </c>
      <c r="DY17" s="1353">
        <v>4151.8834999999999</v>
      </c>
      <c r="DZ17" s="1353">
        <v>3447.6213199999997</v>
      </c>
      <c r="EA17" s="1353">
        <v>4883.1760400000003</v>
      </c>
      <c r="EB17" s="1353">
        <v>3709.7652599999997</v>
      </c>
      <c r="EC17" s="1353">
        <v>5679.7983600000007</v>
      </c>
      <c r="ED17" s="1353">
        <v>4123.4794599999996</v>
      </c>
      <c r="EE17" s="1353">
        <v>6474.8479900000002</v>
      </c>
      <c r="EF17" s="1353">
        <v>4595.8365599999997</v>
      </c>
      <c r="EG17" s="1353">
        <v>7337.7796100000005</v>
      </c>
      <c r="EH17" s="1353">
        <v>5220.5226399999992</v>
      </c>
      <c r="EI17" s="1353">
        <v>8382.4071399999993</v>
      </c>
      <c r="EJ17" s="1353">
        <v>5750.7945399999999</v>
      </c>
      <c r="EK17" s="1353">
        <v>9399.4557399999994</v>
      </c>
      <c r="EL17" s="1353">
        <v>6311.4180500000002</v>
      </c>
      <c r="EM17" s="1353">
        <v>10340.86527</v>
      </c>
      <c r="EN17" s="1353">
        <v>6764.9355800000003</v>
      </c>
      <c r="EO17" s="1353">
        <v>11326.521849999999</v>
      </c>
      <c r="EP17" s="1353">
        <v>7367.4323800000002</v>
      </c>
      <c r="EQ17" s="1353">
        <v>869.44100000000003</v>
      </c>
      <c r="ER17" s="1353">
        <v>495.71850999999998</v>
      </c>
      <c r="ES17" s="1363">
        <v>1968.5004200000001</v>
      </c>
      <c r="ET17" s="1354">
        <v>1058.0874899999999</v>
      </c>
      <c r="EU17" s="1353">
        <v>2849.4867599999902</v>
      </c>
      <c r="EV17" s="1353">
        <v>1703.7780399999999</v>
      </c>
      <c r="EW17" s="1363">
        <v>3800.63553</v>
      </c>
      <c r="EX17" s="1354">
        <v>2395.0767599999999</v>
      </c>
      <c r="EY17" s="1353">
        <v>4882.75666</v>
      </c>
      <c r="EZ17" s="1353">
        <v>3112.2433799999999</v>
      </c>
      <c r="FA17" s="1363">
        <v>5920.5460000000003</v>
      </c>
      <c r="FB17" s="1354">
        <v>3693.5380599999999</v>
      </c>
      <c r="FC17" s="1353">
        <v>7081.3306400000001</v>
      </c>
      <c r="FD17" s="1353">
        <v>4754.9597400000002</v>
      </c>
      <c r="FE17" s="1363">
        <v>9286.2364600000001</v>
      </c>
      <c r="FF17" s="1354">
        <v>6631.0324700000001</v>
      </c>
      <c r="FG17" s="1363">
        <v>9817.6088299999992</v>
      </c>
      <c r="FH17" s="1354">
        <v>7869.8507099999997</v>
      </c>
      <c r="FI17" s="1363">
        <v>10556.41192</v>
      </c>
      <c r="FJ17" s="1354">
        <v>8676.1574199999995</v>
      </c>
      <c r="FK17" s="1363">
        <v>11080.57165</v>
      </c>
      <c r="FL17" s="1354">
        <v>9438.1015499999994</v>
      </c>
      <c r="FM17" s="1354">
        <v>667.91125999999997</v>
      </c>
      <c r="FN17" s="1354">
        <v>781.97136</v>
      </c>
      <c r="FO17" s="1354">
        <v>1240.36922</v>
      </c>
      <c r="FP17" s="1354">
        <v>1689.7715700000001</v>
      </c>
      <c r="FQ17" s="1354">
        <v>2846.7366099999999</v>
      </c>
      <c r="FR17" s="1354">
        <v>2250.4284400000001</v>
      </c>
      <c r="FS17" s="1354">
        <v>3395.5287200000002</v>
      </c>
      <c r="FT17" s="1354">
        <v>2939.7042999999999</v>
      </c>
      <c r="FU17" s="1354">
        <v>4135.5913700000001</v>
      </c>
      <c r="FV17" s="1354">
        <v>3711.3640499999997</v>
      </c>
      <c r="FW17" s="1354">
        <v>4815.5724800000007</v>
      </c>
      <c r="FX17" s="1354">
        <v>5350.5799800000004</v>
      </c>
      <c r="FY17" s="1354">
        <v>5375.5058200000003</v>
      </c>
      <c r="FZ17" s="1354">
        <v>6054.1445100000001</v>
      </c>
      <c r="GA17" s="1354">
        <v>5826.1921499999999</v>
      </c>
      <c r="GB17" s="1354">
        <v>6368.5338599999995</v>
      </c>
      <c r="GC17" s="1354">
        <v>6565.8858700000001</v>
      </c>
      <c r="GD17" s="1354">
        <v>6574.8634699999993</v>
      </c>
      <c r="GE17" s="1354">
        <v>7187.5022600000002</v>
      </c>
      <c r="GF17" s="1354">
        <v>6740.3225499999999</v>
      </c>
      <c r="GG17" s="1354">
        <v>7798.6669099999999</v>
      </c>
      <c r="GH17" s="1354">
        <v>7123.6358700000001</v>
      </c>
      <c r="GI17" s="1354">
        <v>8473.1461600000002</v>
      </c>
      <c r="GJ17" s="1354">
        <v>7330.0941299999995</v>
      </c>
      <c r="GK17" s="1354">
        <v>681.86718999999994</v>
      </c>
      <c r="GL17" s="1354">
        <v>98.319029999999998</v>
      </c>
      <c r="GM17" s="1354">
        <v>2466.4121399999999</v>
      </c>
      <c r="GN17" s="1354">
        <v>252.53412</v>
      </c>
      <c r="GO17" s="2076" t="s">
        <v>3243</v>
      </c>
    </row>
    <row r="18" spans="1:197" ht="36" customHeight="1">
      <c r="A18" s="2074">
        <v>7</v>
      </c>
      <c r="B18" s="2075" t="s">
        <v>2378</v>
      </c>
      <c r="C18" s="1353">
        <v>53.407809999999998</v>
      </c>
      <c r="D18" s="1353">
        <v>74.833839999999995</v>
      </c>
      <c r="E18" s="1353">
        <v>113.96973</v>
      </c>
      <c r="F18" s="1353">
        <v>132.60004000000001</v>
      </c>
      <c r="G18" s="1353">
        <v>161.48830999999998</v>
      </c>
      <c r="H18" s="1353">
        <v>190.92714000000001</v>
      </c>
      <c r="I18" s="1353">
        <v>223.03832</v>
      </c>
      <c r="J18" s="1353">
        <v>303.09446999999994</v>
      </c>
      <c r="K18" s="1353">
        <v>431.65974</v>
      </c>
      <c r="L18" s="1353">
        <v>367.39694000000003</v>
      </c>
      <c r="M18" s="1353">
        <v>627.33076000000005</v>
      </c>
      <c r="N18" s="1353">
        <v>400.92761999999999</v>
      </c>
      <c r="O18" s="1353">
        <v>676.33947999999998</v>
      </c>
      <c r="P18" s="1353">
        <v>460.71503000000001</v>
      </c>
      <c r="Q18" s="1353">
        <v>745.51906000000008</v>
      </c>
      <c r="R18" s="1353">
        <v>500.91740999999996</v>
      </c>
      <c r="S18" s="1353">
        <v>794.61545000000001</v>
      </c>
      <c r="T18" s="1353">
        <v>560.30781999999999</v>
      </c>
      <c r="U18" s="1353">
        <v>856.60367000000008</v>
      </c>
      <c r="V18" s="1353">
        <v>590.20742000000007</v>
      </c>
      <c r="W18" s="1353">
        <v>903.56899999999996</v>
      </c>
      <c r="X18" s="1353">
        <v>613.53316000000007</v>
      </c>
      <c r="Y18" s="1353">
        <v>941.36590000000001</v>
      </c>
      <c r="Z18" s="1353">
        <v>669.78</v>
      </c>
      <c r="AA18" s="1353">
        <v>62.590429999999998</v>
      </c>
      <c r="AB18" s="1353">
        <v>27.28153</v>
      </c>
      <c r="AC18" s="1353">
        <v>173.77785</v>
      </c>
      <c r="AD18" s="1353">
        <v>60.946589999999993</v>
      </c>
      <c r="AE18" s="1353">
        <v>222.28092999999998</v>
      </c>
      <c r="AF18" s="1353">
        <v>91.172420000000002</v>
      </c>
      <c r="AG18" s="1353">
        <v>374.35967999999997</v>
      </c>
      <c r="AH18" s="1353">
        <v>139.20762999999999</v>
      </c>
      <c r="AI18" s="1353">
        <v>579.75906000000009</v>
      </c>
      <c r="AJ18" s="1353">
        <v>148.61407</v>
      </c>
      <c r="AK18" s="1353">
        <v>824.91714000000002</v>
      </c>
      <c r="AL18" s="1353">
        <v>165.44614000000001</v>
      </c>
      <c r="AM18" s="1353">
        <v>929.77671999999995</v>
      </c>
      <c r="AN18" s="1353">
        <v>176.91185999999999</v>
      </c>
      <c r="AO18" s="1353">
        <v>1025.3651199999999</v>
      </c>
      <c r="AP18" s="1353">
        <v>188.63726</v>
      </c>
      <c r="AQ18" s="1353">
        <v>1075.77082</v>
      </c>
      <c r="AR18" s="1353">
        <v>212.91642999999999</v>
      </c>
      <c r="AS18" s="1353">
        <v>1163.0318300000001</v>
      </c>
      <c r="AT18" s="1353">
        <v>231.56260999999998</v>
      </c>
      <c r="AU18" s="1353">
        <v>1361.3481100000001</v>
      </c>
      <c r="AV18" s="1353">
        <v>263.73975000000002</v>
      </c>
      <c r="AW18" s="1353">
        <v>1299.2503300000001</v>
      </c>
      <c r="AX18" s="1353">
        <v>283.22109</v>
      </c>
      <c r="AY18" s="1353">
        <v>52.072189999999999</v>
      </c>
      <c r="AZ18" s="1353">
        <v>27.822749999999999</v>
      </c>
      <c r="BA18" s="1353">
        <v>119.53653999999999</v>
      </c>
      <c r="BB18" s="1353">
        <v>63.6952</v>
      </c>
      <c r="BC18" s="1353">
        <v>189.27</v>
      </c>
      <c r="BD18" s="1353">
        <v>77.84</v>
      </c>
      <c r="BE18" s="1353">
        <v>267.09146000000004</v>
      </c>
      <c r="BF18" s="1353">
        <v>106.98764</v>
      </c>
      <c r="BG18" s="1353">
        <v>421.19783000000001</v>
      </c>
      <c r="BH18" s="1353">
        <v>124.65091000000001</v>
      </c>
      <c r="BI18" s="1353">
        <v>486.43603000000002</v>
      </c>
      <c r="BJ18" s="1353">
        <v>135.03326000000001</v>
      </c>
      <c r="BK18" s="1353">
        <v>655.02707999999996</v>
      </c>
      <c r="BL18" s="1353">
        <v>145.12451000000001</v>
      </c>
      <c r="BM18" s="1353">
        <v>682.34311000000002</v>
      </c>
      <c r="BN18" s="1353">
        <v>147.30894000000001</v>
      </c>
      <c r="BO18" s="1353">
        <v>708.99957999999992</v>
      </c>
      <c r="BP18" s="1353">
        <v>156.00354000000002</v>
      </c>
      <c r="BQ18" s="1353">
        <v>782.70044999999993</v>
      </c>
      <c r="BR18" s="1353">
        <v>174.14010000000002</v>
      </c>
      <c r="BS18" s="1353">
        <v>865.23185000000001</v>
      </c>
      <c r="BT18" s="1353">
        <v>191.05937</v>
      </c>
      <c r="BU18" s="1353">
        <v>1024.4533900000001</v>
      </c>
      <c r="BV18" s="1353">
        <v>197.47606999999999</v>
      </c>
      <c r="BW18" s="1353">
        <v>60.369289999999999</v>
      </c>
      <c r="BX18" s="1353">
        <v>15.479899999999999</v>
      </c>
      <c r="BY18" s="1353">
        <v>120.54502000000001</v>
      </c>
      <c r="BZ18" s="1353">
        <v>21.193830000000002</v>
      </c>
      <c r="CA18" s="1353">
        <v>175.33708999999999</v>
      </c>
      <c r="CB18" s="1353">
        <v>22.043830000000003</v>
      </c>
      <c r="CC18" s="1353">
        <v>298.42946999999998</v>
      </c>
      <c r="CD18" s="1353">
        <v>40.264150000000001</v>
      </c>
      <c r="CE18" s="1353">
        <v>448.17232999999999</v>
      </c>
      <c r="CF18" s="1353">
        <v>57.804220000000001</v>
      </c>
      <c r="CG18" s="1353">
        <v>522.50585999999998</v>
      </c>
      <c r="CH18" s="1353">
        <v>135.28234</v>
      </c>
      <c r="CI18" s="1353">
        <v>615.69246999999996</v>
      </c>
      <c r="CJ18" s="1353">
        <v>157.47696999999999</v>
      </c>
      <c r="CK18" s="1353">
        <v>814.99595999999997</v>
      </c>
      <c r="CL18" s="1353">
        <v>162.79114000000001</v>
      </c>
      <c r="CM18" s="1353">
        <v>862.33477000000005</v>
      </c>
      <c r="CN18" s="1353">
        <v>187.70683</v>
      </c>
      <c r="CO18" s="1353">
        <v>918.70742000000007</v>
      </c>
      <c r="CP18" s="1353">
        <v>205.2338</v>
      </c>
      <c r="CQ18" s="1353">
        <v>1051.8969999999999</v>
      </c>
      <c r="CR18" s="1353">
        <v>220.25047000000001</v>
      </c>
      <c r="CS18" s="1353">
        <v>1140.1139900000001</v>
      </c>
      <c r="CT18" s="1353">
        <v>239.44653</v>
      </c>
      <c r="CU18" s="1353">
        <v>106.1194</v>
      </c>
      <c r="CV18" s="1353">
        <v>18.994330000000001</v>
      </c>
      <c r="CW18" s="1353">
        <v>258.69204999999999</v>
      </c>
      <c r="CX18" s="1353">
        <v>49.965019999999996</v>
      </c>
      <c r="CY18" s="1353">
        <v>348.56172999999995</v>
      </c>
      <c r="CZ18" s="1353">
        <v>62.073250000000002</v>
      </c>
      <c r="DA18" s="1353">
        <v>448.30051000000003</v>
      </c>
      <c r="DB18" s="1353">
        <v>68.144649999999999</v>
      </c>
      <c r="DC18" s="1353">
        <v>575.02429000000006</v>
      </c>
      <c r="DD18" s="1353">
        <v>78.429199999999994</v>
      </c>
      <c r="DE18" s="1353">
        <v>728.74424999999997</v>
      </c>
      <c r="DF18" s="1353">
        <v>119.52871</v>
      </c>
      <c r="DG18" s="1353">
        <v>920.42714999999998</v>
      </c>
      <c r="DH18" s="1353">
        <v>157.10485</v>
      </c>
      <c r="DI18" s="1353">
        <v>1072.1462300000001</v>
      </c>
      <c r="DJ18" s="1353">
        <v>185.24601999999999</v>
      </c>
      <c r="DK18" s="1353">
        <v>1261.39203</v>
      </c>
      <c r="DL18" s="1353">
        <v>210.80539999999999</v>
      </c>
      <c r="DM18" s="1353">
        <v>1531.6975600000001</v>
      </c>
      <c r="DN18" s="1353">
        <v>312.95728000000003</v>
      </c>
      <c r="DO18" s="1353">
        <v>1802.1344099999999</v>
      </c>
      <c r="DP18" s="1353">
        <v>347.27</v>
      </c>
      <c r="DQ18" s="1353">
        <v>2062.44866</v>
      </c>
      <c r="DR18" s="1353">
        <v>370.71352000000002</v>
      </c>
      <c r="DS18" s="1353">
        <v>163.91732999999999</v>
      </c>
      <c r="DT18" s="1353">
        <v>26.68929</v>
      </c>
      <c r="DU18" s="1353">
        <v>363.30154999999996</v>
      </c>
      <c r="DV18" s="1353">
        <v>77.341250000000002</v>
      </c>
      <c r="DW18" s="1353">
        <v>573.71141</v>
      </c>
      <c r="DX18" s="1353">
        <v>112.88344000000001</v>
      </c>
      <c r="DY18" s="1353">
        <v>979.32823999999994</v>
      </c>
      <c r="DZ18" s="1353">
        <v>174.15664999999998</v>
      </c>
      <c r="EA18" s="1353">
        <v>1538.4012499999999</v>
      </c>
      <c r="EB18" s="1353">
        <v>222.37685999999999</v>
      </c>
      <c r="EC18" s="1353">
        <v>2233.45156</v>
      </c>
      <c r="ED18" s="1353">
        <v>343.26959000000005</v>
      </c>
      <c r="EE18" s="1353">
        <v>2973.3560200000002</v>
      </c>
      <c r="EF18" s="1353">
        <v>461.88677000000001</v>
      </c>
      <c r="EG18" s="1353">
        <v>3454.8265999999999</v>
      </c>
      <c r="EH18" s="1353">
        <v>578.99212999999997</v>
      </c>
      <c r="EI18" s="1353">
        <v>3807.6443399999998</v>
      </c>
      <c r="EJ18" s="1353">
        <v>687.88963000000001</v>
      </c>
      <c r="EK18" s="1353">
        <v>4184.55339</v>
      </c>
      <c r="EL18" s="1353">
        <v>844.93670999999995</v>
      </c>
      <c r="EM18" s="1353">
        <v>4495.8401000000003</v>
      </c>
      <c r="EN18" s="1353">
        <v>1066.7260200000001</v>
      </c>
      <c r="EO18" s="1353">
        <v>4788.6794799999998</v>
      </c>
      <c r="EP18" s="1353">
        <v>1295.9923699999999</v>
      </c>
      <c r="EQ18" s="1353">
        <v>375.29849000000002</v>
      </c>
      <c r="ER18" s="1353">
        <v>156.29938000000001</v>
      </c>
      <c r="ES18" s="1363">
        <v>779.55244000000005</v>
      </c>
      <c r="ET18" s="1354">
        <v>379.41163</v>
      </c>
      <c r="EU18" s="1353">
        <v>1156.0366200000001</v>
      </c>
      <c r="EV18" s="1353">
        <v>585.94137999999998</v>
      </c>
      <c r="EW18" s="1363">
        <v>1661.18299</v>
      </c>
      <c r="EX18" s="1354">
        <v>795.06074000000001</v>
      </c>
      <c r="EY18" s="1353">
        <v>2238.19148</v>
      </c>
      <c r="EZ18" s="1353">
        <v>966.61501999999996</v>
      </c>
      <c r="FA18" s="1363">
        <v>3118.6834100000001</v>
      </c>
      <c r="FB18" s="1354">
        <v>1174.1362999999999</v>
      </c>
      <c r="FC18" s="1353">
        <v>3688.0549099999998</v>
      </c>
      <c r="FD18" s="1353">
        <v>1458.1055899999999</v>
      </c>
      <c r="FE18" s="1363">
        <v>4926.7831900000001</v>
      </c>
      <c r="FF18" s="1354">
        <v>1947.4408900000001</v>
      </c>
      <c r="FG18" s="1363">
        <v>5399.6343999999999</v>
      </c>
      <c r="FH18" s="1354">
        <v>2119.25065</v>
      </c>
      <c r="FI18" s="1363">
        <v>5854.0459600000004</v>
      </c>
      <c r="FJ18" s="1354">
        <v>2286.1803599999998</v>
      </c>
      <c r="FK18" s="1363">
        <v>6344.43444</v>
      </c>
      <c r="FL18" s="1354">
        <v>2490.85167</v>
      </c>
      <c r="FM18" s="1354">
        <v>501.06064000000003</v>
      </c>
      <c r="FN18" s="1354">
        <v>146.99698000000001</v>
      </c>
      <c r="FO18" s="1354">
        <v>1032.44813</v>
      </c>
      <c r="FP18" s="1354">
        <v>453.63815</v>
      </c>
      <c r="FQ18" s="1354">
        <v>1486.1124500000001</v>
      </c>
      <c r="FR18" s="1354">
        <v>602.84425999999996</v>
      </c>
      <c r="FS18" s="1354">
        <v>1902.2606699999999</v>
      </c>
      <c r="FT18" s="1354">
        <v>865.09456</v>
      </c>
      <c r="FU18" s="1354">
        <v>2460.8387699999998</v>
      </c>
      <c r="FV18" s="1354">
        <v>1085.52125</v>
      </c>
      <c r="FW18" s="1354">
        <v>2881.7629300000003</v>
      </c>
      <c r="FX18" s="1354">
        <v>1268.8007700000001</v>
      </c>
      <c r="FY18" s="1354">
        <v>3213.2810099999997</v>
      </c>
      <c r="FZ18" s="1354">
        <v>1534.99793</v>
      </c>
      <c r="GA18" s="1354">
        <v>3714.7586099999999</v>
      </c>
      <c r="GB18" s="1354">
        <v>1819.9918</v>
      </c>
      <c r="GC18" s="1354">
        <v>4080.4864700000003</v>
      </c>
      <c r="GD18" s="1354">
        <v>2014.2647099999999</v>
      </c>
      <c r="GE18" s="1354">
        <v>4368.1329999999998</v>
      </c>
      <c r="GF18" s="1354">
        <v>2579.0212799999999</v>
      </c>
      <c r="GG18" s="1354">
        <v>4644.3669499999996</v>
      </c>
      <c r="GH18" s="1354">
        <v>2817.0949700000001</v>
      </c>
      <c r="GI18" s="1354">
        <v>4933.8787000000002</v>
      </c>
      <c r="GJ18" s="1354">
        <v>2986.2261100000001</v>
      </c>
      <c r="GK18" s="1354">
        <v>260.13344000000001</v>
      </c>
      <c r="GL18" s="1354">
        <v>142.78411</v>
      </c>
      <c r="GM18" s="1354">
        <v>568.74527</v>
      </c>
      <c r="GN18" s="1354">
        <v>281.49095</v>
      </c>
      <c r="GO18" s="2076" t="s">
        <v>3244</v>
      </c>
    </row>
    <row r="19" spans="1:197" ht="36" customHeight="1">
      <c r="A19" s="2074">
        <v>8</v>
      </c>
      <c r="B19" s="2075" t="s">
        <v>2376</v>
      </c>
      <c r="C19" s="1353">
        <v>8587.5249000000003</v>
      </c>
      <c r="D19" s="1353">
        <v>2.10209</v>
      </c>
      <c r="E19" s="1353">
        <v>8834.6451699999998</v>
      </c>
      <c r="F19" s="1353">
        <v>8.8120899999999995</v>
      </c>
      <c r="G19" s="1353">
        <v>9010.7395500000002</v>
      </c>
      <c r="H19" s="1353">
        <v>11.90034</v>
      </c>
      <c r="I19" s="1353">
        <v>9583.0392200000006</v>
      </c>
      <c r="J19" s="1353">
        <v>16.498930000000001</v>
      </c>
      <c r="K19" s="1353">
        <v>10018.03356</v>
      </c>
      <c r="L19" s="1353">
        <v>39.512370000000004</v>
      </c>
      <c r="M19" s="1353">
        <v>10055.49755</v>
      </c>
      <c r="N19" s="1353">
        <v>39.512370000000004</v>
      </c>
      <c r="O19" s="1353">
        <v>16849.689839999999</v>
      </c>
      <c r="P19" s="1353">
        <v>244.36395999999999</v>
      </c>
      <c r="Q19" s="1353">
        <v>17823.695589999999</v>
      </c>
      <c r="R19" s="1353">
        <v>269.10041999999999</v>
      </c>
      <c r="S19" s="1353">
        <v>18266.21026</v>
      </c>
      <c r="T19" s="1353">
        <v>2219.6949500000001</v>
      </c>
      <c r="U19" s="1353">
        <v>18489.056530000002</v>
      </c>
      <c r="V19" s="1353">
        <v>2622.3478799999998</v>
      </c>
      <c r="W19" s="1353">
        <v>19071.92023</v>
      </c>
      <c r="X19" s="1353">
        <v>2649.7287700000002</v>
      </c>
      <c r="Y19" s="1353">
        <v>19148.016960000001</v>
      </c>
      <c r="Z19" s="1353">
        <v>2653.17677</v>
      </c>
      <c r="AA19" s="1353">
        <v>7161.84656</v>
      </c>
      <c r="AB19" s="1353">
        <v>2.3719999999999999</v>
      </c>
      <c r="AC19" s="1353">
        <v>7287.6731100000006</v>
      </c>
      <c r="AD19" s="1353">
        <v>4.3145500000000006</v>
      </c>
      <c r="AE19" s="1353">
        <v>7335.5731100000003</v>
      </c>
      <c r="AF19" s="1353">
        <v>6.9851800000000006</v>
      </c>
      <c r="AG19" s="1353">
        <v>7969.70046</v>
      </c>
      <c r="AH19" s="1353">
        <v>779.26386000000002</v>
      </c>
      <c r="AI19" s="1353">
        <v>8228.2214600000007</v>
      </c>
      <c r="AJ19" s="1353">
        <v>1568.3018500000001</v>
      </c>
      <c r="AK19" s="1353">
        <v>10309.1849</v>
      </c>
      <c r="AL19" s="1353">
        <v>1238.5169699999999</v>
      </c>
      <c r="AM19" s="1353">
        <v>15474.162420000001</v>
      </c>
      <c r="AN19" s="1353">
        <v>1583.47973</v>
      </c>
      <c r="AO19" s="1353">
        <v>16118.15236</v>
      </c>
      <c r="AP19" s="1353">
        <v>1583.47973</v>
      </c>
      <c r="AQ19" s="1353">
        <v>16705.981949999998</v>
      </c>
      <c r="AR19" s="1353">
        <v>1777.1661799999999</v>
      </c>
      <c r="AS19" s="1353">
        <v>16845.00722</v>
      </c>
      <c r="AT19" s="1353">
        <v>1785.09023</v>
      </c>
      <c r="AU19" s="1353">
        <v>17376.62542</v>
      </c>
      <c r="AV19" s="1353">
        <v>1788.4657999999999</v>
      </c>
      <c r="AW19" s="1353">
        <v>17682.48947</v>
      </c>
      <c r="AX19" s="1353">
        <v>1788.88616</v>
      </c>
      <c r="AY19" s="1353">
        <v>6507.1777499999998</v>
      </c>
      <c r="AZ19" s="1353">
        <v>316.52674000000002</v>
      </c>
      <c r="BA19" s="1353">
        <v>6566.7689199999995</v>
      </c>
      <c r="BB19" s="1353">
        <v>324.44779</v>
      </c>
      <c r="BC19" s="1353">
        <v>6601.39</v>
      </c>
      <c r="BD19" s="1353">
        <v>325.81</v>
      </c>
      <c r="BE19" s="1353">
        <v>7159.0371399999995</v>
      </c>
      <c r="BF19" s="1353">
        <v>394.15474</v>
      </c>
      <c r="BG19" s="1353">
        <v>7542.4961900000008</v>
      </c>
      <c r="BH19" s="1353">
        <v>399.83034000000004</v>
      </c>
      <c r="BI19" s="1353">
        <v>7721.3122000000003</v>
      </c>
      <c r="BJ19" s="1353">
        <v>914.43064000000004</v>
      </c>
      <c r="BK19" s="1353">
        <v>15417.8976</v>
      </c>
      <c r="BL19" s="1353">
        <v>920.15654000000006</v>
      </c>
      <c r="BM19" s="1353">
        <v>15463.26799</v>
      </c>
      <c r="BN19" s="1353">
        <v>927.53654000000006</v>
      </c>
      <c r="BO19" s="1353">
        <v>15686.39191</v>
      </c>
      <c r="BP19" s="1353">
        <v>940.53039000000001</v>
      </c>
      <c r="BQ19" s="1353">
        <v>15950.71342</v>
      </c>
      <c r="BR19" s="1353">
        <v>969.89018999999996</v>
      </c>
      <c r="BS19" s="1353">
        <v>16573.78587</v>
      </c>
      <c r="BT19" s="1353">
        <v>970.83818999999994</v>
      </c>
      <c r="BU19" s="1353">
        <v>17003.25619</v>
      </c>
      <c r="BV19" s="1353">
        <v>1716.9829999999999</v>
      </c>
      <c r="BW19" s="1353">
        <v>6720.6168099999995</v>
      </c>
      <c r="BX19" s="1353">
        <v>30.889880000000002</v>
      </c>
      <c r="BY19" s="1353">
        <v>6802.83097</v>
      </c>
      <c r="BZ19" s="1353">
        <v>40.805070000000001</v>
      </c>
      <c r="CA19" s="1353">
        <v>6836.4721900000004</v>
      </c>
      <c r="CB19" s="1353">
        <v>46.709240000000001</v>
      </c>
      <c r="CC19" s="1353">
        <v>7870.7058799999995</v>
      </c>
      <c r="CD19" s="1353">
        <v>52.68976</v>
      </c>
      <c r="CE19" s="1353">
        <v>8094.4924099999998</v>
      </c>
      <c r="CF19" s="1353">
        <v>4560.0349200000001</v>
      </c>
      <c r="CG19" s="1353">
        <v>8588.2377100000012</v>
      </c>
      <c r="CH19" s="1353">
        <v>5067.1861100000006</v>
      </c>
      <c r="CI19" s="1353">
        <v>16452.144680000001</v>
      </c>
      <c r="CJ19" s="1353">
        <v>5740.3797599999998</v>
      </c>
      <c r="CK19" s="1353">
        <v>17406.550940000001</v>
      </c>
      <c r="CL19" s="1353">
        <v>5749.8136900000009</v>
      </c>
      <c r="CM19" s="1353">
        <v>17479.954519999999</v>
      </c>
      <c r="CN19" s="1353">
        <v>5982.1792400000004</v>
      </c>
      <c r="CO19" s="1353">
        <v>17721.803749999999</v>
      </c>
      <c r="CP19" s="1353">
        <v>5994.5670700000001</v>
      </c>
      <c r="CQ19" s="1353">
        <v>18374.959219999997</v>
      </c>
      <c r="CR19" s="1353">
        <v>6491.3842699999996</v>
      </c>
      <c r="CS19" s="1353">
        <v>18495.234079999998</v>
      </c>
      <c r="CT19" s="1353">
        <v>19930.75806</v>
      </c>
      <c r="CU19" s="1353">
        <v>7881.4256100000002</v>
      </c>
      <c r="CV19" s="1353">
        <v>6.8976899999999999</v>
      </c>
      <c r="CW19" s="1353">
        <v>8024.5651500000004</v>
      </c>
      <c r="CX19" s="1353">
        <v>458.37900999999999</v>
      </c>
      <c r="CY19" s="1353">
        <v>8113.2544200000002</v>
      </c>
      <c r="CZ19" s="1353">
        <v>619.71767</v>
      </c>
      <c r="DA19" s="1353">
        <v>9007.3154300000006</v>
      </c>
      <c r="DB19" s="1353">
        <v>1953.43633</v>
      </c>
      <c r="DC19" s="1353">
        <v>9224.9648900000011</v>
      </c>
      <c r="DD19" s="1353">
        <v>1963.7568000000001</v>
      </c>
      <c r="DE19" s="1353">
        <v>9415.7476800000004</v>
      </c>
      <c r="DF19" s="1353">
        <v>1979.48423</v>
      </c>
      <c r="DG19" s="1353">
        <v>15747.122869999999</v>
      </c>
      <c r="DH19" s="1353">
        <v>2114.8993</v>
      </c>
      <c r="DI19" s="1353">
        <v>16423.605520000001</v>
      </c>
      <c r="DJ19" s="1353">
        <v>2119.8053</v>
      </c>
      <c r="DK19" s="1353">
        <v>16583.832770000001</v>
      </c>
      <c r="DL19" s="1353">
        <v>2123.0852999999997</v>
      </c>
      <c r="DM19" s="1353">
        <v>16561.800009999999</v>
      </c>
      <c r="DN19" s="1353">
        <v>2128.4277400000001</v>
      </c>
      <c r="DO19" s="1353">
        <v>17247.363450000001</v>
      </c>
      <c r="DP19" s="1353">
        <v>2574.8372799999997</v>
      </c>
      <c r="DQ19" s="1353">
        <v>17320.40756</v>
      </c>
      <c r="DR19" s="1353">
        <v>2589.9205499999998</v>
      </c>
      <c r="DS19" s="1353">
        <v>6149.1614600000003</v>
      </c>
      <c r="DT19" s="1353">
        <v>1.4</v>
      </c>
      <c r="DU19" s="1353">
        <v>6175.3119900000002</v>
      </c>
      <c r="DV19" s="1353">
        <v>104.69</v>
      </c>
      <c r="DW19" s="1353">
        <v>6216.1235500000003</v>
      </c>
      <c r="DX19" s="1353">
        <v>127.90486999999999</v>
      </c>
      <c r="DY19" s="1353">
        <v>7033.1428099999994</v>
      </c>
      <c r="DZ19" s="1353">
        <v>136.77486999999999</v>
      </c>
      <c r="EA19" s="1353">
        <v>7216.7802899999997</v>
      </c>
      <c r="EB19" s="1353">
        <v>140.50486999999998</v>
      </c>
      <c r="EC19" s="1353">
        <v>7303.2223600000007</v>
      </c>
      <c r="ED19" s="1353">
        <v>1190.9256499999999</v>
      </c>
      <c r="EE19" s="1353">
        <v>14158.18921</v>
      </c>
      <c r="EF19" s="1353">
        <v>1195.0204699999999</v>
      </c>
      <c r="EG19" s="1353">
        <v>14740.87408</v>
      </c>
      <c r="EH19" s="1353">
        <v>1203.6208700000002</v>
      </c>
      <c r="EI19" s="1353">
        <v>14847.431689999999</v>
      </c>
      <c r="EJ19" s="1353">
        <v>1496.4996299999998</v>
      </c>
      <c r="EK19" s="1353">
        <v>14938.87305</v>
      </c>
      <c r="EL19" s="1353">
        <v>1506.74963</v>
      </c>
      <c r="EM19" s="1353">
        <v>15577.361709999999</v>
      </c>
      <c r="EN19" s="1353">
        <v>1510.56663</v>
      </c>
      <c r="EO19" s="1353">
        <v>15644.016390000001</v>
      </c>
      <c r="EP19" s="1353">
        <v>2712.6354099999999</v>
      </c>
      <c r="EQ19" s="1353">
        <v>5124.9414200000001</v>
      </c>
      <c r="ER19" s="1353">
        <v>0.52</v>
      </c>
      <c r="ES19" s="1363">
        <v>5165.6145999999999</v>
      </c>
      <c r="ET19" s="1354">
        <v>7.6150000000000002</v>
      </c>
      <c r="EU19" s="1353">
        <v>5224.2925800000003</v>
      </c>
      <c r="EV19" s="1353">
        <v>15.92207</v>
      </c>
      <c r="EW19" s="1363">
        <v>6036.40578</v>
      </c>
      <c r="EX19" s="1354">
        <v>34.059049999999999</v>
      </c>
      <c r="EY19" s="1353">
        <v>6264.8075699999999</v>
      </c>
      <c r="EZ19" s="1353">
        <v>47.01905</v>
      </c>
      <c r="FA19" s="1363">
        <v>12909.339239999999</v>
      </c>
      <c r="FB19" s="1354">
        <v>111.85766</v>
      </c>
      <c r="FC19" s="1353">
        <v>18441.77378</v>
      </c>
      <c r="FD19" s="1353">
        <v>103.54783</v>
      </c>
      <c r="FE19" s="1363">
        <v>19355.45033</v>
      </c>
      <c r="FF19" s="1354">
        <v>141.35482999999999</v>
      </c>
      <c r="FG19" s="1363">
        <v>19463.214629999999</v>
      </c>
      <c r="FH19" s="1354">
        <v>149.88482999999999</v>
      </c>
      <c r="FI19" s="1363">
        <v>20094.119710000003</v>
      </c>
      <c r="FJ19" s="1354">
        <v>167.97401000000002</v>
      </c>
      <c r="FK19" s="1363">
        <v>20520.257710000002</v>
      </c>
      <c r="FL19" s="1354">
        <v>184.41526999999999</v>
      </c>
      <c r="FM19" s="1354">
        <v>523.51161999999999</v>
      </c>
      <c r="FN19" s="1354">
        <v>14.941360000000001</v>
      </c>
      <c r="FO19" s="1354">
        <v>565.88117</v>
      </c>
      <c r="FP19" s="1354">
        <v>22.56636</v>
      </c>
      <c r="FQ19" s="1354">
        <v>650.59040000000005</v>
      </c>
      <c r="FR19" s="1354">
        <v>38.875929999999997</v>
      </c>
      <c r="FS19" s="1354">
        <v>1215.17028</v>
      </c>
      <c r="FT19" s="1354">
        <v>70.104609999999994</v>
      </c>
      <c r="FU19" s="1354">
        <v>1407.95793</v>
      </c>
      <c r="FV19" s="1354">
        <v>78.75761</v>
      </c>
      <c r="FW19" s="1354">
        <v>1574.2845400000001</v>
      </c>
      <c r="FX19" s="1354">
        <v>89.715699999999998</v>
      </c>
      <c r="FY19" s="1354">
        <v>14714.878919999999</v>
      </c>
      <c r="FZ19" s="1354">
        <v>110.4473</v>
      </c>
      <c r="GA19" s="1354">
        <v>15155.26921</v>
      </c>
      <c r="GB19" s="1354">
        <v>122.3458</v>
      </c>
      <c r="GC19" s="1354">
        <v>15548.700359999999</v>
      </c>
      <c r="GD19" s="1354">
        <v>166.73732000000001</v>
      </c>
      <c r="GE19" s="1354">
        <v>15548.72668</v>
      </c>
      <c r="GF19" s="1354">
        <v>172.76325</v>
      </c>
      <c r="GG19" s="1354">
        <v>16302.339309999999</v>
      </c>
      <c r="GH19" s="1354">
        <v>615.84204</v>
      </c>
      <c r="GI19" s="1354">
        <v>16513.633119999999</v>
      </c>
      <c r="GJ19" s="1354">
        <v>620.16015000000004</v>
      </c>
      <c r="GK19" s="1354">
        <v>330.15764000000001</v>
      </c>
      <c r="GL19" s="1354">
        <v>66.502549999999999</v>
      </c>
      <c r="GM19" s="1354">
        <v>385.83969999999999</v>
      </c>
      <c r="GN19" s="1354">
        <v>69.154350000000008</v>
      </c>
      <c r="GO19" s="2076" t="s">
        <v>3246</v>
      </c>
    </row>
    <row r="20" spans="1:197" ht="36" customHeight="1">
      <c r="A20" s="2074">
        <v>9</v>
      </c>
      <c r="B20" s="2075" t="s">
        <v>2375</v>
      </c>
      <c r="C20" s="1353">
        <v>2034.9382499999999</v>
      </c>
      <c r="D20" s="1353">
        <v>108.70399999999999</v>
      </c>
      <c r="E20" s="1353">
        <v>4549.5114400000002</v>
      </c>
      <c r="F20" s="1353">
        <v>318.38202000000001</v>
      </c>
      <c r="G20" s="1353">
        <v>5355.0321199999998</v>
      </c>
      <c r="H20" s="1353">
        <v>501.67986999999999</v>
      </c>
      <c r="I20" s="1353">
        <v>7419.4065000000001</v>
      </c>
      <c r="J20" s="1353">
        <v>702.70462999999995</v>
      </c>
      <c r="K20" s="1353">
        <v>8832.2780399999992</v>
      </c>
      <c r="L20" s="1353">
        <v>939.05246999999997</v>
      </c>
      <c r="M20" s="1353">
        <v>13803.271640000001</v>
      </c>
      <c r="N20" s="1353">
        <v>1333.00596</v>
      </c>
      <c r="O20" s="1353">
        <v>14971.35807</v>
      </c>
      <c r="P20" s="1353">
        <v>1589.8290200000001</v>
      </c>
      <c r="Q20" s="1353">
        <v>16003.849099999999</v>
      </c>
      <c r="R20" s="1353">
        <v>1793.44379</v>
      </c>
      <c r="S20" s="1353">
        <v>18631.454809999999</v>
      </c>
      <c r="T20" s="1353">
        <v>2103.2721900000001</v>
      </c>
      <c r="U20" s="1353">
        <v>19134.041519999999</v>
      </c>
      <c r="V20" s="1353">
        <v>2384.1380399999998</v>
      </c>
      <c r="W20" s="1353">
        <v>20130.978769999998</v>
      </c>
      <c r="X20" s="1353">
        <v>2632.8608799999997</v>
      </c>
      <c r="Y20" s="1353">
        <v>20272.71113</v>
      </c>
      <c r="Z20" s="1353">
        <v>4173.9099200000001</v>
      </c>
      <c r="AA20" s="1353">
        <v>1567.65553</v>
      </c>
      <c r="AB20" s="1353">
        <v>74.222369999999998</v>
      </c>
      <c r="AC20" s="1353">
        <v>4243.4874900000004</v>
      </c>
      <c r="AD20" s="1353">
        <v>362.16492999999997</v>
      </c>
      <c r="AE20" s="1353">
        <v>4852.5891600000004</v>
      </c>
      <c r="AF20" s="1353">
        <v>588.48744999999997</v>
      </c>
      <c r="AG20" s="1353">
        <v>6971.4165800000001</v>
      </c>
      <c r="AH20" s="1353">
        <v>813.35570999999993</v>
      </c>
      <c r="AI20" s="1353">
        <v>8008.6188499999998</v>
      </c>
      <c r="AJ20" s="1353">
        <v>985.04957999999999</v>
      </c>
      <c r="AK20" s="1353">
        <v>8760.2687799999985</v>
      </c>
      <c r="AL20" s="1353">
        <v>11363.505580000001</v>
      </c>
      <c r="AM20" s="1353">
        <v>10713.12356</v>
      </c>
      <c r="AN20" s="1353">
        <v>1553.60006</v>
      </c>
      <c r="AO20" s="1353">
        <v>12175.764710000001</v>
      </c>
      <c r="AP20" s="1353">
        <v>1937.6242299999999</v>
      </c>
      <c r="AQ20" s="1353">
        <v>14394.570460000001</v>
      </c>
      <c r="AR20" s="1353">
        <v>2180.1174000000001</v>
      </c>
      <c r="AS20" s="1353">
        <v>15044.245279999999</v>
      </c>
      <c r="AT20" s="1353">
        <v>2415.0828999999999</v>
      </c>
      <c r="AU20" s="1353">
        <v>16516.097010000001</v>
      </c>
      <c r="AV20" s="1353">
        <v>2741.56151</v>
      </c>
      <c r="AW20" s="1353">
        <v>16854.267589999999</v>
      </c>
      <c r="AX20" s="1353">
        <v>3147.5337200000004</v>
      </c>
      <c r="AY20" s="1353">
        <v>2234.6556499999997</v>
      </c>
      <c r="AZ20" s="1353">
        <v>244.96937</v>
      </c>
      <c r="BA20" s="1353">
        <v>5649.6916200000005</v>
      </c>
      <c r="BB20" s="1353">
        <v>488.74677000000003</v>
      </c>
      <c r="BC20" s="1353">
        <v>10121.16</v>
      </c>
      <c r="BD20" s="1353">
        <v>622.63</v>
      </c>
      <c r="BE20" s="1353">
        <v>12461.31256</v>
      </c>
      <c r="BF20" s="1353">
        <v>885.12126999999998</v>
      </c>
      <c r="BG20" s="1353">
        <v>14038.07769</v>
      </c>
      <c r="BH20" s="1353">
        <v>1241.7217800000001</v>
      </c>
      <c r="BI20" s="1353">
        <v>15023.40508</v>
      </c>
      <c r="BJ20" s="1353">
        <v>1506.7959499999999</v>
      </c>
      <c r="BK20" s="1353">
        <v>16303.51987</v>
      </c>
      <c r="BL20" s="1353">
        <v>1853.33312</v>
      </c>
      <c r="BM20" s="1353">
        <v>20185.569670000001</v>
      </c>
      <c r="BN20" s="1353">
        <v>2211.5339900000004</v>
      </c>
      <c r="BO20" s="1353">
        <v>22139.597899999997</v>
      </c>
      <c r="BP20" s="1353">
        <v>2439.2010099999998</v>
      </c>
      <c r="BQ20" s="1353">
        <v>22970.897000000001</v>
      </c>
      <c r="BR20" s="1353">
        <v>2763.83059</v>
      </c>
      <c r="BS20" s="1353">
        <v>24683.43489</v>
      </c>
      <c r="BT20" s="1353">
        <v>3127.14698</v>
      </c>
      <c r="BU20" s="1353">
        <v>25769.142309999999</v>
      </c>
      <c r="BV20" s="1353">
        <v>3648.01053</v>
      </c>
      <c r="BW20" s="1353">
        <v>2481.0495000000001</v>
      </c>
      <c r="BX20" s="1353">
        <v>213.92898000000002</v>
      </c>
      <c r="BY20" s="1353">
        <v>5549.0999000000002</v>
      </c>
      <c r="BZ20" s="1353">
        <v>392.83689000000004</v>
      </c>
      <c r="CA20" s="1353">
        <v>8624.2535700000008</v>
      </c>
      <c r="CB20" s="1353">
        <v>677.55155000000002</v>
      </c>
      <c r="CC20" s="1353">
        <v>11130.003570000001</v>
      </c>
      <c r="CD20" s="1353">
        <v>951.15003000000002</v>
      </c>
      <c r="CE20" s="1353">
        <v>13445.302800000001</v>
      </c>
      <c r="CF20" s="1353">
        <v>1310.08385</v>
      </c>
      <c r="CG20" s="1353">
        <v>14603.4144</v>
      </c>
      <c r="CH20" s="1353">
        <v>1666.6770200000001</v>
      </c>
      <c r="CI20" s="1353">
        <v>15452.547980000001</v>
      </c>
      <c r="CJ20" s="1353">
        <v>2115.4248700000003</v>
      </c>
      <c r="CK20" s="1353">
        <v>16701.564699999999</v>
      </c>
      <c r="CL20" s="1353">
        <v>2521.6019300000003</v>
      </c>
      <c r="CM20" s="1353">
        <v>18988.238079999999</v>
      </c>
      <c r="CN20" s="1353">
        <v>3038.9032400000001</v>
      </c>
      <c r="CO20" s="1353">
        <v>19778.093940000002</v>
      </c>
      <c r="CP20" s="1353">
        <v>3711.4229500000001</v>
      </c>
      <c r="CQ20" s="1353">
        <v>21017.948850000001</v>
      </c>
      <c r="CR20" s="1353">
        <v>4189.9391999999998</v>
      </c>
      <c r="CS20" s="1353">
        <v>21815.173999999999</v>
      </c>
      <c r="CT20" s="1353">
        <v>5030.2039000000004</v>
      </c>
      <c r="CU20" s="1353">
        <v>2751.5296899999998</v>
      </c>
      <c r="CV20" s="1353">
        <v>320.32468</v>
      </c>
      <c r="CW20" s="1353">
        <v>4021.3005200000002</v>
      </c>
      <c r="CX20" s="1353">
        <v>749.46460000000002</v>
      </c>
      <c r="CY20" s="1353">
        <v>7364.2606599999999</v>
      </c>
      <c r="CZ20" s="1353">
        <v>1114.1268400000001</v>
      </c>
      <c r="DA20" s="1353">
        <v>9501.9770800000006</v>
      </c>
      <c r="DB20" s="1353">
        <v>1382.81846</v>
      </c>
      <c r="DC20" s="1353">
        <v>10478.26059</v>
      </c>
      <c r="DD20" s="1353">
        <v>1855.88148</v>
      </c>
      <c r="DE20" s="1353">
        <v>13101.019550000001</v>
      </c>
      <c r="DF20" s="1353">
        <v>2182.2106699999999</v>
      </c>
      <c r="DG20" s="1353">
        <v>20294.351489999997</v>
      </c>
      <c r="DH20" s="1353">
        <v>2453.26242</v>
      </c>
      <c r="DI20" s="1353">
        <v>22194.402739999998</v>
      </c>
      <c r="DJ20" s="1353">
        <v>2854.4418500000002</v>
      </c>
      <c r="DK20" s="1353">
        <v>25657.887839999999</v>
      </c>
      <c r="DL20" s="1353">
        <v>3350.87554</v>
      </c>
      <c r="DM20" s="1353">
        <v>27503.11044</v>
      </c>
      <c r="DN20" s="1353">
        <v>3762.6462700000002</v>
      </c>
      <c r="DO20" s="1353">
        <v>27893.58596</v>
      </c>
      <c r="DP20" s="1353">
        <v>4282.2189800000006</v>
      </c>
      <c r="DQ20" s="1353">
        <v>28614.54895</v>
      </c>
      <c r="DR20" s="1353">
        <v>4860.7054000000007</v>
      </c>
      <c r="DS20" s="1353">
        <v>3186.9665</v>
      </c>
      <c r="DT20" s="1353">
        <v>270.67649999999998</v>
      </c>
      <c r="DU20" s="1353">
        <v>3851.9827200000004</v>
      </c>
      <c r="DV20" s="1353">
        <v>656.80472999999995</v>
      </c>
      <c r="DW20" s="1353">
        <v>7046.7783600000002</v>
      </c>
      <c r="DX20" s="1353">
        <v>1056.07275</v>
      </c>
      <c r="DY20" s="1353">
        <v>9173.4564399999999</v>
      </c>
      <c r="DZ20" s="1353">
        <v>1414.18292</v>
      </c>
      <c r="EA20" s="1353">
        <v>10453.977869999999</v>
      </c>
      <c r="EB20" s="1353">
        <v>1759.29709</v>
      </c>
      <c r="EC20" s="1353">
        <v>14019.825650000001</v>
      </c>
      <c r="ED20" s="1353">
        <v>2135.3593700000001</v>
      </c>
      <c r="EE20" s="1353">
        <v>14782.41137</v>
      </c>
      <c r="EF20" s="1353">
        <v>2745.2023899999999</v>
      </c>
      <c r="EG20" s="1353">
        <v>16164.55097</v>
      </c>
      <c r="EH20" s="1353">
        <v>3305.2505299999998</v>
      </c>
      <c r="EI20" s="1353">
        <v>18233.249309999999</v>
      </c>
      <c r="EJ20" s="1353">
        <v>3715.0556099999999</v>
      </c>
      <c r="EK20" s="1353">
        <v>22320.767629999998</v>
      </c>
      <c r="EL20" s="1353">
        <v>4179.9508800000003</v>
      </c>
      <c r="EM20" s="1353">
        <v>23722.307110000002</v>
      </c>
      <c r="EN20" s="1353">
        <v>4641.9537799999998</v>
      </c>
      <c r="EO20" s="1353">
        <v>24727.308730000001</v>
      </c>
      <c r="EP20" s="1353">
        <v>5324.4037900000003</v>
      </c>
      <c r="EQ20" s="1353">
        <v>2769.4575100000002</v>
      </c>
      <c r="ER20" s="1353">
        <v>434.94475999999997</v>
      </c>
      <c r="ES20" s="1363">
        <v>3893.5174200000001</v>
      </c>
      <c r="ET20" s="1354">
        <v>778.02341999999999</v>
      </c>
      <c r="EU20" s="1353">
        <v>6392.2154700000001</v>
      </c>
      <c r="EV20" s="1353">
        <v>1207.7311199999999</v>
      </c>
      <c r="EW20" s="1363">
        <v>8502.7692100000004</v>
      </c>
      <c r="EX20" s="1354">
        <v>1955.44192</v>
      </c>
      <c r="EY20" s="1353">
        <v>9462.9444899999999</v>
      </c>
      <c r="EZ20" s="1353">
        <v>2473.2462700000001</v>
      </c>
      <c r="FA20" s="1363">
        <v>10820.31272</v>
      </c>
      <c r="FB20" s="1354">
        <v>3047.6410900000001</v>
      </c>
      <c r="FC20" s="1353">
        <v>13132.812749999999</v>
      </c>
      <c r="FD20" s="1353">
        <v>3468.2575900000002</v>
      </c>
      <c r="FE20" s="1363">
        <v>16757.012269999999</v>
      </c>
      <c r="FF20" s="1354">
        <v>4811.0600100000001</v>
      </c>
      <c r="FG20" s="1363">
        <v>17895.153750000001</v>
      </c>
      <c r="FH20" s="1354">
        <v>5611.1705400000001</v>
      </c>
      <c r="FI20" s="1363">
        <v>19103.979489999998</v>
      </c>
      <c r="FJ20" s="1354">
        <v>6093.6673000000001</v>
      </c>
      <c r="FK20" s="1363">
        <v>21128.799790000001</v>
      </c>
      <c r="FL20" s="1354">
        <v>6748.9545399999997</v>
      </c>
      <c r="FM20" s="1354">
        <v>3151.87383</v>
      </c>
      <c r="FN20" s="1354">
        <v>800.17147999999997</v>
      </c>
      <c r="FO20" s="1354">
        <v>6104.7205700000004</v>
      </c>
      <c r="FP20" s="1354">
        <v>1624.4059399999999</v>
      </c>
      <c r="FQ20" s="1354">
        <v>8106.8852299999999</v>
      </c>
      <c r="FR20" s="1354">
        <v>1969.6034400000001</v>
      </c>
      <c r="FS20" s="1354">
        <v>10421.654839999999</v>
      </c>
      <c r="FT20" s="1354">
        <v>2631.5528999999997</v>
      </c>
      <c r="FU20" s="1354">
        <v>12924.399429999999</v>
      </c>
      <c r="FV20" s="1354">
        <v>3484.2400600000001</v>
      </c>
      <c r="FW20" s="1354">
        <v>15893.295480000001</v>
      </c>
      <c r="FX20" s="1354">
        <v>4155.9766200000004</v>
      </c>
      <c r="FY20" s="1354">
        <v>19011.398120000002</v>
      </c>
      <c r="FZ20" s="1354">
        <v>4779.3784000000005</v>
      </c>
      <c r="GA20" s="1354">
        <v>21956.390899999999</v>
      </c>
      <c r="GB20" s="1354">
        <v>5600.86499</v>
      </c>
      <c r="GC20" s="1354">
        <v>24822.356489999998</v>
      </c>
      <c r="GD20" s="1354">
        <v>6613.5919100000001</v>
      </c>
      <c r="GE20" s="1354">
        <v>26942.66635</v>
      </c>
      <c r="GF20" s="1354">
        <v>7361.5568000000003</v>
      </c>
      <c r="GG20" s="1354">
        <v>31032.585230000001</v>
      </c>
      <c r="GH20" s="1354">
        <v>8146.4604499999996</v>
      </c>
      <c r="GI20" s="1354">
        <v>33855.721649999999</v>
      </c>
      <c r="GJ20" s="1354">
        <v>8969.0511900000001</v>
      </c>
      <c r="GK20" s="1354">
        <v>4071.61168</v>
      </c>
      <c r="GL20" s="1354">
        <v>882.35235999999998</v>
      </c>
      <c r="GM20" s="1354">
        <v>6857.8350799999998</v>
      </c>
      <c r="GN20" s="1354">
        <v>1953.4977200000001</v>
      </c>
      <c r="GO20" s="2076" t="s">
        <v>3247</v>
      </c>
    </row>
    <row r="21" spans="1:197" ht="36" customHeight="1">
      <c r="A21" s="2074">
        <v>10</v>
      </c>
      <c r="B21" s="2075" t="s">
        <v>2373</v>
      </c>
      <c r="C21" s="1353">
        <v>7111.36456</v>
      </c>
      <c r="D21" s="1353">
        <v>1750.7861399999999</v>
      </c>
      <c r="E21" s="1353">
        <v>10421.340990000001</v>
      </c>
      <c r="F21" s="1353">
        <v>4956.3202499999998</v>
      </c>
      <c r="G21" s="1353">
        <v>21367.694520000001</v>
      </c>
      <c r="H21" s="1353">
        <v>6092.3665999999994</v>
      </c>
      <c r="I21" s="1353">
        <v>26381.697629999999</v>
      </c>
      <c r="J21" s="1353">
        <v>7331.3699500000002</v>
      </c>
      <c r="K21" s="1353">
        <v>33031.466140000004</v>
      </c>
      <c r="L21" s="1353">
        <v>9984.4656099999993</v>
      </c>
      <c r="M21" s="1353">
        <v>45029.690569999999</v>
      </c>
      <c r="N21" s="1353">
        <v>10661.883210000002</v>
      </c>
      <c r="O21" s="1353">
        <v>49579.820209999998</v>
      </c>
      <c r="P21" s="1353">
        <v>13567.048339999999</v>
      </c>
      <c r="Q21" s="1353">
        <v>55981.736259999998</v>
      </c>
      <c r="R21" s="1353">
        <v>14494.623720000001</v>
      </c>
      <c r="S21" s="1353">
        <v>61803.055780000002</v>
      </c>
      <c r="T21" s="1353">
        <v>25596.74235</v>
      </c>
      <c r="U21" s="1353">
        <v>66981.823520000005</v>
      </c>
      <c r="V21" s="1353">
        <v>32521.267500000002</v>
      </c>
      <c r="W21" s="1353">
        <v>71456.983919999999</v>
      </c>
      <c r="X21" s="1353">
        <v>43726.773209999999</v>
      </c>
      <c r="Y21" s="1353">
        <v>77678.739319999993</v>
      </c>
      <c r="Z21" s="1353">
        <v>45907.276259999999</v>
      </c>
      <c r="AA21" s="1353">
        <v>5628.6600699999999</v>
      </c>
      <c r="AB21" s="1353">
        <v>3559.8864399999998</v>
      </c>
      <c r="AC21" s="1353">
        <v>12549.975570000001</v>
      </c>
      <c r="AD21" s="1353">
        <v>6787.4014699999998</v>
      </c>
      <c r="AE21" s="1353">
        <v>32098.790010000001</v>
      </c>
      <c r="AF21" s="1353">
        <v>7755.2887799999999</v>
      </c>
      <c r="AG21" s="1353">
        <v>52407.826679999998</v>
      </c>
      <c r="AH21" s="1353">
        <v>10109.401970000001</v>
      </c>
      <c r="AI21" s="1353">
        <v>71711.206299999991</v>
      </c>
      <c r="AJ21" s="1353">
        <v>15119.23013</v>
      </c>
      <c r="AK21" s="1353">
        <v>79616.570749999999</v>
      </c>
      <c r="AL21" s="1353">
        <v>22305.654469999998</v>
      </c>
      <c r="AM21" s="1353">
        <v>89261.943700000003</v>
      </c>
      <c r="AN21" s="1353">
        <v>27907.615399999999</v>
      </c>
      <c r="AO21" s="1353">
        <v>101488.01815</v>
      </c>
      <c r="AP21" s="1353">
        <v>33614.4015</v>
      </c>
      <c r="AQ21" s="1353">
        <v>112191.90853</v>
      </c>
      <c r="AR21" s="1353">
        <v>38287.872560000003</v>
      </c>
      <c r="AS21" s="1353">
        <v>123370.84156</v>
      </c>
      <c r="AT21" s="1353">
        <v>39845.771000000001</v>
      </c>
      <c r="AU21" s="1353">
        <v>136797.91284</v>
      </c>
      <c r="AV21" s="1353">
        <v>53901.161220000002</v>
      </c>
      <c r="AW21" s="1353">
        <v>152757.72326</v>
      </c>
      <c r="AX21" s="1353">
        <v>58004.591979999997</v>
      </c>
      <c r="AY21" s="1353">
        <v>14475.66574</v>
      </c>
      <c r="AZ21" s="1353">
        <v>3810.5554300000003</v>
      </c>
      <c r="BA21" s="1353">
        <v>32446.387839999999</v>
      </c>
      <c r="BB21" s="1353">
        <v>7277.8875199999993</v>
      </c>
      <c r="BC21" s="1353">
        <v>55670.28</v>
      </c>
      <c r="BD21" s="1353">
        <v>16122.28</v>
      </c>
      <c r="BE21" s="1353">
        <v>108802.21024</v>
      </c>
      <c r="BF21" s="1353">
        <v>17926.602609999998</v>
      </c>
      <c r="BG21" s="1353">
        <v>128906.96195</v>
      </c>
      <c r="BH21" s="1353">
        <v>21499.141440000003</v>
      </c>
      <c r="BI21" s="1353">
        <v>144613.99130000002</v>
      </c>
      <c r="BJ21" s="1353">
        <v>31646.598670000003</v>
      </c>
      <c r="BK21" s="1353">
        <v>167728.85894999999</v>
      </c>
      <c r="BL21" s="1353">
        <v>42982.870670000004</v>
      </c>
      <c r="BM21" s="1353">
        <v>193453.54598</v>
      </c>
      <c r="BN21" s="1353">
        <v>52883.153590000002</v>
      </c>
      <c r="BO21" s="1353">
        <v>209227.23037</v>
      </c>
      <c r="BP21" s="1353">
        <v>58998.14316</v>
      </c>
      <c r="BQ21" s="1353">
        <v>226793.46322999999</v>
      </c>
      <c r="BR21" s="1353">
        <v>64479.079640000004</v>
      </c>
      <c r="BS21" s="1353">
        <v>244736.54996999999</v>
      </c>
      <c r="BT21" s="1353">
        <v>67300.197150000007</v>
      </c>
      <c r="BU21" s="1353">
        <v>264988.44341000001</v>
      </c>
      <c r="BV21" s="1353">
        <v>71045.488319999989</v>
      </c>
      <c r="BW21" s="1353">
        <v>10875.65128</v>
      </c>
      <c r="BX21" s="1353">
        <v>5786.5189400000008</v>
      </c>
      <c r="BY21" s="1353">
        <v>24222.887839999999</v>
      </c>
      <c r="BZ21" s="1353">
        <v>9350.44974</v>
      </c>
      <c r="CA21" s="1353">
        <v>39673.036820000001</v>
      </c>
      <c r="CB21" s="1353">
        <v>12489.02152</v>
      </c>
      <c r="CC21" s="1353">
        <v>74597.364560000002</v>
      </c>
      <c r="CD21" s="1353">
        <v>17619.540370000002</v>
      </c>
      <c r="CE21" s="1353">
        <v>94118.269799999995</v>
      </c>
      <c r="CF21" s="1353">
        <v>23803.995930000001</v>
      </c>
      <c r="CG21" s="1353">
        <v>109274.99931</v>
      </c>
      <c r="CH21" s="1353">
        <v>30995.156340000001</v>
      </c>
      <c r="CI21" s="1353">
        <v>131978.93851000001</v>
      </c>
      <c r="CJ21" s="1353">
        <v>52729.207190000001</v>
      </c>
      <c r="CK21" s="1353">
        <v>148624.46394999998</v>
      </c>
      <c r="CL21" s="1353">
        <v>56896.903969999999</v>
      </c>
      <c r="CM21" s="1353">
        <v>164442.13846000002</v>
      </c>
      <c r="CN21" s="1353">
        <v>67721.531090000004</v>
      </c>
      <c r="CO21" s="1353">
        <v>180106.52737999998</v>
      </c>
      <c r="CP21" s="1353">
        <v>74393.382259999998</v>
      </c>
      <c r="CQ21" s="1353">
        <v>194819.78725999998</v>
      </c>
      <c r="CR21" s="1353">
        <v>85046.970130000002</v>
      </c>
      <c r="CS21" s="1353">
        <v>212559.13927000001</v>
      </c>
      <c r="CT21" s="1353">
        <v>99505.083610000001</v>
      </c>
      <c r="CU21" s="1353">
        <v>14990.755050000002</v>
      </c>
      <c r="CV21" s="1353">
        <v>10317.388300000001</v>
      </c>
      <c r="CW21" s="1353">
        <v>31803.320789999998</v>
      </c>
      <c r="CX21" s="1353">
        <v>16340.731449999999</v>
      </c>
      <c r="CY21" s="1353">
        <v>53766.30848</v>
      </c>
      <c r="CZ21" s="1353">
        <v>29890.501660000002</v>
      </c>
      <c r="DA21" s="1353">
        <v>95750.372909999991</v>
      </c>
      <c r="DB21" s="1353">
        <v>37517.645640000002</v>
      </c>
      <c r="DC21" s="1353">
        <v>116541.16299</v>
      </c>
      <c r="DD21" s="1353">
        <v>57339.76023</v>
      </c>
      <c r="DE21" s="1353">
        <v>132820.29876999999</v>
      </c>
      <c r="DF21" s="1353">
        <v>91594.828540000002</v>
      </c>
      <c r="DG21" s="1353">
        <v>157504.18812000001</v>
      </c>
      <c r="DH21" s="1353">
        <v>117073.57173000001</v>
      </c>
      <c r="DI21" s="1353">
        <v>175687.96756999998</v>
      </c>
      <c r="DJ21" s="1353">
        <v>135692.19259999998</v>
      </c>
      <c r="DK21" s="1353">
        <v>194018.18998</v>
      </c>
      <c r="DL21" s="1353">
        <v>153373.87114999999</v>
      </c>
      <c r="DM21" s="1353">
        <v>208513.47675</v>
      </c>
      <c r="DN21" s="1353">
        <v>175706.16847999999</v>
      </c>
      <c r="DO21" s="1353">
        <v>224687.27267999999</v>
      </c>
      <c r="DP21" s="1353">
        <v>195758.50913999998</v>
      </c>
      <c r="DQ21" s="1353">
        <v>242631.50380999999</v>
      </c>
      <c r="DR21" s="1353">
        <v>222976.67261000001</v>
      </c>
      <c r="DS21" s="1353">
        <v>16451.372890000002</v>
      </c>
      <c r="DT21" s="1353">
        <v>24799.722460000001</v>
      </c>
      <c r="DU21" s="1353">
        <v>35539.49929</v>
      </c>
      <c r="DV21" s="1353">
        <v>43057.914750000004</v>
      </c>
      <c r="DW21" s="1353">
        <v>53200.697110000001</v>
      </c>
      <c r="DX21" s="1353">
        <v>73603.61626000001</v>
      </c>
      <c r="DY21" s="1353">
        <v>112049.78877</v>
      </c>
      <c r="DZ21" s="1353">
        <v>87592.309129999994</v>
      </c>
      <c r="EA21" s="1353">
        <v>139857.90568</v>
      </c>
      <c r="EB21" s="1353">
        <v>101253.27240999999</v>
      </c>
      <c r="EC21" s="1353">
        <v>159565.20569</v>
      </c>
      <c r="ED21" s="1353">
        <v>120864.04484999999</v>
      </c>
      <c r="EE21" s="1353">
        <v>190209.47081</v>
      </c>
      <c r="EF21" s="1353">
        <v>156590.89887</v>
      </c>
      <c r="EG21" s="1353">
        <v>212689.29696000001</v>
      </c>
      <c r="EH21" s="1353">
        <v>169286.15041</v>
      </c>
      <c r="EI21" s="1353">
        <v>235334.94305</v>
      </c>
      <c r="EJ21" s="1353">
        <v>178248.16876</v>
      </c>
      <c r="EK21" s="1353">
        <v>257859.96617</v>
      </c>
      <c r="EL21" s="1353">
        <v>187553.3083</v>
      </c>
      <c r="EM21" s="1353">
        <v>285244.81215000001</v>
      </c>
      <c r="EN21" s="1353">
        <v>197467.89678000001</v>
      </c>
      <c r="EO21" s="1353">
        <v>313005.82290999999</v>
      </c>
      <c r="EP21" s="1353">
        <v>204973.76217999999</v>
      </c>
      <c r="EQ21" s="1353">
        <v>25320.043399999999</v>
      </c>
      <c r="ER21" s="1353">
        <v>4384.90301</v>
      </c>
      <c r="ES21" s="1363">
        <v>51200.92224</v>
      </c>
      <c r="ET21" s="1354">
        <v>9108.0540099999998</v>
      </c>
      <c r="EU21" s="1353">
        <v>86301.711219999997</v>
      </c>
      <c r="EV21" s="1353">
        <v>14358.62651</v>
      </c>
      <c r="EW21" s="1363">
        <v>149814.75391999999</v>
      </c>
      <c r="EX21" s="1354">
        <v>23898.2124</v>
      </c>
      <c r="EY21" s="1353">
        <v>179671.071</v>
      </c>
      <c r="EZ21" s="1353">
        <v>41505.92325</v>
      </c>
      <c r="FA21" s="1363">
        <v>206649.23219000001</v>
      </c>
      <c r="FB21" s="1354">
        <v>71419.330199999997</v>
      </c>
      <c r="FC21" s="1353">
        <v>247668.15836999999</v>
      </c>
      <c r="FD21" s="1353">
        <v>119324.62454999999</v>
      </c>
      <c r="FE21" s="1363">
        <v>310508.68624000001</v>
      </c>
      <c r="FF21" s="1354">
        <v>159442.33340999999</v>
      </c>
      <c r="FG21" s="1363">
        <v>343083.35593999998</v>
      </c>
      <c r="FH21" s="1354">
        <v>181302.01229000001</v>
      </c>
      <c r="FI21" s="1363">
        <v>376003.00893000001</v>
      </c>
      <c r="FJ21" s="1354">
        <v>200807.16125</v>
      </c>
      <c r="FK21" s="1363">
        <v>413298.10379999998</v>
      </c>
      <c r="FL21" s="1354">
        <v>215366.24960000001</v>
      </c>
      <c r="FM21" s="1354">
        <v>33148.954729999998</v>
      </c>
      <c r="FN21" s="1354">
        <v>16259.291869999999</v>
      </c>
      <c r="FO21" s="1354">
        <v>67580.694329999998</v>
      </c>
      <c r="FP21" s="1354">
        <v>32887.903409999999</v>
      </c>
      <c r="FQ21" s="1354">
        <v>125461.44697999999</v>
      </c>
      <c r="FR21" s="1354">
        <v>48350.414830000002</v>
      </c>
      <c r="FS21" s="1354">
        <v>201305.37008000002</v>
      </c>
      <c r="FT21" s="1354">
        <v>62761.45132</v>
      </c>
      <c r="FU21" s="1354">
        <v>247765.1684</v>
      </c>
      <c r="FV21" s="1354">
        <v>82624.551790000012</v>
      </c>
      <c r="FW21" s="1354">
        <v>281827.76016000001</v>
      </c>
      <c r="FX21" s="1354">
        <v>113380.61442</v>
      </c>
      <c r="FY21" s="1354">
        <v>327010.25675</v>
      </c>
      <c r="FZ21" s="1354">
        <v>150921.31498</v>
      </c>
      <c r="GA21" s="1354">
        <v>362661.03821999999</v>
      </c>
      <c r="GB21" s="1354">
        <v>177122.12220000001</v>
      </c>
      <c r="GC21" s="1354">
        <v>402759.24317999999</v>
      </c>
      <c r="GD21" s="1354">
        <v>200038.39262</v>
      </c>
      <c r="GE21" s="1354">
        <v>437184.17278000002</v>
      </c>
      <c r="GF21" s="1354">
        <v>228204.5385</v>
      </c>
      <c r="GG21" s="1354">
        <v>473789.55265000003</v>
      </c>
      <c r="GH21" s="1354">
        <v>245345.83889000001</v>
      </c>
      <c r="GI21" s="1354">
        <v>517466.65562999999</v>
      </c>
      <c r="GJ21" s="1354">
        <v>266164.22191999998</v>
      </c>
      <c r="GK21" s="1354">
        <v>37810.71284</v>
      </c>
      <c r="GL21" s="1354">
        <v>17791.101429999999</v>
      </c>
      <c r="GM21" s="1354">
        <v>81390.161410000001</v>
      </c>
      <c r="GN21" s="1354">
        <v>51831.354229999997</v>
      </c>
      <c r="GO21" s="2076" t="s">
        <v>3249</v>
      </c>
    </row>
    <row r="22" spans="1:197" ht="36" customHeight="1">
      <c r="A22" s="2074">
        <v>11</v>
      </c>
      <c r="B22" s="2075" t="s">
        <v>2372</v>
      </c>
      <c r="C22" s="1353">
        <v>35221.493179999998</v>
      </c>
      <c r="D22" s="1353">
        <v>3287.5865699999999</v>
      </c>
      <c r="E22" s="1353">
        <v>40925.349040000001</v>
      </c>
      <c r="F22" s="1353">
        <v>6770.9138000000003</v>
      </c>
      <c r="G22" s="1353">
        <v>48840.028490000004</v>
      </c>
      <c r="H22" s="1353">
        <v>9873.5625500000006</v>
      </c>
      <c r="I22" s="1353">
        <v>55038.23861</v>
      </c>
      <c r="J22" s="1353">
        <v>14113.91661</v>
      </c>
      <c r="K22" s="1353">
        <v>59578.875850000004</v>
      </c>
      <c r="L22" s="1353">
        <v>17389.655579999999</v>
      </c>
      <c r="M22" s="1353">
        <v>64610.892590000003</v>
      </c>
      <c r="N22" s="1353">
        <v>20849.758249999999</v>
      </c>
      <c r="O22" s="1353">
        <v>70902.332129999995</v>
      </c>
      <c r="P22" s="1353">
        <v>24222.817190000002</v>
      </c>
      <c r="Q22" s="1353">
        <v>74656.310249999995</v>
      </c>
      <c r="R22" s="1353">
        <v>28436.331559999999</v>
      </c>
      <c r="S22" s="1353">
        <v>81220.484879999989</v>
      </c>
      <c r="T22" s="1353">
        <v>33159.900050000004</v>
      </c>
      <c r="U22" s="1353">
        <v>89523.191800000001</v>
      </c>
      <c r="V22" s="1353">
        <v>37687.068950000001</v>
      </c>
      <c r="W22" s="1353">
        <v>94390.744230000011</v>
      </c>
      <c r="X22" s="1353">
        <v>43066.164389999998</v>
      </c>
      <c r="Y22" s="1353">
        <v>100012.14726000001</v>
      </c>
      <c r="Z22" s="1353">
        <v>47438.605450000003</v>
      </c>
      <c r="AA22" s="1353">
        <v>37674.801590000003</v>
      </c>
      <c r="AB22" s="1353">
        <v>3762.3690699999997</v>
      </c>
      <c r="AC22" s="1353">
        <v>44234.193850000003</v>
      </c>
      <c r="AD22" s="1353">
        <v>6119.3040899999996</v>
      </c>
      <c r="AE22" s="1353">
        <v>49697.404259999996</v>
      </c>
      <c r="AF22" s="1353">
        <v>9121.7510000000002</v>
      </c>
      <c r="AG22" s="1353">
        <v>53372.329279999998</v>
      </c>
      <c r="AH22" s="1353">
        <v>10280.55939</v>
      </c>
      <c r="AI22" s="1353">
        <v>60348.762579999995</v>
      </c>
      <c r="AJ22" s="1353">
        <v>13203.19398</v>
      </c>
      <c r="AK22" s="1353">
        <v>66663.840859999997</v>
      </c>
      <c r="AL22" s="1353">
        <v>19997.520329999999</v>
      </c>
      <c r="AM22" s="1353">
        <v>73787.220549999998</v>
      </c>
      <c r="AN22" s="1353">
        <v>24323.390489999998</v>
      </c>
      <c r="AO22" s="1353">
        <v>83143.308019999997</v>
      </c>
      <c r="AP22" s="1353">
        <v>31831.445920000002</v>
      </c>
      <c r="AQ22" s="1353">
        <v>93613.71087000001</v>
      </c>
      <c r="AR22" s="1353">
        <v>35160.967299999997</v>
      </c>
      <c r="AS22" s="1353">
        <v>99611.436239999995</v>
      </c>
      <c r="AT22" s="1353">
        <v>39974.072560000001</v>
      </c>
      <c r="AU22" s="1353">
        <v>103334.57759</v>
      </c>
      <c r="AV22" s="1353">
        <v>41953.754679999998</v>
      </c>
      <c r="AW22" s="1353">
        <v>107569.00523000001</v>
      </c>
      <c r="AX22" s="1353">
        <v>43439.060829999995</v>
      </c>
      <c r="AY22" s="1353">
        <v>41233.749240000005</v>
      </c>
      <c r="AZ22" s="1353">
        <v>4869.3622000000005</v>
      </c>
      <c r="BA22" s="1353">
        <v>49454.416149999997</v>
      </c>
      <c r="BB22" s="1353">
        <v>8749.8077400000002</v>
      </c>
      <c r="BC22" s="1353">
        <v>65545.34</v>
      </c>
      <c r="BD22" s="1353">
        <v>12188.35</v>
      </c>
      <c r="BE22" s="1353">
        <v>70927.784370000008</v>
      </c>
      <c r="BF22" s="1353">
        <v>18343.085520000001</v>
      </c>
      <c r="BG22" s="1353">
        <v>78001.323269999993</v>
      </c>
      <c r="BH22" s="1353">
        <v>22474.52002</v>
      </c>
      <c r="BI22" s="1353">
        <v>83362.840580000004</v>
      </c>
      <c r="BJ22" s="1353">
        <v>25459.676829999997</v>
      </c>
      <c r="BK22" s="1353">
        <v>89478.11954</v>
      </c>
      <c r="BL22" s="1353">
        <v>29759.360619999999</v>
      </c>
      <c r="BM22" s="1353">
        <v>96584.146420000005</v>
      </c>
      <c r="BN22" s="1353">
        <v>34394.089249999997</v>
      </c>
      <c r="BO22" s="1353">
        <v>108243.28770999999</v>
      </c>
      <c r="BP22" s="1353">
        <v>37152.797250000003</v>
      </c>
      <c r="BQ22" s="1353">
        <v>118064.85301000001</v>
      </c>
      <c r="BR22" s="1353">
        <v>41521.60886</v>
      </c>
      <c r="BS22" s="1353">
        <v>122357.80517000001</v>
      </c>
      <c r="BT22" s="1353">
        <v>47319.964799999994</v>
      </c>
      <c r="BU22" s="1353">
        <v>128007.03637</v>
      </c>
      <c r="BV22" s="1353">
        <v>49520.255770000003</v>
      </c>
      <c r="BW22" s="1353">
        <v>46420.087409999993</v>
      </c>
      <c r="BX22" s="1353">
        <v>1392.1319099999998</v>
      </c>
      <c r="BY22" s="1353">
        <v>57970.750329999995</v>
      </c>
      <c r="BZ22" s="1353">
        <v>5757.9493200000006</v>
      </c>
      <c r="CA22" s="1353">
        <v>64468.551700000004</v>
      </c>
      <c r="CB22" s="1353">
        <v>9043.7795900000001</v>
      </c>
      <c r="CC22" s="1353">
        <v>71970.155350000001</v>
      </c>
      <c r="CD22" s="1353">
        <v>14675.89</v>
      </c>
      <c r="CE22" s="1353">
        <v>81416.358999999997</v>
      </c>
      <c r="CF22" s="1353">
        <v>19792.368999999999</v>
      </c>
      <c r="CG22" s="1353">
        <v>89197.641220000005</v>
      </c>
      <c r="CH22" s="1353">
        <v>25579.25404</v>
      </c>
      <c r="CI22" s="1353">
        <v>96468.642819999994</v>
      </c>
      <c r="CJ22" s="1353">
        <v>25861.174039999998</v>
      </c>
      <c r="CK22" s="1353">
        <v>104745.69085</v>
      </c>
      <c r="CL22" s="1353">
        <v>33210.036039999999</v>
      </c>
      <c r="CM22" s="1353">
        <v>118960.93228000001</v>
      </c>
      <c r="CN22" s="1353">
        <v>38300.608289999996</v>
      </c>
      <c r="CO22" s="1353">
        <v>132632.52528</v>
      </c>
      <c r="CP22" s="1353">
        <v>43645.506390000002</v>
      </c>
      <c r="CQ22" s="1353">
        <v>139270.495</v>
      </c>
      <c r="CR22" s="1353">
        <v>49663.697</v>
      </c>
      <c r="CS22" s="1353">
        <v>150176.91396000001</v>
      </c>
      <c r="CT22" s="1353">
        <v>52797.747080000001</v>
      </c>
      <c r="CU22" s="1353">
        <v>56578.216310000003</v>
      </c>
      <c r="CV22" s="1353">
        <v>5414.6367199999995</v>
      </c>
      <c r="CW22" s="1353">
        <v>67269.746419999996</v>
      </c>
      <c r="CX22" s="1353">
        <v>8810.8865999999998</v>
      </c>
      <c r="CY22" s="1353">
        <v>75930.329549999995</v>
      </c>
      <c r="CZ22" s="1353">
        <v>15308.801369999999</v>
      </c>
      <c r="DA22" s="1353">
        <v>83397.370890000006</v>
      </c>
      <c r="DB22" s="1353">
        <v>20954.808010000001</v>
      </c>
      <c r="DC22" s="1353">
        <v>90581.469799999992</v>
      </c>
      <c r="DD22" s="1353">
        <v>27919.489879999997</v>
      </c>
      <c r="DE22" s="1353">
        <v>100211.72125</v>
      </c>
      <c r="DF22" s="1353">
        <v>31642.384489999997</v>
      </c>
      <c r="DG22" s="1353">
        <v>109920.42668</v>
      </c>
      <c r="DH22" s="1353">
        <v>34843.251779999999</v>
      </c>
      <c r="DI22" s="1353">
        <v>122666.97942</v>
      </c>
      <c r="DJ22" s="1353">
        <v>38614.629810000006</v>
      </c>
      <c r="DK22" s="1353">
        <v>134766.32167999999</v>
      </c>
      <c r="DL22" s="1353">
        <v>52894.339439999996</v>
      </c>
      <c r="DM22" s="1353">
        <v>145939.57534000001</v>
      </c>
      <c r="DN22" s="1353">
        <v>55813.869749999998</v>
      </c>
      <c r="DO22" s="1353">
        <v>151556.59073</v>
      </c>
      <c r="DP22" s="1353">
        <v>58908.248540000001</v>
      </c>
      <c r="DQ22" s="1353">
        <v>163453.35830000002</v>
      </c>
      <c r="DR22" s="1353">
        <v>71452.031080000001</v>
      </c>
      <c r="DS22" s="1353">
        <v>51225.643069999998</v>
      </c>
      <c r="DT22" s="1353">
        <v>7481.6456100000005</v>
      </c>
      <c r="DU22" s="1353">
        <v>65813.631250000006</v>
      </c>
      <c r="DV22" s="1353">
        <v>13047.1054</v>
      </c>
      <c r="DW22" s="1353">
        <v>79291.293489999996</v>
      </c>
      <c r="DX22" s="1353">
        <v>15645.088589999999</v>
      </c>
      <c r="DY22" s="1353">
        <v>87218.987590000004</v>
      </c>
      <c r="DZ22" s="1353">
        <v>19677.47611</v>
      </c>
      <c r="EA22" s="1353">
        <v>95592.521049999996</v>
      </c>
      <c r="EB22" s="1353">
        <v>23134.08268</v>
      </c>
      <c r="EC22" s="1353">
        <v>105765.65452</v>
      </c>
      <c r="ED22" s="1353">
        <v>29825.45939</v>
      </c>
      <c r="EE22" s="1353">
        <v>120692.77292</v>
      </c>
      <c r="EF22" s="1353">
        <v>35113.862789999999</v>
      </c>
      <c r="EG22" s="1353">
        <v>127405.53</v>
      </c>
      <c r="EH22" s="1353">
        <v>49492.572030000003</v>
      </c>
      <c r="EI22" s="1353">
        <v>150625.96319000001</v>
      </c>
      <c r="EJ22" s="1353">
        <v>58448.597310000005</v>
      </c>
      <c r="EK22" s="1353">
        <v>157704.51853999999</v>
      </c>
      <c r="EL22" s="1353">
        <v>64625.092620000003</v>
      </c>
      <c r="EM22" s="1353">
        <v>164598.85021999999</v>
      </c>
      <c r="EN22" s="1353">
        <v>68636.230060000002</v>
      </c>
      <c r="EO22" s="1353">
        <v>179229.35571999999</v>
      </c>
      <c r="EP22" s="1353">
        <v>75010.262520000004</v>
      </c>
      <c r="EQ22" s="1353">
        <v>59855.942369999997</v>
      </c>
      <c r="ER22" s="1353">
        <v>3100.9073800000001</v>
      </c>
      <c r="ES22" s="1363">
        <v>72559.160919999995</v>
      </c>
      <c r="ET22" s="1354">
        <v>11599.663839999999</v>
      </c>
      <c r="EU22" s="1353">
        <v>85361.039309999993</v>
      </c>
      <c r="EV22" s="1353">
        <v>17181.026450000001</v>
      </c>
      <c r="EW22" s="1363">
        <v>96041.835569999996</v>
      </c>
      <c r="EX22" s="1354">
        <v>24904.63798</v>
      </c>
      <c r="EY22" s="1353">
        <v>109335.55128</v>
      </c>
      <c r="EZ22" s="1353">
        <v>30183.416450000001</v>
      </c>
      <c r="FA22" s="1363">
        <v>120607.40051000001</v>
      </c>
      <c r="FB22" s="1354">
        <v>36000.943339999903</v>
      </c>
      <c r="FC22" s="1353">
        <v>137463.38609000001</v>
      </c>
      <c r="FD22" s="1353">
        <v>41588.87066</v>
      </c>
      <c r="FE22" s="1363">
        <v>172884.26991</v>
      </c>
      <c r="FF22" s="1354">
        <v>53466.169620000001</v>
      </c>
      <c r="FG22" s="1363">
        <v>182918.19576</v>
      </c>
      <c r="FH22" s="1354">
        <v>58944.947979999997</v>
      </c>
      <c r="FI22" s="1363">
        <v>194543.34026</v>
      </c>
      <c r="FJ22" s="1354">
        <v>63009.873820000001</v>
      </c>
      <c r="FK22" s="1363">
        <v>215131.84138</v>
      </c>
      <c r="FL22" s="1354">
        <v>66907.458549999996</v>
      </c>
      <c r="FM22" s="2077">
        <v>61892.106020000007</v>
      </c>
      <c r="FN22" s="1354">
        <v>6041.3434699999998</v>
      </c>
      <c r="FO22" s="1354">
        <v>81110.348280000006</v>
      </c>
      <c r="FP22" s="1354">
        <v>11669.42215</v>
      </c>
      <c r="FQ22" s="1354">
        <v>105380.55508000001</v>
      </c>
      <c r="FR22" s="1354">
        <v>17753.11836</v>
      </c>
      <c r="FS22" s="1354">
        <v>121562.28306999999</v>
      </c>
      <c r="FT22" s="1354">
        <v>24134.090850000001</v>
      </c>
      <c r="FU22" s="1354">
        <v>140479.43674999999</v>
      </c>
      <c r="FV22" s="1354">
        <v>30939.653839999999</v>
      </c>
      <c r="FW22" s="1354">
        <v>163423.30710000001</v>
      </c>
      <c r="FX22" s="1354">
        <v>37783.731799999994</v>
      </c>
      <c r="FY22" s="1354">
        <v>188862.28013</v>
      </c>
      <c r="FZ22" s="1354">
        <v>45089.197200000002</v>
      </c>
      <c r="GA22" s="1354">
        <v>207880.78190999999</v>
      </c>
      <c r="GB22" s="1354">
        <v>53843.698850000001</v>
      </c>
      <c r="GC22" s="1354">
        <v>226577.47053999998</v>
      </c>
      <c r="GD22" s="1354">
        <v>67619.783739999999</v>
      </c>
      <c r="GE22" s="1354">
        <v>248986.07190000001</v>
      </c>
      <c r="GF22" s="1354">
        <v>77709.491099999999</v>
      </c>
      <c r="GG22" s="1354">
        <v>265495.34577999997</v>
      </c>
      <c r="GH22" s="1354">
        <v>89525.853730000003</v>
      </c>
      <c r="GI22" s="1354">
        <v>293090.57013000001</v>
      </c>
      <c r="GJ22" s="1354">
        <v>144012.17965000001</v>
      </c>
      <c r="GK22" s="1354">
        <v>68700.63751</v>
      </c>
      <c r="GL22" s="1354">
        <v>8481.7184799999995</v>
      </c>
      <c r="GM22" s="1354">
        <v>90703.944989999989</v>
      </c>
      <c r="GN22" s="1354">
        <v>18027.527529999999</v>
      </c>
      <c r="GO22" s="2076" t="s">
        <v>3250</v>
      </c>
    </row>
    <row r="23" spans="1:197" ht="36" customHeight="1">
      <c r="A23" s="2074">
        <v>12</v>
      </c>
      <c r="B23" s="2075" t="s">
        <v>2371</v>
      </c>
      <c r="C23" s="1353">
        <v>3013.17</v>
      </c>
      <c r="D23" s="1353">
        <v>2.1949999999999998</v>
      </c>
      <c r="E23" s="1353">
        <v>5713.4689400000007</v>
      </c>
      <c r="F23" s="1353">
        <v>3412.3323399999999</v>
      </c>
      <c r="G23" s="1353">
        <v>8190.3213099999994</v>
      </c>
      <c r="H23" s="1353">
        <v>3802.55656</v>
      </c>
      <c r="I23" s="1353">
        <v>10889.157499999999</v>
      </c>
      <c r="J23" s="1353">
        <v>4332.0009500000006</v>
      </c>
      <c r="K23" s="1353">
        <v>15406.210999999999</v>
      </c>
      <c r="L23" s="1353">
        <v>8799.2549299999991</v>
      </c>
      <c r="M23" s="1353">
        <v>16947.738000000001</v>
      </c>
      <c r="N23" s="1353">
        <v>9423.5326400000013</v>
      </c>
      <c r="O23" s="1353">
        <v>22483.764999999999</v>
      </c>
      <c r="P23" s="1353">
        <v>11026.849</v>
      </c>
      <c r="Q23" s="1353">
        <v>24731.312999999998</v>
      </c>
      <c r="R23" s="1353">
        <v>14061.576999999999</v>
      </c>
      <c r="S23" s="1353">
        <v>26373.764999999999</v>
      </c>
      <c r="T23" s="1353">
        <v>19001.14</v>
      </c>
      <c r="U23" s="1353">
        <v>27887.284</v>
      </c>
      <c r="V23" s="1353">
        <v>20046.441999999999</v>
      </c>
      <c r="W23" s="1353">
        <v>29672.706999999999</v>
      </c>
      <c r="X23" s="1353">
        <v>21004.513999999999</v>
      </c>
      <c r="Y23" s="1353">
        <v>31737.937999999998</v>
      </c>
      <c r="Z23" s="1353">
        <v>21959.718000000001</v>
      </c>
      <c r="AA23" s="1353">
        <v>1204.0567599999999</v>
      </c>
      <c r="AB23" s="1353">
        <v>1454.6282800000001</v>
      </c>
      <c r="AC23" s="1353">
        <v>3126.2185399999998</v>
      </c>
      <c r="AD23" s="1353">
        <v>2320.38148</v>
      </c>
      <c r="AE23" s="1353">
        <v>4260.9535199999991</v>
      </c>
      <c r="AF23" s="1353">
        <v>3458.8797100000002</v>
      </c>
      <c r="AG23" s="1353">
        <v>5785.2639100000006</v>
      </c>
      <c r="AH23" s="1353">
        <v>4935.2298499999997</v>
      </c>
      <c r="AI23" s="1353">
        <v>7372.5469499999999</v>
      </c>
      <c r="AJ23" s="1353">
        <v>9060.7184699999998</v>
      </c>
      <c r="AK23" s="1353">
        <v>8748.3058699999983</v>
      </c>
      <c r="AL23" s="1353">
        <v>1594.4327900000001</v>
      </c>
      <c r="AM23" s="1353">
        <v>10371.667019999999</v>
      </c>
      <c r="AN23" s="1353">
        <v>12322.83814</v>
      </c>
      <c r="AO23" s="1353">
        <v>12882.168240000001</v>
      </c>
      <c r="AP23" s="1353">
        <v>12949.103519999999</v>
      </c>
      <c r="AQ23" s="1353">
        <v>14145.020060000001</v>
      </c>
      <c r="AR23" s="1353">
        <v>14420.57439</v>
      </c>
      <c r="AS23" s="1353">
        <v>15738.71026</v>
      </c>
      <c r="AT23" s="1353">
        <v>15403.710800000001</v>
      </c>
      <c r="AU23" s="1353">
        <v>18606.235350000003</v>
      </c>
      <c r="AV23" s="1353">
        <v>16153.67282</v>
      </c>
      <c r="AW23" s="1353">
        <v>19893.53772</v>
      </c>
      <c r="AX23" s="1353">
        <v>17582.577219999999</v>
      </c>
      <c r="AY23" s="1353">
        <v>954.92994999999996</v>
      </c>
      <c r="AZ23" s="1353">
        <v>3258.6581099999999</v>
      </c>
      <c r="BA23" s="1353">
        <v>2227.8647999999998</v>
      </c>
      <c r="BB23" s="1353">
        <v>4551.1624599999996</v>
      </c>
      <c r="BC23" s="1353">
        <v>3167.53</v>
      </c>
      <c r="BD23" s="1353">
        <v>5524.63</v>
      </c>
      <c r="BE23" s="1353">
        <v>5283.3115299999999</v>
      </c>
      <c r="BF23" s="1353">
        <v>6410.0361700000003</v>
      </c>
      <c r="BG23" s="1353">
        <v>6438.7109400000008</v>
      </c>
      <c r="BH23" s="1353">
        <v>8682.0191400000003</v>
      </c>
      <c r="BI23" s="1353">
        <v>7452.6360500000001</v>
      </c>
      <c r="BJ23" s="1353">
        <v>9439.6182799999988</v>
      </c>
      <c r="BK23" s="1353">
        <v>9096.3939100000007</v>
      </c>
      <c r="BL23" s="1353">
        <v>10460.183999999999</v>
      </c>
      <c r="BM23" s="1353">
        <v>10859.14278</v>
      </c>
      <c r="BN23" s="1353">
        <v>10952.355970000001</v>
      </c>
      <c r="BO23" s="1353">
        <v>12374.93519</v>
      </c>
      <c r="BP23" s="1353">
        <v>11347.45181</v>
      </c>
      <c r="BQ23" s="1353">
        <v>13643.04083</v>
      </c>
      <c r="BR23" s="1353">
        <v>11724.842689999999</v>
      </c>
      <c r="BS23" s="1353">
        <v>14827.289699999999</v>
      </c>
      <c r="BT23" s="1353">
        <v>12094.945669999999</v>
      </c>
      <c r="BU23" s="1353">
        <v>15897.041359999999</v>
      </c>
      <c r="BV23" s="1353">
        <v>12349.16095</v>
      </c>
      <c r="BW23" s="1353">
        <v>583.78400999999997</v>
      </c>
      <c r="BX23" s="1353">
        <v>257.32846999999998</v>
      </c>
      <c r="BY23" s="1353">
        <v>1766.8981299999998</v>
      </c>
      <c r="BZ23" s="1353">
        <v>470.65962999999999</v>
      </c>
      <c r="CA23" s="1353">
        <v>2579.3276000000001</v>
      </c>
      <c r="CB23" s="1353">
        <v>637.83263999999997</v>
      </c>
      <c r="CC23" s="1353">
        <v>3601.6342500000001</v>
      </c>
      <c r="CD23" s="1353">
        <v>806.89287999999999</v>
      </c>
      <c r="CE23" s="1353">
        <v>5011.8204100000003</v>
      </c>
      <c r="CF23" s="1353">
        <v>2756.1575499999999</v>
      </c>
      <c r="CG23" s="1353">
        <v>5932.2200599999996</v>
      </c>
      <c r="CH23" s="1353">
        <v>3614.96765</v>
      </c>
      <c r="CI23" s="1353">
        <v>7222.9045500000002</v>
      </c>
      <c r="CJ23" s="1353">
        <v>4422.2173499999999</v>
      </c>
      <c r="CK23" s="1353">
        <v>9686.3846400000002</v>
      </c>
      <c r="CL23" s="1353">
        <v>4723.5481900000004</v>
      </c>
      <c r="CM23" s="1353">
        <v>10522.01921</v>
      </c>
      <c r="CN23" s="1353">
        <v>5806.7676900000006</v>
      </c>
      <c r="CO23" s="1353">
        <v>11351.963699999998</v>
      </c>
      <c r="CP23" s="1353">
        <v>6045.0555800000002</v>
      </c>
      <c r="CQ23" s="1353">
        <v>13297.12513</v>
      </c>
      <c r="CR23" s="1353">
        <v>6155.3352699999996</v>
      </c>
      <c r="CS23" s="1353">
        <v>14860.88582</v>
      </c>
      <c r="CT23" s="1353">
        <v>6262.2628299999997</v>
      </c>
      <c r="CU23" s="1353">
        <v>669.35284999999999</v>
      </c>
      <c r="CV23" s="1353">
        <v>393.52616999999998</v>
      </c>
      <c r="CW23" s="1353">
        <v>1758.0514599999999</v>
      </c>
      <c r="CX23" s="1353">
        <v>1242.23395</v>
      </c>
      <c r="CY23" s="1353">
        <v>2393.2751600000001</v>
      </c>
      <c r="CZ23" s="1353">
        <v>1450.2645299999999</v>
      </c>
      <c r="DA23" s="1353">
        <v>3731.9303999999997</v>
      </c>
      <c r="DB23" s="1353">
        <v>1465.4981</v>
      </c>
      <c r="DC23" s="1353">
        <v>5173.9902499999998</v>
      </c>
      <c r="DD23" s="1353">
        <v>1482.0027399999999</v>
      </c>
      <c r="DE23" s="1353">
        <v>6210.3274499999998</v>
      </c>
      <c r="DF23" s="1353">
        <v>1602.05736</v>
      </c>
      <c r="DG23" s="1353">
        <v>8022.9309699999994</v>
      </c>
      <c r="DH23" s="1353">
        <v>1624.03899</v>
      </c>
      <c r="DI23" s="1353">
        <v>10648.850630000001</v>
      </c>
      <c r="DJ23" s="1353">
        <v>1819.72801</v>
      </c>
      <c r="DK23" s="1353">
        <v>11903.947880000002</v>
      </c>
      <c r="DL23" s="1353">
        <v>1939.38932</v>
      </c>
      <c r="DM23" s="1353">
        <v>13451.69075</v>
      </c>
      <c r="DN23" s="1353">
        <v>2404.3788799999998</v>
      </c>
      <c r="DO23" s="1353">
        <v>14636.02577</v>
      </c>
      <c r="DP23" s="1353">
        <v>2527.4334700000004</v>
      </c>
      <c r="DQ23" s="1353">
        <v>15942.26714</v>
      </c>
      <c r="DR23" s="1353">
        <v>4051.9436600000004</v>
      </c>
      <c r="DS23" s="1353">
        <v>793.86986999999999</v>
      </c>
      <c r="DT23" s="1353">
        <v>226.05765</v>
      </c>
      <c r="DU23" s="1353">
        <v>2327.0565899999997</v>
      </c>
      <c r="DV23" s="1353">
        <v>717.25036</v>
      </c>
      <c r="DW23" s="1353">
        <v>3537.4965099999999</v>
      </c>
      <c r="DX23" s="1353">
        <v>841.42061999999999</v>
      </c>
      <c r="DY23" s="1353">
        <v>5131.87464</v>
      </c>
      <c r="DZ23" s="1353">
        <v>1000.25686</v>
      </c>
      <c r="EA23" s="1353">
        <v>6438.9407499999998</v>
      </c>
      <c r="EB23" s="1353">
        <v>1154.7743500000001</v>
      </c>
      <c r="EC23" s="1353">
        <v>7709.9269899999999</v>
      </c>
      <c r="ED23" s="1353">
        <v>1331.7523899999999</v>
      </c>
      <c r="EE23" s="1353">
        <v>10839.239119999998</v>
      </c>
      <c r="EF23" s="1353">
        <v>1509.8169399999999</v>
      </c>
      <c r="EG23" s="1353">
        <v>13109.602359999999</v>
      </c>
      <c r="EH23" s="1353">
        <v>1540.0573200000001</v>
      </c>
      <c r="EI23" s="1353">
        <v>14895.35396</v>
      </c>
      <c r="EJ23" s="1353">
        <v>2253.6467000000002</v>
      </c>
      <c r="EK23" s="1353">
        <v>16496.636579999999</v>
      </c>
      <c r="EL23" s="1353">
        <v>2395.7028599999999</v>
      </c>
      <c r="EM23" s="1353">
        <v>17793.394039999999</v>
      </c>
      <c r="EN23" s="1353">
        <v>2648.2793099999999</v>
      </c>
      <c r="EO23" s="1353">
        <v>19232.154910000001</v>
      </c>
      <c r="EP23" s="1353">
        <v>3119.4384300000002</v>
      </c>
      <c r="EQ23" s="1353">
        <v>969.23221999999998</v>
      </c>
      <c r="ER23" s="1353">
        <v>110.25497</v>
      </c>
      <c r="ES23" s="1363">
        <v>2941.9253199999998</v>
      </c>
      <c r="ET23" s="1354">
        <v>319.40539000000001</v>
      </c>
      <c r="EU23" s="1353">
        <v>4201.0207499999997</v>
      </c>
      <c r="EV23" s="1353">
        <v>473.01152999999999</v>
      </c>
      <c r="EW23" s="1363">
        <v>6107.0601900000001</v>
      </c>
      <c r="EX23" s="1354">
        <v>550.35058000000004</v>
      </c>
      <c r="EY23" s="1353">
        <v>7660.6097200000004</v>
      </c>
      <c r="EZ23" s="1353">
        <v>963.73891000000003</v>
      </c>
      <c r="FA23" s="1363">
        <v>8940.5182700000005</v>
      </c>
      <c r="FB23" s="1354">
        <v>1526.07915</v>
      </c>
      <c r="FC23" s="1353">
        <v>11527.433000000001</v>
      </c>
      <c r="FD23" s="1353">
        <v>1565.72849</v>
      </c>
      <c r="FE23" s="1363">
        <v>14727.61577</v>
      </c>
      <c r="FF23" s="1354">
        <v>1702.6388199999999</v>
      </c>
      <c r="FG23" s="1363">
        <v>17017.731469999999</v>
      </c>
      <c r="FH23" s="1354">
        <v>1930.2742499999999</v>
      </c>
      <c r="FI23" s="1363">
        <v>19163.069199999998</v>
      </c>
      <c r="FJ23" s="1354">
        <v>2259.9180799999999</v>
      </c>
      <c r="FK23" s="1363">
        <v>21241.758949999999</v>
      </c>
      <c r="FL23" s="1354">
        <v>2325.69704</v>
      </c>
      <c r="FM23" s="1354">
        <v>1177.4265399999999</v>
      </c>
      <c r="FN23" s="1354">
        <v>29.763339999999999</v>
      </c>
      <c r="FO23" s="1354">
        <v>4204.4232099999999</v>
      </c>
      <c r="FP23" s="1354">
        <v>685.77191000000005</v>
      </c>
      <c r="FQ23" s="1354">
        <v>5781.83241</v>
      </c>
      <c r="FR23" s="1354">
        <v>867.96416999999997</v>
      </c>
      <c r="FS23" s="1354">
        <v>8021.2286799999993</v>
      </c>
      <c r="FT23" s="1354">
        <v>903.55177000000003</v>
      </c>
      <c r="FU23" s="1354">
        <v>10375.729369999999</v>
      </c>
      <c r="FV23" s="1354">
        <v>1038.87086</v>
      </c>
      <c r="FW23" s="1354">
        <v>11861.04189</v>
      </c>
      <c r="FX23" s="1354">
        <v>1444.5841799999998</v>
      </c>
      <c r="FY23" s="1354">
        <v>14974.525949999999</v>
      </c>
      <c r="FZ23" s="1354">
        <v>1648.67749</v>
      </c>
      <c r="GA23" s="1354">
        <v>17874.11609</v>
      </c>
      <c r="GB23" s="1354">
        <v>2163.67002</v>
      </c>
      <c r="GC23" s="1354">
        <v>19223.95693</v>
      </c>
      <c r="GD23" s="1354">
        <v>2543.0409599999998</v>
      </c>
      <c r="GE23" s="1354">
        <v>21449.04811</v>
      </c>
      <c r="GF23" s="1354">
        <v>2790.5878200000002</v>
      </c>
      <c r="GG23" s="1354">
        <v>23211.83581</v>
      </c>
      <c r="GH23" s="1354">
        <v>3143.6208799999999</v>
      </c>
      <c r="GI23" s="1354">
        <v>25357.100539999999</v>
      </c>
      <c r="GJ23" s="1354">
        <v>3387.03341</v>
      </c>
      <c r="GK23" s="1354">
        <v>971.90337</v>
      </c>
      <c r="GL23" s="1354">
        <v>212.35144</v>
      </c>
      <c r="GM23" s="1354">
        <v>3875.50864</v>
      </c>
      <c r="GN23" s="1354">
        <v>872.16201999999998</v>
      </c>
      <c r="GO23" s="2076" t="s">
        <v>3251</v>
      </c>
    </row>
    <row r="24" spans="1:197" ht="36" customHeight="1">
      <c r="A24" s="2074">
        <v>13</v>
      </c>
      <c r="B24" s="2075" t="s">
        <v>2370</v>
      </c>
      <c r="C24" s="1353">
        <v>1850.1813500000001</v>
      </c>
      <c r="D24" s="1353">
        <v>0</v>
      </c>
      <c r="E24" s="1353">
        <v>1850.1813500000001</v>
      </c>
      <c r="F24" s="1353">
        <v>0</v>
      </c>
      <c r="G24" s="1353">
        <v>1883.80943</v>
      </c>
      <c r="H24" s="1353">
        <v>0</v>
      </c>
      <c r="I24" s="1353">
        <v>1890.9931100000001</v>
      </c>
      <c r="J24" s="1353">
        <v>0</v>
      </c>
      <c r="K24" s="1353">
        <v>2651.5430000000001</v>
      </c>
      <c r="L24" s="1353">
        <v>0</v>
      </c>
      <c r="M24" s="1353">
        <v>3447.6010000000001</v>
      </c>
      <c r="N24" s="1353">
        <v>0</v>
      </c>
      <c r="O24" s="1353">
        <v>3447.7359100000003</v>
      </c>
      <c r="P24" s="1353">
        <v>0</v>
      </c>
      <c r="Q24" s="1353">
        <v>3730.5279999999998</v>
      </c>
      <c r="R24" s="1353">
        <v>0</v>
      </c>
      <c r="S24" s="1353">
        <v>3730.6849999999999</v>
      </c>
      <c r="T24" s="1353">
        <v>0</v>
      </c>
      <c r="U24" s="1353">
        <v>3867.3620000000001</v>
      </c>
      <c r="V24" s="1353">
        <v>0</v>
      </c>
      <c r="W24" s="1353">
        <v>4065.9720000000002</v>
      </c>
      <c r="X24" s="1353">
        <v>0</v>
      </c>
      <c r="Y24" s="1353">
        <v>4643.5673499999994</v>
      </c>
      <c r="Z24" s="1353">
        <v>0</v>
      </c>
      <c r="AA24" s="1353">
        <v>1968.2588700000001</v>
      </c>
      <c r="AB24" s="1353">
        <v>5.08</v>
      </c>
      <c r="AC24" s="1353">
        <v>2543.9088900000002</v>
      </c>
      <c r="AD24" s="1353">
        <v>7.16</v>
      </c>
      <c r="AE24" s="1353">
        <v>2706.7964999999999</v>
      </c>
      <c r="AF24" s="1353">
        <v>8.57</v>
      </c>
      <c r="AG24" s="1353">
        <v>2931.21045</v>
      </c>
      <c r="AH24" s="1353">
        <v>15.855</v>
      </c>
      <c r="AI24" s="1353">
        <v>4219.3986100000002</v>
      </c>
      <c r="AJ24" s="1353">
        <v>48.990169999999999</v>
      </c>
      <c r="AK24" s="1353">
        <v>4914.9258200000004</v>
      </c>
      <c r="AL24" s="1353">
        <v>289.85687000000001</v>
      </c>
      <c r="AM24" s="1353">
        <v>5225.5850399999999</v>
      </c>
      <c r="AN24" s="1353">
        <v>97.446160000000006</v>
      </c>
      <c r="AO24" s="1353">
        <v>5829.8081099999999</v>
      </c>
      <c r="AP24" s="1353">
        <v>148.45320000000001</v>
      </c>
      <c r="AQ24" s="1353">
        <v>7546.8076900000005</v>
      </c>
      <c r="AR24" s="1353">
        <v>200.41863000000001</v>
      </c>
      <c r="AS24" s="1353">
        <v>7984.8627900000001</v>
      </c>
      <c r="AT24" s="1353">
        <v>267.47841</v>
      </c>
      <c r="AU24" s="1353">
        <v>8400.7966799999995</v>
      </c>
      <c r="AV24" s="1353">
        <v>318.11894999999998</v>
      </c>
      <c r="AW24" s="1353">
        <v>10911.34431</v>
      </c>
      <c r="AX24" s="1353">
        <v>423.72563000000002</v>
      </c>
      <c r="AY24" s="1353">
        <v>2507.3971099999999</v>
      </c>
      <c r="AZ24" s="1353">
        <v>107.57234</v>
      </c>
      <c r="BA24" s="1353">
        <v>3072.0745899999997</v>
      </c>
      <c r="BB24" s="1353">
        <v>178.03762</v>
      </c>
      <c r="BC24" s="1353">
        <v>3698.58</v>
      </c>
      <c r="BD24" s="1353">
        <v>261.63</v>
      </c>
      <c r="BE24" s="1353">
        <v>4766.5471799999996</v>
      </c>
      <c r="BF24" s="1353">
        <v>347.15422999999998</v>
      </c>
      <c r="BG24" s="1353">
        <v>6507.2679400000006</v>
      </c>
      <c r="BH24" s="1353">
        <v>591.82269999999994</v>
      </c>
      <c r="BI24" s="1353">
        <v>7434.9830899999997</v>
      </c>
      <c r="BJ24" s="1353">
        <v>687.47811999999999</v>
      </c>
      <c r="BK24" s="1353">
        <v>8432.6401600000008</v>
      </c>
      <c r="BL24" s="1353">
        <v>804.11146999999994</v>
      </c>
      <c r="BM24" s="1353">
        <v>9433.9568800000015</v>
      </c>
      <c r="BN24" s="1353">
        <v>920.53925000000004</v>
      </c>
      <c r="BO24" s="1353">
        <v>11651.59967</v>
      </c>
      <c r="BP24" s="1353">
        <v>1389.52297</v>
      </c>
      <c r="BQ24" s="1353">
        <v>12673.119279999999</v>
      </c>
      <c r="BR24" s="1353">
        <v>1583.6247900000001</v>
      </c>
      <c r="BS24" s="1353">
        <v>13715.48006</v>
      </c>
      <c r="BT24" s="1353">
        <v>1781.6329699999999</v>
      </c>
      <c r="BU24" s="1353">
        <v>16557.412189999999</v>
      </c>
      <c r="BV24" s="1353">
        <v>1962.88004</v>
      </c>
      <c r="BW24" s="1353">
        <v>2793.3012799999997</v>
      </c>
      <c r="BX24" s="1353">
        <v>222.98920000000001</v>
      </c>
      <c r="BY24" s="1353">
        <v>4706.1009400000003</v>
      </c>
      <c r="BZ24" s="1353">
        <v>367.07521999999994</v>
      </c>
      <c r="CA24" s="1353">
        <v>5626.0140199999996</v>
      </c>
      <c r="CB24" s="1353">
        <v>527.53025000000002</v>
      </c>
      <c r="CC24" s="1353">
        <v>7422.6467999999995</v>
      </c>
      <c r="CD24" s="1353">
        <v>788.99052000000006</v>
      </c>
      <c r="CE24" s="1353">
        <v>11567.77385</v>
      </c>
      <c r="CF24" s="1353">
        <v>1025.71108</v>
      </c>
      <c r="CG24" s="1353">
        <v>12720.053679999999</v>
      </c>
      <c r="CH24" s="1353">
        <v>1452.2373500000001</v>
      </c>
      <c r="CI24" s="1353">
        <v>14424.93469</v>
      </c>
      <c r="CJ24" s="1353">
        <v>1740.90085</v>
      </c>
      <c r="CK24" s="1353">
        <v>15495.832390000001</v>
      </c>
      <c r="CL24" s="1353">
        <v>2091.9379300000001</v>
      </c>
      <c r="CM24" s="1353">
        <v>18205.767449999999</v>
      </c>
      <c r="CN24" s="1353">
        <v>2409.73722</v>
      </c>
      <c r="CO24" s="1353">
        <v>19241.834910000001</v>
      </c>
      <c r="CP24" s="1353">
        <v>2592.7546499999999</v>
      </c>
      <c r="CQ24" s="1353">
        <v>20630.255420000001</v>
      </c>
      <c r="CR24" s="1353">
        <v>2875.1189199999999</v>
      </c>
      <c r="CS24" s="1353">
        <v>26786.91347</v>
      </c>
      <c r="CT24" s="1353">
        <v>3269.85815</v>
      </c>
      <c r="CU24" s="1353">
        <v>6975.8847900000001</v>
      </c>
      <c r="CV24" s="1353">
        <v>354.98912999999999</v>
      </c>
      <c r="CW24" s="1353">
        <v>9049.5924900000009</v>
      </c>
      <c r="CX24" s="1353">
        <v>700.52840000000003</v>
      </c>
      <c r="CY24" s="1353">
        <v>10734.73659</v>
      </c>
      <c r="CZ24" s="1353">
        <v>820.10153000000003</v>
      </c>
      <c r="DA24" s="1353">
        <v>12436.81517</v>
      </c>
      <c r="DB24" s="1353">
        <v>989.68706000000009</v>
      </c>
      <c r="DC24" s="1353">
        <v>17579.985379999998</v>
      </c>
      <c r="DD24" s="1353">
        <v>1243.17046</v>
      </c>
      <c r="DE24" s="1353">
        <v>19081.51671</v>
      </c>
      <c r="DF24" s="1353">
        <v>1517.8456699999999</v>
      </c>
      <c r="DG24" s="1353">
        <v>20480.666260000002</v>
      </c>
      <c r="DH24" s="1353">
        <v>1772.6301599999999</v>
      </c>
      <c r="DI24" s="1353">
        <v>21914.058590000001</v>
      </c>
      <c r="DJ24" s="1353">
        <v>2177.1658399999997</v>
      </c>
      <c r="DK24" s="1353">
        <v>24631.674070000001</v>
      </c>
      <c r="DL24" s="1353">
        <v>2483.3299200000001</v>
      </c>
      <c r="DM24" s="1353">
        <v>25811.507839999998</v>
      </c>
      <c r="DN24" s="1353">
        <v>2707.1017299999999</v>
      </c>
      <c r="DO24" s="1353">
        <v>26999.15669</v>
      </c>
      <c r="DP24" s="1353">
        <v>2900.0771400000003</v>
      </c>
      <c r="DQ24" s="1353">
        <v>32838.18131</v>
      </c>
      <c r="DR24" s="1353">
        <v>3360.76089</v>
      </c>
      <c r="DS24" s="1353">
        <v>5878.8135000000002</v>
      </c>
      <c r="DT24" s="1353">
        <v>297.88390999999996</v>
      </c>
      <c r="DU24" s="1353">
        <v>10409.121859999999</v>
      </c>
      <c r="DV24" s="1353">
        <v>783.46928000000003</v>
      </c>
      <c r="DW24" s="1353">
        <v>16231.498939999999</v>
      </c>
      <c r="DX24" s="1353">
        <v>1094.54853</v>
      </c>
      <c r="DY24" s="1353">
        <v>18368.970420000001</v>
      </c>
      <c r="DZ24" s="1353">
        <v>1571.8056200000001</v>
      </c>
      <c r="EA24" s="1353">
        <v>20916.151959999999</v>
      </c>
      <c r="EB24" s="1353">
        <v>2183.0003500000003</v>
      </c>
      <c r="EC24" s="1353">
        <v>24310.32962</v>
      </c>
      <c r="ED24" s="1353">
        <v>2610.3692299999998</v>
      </c>
      <c r="EE24" s="1353">
        <v>25716.23373</v>
      </c>
      <c r="EF24" s="1353">
        <v>2963.7940099999996</v>
      </c>
      <c r="EG24" s="1353">
        <v>27861.340319999999</v>
      </c>
      <c r="EH24" s="1353">
        <v>3642.1509900000001</v>
      </c>
      <c r="EI24" s="1353">
        <v>36318.47982</v>
      </c>
      <c r="EJ24" s="1353">
        <v>4006.0330899999999</v>
      </c>
      <c r="EK24" s="1353">
        <v>37880.395149999902</v>
      </c>
      <c r="EL24" s="1353">
        <v>4476.8529900000003</v>
      </c>
      <c r="EM24" s="1353">
        <v>39109.788200000003</v>
      </c>
      <c r="EN24" s="1353">
        <v>5114.1514999999999</v>
      </c>
      <c r="EO24" s="1353">
        <v>43848.893250000001</v>
      </c>
      <c r="EP24" s="1353">
        <v>5667.4612500000003</v>
      </c>
      <c r="EQ24" s="1353">
        <v>5106.7759599999999</v>
      </c>
      <c r="ER24" s="1353">
        <v>410.63959</v>
      </c>
      <c r="ES24" s="1363">
        <v>7481.5137599999998</v>
      </c>
      <c r="ET24" s="1354">
        <v>881.55969000000005</v>
      </c>
      <c r="EU24" s="1353">
        <v>17711.533619999998</v>
      </c>
      <c r="EV24" s="1353">
        <v>1307.7283399999999</v>
      </c>
      <c r="EW24" s="1363">
        <v>20618.93331</v>
      </c>
      <c r="EX24" s="1354">
        <v>1815.8973599999999</v>
      </c>
      <c r="EY24" s="1353">
        <v>23510.11406</v>
      </c>
      <c r="EZ24" s="1353">
        <v>2252.9793</v>
      </c>
      <c r="FA24" s="1363">
        <v>24905.744180000002</v>
      </c>
      <c r="FB24" s="1354">
        <v>2779.8847599999999</v>
      </c>
      <c r="FC24" s="1353">
        <v>26601.93951</v>
      </c>
      <c r="FD24" s="1353">
        <v>3212.7702100000001</v>
      </c>
      <c r="FE24" s="1363">
        <v>33422.95319</v>
      </c>
      <c r="FF24" s="1354">
        <v>4330.0300999999999</v>
      </c>
      <c r="FG24" s="1363">
        <v>34706.720170000001</v>
      </c>
      <c r="FH24" s="1354">
        <v>4981.8658400000004</v>
      </c>
      <c r="FI24" s="1363">
        <v>36505.90221</v>
      </c>
      <c r="FJ24" s="1354">
        <v>5397.3031200000005</v>
      </c>
      <c r="FK24" s="1363">
        <v>40355.199780000003</v>
      </c>
      <c r="FL24" s="1354">
        <v>6023.2433700000001</v>
      </c>
      <c r="FM24" s="1354">
        <v>1832.4191699999999</v>
      </c>
      <c r="FN24" s="1354">
        <v>625.91935000000001</v>
      </c>
      <c r="FO24" s="1354">
        <v>13391.47006</v>
      </c>
      <c r="FP24" s="1354">
        <v>1424.28169</v>
      </c>
      <c r="FQ24" s="1354">
        <v>29882.534350000002</v>
      </c>
      <c r="FR24" s="1354">
        <v>2070.2272200000002</v>
      </c>
      <c r="FS24" s="1354">
        <v>33787.758700000006</v>
      </c>
      <c r="FT24" s="1354">
        <v>2936.2200699999999</v>
      </c>
      <c r="FU24" s="1354">
        <v>37324.995640000001</v>
      </c>
      <c r="FV24" s="1354">
        <v>3906.71288</v>
      </c>
      <c r="FW24" s="1354">
        <v>39311.313450000001</v>
      </c>
      <c r="FX24" s="1354">
        <v>4556.4034900000006</v>
      </c>
      <c r="FY24" s="1354">
        <v>41430.775729999994</v>
      </c>
      <c r="FZ24" s="1354">
        <v>5354.24071</v>
      </c>
      <c r="GA24" s="1354">
        <v>44160.611069999999</v>
      </c>
      <c r="GB24" s="1354">
        <v>6127.5564800000002</v>
      </c>
      <c r="GC24" s="1354">
        <v>47968.955399999999</v>
      </c>
      <c r="GD24" s="1354">
        <v>6973.7758400000002</v>
      </c>
      <c r="GE24" s="1354">
        <v>50337.086770000002</v>
      </c>
      <c r="GF24" s="1354">
        <v>7895.5179799999996</v>
      </c>
      <c r="GG24" s="1354">
        <v>53629.767010000003</v>
      </c>
      <c r="GH24" s="1354">
        <v>8698.3166399999991</v>
      </c>
      <c r="GI24" s="1354">
        <v>64355.801299999999</v>
      </c>
      <c r="GJ24" s="1354">
        <v>9619.9516400000011</v>
      </c>
      <c r="GK24" s="1354">
        <v>2283.1155699999999</v>
      </c>
      <c r="GL24" s="1354">
        <v>719.16088999999999</v>
      </c>
      <c r="GM24" s="1354">
        <v>9265.3856500000002</v>
      </c>
      <c r="GN24" s="1354">
        <v>1705.6105600000001</v>
      </c>
      <c r="GO24" s="2076" t="s">
        <v>3252</v>
      </c>
    </row>
    <row r="25" spans="1:197" ht="36" customHeight="1">
      <c r="A25" s="2074">
        <v>14</v>
      </c>
      <c r="B25" s="2075" t="s">
        <v>2367</v>
      </c>
      <c r="C25" s="1353">
        <v>0</v>
      </c>
      <c r="D25" s="1353">
        <v>0</v>
      </c>
      <c r="E25" s="1353">
        <v>0</v>
      </c>
      <c r="F25" s="1353">
        <v>0</v>
      </c>
      <c r="G25" s="1353">
        <v>0</v>
      </c>
      <c r="H25" s="1353">
        <v>0</v>
      </c>
      <c r="I25" s="1353">
        <v>0</v>
      </c>
      <c r="J25" s="1353">
        <v>0</v>
      </c>
      <c r="K25" s="1353">
        <v>0</v>
      </c>
      <c r="L25" s="1353">
        <v>0</v>
      </c>
      <c r="M25" s="1353">
        <v>0</v>
      </c>
      <c r="N25" s="1353">
        <v>0</v>
      </c>
      <c r="O25" s="1353">
        <v>0</v>
      </c>
      <c r="P25" s="1353">
        <v>0</v>
      </c>
      <c r="Q25" s="1353">
        <v>0</v>
      </c>
      <c r="R25" s="1353">
        <v>0</v>
      </c>
      <c r="S25" s="1353">
        <v>0</v>
      </c>
      <c r="T25" s="1353">
        <v>0</v>
      </c>
      <c r="U25" s="1353">
        <v>0</v>
      </c>
      <c r="V25" s="1353">
        <v>0</v>
      </c>
      <c r="W25" s="1353">
        <v>0</v>
      </c>
      <c r="X25" s="1353">
        <v>0</v>
      </c>
      <c r="Y25" s="1353">
        <v>0</v>
      </c>
      <c r="Z25" s="1353">
        <v>0</v>
      </c>
      <c r="AA25" s="1353">
        <v>0</v>
      </c>
      <c r="AB25" s="1353">
        <v>0</v>
      </c>
      <c r="AC25" s="1353">
        <v>0</v>
      </c>
      <c r="AD25" s="1353">
        <v>0</v>
      </c>
      <c r="AE25" s="1353">
        <v>0</v>
      </c>
      <c r="AF25" s="1353">
        <v>0</v>
      </c>
      <c r="AG25" s="1353">
        <v>0</v>
      </c>
      <c r="AH25" s="1353">
        <v>0</v>
      </c>
      <c r="AI25" s="1353">
        <v>0</v>
      </c>
      <c r="AJ25" s="1353">
        <v>0</v>
      </c>
      <c r="AK25" s="1353">
        <v>0</v>
      </c>
      <c r="AL25" s="1353">
        <v>0</v>
      </c>
      <c r="AM25" s="1353">
        <v>0</v>
      </c>
      <c r="AN25" s="1353">
        <v>0</v>
      </c>
      <c r="AO25" s="1353">
        <v>0</v>
      </c>
      <c r="AP25" s="1353">
        <v>0</v>
      </c>
      <c r="AQ25" s="1353">
        <v>0</v>
      </c>
      <c r="AR25" s="1353">
        <v>0</v>
      </c>
      <c r="AS25" s="1353">
        <v>0</v>
      </c>
      <c r="AT25" s="1353">
        <v>0</v>
      </c>
      <c r="AU25" s="1353">
        <v>0</v>
      </c>
      <c r="AV25" s="1353">
        <v>0</v>
      </c>
      <c r="AW25" s="1353">
        <v>0</v>
      </c>
      <c r="AX25" s="1353">
        <v>0</v>
      </c>
      <c r="AY25" s="1353">
        <v>0</v>
      </c>
      <c r="AZ25" s="1353">
        <v>0</v>
      </c>
      <c r="BA25" s="1353">
        <v>0</v>
      </c>
      <c r="BB25" s="1353">
        <v>0</v>
      </c>
      <c r="BC25" s="1353">
        <v>0</v>
      </c>
      <c r="BD25" s="1353">
        <v>0</v>
      </c>
      <c r="BE25" s="1353">
        <v>0</v>
      </c>
      <c r="BF25" s="1353">
        <v>0</v>
      </c>
      <c r="BG25" s="1353">
        <v>0</v>
      </c>
      <c r="BH25" s="1353">
        <v>0</v>
      </c>
      <c r="BI25" s="1353">
        <v>0</v>
      </c>
      <c r="BJ25" s="1353">
        <v>0</v>
      </c>
      <c r="BK25" s="1353">
        <v>0</v>
      </c>
      <c r="BL25" s="1353">
        <v>0</v>
      </c>
      <c r="BM25" s="1353">
        <v>0</v>
      </c>
      <c r="BN25" s="1353">
        <v>0</v>
      </c>
      <c r="BO25" s="1353">
        <v>0</v>
      </c>
      <c r="BP25" s="1353">
        <v>0</v>
      </c>
      <c r="BQ25" s="1353">
        <v>0</v>
      </c>
      <c r="BR25" s="1353">
        <v>0</v>
      </c>
      <c r="BS25" s="1353">
        <v>0</v>
      </c>
      <c r="BT25" s="1353">
        <v>0</v>
      </c>
      <c r="BU25" s="1353">
        <v>0</v>
      </c>
      <c r="BV25" s="1353">
        <v>0</v>
      </c>
      <c r="BW25" s="1353">
        <v>0</v>
      </c>
      <c r="BX25" s="1353">
        <v>0</v>
      </c>
      <c r="BY25" s="1353">
        <v>0</v>
      </c>
      <c r="BZ25" s="1353">
        <v>0</v>
      </c>
      <c r="CA25" s="1353">
        <v>0</v>
      </c>
      <c r="CB25" s="1353">
        <v>0</v>
      </c>
      <c r="CC25" s="1353">
        <v>0</v>
      </c>
      <c r="CD25" s="1353">
        <v>0</v>
      </c>
      <c r="CE25" s="1353">
        <v>176.39022</v>
      </c>
      <c r="CF25" s="1353">
        <v>0</v>
      </c>
      <c r="CG25" s="1353">
        <v>197.20434</v>
      </c>
      <c r="CH25" s="1353">
        <v>0</v>
      </c>
      <c r="CI25" s="1353">
        <v>252.68778</v>
      </c>
      <c r="CJ25" s="1353">
        <v>0</v>
      </c>
      <c r="CK25" s="1353">
        <v>371.32676000000004</v>
      </c>
      <c r="CL25" s="1353">
        <v>0</v>
      </c>
      <c r="CM25" s="1353">
        <v>577.03320999999994</v>
      </c>
      <c r="CN25" s="1353">
        <v>0</v>
      </c>
      <c r="CO25" s="1353">
        <v>870.51594999999998</v>
      </c>
      <c r="CP25" s="1353">
        <v>0</v>
      </c>
      <c r="CQ25" s="1353">
        <v>1297.2740900000001</v>
      </c>
      <c r="CR25" s="1353">
        <v>0</v>
      </c>
      <c r="CS25" s="1353">
        <v>977.30985999999996</v>
      </c>
      <c r="CT25" s="1353">
        <v>0</v>
      </c>
      <c r="CU25" s="1353">
        <v>189.23185999999998</v>
      </c>
      <c r="CV25" s="1353">
        <v>0</v>
      </c>
      <c r="CW25" s="1353">
        <v>312.84636999999998</v>
      </c>
      <c r="CX25" s="1353">
        <v>0</v>
      </c>
      <c r="CY25" s="1353">
        <v>475.33825999999999</v>
      </c>
      <c r="CZ25" s="1353">
        <v>0</v>
      </c>
      <c r="DA25" s="1353">
        <v>671.80943000000002</v>
      </c>
      <c r="DB25" s="1353">
        <v>0</v>
      </c>
      <c r="DC25" s="1353">
        <v>1100.9506999999999</v>
      </c>
      <c r="DD25" s="1353">
        <v>0</v>
      </c>
      <c r="DE25" s="1353">
        <v>1341.2833899999998</v>
      </c>
      <c r="DF25" s="1353">
        <v>0</v>
      </c>
      <c r="DG25" s="1353">
        <v>1689.4921200000001</v>
      </c>
      <c r="DH25" s="1353">
        <v>0</v>
      </c>
      <c r="DI25" s="1353">
        <v>1889.05943</v>
      </c>
      <c r="DJ25" s="1353">
        <v>0</v>
      </c>
      <c r="DK25" s="1353">
        <v>2173.1828300000002</v>
      </c>
      <c r="DL25" s="1353">
        <v>0</v>
      </c>
      <c r="DM25" s="1353">
        <v>3005.6790699999997</v>
      </c>
      <c r="DN25" s="1353">
        <v>0</v>
      </c>
      <c r="DO25" s="1353">
        <v>3245.2032100000001</v>
      </c>
      <c r="DP25" s="1353">
        <v>0</v>
      </c>
      <c r="DQ25" s="1353">
        <v>3671.9475400000001</v>
      </c>
      <c r="DR25" s="1353">
        <v>0</v>
      </c>
      <c r="DS25" s="1353">
        <v>360.00034000000005</v>
      </c>
      <c r="DT25" s="1353">
        <v>72.769779999999997</v>
      </c>
      <c r="DU25" s="1353">
        <v>761.03026</v>
      </c>
      <c r="DV25" s="1353">
        <v>73.222710000000006</v>
      </c>
      <c r="DW25" s="1353">
        <v>1208.81332</v>
      </c>
      <c r="DX25" s="1353">
        <v>73.222710000000006</v>
      </c>
      <c r="DY25" s="1353">
        <v>1491.0692900000001</v>
      </c>
      <c r="DZ25" s="1353">
        <v>73.222710000000006</v>
      </c>
      <c r="EA25" s="1353">
        <v>2121.95921</v>
      </c>
      <c r="EB25" s="1353">
        <v>83.222710000000006</v>
      </c>
      <c r="EC25" s="1353">
        <v>2473.66491</v>
      </c>
      <c r="ED25" s="1353">
        <v>83.499710000000007</v>
      </c>
      <c r="EE25" s="1353">
        <v>3024.6105299999999</v>
      </c>
      <c r="EF25" s="1353">
        <v>83.499710000000007</v>
      </c>
      <c r="EG25" s="1353">
        <v>3554.2550899999997</v>
      </c>
      <c r="EH25" s="1353">
        <v>88.499710000000007</v>
      </c>
      <c r="EI25" s="1353">
        <v>4008.9586099999997</v>
      </c>
      <c r="EJ25" s="1353">
        <v>88.55971000000001</v>
      </c>
      <c r="EK25" s="1353">
        <v>5114.55944</v>
      </c>
      <c r="EL25" s="1353">
        <v>88.559709999999995</v>
      </c>
      <c r="EM25" s="1353">
        <v>5661.9089700000004</v>
      </c>
      <c r="EN25" s="1353">
        <v>121.92345</v>
      </c>
      <c r="EO25" s="1353">
        <v>6294.6871799999999</v>
      </c>
      <c r="EP25" s="1353">
        <v>135.92345</v>
      </c>
      <c r="EQ25" s="1353">
        <v>608.08752000000004</v>
      </c>
      <c r="ER25" s="1353">
        <v>0</v>
      </c>
      <c r="ES25" s="1363">
        <v>1229.0223900000001</v>
      </c>
      <c r="ET25" s="1354">
        <v>3.1242999999999999</v>
      </c>
      <c r="EU25" s="1353">
        <v>1856.9922300000001</v>
      </c>
      <c r="EV25" s="1353">
        <v>4.8166000000000002</v>
      </c>
      <c r="EW25" s="1363">
        <v>2359.0027700000001</v>
      </c>
      <c r="EX25" s="1354">
        <v>131.09447</v>
      </c>
      <c r="EY25" s="1353">
        <v>3075.8826600000002</v>
      </c>
      <c r="EZ25" s="1353">
        <v>136.09447</v>
      </c>
      <c r="FA25" s="1363">
        <v>3739.7153499999999</v>
      </c>
      <c r="FB25" s="1354">
        <v>136.09447</v>
      </c>
      <c r="FC25" s="1353">
        <v>4359.5820100000001</v>
      </c>
      <c r="FD25" s="1353">
        <v>212.69513000000001</v>
      </c>
      <c r="FE25" s="1363">
        <v>5768.5120699999998</v>
      </c>
      <c r="FF25" s="1354">
        <v>334.28498999999999</v>
      </c>
      <c r="FG25" s="1363">
        <v>7062.8437000000004</v>
      </c>
      <c r="FH25" s="1354">
        <v>339.28498999999999</v>
      </c>
      <c r="FI25" s="1363">
        <v>7679.7335000000003</v>
      </c>
      <c r="FJ25" s="1354">
        <v>420.11437999999998</v>
      </c>
      <c r="FK25" s="1363">
        <v>8574.0908600000002</v>
      </c>
      <c r="FL25" s="1354">
        <v>420.11437999999998</v>
      </c>
      <c r="FM25" s="1354">
        <v>700.06043</v>
      </c>
      <c r="FN25" s="1354">
        <v>526.66251</v>
      </c>
      <c r="FO25" s="1354">
        <v>1575.9790600000001</v>
      </c>
      <c r="FP25" s="1354">
        <v>571.77872000000002</v>
      </c>
      <c r="FQ25" s="1354">
        <v>2397.0270999999998</v>
      </c>
      <c r="FR25" s="1354">
        <v>761.39536999999996</v>
      </c>
      <c r="FS25" s="1354">
        <v>3014.12556</v>
      </c>
      <c r="FT25" s="1354">
        <v>870.47050000000002</v>
      </c>
      <c r="FU25" s="1354">
        <v>3885.5582000000004</v>
      </c>
      <c r="FV25" s="1354">
        <v>897.92886999999996</v>
      </c>
      <c r="FW25" s="1354">
        <v>4669.3501299999998</v>
      </c>
      <c r="FX25" s="1354">
        <v>907.35231999999996</v>
      </c>
      <c r="FY25" s="1354">
        <v>5583.1452900000004</v>
      </c>
      <c r="FZ25" s="1354">
        <v>1006.1648100000001</v>
      </c>
      <c r="GA25" s="1354">
        <v>6403.1608900000001</v>
      </c>
      <c r="GB25" s="1354">
        <v>1017.17746</v>
      </c>
      <c r="GC25" s="1354">
        <v>7264.28694</v>
      </c>
      <c r="GD25" s="1354">
        <v>1365.7633600000001</v>
      </c>
      <c r="GE25" s="1354">
        <v>8434.8976299999995</v>
      </c>
      <c r="GF25" s="1354">
        <v>1812.77817</v>
      </c>
      <c r="GG25" s="1354">
        <v>9001.0272100000002</v>
      </c>
      <c r="GH25" s="1354">
        <v>3108.3673699999999</v>
      </c>
      <c r="GI25" s="1354">
        <v>9979.3262799999993</v>
      </c>
      <c r="GJ25" s="1354">
        <v>3486.9117000000001</v>
      </c>
      <c r="GK25" s="1354">
        <v>623.31727000000001</v>
      </c>
      <c r="GL25" s="1354">
        <v>253.83592999999999</v>
      </c>
      <c r="GM25" s="1354">
        <v>1698.0539799999999</v>
      </c>
      <c r="GN25" s="1354">
        <v>1376.3607500000001</v>
      </c>
      <c r="GO25" s="2076" t="s">
        <v>3253</v>
      </c>
    </row>
    <row r="26" spans="1:197" ht="36" customHeight="1">
      <c r="A26" s="2074">
        <v>15</v>
      </c>
      <c r="B26" s="2075" t="s">
        <v>2366</v>
      </c>
      <c r="C26" s="1353">
        <v>389.30403999999999</v>
      </c>
      <c r="D26" s="1353">
        <v>424.53881000000001</v>
      </c>
      <c r="E26" s="1353">
        <v>1622.59672</v>
      </c>
      <c r="F26" s="1353">
        <v>843.34849999999994</v>
      </c>
      <c r="G26" s="1353">
        <v>2607.93165</v>
      </c>
      <c r="H26" s="1353">
        <v>1294.9766299999999</v>
      </c>
      <c r="I26" s="1353">
        <v>3473.9028199999998</v>
      </c>
      <c r="J26" s="1353">
        <v>1756.951</v>
      </c>
      <c r="K26" s="1353">
        <v>4092.1628300000002</v>
      </c>
      <c r="L26" s="1353">
        <v>2284.3307300000001</v>
      </c>
      <c r="M26" s="1353">
        <v>4745.2158300000001</v>
      </c>
      <c r="N26" s="1353">
        <v>2804.1221099999998</v>
      </c>
      <c r="O26" s="1353">
        <v>5578.87111</v>
      </c>
      <c r="P26" s="1353">
        <v>3388.1340599999999</v>
      </c>
      <c r="Q26" s="1353">
        <v>6594.7854200000002</v>
      </c>
      <c r="R26" s="1353">
        <v>3986.4850099999999</v>
      </c>
      <c r="S26" s="1353">
        <v>8254.9361499999995</v>
      </c>
      <c r="T26" s="1353">
        <v>4478.0717199999999</v>
      </c>
      <c r="U26" s="1353">
        <v>8900.9582100000007</v>
      </c>
      <c r="V26" s="1353">
        <v>5115.0603200000005</v>
      </c>
      <c r="W26" s="1353">
        <v>9410.1768300000003</v>
      </c>
      <c r="X26" s="1353">
        <v>5721.1536399999995</v>
      </c>
      <c r="Y26" s="1353">
        <v>9846.6520999999993</v>
      </c>
      <c r="Z26" s="1353">
        <v>6562.6436399999993</v>
      </c>
      <c r="AA26" s="1353">
        <v>834.77506999999991</v>
      </c>
      <c r="AB26" s="1353">
        <v>471.89979999999997</v>
      </c>
      <c r="AC26" s="1353">
        <v>834.77506999999991</v>
      </c>
      <c r="AD26" s="1353">
        <v>471.89979999999997</v>
      </c>
      <c r="AE26" s="1353">
        <v>1667.3603899999998</v>
      </c>
      <c r="AF26" s="1353">
        <v>1250.7530400000001</v>
      </c>
      <c r="AG26" s="1353">
        <v>2186.0236099999997</v>
      </c>
      <c r="AH26" s="1353">
        <v>1590.0467599999999</v>
      </c>
      <c r="AI26" s="1353">
        <v>2610.1381299999998</v>
      </c>
      <c r="AJ26" s="1353">
        <v>1955.7376200000001</v>
      </c>
      <c r="AK26" s="1353">
        <v>3024.22208</v>
      </c>
      <c r="AL26" s="1353">
        <v>2312.4667300000001</v>
      </c>
      <c r="AM26" s="1353">
        <v>3914.0229300000001</v>
      </c>
      <c r="AN26" s="1353">
        <v>2633.4336600000001</v>
      </c>
      <c r="AO26" s="1353">
        <v>4826.3329100000001</v>
      </c>
      <c r="AP26" s="1353">
        <v>2965.9942099999998</v>
      </c>
      <c r="AQ26" s="1353">
        <v>5269.12925</v>
      </c>
      <c r="AR26" s="1353">
        <v>3198.1817400000004</v>
      </c>
      <c r="AS26" s="1353">
        <v>6217.2186400000001</v>
      </c>
      <c r="AT26" s="1353">
        <v>3462.7761</v>
      </c>
      <c r="AU26" s="1353">
        <v>7176.9684000000007</v>
      </c>
      <c r="AV26" s="1353">
        <v>3705.8708700000002</v>
      </c>
      <c r="AW26" s="1353">
        <v>7788.8091199999999</v>
      </c>
      <c r="AX26" s="1353">
        <v>3965.2088900000003</v>
      </c>
      <c r="AY26" s="1353">
        <v>543.07258999999999</v>
      </c>
      <c r="AZ26" s="1353">
        <v>236.72676000000001</v>
      </c>
      <c r="BA26" s="1353">
        <v>1039.7770500000001</v>
      </c>
      <c r="BB26" s="1353">
        <v>487.41440999999998</v>
      </c>
      <c r="BC26" s="1353">
        <v>1270.9000000000001</v>
      </c>
      <c r="BD26" s="1353">
        <v>600.92999999999995</v>
      </c>
      <c r="BE26" s="1353">
        <v>2674.2459800000001</v>
      </c>
      <c r="BF26" s="1353">
        <v>1003.4304599999999</v>
      </c>
      <c r="BG26" s="1353">
        <v>2948.3097299999999</v>
      </c>
      <c r="BH26" s="1353">
        <v>1231.6058899999998</v>
      </c>
      <c r="BI26" s="1353">
        <v>3282.61166</v>
      </c>
      <c r="BJ26" s="1353">
        <v>1460.18182</v>
      </c>
      <c r="BK26" s="1353">
        <v>4283.4319699999996</v>
      </c>
      <c r="BL26" s="1353">
        <v>1838.4456499999999</v>
      </c>
      <c r="BM26" s="1353">
        <v>4580.4357099999997</v>
      </c>
      <c r="BN26" s="1353">
        <v>2081.9050299999999</v>
      </c>
      <c r="BO26" s="1353">
        <v>5693.4750199999999</v>
      </c>
      <c r="BP26" s="1353">
        <v>2399.8412600000001</v>
      </c>
      <c r="BQ26" s="1353">
        <v>7076.2993200000001</v>
      </c>
      <c r="BR26" s="1353">
        <v>2772.0853500000003</v>
      </c>
      <c r="BS26" s="1353">
        <v>9544.1149700000005</v>
      </c>
      <c r="BT26" s="1353">
        <v>3347.9925600000001</v>
      </c>
      <c r="BU26" s="1353">
        <v>14495.98345</v>
      </c>
      <c r="BV26" s="1353">
        <v>3809.7135099999996</v>
      </c>
      <c r="BW26" s="1353">
        <v>2028.03781</v>
      </c>
      <c r="BX26" s="1353">
        <v>775.57256000000007</v>
      </c>
      <c r="BY26" s="1353">
        <v>3740.72559</v>
      </c>
      <c r="BZ26" s="1353">
        <v>1379.92444</v>
      </c>
      <c r="CA26" s="1353">
        <v>5698.8968399999994</v>
      </c>
      <c r="CB26" s="1353">
        <v>1962.0823799999998</v>
      </c>
      <c r="CC26" s="1353">
        <v>9368.1746700000003</v>
      </c>
      <c r="CD26" s="1353">
        <v>3047.33527</v>
      </c>
      <c r="CE26" s="1353">
        <v>11132.40653</v>
      </c>
      <c r="CF26" s="1353">
        <v>4398.8942400000005</v>
      </c>
      <c r="CG26" s="1353">
        <v>12680.946089999999</v>
      </c>
      <c r="CH26" s="1353">
        <v>5884.8114000000005</v>
      </c>
      <c r="CI26" s="1353">
        <v>14884.422480000001</v>
      </c>
      <c r="CJ26" s="1353">
        <v>8181.0922899999996</v>
      </c>
      <c r="CK26" s="1353">
        <v>17171.980309999999</v>
      </c>
      <c r="CL26" s="1353">
        <v>9485.1552100000008</v>
      </c>
      <c r="CM26" s="1353">
        <v>19436.932129999997</v>
      </c>
      <c r="CN26" s="1353">
        <v>10894.311810000001</v>
      </c>
      <c r="CO26" s="1353">
        <v>22328.780320000002</v>
      </c>
      <c r="CP26" s="1353">
        <v>12616.943300000001</v>
      </c>
      <c r="CQ26" s="1353">
        <v>25583.025530000003</v>
      </c>
      <c r="CR26" s="1353">
        <v>14209.27972</v>
      </c>
      <c r="CS26" s="1353">
        <v>28340.232940000002</v>
      </c>
      <c r="CT26" s="1353">
        <v>16016.440769999999</v>
      </c>
      <c r="CU26" s="1353">
        <v>3522.0844500000003</v>
      </c>
      <c r="CV26" s="1353">
        <v>1721.5744299999999</v>
      </c>
      <c r="CW26" s="1353">
        <v>5568.2475899999999</v>
      </c>
      <c r="CX26" s="1353">
        <v>3479.6113399999999</v>
      </c>
      <c r="CY26" s="1353">
        <v>6946.0226600000005</v>
      </c>
      <c r="CZ26" s="1353">
        <v>4537.0554000000002</v>
      </c>
      <c r="DA26" s="1353">
        <v>8658.1177299999999</v>
      </c>
      <c r="DB26" s="1353">
        <v>6218.7745300000006</v>
      </c>
      <c r="DC26" s="1353">
        <v>10804.544470000001</v>
      </c>
      <c r="DD26" s="1353">
        <v>7190.7436900000002</v>
      </c>
      <c r="DE26" s="1353">
        <v>13293.44059</v>
      </c>
      <c r="DF26" s="1353">
        <v>8194.8776399999988</v>
      </c>
      <c r="DG26" s="1353">
        <v>16473.566589999999</v>
      </c>
      <c r="DH26" s="1353">
        <v>9392.5951700000005</v>
      </c>
      <c r="DI26" s="1353">
        <v>19255.958760000001</v>
      </c>
      <c r="DJ26" s="1353">
        <v>10696.70091</v>
      </c>
      <c r="DK26" s="1353">
        <v>21781.410879999999</v>
      </c>
      <c r="DL26" s="1353">
        <v>12447.98055</v>
      </c>
      <c r="DM26" s="1353">
        <v>25894.866449999998</v>
      </c>
      <c r="DN26" s="1353">
        <v>14129.129010000001</v>
      </c>
      <c r="DO26" s="1353">
        <v>28560.944879999999</v>
      </c>
      <c r="DP26" s="1353">
        <v>15721.474880000002</v>
      </c>
      <c r="DQ26" s="1353">
        <v>31181.956140000002</v>
      </c>
      <c r="DR26" s="1353">
        <v>17608.499010000003</v>
      </c>
      <c r="DS26" s="1353">
        <v>3143.6603399999999</v>
      </c>
      <c r="DT26" s="1353">
        <v>1506.09923</v>
      </c>
      <c r="DU26" s="1353">
        <v>4900.92947</v>
      </c>
      <c r="DV26" s="1353">
        <v>3154.6903199999997</v>
      </c>
      <c r="DW26" s="1353">
        <v>6636.6639100000002</v>
      </c>
      <c r="DX26" s="1353">
        <v>4794.2320300000001</v>
      </c>
      <c r="DY26" s="1353">
        <v>8868.2341300000007</v>
      </c>
      <c r="DZ26" s="1353">
        <v>6940.21828</v>
      </c>
      <c r="EA26" s="1353">
        <v>10992.85785</v>
      </c>
      <c r="EB26" s="1353">
        <v>8522.3190699999996</v>
      </c>
      <c r="EC26" s="1353">
        <v>13039.77687</v>
      </c>
      <c r="ED26" s="1353">
        <v>10317.661679999999</v>
      </c>
      <c r="EE26" s="1353">
        <v>15301.21155</v>
      </c>
      <c r="EF26" s="1353">
        <v>12129.930319999999</v>
      </c>
      <c r="EG26" s="1353">
        <v>17961.967260000001</v>
      </c>
      <c r="EH26" s="1353">
        <v>13985.054689999999</v>
      </c>
      <c r="EI26" s="1353">
        <v>20627.870629999998</v>
      </c>
      <c r="EJ26" s="1353">
        <v>16037.230970000001</v>
      </c>
      <c r="EK26" s="1353">
        <v>25096.015780000002</v>
      </c>
      <c r="EL26" s="1353">
        <v>17985.17612</v>
      </c>
      <c r="EM26" s="1353">
        <v>27382.182779999999</v>
      </c>
      <c r="EN26" s="1353">
        <v>19473.440050000001</v>
      </c>
      <c r="EO26" s="1353">
        <v>35545.787369999998</v>
      </c>
      <c r="EP26" s="1353">
        <v>21783.81914</v>
      </c>
      <c r="EQ26" s="1355">
        <v>3570.4635699999999</v>
      </c>
      <c r="ER26" s="1353">
        <v>1771.07782</v>
      </c>
      <c r="ES26" s="1363">
        <v>5956.3792100000001</v>
      </c>
      <c r="ET26" s="1354">
        <v>3899.6777499999998</v>
      </c>
      <c r="EU26" s="1353">
        <v>8865.1015499999994</v>
      </c>
      <c r="EV26" s="1353">
        <v>5700.8170600000003</v>
      </c>
      <c r="EW26" s="1363">
        <v>12127.59647</v>
      </c>
      <c r="EX26" s="1354">
        <v>7938.2093599999998</v>
      </c>
      <c r="EY26" s="1353">
        <v>15500.137290000001</v>
      </c>
      <c r="EZ26" s="1353">
        <v>9898.7115799999992</v>
      </c>
      <c r="FA26" s="1363">
        <v>19273.16404</v>
      </c>
      <c r="FB26" s="1354">
        <v>12179.474249999999</v>
      </c>
      <c r="FC26" s="1353">
        <v>22673.585729999999</v>
      </c>
      <c r="FD26" s="1353">
        <v>14487.426520000001</v>
      </c>
      <c r="FE26" s="1363">
        <v>30190.113150000001</v>
      </c>
      <c r="FF26" s="1354">
        <v>19659.789250000002</v>
      </c>
      <c r="FG26" s="1363">
        <v>34199.120280000003</v>
      </c>
      <c r="FH26" s="1354">
        <v>21977.675569999999</v>
      </c>
      <c r="FI26" s="1363">
        <v>38106.395340000003</v>
      </c>
      <c r="FJ26" s="1354">
        <v>24283.259579999998</v>
      </c>
      <c r="FK26" s="1363">
        <v>42273.500549999997</v>
      </c>
      <c r="FL26" s="1354">
        <v>27465.865709999998</v>
      </c>
      <c r="FM26" s="1354">
        <v>4594.9915700000001</v>
      </c>
      <c r="FN26" s="1354">
        <v>2506.53631</v>
      </c>
      <c r="FO26" s="1354">
        <v>6116.4019800000005</v>
      </c>
      <c r="FP26" s="1354">
        <v>5442.0001299999994</v>
      </c>
      <c r="FQ26" s="1354">
        <v>7289.3027099999999</v>
      </c>
      <c r="FR26" s="1354">
        <v>6674.3136100000002</v>
      </c>
      <c r="FS26" s="1354">
        <v>8865.0669699999999</v>
      </c>
      <c r="FT26" s="1354">
        <v>8277.8452600000001</v>
      </c>
      <c r="FU26" s="1354">
        <v>10739.2531</v>
      </c>
      <c r="FV26" s="1354">
        <v>9873.8445600000014</v>
      </c>
      <c r="FW26" s="1354">
        <v>12036.534539999999</v>
      </c>
      <c r="FX26" s="1354">
        <v>11918.46377</v>
      </c>
      <c r="FY26" s="1354">
        <v>13447.323269999999</v>
      </c>
      <c r="FZ26" s="1354">
        <v>15138.01686</v>
      </c>
      <c r="GA26" s="1354">
        <v>15066.87263</v>
      </c>
      <c r="GB26" s="1354">
        <v>16662.764449999999</v>
      </c>
      <c r="GC26" s="1354">
        <v>17093.74224</v>
      </c>
      <c r="GD26" s="1354">
        <v>18061.338500000002</v>
      </c>
      <c r="GE26" s="1354">
        <v>18687.586169999999</v>
      </c>
      <c r="GF26" s="1354">
        <v>19882.644390000001</v>
      </c>
      <c r="GG26" s="1354">
        <v>20073.23589</v>
      </c>
      <c r="GH26" s="1354">
        <v>20947.642240000001</v>
      </c>
      <c r="GI26" s="1354">
        <v>24072.93894</v>
      </c>
      <c r="GJ26" s="1354">
        <v>22055.487280000001</v>
      </c>
      <c r="GK26" s="1354">
        <v>1150.3104900000001</v>
      </c>
      <c r="GL26" s="1354">
        <v>909.56967000000009</v>
      </c>
      <c r="GM26" s="1354">
        <v>3334.33275</v>
      </c>
      <c r="GN26" s="1354">
        <v>1938.2769800000001</v>
      </c>
      <c r="GO26" s="2076" t="s">
        <v>3254</v>
      </c>
    </row>
    <row r="27" spans="1:197" ht="36" customHeight="1">
      <c r="A27" s="2074">
        <v>16</v>
      </c>
      <c r="B27" s="2075" t="s">
        <v>3149</v>
      </c>
      <c r="C27" s="1353">
        <v>0</v>
      </c>
      <c r="D27" s="1353">
        <v>0</v>
      </c>
      <c r="E27" s="1353">
        <v>0</v>
      </c>
      <c r="F27" s="1353">
        <v>0</v>
      </c>
      <c r="G27" s="1353">
        <v>0</v>
      </c>
      <c r="H27" s="1353">
        <v>0</v>
      </c>
      <c r="I27" s="1353">
        <v>0</v>
      </c>
      <c r="J27" s="1353">
        <v>0</v>
      </c>
      <c r="K27" s="1353">
        <v>0</v>
      </c>
      <c r="L27" s="1353">
        <v>0</v>
      </c>
      <c r="M27" s="1353">
        <v>0</v>
      </c>
      <c r="N27" s="1353">
        <v>0</v>
      </c>
      <c r="O27" s="1353">
        <v>0</v>
      </c>
      <c r="P27" s="1353">
        <v>0</v>
      </c>
      <c r="Q27" s="1353">
        <v>0</v>
      </c>
      <c r="R27" s="1353">
        <v>0</v>
      </c>
      <c r="S27" s="1353">
        <v>0</v>
      </c>
      <c r="T27" s="1353">
        <v>0</v>
      </c>
      <c r="U27" s="1353">
        <v>0</v>
      </c>
      <c r="V27" s="1353">
        <v>0</v>
      </c>
      <c r="W27" s="1353">
        <v>0</v>
      </c>
      <c r="X27" s="1353">
        <v>0</v>
      </c>
      <c r="Y27" s="1353">
        <v>0</v>
      </c>
      <c r="Z27" s="1353">
        <v>0</v>
      </c>
      <c r="AA27" s="1353">
        <v>0</v>
      </c>
      <c r="AB27" s="1353">
        <v>0</v>
      </c>
      <c r="AC27" s="1353">
        <v>0</v>
      </c>
      <c r="AD27" s="1353">
        <v>0</v>
      </c>
      <c r="AE27" s="1353">
        <v>0</v>
      </c>
      <c r="AF27" s="1353">
        <v>0</v>
      </c>
      <c r="AG27" s="1353">
        <v>0</v>
      </c>
      <c r="AH27" s="1353">
        <v>0</v>
      </c>
      <c r="AI27" s="1353">
        <v>0</v>
      </c>
      <c r="AJ27" s="1353">
        <v>0</v>
      </c>
      <c r="AK27" s="1353">
        <v>0</v>
      </c>
      <c r="AL27" s="1353">
        <v>0</v>
      </c>
      <c r="AM27" s="1353">
        <v>0</v>
      </c>
      <c r="AN27" s="1353">
        <v>0</v>
      </c>
      <c r="AO27" s="1353">
        <v>0</v>
      </c>
      <c r="AP27" s="1353">
        <v>0</v>
      </c>
      <c r="AQ27" s="1353">
        <v>0</v>
      </c>
      <c r="AR27" s="1353">
        <v>0</v>
      </c>
      <c r="AS27" s="1353">
        <v>0</v>
      </c>
      <c r="AT27" s="1353">
        <v>0</v>
      </c>
      <c r="AU27" s="1353">
        <v>0</v>
      </c>
      <c r="AV27" s="1353">
        <v>0</v>
      </c>
      <c r="AW27" s="1353">
        <v>0</v>
      </c>
      <c r="AX27" s="1353">
        <v>0</v>
      </c>
      <c r="AY27" s="1353">
        <v>0</v>
      </c>
      <c r="AZ27" s="1353">
        <v>0</v>
      </c>
      <c r="BA27" s="1353">
        <v>0</v>
      </c>
      <c r="BB27" s="1353">
        <v>0</v>
      </c>
      <c r="BC27" s="1353">
        <v>0</v>
      </c>
      <c r="BD27" s="1353">
        <v>0</v>
      </c>
      <c r="BE27" s="1353">
        <v>0</v>
      </c>
      <c r="BF27" s="1353">
        <v>0</v>
      </c>
      <c r="BG27" s="1353">
        <v>0</v>
      </c>
      <c r="BH27" s="1353">
        <v>0</v>
      </c>
      <c r="BI27" s="1353">
        <v>0</v>
      </c>
      <c r="BJ27" s="1353">
        <v>0</v>
      </c>
      <c r="BK27" s="1353">
        <v>0</v>
      </c>
      <c r="BL27" s="1353">
        <v>0</v>
      </c>
      <c r="BM27" s="1353">
        <v>0</v>
      </c>
      <c r="BN27" s="1353">
        <v>0</v>
      </c>
      <c r="BO27" s="1353">
        <v>0</v>
      </c>
      <c r="BP27" s="1353">
        <v>0</v>
      </c>
      <c r="BQ27" s="1353">
        <v>0</v>
      </c>
      <c r="BR27" s="1353">
        <v>0</v>
      </c>
      <c r="BS27" s="1353">
        <v>0</v>
      </c>
      <c r="BT27" s="1353">
        <v>0</v>
      </c>
      <c r="BU27" s="1353">
        <v>0</v>
      </c>
      <c r="BV27" s="1353">
        <v>0</v>
      </c>
      <c r="BW27" s="1353">
        <v>0</v>
      </c>
      <c r="BX27" s="1353">
        <v>0</v>
      </c>
      <c r="BY27" s="1353">
        <v>0</v>
      </c>
      <c r="BZ27" s="1353">
        <v>0</v>
      </c>
      <c r="CA27" s="1353">
        <v>0</v>
      </c>
      <c r="CB27" s="1353">
        <v>0</v>
      </c>
      <c r="CC27" s="1353">
        <v>0</v>
      </c>
      <c r="CD27" s="1353">
        <v>0</v>
      </c>
      <c r="CE27" s="1353">
        <v>0</v>
      </c>
      <c r="CF27" s="1353">
        <v>0</v>
      </c>
      <c r="CG27" s="1353">
        <v>0</v>
      </c>
      <c r="CH27" s="1353">
        <v>0</v>
      </c>
      <c r="CI27" s="1353">
        <v>0</v>
      </c>
      <c r="CJ27" s="1353">
        <v>0</v>
      </c>
      <c r="CK27" s="1353">
        <v>0</v>
      </c>
      <c r="CL27" s="1353">
        <v>0</v>
      </c>
      <c r="CM27" s="1353">
        <v>0</v>
      </c>
      <c r="CN27" s="1353">
        <v>0</v>
      </c>
      <c r="CO27" s="1353">
        <v>0</v>
      </c>
      <c r="CP27" s="1353">
        <v>0</v>
      </c>
      <c r="CQ27" s="1353">
        <v>0</v>
      </c>
      <c r="CR27" s="1353">
        <v>0</v>
      </c>
      <c r="CS27" s="1353">
        <v>0</v>
      </c>
      <c r="CT27" s="1353">
        <v>0</v>
      </c>
      <c r="CU27" s="1353">
        <v>0</v>
      </c>
      <c r="CV27" s="1353">
        <v>0</v>
      </c>
      <c r="CW27" s="1353">
        <v>0</v>
      </c>
      <c r="CX27" s="1353">
        <v>0</v>
      </c>
      <c r="CY27" s="1353">
        <v>0</v>
      </c>
      <c r="CZ27" s="1353">
        <v>0</v>
      </c>
      <c r="DA27" s="1353">
        <v>0</v>
      </c>
      <c r="DB27" s="1353">
        <v>0</v>
      </c>
      <c r="DC27" s="1353">
        <v>0</v>
      </c>
      <c r="DD27" s="1353">
        <v>0</v>
      </c>
      <c r="DE27" s="1353">
        <v>0</v>
      </c>
      <c r="DF27" s="1353">
        <v>0</v>
      </c>
      <c r="DG27" s="1353">
        <v>0</v>
      </c>
      <c r="DH27" s="1353">
        <v>0</v>
      </c>
      <c r="DI27" s="1353">
        <v>0</v>
      </c>
      <c r="DJ27" s="1353">
        <v>0</v>
      </c>
      <c r="DK27" s="1353">
        <v>0</v>
      </c>
      <c r="DL27" s="1353">
        <v>0</v>
      </c>
      <c r="DM27" s="1353">
        <v>0</v>
      </c>
      <c r="DN27" s="1353">
        <v>0</v>
      </c>
      <c r="DO27" s="1353" t="s">
        <v>93</v>
      </c>
      <c r="DP27" s="1353" t="s">
        <v>93</v>
      </c>
      <c r="DQ27" s="1353">
        <v>17.74166</v>
      </c>
      <c r="DR27" s="1353">
        <v>0</v>
      </c>
      <c r="DS27" s="1353">
        <v>14.00234</v>
      </c>
      <c r="DT27" s="1353">
        <v>0</v>
      </c>
      <c r="DU27" s="1353">
        <v>19.379720000000002</v>
      </c>
      <c r="DV27" s="1353">
        <v>0</v>
      </c>
      <c r="DW27" s="1353">
        <v>565.75099999999998</v>
      </c>
      <c r="DX27" s="1353">
        <v>0</v>
      </c>
      <c r="DY27" s="1353">
        <v>1172.7354599999999</v>
      </c>
      <c r="DZ27" s="1353">
        <v>0</v>
      </c>
      <c r="EA27" s="1353">
        <v>1416.1335800000002</v>
      </c>
      <c r="EB27" s="1353">
        <v>0</v>
      </c>
      <c r="EC27" s="1353">
        <v>1874.31908</v>
      </c>
      <c r="ED27" s="1353">
        <v>0</v>
      </c>
      <c r="EE27" s="1353">
        <v>2796.1531</v>
      </c>
      <c r="EF27" s="1353">
        <v>0</v>
      </c>
      <c r="EG27" s="1353">
        <v>3611.8386</v>
      </c>
      <c r="EH27" s="1353">
        <v>29.052619999999997</v>
      </c>
      <c r="EI27" s="1353">
        <v>3983.8288600000001</v>
      </c>
      <c r="EJ27" s="1353">
        <v>42.574400000000004</v>
      </c>
      <c r="EK27" s="1353">
        <v>4661.4078300000001</v>
      </c>
      <c r="EL27" s="1353">
        <v>84.538830000000004</v>
      </c>
      <c r="EM27" s="1353">
        <v>5579.3818000000001</v>
      </c>
      <c r="EN27" s="1353">
        <v>84.538830000000004</v>
      </c>
      <c r="EO27" s="1353">
        <v>11257.000099999999</v>
      </c>
      <c r="EP27" s="1353">
        <v>146.5077</v>
      </c>
      <c r="EQ27" s="1353">
        <v>1516.5707</v>
      </c>
      <c r="ER27" s="1353">
        <v>33.793799999999997</v>
      </c>
      <c r="ES27" s="1363">
        <v>2709.7806999999998</v>
      </c>
      <c r="ET27" s="1354">
        <v>82.248800000000003</v>
      </c>
      <c r="EU27" s="1353">
        <v>3435.13256</v>
      </c>
      <c r="EV27" s="1353">
        <v>119.41831999999999</v>
      </c>
      <c r="EW27" s="1363">
        <v>3710.8131600000002</v>
      </c>
      <c r="EX27" s="1354">
        <v>142.61145999999999</v>
      </c>
      <c r="EY27" s="1353">
        <v>5039.4785000000002</v>
      </c>
      <c r="EZ27" s="1353">
        <v>156.0214</v>
      </c>
      <c r="FA27" s="1363">
        <v>5750.8283000000001</v>
      </c>
      <c r="FB27" s="1354">
        <v>186.34289999999999</v>
      </c>
      <c r="FC27" s="1353">
        <v>6277.4623199999996</v>
      </c>
      <c r="FD27" s="1353">
        <v>192.45815999999999</v>
      </c>
      <c r="FE27" s="1363">
        <v>7740.4384</v>
      </c>
      <c r="FF27" s="1354">
        <v>550.08479999999997</v>
      </c>
      <c r="FG27" s="1363">
        <v>7940.1051799999996</v>
      </c>
      <c r="FH27" s="1354">
        <v>1154.6862900000001</v>
      </c>
      <c r="FI27" s="1363">
        <v>8747.1915600000011</v>
      </c>
      <c r="FJ27" s="1354">
        <v>1393.4622199999999</v>
      </c>
      <c r="FK27" s="1363">
        <v>14135.769840000001</v>
      </c>
      <c r="FL27" s="1354">
        <v>2389.6352700000002</v>
      </c>
      <c r="FM27" s="1354">
        <v>8996.9148999999998</v>
      </c>
      <c r="FN27" s="1354">
        <v>190.803</v>
      </c>
      <c r="FO27" s="1354">
        <v>9039.7718599999989</v>
      </c>
      <c r="FP27" s="1354">
        <v>550.72619999999995</v>
      </c>
      <c r="FQ27" s="1354">
        <v>9566.5236399999994</v>
      </c>
      <c r="FR27" s="1354">
        <v>799.08304999999996</v>
      </c>
      <c r="FS27" s="1354">
        <v>10529.660400000001</v>
      </c>
      <c r="FT27" s="1354">
        <v>1001.6251999999999</v>
      </c>
      <c r="FU27" s="1354">
        <v>12413.093699999999</v>
      </c>
      <c r="FV27" s="1354">
        <v>1102.49668</v>
      </c>
      <c r="FW27" s="1354">
        <v>13154.24856</v>
      </c>
      <c r="FX27" s="1354">
        <v>1174.6430800000001</v>
      </c>
      <c r="FY27" s="1354">
        <v>13612.6134</v>
      </c>
      <c r="FZ27" s="1354">
        <v>1256.058</v>
      </c>
      <c r="GA27" s="1354">
        <v>13713.783240000001</v>
      </c>
      <c r="GB27" s="1354">
        <v>1287.25136</v>
      </c>
      <c r="GC27" s="1354">
        <v>14647.8791</v>
      </c>
      <c r="GD27" s="1354">
        <v>1408.2828300000001</v>
      </c>
      <c r="GE27" s="1354">
        <v>14780.59708</v>
      </c>
      <c r="GF27" s="1354">
        <v>1409.66446</v>
      </c>
      <c r="GG27" s="1354">
        <v>15154.67676</v>
      </c>
      <c r="GH27" s="1354">
        <v>2723.2206999999999</v>
      </c>
      <c r="GI27" s="1354">
        <v>16748.965250000001</v>
      </c>
      <c r="GJ27" s="1354">
        <v>4404.8066399999998</v>
      </c>
      <c r="GK27" s="1354">
        <v>6898.7379500000006</v>
      </c>
      <c r="GL27" s="1354">
        <v>876.57479000000001</v>
      </c>
      <c r="GM27" s="1354">
        <v>7058.0589</v>
      </c>
      <c r="GN27" s="1354">
        <v>1549.08644</v>
      </c>
      <c r="GO27" s="2076" t="s">
        <v>3149</v>
      </c>
    </row>
    <row r="28" spans="1:197" ht="36" customHeight="1">
      <c r="A28" s="2074">
        <v>17</v>
      </c>
      <c r="B28" s="2075" t="s">
        <v>3150</v>
      </c>
      <c r="C28" s="1353"/>
      <c r="D28" s="1353"/>
      <c r="E28" s="1353"/>
      <c r="F28" s="1353"/>
      <c r="G28" s="1353"/>
      <c r="H28" s="1353"/>
      <c r="I28" s="1353"/>
      <c r="J28" s="1353"/>
      <c r="K28" s="1353"/>
      <c r="L28" s="1353"/>
      <c r="M28" s="1353"/>
      <c r="N28" s="1353"/>
      <c r="O28" s="1353"/>
      <c r="P28" s="1353"/>
      <c r="Q28" s="1353"/>
      <c r="R28" s="1353"/>
      <c r="S28" s="1353"/>
      <c r="T28" s="1353"/>
      <c r="U28" s="1353"/>
      <c r="V28" s="1353"/>
      <c r="W28" s="1353"/>
      <c r="X28" s="1353"/>
      <c r="Y28" s="1353"/>
      <c r="Z28" s="1353"/>
      <c r="AA28" s="1353"/>
      <c r="AB28" s="1353"/>
      <c r="AC28" s="1353"/>
      <c r="AD28" s="1353"/>
      <c r="AE28" s="1353"/>
      <c r="AF28" s="1353"/>
      <c r="AG28" s="1353"/>
      <c r="AH28" s="1353"/>
      <c r="AI28" s="1353"/>
      <c r="AJ28" s="1353"/>
      <c r="AK28" s="1353"/>
      <c r="AL28" s="1353"/>
      <c r="AM28" s="1353"/>
      <c r="AN28" s="1353"/>
      <c r="AO28" s="1353"/>
      <c r="AP28" s="1353"/>
      <c r="AQ28" s="1353"/>
      <c r="AR28" s="1353"/>
      <c r="AS28" s="1353"/>
      <c r="AT28" s="1353"/>
      <c r="AU28" s="1353"/>
      <c r="AV28" s="1353"/>
      <c r="AW28" s="1353"/>
      <c r="AX28" s="1353"/>
      <c r="AY28" s="1353">
        <v>0</v>
      </c>
      <c r="AZ28" s="1353">
        <v>0</v>
      </c>
      <c r="BA28" s="1353">
        <v>0</v>
      </c>
      <c r="BB28" s="1353">
        <v>0</v>
      </c>
      <c r="BC28" s="1353">
        <v>0</v>
      </c>
      <c r="BD28" s="1353">
        <v>0</v>
      </c>
      <c r="BE28" s="1353" t="s">
        <v>93</v>
      </c>
      <c r="BF28" s="1353">
        <v>0</v>
      </c>
      <c r="BG28" s="1353" t="s">
        <v>93</v>
      </c>
      <c r="BH28" s="1353">
        <v>0</v>
      </c>
      <c r="BI28" s="1353" t="s">
        <v>93</v>
      </c>
      <c r="BJ28" s="1353">
        <v>0</v>
      </c>
      <c r="BK28" s="1353" t="s">
        <v>93</v>
      </c>
      <c r="BL28" s="1353">
        <v>0</v>
      </c>
      <c r="BM28" s="1353" t="s">
        <v>93</v>
      </c>
      <c r="BN28" s="1353">
        <v>0</v>
      </c>
      <c r="BO28" s="1353" t="s">
        <v>93</v>
      </c>
      <c r="BP28" s="1353">
        <v>0</v>
      </c>
      <c r="BQ28" s="1353" t="s">
        <v>93</v>
      </c>
      <c r="BR28" s="1353">
        <v>0</v>
      </c>
      <c r="BS28" s="1353" t="s">
        <v>93</v>
      </c>
      <c r="BT28" s="1353">
        <v>0</v>
      </c>
      <c r="BU28" s="1353" t="s">
        <v>93</v>
      </c>
      <c r="BV28" s="1353">
        <v>0</v>
      </c>
      <c r="BW28" s="1353">
        <v>0</v>
      </c>
      <c r="BX28" s="1353">
        <v>0</v>
      </c>
      <c r="BY28" s="1353">
        <v>0</v>
      </c>
      <c r="BZ28" s="1353">
        <v>0</v>
      </c>
      <c r="CA28" s="1353">
        <v>0</v>
      </c>
      <c r="CB28" s="1353">
        <v>0</v>
      </c>
      <c r="CC28" s="1353" t="s">
        <v>93</v>
      </c>
      <c r="CD28" s="1353">
        <v>0</v>
      </c>
      <c r="CE28" s="1353" t="s">
        <v>93</v>
      </c>
      <c r="CF28" s="1353">
        <v>0</v>
      </c>
      <c r="CG28" s="1353" t="s">
        <v>93</v>
      </c>
      <c r="CH28" s="1353">
        <v>0</v>
      </c>
      <c r="CI28" s="1353" t="s">
        <v>93</v>
      </c>
      <c r="CJ28" s="1353">
        <v>0</v>
      </c>
      <c r="CK28" s="1353" t="s">
        <v>93</v>
      </c>
      <c r="CL28" s="1353">
        <v>0</v>
      </c>
      <c r="CM28" s="1353" t="s">
        <v>93</v>
      </c>
      <c r="CN28" s="1353">
        <v>0</v>
      </c>
      <c r="CO28" s="1353" t="s">
        <v>93</v>
      </c>
      <c r="CP28" s="1353">
        <v>0</v>
      </c>
      <c r="CQ28" s="1353" t="s">
        <v>93</v>
      </c>
      <c r="CR28" s="1353">
        <v>0</v>
      </c>
      <c r="CS28" s="1353" t="s">
        <v>93</v>
      </c>
      <c r="CT28" s="1353">
        <v>0</v>
      </c>
      <c r="CU28" s="1353">
        <v>0</v>
      </c>
      <c r="CV28" s="1353">
        <v>0</v>
      </c>
      <c r="CW28" s="1353">
        <v>0</v>
      </c>
      <c r="CX28" s="1353">
        <v>0</v>
      </c>
      <c r="CY28" s="1353">
        <v>0</v>
      </c>
      <c r="CZ28" s="1353">
        <v>0</v>
      </c>
      <c r="DA28" s="1353"/>
      <c r="DB28" s="1353"/>
      <c r="DC28" s="1353"/>
      <c r="DD28" s="1353"/>
      <c r="DE28" s="1353"/>
      <c r="DF28" s="1353"/>
      <c r="DG28" s="1353"/>
      <c r="DH28" s="1353"/>
      <c r="DI28" s="1353"/>
      <c r="DJ28" s="1353"/>
      <c r="DK28" s="1353"/>
      <c r="DL28" s="1353"/>
      <c r="DM28" s="1353"/>
      <c r="DN28" s="1353"/>
      <c r="DO28" s="1353"/>
      <c r="DP28" s="1353"/>
      <c r="DQ28" s="1353"/>
      <c r="DR28" s="1353"/>
      <c r="DS28" s="1353">
        <v>0</v>
      </c>
      <c r="DT28" s="1353">
        <v>0</v>
      </c>
      <c r="DU28" s="1353">
        <v>0</v>
      </c>
      <c r="DV28" s="1353">
        <v>0</v>
      </c>
      <c r="DW28" s="1353">
        <v>76.303060000000002</v>
      </c>
      <c r="DX28" s="1353">
        <v>0</v>
      </c>
      <c r="DY28" s="1353">
        <v>146.98676999999998</v>
      </c>
      <c r="DZ28" s="1353">
        <v>0</v>
      </c>
      <c r="EA28" s="1353">
        <v>212.17366000000001</v>
      </c>
      <c r="EB28" s="1353">
        <v>0</v>
      </c>
      <c r="EC28" s="1353">
        <v>235.73551</v>
      </c>
      <c r="ED28" s="1353">
        <v>0</v>
      </c>
      <c r="EE28" s="1353">
        <v>266.06986999999998</v>
      </c>
      <c r="EF28" s="1353">
        <v>0</v>
      </c>
      <c r="EG28" s="1353">
        <v>305.72841</v>
      </c>
      <c r="EH28" s="1353">
        <v>0</v>
      </c>
      <c r="EI28" s="1353">
        <v>338.96469999999999</v>
      </c>
      <c r="EJ28" s="1353">
        <v>0</v>
      </c>
      <c r="EK28" s="1353">
        <v>382.24315999999999</v>
      </c>
      <c r="EL28" s="1353">
        <v>0</v>
      </c>
      <c r="EM28" s="1353">
        <v>434.05214000000001</v>
      </c>
      <c r="EN28" s="1353">
        <v>0</v>
      </c>
      <c r="EO28" s="1353">
        <v>515.33486000000005</v>
      </c>
      <c r="EP28" s="1353">
        <v>0</v>
      </c>
      <c r="EQ28" s="1353">
        <v>101.67821000000001</v>
      </c>
      <c r="ER28" s="1353">
        <v>0</v>
      </c>
      <c r="ES28" s="1363">
        <v>166.44032000000001</v>
      </c>
      <c r="ET28" s="1354">
        <v>0</v>
      </c>
      <c r="EU28" s="1353">
        <v>340.47985999999997</v>
      </c>
      <c r="EV28" s="1353">
        <v>0</v>
      </c>
      <c r="EW28" s="1363">
        <v>460.65055999999998</v>
      </c>
      <c r="EX28" s="1354">
        <v>0</v>
      </c>
      <c r="EY28" s="1353">
        <v>680.67237999999998</v>
      </c>
      <c r="EZ28" s="1353">
        <v>0</v>
      </c>
      <c r="FA28" s="1363">
        <v>880.89229</v>
      </c>
      <c r="FB28" s="1354">
        <v>2.6585000000000001</v>
      </c>
      <c r="FC28" s="1353">
        <v>1101.7360799999999</v>
      </c>
      <c r="FD28" s="1353">
        <v>2.6585000000000001</v>
      </c>
      <c r="FE28" s="1363">
        <v>1645.55377</v>
      </c>
      <c r="FF28" s="1354">
        <v>2.6585000000000001</v>
      </c>
      <c r="FG28" s="1363">
        <v>2021.4645700000001</v>
      </c>
      <c r="FH28" s="1354">
        <v>2.6585000000000001</v>
      </c>
      <c r="FI28" s="1363">
        <v>2201.8031299999998</v>
      </c>
      <c r="FJ28" s="1354">
        <v>6.8273100000000007</v>
      </c>
      <c r="FK28" s="1363">
        <v>2404.4049300000001</v>
      </c>
      <c r="FL28" s="1354">
        <v>9.1699199999999994</v>
      </c>
      <c r="FM28" s="1354">
        <v>249.57214000000002</v>
      </c>
      <c r="FN28" s="1354">
        <v>0</v>
      </c>
      <c r="FO28" s="1354">
        <v>574.56591000000003</v>
      </c>
      <c r="FP28" s="1354">
        <v>0</v>
      </c>
      <c r="FQ28" s="1354">
        <v>903.20011999999997</v>
      </c>
      <c r="FR28" s="1354">
        <v>0.65654000000000001</v>
      </c>
      <c r="FS28" s="1354">
        <v>1224.0430700000002</v>
      </c>
      <c r="FT28" s="1354">
        <v>3.0203899999999999</v>
      </c>
      <c r="FU28" s="1354">
        <v>1623.80441</v>
      </c>
      <c r="FV28" s="1354">
        <v>3.40991</v>
      </c>
      <c r="FW28" s="1354">
        <v>1952.11337</v>
      </c>
      <c r="FX28" s="1354">
        <v>6.7371000000000008</v>
      </c>
      <c r="FY28" s="1354">
        <v>2449.2265400000001</v>
      </c>
      <c r="FZ28" s="1354">
        <v>8.0933600000000006</v>
      </c>
      <c r="GA28" s="1354">
        <v>2783.93541</v>
      </c>
      <c r="GB28" s="1354">
        <v>8.0933600000000006</v>
      </c>
      <c r="GC28" s="1354">
        <v>3315.7186900000002</v>
      </c>
      <c r="GD28" s="1354">
        <v>13.688090000000001</v>
      </c>
      <c r="GE28" s="1354">
        <v>3936.8247700000002</v>
      </c>
      <c r="GF28" s="1354">
        <v>13.688090000000001</v>
      </c>
      <c r="GG28" s="1354">
        <v>4407.2150799999999</v>
      </c>
      <c r="GH28" s="1354">
        <v>15.00943</v>
      </c>
      <c r="GI28" s="1354">
        <v>4857.1711799999994</v>
      </c>
      <c r="GJ28" s="1354">
        <v>15.00943</v>
      </c>
      <c r="GK28" s="1354">
        <v>601.49929000000009</v>
      </c>
      <c r="GL28" s="1354">
        <v>29.770479999999999</v>
      </c>
      <c r="GM28" s="1354">
        <v>1314.5637199999999</v>
      </c>
      <c r="GN28" s="1354">
        <v>33.811800000000005</v>
      </c>
      <c r="GO28" s="2076" t="s">
        <v>3255</v>
      </c>
    </row>
    <row r="29" spans="1:197" s="2081" customFormat="1" ht="55.5" customHeight="1">
      <c r="A29" s="2078"/>
      <c r="B29" s="2079" t="s">
        <v>3151</v>
      </c>
      <c r="C29" s="1356">
        <v>8034.1083899999994</v>
      </c>
      <c r="D29" s="1356">
        <v>2538.2952</v>
      </c>
      <c r="E29" s="1356">
        <v>17908.598069999996</v>
      </c>
      <c r="F29" s="1356">
        <v>5957.2633300000007</v>
      </c>
      <c r="G29" s="1356">
        <v>26620.683129999998</v>
      </c>
      <c r="H29" s="1356">
        <v>9247.1199199999992</v>
      </c>
      <c r="I29" s="1356">
        <v>38953.016360000001</v>
      </c>
      <c r="J29" s="1356">
        <v>13219.013429999999</v>
      </c>
      <c r="K29" s="1356">
        <v>54908.457290000006</v>
      </c>
      <c r="L29" s="1356">
        <v>16897.82043</v>
      </c>
      <c r="M29" s="1356">
        <v>64292.652170000001</v>
      </c>
      <c r="N29" s="1356">
        <v>21224.668549999999</v>
      </c>
      <c r="O29" s="1356">
        <v>70574.636979999996</v>
      </c>
      <c r="P29" s="1356">
        <v>24624.220979999998</v>
      </c>
      <c r="Q29" s="1356">
        <v>75630.624920000002</v>
      </c>
      <c r="R29" s="1356">
        <v>28542.666169999997</v>
      </c>
      <c r="S29" s="1356">
        <v>80753.874329999991</v>
      </c>
      <c r="T29" s="1356">
        <v>31297.208979999999</v>
      </c>
      <c r="U29" s="1356">
        <v>84561.981639999984</v>
      </c>
      <c r="V29" s="1356">
        <v>34933.387569999992</v>
      </c>
      <c r="W29" s="1356">
        <v>89279.157169999991</v>
      </c>
      <c r="X29" s="1356">
        <v>38417.580759999997</v>
      </c>
      <c r="Y29" s="1356">
        <v>93333.352800000008</v>
      </c>
      <c r="Z29" s="1356">
        <v>42597.450169999996</v>
      </c>
      <c r="AA29" s="1356">
        <v>7589.4427399999995</v>
      </c>
      <c r="AB29" s="1356">
        <v>2255.0880499999998</v>
      </c>
      <c r="AC29" s="1356">
        <v>13256.262280000001</v>
      </c>
      <c r="AD29" s="1356">
        <v>4958.2623000000003</v>
      </c>
      <c r="AE29" s="1356">
        <v>22046.382269999998</v>
      </c>
      <c r="AF29" s="1356">
        <v>7982.2352100000007</v>
      </c>
      <c r="AG29" s="1356">
        <v>26811.538670000002</v>
      </c>
      <c r="AH29" s="1356">
        <v>10474.81106</v>
      </c>
      <c r="AI29" s="1356">
        <v>32056.038430000001</v>
      </c>
      <c r="AJ29" s="1356">
        <v>15136.613719999999</v>
      </c>
      <c r="AK29" s="1356">
        <v>37897.117079999996</v>
      </c>
      <c r="AL29" s="1356">
        <v>18583.11852</v>
      </c>
      <c r="AM29" s="1356">
        <v>43877.539629999999</v>
      </c>
      <c r="AN29" s="1356">
        <v>19844.44974</v>
      </c>
      <c r="AO29" s="1356">
        <v>48977.080240000003</v>
      </c>
      <c r="AP29" s="1356">
        <v>22562.121239999997</v>
      </c>
      <c r="AQ29" s="1356">
        <v>57730.722090000003</v>
      </c>
      <c r="AR29" s="1356">
        <v>24617.753229999998</v>
      </c>
      <c r="AS29" s="1356">
        <v>75283.520649999991</v>
      </c>
      <c r="AT29" s="1356">
        <v>26694.931109999998</v>
      </c>
      <c r="AU29" s="1356">
        <v>79750.303879999992</v>
      </c>
      <c r="AV29" s="1356">
        <v>29297.853679999997</v>
      </c>
      <c r="AW29" s="1356">
        <v>85664.023790000007</v>
      </c>
      <c r="AX29" s="1356">
        <v>32042.223419999998</v>
      </c>
      <c r="AY29" s="1356">
        <v>4406.5079000000005</v>
      </c>
      <c r="AZ29" s="1356">
        <v>2064.6449300000004</v>
      </c>
      <c r="BA29" s="1356">
        <v>10026.380829999998</v>
      </c>
      <c r="BB29" s="1356">
        <v>4945.9291599999997</v>
      </c>
      <c r="BC29" s="1356">
        <v>13502.48</v>
      </c>
      <c r="BD29" s="1356">
        <v>7488.7000000000007</v>
      </c>
      <c r="BE29" s="1356">
        <v>44336.133010000005</v>
      </c>
      <c r="BF29" s="1356">
        <v>10457.81378</v>
      </c>
      <c r="BG29" s="1356">
        <v>48392.098859999998</v>
      </c>
      <c r="BH29" s="1356">
        <v>13749.832050000001</v>
      </c>
      <c r="BI29" s="1356">
        <v>52727.456860000006</v>
      </c>
      <c r="BJ29" s="1356">
        <v>15893.791359999999</v>
      </c>
      <c r="BK29" s="1356">
        <v>61718.955820000003</v>
      </c>
      <c r="BL29" s="1356">
        <v>18731.642239999997</v>
      </c>
      <c r="BM29" s="1356">
        <v>65929.087759999995</v>
      </c>
      <c r="BN29" s="1356">
        <v>21287.94442</v>
      </c>
      <c r="BO29" s="1356">
        <v>70800.044610000012</v>
      </c>
      <c r="BP29" s="1356">
        <v>23764.689469999998</v>
      </c>
      <c r="BQ29" s="1356">
        <v>75315.710619999998</v>
      </c>
      <c r="BR29" s="1356">
        <v>26442.996749999998</v>
      </c>
      <c r="BS29" s="1356">
        <v>79549.307100000005</v>
      </c>
      <c r="BT29" s="1356">
        <v>28991.783089999997</v>
      </c>
      <c r="BU29" s="1356">
        <v>83522.554479999992</v>
      </c>
      <c r="BV29" s="1356">
        <v>31708.78284</v>
      </c>
      <c r="BW29" s="1356">
        <v>3539.6792700000001</v>
      </c>
      <c r="BX29" s="1356">
        <v>2247.9262100000001</v>
      </c>
      <c r="BY29" s="1356">
        <v>6793.2357000000011</v>
      </c>
      <c r="BZ29" s="1356">
        <v>4573.8026</v>
      </c>
      <c r="CA29" s="1356">
        <v>36002.053350000002</v>
      </c>
      <c r="CB29" s="1356">
        <v>6564.339320000001</v>
      </c>
      <c r="CC29" s="1356">
        <v>39109.27306</v>
      </c>
      <c r="CD29" s="1356">
        <v>9151.78629</v>
      </c>
      <c r="CE29" s="1356">
        <v>42568.52491</v>
      </c>
      <c r="CF29" s="1356">
        <v>11407.076939999999</v>
      </c>
      <c r="CG29" s="1356">
        <v>46400.380219999999</v>
      </c>
      <c r="CH29" s="1356">
        <v>13207.903689999999</v>
      </c>
      <c r="CI29" s="1356">
        <v>52649.967420000001</v>
      </c>
      <c r="CJ29" s="1356">
        <v>16576.641060000002</v>
      </c>
      <c r="CK29" s="1356">
        <v>56137.533560000003</v>
      </c>
      <c r="CL29" s="1356">
        <v>18983.575939999999</v>
      </c>
      <c r="CM29" s="1356">
        <v>60756.329189999997</v>
      </c>
      <c r="CN29" s="1356">
        <v>21412.32821</v>
      </c>
      <c r="CO29" s="1356">
        <v>64217.53613</v>
      </c>
      <c r="CP29" s="1356">
        <v>24390.49222</v>
      </c>
      <c r="CQ29" s="1356">
        <v>68778.712759999995</v>
      </c>
      <c r="CR29" s="1356">
        <v>27158.718950000002</v>
      </c>
      <c r="CS29" s="1356">
        <v>75915.878190000003</v>
      </c>
      <c r="CT29" s="1356">
        <v>30370.155780000001</v>
      </c>
      <c r="CU29" s="1356">
        <v>5327.5267000000003</v>
      </c>
      <c r="CV29" s="1356">
        <v>2575.84861</v>
      </c>
      <c r="CW29" s="1356">
        <v>39733.275539999995</v>
      </c>
      <c r="CX29" s="1356">
        <v>5629.0553799999998</v>
      </c>
      <c r="CY29" s="1356">
        <v>42916.226119999999</v>
      </c>
      <c r="CZ29" s="1356">
        <v>7405.0736399999996</v>
      </c>
      <c r="DA29" s="1356">
        <v>45991.668040000004</v>
      </c>
      <c r="DB29" s="1356">
        <v>9668.685590000001</v>
      </c>
      <c r="DC29" s="1356">
        <v>49646.864929999996</v>
      </c>
      <c r="DD29" s="1356">
        <v>11006.771779999999</v>
      </c>
      <c r="DE29" s="1356">
        <v>51987.551020000006</v>
      </c>
      <c r="DF29" s="1356">
        <v>12657.368119999999</v>
      </c>
      <c r="DG29" s="1356">
        <v>54633.477589999995</v>
      </c>
      <c r="DH29" s="1356">
        <v>14516.189599999998</v>
      </c>
      <c r="DI29" s="1356">
        <v>57370.208079999997</v>
      </c>
      <c r="DJ29" s="1356">
        <v>16099.792710000002</v>
      </c>
      <c r="DK29" s="1356">
        <v>60448.77059</v>
      </c>
      <c r="DL29" s="1356">
        <v>18309.49668</v>
      </c>
      <c r="DM29" s="1356">
        <v>63256.667159999997</v>
      </c>
      <c r="DN29" s="1356">
        <v>19967.043430000002</v>
      </c>
      <c r="DO29" s="1356">
        <v>65577.064069999993</v>
      </c>
      <c r="DP29" s="1356">
        <v>23534.149740000001</v>
      </c>
      <c r="DQ29" s="1356">
        <v>68145.25443999999</v>
      </c>
      <c r="DR29" s="1356">
        <v>42330.99684</v>
      </c>
      <c r="DS29" s="1356">
        <v>3579.1310800000001</v>
      </c>
      <c r="DT29" s="1356">
        <v>15838.41165</v>
      </c>
      <c r="DU29" s="1356">
        <v>7485.4250199999997</v>
      </c>
      <c r="DV29" s="1356">
        <v>24978.549729999999</v>
      </c>
      <c r="DW29" s="1356">
        <v>41207.685320000004</v>
      </c>
      <c r="DX29" s="1356">
        <v>29112.68247</v>
      </c>
      <c r="DY29" s="1356">
        <v>44112.722229999999</v>
      </c>
      <c r="DZ29" s="1356">
        <v>33469.193850000003</v>
      </c>
      <c r="EA29" s="1356">
        <v>47442.507549999995</v>
      </c>
      <c r="EB29" s="1356">
        <v>36188.525339999993</v>
      </c>
      <c r="EC29" s="1356">
        <v>51039.935680000002</v>
      </c>
      <c r="ED29" s="1356">
        <v>39466.134640000004</v>
      </c>
      <c r="EE29" s="1356">
        <v>54643.070769999998</v>
      </c>
      <c r="EF29" s="1356">
        <v>43278.758019999994</v>
      </c>
      <c r="EG29" s="1356">
        <v>58267.527759999997</v>
      </c>
      <c r="EH29" s="1356">
        <v>47327.652000000002</v>
      </c>
      <c r="EI29" s="1356">
        <v>61289.816460000002</v>
      </c>
      <c r="EJ29" s="1356">
        <v>52324.875140000004</v>
      </c>
      <c r="EK29" s="1356">
        <v>64071.48072</v>
      </c>
      <c r="EL29" s="1356">
        <v>56133.177230000001</v>
      </c>
      <c r="EM29" s="1356">
        <v>66687.164099999995</v>
      </c>
      <c r="EN29" s="1356">
        <v>60421.945949999994</v>
      </c>
      <c r="EO29" s="1356">
        <v>66325.568530000004</v>
      </c>
      <c r="EP29" s="1356">
        <v>64296.368139999999</v>
      </c>
      <c r="EQ29" s="1356">
        <v>1460.9187099999999</v>
      </c>
      <c r="ER29" s="1356">
        <v>2398.33851</v>
      </c>
      <c r="ES29" s="1356">
        <v>2960.1053700000002</v>
      </c>
      <c r="ET29" s="1356">
        <v>4576.4082200000003</v>
      </c>
      <c r="EU29" s="1356">
        <v>4453.1050199999991</v>
      </c>
      <c r="EV29" s="1356">
        <v>7475.0848900000001</v>
      </c>
      <c r="EW29" s="1356">
        <v>6142.8197199999995</v>
      </c>
      <c r="EX29" s="1356">
        <v>10058.547190000001</v>
      </c>
      <c r="EY29" s="1356">
        <v>8054.6494299999995</v>
      </c>
      <c r="EZ29" s="1356">
        <v>12338.57819</v>
      </c>
      <c r="FA29" s="1356">
        <v>8946.7069300000003</v>
      </c>
      <c r="FB29" s="1356">
        <v>12820.76787</v>
      </c>
      <c r="FC29" s="1356">
        <v>12047.031790000001</v>
      </c>
      <c r="FD29" s="1356">
        <v>16442.91964</v>
      </c>
      <c r="FE29" s="1356">
        <v>16960.906930000001</v>
      </c>
      <c r="FF29" s="1356">
        <v>20174.224820000003</v>
      </c>
      <c r="FG29" s="1356">
        <v>20066.703560000002</v>
      </c>
      <c r="FH29" s="1356">
        <v>21767.197999999997</v>
      </c>
      <c r="FI29" s="1356">
        <v>23299.65526</v>
      </c>
      <c r="FJ29" s="1356">
        <v>23062.97595</v>
      </c>
      <c r="FK29" s="1356">
        <v>26702.395690000001</v>
      </c>
      <c r="FL29" s="1356">
        <v>24517.325840000001</v>
      </c>
      <c r="FM29" s="1357">
        <v>2957.8571299999999</v>
      </c>
      <c r="FN29" s="1357">
        <v>1360.3504</v>
      </c>
      <c r="FO29" s="1357">
        <v>5972.07665</v>
      </c>
      <c r="FP29" s="1357">
        <v>3036.9452000000001</v>
      </c>
      <c r="FQ29" s="1357">
        <v>10141.79975</v>
      </c>
      <c r="FR29" s="1357">
        <v>4444.2103999999999</v>
      </c>
      <c r="FS29" s="1357">
        <v>13821.31407</v>
      </c>
      <c r="FT29" s="1357">
        <v>6160.0619100000004</v>
      </c>
      <c r="FU29" s="1357">
        <v>17667.91447</v>
      </c>
      <c r="FV29" s="1357">
        <v>8015.9901800000007</v>
      </c>
      <c r="FW29" s="1357">
        <v>20852.463490000002</v>
      </c>
      <c r="FX29" s="1357">
        <v>9647.598320000001</v>
      </c>
      <c r="FY29" s="1357">
        <v>24644.672299999998</v>
      </c>
      <c r="FZ29" s="1357">
        <v>11234.960210000001</v>
      </c>
      <c r="GA29" s="1357">
        <v>28231.182769999999</v>
      </c>
      <c r="GB29" s="1357">
        <v>13086.22335</v>
      </c>
      <c r="GC29" s="1357">
        <v>31803.49927</v>
      </c>
      <c r="GD29" s="1357">
        <v>14856.43563</v>
      </c>
      <c r="GE29" s="1357">
        <v>35479.177530000001</v>
      </c>
      <c r="GF29" s="1357">
        <v>17061.89817</v>
      </c>
      <c r="GG29" s="1357">
        <v>35670.435920000004</v>
      </c>
      <c r="GH29" s="1357">
        <v>19127.59751</v>
      </c>
      <c r="GI29" s="1357">
        <v>35699.411520000001</v>
      </c>
      <c r="GJ29" s="1357">
        <v>21145.505499999999</v>
      </c>
      <c r="GK29" s="1357">
        <v>0</v>
      </c>
      <c r="GL29" s="1357">
        <v>1917.7426400000002</v>
      </c>
      <c r="GM29" s="1357">
        <v>0</v>
      </c>
      <c r="GN29" s="1357">
        <v>3874.7701900000002</v>
      </c>
      <c r="GO29" s="2080" t="s">
        <v>3256</v>
      </c>
    </row>
    <row r="30" spans="1:197" ht="50.25" hidden="1" customHeight="1">
      <c r="A30" s="2074">
        <v>19</v>
      </c>
      <c r="B30" s="2082" t="s">
        <v>2385</v>
      </c>
      <c r="C30" s="1353">
        <v>3.0487100000000003</v>
      </c>
      <c r="D30" s="1353">
        <v>1.0129999999999999</v>
      </c>
      <c r="E30" s="1353">
        <v>6.33134</v>
      </c>
      <c r="F30" s="1353">
        <v>3.5630000000000002</v>
      </c>
      <c r="G30" s="1353">
        <v>9.8387799999999999</v>
      </c>
      <c r="H30" s="1353">
        <v>8.0772200000000005</v>
      </c>
      <c r="I30" s="1353">
        <v>11.19323</v>
      </c>
      <c r="J30" s="1353">
        <v>11.727219999999999</v>
      </c>
      <c r="K30" s="1353">
        <v>21.486969999999999</v>
      </c>
      <c r="L30" s="1353">
        <v>45.876260000000002</v>
      </c>
      <c r="M30" s="1353">
        <v>44.551679999999998</v>
      </c>
      <c r="N30" s="1353">
        <v>63.088279999999997</v>
      </c>
      <c r="O30" s="1353">
        <v>47.006839999999997</v>
      </c>
      <c r="P30" s="1353">
        <v>76.34254</v>
      </c>
      <c r="Q30" s="1353">
        <v>49.27608</v>
      </c>
      <c r="R30" s="1353">
        <v>124.65864000000001</v>
      </c>
      <c r="S30" s="1353">
        <v>49.560989999999997</v>
      </c>
      <c r="T30" s="1353">
        <v>126.74974</v>
      </c>
      <c r="U30" s="1353">
        <v>54.335209999999996</v>
      </c>
      <c r="V30" s="1353">
        <v>165.59767000000002</v>
      </c>
      <c r="W30" s="1353">
        <v>56.269440000000003</v>
      </c>
      <c r="X30" s="1353">
        <v>180.18667000000002</v>
      </c>
      <c r="Y30" s="1353">
        <v>62.553510000000003</v>
      </c>
      <c r="Z30" s="1353">
        <v>191.91323</v>
      </c>
      <c r="AA30" s="1353">
        <v>5.88131</v>
      </c>
      <c r="AB30" s="1353">
        <v>0</v>
      </c>
      <c r="AC30" s="1353">
        <v>7.80931</v>
      </c>
      <c r="AD30" s="1353">
        <v>4.0999999999999996</v>
      </c>
      <c r="AE30" s="1353">
        <v>8.1026100000000003</v>
      </c>
      <c r="AF30" s="1353">
        <v>15.345000000000001</v>
      </c>
      <c r="AG30" s="1353">
        <v>9.2341200000000008</v>
      </c>
      <c r="AH30" s="1353">
        <v>25.94116</v>
      </c>
      <c r="AI30" s="1353">
        <v>9.28965</v>
      </c>
      <c r="AJ30" s="1353">
        <v>35.649160000000002</v>
      </c>
      <c r="AK30" s="1353">
        <v>12.61617</v>
      </c>
      <c r="AL30" s="1353">
        <v>42.10416</v>
      </c>
      <c r="AM30" s="1353">
        <v>13.32268</v>
      </c>
      <c r="AN30" s="1353">
        <v>50.156160000000007</v>
      </c>
      <c r="AO30" s="1353">
        <v>13.350670000000001</v>
      </c>
      <c r="AP30" s="1353">
        <v>55.721160000000005</v>
      </c>
      <c r="AQ30" s="1353">
        <v>15.8011</v>
      </c>
      <c r="AR30" s="1353">
        <v>58.384160000000001</v>
      </c>
      <c r="AS30" s="1353">
        <v>15.982250000000001</v>
      </c>
      <c r="AT30" s="1353">
        <v>58.384160000000001</v>
      </c>
      <c r="AU30" s="1353">
        <v>16.132249999999999</v>
      </c>
      <c r="AV30" s="1353">
        <v>59.884160000000001</v>
      </c>
      <c r="AW30" s="1353">
        <v>21.548449999999999</v>
      </c>
      <c r="AX30" s="1353">
        <v>72.446160000000006</v>
      </c>
      <c r="AY30" s="1353">
        <v>4.7339099999999998</v>
      </c>
      <c r="AZ30" s="1353">
        <v>3.9485300000000003</v>
      </c>
      <c r="BA30" s="1353">
        <v>11.249540000000001</v>
      </c>
      <c r="BB30" s="1353">
        <v>9.3355300000000003</v>
      </c>
      <c r="BC30" s="1353">
        <v>30.93</v>
      </c>
      <c r="BD30" s="1353">
        <v>9.34</v>
      </c>
      <c r="BE30" s="1353">
        <v>77.822649999999996</v>
      </c>
      <c r="BF30" s="1353">
        <v>17.709529999999997</v>
      </c>
      <c r="BG30" s="1353">
        <v>102.83721000000001</v>
      </c>
      <c r="BH30" s="1353">
        <v>22.356529999999999</v>
      </c>
      <c r="BI30" s="1353">
        <v>145.90029000000001</v>
      </c>
      <c r="BJ30" s="1353">
        <v>27.16253</v>
      </c>
      <c r="BK30" s="1353">
        <v>228.43657000000002</v>
      </c>
      <c r="BL30" s="1353">
        <v>28.840529999999998</v>
      </c>
      <c r="BM30" s="1353">
        <v>314.45161999999999</v>
      </c>
      <c r="BN30" s="1353">
        <v>38.44753</v>
      </c>
      <c r="BO30" s="1353">
        <v>395.32537000000002</v>
      </c>
      <c r="BP30" s="1353">
        <v>51.472529999999999</v>
      </c>
      <c r="BQ30" s="1353">
        <v>508.97315999999995</v>
      </c>
      <c r="BR30" s="1353">
        <v>62.187529999999995</v>
      </c>
      <c r="BS30" s="1353">
        <v>585.47080000000005</v>
      </c>
      <c r="BT30" s="1353">
        <v>83.408529999999999</v>
      </c>
      <c r="BU30" s="1353">
        <v>743.65124000000003</v>
      </c>
      <c r="BV30" s="1353">
        <v>103.54217999999999</v>
      </c>
      <c r="BW30" s="1353">
        <v>38.10615</v>
      </c>
      <c r="BX30" s="1353">
        <v>19.638999999999999</v>
      </c>
      <c r="BY30" s="1353">
        <v>60.62435</v>
      </c>
      <c r="BZ30" s="1353">
        <v>38.268830000000001</v>
      </c>
      <c r="CA30" s="1353">
        <v>90.548469999999995</v>
      </c>
      <c r="CB30" s="1353">
        <v>55.04683</v>
      </c>
      <c r="CC30" s="1353">
        <v>137.49347</v>
      </c>
      <c r="CD30" s="1353">
        <v>62.022829999999999</v>
      </c>
      <c r="CE30" s="1353">
        <v>227.21156999999999</v>
      </c>
      <c r="CF30" s="1353">
        <v>80.830830000000006</v>
      </c>
      <c r="CG30" s="1353">
        <v>289.52570000000003</v>
      </c>
      <c r="CH30" s="1353">
        <v>101.51924000000001</v>
      </c>
      <c r="CI30" s="1353">
        <v>336.4982</v>
      </c>
      <c r="CJ30" s="1353">
        <v>123.56796</v>
      </c>
      <c r="CK30" s="1353">
        <v>352.43128000000002</v>
      </c>
      <c r="CL30" s="1353">
        <v>138.86395999999999</v>
      </c>
      <c r="CM30" s="1353">
        <v>373.3954</v>
      </c>
      <c r="CN30" s="1353">
        <v>161.04195999999999</v>
      </c>
      <c r="CO30" s="1353">
        <v>397.85384000000005</v>
      </c>
      <c r="CP30" s="1353">
        <v>173.51976999999999</v>
      </c>
      <c r="CQ30" s="1353">
        <v>474.94839000000002</v>
      </c>
      <c r="CR30" s="1353">
        <v>176.45114999999998</v>
      </c>
      <c r="CS30" s="1353">
        <v>861.18448999999998</v>
      </c>
      <c r="CT30" s="1353">
        <v>201.91332999999997</v>
      </c>
      <c r="CU30" s="1353">
        <v>223.44798</v>
      </c>
      <c r="CV30" s="1353">
        <v>47.495800000000003</v>
      </c>
      <c r="CW30" s="1353">
        <v>529.04084</v>
      </c>
      <c r="CX30" s="1353">
        <v>117.06689999999999</v>
      </c>
      <c r="CY30" s="1353">
        <v>722.01144999999997</v>
      </c>
      <c r="CZ30" s="1353">
        <v>172.77051999999998</v>
      </c>
      <c r="DA30" s="1353">
        <v>760.99437</v>
      </c>
      <c r="DB30" s="1353">
        <v>221.94055</v>
      </c>
      <c r="DC30" s="1353">
        <v>1072.4381699999999</v>
      </c>
      <c r="DD30" s="1353">
        <v>325.04586</v>
      </c>
      <c r="DE30" s="1353">
        <v>1169.57717</v>
      </c>
      <c r="DF30" s="1353">
        <v>400.96957000000003</v>
      </c>
      <c r="DG30" s="1353">
        <v>1384.9488999999999</v>
      </c>
      <c r="DH30" s="1353">
        <v>474.90357</v>
      </c>
      <c r="DI30" s="1353">
        <v>1660.1088999999999</v>
      </c>
      <c r="DJ30" s="1353">
        <v>554.84455000000003</v>
      </c>
      <c r="DK30" s="1353">
        <v>1880.9815000000001</v>
      </c>
      <c r="DL30" s="1353">
        <v>674.2165</v>
      </c>
      <c r="DM30" s="1353">
        <v>1981.6588999999999</v>
      </c>
      <c r="DN30" s="1353">
        <v>749.40264000000002</v>
      </c>
      <c r="DO30" s="1353">
        <v>1981.6588999999999</v>
      </c>
      <c r="DP30" s="1353">
        <v>808.50090999999998</v>
      </c>
      <c r="DQ30" s="1353">
        <v>1981.6588999999999</v>
      </c>
      <c r="DR30" s="1353">
        <v>876.84315000000004</v>
      </c>
      <c r="DS30" s="1353">
        <v>0</v>
      </c>
      <c r="DT30" s="1353">
        <v>0</v>
      </c>
      <c r="DU30" s="1353">
        <v>0</v>
      </c>
      <c r="DV30" s="1353">
        <v>0</v>
      </c>
      <c r="DW30" s="1353">
        <v>0</v>
      </c>
      <c r="DX30" s="1353">
        <v>0</v>
      </c>
      <c r="DY30" s="1353">
        <v>0</v>
      </c>
      <c r="DZ30" s="1353">
        <v>0</v>
      </c>
      <c r="EA30" s="1353">
        <v>0</v>
      </c>
      <c r="EB30" s="1353">
        <v>0</v>
      </c>
      <c r="EC30" s="1353">
        <v>0</v>
      </c>
      <c r="ED30" s="1353">
        <v>0</v>
      </c>
      <c r="EE30" s="1353">
        <v>0</v>
      </c>
      <c r="EF30" s="1353">
        <v>0</v>
      </c>
      <c r="EG30" s="1353">
        <v>0</v>
      </c>
      <c r="EH30" s="1353">
        <v>0</v>
      </c>
      <c r="EI30" s="1353">
        <v>0</v>
      </c>
      <c r="EJ30" s="1353">
        <v>0</v>
      </c>
      <c r="EK30" s="1353"/>
      <c r="EL30" s="1353"/>
      <c r="EM30" s="1353"/>
      <c r="EN30" s="1353"/>
      <c r="EO30" s="1353"/>
      <c r="EP30" s="1353"/>
      <c r="EQ30" s="1353"/>
      <c r="ER30" s="1353"/>
      <c r="ES30" s="1363">
        <v>0</v>
      </c>
      <c r="ET30" s="1365">
        <v>0</v>
      </c>
      <c r="EU30" s="1353">
        <v>0</v>
      </c>
      <c r="EV30" s="1353">
        <v>0</v>
      </c>
      <c r="EW30" s="1363">
        <v>0</v>
      </c>
      <c r="EX30" s="1354">
        <v>0</v>
      </c>
      <c r="EY30" s="1353">
        <v>0</v>
      </c>
      <c r="EZ30" s="1353">
        <v>0</v>
      </c>
      <c r="FA30" s="1363">
        <v>0</v>
      </c>
      <c r="FB30" s="1354">
        <v>0</v>
      </c>
      <c r="FC30" s="1353">
        <v>0</v>
      </c>
      <c r="FD30" s="1353">
        <v>0</v>
      </c>
      <c r="FE30" s="1363">
        <v>0</v>
      </c>
      <c r="FF30" s="1354">
        <v>0</v>
      </c>
      <c r="FG30" s="1363"/>
      <c r="FH30" s="1354"/>
      <c r="FI30" s="1363"/>
      <c r="FJ30" s="1354"/>
      <c r="FK30" s="1363"/>
      <c r="FL30" s="1354"/>
      <c r="FM30" s="1354"/>
      <c r="FN30" s="1354"/>
      <c r="FO30" s="1354"/>
      <c r="FP30" s="1354"/>
      <c r="FQ30" s="1354"/>
      <c r="FR30" s="1354"/>
      <c r="FS30" s="1354"/>
      <c r="FT30" s="1354"/>
      <c r="FU30" s="1354"/>
      <c r="FV30" s="1354"/>
      <c r="FW30" s="1354"/>
      <c r="FX30" s="1354"/>
      <c r="FY30" s="1354"/>
      <c r="FZ30" s="1354"/>
      <c r="GA30" s="1354"/>
      <c r="GB30" s="1354"/>
      <c r="GC30" s="1354"/>
      <c r="GD30" s="1354"/>
      <c r="GE30" s="1354"/>
      <c r="GF30" s="1354"/>
      <c r="GG30" s="1354"/>
      <c r="GH30" s="1354"/>
      <c r="GI30" s="1354"/>
      <c r="GJ30" s="1354"/>
      <c r="GK30" s="1354"/>
      <c r="GL30" s="1354"/>
      <c r="GM30" s="1354"/>
      <c r="GN30" s="1354"/>
      <c r="GO30" s="2082" t="s">
        <v>3257</v>
      </c>
    </row>
    <row r="31" spans="1:197" ht="50.25" hidden="1" customHeight="1">
      <c r="A31" s="2074">
        <v>20</v>
      </c>
      <c r="B31" s="2082" t="s">
        <v>2380</v>
      </c>
      <c r="C31" s="1353">
        <v>2610.3433999999997</v>
      </c>
      <c r="D31" s="1353">
        <v>663.91193999999996</v>
      </c>
      <c r="E31" s="1353">
        <v>4213.6011799999997</v>
      </c>
      <c r="F31" s="1353">
        <v>1388.3768700000001</v>
      </c>
      <c r="G31" s="1353">
        <v>6289.2639300000001</v>
      </c>
      <c r="H31" s="1353">
        <v>2028.2899299999999</v>
      </c>
      <c r="I31" s="1353">
        <v>8087.8239899999999</v>
      </c>
      <c r="J31" s="1353">
        <v>2827.0288500000001</v>
      </c>
      <c r="K31" s="1353">
        <v>9862.6862799999999</v>
      </c>
      <c r="L31" s="1353">
        <v>3511.5271400000001</v>
      </c>
      <c r="M31" s="1353">
        <v>11390.966109999999</v>
      </c>
      <c r="N31" s="1353">
        <v>4195.5808899999993</v>
      </c>
      <c r="O31" s="1353">
        <v>12902.401609999999</v>
      </c>
      <c r="P31" s="1353">
        <v>5037.5690800000002</v>
      </c>
      <c r="Q31" s="1353">
        <v>14958.147050000001</v>
      </c>
      <c r="R31" s="1353">
        <v>5842.9366600000003</v>
      </c>
      <c r="S31" s="1353">
        <v>17276.469969999998</v>
      </c>
      <c r="T31" s="1353">
        <v>6760.7666600000002</v>
      </c>
      <c r="U31" s="1353">
        <v>18553.586460000002</v>
      </c>
      <c r="V31" s="1353">
        <v>7676.4734200000003</v>
      </c>
      <c r="W31" s="1353">
        <v>20619.976839999999</v>
      </c>
      <c r="X31" s="1353">
        <v>8634.9602500000001</v>
      </c>
      <c r="Y31" s="1353">
        <v>21968.752</v>
      </c>
      <c r="Z31" s="1353">
        <v>9789.5144899999996</v>
      </c>
      <c r="AA31" s="1353">
        <v>2817.3959399999999</v>
      </c>
      <c r="AB31" s="1353">
        <v>800.09026000000006</v>
      </c>
      <c r="AC31" s="1353">
        <v>4548.9488200000005</v>
      </c>
      <c r="AD31" s="1353">
        <v>1688.1514299999999</v>
      </c>
      <c r="AE31" s="1353">
        <v>6374.26703</v>
      </c>
      <c r="AF31" s="1353">
        <v>2627.1579500000003</v>
      </c>
      <c r="AG31" s="1353">
        <v>8020.4772400000002</v>
      </c>
      <c r="AH31" s="1353">
        <v>3273.9152200000003</v>
      </c>
      <c r="AI31" s="1353">
        <v>9645.7889800000012</v>
      </c>
      <c r="AJ31" s="1353">
        <v>5928.3252999999995</v>
      </c>
      <c r="AK31" s="1353">
        <v>11571.416949999999</v>
      </c>
      <c r="AL31" s="1353">
        <v>6782.4306999999999</v>
      </c>
      <c r="AM31" s="1353">
        <v>13770.065060000001</v>
      </c>
      <c r="AN31" s="1353">
        <v>7617.9925400000002</v>
      </c>
      <c r="AO31" s="1353">
        <v>15674.74294</v>
      </c>
      <c r="AP31" s="1353">
        <v>8614.1502400000008</v>
      </c>
      <c r="AQ31" s="1353">
        <v>17139.255499999999</v>
      </c>
      <c r="AR31" s="1353">
        <v>9421.8351999999995</v>
      </c>
      <c r="AS31" s="1353">
        <v>19201.683649999999</v>
      </c>
      <c r="AT31" s="1353">
        <v>10492.17956</v>
      </c>
      <c r="AU31" s="1353">
        <v>20739.753809999998</v>
      </c>
      <c r="AV31" s="1353">
        <v>11437.74395</v>
      </c>
      <c r="AW31" s="1353">
        <v>22285.599839999999</v>
      </c>
      <c r="AX31" s="1353">
        <v>12333.516539999999</v>
      </c>
      <c r="AY31" s="1353">
        <v>2820.3998500000002</v>
      </c>
      <c r="AZ31" s="1353">
        <v>865.51988000000006</v>
      </c>
      <c r="BA31" s="1353">
        <v>4201.0174299999999</v>
      </c>
      <c r="BB31" s="1353">
        <v>1737.35564</v>
      </c>
      <c r="BC31" s="1353">
        <v>5474.67</v>
      </c>
      <c r="BD31" s="1353">
        <v>2447.9</v>
      </c>
      <c r="BE31" s="1353">
        <v>6876.9059699999998</v>
      </c>
      <c r="BF31" s="1353">
        <v>3195.4832799999999</v>
      </c>
      <c r="BG31" s="1353">
        <v>8228.3628499999995</v>
      </c>
      <c r="BH31" s="1353">
        <v>4065.3136300000001</v>
      </c>
      <c r="BI31" s="1353">
        <v>9654.8206399999999</v>
      </c>
      <c r="BJ31" s="1353">
        <v>4689.4247300000006</v>
      </c>
      <c r="BK31" s="1353">
        <v>11412.932929999999</v>
      </c>
      <c r="BL31" s="1353">
        <v>5571.2129999999997</v>
      </c>
      <c r="BM31" s="1353">
        <v>12696.56501</v>
      </c>
      <c r="BN31" s="1353">
        <v>6363.7454800000005</v>
      </c>
      <c r="BO31" s="1353">
        <v>14432.960150000001</v>
      </c>
      <c r="BP31" s="1353">
        <v>7163.6353300000001</v>
      </c>
      <c r="BQ31" s="1353">
        <v>15898.912679999999</v>
      </c>
      <c r="BR31" s="1353">
        <v>8042.0460300000004</v>
      </c>
      <c r="BS31" s="1353">
        <v>17463.78587</v>
      </c>
      <c r="BT31" s="1353">
        <v>8827.494279999999</v>
      </c>
      <c r="BU31" s="1353">
        <v>18600.715</v>
      </c>
      <c r="BV31" s="1353">
        <v>9562.6042899999993</v>
      </c>
      <c r="BW31" s="1353">
        <v>849.71141</v>
      </c>
      <c r="BX31" s="1353">
        <v>914.17501000000004</v>
      </c>
      <c r="BY31" s="1353">
        <v>913.85189000000003</v>
      </c>
      <c r="BZ31" s="1353">
        <v>1570.4678700000002</v>
      </c>
      <c r="CA31" s="1353">
        <v>962.12578000000008</v>
      </c>
      <c r="CB31" s="1353">
        <v>2085.2177200000001</v>
      </c>
      <c r="CC31" s="1353">
        <v>1000.82111</v>
      </c>
      <c r="CD31" s="1353">
        <v>2766.9774700000003</v>
      </c>
      <c r="CE31" s="1353">
        <v>998.95719999999994</v>
      </c>
      <c r="CF31" s="1353">
        <v>3233.4694199999999</v>
      </c>
      <c r="CG31" s="1353">
        <v>999.55259999999998</v>
      </c>
      <c r="CH31" s="1353">
        <v>3691.8606199999999</v>
      </c>
      <c r="CI31" s="1353">
        <v>1001.0609599999999</v>
      </c>
      <c r="CJ31" s="1353">
        <v>4326.5567300000002</v>
      </c>
      <c r="CK31" s="1353">
        <v>1001.4311</v>
      </c>
      <c r="CL31" s="1353">
        <v>4670.70046</v>
      </c>
      <c r="CM31" s="1353">
        <v>977.56701999999996</v>
      </c>
      <c r="CN31" s="1353">
        <v>5057.9037900000003</v>
      </c>
      <c r="CO31" s="1353">
        <v>972.39697000000001</v>
      </c>
      <c r="CP31" s="1353">
        <v>5569.93552</v>
      </c>
      <c r="CQ31" s="1353">
        <v>979.90734999999995</v>
      </c>
      <c r="CR31" s="1353">
        <v>5794.6406500000003</v>
      </c>
      <c r="CS31" s="1353">
        <v>975.38258999999994</v>
      </c>
      <c r="CT31" s="1353">
        <v>6101.1682499999997</v>
      </c>
      <c r="CU31" s="1353">
        <v>1.8049999999999999</v>
      </c>
      <c r="CV31" s="1353">
        <v>117.92796000000001</v>
      </c>
      <c r="CW31" s="1353">
        <v>1.8049999999999999</v>
      </c>
      <c r="CX31" s="1353">
        <v>156.65797000000001</v>
      </c>
      <c r="CY31" s="1353">
        <v>5.3696099999999998</v>
      </c>
      <c r="CZ31" s="1353">
        <v>200.69623000000001</v>
      </c>
      <c r="DA31" s="1353">
        <v>5.3696099999999998</v>
      </c>
      <c r="DB31" s="1353">
        <v>214.79026000000002</v>
      </c>
      <c r="DC31" s="1353">
        <v>5.3696099999999998</v>
      </c>
      <c r="DD31" s="1353">
        <v>274.46709999999996</v>
      </c>
      <c r="DE31" s="1353">
        <v>5.3696099999999998</v>
      </c>
      <c r="DF31" s="1353">
        <v>414.54854999999998</v>
      </c>
      <c r="DG31" s="1353">
        <v>5.3696099999999998</v>
      </c>
      <c r="DH31" s="1353">
        <v>488.26916999999997</v>
      </c>
      <c r="DI31" s="1353">
        <v>5.3696099999999998</v>
      </c>
      <c r="DJ31" s="1353">
        <v>493.56627000000003</v>
      </c>
      <c r="DK31" s="1353">
        <v>5.3696099999999998</v>
      </c>
      <c r="DL31" s="1353">
        <v>612.24358999999993</v>
      </c>
      <c r="DM31" s="1353">
        <v>5.3696099999999998</v>
      </c>
      <c r="DN31" s="1353">
        <v>626.90670999999998</v>
      </c>
      <c r="DO31" s="1353">
        <v>5.3696099999999998</v>
      </c>
      <c r="DP31" s="1353">
        <v>627.21169999999995</v>
      </c>
      <c r="DQ31" s="1353">
        <v>5.3696099999999998</v>
      </c>
      <c r="DR31" s="1353">
        <v>628.30578000000003</v>
      </c>
      <c r="DS31" s="1353">
        <v>0</v>
      </c>
      <c r="DT31" s="1353">
        <v>0</v>
      </c>
      <c r="DU31" s="1353">
        <v>0</v>
      </c>
      <c r="DV31" s="1353">
        <v>0</v>
      </c>
      <c r="DW31" s="1353">
        <v>0</v>
      </c>
      <c r="DX31" s="1353">
        <v>0</v>
      </c>
      <c r="DY31" s="1353">
        <v>0</v>
      </c>
      <c r="DZ31" s="1353">
        <v>0</v>
      </c>
      <c r="EA31" s="1353">
        <v>0</v>
      </c>
      <c r="EB31" s="1353">
        <v>0</v>
      </c>
      <c r="EC31" s="1353">
        <v>0</v>
      </c>
      <c r="ED31" s="1353">
        <v>0</v>
      </c>
      <c r="EE31" s="1353">
        <v>0</v>
      </c>
      <c r="EF31" s="1353">
        <v>0</v>
      </c>
      <c r="EG31" s="1353">
        <v>0</v>
      </c>
      <c r="EH31" s="1353">
        <v>0</v>
      </c>
      <c r="EI31" s="1353">
        <v>0</v>
      </c>
      <c r="EJ31" s="1353">
        <v>0</v>
      </c>
      <c r="EK31" s="1353"/>
      <c r="EL31" s="1353"/>
      <c r="EM31" s="1353"/>
      <c r="EN31" s="1353"/>
      <c r="EO31" s="1353"/>
      <c r="EP31" s="1353"/>
      <c r="EQ31" s="1353"/>
      <c r="ER31" s="1353"/>
      <c r="ES31" s="1363">
        <v>0</v>
      </c>
      <c r="ET31" s="1365">
        <v>0</v>
      </c>
      <c r="EU31" s="1353">
        <v>0</v>
      </c>
      <c r="EV31" s="1353">
        <v>0</v>
      </c>
      <c r="EW31" s="1363">
        <v>0</v>
      </c>
      <c r="EX31" s="1354">
        <v>0</v>
      </c>
      <c r="EY31" s="1353">
        <v>0</v>
      </c>
      <c r="EZ31" s="1353">
        <v>0</v>
      </c>
      <c r="FA31" s="1363">
        <v>0</v>
      </c>
      <c r="FB31" s="1354">
        <v>0</v>
      </c>
      <c r="FC31" s="1353">
        <v>0</v>
      </c>
      <c r="FD31" s="1353">
        <v>0</v>
      </c>
      <c r="FE31" s="1363">
        <v>0</v>
      </c>
      <c r="FF31" s="1354">
        <v>0</v>
      </c>
      <c r="FG31" s="1363"/>
      <c r="FH31" s="1354"/>
      <c r="FI31" s="1363"/>
      <c r="FJ31" s="1354"/>
      <c r="FK31" s="1363"/>
      <c r="FL31" s="1354"/>
      <c r="FM31" s="1354"/>
      <c r="FN31" s="1354"/>
      <c r="FO31" s="1354"/>
      <c r="FP31" s="1354"/>
      <c r="FQ31" s="1354"/>
      <c r="FR31" s="1354"/>
      <c r="FS31" s="1354"/>
      <c r="FT31" s="1354"/>
      <c r="FU31" s="1354"/>
      <c r="FV31" s="1354"/>
      <c r="FW31" s="1354"/>
      <c r="FX31" s="1354"/>
      <c r="FY31" s="1354"/>
      <c r="FZ31" s="1354"/>
      <c r="GA31" s="1354"/>
      <c r="GB31" s="1354"/>
      <c r="GC31" s="1354"/>
      <c r="GD31" s="1354"/>
      <c r="GE31" s="1354"/>
      <c r="GF31" s="1354"/>
      <c r="GG31" s="1354"/>
      <c r="GH31" s="1354"/>
      <c r="GI31" s="1354"/>
      <c r="GJ31" s="1354"/>
      <c r="GK31" s="1354"/>
      <c r="GL31" s="1354"/>
      <c r="GM31" s="1354"/>
      <c r="GN31" s="1354"/>
      <c r="GO31" s="2082" t="s">
        <v>3258</v>
      </c>
    </row>
    <row r="32" spans="1:197" ht="50.25" hidden="1" customHeight="1">
      <c r="A32" s="2074">
        <v>21</v>
      </c>
      <c r="B32" s="2082" t="s">
        <v>2368</v>
      </c>
      <c r="C32" s="1353">
        <v>2299.7821099999996</v>
      </c>
      <c r="D32" s="1353">
        <v>589.62686999999994</v>
      </c>
      <c r="E32" s="1353">
        <v>4540.8816200000001</v>
      </c>
      <c r="F32" s="1353">
        <v>1344.1006200000002</v>
      </c>
      <c r="G32" s="1353">
        <v>6745.4568600000002</v>
      </c>
      <c r="H32" s="1353">
        <v>1951.55395</v>
      </c>
      <c r="I32" s="1353">
        <v>8917.9993100000011</v>
      </c>
      <c r="J32" s="1353">
        <v>2644.8922699999998</v>
      </c>
      <c r="K32" s="1353">
        <v>10182.214840000001</v>
      </c>
      <c r="L32" s="1353">
        <v>3334.6583300000002</v>
      </c>
      <c r="M32" s="1353">
        <v>12523.23669</v>
      </c>
      <c r="N32" s="1353">
        <v>4200.1022699999994</v>
      </c>
      <c r="O32" s="1353">
        <v>14642.02348</v>
      </c>
      <c r="P32" s="1353">
        <v>4900.5775100000001</v>
      </c>
      <c r="Q32" s="1353">
        <v>16017.98667</v>
      </c>
      <c r="R32" s="1353">
        <v>5841.2929699999995</v>
      </c>
      <c r="S32" s="1353">
        <v>17423.862960000002</v>
      </c>
      <c r="T32" s="1353">
        <v>6330.8400700000002</v>
      </c>
      <c r="U32" s="1353">
        <v>18327.263059999997</v>
      </c>
      <c r="V32" s="1353">
        <v>7175.0387499999997</v>
      </c>
      <c r="W32" s="1353">
        <v>19545.174609999998</v>
      </c>
      <c r="X32" s="1353">
        <v>7850.2967199999994</v>
      </c>
      <c r="Y32" s="1353">
        <v>20326.929760000003</v>
      </c>
      <c r="Z32" s="1353">
        <v>8607.7336799999994</v>
      </c>
      <c r="AA32" s="1353">
        <v>1361.7548300000001</v>
      </c>
      <c r="AB32" s="1353">
        <v>627.04746999999998</v>
      </c>
      <c r="AC32" s="1353">
        <v>3186.6466399999999</v>
      </c>
      <c r="AD32" s="1353">
        <v>1260.2811299999998</v>
      </c>
      <c r="AE32" s="1353">
        <v>4536.5170099999996</v>
      </c>
      <c r="AF32" s="1353">
        <v>1776.29143</v>
      </c>
      <c r="AG32" s="1353">
        <v>5525.1536999999998</v>
      </c>
      <c r="AH32" s="1353">
        <v>2364.4191499999997</v>
      </c>
      <c r="AI32" s="1353">
        <v>6832.6030700000001</v>
      </c>
      <c r="AJ32" s="1353">
        <v>2735.6639100000002</v>
      </c>
      <c r="AK32" s="1353">
        <v>7562.3390300000001</v>
      </c>
      <c r="AL32" s="1353">
        <v>3114.2554500000001</v>
      </c>
      <c r="AM32" s="1353">
        <v>8428.9510500000015</v>
      </c>
      <c r="AN32" s="1353">
        <v>3635.15011</v>
      </c>
      <c r="AO32" s="1353">
        <v>9399.7016999999996</v>
      </c>
      <c r="AP32" s="1353">
        <v>4124.1620599999997</v>
      </c>
      <c r="AQ32" s="1353">
        <v>10114.34527</v>
      </c>
      <c r="AR32" s="1353">
        <v>4467.3102199999994</v>
      </c>
      <c r="AS32" s="1353">
        <v>11125.20234</v>
      </c>
      <c r="AT32" s="1353">
        <v>4865.8235599999998</v>
      </c>
      <c r="AU32" s="1353">
        <v>11957.929599999999</v>
      </c>
      <c r="AV32" s="1353">
        <v>5132.3392100000001</v>
      </c>
      <c r="AW32" s="1353">
        <v>12594.88012</v>
      </c>
      <c r="AX32" s="1353">
        <v>5555.67659</v>
      </c>
      <c r="AY32" s="1353">
        <v>605.20977000000005</v>
      </c>
      <c r="AZ32" s="1353">
        <v>311.06459000000001</v>
      </c>
      <c r="BA32" s="1353">
        <v>1005.13716</v>
      </c>
      <c r="BB32" s="1353">
        <v>568.40983999999992</v>
      </c>
      <c r="BC32" s="1353">
        <v>1637.31</v>
      </c>
      <c r="BD32" s="1353">
        <v>747.32</v>
      </c>
      <c r="BE32" s="1353">
        <v>2392.6191400000002</v>
      </c>
      <c r="BF32" s="1353">
        <v>1087.2304899999999</v>
      </c>
      <c r="BG32" s="1353">
        <v>3002.8092499999998</v>
      </c>
      <c r="BH32" s="1353">
        <v>1315.9678799999999</v>
      </c>
      <c r="BI32" s="1353">
        <v>3868.19578</v>
      </c>
      <c r="BJ32" s="1353">
        <v>1607.0538000000001</v>
      </c>
      <c r="BK32" s="1353">
        <v>8707.4343800000006</v>
      </c>
      <c r="BL32" s="1353">
        <v>1944.6317799999999</v>
      </c>
      <c r="BM32" s="1353">
        <v>9596.2437699999991</v>
      </c>
      <c r="BN32" s="1353">
        <v>2264.5305400000002</v>
      </c>
      <c r="BO32" s="1353">
        <v>10476.084510000001</v>
      </c>
      <c r="BP32" s="1353">
        <v>2556.37608</v>
      </c>
      <c r="BQ32" s="1353">
        <v>11471.408939999999</v>
      </c>
      <c r="BR32" s="1353">
        <v>2964.4494599999998</v>
      </c>
      <c r="BS32" s="1353">
        <v>12261.932859999999</v>
      </c>
      <c r="BT32" s="1353">
        <v>3321.3731200000002</v>
      </c>
      <c r="BU32" s="1353">
        <v>12930.741900000001</v>
      </c>
      <c r="BV32" s="1353">
        <v>3706.5509400000001</v>
      </c>
      <c r="BW32" s="1353">
        <v>590.42018000000007</v>
      </c>
      <c r="BX32" s="1353">
        <v>291.11660999999998</v>
      </c>
      <c r="BY32" s="1353">
        <v>1168.0069799999999</v>
      </c>
      <c r="BZ32" s="1353">
        <v>607.74781999999993</v>
      </c>
      <c r="CA32" s="1353">
        <v>1892.7424699999999</v>
      </c>
      <c r="CB32" s="1353">
        <v>858.91654000000005</v>
      </c>
      <c r="CC32" s="1353">
        <v>2785.9063799999999</v>
      </c>
      <c r="CD32" s="1353">
        <v>1228.5379599999999</v>
      </c>
      <c r="CE32" s="1353">
        <v>3733.9394300000004</v>
      </c>
      <c r="CF32" s="1353">
        <v>1625.8040700000001</v>
      </c>
      <c r="CG32" s="1353">
        <v>4757.5697300000002</v>
      </c>
      <c r="CH32" s="1353">
        <v>1877.4061999999999</v>
      </c>
      <c r="CI32" s="1353">
        <v>7157.8256500000007</v>
      </c>
      <c r="CJ32" s="1353">
        <v>2423.3432400000002</v>
      </c>
      <c r="CK32" s="1353">
        <v>8631.9623100000008</v>
      </c>
      <c r="CL32" s="1353">
        <v>2768.3218700000002</v>
      </c>
      <c r="CM32" s="1353">
        <v>9952.9000099999994</v>
      </c>
      <c r="CN32" s="1353">
        <v>3283.6202699999999</v>
      </c>
      <c r="CO32" s="1353">
        <v>11207.79493</v>
      </c>
      <c r="CP32" s="1353">
        <v>3900.0910899999999</v>
      </c>
      <c r="CQ32" s="1353">
        <v>12237.052250000001</v>
      </c>
      <c r="CR32" s="1353">
        <v>4596.7853499999992</v>
      </c>
      <c r="CS32" s="1353">
        <v>14059.56466</v>
      </c>
      <c r="CT32" s="1353">
        <v>5453.1170499999998</v>
      </c>
      <c r="CU32" s="1353">
        <v>1699.5826999999999</v>
      </c>
      <c r="CV32" s="1353">
        <v>804.47109999999998</v>
      </c>
      <c r="CW32" s="1353">
        <v>2558.69686</v>
      </c>
      <c r="CX32" s="1353">
        <v>1813.8957499999999</v>
      </c>
      <c r="CY32" s="1353">
        <v>3443.2339900000002</v>
      </c>
      <c r="CZ32" s="1353">
        <v>2313.26143</v>
      </c>
      <c r="DA32" s="1353">
        <v>4351.2008299999998</v>
      </c>
      <c r="DB32" s="1353">
        <v>2955.6591800000001</v>
      </c>
      <c r="DC32" s="1353">
        <v>5441.2290300000004</v>
      </c>
      <c r="DD32" s="1353">
        <v>3373.58437</v>
      </c>
      <c r="DE32" s="1353">
        <v>5441.2290300000004</v>
      </c>
      <c r="DF32" s="1353">
        <v>3508.51575</v>
      </c>
      <c r="DG32" s="1353">
        <v>5242.4320299999999</v>
      </c>
      <c r="DH32" s="1353">
        <v>3933.0540799999999</v>
      </c>
      <c r="DI32" s="1353">
        <v>5242.4320299999999</v>
      </c>
      <c r="DJ32" s="1353">
        <v>4279.4215599999998</v>
      </c>
      <c r="DK32" s="1353">
        <v>5241.9535599999999</v>
      </c>
      <c r="DL32" s="1353">
        <v>4650.9649300000001</v>
      </c>
      <c r="DM32" s="1353">
        <v>5241.9535599999999</v>
      </c>
      <c r="DN32" s="1353">
        <v>4650.9649300000001</v>
      </c>
      <c r="DO32" s="1353">
        <v>5241.9535599999999</v>
      </c>
      <c r="DP32" s="1353">
        <v>4650.9649300000001</v>
      </c>
      <c r="DQ32" s="1353">
        <v>5241.9535599999999</v>
      </c>
      <c r="DR32" s="1353">
        <v>4650.9649300000001</v>
      </c>
      <c r="DS32" s="1353">
        <v>0</v>
      </c>
      <c r="DT32" s="1353">
        <v>0</v>
      </c>
      <c r="DU32" s="1353">
        <v>0</v>
      </c>
      <c r="DV32" s="1353">
        <v>0</v>
      </c>
      <c r="DW32" s="1353">
        <v>0</v>
      </c>
      <c r="DX32" s="1353">
        <v>0</v>
      </c>
      <c r="DY32" s="1353">
        <v>0</v>
      </c>
      <c r="DZ32" s="1353">
        <v>0</v>
      </c>
      <c r="EA32" s="1353">
        <v>0</v>
      </c>
      <c r="EB32" s="1353">
        <v>0</v>
      </c>
      <c r="EC32" s="1353">
        <v>0</v>
      </c>
      <c r="ED32" s="1353">
        <v>0</v>
      </c>
      <c r="EE32" s="1353">
        <v>0</v>
      </c>
      <c r="EF32" s="1353">
        <v>0</v>
      </c>
      <c r="EG32" s="1353">
        <v>0</v>
      </c>
      <c r="EH32" s="1353">
        <v>0</v>
      </c>
      <c r="EI32" s="1353">
        <v>0</v>
      </c>
      <c r="EJ32" s="1353">
        <v>0</v>
      </c>
      <c r="EK32" s="1353"/>
      <c r="EL32" s="1353"/>
      <c r="EM32" s="1353"/>
      <c r="EN32" s="1353"/>
      <c r="EO32" s="1353"/>
      <c r="EP32" s="1353"/>
      <c r="EQ32" s="1353"/>
      <c r="ER32" s="1353"/>
      <c r="ES32" s="1363">
        <v>0</v>
      </c>
      <c r="ET32" s="1365">
        <v>0</v>
      </c>
      <c r="EU32" s="1353">
        <v>0</v>
      </c>
      <c r="EV32" s="1353">
        <v>0</v>
      </c>
      <c r="EW32" s="1363">
        <v>0</v>
      </c>
      <c r="EX32" s="1354">
        <v>0</v>
      </c>
      <c r="EY32" s="1353">
        <v>0</v>
      </c>
      <c r="EZ32" s="1353">
        <v>0</v>
      </c>
      <c r="FA32" s="1363">
        <v>0</v>
      </c>
      <c r="FB32" s="1354">
        <v>0</v>
      </c>
      <c r="FC32" s="1353">
        <v>0</v>
      </c>
      <c r="FD32" s="1353">
        <v>0</v>
      </c>
      <c r="FE32" s="1363">
        <v>0</v>
      </c>
      <c r="FF32" s="1354">
        <v>0</v>
      </c>
      <c r="FG32" s="1363"/>
      <c r="FH32" s="1354"/>
      <c r="FI32" s="1363"/>
      <c r="FJ32" s="1354"/>
      <c r="FK32" s="1363"/>
      <c r="FL32" s="1354"/>
      <c r="FM32" s="1354"/>
      <c r="FN32" s="1354"/>
      <c r="FO32" s="1354"/>
      <c r="FP32" s="1354"/>
      <c r="FQ32" s="1354"/>
      <c r="FR32" s="1354"/>
      <c r="FS32" s="1354"/>
      <c r="FT32" s="1354"/>
      <c r="FU32" s="1354"/>
      <c r="FV32" s="1354"/>
      <c r="FW32" s="1354"/>
      <c r="FX32" s="1354"/>
      <c r="FY32" s="1354"/>
      <c r="FZ32" s="1354"/>
      <c r="GA32" s="1354"/>
      <c r="GB32" s="1354"/>
      <c r="GC32" s="1354"/>
      <c r="GD32" s="1354"/>
      <c r="GE32" s="1354"/>
      <c r="GF32" s="1354"/>
      <c r="GG32" s="1354"/>
      <c r="GH32" s="1354"/>
      <c r="GI32" s="1354"/>
      <c r="GJ32" s="1354"/>
      <c r="GK32" s="1354"/>
      <c r="GL32" s="1354"/>
      <c r="GM32" s="1354"/>
      <c r="GN32" s="1354"/>
      <c r="GO32" s="2082" t="s">
        <v>3259</v>
      </c>
    </row>
    <row r="33" spans="1:197" ht="50.25" hidden="1" customHeight="1">
      <c r="A33" s="2074">
        <v>22</v>
      </c>
      <c r="B33" s="2082" t="s">
        <v>2365</v>
      </c>
      <c r="C33" s="1353">
        <v>72.10296000000001</v>
      </c>
      <c r="D33" s="1353">
        <v>4.1554099999999998</v>
      </c>
      <c r="E33" s="1353">
        <v>123.15794</v>
      </c>
      <c r="F33" s="1353">
        <v>49.358629999999998</v>
      </c>
      <c r="G33" s="1353">
        <v>207.10479000000001</v>
      </c>
      <c r="H33" s="1353">
        <v>53.704000000000001</v>
      </c>
      <c r="I33" s="1353">
        <v>295.63279999999997</v>
      </c>
      <c r="J33" s="1353">
        <v>54.491080000000004</v>
      </c>
      <c r="K33" s="1353">
        <v>330.38940000000002</v>
      </c>
      <c r="L33" s="1353">
        <v>61.89284</v>
      </c>
      <c r="M33" s="1353">
        <v>417.88484000000005</v>
      </c>
      <c r="N33" s="1353">
        <v>82.184850000000012</v>
      </c>
      <c r="O33" s="1353">
        <v>459.79801000000003</v>
      </c>
      <c r="P33" s="1353">
        <v>109.08419000000001</v>
      </c>
      <c r="Q33" s="1353">
        <v>497.12609000000003</v>
      </c>
      <c r="R33" s="1353">
        <v>116.74577000000001</v>
      </c>
      <c r="S33" s="1353">
        <v>500.11863</v>
      </c>
      <c r="T33" s="1353">
        <v>128.79050000000001</v>
      </c>
      <c r="U33" s="1353">
        <v>506.06952000000001</v>
      </c>
      <c r="V33" s="1353">
        <v>137.57742000000002</v>
      </c>
      <c r="W33" s="1353">
        <v>529.29044999999996</v>
      </c>
      <c r="X33" s="1353">
        <v>141.14212000000001</v>
      </c>
      <c r="Y33" s="1353">
        <v>547.76116000000002</v>
      </c>
      <c r="Z33" s="1353">
        <v>142.87711999999999</v>
      </c>
      <c r="AA33" s="1353">
        <v>20.50348</v>
      </c>
      <c r="AB33" s="1353">
        <v>0</v>
      </c>
      <c r="AC33" s="1353">
        <v>20.50348</v>
      </c>
      <c r="AD33" s="1353">
        <v>12.738020000000001</v>
      </c>
      <c r="AE33" s="1353">
        <v>20.50348</v>
      </c>
      <c r="AF33" s="1353">
        <v>23.474930000000001</v>
      </c>
      <c r="AG33" s="1353">
        <v>20.50348</v>
      </c>
      <c r="AH33" s="1353">
        <v>33.523029999999999</v>
      </c>
      <c r="AI33" s="1353">
        <v>20.50348</v>
      </c>
      <c r="AJ33" s="1353">
        <v>35.924779999999998</v>
      </c>
      <c r="AK33" s="1353">
        <v>20.503049999999998</v>
      </c>
      <c r="AL33" s="1353">
        <v>44.485980000000005</v>
      </c>
      <c r="AM33" s="1353">
        <v>20.50348</v>
      </c>
      <c r="AN33" s="1353">
        <v>35.924779999999998</v>
      </c>
      <c r="AO33" s="1353">
        <v>20.50348</v>
      </c>
      <c r="AP33" s="1353">
        <v>35.924779999999998</v>
      </c>
      <c r="AQ33" s="1353">
        <v>20.50348</v>
      </c>
      <c r="AR33" s="1353">
        <v>35.924779999999998</v>
      </c>
      <c r="AS33" s="1353">
        <v>0</v>
      </c>
      <c r="AT33" s="1353">
        <v>0</v>
      </c>
      <c r="AU33" s="1353">
        <v>0</v>
      </c>
      <c r="AV33" s="1353">
        <v>0</v>
      </c>
      <c r="AW33" s="1353">
        <v>0</v>
      </c>
      <c r="AX33" s="1353">
        <v>0</v>
      </c>
      <c r="AY33" s="1353">
        <v>0</v>
      </c>
      <c r="AZ33" s="1353">
        <v>0</v>
      </c>
      <c r="BA33" s="1353">
        <v>0</v>
      </c>
      <c r="BB33" s="1353">
        <v>0</v>
      </c>
      <c r="BC33" s="1353">
        <v>0</v>
      </c>
      <c r="BD33" s="1353">
        <v>0</v>
      </c>
      <c r="BE33" s="1353">
        <v>0</v>
      </c>
      <c r="BF33" s="1353">
        <v>0</v>
      </c>
      <c r="BG33" s="1353">
        <v>0</v>
      </c>
      <c r="BH33" s="1353">
        <v>0</v>
      </c>
      <c r="BI33" s="1353">
        <v>0</v>
      </c>
      <c r="BJ33" s="1353">
        <v>0</v>
      </c>
      <c r="BK33" s="1353">
        <v>0</v>
      </c>
      <c r="BL33" s="1353">
        <v>0</v>
      </c>
      <c r="BM33" s="1353">
        <v>0</v>
      </c>
      <c r="BN33" s="1353">
        <v>0</v>
      </c>
      <c r="BO33" s="1353">
        <v>0</v>
      </c>
      <c r="BP33" s="1353">
        <v>0</v>
      </c>
      <c r="BQ33" s="1353">
        <v>0</v>
      </c>
      <c r="BR33" s="1353">
        <v>0</v>
      </c>
      <c r="BS33" s="1353">
        <v>0</v>
      </c>
      <c r="BT33" s="1353">
        <v>0</v>
      </c>
      <c r="BU33" s="1353">
        <v>0</v>
      </c>
      <c r="BV33" s="1353">
        <v>0</v>
      </c>
      <c r="BW33" s="1353">
        <v>0</v>
      </c>
      <c r="BX33" s="1353">
        <v>0</v>
      </c>
      <c r="BY33" s="1353">
        <v>0</v>
      </c>
      <c r="BZ33" s="1353">
        <v>0</v>
      </c>
      <c r="CA33" s="1353">
        <v>0</v>
      </c>
      <c r="CB33" s="1353">
        <v>0</v>
      </c>
      <c r="CC33" s="1353">
        <v>0</v>
      </c>
      <c r="CD33" s="1353">
        <v>0</v>
      </c>
      <c r="CE33" s="1353">
        <v>0</v>
      </c>
      <c r="CF33" s="1353">
        <v>0</v>
      </c>
      <c r="CG33" s="1353">
        <v>0</v>
      </c>
      <c r="CH33" s="1353">
        <v>0</v>
      </c>
      <c r="CI33" s="1353">
        <v>0</v>
      </c>
      <c r="CJ33" s="1353">
        <v>0</v>
      </c>
      <c r="CK33" s="1353">
        <v>0</v>
      </c>
      <c r="CL33" s="1353">
        <v>0</v>
      </c>
      <c r="CM33" s="1353">
        <v>0</v>
      </c>
      <c r="CN33" s="1353">
        <v>0</v>
      </c>
      <c r="CO33" s="1353">
        <v>0</v>
      </c>
      <c r="CP33" s="1353">
        <v>0</v>
      </c>
      <c r="CQ33" s="1353"/>
      <c r="CR33" s="1353"/>
      <c r="CS33" s="1353"/>
      <c r="CT33" s="1353"/>
      <c r="CU33" s="1353">
        <v>0</v>
      </c>
      <c r="CV33" s="1353">
        <v>0</v>
      </c>
      <c r="CW33" s="1353">
        <v>0</v>
      </c>
      <c r="CX33" s="1353">
        <v>0</v>
      </c>
      <c r="CY33" s="1353">
        <v>0</v>
      </c>
      <c r="CZ33" s="1353">
        <v>0</v>
      </c>
      <c r="DA33" s="1353">
        <v>0</v>
      </c>
      <c r="DB33" s="1353">
        <v>0</v>
      </c>
      <c r="DC33" s="1353">
        <v>0</v>
      </c>
      <c r="DD33" s="1353">
        <v>0</v>
      </c>
      <c r="DE33" s="1353">
        <v>0</v>
      </c>
      <c r="DF33" s="1353">
        <v>0</v>
      </c>
      <c r="DG33" s="1353">
        <v>0</v>
      </c>
      <c r="DH33" s="1353">
        <v>0</v>
      </c>
      <c r="DI33" s="1353">
        <v>0</v>
      </c>
      <c r="DJ33" s="1353">
        <v>0</v>
      </c>
      <c r="DK33" s="1353">
        <v>0</v>
      </c>
      <c r="DL33" s="1353">
        <v>0</v>
      </c>
      <c r="DM33" s="1353">
        <v>0</v>
      </c>
      <c r="DN33" s="1353">
        <v>0</v>
      </c>
      <c r="DO33" s="1353">
        <v>0</v>
      </c>
      <c r="DP33" s="1353">
        <v>0</v>
      </c>
      <c r="DQ33" s="1353">
        <v>0</v>
      </c>
      <c r="DR33" s="1353">
        <v>0</v>
      </c>
      <c r="DS33" s="1353">
        <v>0</v>
      </c>
      <c r="DT33" s="1353">
        <v>0</v>
      </c>
      <c r="DU33" s="1353">
        <v>0</v>
      </c>
      <c r="DV33" s="1353">
        <v>0</v>
      </c>
      <c r="DW33" s="1353">
        <v>0</v>
      </c>
      <c r="DX33" s="1353">
        <v>0</v>
      </c>
      <c r="DY33" s="1353">
        <v>0</v>
      </c>
      <c r="DZ33" s="1353">
        <v>0</v>
      </c>
      <c r="EA33" s="1353">
        <v>0</v>
      </c>
      <c r="EB33" s="1353">
        <v>0</v>
      </c>
      <c r="EC33" s="1353">
        <v>0</v>
      </c>
      <c r="ED33" s="1353">
        <v>0</v>
      </c>
      <c r="EE33" s="1353">
        <v>0</v>
      </c>
      <c r="EF33" s="1353">
        <v>0</v>
      </c>
      <c r="EG33" s="1353">
        <v>0</v>
      </c>
      <c r="EH33" s="1353">
        <v>0</v>
      </c>
      <c r="EI33" s="1353">
        <v>0</v>
      </c>
      <c r="EJ33" s="1353">
        <v>0</v>
      </c>
      <c r="EK33" s="1353"/>
      <c r="EL33" s="1353"/>
      <c r="EM33" s="1353"/>
      <c r="EN33" s="1353"/>
      <c r="EO33" s="1353"/>
      <c r="EP33" s="1353"/>
      <c r="EQ33" s="1353"/>
      <c r="ER33" s="1353"/>
      <c r="ES33" s="1363">
        <v>0</v>
      </c>
      <c r="ET33" s="1365">
        <v>0</v>
      </c>
      <c r="EU33" s="1353">
        <v>0</v>
      </c>
      <c r="EV33" s="1353">
        <v>0</v>
      </c>
      <c r="EW33" s="1363">
        <v>0</v>
      </c>
      <c r="EX33" s="1354">
        <v>0</v>
      </c>
      <c r="EY33" s="1353">
        <v>0</v>
      </c>
      <c r="EZ33" s="1353">
        <v>0</v>
      </c>
      <c r="FA33" s="1363">
        <v>0</v>
      </c>
      <c r="FB33" s="1354">
        <v>0</v>
      </c>
      <c r="FC33" s="1353">
        <v>0</v>
      </c>
      <c r="FD33" s="1353">
        <v>0</v>
      </c>
      <c r="FE33" s="1363">
        <v>0</v>
      </c>
      <c r="FF33" s="1354">
        <v>0</v>
      </c>
      <c r="FG33" s="1363"/>
      <c r="FH33" s="1354"/>
      <c r="FI33" s="1363"/>
      <c r="FJ33" s="1354"/>
      <c r="FK33" s="1363"/>
      <c r="FL33" s="1354"/>
      <c r="FM33" s="1354"/>
      <c r="FN33" s="1354"/>
      <c r="FO33" s="1354"/>
      <c r="FP33" s="1354"/>
      <c r="FQ33" s="1354"/>
      <c r="FR33" s="1354"/>
      <c r="FS33" s="1354"/>
      <c r="FT33" s="1354"/>
      <c r="FU33" s="1354"/>
      <c r="FV33" s="1354"/>
      <c r="FW33" s="1354"/>
      <c r="FX33" s="1354"/>
      <c r="FY33" s="1354"/>
      <c r="FZ33" s="1354"/>
      <c r="GA33" s="1354"/>
      <c r="GB33" s="1354"/>
      <c r="GC33" s="1354"/>
      <c r="GD33" s="1354"/>
      <c r="GE33" s="1354"/>
      <c r="GF33" s="1354"/>
      <c r="GG33" s="1354"/>
      <c r="GH33" s="1354"/>
      <c r="GI33" s="1354"/>
      <c r="GJ33" s="1354"/>
      <c r="GK33" s="1354"/>
      <c r="GL33" s="1354"/>
      <c r="GM33" s="1354"/>
      <c r="GN33" s="1354"/>
      <c r="GO33" s="2082" t="s">
        <v>3260</v>
      </c>
    </row>
    <row r="34" spans="1:197" ht="50.25" hidden="1" customHeight="1">
      <c r="A34" s="2074">
        <v>23</v>
      </c>
      <c r="B34" s="2082" t="s">
        <v>2364</v>
      </c>
      <c r="C34" s="1353">
        <v>1400.3737800000001</v>
      </c>
      <c r="D34" s="1353">
        <v>160.62951000000001</v>
      </c>
      <c r="E34" s="1353">
        <v>1502.2473600000001</v>
      </c>
      <c r="F34" s="1353">
        <v>443.05604</v>
      </c>
      <c r="G34" s="1353">
        <v>2944.82494</v>
      </c>
      <c r="H34" s="1353">
        <v>636.19317000000001</v>
      </c>
      <c r="I34" s="1353">
        <v>3076.5879300000001</v>
      </c>
      <c r="J34" s="1353">
        <v>1033.2433100000001</v>
      </c>
      <c r="K34" s="1353">
        <v>3414.7269200000001</v>
      </c>
      <c r="L34" s="1353">
        <v>1296.40202</v>
      </c>
      <c r="M34" s="1353">
        <v>3516.6082000000001</v>
      </c>
      <c r="N34" s="1353">
        <v>1728.6112900000001</v>
      </c>
      <c r="O34" s="1353">
        <v>3687.1349399999999</v>
      </c>
      <c r="P34" s="1353">
        <v>1894.3570099999999</v>
      </c>
      <c r="Q34" s="1353">
        <v>3786.52972</v>
      </c>
      <c r="R34" s="1353">
        <v>2290.1062999999999</v>
      </c>
      <c r="S34" s="1353">
        <v>3900.27936</v>
      </c>
      <c r="T34" s="1353">
        <v>2731.2844799999998</v>
      </c>
      <c r="U34" s="1353">
        <v>3918.2216000000003</v>
      </c>
      <c r="V34" s="1353">
        <v>3407.73641</v>
      </c>
      <c r="W34" s="1353">
        <v>3765.54423</v>
      </c>
      <c r="X34" s="1353">
        <v>4125.7172799999998</v>
      </c>
      <c r="Y34" s="1353">
        <v>3674.6807699999999</v>
      </c>
      <c r="Z34" s="1353">
        <v>4077.2489100000003</v>
      </c>
      <c r="AA34" s="1353">
        <v>0</v>
      </c>
      <c r="AB34" s="1353">
        <v>114.5908</v>
      </c>
      <c r="AC34" s="1353">
        <v>0</v>
      </c>
      <c r="AD34" s="1353">
        <v>166.74985000000001</v>
      </c>
      <c r="AE34" s="1353">
        <v>0</v>
      </c>
      <c r="AF34" s="1353">
        <v>201.02078</v>
      </c>
      <c r="AG34" s="1353">
        <v>0</v>
      </c>
      <c r="AH34" s="1353">
        <v>0</v>
      </c>
      <c r="AI34" s="1353">
        <v>0</v>
      </c>
      <c r="AJ34" s="1353">
        <v>398.94371999999998</v>
      </c>
      <c r="AK34" s="1353">
        <v>0</v>
      </c>
      <c r="AL34" s="1353">
        <v>0</v>
      </c>
      <c r="AM34" s="1353">
        <v>0</v>
      </c>
      <c r="AN34" s="1353">
        <v>0</v>
      </c>
      <c r="AO34" s="1353">
        <v>0</v>
      </c>
      <c r="AP34" s="1353">
        <v>0</v>
      </c>
      <c r="AQ34" s="1353">
        <v>0</v>
      </c>
      <c r="AR34" s="1353">
        <v>0</v>
      </c>
      <c r="AS34" s="1353">
        <v>0</v>
      </c>
      <c r="AT34" s="1353">
        <v>0</v>
      </c>
      <c r="AU34" s="1353">
        <v>0</v>
      </c>
      <c r="AV34" s="1353">
        <v>0</v>
      </c>
      <c r="AW34" s="1353">
        <v>0</v>
      </c>
      <c r="AX34" s="1353">
        <v>0</v>
      </c>
      <c r="AY34" s="1353">
        <v>0</v>
      </c>
      <c r="AZ34" s="1353">
        <v>0</v>
      </c>
      <c r="BA34" s="1353">
        <v>0</v>
      </c>
      <c r="BB34" s="1353">
        <v>0</v>
      </c>
      <c r="BC34" s="1353">
        <v>0</v>
      </c>
      <c r="BD34" s="1353">
        <v>0</v>
      </c>
      <c r="BE34" s="1353">
        <v>0</v>
      </c>
      <c r="BF34" s="1353">
        <v>0</v>
      </c>
      <c r="BG34" s="1353">
        <v>0</v>
      </c>
      <c r="BH34" s="1353">
        <v>0</v>
      </c>
      <c r="BI34" s="1353">
        <v>0</v>
      </c>
      <c r="BJ34" s="1353">
        <v>0</v>
      </c>
      <c r="BK34" s="1353">
        <v>0</v>
      </c>
      <c r="BL34" s="1353">
        <v>0</v>
      </c>
      <c r="BM34" s="1353">
        <v>0</v>
      </c>
      <c r="BN34" s="1353">
        <v>0</v>
      </c>
      <c r="BO34" s="1353">
        <v>0</v>
      </c>
      <c r="BP34" s="1353">
        <v>0</v>
      </c>
      <c r="BQ34" s="1353">
        <v>0</v>
      </c>
      <c r="BR34" s="1353">
        <v>0</v>
      </c>
      <c r="BS34" s="1353">
        <v>0</v>
      </c>
      <c r="BT34" s="1353">
        <v>0</v>
      </c>
      <c r="BU34" s="1353">
        <v>0</v>
      </c>
      <c r="BV34" s="1353">
        <v>0</v>
      </c>
      <c r="BW34" s="1353">
        <v>0</v>
      </c>
      <c r="BX34" s="1353">
        <v>0</v>
      </c>
      <c r="BY34" s="1353">
        <v>0</v>
      </c>
      <c r="BZ34" s="1353">
        <v>0</v>
      </c>
      <c r="CA34" s="1353">
        <v>0</v>
      </c>
      <c r="CB34" s="1353">
        <v>0</v>
      </c>
      <c r="CC34" s="1353">
        <v>0</v>
      </c>
      <c r="CD34" s="1353">
        <v>0</v>
      </c>
      <c r="CE34" s="1353">
        <v>0</v>
      </c>
      <c r="CF34" s="1353">
        <v>0</v>
      </c>
      <c r="CG34" s="1353">
        <v>0</v>
      </c>
      <c r="CH34" s="1353">
        <v>0</v>
      </c>
      <c r="CI34" s="1353">
        <v>0</v>
      </c>
      <c r="CJ34" s="1353">
        <v>0</v>
      </c>
      <c r="CK34" s="1353">
        <v>0</v>
      </c>
      <c r="CL34" s="1353">
        <v>0</v>
      </c>
      <c r="CM34" s="1353">
        <v>0</v>
      </c>
      <c r="CN34" s="1353">
        <v>0</v>
      </c>
      <c r="CO34" s="1353">
        <v>0</v>
      </c>
      <c r="CP34" s="1353">
        <v>0</v>
      </c>
      <c r="CQ34" s="1353">
        <v>0</v>
      </c>
      <c r="CR34" s="1353">
        <v>0</v>
      </c>
      <c r="CS34" s="1353"/>
      <c r="CT34" s="1353"/>
      <c r="CU34" s="1353">
        <v>0</v>
      </c>
      <c r="CV34" s="1353">
        <v>0</v>
      </c>
      <c r="CW34" s="1353">
        <v>0</v>
      </c>
      <c r="CX34" s="1353">
        <v>0</v>
      </c>
      <c r="CY34" s="1353">
        <v>0</v>
      </c>
      <c r="CZ34" s="1353">
        <v>0</v>
      </c>
      <c r="DA34" s="1353">
        <v>0</v>
      </c>
      <c r="DB34" s="1353">
        <v>0</v>
      </c>
      <c r="DC34" s="1353">
        <v>0</v>
      </c>
      <c r="DD34" s="1353">
        <v>0</v>
      </c>
      <c r="DE34" s="1353">
        <v>0</v>
      </c>
      <c r="DF34" s="1353">
        <v>0</v>
      </c>
      <c r="DG34" s="1353">
        <v>0</v>
      </c>
      <c r="DH34" s="1353">
        <v>0</v>
      </c>
      <c r="DI34" s="1353">
        <v>0</v>
      </c>
      <c r="DJ34" s="1353">
        <v>0</v>
      </c>
      <c r="DK34" s="1353">
        <v>0</v>
      </c>
      <c r="DL34" s="1353">
        <v>0</v>
      </c>
      <c r="DM34" s="1353">
        <v>0</v>
      </c>
      <c r="DN34" s="1353">
        <v>0</v>
      </c>
      <c r="DO34" s="1353">
        <v>0</v>
      </c>
      <c r="DP34" s="1353">
        <v>0</v>
      </c>
      <c r="DQ34" s="1353">
        <v>0</v>
      </c>
      <c r="DR34" s="1353">
        <v>0</v>
      </c>
      <c r="DS34" s="1353">
        <v>0</v>
      </c>
      <c r="DT34" s="1353">
        <v>0</v>
      </c>
      <c r="DU34" s="1353">
        <v>0</v>
      </c>
      <c r="DV34" s="1353">
        <v>0</v>
      </c>
      <c r="DW34" s="1353">
        <v>0</v>
      </c>
      <c r="DX34" s="1353">
        <v>0</v>
      </c>
      <c r="DY34" s="1353">
        <v>0</v>
      </c>
      <c r="DZ34" s="1353">
        <v>0</v>
      </c>
      <c r="EA34" s="1353">
        <v>0</v>
      </c>
      <c r="EB34" s="1353">
        <v>0</v>
      </c>
      <c r="EC34" s="1353">
        <v>0</v>
      </c>
      <c r="ED34" s="1353">
        <v>0</v>
      </c>
      <c r="EE34" s="1353">
        <v>0</v>
      </c>
      <c r="EF34" s="1353">
        <v>0</v>
      </c>
      <c r="EG34" s="1353">
        <v>0</v>
      </c>
      <c r="EH34" s="1353">
        <v>0</v>
      </c>
      <c r="EI34" s="1353">
        <v>0</v>
      </c>
      <c r="EJ34" s="1353">
        <v>0</v>
      </c>
      <c r="EK34" s="1353"/>
      <c r="EL34" s="1353"/>
      <c r="EM34" s="1353"/>
      <c r="EN34" s="1353"/>
      <c r="EO34" s="1353"/>
      <c r="EP34" s="1353"/>
      <c r="EQ34" s="1353"/>
      <c r="ER34" s="1353"/>
      <c r="ES34" s="1363">
        <v>0</v>
      </c>
      <c r="ET34" s="1365">
        <v>0</v>
      </c>
      <c r="EU34" s="1353">
        <v>0</v>
      </c>
      <c r="EV34" s="1353">
        <v>0</v>
      </c>
      <c r="EW34" s="1363">
        <v>0</v>
      </c>
      <c r="EX34" s="1354">
        <v>0</v>
      </c>
      <c r="EY34" s="1353">
        <v>0</v>
      </c>
      <c r="EZ34" s="1353">
        <v>0</v>
      </c>
      <c r="FA34" s="1363">
        <v>0</v>
      </c>
      <c r="FB34" s="1354">
        <v>0</v>
      </c>
      <c r="FC34" s="1353">
        <v>0</v>
      </c>
      <c r="FD34" s="1353">
        <v>0</v>
      </c>
      <c r="FE34" s="1363">
        <v>0</v>
      </c>
      <c r="FF34" s="1354">
        <v>0</v>
      </c>
      <c r="FG34" s="1363"/>
      <c r="FH34" s="1354"/>
      <c r="FI34" s="1363"/>
      <c r="FJ34" s="1354"/>
      <c r="FK34" s="1363"/>
      <c r="FL34" s="1354"/>
      <c r="FM34" s="1354"/>
      <c r="FN34" s="1354"/>
      <c r="FO34" s="1354"/>
      <c r="FP34" s="1354"/>
      <c r="FQ34" s="1354"/>
      <c r="FR34" s="1354"/>
      <c r="FS34" s="1354"/>
      <c r="FT34" s="1354"/>
      <c r="FU34" s="1354"/>
      <c r="FV34" s="1354"/>
      <c r="FW34" s="1354"/>
      <c r="FX34" s="1354"/>
      <c r="FY34" s="1354"/>
      <c r="FZ34" s="1354"/>
      <c r="GA34" s="1354"/>
      <c r="GB34" s="1354"/>
      <c r="GC34" s="1354"/>
      <c r="GD34" s="1354"/>
      <c r="GE34" s="1354"/>
      <c r="GF34" s="1354"/>
      <c r="GG34" s="1354"/>
      <c r="GH34" s="1354"/>
      <c r="GI34" s="1354"/>
      <c r="GJ34" s="1354"/>
      <c r="GK34" s="1354"/>
      <c r="GL34" s="1354"/>
      <c r="GM34" s="1354"/>
      <c r="GN34" s="1354"/>
      <c r="GO34" s="2082" t="s">
        <v>3261</v>
      </c>
    </row>
    <row r="35" spans="1:197" ht="50.25" hidden="1" customHeight="1">
      <c r="A35" s="2074">
        <v>24</v>
      </c>
      <c r="B35" s="2082" t="s">
        <v>2363</v>
      </c>
      <c r="C35" s="1353">
        <v>105.95647</v>
      </c>
      <c r="D35" s="1353">
        <v>165.60902999999999</v>
      </c>
      <c r="E35" s="1353">
        <v>150.23093</v>
      </c>
      <c r="F35" s="1353">
        <v>276.62621000000001</v>
      </c>
      <c r="G35" s="1353">
        <v>236.35157000000001</v>
      </c>
      <c r="H35" s="1353">
        <v>698.21414000000004</v>
      </c>
      <c r="I35" s="1353">
        <v>365.09096999999997</v>
      </c>
      <c r="J35" s="1353">
        <v>774.08409999999992</v>
      </c>
      <c r="K35" s="1353">
        <v>487.45963</v>
      </c>
      <c r="L35" s="1353">
        <v>833.65919999999994</v>
      </c>
      <c r="M35" s="1353">
        <v>593.95050000000003</v>
      </c>
      <c r="N35" s="1353">
        <v>913.3329</v>
      </c>
      <c r="O35" s="1353">
        <v>593.95050000000003</v>
      </c>
      <c r="P35" s="1353">
        <v>947.88546999999994</v>
      </c>
      <c r="Q35" s="1353">
        <v>593.95050000000003</v>
      </c>
      <c r="R35" s="1353">
        <v>1197.0730100000001</v>
      </c>
      <c r="S35" s="1353">
        <v>593.95050000000003</v>
      </c>
      <c r="T35" s="1353">
        <v>1198.23479</v>
      </c>
      <c r="U35" s="1353">
        <v>593.95050000000003</v>
      </c>
      <c r="V35" s="1353">
        <v>1198.23479</v>
      </c>
      <c r="W35" s="1353">
        <v>593.95050000000003</v>
      </c>
      <c r="X35" s="1353">
        <v>1198.23479</v>
      </c>
      <c r="Y35" s="1353">
        <v>593.95050000000003</v>
      </c>
      <c r="Z35" s="1353">
        <v>1294.1794199999999</v>
      </c>
      <c r="AA35" s="1353">
        <v>0</v>
      </c>
      <c r="AB35" s="1353">
        <v>0</v>
      </c>
      <c r="AC35" s="1353">
        <v>0</v>
      </c>
      <c r="AD35" s="1353">
        <v>0</v>
      </c>
      <c r="AE35" s="1353">
        <v>0</v>
      </c>
      <c r="AF35" s="1353">
        <v>0</v>
      </c>
      <c r="AG35" s="1353">
        <v>0</v>
      </c>
      <c r="AH35" s="1353">
        <v>0</v>
      </c>
      <c r="AI35" s="1353">
        <v>0</v>
      </c>
      <c r="AJ35" s="1353">
        <v>0</v>
      </c>
      <c r="AK35" s="1353">
        <v>0</v>
      </c>
      <c r="AL35" s="1353">
        <v>0</v>
      </c>
      <c r="AM35" s="1353">
        <v>0</v>
      </c>
      <c r="AN35" s="1353">
        <v>0</v>
      </c>
      <c r="AO35" s="1353">
        <v>0</v>
      </c>
      <c r="AP35" s="1353">
        <v>0</v>
      </c>
      <c r="AQ35" s="1353">
        <v>0</v>
      </c>
      <c r="AR35" s="1353">
        <v>0</v>
      </c>
      <c r="AS35" s="1353">
        <v>0</v>
      </c>
      <c r="AT35" s="1353">
        <v>0</v>
      </c>
      <c r="AU35" s="1353">
        <v>0</v>
      </c>
      <c r="AV35" s="1353">
        <v>0</v>
      </c>
      <c r="AW35" s="1353">
        <v>0</v>
      </c>
      <c r="AX35" s="1353">
        <v>0</v>
      </c>
      <c r="AY35" s="1353">
        <v>0</v>
      </c>
      <c r="AZ35" s="1353">
        <v>0</v>
      </c>
      <c r="BA35" s="1353">
        <v>0</v>
      </c>
      <c r="BB35" s="1353">
        <v>0</v>
      </c>
      <c r="BC35" s="1353">
        <v>0</v>
      </c>
      <c r="BD35" s="1353">
        <v>0</v>
      </c>
      <c r="BE35" s="1353">
        <v>0</v>
      </c>
      <c r="BF35" s="1353">
        <v>0</v>
      </c>
      <c r="BG35" s="1353">
        <v>0</v>
      </c>
      <c r="BH35" s="1353">
        <v>0</v>
      </c>
      <c r="BI35" s="1353">
        <v>0</v>
      </c>
      <c r="BJ35" s="1353">
        <v>0</v>
      </c>
      <c r="BK35" s="1353">
        <v>0</v>
      </c>
      <c r="BL35" s="1353">
        <v>0</v>
      </c>
      <c r="BM35" s="1353">
        <v>0</v>
      </c>
      <c r="BN35" s="1353">
        <v>0</v>
      </c>
      <c r="BO35" s="1353">
        <v>0</v>
      </c>
      <c r="BP35" s="1353">
        <v>0</v>
      </c>
      <c r="BQ35" s="1353">
        <v>0</v>
      </c>
      <c r="BR35" s="1353">
        <v>0</v>
      </c>
      <c r="BS35" s="1353">
        <v>0</v>
      </c>
      <c r="BT35" s="1353">
        <v>0</v>
      </c>
      <c r="BU35" s="1353">
        <v>0</v>
      </c>
      <c r="BV35" s="1353">
        <v>0</v>
      </c>
      <c r="BW35" s="1353">
        <v>0</v>
      </c>
      <c r="BX35" s="1353">
        <v>0</v>
      </c>
      <c r="BY35" s="1353">
        <v>0</v>
      </c>
      <c r="BZ35" s="1353">
        <v>0</v>
      </c>
      <c r="CA35" s="1353">
        <v>0</v>
      </c>
      <c r="CB35" s="1353">
        <v>0</v>
      </c>
      <c r="CC35" s="1353">
        <v>0</v>
      </c>
      <c r="CD35" s="1353">
        <v>0</v>
      </c>
      <c r="CE35" s="1353">
        <v>0</v>
      </c>
      <c r="CF35" s="1353">
        <v>0</v>
      </c>
      <c r="CG35" s="1353">
        <v>0</v>
      </c>
      <c r="CH35" s="1353">
        <v>0</v>
      </c>
      <c r="CI35" s="1353">
        <v>0</v>
      </c>
      <c r="CJ35" s="1353">
        <v>0</v>
      </c>
      <c r="CK35" s="1353">
        <v>0</v>
      </c>
      <c r="CL35" s="1353">
        <v>0</v>
      </c>
      <c r="CM35" s="1353">
        <v>0</v>
      </c>
      <c r="CN35" s="1353">
        <v>0</v>
      </c>
      <c r="CO35" s="1353">
        <v>0</v>
      </c>
      <c r="CP35" s="1353">
        <v>0</v>
      </c>
      <c r="CQ35" s="1353">
        <v>0</v>
      </c>
      <c r="CR35" s="1353">
        <v>0</v>
      </c>
      <c r="CS35" s="1353"/>
      <c r="CT35" s="1353"/>
      <c r="CU35" s="1353">
        <v>0</v>
      </c>
      <c r="CV35" s="1353">
        <v>0</v>
      </c>
      <c r="CW35" s="1353">
        <v>0</v>
      </c>
      <c r="CX35" s="1353">
        <v>0</v>
      </c>
      <c r="CY35" s="1353">
        <v>0</v>
      </c>
      <c r="CZ35" s="1353">
        <v>0</v>
      </c>
      <c r="DA35" s="1353">
        <v>0</v>
      </c>
      <c r="DB35" s="1353">
        <v>0</v>
      </c>
      <c r="DC35" s="1353">
        <v>0</v>
      </c>
      <c r="DD35" s="1353">
        <v>0</v>
      </c>
      <c r="DE35" s="1353">
        <v>0</v>
      </c>
      <c r="DF35" s="1353">
        <v>0</v>
      </c>
      <c r="DG35" s="1353">
        <v>0</v>
      </c>
      <c r="DH35" s="1353">
        <v>0</v>
      </c>
      <c r="DI35" s="1353">
        <v>0</v>
      </c>
      <c r="DJ35" s="1353">
        <v>0</v>
      </c>
      <c r="DK35" s="1353">
        <v>0</v>
      </c>
      <c r="DL35" s="1353">
        <v>0</v>
      </c>
      <c r="DM35" s="1353">
        <v>0</v>
      </c>
      <c r="DN35" s="1353">
        <v>0</v>
      </c>
      <c r="DO35" s="1353">
        <v>0</v>
      </c>
      <c r="DP35" s="1353">
        <v>0</v>
      </c>
      <c r="DQ35" s="1353">
        <v>0</v>
      </c>
      <c r="DR35" s="1353">
        <v>0</v>
      </c>
      <c r="DS35" s="1353">
        <v>0</v>
      </c>
      <c r="DT35" s="1353">
        <v>0</v>
      </c>
      <c r="DU35" s="1353">
        <v>0</v>
      </c>
      <c r="DV35" s="1353">
        <v>0</v>
      </c>
      <c r="DW35" s="1353">
        <v>0</v>
      </c>
      <c r="DX35" s="1353">
        <v>0</v>
      </c>
      <c r="DY35" s="1353">
        <v>0</v>
      </c>
      <c r="DZ35" s="1353">
        <v>0</v>
      </c>
      <c r="EA35" s="1353">
        <v>0</v>
      </c>
      <c r="EB35" s="1353">
        <v>0</v>
      </c>
      <c r="EC35" s="1353">
        <v>0</v>
      </c>
      <c r="ED35" s="1353">
        <v>0</v>
      </c>
      <c r="EE35" s="1353">
        <v>0</v>
      </c>
      <c r="EF35" s="1353">
        <v>0</v>
      </c>
      <c r="EG35" s="1353">
        <v>0</v>
      </c>
      <c r="EH35" s="1353">
        <v>0</v>
      </c>
      <c r="EI35" s="1353">
        <v>0</v>
      </c>
      <c r="EJ35" s="1353">
        <v>0</v>
      </c>
      <c r="EK35" s="1353"/>
      <c r="EL35" s="1353"/>
      <c r="EM35" s="1353"/>
      <c r="EN35" s="1353"/>
      <c r="EO35" s="1353"/>
      <c r="EP35" s="1353"/>
      <c r="EQ35" s="1353"/>
      <c r="ER35" s="1353"/>
      <c r="ES35" s="1363">
        <v>0</v>
      </c>
      <c r="ET35" s="1365">
        <v>0</v>
      </c>
      <c r="EU35" s="1353">
        <v>0</v>
      </c>
      <c r="EV35" s="1353">
        <v>0</v>
      </c>
      <c r="EW35" s="1363">
        <v>0</v>
      </c>
      <c r="EX35" s="1354">
        <v>0</v>
      </c>
      <c r="EY35" s="1353">
        <v>0</v>
      </c>
      <c r="EZ35" s="1353">
        <v>0</v>
      </c>
      <c r="FA35" s="1363">
        <v>0</v>
      </c>
      <c r="FB35" s="1354">
        <v>0</v>
      </c>
      <c r="FC35" s="1353">
        <v>0</v>
      </c>
      <c r="FD35" s="1353">
        <v>0</v>
      </c>
      <c r="FE35" s="1363">
        <v>0</v>
      </c>
      <c r="FF35" s="1354">
        <v>0</v>
      </c>
      <c r="FG35" s="1363"/>
      <c r="FH35" s="1354"/>
      <c r="FI35" s="1363"/>
      <c r="FJ35" s="1354"/>
      <c r="FK35" s="1363"/>
      <c r="FL35" s="1354"/>
      <c r="FM35" s="1354"/>
      <c r="FN35" s="1354"/>
      <c r="FO35" s="1354"/>
      <c r="FP35" s="1354"/>
      <c r="FQ35" s="1354"/>
      <c r="FR35" s="1354"/>
      <c r="FS35" s="1354"/>
      <c r="FT35" s="1354"/>
      <c r="FU35" s="1354"/>
      <c r="FV35" s="1354"/>
      <c r="FW35" s="1354"/>
      <c r="FX35" s="1354"/>
      <c r="FY35" s="1354"/>
      <c r="FZ35" s="1354"/>
      <c r="GA35" s="1354"/>
      <c r="GB35" s="1354"/>
      <c r="GC35" s="1354"/>
      <c r="GD35" s="1354"/>
      <c r="GE35" s="1354"/>
      <c r="GF35" s="1354"/>
      <c r="GG35" s="1354"/>
      <c r="GH35" s="1354"/>
      <c r="GI35" s="1354"/>
      <c r="GJ35" s="1354"/>
      <c r="GK35" s="1354"/>
      <c r="GL35" s="1354"/>
      <c r="GM35" s="1354"/>
      <c r="GN35" s="1354"/>
      <c r="GO35" s="2082" t="s">
        <v>3262</v>
      </c>
    </row>
    <row r="36" spans="1:197" ht="50.25" hidden="1" customHeight="1">
      <c r="A36" s="2074">
        <v>25</v>
      </c>
      <c r="B36" s="2082" t="s">
        <v>2362</v>
      </c>
      <c r="C36" s="1353">
        <v>2.0586599999999997</v>
      </c>
      <c r="D36" s="1353">
        <v>0.06</v>
      </c>
      <c r="E36" s="1353">
        <v>79.759230000000002</v>
      </c>
      <c r="F36" s="1353">
        <v>0.26</v>
      </c>
      <c r="G36" s="1353">
        <v>131.02712</v>
      </c>
      <c r="H36" s="1353">
        <v>0.36</v>
      </c>
      <c r="I36" s="1353">
        <v>133.76894000000001</v>
      </c>
      <c r="J36" s="1353">
        <v>0.36</v>
      </c>
      <c r="K36" s="1353">
        <v>178.65335999999999</v>
      </c>
      <c r="L36" s="1353">
        <v>0.65582000000000007</v>
      </c>
      <c r="M36" s="1353">
        <v>195.44431</v>
      </c>
      <c r="N36" s="1353">
        <v>0.65582000000000007</v>
      </c>
      <c r="O36" s="1353">
        <v>201.06</v>
      </c>
      <c r="P36" s="1353">
        <v>0.65582000000000007</v>
      </c>
      <c r="Q36" s="1353">
        <v>219.08505</v>
      </c>
      <c r="R36" s="1353">
        <v>0.75278</v>
      </c>
      <c r="S36" s="1353">
        <v>238.04031000000001</v>
      </c>
      <c r="T36" s="1353">
        <v>0.98778999999999995</v>
      </c>
      <c r="U36" s="1353">
        <v>323.17876000000001</v>
      </c>
      <c r="V36" s="1353">
        <v>0.98778999999999995</v>
      </c>
      <c r="W36" s="1353">
        <v>259.17876000000001</v>
      </c>
      <c r="X36" s="1353">
        <v>0.98778999999999995</v>
      </c>
      <c r="Y36" s="1353">
        <v>259.17876000000001</v>
      </c>
      <c r="Z36" s="1353">
        <v>0.98778999999999995</v>
      </c>
      <c r="AA36" s="1353">
        <v>0</v>
      </c>
      <c r="AB36" s="1353">
        <v>0.18759999999999999</v>
      </c>
      <c r="AC36" s="1353">
        <v>0</v>
      </c>
      <c r="AD36" s="1353">
        <v>1.3350499999999998</v>
      </c>
      <c r="AE36" s="1353">
        <v>0</v>
      </c>
      <c r="AF36" s="1353">
        <v>1.3350499999999998</v>
      </c>
      <c r="AG36" s="1353">
        <v>0</v>
      </c>
      <c r="AH36" s="1353">
        <v>1.3350499999999998</v>
      </c>
      <c r="AI36" s="1353">
        <v>0</v>
      </c>
      <c r="AJ36" s="1353">
        <v>1.3350499999999998</v>
      </c>
      <c r="AK36" s="1353">
        <v>0</v>
      </c>
      <c r="AL36" s="1353">
        <v>0</v>
      </c>
      <c r="AM36" s="1353">
        <v>0</v>
      </c>
      <c r="AN36" s="1353">
        <v>0</v>
      </c>
      <c r="AO36" s="1353">
        <v>0</v>
      </c>
      <c r="AP36" s="1353">
        <v>0</v>
      </c>
      <c r="AQ36" s="1353">
        <v>0</v>
      </c>
      <c r="AR36" s="1353">
        <v>0</v>
      </c>
      <c r="AS36" s="1353">
        <v>0</v>
      </c>
      <c r="AT36" s="1353">
        <v>0</v>
      </c>
      <c r="AU36" s="1353">
        <v>0</v>
      </c>
      <c r="AV36" s="1353">
        <v>0</v>
      </c>
      <c r="AW36" s="1353">
        <v>0</v>
      </c>
      <c r="AX36" s="1353">
        <v>0</v>
      </c>
      <c r="AY36" s="1353">
        <v>0</v>
      </c>
      <c r="AZ36" s="1353">
        <v>0</v>
      </c>
      <c r="BA36" s="1353">
        <v>0</v>
      </c>
      <c r="BB36" s="1353">
        <v>0</v>
      </c>
      <c r="BC36" s="1353">
        <v>0</v>
      </c>
      <c r="BD36" s="1353">
        <v>0</v>
      </c>
      <c r="BE36" s="1353">
        <v>0</v>
      </c>
      <c r="BF36" s="1353">
        <v>0</v>
      </c>
      <c r="BG36" s="1353">
        <v>0</v>
      </c>
      <c r="BH36" s="1353">
        <v>0</v>
      </c>
      <c r="BI36" s="1353">
        <v>0</v>
      </c>
      <c r="BJ36" s="1353">
        <v>0</v>
      </c>
      <c r="BK36" s="1353">
        <v>0</v>
      </c>
      <c r="BL36" s="1353">
        <v>0</v>
      </c>
      <c r="BM36" s="1353">
        <v>0</v>
      </c>
      <c r="BN36" s="1353">
        <v>0</v>
      </c>
      <c r="BO36" s="1353">
        <v>0</v>
      </c>
      <c r="BP36" s="1353">
        <v>0</v>
      </c>
      <c r="BQ36" s="1353">
        <v>0</v>
      </c>
      <c r="BR36" s="1353">
        <v>0</v>
      </c>
      <c r="BS36" s="1353">
        <v>0</v>
      </c>
      <c r="BT36" s="1353">
        <v>0</v>
      </c>
      <c r="BU36" s="1353">
        <v>0</v>
      </c>
      <c r="BV36" s="1353">
        <v>0</v>
      </c>
      <c r="BW36" s="1353">
        <v>0</v>
      </c>
      <c r="BX36" s="1353">
        <v>0</v>
      </c>
      <c r="BY36" s="1353">
        <v>0</v>
      </c>
      <c r="BZ36" s="1353">
        <v>0</v>
      </c>
      <c r="CA36" s="1353">
        <v>0</v>
      </c>
      <c r="CB36" s="1353">
        <v>0</v>
      </c>
      <c r="CC36" s="1353">
        <v>0</v>
      </c>
      <c r="CD36" s="1353">
        <v>0</v>
      </c>
      <c r="CE36" s="1353">
        <v>0</v>
      </c>
      <c r="CF36" s="1353">
        <v>0</v>
      </c>
      <c r="CG36" s="1353">
        <v>0</v>
      </c>
      <c r="CH36" s="1353">
        <v>0</v>
      </c>
      <c r="CI36" s="1353">
        <v>0</v>
      </c>
      <c r="CJ36" s="1353">
        <v>0</v>
      </c>
      <c r="CK36" s="1353">
        <v>0</v>
      </c>
      <c r="CL36" s="1353">
        <v>0</v>
      </c>
      <c r="CM36" s="1353">
        <v>0</v>
      </c>
      <c r="CN36" s="1353">
        <v>0</v>
      </c>
      <c r="CO36" s="1353">
        <v>0</v>
      </c>
      <c r="CP36" s="1353">
        <v>0</v>
      </c>
      <c r="CQ36" s="1353">
        <v>0</v>
      </c>
      <c r="CR36" s="1353">
        <v>0</v>
      </c>
      <c r="CS36" s="1353"/>
      <c r="CT36" s="1353"/>
      <c r="CU36" s="1353">
        <v>0</v>
      </c>
      <c r="CV36" s="1353">
        <v>0</v>
      </c>
      <c r="CW36" s="1353">
        <v>0</v>
      </c>
      <c r="CX36" s="1353">
        <v>0</v>
      </c>
      <c r="CY36" s="1353">
        <v>0</v>
      </c>
      <c r="CZ36" s="1353">
        <v>0</v>
      </c>
      <c r="DA36" s="1353">
        <v>0</v>
      </c>
      <c r="DB36" s="1353">
        <v>0</v>
      </c>
      <c r="DC36" s="1353">
        <v>0</v>
      </c>
      <c r="DD36" s="1353">
        <v>0</v>
      </c>
      <c r="DE36" s="1353">
        <v>0</v>
      </c>
      <c r="DF36" s="1353">
        <v>0</v>
      </c>
      <c r="DG36" s="1353">
        <v>0</v>
      </c>
      <c r="DH36" s="1353">
        <v>0</v>
      </c>
      <c r="DI36" s="1353">
        <v>0</v>
      </c>
      <c r="DJ36" s="1353">
        <v>0</v>
      </c>
      <c r="DK36" s="1353">
        <v>0</v>
      </c>
      <c r="DL36" s="1353">
        <v>0</v>
      </c>
      <c r="DM36" s="1353">
        <v>0</v>
      </c>
      <c r="DN36" s="1353">
        <v>0</v>
      </c>
      <c r="DO36" s="1353">
        <v>0</v>
      </c>
      <c r="DP36" s="1353">
        <v>0</v>
      </c>
      <c r="DQ36" s="1353">
        <v>0</v>
      </c>
      <c r="DR36" s="1353">
        <v>0</v>
      </c>
      <c r="DS36" s="1353">
        <v>0</v>
      </c>
      <c r="DT36" s="1353">
        <v>0</v>
      </c>
      <c r="DU36" s="1353">
        <v>0</v>
      </c>
      <c r="DV36" s="1353">
        <v>0</v>
      </c>
      <c r="DW36" s="1353">
        <v>0</v>
      </c>
      <c r="DX36" s="1353">
        <v>0</v>
      </c>
      <c r="DY36" s="1353">
        <v>0</v>
      </c>
      <c r="DZ36" s="1353">
        <v>0</v>
      </c>
      <c r="EA36" s="1353">
        <v>0</v>
      </c>
      <c r="EB36" s="1353">
        <v>0</v>
      </c>
      <c r="EC36" s="1353">
        <v>0</v>
      </c>
      <c r="ED36" s="1353">
        <v>0</v>
      </c>
      <c r="EE36" s="1353">
        <v>0</v>
      </c>
      <c r="EF36" s="1353">
        <v>0</v>
      </c>
      <c r="EG36" s="1353">
        <v>0</v>
      </c>
      <c r="EH36" s="1353">
        <v>0</v>
      </c>
      <c r="EI36" s="1353">
        <v>0</v>
      </c>
      <c r="EJ36" s="1353">
        <v>0</v>
      </c>
      <c r="EK36" s="1353"/>
      <c r="EL36" s="1353"/>
      <c r="EM36" s="1353"/>
      <c r="EN36" s="1353"/>
      <c r="EO36" s="1353"/>
      <c r="EP36" s="1353"/>
      <c r="EQ36" s="1353"/>
      <c r="ER36" s="1353"/>
      <c r="ES36" s="1363">
        <v>0</v>
      </c>
      <c r="ET36" s="1365">
        <v>0</v>
      </c>
      <c r="EU36" s="1353">
        <v>0</v>
      </c>
      <c r="EV36" s="1353">
        <v>0</v>
      </c>
      <c r="EW36" s="1363">
        <v>0</v>
      </c>
      <c r="EX36" s="1354">
        <v>0</v>
      </c>
      <c r="EY36" s="1353">
        <v>0</v>
      </c>
      <c r="EZ36" s="1353">
        <v>0</v>
      </c>
      <c r="FA36" s="1363">
        <v>0</v>
      </c>
      <c r="FB36" s="1354">
        <v>0</v>
      </c>
      <c r="FC36" s="1353">
        <v>0</v>
      </c>
      <c r="FD36" s="1353">
        <v>0</v>
      </c>
      <c r="FE36" s="1363">
        <v>0</v>
      </c>
      <c r="FF36" s="1354">
        <v>0</v>
      </c>
      <c r="FG36" s="1363"/>
      <c r="FH36" s="1354"/>
      <c r="FI36" s="1363"/>
      <c r="FJ36" s="1354"/>
      <c r="FK36" s="1363"/>
      <c r="FL36" s="1354"/>
      <c r="FM36" s="1354"/>
      <c r="FN36" s="1354"/>
      <c r="FO36" s="1354"/>
      <c r="FP36" s="1354"/>
      <c r="FQ36" s="1354"/>
      <c r="FR36" s="1354"/>
      <c r="FS36" s="1354"/>
      <c r="FT36" s="1354"/>
      <c r="FU36" s="1354"/>
      <c r="FV36" s="1354"/>
      <c r="FW36" s="1354"/>
      <c r="FX36" s="1354"/>
      <c r="FY36" s="1354"/>
      <c r="FZ36" s="1354"/>
      <c r="GA36" s="1354"/>
      <c r="GB36" s="1354"/>
      <c r="GC36" s="1354"/>
      <c r="GD36" s="1354"/>
      <c r="GE36" s="1354"/>
      <c r="GF36" s="1354"/>
      <c r="GG36" s="1354"/>
      <c r="GH36" s="1354"/>
      <c r="GI36" s="1354"/>
      <c r="GJ36" s="1354"/>
      <c r="GK36" s="1354"/>
      <c r="GL36" s="1354"/>
      <c r="GM36" s="1354"/>
      <c r="GN36" s="1354"/>
      <c r="GO36" s="2082" t="s">
        <v>3263</v>
      </c>
    </row>
    <row r="37" spans="1:197" ht="50.25" hidden="1" customHeight="1">
      <c r="A37" s="2074">
        <v>26</v>
      </c>
      <c r="B37" s="2082" t="s">
        <v>2361</v>
      </c>
      <c r="C37" s="1353">
        <v>312.48942</v>
      </c>
      <c r="D37" s="1353">
        <v>159.70602</v>
      </c>
      <c r="E37" s="1353">
        <v>410.63842999999997</v>
      </c>
      <c r="F37" s="1353">
        <v>294.76346000000001</v>
      </c>
      <c r="G37" s="1353">
        <v>633.87076000000002</v>
      </c>
      <c r="H37" s="1353">
        <v>327.40323000000001</v>
      </c>
      <c r="I37" s="1353">
        <v>847.56209000000001</v>
      </c>
      <c r="J37" s="1353">
        <v>503.86387000000002</v>
      </c>
      <c r="K37" s="1353">
        <v>1023.6065</v>
      </c>
      <c r="L37" s="1353">
        <v>594.37277000000006</v>
      </c>
      <c r="M37" s="1353">
        <v>1019.8405</v>
      </c>
      <c r="N37" s="1353">
        <v>654.51645999999994</v>
      </c>
      <c r="O37" s="1353">
        <v>1019.05426</v>
      </c>
      <c r="P37" s="1353">
        <v>735.78006999999991</v>
      </c>
      <c r="Q37" s="1353">
        <v>1021.13783</v>
      </c>
      <c r="R37" s="1353">
        <v>811.62444999999991</v>
      </c>
      <c r="S37" s="1353">
        <v>1021.13783</v>
      </c>
      <c r="T37" s="1353">
        <v>811.62444999999991</v>
      </c>
      <c r="U37" s="1353">
        <v>1021.13783</v>
      </c>
      <c r="V37" s="1353">
        <v>811.62444999999991</v>
      </c>
      <c r="W37" s="1353">
        <v>1021.13783</v>
      </c>
      <c r="X37" s="1353">
        <v>811.62444999999991</v>
      </c>
      <c r="Y37" s="1353">
        <v>1018.45994</v>
      </c>
      <c r="Z37" s="1353">
        <v>1207.7731999999999</v>
      </c>
      <c r="AA37" s="1353">
        <v>0</v>
      </c>
      <c r="AB37" s="1353">
        <v>0</v>
      </c>
      <c r="AC37" s="1353">
        <v>0</v>
      </c>
      <c r="AD37" s="1353">
        <v>0</v>
      </c>
      <c r="AE37" s="1353">
        <v>0</v>
      </c>
      <c r="AF37" s="1353">
        <v>0</v>
      </c>
      <c r="AG37" s="1353">
        <v>0</v>
      </c>
      <c r="AH37" s="1353">
        <v>0</v>
      </c>
      <c r="AI37" s="1353">
        <v>0</v>
      </c>
      <c r="AJ37" s="1353">
        <v>0</v>
      </c>
      <c r="AK37" s="1353">
        <v>0</v>
      </c>
      <c r="AL37" s="1353">
        <v>0</v>
      </c>
      <c r="AM37" s="1353">
        <v>0</v>
      </c>
      <c r="AN37" s="1353">
        <v>0</v>
      </c>
      <c r="AO37" s="1353">
        <v>0</v>
      </c>
      <c r="AP37" s="1353">
        <v>0</v>
      </c>
      <c r="AQ37" s="1353">
        <v>0</v>
      </c>
      <c r="AR37" s="1353">
        <v>0</v>
      </c>
      <c r="AS37" s="1353">
        <v>0</v>
      </c>
      <c r="AT37" s="1353">
        <v>0</v>
      </c>
      <c r="AU37" s="1353">
        <v>0</v>
      </c>
      <c r="AV37" s="1353">
        <v>0</v>
      </c>
      <c r="AW37" s="1353">
        <v>0</v>
      </c>
      <c r="AX37" s="1353">
        <v>0</v>
      </c>
      <c r="AY37" s="1353">
        <v>0</v>
      </c>
      <c r="AZ37" s="1353">
        <v>0</v>
      </c>
      <c r="BA37" s="1353">
        <v>0</v>
      </c>
      <c r="BB37" s="1353">
        <v>0</v>
      </c>
      <c r="BC37" s="1353">
        <v>0</v>
      </c>
      <c r="BD37" s="1353">
        <v>0</v>
      </c>
      <c r="BE37" s="1353">
        <v>0</v>
      </c>
      <c r="BF37" s="1353">
        <v>0</v>
      </c>
      <c r="BG37" s="1353">
        <v>0</v>
      </c>
      <c r="BH37" s="1353">
        <v>0</v>
      </c>
      <c r="BI37" s="1353">
        <v>0</v>
      </c>
      <c r="BJ37" s="1353">
        <v>0</v>
      </c>
      <c r="BK37" s="1353">
        <v>0</v>
      </c>
      <c r="BL37" s="1353">
        <v>0</v>
      </c>
      <c r="BM37" s="1353">
        <v>0</v>
      </c>
      <c r="BN37" s="1353">
        <v>0</v>
      </c>
      <c r="BO37" s="1353">
        <v>0</v>
      </c>
      <c r="BP37" s="1353">
        <v>0</v>
      </c>
      <c r="BQ37" s="1353">
        <v>0</v>
      </c>
      <c r="BR37" s="1353">
        <v>0</v>
      </c>
      <c r="BS37" s="1353">
        <v>0</v>
      </c>
      <c r="BT37" s="1353">
        <v>0</v>
      </c>
      <c r="BU37" s="1353">
        <v>0</v>
      </c>
      <c r="BV37" s="1353">
        <v>0</v>
      </c>
      <c r="BW37" s="1353">
        <v>0</v>
      </c>
      <c r="BX37" s="1353">
        <v>0</v>
      </c>
      <c r="BY37" s="1353">
        <v>0</v>
      </c>
      <c r="BZ37" s="1353">
        <v>0</v>
      </c>
      <c r="CA37" s="1353">
        <v>0</v>
      </c>
      <c r="CB37" s="1353">
        <v>0</v>
      </c>
      <c r="CC37" s="1353">
        <v>0</v>
      </c>
      <c r="CD37" s="1353">
        <v>0</v>
      </c>
      <c r="CE37" s="1353">
        <v>0</v>
      </c>
      <c r="CF37" s="1353">
        <v>0</v>
      </c>
      <c r="CG37" s="1353">
        <v>0</v>
      </c>
      <c r="CH37" s="1353">
        <v>0</v>
      </c>
      <c r="CI37" s="1353">
        <v>0</v>
      </c>
      <c r="CJ37" s="1353">
        <v>0</v>
      </c>
      <c r="CK37" s="1353">
        <v>0</v>
      </c>
      <c r="CL37" s="1353">
        <v>0</v>
      </c>
      <c r="CM37" s="1353">
        <v>0</v>
      </c>
      <c r="CN37" s="1353">
        <v>0</v>
      </c>
      <c r="CO37" s="1353">
        <v>0</v>
      </c>
      <c r="CP37" s="1353">
        <v>0</v>
      </c>
      <c r="CQ37" s="1353">
        <v>0</v>
      </c>
      <c r="CR37" s="1353">
        <v>0</v>
      </c>
      <c r="CS37" s="1353"/>
      <c r="CT37" s="1353"/>
      <c r="CU37" s="1353">
        <v>0</v>
      </c>
      <c r="CV37" s="1353">
        <v>0</v>
      </c>
      <c r="CW37" s="1353">
        <v>0</v>
      </c>
      <c r="CX37" s="1353">
        <v>0</v>
      </c>
      <c r="CY37" s="1353">
        <v>0</v>
      </c>
      <c r="CZ37" s="1353">
        <v>0</v>
      </c>
      <c r="DA37" s="1353">
        <v>0</v>
      </c>
      <c r="DB37" s="1353">
        <v>0</v>
      </c>
      <c r="DC37" s="1353">
        <v>0</v>
      </c>
      <c r="DD37" s="1353">
        <v>0</v>
      </c>
      <c r="DE37" s="1353">
        <v>0</v>
      </c>
      <c r="DF37" s="1353">
        <v>0</v>
      </c>
      <c r="DG37" s="1353">
        <v>0</v>
      </c>
      <c r="DH37" s="1353">
        <v>0</v>
      </c>
      <c r="DI37" s="1353">
        <v>0</v>
      </c>
      <c r="DJ37" s="1353">
        <v>0</v>
      </c>
      <c r="DK37" s="1353">
        <v>0</v>
      </c>
      <c r="DL37" s="1353">
        <v>0</v>
      </c>
      <c r="DM37" s="1353">
        <v>0</v>
      </c>
      <c r="DN37" s="1353">
        <v>0</v>
      </c>
      <c r="DO37" s="1353">
        <v>0</v>
      </c>
      <c r="DP37" s="1353">
        <v>0</v>
      </c>
      <c r="DQ37" s="1353">
        <v>0</v>
      </c>
      <c r="DR37" s="1353">
        <v>0</v>
      </c>
      <c r="DS37" s="1353">
        <v>0</v>
      </c>
      <c r="DT37" s="1353">
        <v>0</v>
      </c>
      <c r="DU37" s="1353">
        <v>0</v>
      </c>
      <c r="DV37" s="1353">
        <v>0</v>
      </c>
      <c r="DW37" s="1353">
        <v>0</v>
      </c>
      <c r="DX37" s="1353">
        <v>0</v>
      </c>
      <c r="DY37" s="1353">
        <v>0</v>
      </c>
      <c r="DZ37" s="1353">
        <v>0</v>
      </c>
      <c r="EA37" s="1353">
        <v>0</v>
      </c>
      <c r="EB37" s="1353">
        <v>0</v>
      </c>
      <c r="EC37" s="1353">
        <v>0</v>
      </c>
      <c r="ED37" s="1353">
        <v>0</v>
      </c>
      <c r="EE37" s="1353">
        <v>0</v>
      </c>
      <c r="EF37" s="1353">
        <v>0</v>
      </c>
      <c r="EG37" s="1353">
        <v>0</v>
      </c>
      <c r="EH37" s="1353">
        <v>0</v>
      </c>
      <c r="EI37" s="1353">
        <v>0</v>
      </c>
      <c r="EJ37" s="1353">
        <v>0</v>
      </c>
      <c r="EK37" s="1353"/>
      <c r="EL37" s="1353"/>
      <c r="EM37" s="1353"/>
      <c r="EN37" s="1353"/>
      <c r="EO37" s="1353"/>
      <c r="EP37" s="1353"/>
      <c r="EQ37" s="1353"/>
      <c r="ER37" s="1353"/>
      <c r="ES37" s="1363">
        <v>0</v>
      </c>
      <c r="ET37" s="1365">
        <v>0</v>
      </c>
      <c r="EU37" s="1353">
        <v>0</v>
      </c>
      <c r="EV37" s="1353">
        <v>0</v>
      </c>
      <c r="EW37" s="1363">
        <v>0</v>
      </c>
      <c r="EX37" s="1354">
        <v>0</v>
      </c>
      <c r="EY37" s="1353">
        <v>0</v>
      </c>
      <c r="EZ37" s="1353">
        <v>0</v>
      </c>
      <c r="FA37" s="1363">
        <v>0</v>
      </c>
      <c r="FB37" s="1354">
        <v>0</v>
      </c>
      <c r="FC37" s="1353">
        <v>0</v>
      </c>
      <c r="FD37" s="1353">
        <v>0</v>
      </c>
      <c r="FE37" s="1363">
        <v>0</v>
      </c>
      <c r="FF37" s="1354">
        <v>0</v>
      </c>
      <c r="FG37" s="1363"/>
      <c r="FH37" s="1354"/>
      <c r="FI37" s="1363"/>
      <c r="FJ37" s="1354"/>
      <c r="FK37" s="1363"/>
      <c r="FL37" s="1354"/>
      <c r="FM37" s="1354"/>
      <c r="FN37" s="1354"/>
      <c r="FO37" s="1354"/>
      <c r="FP37" s="1354"/>
      <c r="FQ37" s="1354"/>
      <c r="FR37" s="1354"/>
      <c r="FS37" s="1354"/>
      <c r="FT37" s="1354"/>
      <c r="FU37" s="1354"/>
      <c r="FV37" s="1354"/>
      <c r="FW37" s="1354"/>
      <c r="FX37" s="1354"/>
      <c r="FY37" s="1354"/>
      <c r="FZ37" s="1354"/>
      <c r="GA37" s="1354"/>
      <c r="GB37" s="1354"/>
      <c r="GC37" s="1354"/>
      <c r="GD37" s="1354"/>
      <c r="GE37" s="1354"/>
      <c r="GF37" s="1354"/>
      <c r="GG37" s="1354"/>
      <c r="GH37" s="1354"/>
      <c r="GI37" s="1354"/>
      <c r="GJ37" s="1354"/>
      <c r="GK37" s="1354"/>
      <c r="GL37" s="1354"/>
      <c r="GM37" s="1354"/>
      <c r="GN37" s="1354"/>
      <c r="GO37" s="2082" t="s">
        <v>3264</v>
      </c>
    </row>
    <row r="38" spans="1:197" ht="50.25" hidden="1" customHeight="1">
      <c r="A38" s="2074">
        <v>27</v>
      </c>
      <c r="B38" s="2082" t="s">
        <v>2369</v>
      </c>
      <c r="C38" s="1353">
        <v>49</v>
      </c>
      <c r="D38" s="1353">
        <v>30.452860000000001</v>
      </c>
      <c r="E38" s="1353">
        <v>100.98016</v>
      </c>
      <c r="F38" s="1353">
        <v>94.942740000000001</v>
      </c>
      <c r="G38" s="1353">
        <v>160.97749999999999</v>
      </c>
      <c r="H38" s="1353">
        <v>203.74451999999999</v>
      </c>
      <c r="I38" s="1353">
        <v>391.05821999999995</v>
      </c>
      <c r="J38" s="1353">
        <v>268.93696999999997</v>
      </c>
      <c r="K38" s="1353">
        <v>456.98453000000001</v>
      </c>
      <c r="L38" s="1353">
        <v>352.84728999999999</v>
      </c>
      <c r="M38" s="1353">
        <v>546.21884</v>
      </c>
      <c r="N38" s="1353">
        <v>432.32092999999998</v>
      </c>
      <c r="O38" s="1353">
        <v>701.36056999999994</v>
      </c>
      <c r="P38" s="1353">
        <v>497.43801000000002</v>
      </c>
      <c r="Q38" s="1353">
        <v>764.75831999999991</v>
      </c>
      <c r="R38" s="1353">
        <v>549.37239999999997</v>
      </c>
      <c r="S38" s="1353">
        <v>828.14882999999998</v>
      </c>
      <c r="T38" s="1353">
        <v>603.06878000000006</v>
      </c>
      <c r="U38" s="1353">
        <v>910.31011000000001</v>
      </c>
      <c r="V38" s="1353">
        <v>642.26311999999996</v>
      </c>
      <c r="W38" s="1353">
        <v>956.85563999999999</v>
      </c>
      <c r="X38" s="1353">
        <v>755.95866000000001</v>
      </c>
      <c r="Y38" s="1353">
        <v>1018.51888</v>
      </c>
      <c r="Z38" s="1353">
        <v>855.03906999999992</v>
      </c>
      <c r="AA38" s="1353">
        <v>25.325080000000003</v>
      </c>
      <c r="AB38" s="1353">
        <v>16.174949999999999</v>
      </c>
      <c r="AC38" s="1353">
        <v>55.191429999999997</v>
      </c>
      <c r="AD38" s="1353">
        <v>58.941669999999995</v>
      </c>
      <c r="AE38" s="1353">
        <v>109.27676</v>
      </c>
      <c r="AF38" s="1353">
        <v>113.30364</v>
      </c>
      <c r="AG38" s="1353">
        <v>141.73417999999998</v>
      </c>
      <c r="AH38" s="1353">
        <v>189.49664000000001</v>
      </c>
      <c r="AI38" s="1353">
        <v>209.53251</v>
      </c>
      <c r="AJ38" s="1353">
        <v>269.99648999999999</v>
      </c>
      <c r="AK38" s="1353">
        <v>246.89261999999999</v>
      </c>
      <c r="AL38" s="1353">
        <v>360.47798999999998</v>
      </c>
      <c r="AM38" s="1353">
        <v>281.512</v>
      </c>
      <c r="AN38" s="1353">
        <v>397.24761000000001</v>
      </c>
      <c r="AO38" s="1353">
        <v>372.79732999999999</v>
      </c>
      <c r="AP38" s="1353">
        <v>416.35616999999996</v>
      </c>
      <c r="AQ38" s="1353">
        <v>447.62493000000001</v>
      </c>
      <c r="AR38" s="1353">
        <v>452.73182000000003</v>
      </c>
      <c r="AS38" s="1353">
        <v>517.28206</v>
      </c>
      <c r="AT38" s="1353">
        <v>470.90302000000003</v>
      </c>
      <c r="AU38" s="1353">
        <v>590.88477</v>
      </c>
      <c r="AV38" s="1353">
        <v>506.04583000000002</v>
      </c>
      <c r="AW38" s="1353">
        <v>690.34251000000006</v>
      </c>
      <c r="AX38" s="1353">
        <v>546.89134000000001</v>
      </c>
      <c r="AY38" s="1353">
        <v>77.025279999999995</v>
      </c>
      <c r="AZ38" s="1353">
        <v>10.40527</v>
      </c>
      <c r="BA38" s="1353">
        <v>201.23860000000002</v>
      </c>
      <c r="BB38" s="1353">
        <v>52.144190000000002</v>
      </c>
      <c r="BC38" s="1353">
        <v>265.25</v>
      </c>
      <c r="BD38" s="1353">
        <v>75.28</v>
      </c>
      <c r="BE38" s="1353">
        <v>388.25064000000003</v>
      </c>
      <c r="BF38" s="1353">
        <v>109.75761</v>
      </c>
      <c r="BG38" s="1353">
        <v>536.37089000000003</v>
      </c>
      <c r="BH38" s="1353">
        <v>138.66015999999999</v>
      </c>
      <c r="BI38" s="1353">
        <v>686.50115000000005</v>
      </c>
      <c r="BJ38" s="1353">
        <v>150.72548999999998</v>
      </c>
      <c r="BK38" s="1353">
        <v>870.3043100000001</v>
      </c>
      <c r="BL38" s="1353">
        <v>175.82373999999999</v>
      </c>
      <c r="BM38" s="1353">
        <v>1079.0352800000001</v>
      </c>
      <c r="BN38" s="1353">
        <v>234.08370000000002</v>
      </c>
      <c r="BO38" s="1353">
        <v>1239.58366</v>
      </c>
      <c r="BP38" s="1353">
        <v>251.78676000000002</v>
      </c>
      <c r="BQ38" s="1353">
        <v>1391.9308000000001</v>
      </c>
      <c r="BR38" s="1353">
        <v>274.50909000000001</v>
      </c>
      <c r="BS38" s="1353">
        <v>1531.0980199999999</v>
      </c>
      <c r="BT38" s="1353">
        <v>291.59737999999999</v>
      </c>
      <c r="BU38" s="1353">
        <v>1758.9494399999999</v>
      </c>
      <c r="BV38" s="1353">
        <v>315.95328000000001</v>
      </c>
      <c r="BW38" s="1353">
        <v>180.65432999999999</v>
      </c>
      <c r="BX38" s="1353">
        <v>31.650069999999999</v>
      </c>
      <c r="BY38" s="1353">
        <v>424.64274</v>
      </c>
      <c r="BZ38" s="1353">
        <v>43.448070000000001</v>
      </c>
      <c r="CA38" s="1353">
        <v>557.41575</v>
      </c>
      <c r="CB38" s="1353">
        <v>83.088220000000007</v>
      </c>
      <c r="CC38" s="1353">
        <v>818.14227000000005</v>
      </c>
      <c r="CD38" s="1353">
        <v>115.06631</v>
      </c>
      <c r="CE38" s="1353">
        <v>1059.2552599999999</v>
      </c>
      <c r="CF38" s="1353">
        <v>143.29271</v>
      </c>
      <c r="CG38" s="1353">
        <v>1291.3281899999999</v>
      </c>
      <c r="CH38" s="1353">
        <v>172.01814000000002</v>
      </c>
      <c r="CI38" s="1353">
        <v>1550.0361599999999</v>
      </c>
      <c r="CJ38" s="1353">
        <v>183.87198000000001</v>
      </c>
      <c r="CK38" s="1353">
        <v>1823.6825200000001</v>
      </c>
      <c r="CL38" s="1353">
        <v>254.20414000000002</v>
      </c>
      <c r="CM38" s="1353">
        <v>2064.7484800000002</v>
      </c>
      <c r="CN38" s="1353">
        <v>310.09629999999999</v>
      </c>
      <c r="CO38" s="1353">
        <v>2436.6077</v>
      </c>
      <c r="CP38" s="1353">
        <v>394.90395000000001</v>
      </c>
      <c r="CQ38" s="1353">
        <v>2753.2390299999997</v>
      </c>
      <c r="CR38" s="1353">
        <v>410.82256000000001</v>
      </c>
      <c r="CS38" s="1353">
        <v>3185.0547700000002</v>
      </c>
      <c r="CT38" s="1353">
        <v>477.44553000000002</v>
      </c>
      <c r="CU38" s="1353">
        <v>331.32506999999998</v>
      </c>
      <c r="CV38" s="1353">
        <v>67.692449999999994</v>
      </c>
      <c r="CW38" s="1353">
        <v>705.46328000000005</v>
      </c>
      <c r="CX38" s="1353">
        <v>99.739190000000008</v>
      </c>
      <c r="CY38" s="1353">
        <v>905.53506999999991</v>
      </c>
      <c r="CZ38" s="1353">
        <v>134.31042000000002</v>
      </c>
      <c r="DA38" s="1353">
        <v>990.57875000000001</v>
      </c>
      <c r="DB38" s="1353">
        <v>161.09273999999999</v>
      </c>
      <c r="DC38" s="1353">
        <v>1058.45832</v>
      </c>
      <c r="DD38" s="1353">
        <v>175.82531</v>
      </c>
      <c r="DE38" s="1353">
        <v>1077.9885800000002</v>
      </c>
      <c r="DF38" s="1353">
        <v>234.73455999999999</v>
      </c>
      <c r="DG38" s="1353">
        <v>1077.9183799999998</v>
      </c>
      <c r="DH38" s="1353">
        <v>255.90749</v>
      </c>
      <c r="DI38" s="1353">
        <v>1077.9183799999998</v>
      </c>
      <c r="DJ38" s="1353">
        <v>267.90854999999999</v>
      </c>
      <c r="DK38" s="1353">
        <v>1077.9183799999998</v>
      </c>
      <c r="DL38" s="1353">
        <v>283.30074000000002</v>
      </c>
      <c r="DM38" s="1353">
        <v>1077.9183799999998</v>
      </c>
      <c r="DN38" s="1353">
        <v>308.43376000000001</v>
      </c>
      <c r="DO38" s="1353">
        <v>1077.9183799999998</v>
      </c>
      <c r="DP38" s="1353">
        <v>319.09476000000001</v>
      </c>
      <c r="DQ38" s="1353">
        <v>1077.9183799999998</v>
      </c>
      <c r="DR38" s="1353">
        <v>332.10136999999997</v>
      </c>
      <c r="DS38" s="1353">
        <v>0</v>
      </c>
      <c r="DT38" s="1353">
        <v>8.8947700000000012</v>
      </c>
      <c r="DU38" s="1353">
        <v>0</v>
      </c>
      <c r="DV38" s="1358">
        <v>22.69426</v>
      </c>
      <c r="DW38" s="1353">
        <v>0</v>
      </c>
      <c r="DX38" s="1353">
        <v>37.149480000000004</v>
      </c>
      <c r="DY38" s="1353">
        <v>0</v>
      </c>
      <c r="DZ38" s="1353">
        <v>47.027550000000005</v>
      </c>
      <c r="EA38" s="1353">
        <v>0</v>
      </c>
      <c r="EB38" s="1353">
        <v>97.614369999999994</v>
      </c>
      <c r="EC38" s="1353">
        <v>0</v>
      </c>
      <c r="ED38" s="1353">
        <v>0</v>
      </c>
      <c r="EE38" s="1353">
        <v>0</v>
      </c>
      <c r="EF38" s="1353">
        <v>0</v>
      </c>
      <c r="EG38" s="1353">
        <v>0</v>
      </c>
      <c r="EH38" s="1353">
        <v>0</v>
      </c>
      <c r="EI38" s="1353">
        <v>0</v>
      </c>
      <c r="EJ38" s="1353">
        <v>0</v>
      </c>
      <c r="EK38" s="1353"/>
      <c r="EL38" s="1353"/>
      <c r="EM38" s="1353"/>
      <c r="EN38" s="1353"/>
      <c r="EO38" s="1353"/>
      <c r="EP38" s="1353"/>
      <c r="EQ38" s="1353"/>
      <c r="ER38" s="1353"/>
      <c r="ES38" s="1363">
        <v>0</v>
      </c>
      <c r="ET38" s="1365">
        <v>0</v>
      </c>
      <c r="EU38" s="1353">
        <v>0</v>
      </c>
      <c r="EV38" s="1353">
        <v>0</v>
      </c>
      <c r="EW38" s="1363">
        <v>0</v>
      </c>
      <c r="EX38" s="1354">
        <v>0</v>
      </c>
      <c r="EY38" s="1353">
        <v>0</v>
      </c>
      <c r="EZ38" s="1353">
        <v>0</v>
      </c>
      <c r="FA38" s="1363">
        <v>0</v>
      </c>
      <c r="FB38" s="1354">
        <v>0</v>
      </c>
      <c r="FC38" s="1353">
        <v>0</v>
      </c>
      <c r="FD38" s="1353">
        <v>0</v>
      </c>
      <c r="FE38" s="1363">
        <v>0</v>
      </c>
      <c r="FF38" s="1354">
        <v>0</v>
      </c>
      <c r="FG38" s="1363"/>
      <c r="FH38" s="1354"/>
      <c r="FI38" s="1363"/>
      <c r="FJ38" s="1354"/>
      <c r="FK38" s="1363"/>
      <c r="FL38" s="1354"/>
      <c r="FM38" s="1354"/>
      <c r="FN38" s="1354"/>
      <c r="FO38" s="1354"/>
      <c r="FP38" s="1354"/>
      <c r="FQ38" s="1354"/>
      <c r="FR38" s="1354"/>
      <c r="FS38" s="1354"/>
      <c r="FT38" s="1354"/>
      <c r="FU38" s="1354"/>
      <c r="FV38" s="1354"/>
      <c r="FW38" s="1354"/>
      <c r="FX38" s="1354"/>
      <c r="FY38" s="1354"/>
      <c r="FZ38" s="1354"/>
      <c r="GA38" s="1354"/>
      <c r="GB38" s="1354"/>
      <c r="GC38" s="1354"/>
      <c r="GD38" s="1354"/>
      <c r="GE38" s="1354"/>
      <c r="GF38" s="1354"/>
      <c r="GG38" s="1354"/>
      <c r="GH38" s="1354"/>
      <c r="GI38" s="1354"/>
      <c r="GJ38" s="1354"/>
      <c r="GK38" s="1354">
        <v>0</v>
      </c>
      <c r="GL38" s="1354">
        <v>2.7492100000000002</v>
      </c>
      <c r="GM38" s="1354">
        <v>0</v>
      </c>
      <c r="GN38" s="1354">
        <v>2.7492100000000002</v>
      </c>
      <c r="GO38" s="2082" t="s">
        <v>3265</v>
      </c>
    </row>
    <row r="39" spans="1:197" ht="50.25" hidden="1" customHeight="1">
      <c r="A39" s="2074">
        <v>28</v>
      </c>
      <c r="B39" s="2082" t="s">
        <v>2374</v>
      </c>
      <c r="C39" s="1353">
        <v>0</v>
      </c>
      <c r="D39" s="1353">
        <v>0</v>
      </c>
      <c r="E39" s="1353">
        <v>0</v>
      </c>
      <c r="F39" s="1353">
        <v>0</v>
      </c>
      <c r="G39" s="1353">
        <v>0</v>
      </c>
      <c r="H39" s="1353">
        <v>0</v>
      </c>
      <c r="I39" s="1353">
        <v>0</v>
      </c>
      <c r="J39" s="1353">
        <v>0</v>
      </c>
      <c r="K39" s="1353">
        <v>0</v>
      </c>
      <c r="L39" s="1353">
        <v>0</v>
      </c>
      <c r="M39" s="1353">
        <v>0</v>
      </c>
      <c r="N39" s="1353">
        <v>0</v>
      </c>
      <c r="O39" s="1353">
        <v>0</v>
      </c>
      <c r="P39" s="1353">
        <v>0</v>
      </c>
      <c r="Q39" s="1353">
        <v>0</v>
      </c>
      <c r="R39" s="1353">
        <v>0</v>
      </c>
      <c r="S39" s="1353">
        <v>0</v>
      </c>
      <c r="T39" s="1353">
        <v>0</v>
      </c>
      <c r="U39" s="1353">
        <v>0</v>
      </c>
      <c r="V39" s="1353">
        <v>0</v>
      </c>
      <c r="W39" s="1353">
        <v>0</v>
      </c>
      <c r="X39" s="1353">
        <v>0</v>
      </c>
      <c r="Y39" s="1353">
        <v>0</v>
      </c>
      <c r="Z39" s="1353">
        <v>0</v>
      </c>
      <c r="AA39" s="1353">
        <v>0</v>
      </c>
      <c r="AB39" s="1353">
        <v>0</v>
      </c>
      <c r="AC39" s="1353">
        <v>0</v>
      </c>
      <c r="AD39" s="1353">
        <v>0</v>
      </c>
      <c r="AE39" s="1353">
        <v>0</v>
      </c>
      <c r="AF39" s="1353">
        <v>0</v>
      </c>
      <c r="AG39" s="1353">
        <v>0</v>
      </c>
      <c r="AH39" s="1353">
        <v>0</v>
      </c>
      <c r="AI39" s="1353">
        <v>0</v>
      </c>
      <c r="AJ39" s="1353">
        <v>0</v>
      </c>
      <c r="AK39" s="1353">
        <v>0</v>
      </c>
      <c r="AL39" s="1353">
        <v>0</v>
      </c>
      <c r="AM39" s="1353">
        <v>32.401769999999999</v>
      </c>
      <c r="AN39" s="1353">
        <v>6.91</v>
      </c>
      <c r="AO39" s="1353">
        <v>52.894690000000004</v>
      </c>
      <c r="AP39" s="1353">
        <v>6.91</v>
      </c>
      <c r="AQ39" s="1353">
        <v>68.015190000000004</v>
      </c>
      <c r="AR39" s="1353">
        <v>8.0150000000000006</v>
      </c>
      <c r="AS39" s="1353">
        <v>79.663710000000009</v>
      </c>
      <c r="AT39" s="1353">
        <v>8.0150000000000006</v>
      </c>
      <c r="AU39" s="1353">
        <v>92.115490000000008</v>
      </c>
      <c r="AV39" s="1353">
        <v>8.2317499999999999</v>
      </c>
      <c r="AW39" s="1353">
        <v>121.60100999999999</v>
      </c>
      <c r="AX39" s="1353">
        <v>8.2317499999999999</v>
      </c>
      <c r="AY39" s="1353">
        <v>9.14377</v>
      </c>
      <c r="AZ39" s="1353">
        <v>0</v>
      </c>
      <c r="BA39" s="1353">
        <v>45.142980000000001</v>
      </c>
      <c r="BB39" s="1353">
        <v>0</v>
      </c>
      <c r="BC39" s="1353">
        <v>62.87</v>
      </c>
      <c r="BD39" s="1353">
        <v>0</v>
      </c>
      <c r="BE39" s="1353">
        <v>85.248289999999997</v>
      </c>
      <c r="BF39" s="1353">
        <v>2.94902</v>
      </c>
      <c r="BG39" s="1353">
        <v>110.44972</v>
      </c>
      <c r="BH39" s="1353">
        <v>2.94902</v>
      </c>
      <c r="BI39" s="1353">
        <v>127.46372</v>
      </c>
      <c r="BJ39" s="1353">
        <v>3.2599499999999999</v>
      </c>
      <c r="BK39" s="1353">
        <v>150.02312000000001</v>
      </c>
      <c r="BL39" s="1353">
        <v>3.2599499999999999</v>
      </c>
      <c r="BM39" s="1353">
        <v>174.60026000000002</v>
      </c>
      <c r="BN39" s="1353">
        <v>3.2599499999999999</v>
      </c>
      <c r="BO39" s="1353">
        <v>196.57993999999999</v>
      </c>
      <c r="BP39" s="1353">
        <v>3.2599499999999999</v>
      </c>
      <c r="BQ39" s="1353">
        <v>220.99415999999999</v>
      </c>
      <c r="BR39" s="1353">
        <v>3.2599499999999999</v>
      </c>
      <c r="BS39" s="1353">
        <v>238.54531</v>
      </c>
      <c r="BT39" s="1353">
        <v>3.2599499999999999</v>
      </c>
      <c r="BU39" s="1353">
        <v>262.74412999999998</v>
      </c>
      <c r="BV39" s="1353">
        <v>3.2599499999999999</v>
      </c>
      <c r="BW39" s="1353">
        <v>9.7639399999999998</v>
      </c>
      <c r="BX39" s="1353">
        <v>0</v>
      </c>
      <c r="BY39" s="1353">
        <v>35.57132</v>
      </c>
      <c r="BZ39" s="1353">
        <v>0.90024999999999999</v>
      </c>
      <c r="CA39" s="1353">
        <v>79.446070000000006</v>
      </c>
      <c r="CB39" s="1353">
        <v>0.90024999999999999</v>
      </c>
      <c r="CC39" s="1353">
        <v>127.79435000000001</v>
      </c>
      <c r="CD39" s="1353">
        <v>0.90024999999999999</v>
      </c>
      <c r="CE39" s="1353">
        <v>181.43955</v>
      </c>
      <c r="CF39" s="1353">
        <v>0.90024999999999999</v>
      </c>
      <c r="CG39" s="1353">
        <v>229.22848999999999</v>
      </c>
      <c r="CH39" s="1353">
        <v>1.20465</v>
      </c>
      <c r="CI39" s="1353">
        <v>300.18251000000004</v>
      </c>
      <c r="CJ39" s="1353">
        <v>1.20465</v>
      </c>
      <c r="CK39" s="1353">
        <v>352.25569999999999</v>
      </c>
      <c r="CL39" s="1353">
        <v>1.20465</v>
      </c>
      <c r="CM39" s="1353">
        <v>403.58033</v>
      </c>
      <c r="CN39" s="1353">
        <v>1.20465</v>
      </c>
      <c r="CO39" s="1353">
        <v>466.22674000000001</v>
      </c>
      <c r="CP39" s="1353">
        <v>1.5496500000000002</v>
      </c>
      <c r="CQ39" s="1353">
        <v>510.16871000000003</v>
      </c>
      <c r="CR39" s="1353">
        <v>1.5496500000000002</v>
      </c>
      <c r="CS39" s="1353">
        <v>546.17240000000004</v>
      </c>
      <c r="CT39" s="1353">
        <v>1.5496500000000002</v>
      </c>
      <c r="CU39" s="1353">
        <v>121.44628999999999</v>
      </c>
      <c r="CV39" s="1353">
        <v>0</v>
      </c>
      <c r="CW39" s="1353">
        <v>184.60417999999999</v>
      </c>
      <c r="CX39" s="1353">
        <v>0</v>
      </c>
      <c r="CY39" s="1353">
        <v>246.87079</v>
      </c>
      <c r="CZ39" s="1353">
        <v>0</v>
      </c>
      <c r="DA39" s="1353">
        <v>335.83102000000002</v>
      </c>
      <c r="DB39" s="1353">
        <v>0</v>
      </c>
      <c r="DC39" s="1353">
        <v>440.12276000000003</v>
      </c>
      <c r="DD39" s="1353">
        <v>0</v>
      </c>
      <c r="DE39" s="1353">
        <v>624.34874000000002</v>
      </c>
      <c r="DF39" s="1353">
        <v>4.1843000000000004</v>
      </c>
      <c r="DG39" s="1353">
        <v>821.69794999999999</v>
      </c>
      <c r="DH39" s="1353">
        <v>7.5232999999999999</v>
      </c>
      <c r="DI39" s="1353">
        <v>1030.36655</v>
      </c>
      <c r="DJ39" s="1353">
        <v>10.1183</v>
      </c>
      <c r="DK39" s="1353">
        <v>1252.6461000000002</v>
      </c>
      <c r="DL39" s="1353">
        <v>12.343299999999999</v>
      </c>
      <c r="DM39" s="1353">
        <v>1385.5873999999999</v>
      </c>
      <c r="DN39" s="1353">
        <v>22.258299999999998</v>
      </c>
      <c r="DO39" s="1353">
        <v>1518.60032</v>
      </c>
      <c r="DP39" s="1353">
        <v>33.224299999999999</v>
      </c>
      <c r="DQ39" s="1353">
        <v>1671.1081200000001</v>
      </c>
      <c r="DR39" s="1353">
        <v>49.093300000000006</v>
      </c>
      <c r="DS39" s="1353">
        <v>122.84003</v>
      </c>
      <c r="DT39" s="1353">
        <v>23.925000000000001</v>
      </c>
      <c r="DU39" s="1353">
        <v>294.49672999999996</v>
      </c>
      <c r="DV39" s="1358">
        <v>31.356000000000002</v>
      </c>
      <c r="DW39" s="1353">
        <v>438.50209000000001</v>
      </c>
      <c r="DX39" s="1353">
        <v>60.749970000000005</v>
      </c>
      <c r="DY39" s="1353">
        <v>654.29741999999999</v>
      </c>
      <c r="DZ39" s="1353">
        <v>89.837670000000003</v>
      </c>
      <c r="EA39" s="1353">
        <v>817.27958999999998</v>
      </c>
      <c r="EB39" s="1353">
        <v>105.82577000000001</v>
      </c>
      <c r="EC39" s="1353">
        <v>1025.6433999999999</v>
      </c>
      <c r="ED39" s="1353">
        <v>138.10202999999998</v>
      </c>
      <c r="EE39" s="1353">
        <v>1228.9081799999999</v>
      </c>
      <c r="EF39" s="1353">
        <v>177.80635999999998</v>
      </c>
      <c r="EG39" s="1353">
        <v>1563.22966</v>
      </c>
      <c r="EH39" s="1353">
        <v>232.69685999999999</v>
      </c>
      <c r="EI39" s="1353">
        <v>1756.46552</v>
      </c>
      <c r="EJ39" s="1353">
        <v>284.51201000000003</v>
      </c>
      <c r="EK39" s="1353">
        <v>1967.47316</v>
      </c>
      <c r="EL39" s="1353">
        <v>322.07501000000002</v>
      </c>
      <c r="EM39" s="1353">
        <v>2213.2882</v>
      </c>
      <c r="EN39" s="1353">
        <v>357.52100999999999</v>
      </c>
      <c r="EO39" s="1353">
        <v>2509.3546799999999</v>
      </c>
      <c r="EP39" s="1353">
        <v>422.37101000000001</v>
      </c>
      <c r="EQ39" s="1353">
        <v>147.51150999999999</v>
      </c>
      <c r="ER39" s="1353">
        <v>35.400889999999997</v>
      </c>
      <c r="ES39" s="1363">
        <v>336.59217000000001</v>
      </c>
      <c r="ET39" s="1365">
        <v>66.222890000000007</v>
      </c>
      <c r="EU39" s="1353">
        <v>549.94161999999994</v>
      </c>
      <c r="EV39" s="1353">
        <v>87.335890000000006</v>
      </c>
      <c r="EW39" s="1363">
        <v>785.76823000000002</v>
      </c>
      <c r="EX39" s="1354">
        <v>134.73188999999999</v>
      </c>
      <c r="EY39" s="1353">
        <v>993.11243999999999</v>
      </c>
      <c r="EZ39" s="1353">
        <v>170.90615</v>
      </c>
      <c r="FA39" s="1363">
        <v>1228.0506700000001</v>
      </c>
      <c r="FB39" s="1354">
        <v>222.36314999999999</v>
      </c>
      <c r="FC39" s="1353">
        <v>1407.8040100000001</v>
      </c>
      <c r="FD39" s="1353">
        <v>280.38215000000002</v>
      </c>
      <c r="FE39" s="1353">
        <v>1752.9448299999999</v>
      </c>
      <c r="FF39" s="1354">
        <v>401.16908999999998</v>
      </c>
      <c r="FG39" s="1353">
        <v>1951.96306</v>
      </c>
      <c r="FH39" s="1354">
        <v>465.64609000000002</v>
      </c>
      <c r="FI39" s="1353">
        <v>2179.9828900000002</v>
      </c>
      <c r="FJ39" s="1354">
        <v>533.39188999999999</v>
      </c>
      <c r="FK39" s="1353">
        <v>2332.5853200000001</v>
      </c>
      <c r="FL39" s="1354">
        <v>606.98726999999997</v>
      </c>
      <c r="FM39" s="1354">
        <v>143.46218999999999</v>
      </c>
      <c r="FN39" s="1354">
        <v>59.233969999999999</v>
      </c>
      <c r="FO39" s="1354">
        <v>400.93437</v>
      </c>
      <c r="FP39" s="1354">
        <v>129.05611999999999</v>
      </c>
      <c r="FQ39" s="1354">
        <v>659.65823999999998</v>
      </c>
      <c r="FR39" s="1354">
        <v>191.36025000000001</v>
      </c>
      <c r="FS39" s="1354">
        <v>967.99330000000009</v>
      </c>
      <c r="FT39" s="1354">
        <v>257.20332999999999</v>
      </c>
      <c r="FU39" s="1354">
        <v>1281.2086999999999</v>
      </c>
      <c r="FV39" s="1354">
        <v>345.07211999999998</v>
      </c>
      <c r="FW39" s="1354">
        <v>1497.7705900000001</v>
      </c>
      <c r="FX39" s="1354">
        <v>410.15348</v>
      </c>
      <c r="FY39" s="1354">
        <v>1725.2094</v>
      </c>
      <c r="FZ39" s="1354">
        <v>513.45176000000004</v>
      </c>
      <c r="GA39" s="1354">
        <v>1938.2452000000001</v>
      </c>
      <c r="GB39" s="1354">
        <v>624.40961000000004</v>
      </c>
      <c r="GC39" s="1354">
        <v>2126.0997000000002</v>
      </c>
      <c r="GD39" s="1354">
        <v>689.96649000000002</v>
      </c>
      <c r="GE39" s="1354">
        <v>2316.26296</v>
      </c>
      <c r="GF39" s="1354">
        <v>837.22312999999997</v>
      </c>
      <c r="GG39" s="1354">
        <v>2507.52135</v>
      </c>
      <c r="GH39" s="1354">
        <v>1002.53518</v>
      </c>
      <c r="GI39" s="1354">
        <v>2536.4969500000002</v>
      </c>
      <c r="GJ39" s="1354">
        <v>1117.5007000000001</v>
      </c>
      <c r="GK39" s="1354">
        <v>0</v>
      </c>
      <c r="GL39" s="1354">
        <v>197.62242999999998</v>
      </c>
      <c r="GM39" s="1354">
        <v>0</v>
      </c>
      <c r="GN39" s="1354">
        <v>197.62242999999998</v>
      </c>
      <c r="GO39" s="2082" t="s">
        <v>3248</v>
      </c>
    </row>
    <row r="40" spans="1:197" ht="50.25" hidden="1" customHeight="1">
      <c r="A40" s="2074">
        <v>29</v>
      </c>
      <c r="B40" s="2082" t="s">
        <v>2377</v>
      </c>
      <c r="C40" s="1353">
        <v>141.34788</v>
      </c>
      <c r="D40" s="1353">
        <v>0.68555999999999995</v>
      </c>
      <c r="E40" s="1353">
        <v>149.15188000000001</v>
      </c>
      <c r="F40" s="1353">
        <v>2.5487600000000001</v>
      </c>
      <c r="G40" s="1353">
        <v>145.54888</v>
      </c>
      <c r="H40" s="1353">
        <v>2.7187600000000001</v>
      </c>
      <c r="I40" s="1353">
        <v>146.85488000000001</v>
      </c>
      <c r="J40" s="1353">
        <v>2.7187600000000001</v>
      </c>
      <c r="K40" s="1353">
        <v>153.86385999999999</v>
      </c>
      <c r="L40" s="1353">
        <v>3.90876</v>
      </c>
      <c r="M40" s="1353">
        <v>1347.4095</v>
      </c>
      <c r="N40" s="1353">
        <v>14.032860000000001</v>
      </c>
      <c r="O40" s="1353">
        <v>2109.39777</v>
      </c>
      <c r="P40" s="1353">
        <v>31.063279999999999</v>
      </c>
      <c r="Q40" s="1353">
        <v>2248.4566099999997</v>
      </c>
      <c r="R40" s="1353">
        <v>54.252189999999999</v>
      </c>
      <c r="S40" s="1353">
        <v>2307.7589500000004</v>
      </c>
      <c r="T40" s="1353">
        <v>72.411720000000003</v>
      </c>
      <c r="U40" s="1353">
        <v>2354.8725899999999</v>
      </c>
      <c r="V40" s="1353">
        <v>126.51475000000001</v>
      </c>
      <c r="W40" s="1353">
        <v>2453.6478700000002</v>
      </c>
      <c r="X40" s="1353">
        <v>165.30703</v>
      </c>
      <c r="Y40" s="1353">
        <v>2637.6515199999999</v>
      </c>
      <c r="Z40" s="1353">
        <v>264.01426000000004</v>
      </c>
      <c r="AA40" s="1353">
        <v>157.3501</v>
      </c>
      <c r="AB40" s="1353">
        <v>16.348969999999998</v>
      </c>
      <c r="AC40" s="1353">
        <v>362.96959999999996</v>
      </c>
      <c r="AD40" s="1353">
        <v>56.608150000000002</v>
      </c>
      <c r="AE40" s="1353">
        <v>3246.0413799999997</v>
      </c>
      <c r="AF40" s="1353">
        <v>71.026429999999991</v>
      </c>
      <c r="AG40" s="1353">
        <v>3566.7099500000004</v>
      </c>
      <c r="AH40" s="1353">
        <v>148.50881000000001</v>
      </c>
      <c r="AI40" s="1353">
        <v>4272.4927400000006</v>
      </c>
      <c r="AJ40" s="1353">
        <v>202.73830999999998</v>
      </c>
      <c r="AK40" s="1353">
        <v>5256.2772599999998</v>
      </c>
      <c r="AL40" s="1353">
        <v>1726.52124</v>
      </c>
      <c r="AM40" s="1353">
        <v>5580.1125899999997</v>
      </c>
      <c r="AN40" s="1353">
        <v>396.22853999999995</v>
      </c>
      <c r="AO40" s="1353">
        <v>6231.5394299999998</v>
      </c>
      <c r="AP40" s="1353">
        <v>539.33483000000001</v>
      </c>
      <c r="AQ40" s="1353">
        <v>6649.6426200000005</v>
      </c>
      <c r="AR40" s="1353">
        <v>702.16804999999999</v>
      </c>
      <c r="AS40" s="1353">
        <v>8150.27664</v>
      </c>
      <c r="AT40" s="1353">
        <v>832.00281000000007</v>
      </c>
      <c r="AU40" s="1353">
        <v>8775.7259600000016</v>
      </c>
      <c r="AV40" s="1353">
        <v>1001.85778</v>
      </c>
      <c r="AW40" s="1353">
        <v>9505.1758599999994</v>
      </c>
      <c r="AX40" s="1353">
        <v>1154.5460399999999</v>
      </c>
      <c r="AY40" s="1353">
        <v>427.98732000000001</v>
      </c>
      <c r="AZ40" s="1353">
        <v>289.54066</v>
      </c>
      <c r="BA40" s="1353">
        <v>914.17912000000001</v>
      </c>
      <c r="BB40" s="1353">
        <v>468.99796000000003</v>
      </c>
      <c r="BC40" s="1353">
        <v>1422.53</v>
      </c>
      <c r="BD40" s="1353">
        <v>706.75</v>
      </c>
      <c r="BE40" s="1353">
        <v>2589.9583199999997</v>
      </c>
      <c r="BF40" s="1353">
        <v>999.34384999999997</v>
      </c>
      <c r="BG40" s="1353">
        <v>2936.9149400000001</v>
      </c>
      <c r="BH40" s="1353">
        <v>1345.59283</v>
      </c>
      <c r="BI40" s="1353">
        <v>3332.1902799999998</v>
      </c>
      <c r="BJ40" s="1353">
        <v>1563.0168600000002</v>
      </c>
      <c r="BK40" s="1353">
        <v>3859.5555099999997</v>
      </c>
      <c r="BL40" s="1353">
        <v>1892.3062399999999</v>
      </c>
      <c r="BM40" s="1353">
        <v>4434.09782</v>
      </c>
      <c r="BN40" s="1353">
        <v>2114.3202200000001</v>
      </c>
      <c r="BO40" s="1353">
        <v>4902.0729800000008</v>
      </c>
      <c r="BP40" s="1353">
        <v>2434.3648199999998</v>
      </c>
      <c r="BQ40" s="1353">
        <v>5243.4988800000001</v>
      </c>
      <c r="BR40" s="1353">
        <v>2725.9726900000001</v>
      </c>
      <c r="BS40" s="1353">
        <v>5661.4722400000001</v>
      </c>
      <c r="BT40" s="1353">
        <v>3048.9768300000001</v>
      </c>
      <c r="BU40" s="1353">
        <v>5836.8337699999993</v>
      </c>
      <c r="BV40" s="1353">
        <v>3327.6202000000003</v>
      </c>
      <c r="BW40" s="1353">
        <v>203.63526000000002</v>
      </c>
      <c r="BX40" s="1353">
        <v>188.68552</v>
      </c>
      <c r="BY40" s="1353">
        <v>384.88141999999999</v>
      </c>
      <c r="BZ40" s="1353">
        <v>374.46375999999998</v>
      </c>
      <c r="CA40" s="1353">
        <v>730.19981000000007</v>
      </c>
      <c r="CB40" s="1353">
        <v>528.17376000000002</v>
      </c>
      <c r="CC40" s="1353">
        <v>1229.29748</v>
      </c>
      <c r="CD40" s="1353">
        <v>699.07746999999995</v>
      </c>
      <c r="CE40" s="1353">
        <v>1866.6668999999999</v>
      </c>
      <c r="CF40" s="1353">
        <v>845.84266000000002</v>
      </c>
      <c r="CG40" s="1353">
        <v>2675.4525099999996</v>
      </c>
      <c r="CH40" s="1353">
        <v>941.71983999999998</v>
      </c>
      <c r="CI40" s="1353">
        <v>3526.5419400000001</v>
      </c>
      <c r="CJ40" s="1353">
        <v>1037.5145</v>
      </c>
      <c r="CK40" s="1353">
        <v>4321.2436500000003</v>
      </c>
      <c r="CL40" s="1353">
        <v>1209.9638600000001</v>
      </c>
      <c r="CM40" s="1353">
        <v>5063.2159499999998</v>
      </c>
      <c r="CN40" s="1353">
        <v>1336.79124</v>
      </c>
      <c r="CO40" s="1353">
        <v>5063.2159499999998</v>
      </c>
      <c r="CP40" s="1353">
        <v>1336.79124</v>
      </c>
      <c r="CQ40" s="1353">
        <v>6558.20003</v>
      </c>
      <c r="CR40" s="1353">
        <v>1681.8945900000001</v>
      </c>
      <c r="CS40" s="1353">
        <v>7222.0112800000006</v>
      </c>
      <c r="CT40" s="1353">
        <v>1894.4679699999999</v>
      </c>
      <c r="CU40" s="1353">
        <v>807.22966000000008</v>
      </c>
      <c r="CV40" s="1353">
        <v>173.71929999999998</v>
      </c>
      <c r="CW40" s="1353">
        <v>1298.6393799999998</v>
      </c>
      <c r="CX40" s="1353">
        <v>417.20657</v>
      </c>
      <c r="CY40" s="1353">
        <v>1844.9422099999999</v>
      </c>
      <c r="CZ40" s="1353">
        <v>581.04704000000004</v>
      </c>
      <c r="DA40" s="1353">
        <v>2367.7634600000001</v>
      </c>
      <c r="DB40" s="1353">
        <v>775.37386000000004</v>
      </c>
      <c r="DC40" s="1353">
        <v>3315.4880400000002</v>
      </c>
      <c r="DD40" s="1353">
        <v>924.15413999999998</v>
      </c>
      <c r="DE40" s="1353">
        <v>4206.6638899999998</v>
      </c>
      <c r="DF40" s="1353">
        <v>1137.77739</v>
      </c>
      <c r="DG40" s="1353">
        <v>5042.8367199999993</v>
      </c>
      <c r="DH40" s="1353">
        <v>1370.64399</v>
      </c>
      <c r="DI40" s="1353">
        <v>5790.0736100000004</v>
      </c>
      <c r="DJ40" s="1353">
        <v>1556.5294799999999</v>
      </c>
      <c r="DK40" s="1353">
        <v>6627.4094400000004</v>
      </c>
      <c r="DL40" s="1353">
        <v>1749.4156200000002</v>
      </c>
      <c r="DM40" s="1353">
        <v>7481.1053099999999</v>
      </c>
      <c r="DN40" s="1353">
        <v>2050.3250900000003</v>
      </c>
      <c r="DO40" s="1353">
        <v>8181.4772999999996</v>
      </c>
      <c r="DP40" s="1353">
        <v>2234.2731400000002</v>
      </c>
      <c r="DQ40" s="1353">
        <v>9044.9548699999996</v>
      </c>
      <c r="DR40" s="1353">
        <v>2442.9103100000002</v>
      </c>
      <c r="DS40" s="1353">
        <v>870.98305000000005</v>
      </c>
      <c r="DT40" s="1353">
        <v>288.53987999999998</v>
      </c>
      <c r="DU40" s="1353">
        <v>1803.9242899999999</v>
      </c>
      <c r="DV40" s="1358">
        <v>600.59746999999993</v>
      </c>
      <c r="DW40" s="1353">
        <v>2681.2152299999998</v>
      </c>
      <c r="DX40" s="1353">
        <v>850.06702000000007</v>
      </c>
      <c r="DY40" s="1353">
        <v>3497.39381</v>
      </c>
      <c r="DZ40" s="1353">
        <v>1239.37663</v>
      </c>
      <c r="EA40" s="1353">
        <v>4428.0069599999997</v>
      </c>
      <c r="EB40" s="1353">
        <v>1464.6732</v>
      </c>
      <c r="EC40" s="1353">
        <v>5304.8152800000007</v>
      </c>
      <c r="ED40" s="1353">
        <v>1789.80061</v>
      </c>
      <c r="EE40" s="1353">
        <v>6264.4035899999999</v>
      </c>
      <c r="EF40" s="1353">
        <v>2108.9316600000002</v>
      </c>
      <c r="EG40" s="1353">
        <v>7262.7110999999995</v>
      </c>
      <c r="EH40" s="1353">
        <v>2507.0811400000002</v>
      </c>
      <c r="EI40" s="1353">
        <v>7989.4599400000006</v>
      </c>
      <c r="EJ40" s="1353">
        <v>3003.4801299999999</v>
      </c>
      <c r="EK40" s="1353">
        <v>8652.0715600000003</v>
      </c>
      <c r="EL40" s="1353">
        <v>3400.6242200000002</v>
      </c>
      <c r="EM40" s="1353">
        <v>9242.5809000000008</v>
      </c>
      <c r="EN40" s="1353">
        <v>3685.4029399999999</v>
      </c>
      <c r="EO40" s="1353">
        <v>9776.4138500000008</v>
      </c>
      <c r="EP40" s="1353">
        <v>4089.2361299999998</v>
      </c>
      <c r="EQ40" s="1353">
        <v>486.43419999999998</v>
      </c>
      <c r="ER40" s="1353">
        <v>367.19961999999998</v>
      </c>
      <c r="ES40" s="1363">
        <v>977.86620000000005</v>
      </c>
      <c r="ET40" s="1365">
        <v>790.55633</v>
      </c>
      <c r="EU40" s="1353">
        <v>1448.0483999999999</v>
      </c>
      <c r="EV40" s="1353">
        <v>1035.528</v>
      </c>
      <c r="EW40" s="1363">
        <v>2034.70949</v>
      </c>
      <c r="EX40" s="1354">
        <v>1454.1623</v>
      </c>
      <c r="EY40" s="1353">
        <v>2753.45199</v>
      </c>
      <c r="EZ40" s="1353">
        <v>1757.33304</v>
      </c>
      <c r="FA40" s="1363">
        <v>3410.5712600000002</v>
      </c>
      <c r="FB40" s="1354">
        <v>2188.0657200000001</v>
      </c>
      <c r="FC40" s="1353">
        <v>4081.3647799999999</v>
      </c>
      <c r="FD40" s="1353">
        <v>2486.8434900000002</v>
      </c>
      <c r="FE40" s="1353">
        <v>5668.7191000000003</v>
      </c>
      <c r="FF40" s="1354">
        <v>3104.1727299999998</v>
      </c>
      <c r="FG40" s="1353">
        <v>6402.1424999999999</v>
      </c>
      <c r="FH40" s="1354">
        <v>3413.6489099999999</v>
      </c>
      <c r="FI40" s="1353">
        <v>7127.8143700000001</v>
      </c>
      <c r="FJ40" s="1354">
        <v>3648.4460600000002</v>
      </c>
      <c r="FK40" s="1353">
        <v>7936.4983700000003</v>
      </c>
      <c r="FL40" s="1354">
        <v>3822.7055700000001</v>
      </c>
      <c r="FM40" s="1354">
        <v>774.51893999999993</v>
      </c>
      <c r="FN40" s="1354">
        <v>294.83843000000002</v>
      </c>
      <c r="FO40" s="1354">
        <v>1678.24728</v>
      </c>
      <c r="FP40" s="1354">
        <v>608.16408000000001</v>
      </c>
      <c r="FQ40" s="1354">
        <v>2542.97451</v>
      </c>
      <c r="FR40" s="1354">
        <v>872.60215000000005</v>
      </c>
      <c r="FS40" s="1354">
        <v>3560.1837700000001</v>
      </c>
      <c r="FT40" s="1354">
        <v>1223.8385800000001</v>
      </c>
      <c r="FU40" s="1354">
        <v>4298.1357699999999</v>
      </c>
      <c r="FV40" s="1354">
        <v>1498.72506</v>
      </c>
      <c r="FW40" s="1354">
        <v>4301.1119000000008</v>
      </c>
      <c r="FX40" s="1354">
        <v>1785.4818400000001</v>
      </c>
      <c r="FY40" s="1354">
        <v>4301.1119000000008</v>
      </c>
      <c r="FZ40" s="1354">
        <v>2041.45445</v>
      </c>
      <c r="GA40" s="1354">
        <v>4301.9365699999998</v>
      </c>
      <c r="GB40" s="1354">
        <v>2319.96074</v>
      </c>
      <c r="GC40" s="1354">
        <v>4302.23657</v>
      </c>
      <c r="GD40" s="1354">
        <v>2599.40814</v>
      </c>
      <c r="GE40" s="1354">
        <v>4302.23657</v>
      </c>
      <c r="GF40" s="1354">
        <v>2879.8480399999999</v>
      </c>
      <c r="GG40" s="1354">
        <v>4302.23657</v>
      </c>
      <c r="GH40" s="1354">
        <v>3143.5763299999999</v>
      </c>
      <c r="GI40" s="1354">
        <v>4302.23657</v>
      </c>
      <c r="GJ40" s="1354">
        <v>3374.3397999999997</v>
      </c>
      <c r="GK40" s="1354">
        <v>0</v>
      </c>
      <c r="GL40" s="1354">
        <v>1717.3710000000001</v>
      </c>
      <c r="GM40" s="1354">
        <v>0</v>
      </c>
      <c r="GN40" s="1354">
        <v>1717.3710000000001</v>
      </c>
      <c r="GO40" s="2082" t="s">
        <v>3245</v>
      </c>
    </row>
    <row r="41" spans="1:197" ht="55.5" customHeight="1">
      <c r="A41" s="2083"/>
      <c r="B41" s="2084" t="s">
        <v>2315</v>
      </c>
      <c r="C41" s="1359">
        <f t="shared" ref="C41:AH41" si="0">SUM((C12:C29))</f>
        <v>76297.173439999999</v>
      </c>
      <c r="D41" s="1359">
        <f t="shared" si="0"/>
        <v>13358.26424</v>
      </c>
      <c r="E41" s="1359">
        <f t="shared" si="0"/>
        <v>110461.78673000001</v>
      </c>
      <c r="F41" s="1359">
        <f t="shared" si="0"/>
        <v>39787.314440000002</v>
      </c>
      <c r="G41" s="1359">
        <f t="shared" si="0"/>
        <v>152394.26985000001</v>
      </c>
      <c r="H41" s="1359">
        <f t="shared" si="0"/>
        <v>52578.540089999995</v>
      </c>
      <c r="I41" s="1359">
        <f t="shared" si="0"/>
        <v>192733.66685000001</v>
      </c>
      <c r="J41" s="1359">
        <f t="shared" si="0"/>
        <v>67590.736280000012</v>
      </c>
      <c r="K41" s="1359">
        <f t="shared" si="0"/>
        <v>242138.39778</v>
      </c>
      <c r="L41" s="1359">
        <f t="shared" si="0"/>
        <v>87608.975630000001</v>
      </c>
      <c r="M41" s="1359">
        <f t="shared" si="0"/>
        <v>285348.76592000003</v>
      </c>
      <c r="N41" s="1359">
        <f t="shared" si="0"/>
        <v>101420.48013</v>
      </c>
      <c r="O41" s="1359">
        <f t="shared" si="0"/>
        <v>325336.08742</v>
      </c>
      <c r="P41" s="1359">
        <f t="shared" si="0"/>
        <v>119032.22082</v>
      </c>
      <c r="Q41" s="1359">
        <f t="shared" si="0"/>
        <v>356180.20926999999</v>
      </c>
      <c r="R41" s="1359">
        <f t="shared" si="0"/>
        <v>136771.50169</v>
      </c>
      <c r="S41" s="1359">
        <f t="shared" si="0"/>
        <v>390337.01115999999</v>
      </c>
      <c r="T41" s="1359">
        <f t="shared" si="0"/>
        <v>166971.91622000001</v>
      </c>
      <c r="U41" s="1359">
        <f t="shared" si="0"/>
        <v>420364.70486000006</v>
      </c>
      <c r="V41" s="1359">
        <f t="shared" si="0"/>
        <v>190656.99940999999</v>
      </c>
      <c r="W41" s="1359">
        <f t="shared" si="0"/>
        <v>448513.34290000005</v>
      </c>
      <c r="X41" s="1359">
        <f t="shared" si="0"/>
        <v>217995.40726000001</v>
      </c>
      <c r="Y41" s="1359">
        <f t="shared" si="0"/>
        <v>486074.2792300001</v>
      </c>
      <c r="Z41" s="1359">
        <f t="shared" si="0"/>
        <v>237250.61592000001</v>
      </c>
      <c r="AA41" s="1359">
        <f t="shared" si="0"/>
        <v>70720.098730000012</v>
      </c>
      <c r="AB41" s="1359">
        <f t="shared" si="0"/>
        <v>26775.323100000001</v>
      </c>
      <c r="AC41" s="1359">
        <f t="shared" si="0"/>
        <v>103796.93885000002</v>
      </c>
      <c r="AD41" s="1359">
        <f t="shared" si="0"/>
        <v>43858.522270000001</v>
      </c>
      <c r="AE41" s="1359">
        <f t="shared" si="0"/>
        <v>150681.68051000001</v>
      </c>
      <c r="AF41" s="1359">
        <f t="shared" si="0"/>
        <v>60292.393570000007</v>
      </c>
      <c r="AG41" s="1359">
        <f t="shared" si="0"/>
        <v>194172.08795000004</v>
      </c>
      <c r="AH41" s="1359">
        <f t="shared" si="0"/>
        <v>75319.197400000005</v>
      </c>
      <c r="AI41" s="1359">
        <f t="shared" ref="AI41:BN41" si="1">SUM((AI12:AI29))</f>
        <v>240115.42362999998</v>
      </c>
      <c r="AJ41" s="1359">
        <f t="shared" si="1"/>
        <v>97900.505899999989</v>
      </c>
      <c r="AK41" s="1359">
        <f t="shared" si="1"/>
        <v>276158.44377999997</v>
      </c>
      <c r="AL41" s="1359">
        <f t="shared" si="1"/>
        <v>124410.42036</v>
      </c>
      <c r="AM41" s="1359">
        <f t="shared" si="1"/>
        <v>322830.05928999995</v>
      </c>
      <c r="AN41" s="1359">
        <f t="shared" si="1"/>
        <v>144008.84050000002</v>
      </c>
      <c r="AO41" s="1359">
        <f t="shared" si="1"/>
        <v>368915.44897999999</v>
      </c>
      <c r="AP41" s="1359">
        <f t="shared" si="1"/>
        <v>167060.91748999999</v>
      </c>
      <c r="AQ41" s="1359">
        <f t="shared" si="1"/>
        <v>414352.72496999998</v>
      </c>
      <c r="AR41" s="1359">
        <f t="shared" si="1"/>
        <v>188579.73019</v>
      </c>
      <c r="AS41" s="1359">
        <f t="shared" si="1"/>
        <v>462653.61855000001</v>
      </c>
      <c r="AT41" s="1359">
        <f t="shared" si="1"/>
        <v>204637.00383999999</v>
      </c>
      <c r="AU41" s="1359">
        <f t="shared" si="1"/>
        <v>504234.79863000009</v>
      </c>
      <c r="AV41" s="1359">
        <f t="shared" si="1"/>
        <v>230880.32025000002</v>
      </c>
      <c r="AW41" s="1359">
        <f t="shared" si="1"/>
        <v>556866.57860000012</v>
      </c>
      <c r="AX41" s="1359">
        <f t="shared" si="1"/>
        <v>257109.59744000004</v>
      </c>
      <c r="AY41" s="1359">
        <f t="shared" si="1"/>
        <v>82760.045640000011</v>
      </c>
      <c r="AZ41" s="1359">
        <f t="shared" si="1"/>
        <v>22988.11954</v>
      </c>
      <c r="BA41" s="1359">
        <f t="shared" si="1"/>
        <v>130155.74632999999</v>
      </c>
      <c r="BB41" s="1359">
        <f t="shared" si="1"/>
        <v>40487.736870000001</v>
      </c>
      <c r="BC41" s="1359">
        <f t="shared" si="1"/>
        <v>193116.47999999998</v>
      </c>
      <c r="BD41" s="1359">
        <f t="shared" si="1"/>
        <v>60294.349999999991</v>
      </c>
      <c r="BE41" s="1359">
        <f t="shared" si="1"/>
        <v>301419.31775000005</v>
      </c>
      <c r="BF41" s="1359">
        <f t="shared" si="1"/>
        <v>78498.079089999999</v>
      </c>
      <c r="BG41" s="1359">
        <f t="shared" si="1"/>
        <v>350821.24789999996</v>
      </c>
      <c r="BH41" s="1359">
        <f t="shared" si="1"/>
        <v>97450.143330000006</v>
      </c>
      <c r="BI41" s="1359">
        <f t="shared" si="1"/>
        <v>396371.31819000002</v>
      </c>
      <c r="BJ41" s="1359">
        <f t="shared" si="1"/>
        <v>119303.42306</v>
      </c>
      <c r="BK41" s="1359">
        <f t="shared" si="1"/>
        <v>459851.48754</v>
      </c>
      <c r="BL41" s="1359">
        <f t="shared" si="1"/>
        <v>145904.74216999998</v>
      </c>
      <c r="BM41" s="1359">
        <f t="shared" si="1"/>
        <v>516923.64357999992</v>
      </c>
      <c r="BN41" s="1359">
        <f t="shared" si="1"/>
        <v>168581.45293999999</v>
      </c>
      <c r="BO41" s="1359">
        <f t="shared" ref="BO41:CT41" si="2">SUM((BO12:BO29))</f>
        <v>568538.42003000004</v>
      </c>
      <c r="BP41" s="1359">
        <f t="shared" si="2"/>
        <v>186911.60118</v>
      </c>
      <c r="BQ41" s="1359">
        <f t="shared" si="2"/>
        <v>617170.59290000005</v>
      </c>
      <c r="BR41" s="1359">
        <f t="shared" si="2"/>
        <v>205960.35066999999</v>
      </c>
      <c r="BS41" s="1359">
        <f t="shared" si="2"/>
        <v>663891.11809999985</v>
      </c>
      <c r="BT41" s="1359">
        <f t="shared" si="2"/>
        <v>224139.21143000002</v>
      </c>
      <c r="BU41" s="1359">
        <f t="shared" si="2"/>
        <v>727954.11326000001</v>
      </c>
      <c r="BV41" s="1359">
        <f t="shared" si="2"/>
        <v>240333.47072999994</v>
      </c>
      <c r="BW41" s="1359">
        <f t="shared" si="2"/>
        <v>88194.56170999998</v>
      </c>
      <c r="BX41" s="1359">
        <f t="shared" si="2"/>
        <v>17155.822010000004</v>
      </c>
      <c r="BY41" s="1359">
        <f t="shared" si="2"/>
        <v>132818.82644999999</v>
      </c>
      <c r="BZ41" s="1359">
        <f t="shared" si="2"/>
        <v>33115.938119999999</v>
      </c>
      <c r="CA41" s="1359">
        <f t="shared" si="2"/>
        <v>201174.05872</v>
      </c>
      <c r="CB41" s="1359">
        <f t="shared" si="2"/>
        <v>46234.366450000001</v>
      </c>
      <c r="CC41" s="1359">
        <f t="shared" si="2"/>
        <v>265296.48441000003</v>
      </c>
      <c r="CD41" s="1359">
        <f t="shared" si="2"/>
        <v>66651.188870000013</v>
      </c>
      <c r="CE41" s="1359">
        <f t="shared" si="2"/>
        <v>319272.15882999991</v>
      </c>
      <c r="CF41" s="1359">
        <f t="shared" si="2"/>
        <v>93777.495639999994</v>
      </c>
      <c r="CG41" s="1359">
        <f t="shared" si="2"/>
        <v>361336.79787999997</v>
      </c>
      <c r="CH41" s="1359">
        <f t="shared" si="2"/>
        <v>119102.38302000001</v>
      </c>
      <c r="CI41" s="1359">
        <f t="shared" si="2"/>
        <v>422931.40941999998</v>
      </c>
      <c r="CJ41" s="1359">
        <f t="shared" si="2"/>
        <v>154631.93884000002</v>
      </c>
      <c r="CK41" s="1359">
        <f t="shared" si="2"/>
        <v>469799.29813000001</v>
      </c>
      <c r="CL41" s="1359">
        <f t="shared" si="2"/>
        <v>175473.56848000002</v>
      </c>
      <c r="CM41" s="1359">
        <f t="shared" si="2"/>
        <v>522453.60658999998</v>
      </c>
      <c r="CN41" s="1359">
        <f t="shared" si="2"/>
        <v>201700.71458000006</v>
      </c>
      <c r="CO41" s="1359">
        <f t="shared" si="2"/>
        <v>570520.02782999992</v>
      </c>
      <c r="CP41" s="1359">
        <f t="shared" si="2"/>
        <v>225472.95251999999</v>
      </c>
      <c r="CQ41" s="1359">
        <f t="shared" si="2"/>
        <v>615556.28077000007</v>
      </c>
      <c r="CR41" s="1359">
        <f t="shared" si="2"/>
        <v>252220.99572000001</v>
      </c>
      <c r="CS41" s="1359">
        <f t="shared" si="2"/>
        <v>681176.83921000001</v>
      </c>
      <c r="CT41" s="1359">
        <f t="shared" si="2"/>
        <v>301536.70383999997</v>
      </c>
      <c r="CU41" s="1359">
        <f t="shared" ref="CU41:DZ41" si="3">SUM((CU12:CU29))</f>
        <v>112025.55153</v>
      </c>
      <c r="CV41" s="1359">
        <f t="shared" si="3"/>
        <v>26746.856700000004</v>
      </c>
      <c r="CW41" s="1359">
        <f t="shared" si="3"/>
        <v>190744.23772999999</v>
      </c>
      <c r="CX41" s="1359">
        <f t="shared" si="3"/>
        <v>49293.809840000002</v>
      </c>
      <c r="CY41" s="1359">
        <f t="shared" si="3"/>
        <v>240764.29533999998</v>
      </c>
      <c r="CZ41" s="1359">
        <f t="shared" si="3"/>
        <v>77091.267300000007</v>
      </c>
      <c r="DA41" s="1359">
        <f t="shared" si="3"/>
        <v>311336.96824000002</v>
      </c>
      <c r="DB41" s="1359">
        <f t="shared" si="3"/>
        <v>105564.72729000001</v>
      </c>
      <c r="DC41" s="1359">
        <f t="shared" si="3"/>
        <v>361348.23885000002</v>
      </c>
      <c r="DD41" s="1359">
        <f t="shared" si="3"/>
        <v>140171.03659999999</v>
      </c>
      <c r="DE41" s="1359">
        <f t="shared" si="3"/>
        <v>406400.26131999999</v>
      </c>
      <c r="DF41" s="1359">
        <f t="shared" si="3"/>
        <v>188351.18817000001</v>
      </c>
      <c r="DG41" s="1359">
        <f t="shared" si="3"/>
        <v>472725.13098000002</v>
      </c>
      <c r="DH41" s="1359">
        <f t="shared" si="3"/>
        <v>227129.08133000002</v>
      </c>
      <c r="DI41" s="1359">
        <f t="shared" si="3"/>
        <v>528652.56235999998</v>
      </c>
      <c r="DJ41" s="1359">
        <f t="shared" si="3"/>
        <v>262996.16752999998</v>
      </c>
      <c r="DK41" s="1359">
        <f t="shared" si="3"/>
        <v>581509.08166000003</v>
      </c>
      <c r="DL41" s="1359">
        <f t="shared" si="3"/>
        <v>307761.74941999995</v>
      </c>
      <c r="DM41" s="1359">
        <f t="shared" si="3"/>
        <v>628374.21670999995</v>
      </c>
      <c r="DN41" s="1359">
        <f t="shared" si="3"/>
        <v>350035.47166999994</v>
      </c>
      <c r="DO41" s="1359">
        <f t="shared" si="3"/>
        <v>668189.43371999974</v>
      </c>
      <c r="DP41" s="1359">
        <f t="shared" si="3"/>
        <v>391453.57309999998</v>
      </c>
      <c r="DQ41" s="1359">
        <f t="shared" si="3"/>
        <v>728634.06122000003</v>
      </c>
      <c r="DR41" s="1359">
        <f t="shared" si="3"/>
        <v>465153.12058999995</v>
      </c>
      <c r="DS41" s="1359">
        <f t="shared" si="3"/>
        <v>104010.82191000001</v>
      </c>
      <c r="DT41" s="1359">
        <f t="shared" si="3"/>
        <v>56840.691440000002</v>
      </c>
      <c r="DU41" s="1359">
        <f t="shared" si="3"/>
        <v>160445.07994000003</v>
      </c>
      <c r="DV41" s="1359">
        <f t="shared" si="3"/>
        <v>100170.15075000002</v>
      </c>
      <c r="DW41" s="1359">
        <f t="shared" si="3"/>
        <v>248988.66884</v>
      </c>
      <c r="DX41" s="1359">
        <f t="shared" si="3"/>
        <v>145344.73252000002</v>
      </c>
      <c r="DY41" s="1359">
        <f t="shared" si="3"/>
        <v>339107.25600000011</v>
      </c>
      <c r="DZ41" s="1359">
        <f t="shared" si="3"/>
        <v>179789.26319</v>
      </c>
      <c r="EA41" s="1359">
        <f t="shared" ref="EA41:FF41" si="4">SUM((EA12:EA29))</f>
        <v>398001.05213999993</v>
      </c>
      <c r="EB41" s="1359">
        <f t="shared" si="4"/>
        <v>208232.96300999995</v>
      </c>
      <c r="EC41" s="1359">
        <f t="shared" si="4"/>
        <v>452366.28686999995</v>
      </c>
      <c r="ED41" s="1359">
        <f t="shared" si="4"/>
        <v>248199.50464000003</v>
      </c>
      <c r="EE41" s="1359">
        <f t="shared" si="4"/>
        <v>528257.53888999997</v>
      </c>
      <c r="EF41" s="1359">
        <f t="shared" si="4"/>
        <v>301178.70487999998</v>
      </c>
      <c r="EG41" s="1359">
        <f t="shared" si="4"/>
        <v>580597.12957999995</v>
      </c>
      <c r="EH41" s="1359">
        <f t="shared" si="4"/>
        <v>339866.39110000001</v>
      </c>
      <c r="EI41" s="1359">
        <f t="shared" si="4"/>
        <v>651483.89378000004</v>
      </c>
      <c r="EJ41" s="1359">
        <f t="shared" si="4"/>
        <v>373491.24083999993</v>
      </c>
      <c r="EK41" s="1359">
        <f t="shared" si="4"/>
        <v>705699.90230999992</v>
      </c>
      <c r="EL41" s="1359">
        <f t="shared" si="4"/>
        <v>401211.20583999995</v>
      </c>
      <c r="EM41" s="1359">
        <f t="shared" si="4"/>
        <v>767810.10654000007</v>
      </c>
      <c r="EN41" s="1359">
        <f t="shared" si="4"/>
        <v>429848.94698000001</v>
      </c>
      <c r="EO41" s="1359">
        <f t="shared" si="4"/>
        <v>843897.27764999995</v>
      </c>
      <c r="EP41" s="1359">
        <f t="shared" si="4"/>
        <v>458726.2834999999</v>
      </c>
      <c r="EQ41" s="1359">
        <f t="shared" si="4"/>
        <v>117820.43870999999</v>
      </c>
      <c r="ER41" s="1359">
        <f t="shared" si="4"/>
        <v>16649.298290000002</v>
      </c>
      <c r="ES41" s="1364">
        <f t="shared" si="4"/>
        <v>178306.97304000001</v>
      </c>
      <c r="ET41" s="1360">
        <f t="shared" si="4"/>
        <v>38936.25662</v>
      </c>
      <c r="EU41" s="1359">
        <f t="shared" si="4"/>
        <v>258424.98340999996</v>
      </c>
      <c r="EV41" s="1359">
        <f t="shared" si="4"/>
        <v>61227.659149999999</v>
      </c>
      <c r="EW41" s="1364">
        <f t="shared" si="4"/>
        <v>358771.12638000003</v>
      </c>
      <c r="EX41" s="1360">
        <f t="shared" si="4"/>
        <v>93417.540739999997</v>
      </c>
      <c r="EY41" s="1359">
        <f t="shared" si="4"/>
        <v>426637.83487000002</v>
      </c>
      <c r="EZ41" s="1359">
        <f t="shared" si="4"/>
        <v>129032.68520000001</v>
      </c>
      <c r="FA41" s="1364">
        <f t="shared" si="4"/>
        <v>491604.71100999997</v>
      </c>
      <c r="FB41" s="1360">
        <f t="shared" si="4"/>
        <v>174922.91820999989</v>
      </c>
      <c r="FC41" s="1359">
        <f t="shared" si="4"/>
        <v>580501.0631400001</v>
      </c>
      <c r="FD41" s="1359">
        <f t="shared" si="4"/>
        <v>241128.49865000002</v>
      </c>
      <c r="FE41" s="1359">
        <f t="shared" si="4"/>
        <v>731219.83220000018</v>
      </c>
      <c r="FF41" s="1360">
        <f t="shared" si="4"/>
        <v>318614.51466000004</v>
      </c>
      <c r="FG41" s="1359">
        <f t="shared" ref="FG41:GH41" si="5">SUM((FG12:FG29))</f>
        <v>797624.83646999998</v>
      </c>
      <c r="FH41" s="1360">
        <f t="shared" si="5"/>
        <v>359296.78415000002</v>
      </c>
      <c r="FI41" s="1359">
        <f t="shared" si="5"/>
        <v>875132.42313999997</v>
      </c>
      <c r="FJ41" s="1360">
        <f t="shared" si="5"/>
        <v>400953.30405999999</v>
      </c>
      <c r="FK41" s="1359">
        <f t="shared" si="5"/>
        <v>970822.75451</v>
      </c>
      <c r="FL41" s="1360">
        <f t="shared" si="5"/>
        <v>433202.48518000002</v>
      </c>
      <c r="FM41" s="2085">
        <f t="shared" si="5"/>
        <v>131814.05854999999</v>
      </c>
      <c r="FN41" s="1360">
        <f t="shared" si="5"/>
        <v>35168.425459999999</v>
      </c>
      <c r="FO41" s="1360">
        <f t="shared" si="5"/>
        <v>221067.94497000004</v>
      </c>
      <c r="FP41" s="1360">
        <f t="shared" si="5"/>
        <v>70514.391050000006</v>
      </c>
      <c r="FQ41" s="1360">
        <f t="shared" si="5"/>
        <v>346909.53105000005</v>
      </c>
      <c r="FR41" s="1360">
        <f t="shared" si="5"/>
        <v>102289.68699999999</v>
      </c>
      <c r="FS41" s="1360">
        <f t="shared" si="5"/>
        <v>467530.25753000006</v>
      </c>
      <c r="FT41" s="1360">
        <f t="shared" si="5"/>
        <v>134601.68461</v>
      </c>
      <c r="FU41" s="1360">
        <f t="shared" si="5"/>
        <v>566433.97491999995</v>
      </c>
      <c r="FV41" s="1360">
        <f t="shared" si="5"/>
        <v>174436.19404</v>
      </c>
      <c r="FW41" s="1360">
        <f t="shared" si="5"/>
        <v>648945.42958000011</v>
      </c>
      <c r="FX41" s="1360">
        <f t="shared" si="5"/>
        <v>225032.0625</v>
      </c>
      <c r="FY41" s="1360">
        <f t="shared" si="5"/>
        <v>761801.01953000005</v>
      </c>
      <c r="FZ41" s="1360">
        <f t="shared" si="5"/>
        <v>282977.14317</v>
      </c>
      <c r="GA41" s="1360">
        <f t="shared" si="5"/>
        <v>846854.45338000008</v>
      </c>
      <c r="GB41" s="1360">
        <f t="shared" si="5"/>
        <v>345796.35091000004</v>
      </c>
      <c r="GC41" s="2085">
        <f t="shared" si="5"/>
        <v>935934.68965000007</v>
      </c>
      <c r="GD41" s="1360">
        <f t="shared" si="5"/>
        <v>400386.96117000002</v>
      </c>
      <c r="GE41" s="1360">
        <f t="shared" si="5"/>
        <v>1019744.55481</v>
      </c>
      <c r="GF41" s="1360">
        <f t="shared" si="5"/>
        <v>455011.70200000005</v>
      </c>
      <c r="GG41" s="1360">
        <f t="shared" si="5"/>
        <v>1108233.6728699999</v>
      </c>
      <c r="GH41" s="1360">
        <f t="shared" si="5"/>
        <v>497466.31532999995</v>
      </c>
      <c r="GI41" s="1360">
        <v>1222537.16943</v>
      </c>
      <c r="GJ41" s="1360">
        <v>587324.9677700001</v>
      </c>
      <c r="GK41" s="1360">
        <v>139113.54996999999</v>
      </c>
      <c r="GL41" s="1360">
        <v>38783.136229999989</v>
      </c>
      <c r="GM41" s="1360">
        <v>239718.83590000001</v>
      </c>
      <c r="GN41" s="1360">
        <v>97434.382379999995</v>
      </c>
      <c r="GO41" s="2084" t="s">
        <v>3217</v>
      </c>
    </row>
    <row r="42" spans="1:197" s="2088" customFormat="1" ht="30" customHeight="1">
      <c r="A42" s="2086" t="s">
        <v>3356</v>
      </c>
      <c r="B42" s="2087"/>
      <c r="C42" s="2087"/>
      <c r="D42" s="2087"/>
      <c r="E42" s="2087"/>
      <c r="F42" s="2087"/>
      <c r="G42" s="2087"/>
      <c r="H42" s="2087"/>
      <c r="I42" s="2087"/>
      <c r="J42" s="2087"/>
      <c r="K42" s="2087"/>
      <c r="L42" s="2087"/>
      <c r="M42" s="2087"/>
      <c r="N42" s="2087"/>
      <c r="O42" s="2087"/>
      <c r="P42" s="2087"/>
      <c r="Q42" s="2087"/>
      <c r="R42" s="2087"/>
      <c r="S42" s="2087"/>
      <c r="T42" s="2087"/>
      <c r="U42" s="2087"/>
      <c r="V42" s="2087"/>
      <c r="W42" s="2087"/>
      <c r="X42" s="2087"/>
      <c r="Y42" s="2087"/>
      <c r="Z42" s="2087"/>
      <c r="AA42" s="2087"/>
      <c r="AB42" s="2087"/>
      <c r="AC42" s="2087"/>
      <c r="AD42" s="2087"/>
      <c r="AE42" s="2087"/>
      <c r="AF42" s="2087"/>
      <c r="AG42" s="2087"/>
      <c r="AH42" s="2087"/>
    </row>
    <row r="146" spans="117:118" ht="23.4">
      <c r="DM146" s="1326"/>
      <c r="DN146" s="1326"/>
    </row>
  </sheetData>
  <mergeCells count="209">
    <mergeCell ref="GI8:GJ8"/>
    <mergeCell ref="GI9:GJ9"/>
    <mergeCell ref="FM7:GJ7"/>
    <mergeCell ref="FY9:FZ9"/>
    <mergeCell ref="GA9:GB9"/>
    <mergeCell ref="GC9:GD9"/>
    <mergeCell ref="GE9:GF9"/>
    <mergeCell ref="GG9:GH9"/>
    <mergeCell ref="GM9:GN9"/>
    <mergeCell ref="FM9:FN9"/>
    <mergeCell ref="FO9:FP9"/>
    <mergeCell ref="FQ9:FR9"/>
    <mergeCell ref="FS9:FT9"/>
    <mergeCell ref="FU9:FV9"/>
    <mergeCell ref="FW9:FX9"/>
    <mergeCell ref="GM8:GN8"/>
    <mergeCell ref="GK8:GL8"/>
    <mergeCell ref="GK9:GL9"/>
    <mergeCell ref="GK7:GN7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GC8:GD8"/>
    <mergeCell ref="GE8:GF8"/>
    <mergeCell ref="GG8:GH8"/>
    <mergeCell ref="FC8:FD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DI8:DJ8"/>
    <mergeCell ref="DK8:DL8"/>
    <mergeCell ref="GO8:GO11"/>
    <mergeCell ref="C9:D9"/>
    <mergeCell ref="E9:F9"/>
    <mergeCell ref="G9:H9"/>
    <mergeCell ref="I9:J9"/>
    <mergeCell ref="K9:L9"/>
    <mergeCell ref="FQ8:FR8"/>
    <mergeCell ref="FS8:FT8"/>
    <mergeCell ref="FU8:FV8"/>
    <mergeCell ref="FW8:FX8"/>
    <mergeCell ref="FY8:FZ8"/>
    <mergeCell ref="GA8:GB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DM8:DN8"/>
    <mergeCell ref="DO8:DP8"/>
    <mergeCell ref="DQ8:DR8"/>
    <mergeCell ref="DS8:DT8"/>
    <mergeCell ref="CW8:CX8"/>
    <mergeCell ref="CY8:CZ8"/>
    <mergeCell ref="DA8:DB8"/>
    <mergeCell ref="DC8:DD8"/>
    <mergeCell ref="DE8:DF8"/>
    <mergeCell ref="DG8:DH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W8:BX8"/>
    <mergeCell ref="BA8:BB8"/>
    <mergeCell ref="BC8:BD8"/>
    <mergeCell ref="BE8:BF8"/>
    <mergeCell ref="BG8:BH8"/>
    <mergeCell ref="BI8:BJ8"/>
    <mergeCell ref="BK8:BL8"/>
    <mergeCell ref="CK8:CL8"/>
    <mergeCell ref="CM8:CN8"/>
    <mergeCell ref="BQ8:BR8"/>
    <mergeCell ref="BS8:BT8"/>
    <mergeCell ref="BU8:BV8"/>
    <mergeCell ref="BM8:BN8"/>
    <mergeCell ref="BO8:BP8"/>
    <mergeCell ref="O8:P8"/>
    <mergeCell ref="AG8:AH8"/>
    <mergeCell ref="AI8:AJ8"/>
    <mergeCell ref="AK8:AL8"/>
    <mergeCell ref="AM8:AN8"/>
    <mergeCell ref="AC8:AD8"/>
    <mergeCell ref="AE8:AF8"/>
    <mergeCell ref="Q8:R8"/>
    <mergeCell ref="S8:T8"/>
    <mergeCell ref="U8:V8"/>
    <mergeCell ref="W8:X8"/>
    <mergeCell ref="Y8:Z8"/>
    <mergeCell ref="AA8:AB8"/>
    <mergeCell ref="A8:A10"/>
    <mergeCell ref="B8:B11"/>
    <mergeCell ref="C8:D8"/>
    <mergeCell ref="E8:F8"/>
    <mergeCell ref="G8:H8"/>
    <mergeCell ref="I8:J8"/>
    <mergeCell ref="A2:GO2"/>
    <mergeCell ref="A3:GO3"/>
    <mergeCell ref="A7:B7"/>
    <mergeCell ref="C7:Z7"/>
    <mergeCell ref="AA7:AX7"/>
    <mergeCell ref="AY7:BV7"/>
    <mergeCell ref="BW7:CT7"/>
    <mergeCell ref="CU7:DR7"/>
    <mergeCell ref="DS7:EP7"/>
    <mergeCell ref="EQ7:FL7"/>
    <mergeCell ref="AO8:AP8"/>
    <mergeCell ref="AQ8:AR8"/>
    <mergeCell ref="AS8:AT8"/>
    <mergeCell ref="AU8:AV8"/>
    <mergeCell ref="AW8:AX8"/>
    <mergeCell ref="AY8:AZ8"/>
    <mergeCell ref="K8:L8"/>
    <mergeCell ref="M8:N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K133"/>
  <sheetViews>
    <sheetView showGridLines="0" view="pageBreakPreview" zoomScale="55" zoomScaleNormal="55" zoomScaleSheetLayoutView="55" workbookViewId="0">
      <pane xSplit="125" topLeftCell="ET1" activePane="topRight" state="frozen"/>
      <selection activeCell="G291" sqref="G291"/>
      <selection pane="topRight" activeCell="FY53" sqref="FY53"/>
    </sheetView>
  </sheetViews>
  <sheetFormatPr defaultColWidth="9.109375" defaultRowHeight="15.6"/>
  <cols>
    <col min="1" max="1" width="90.109375" style="1331" customWidth="1"/>
    <col min="2" max="2" width="19.6640625" style="455" hidden="1" customWidth="1"/>
    <col min="3" max="3" width="19.6640625" style="454" hidden="1" customWidth="1"/>
    <col min="4" max="4" width="19.6640625" style="455" hidden="1" customWidth="1"/>
    <col min="5" max="5" width="19.6640625" style="454" hidden="1" customWidth="1"/>
    <col min="6" max="6" width="19.6640625" style="455" hidden="1" customWidth="1"/>
    <col min="7" max="7" width="19.6640625" style="454" hidden="1" customWidth="1"/>
    <col min="8" max="8" width="19.6640625" style="455" hidden="1" customWidth="1"/>
    <col min="9" max="9" width="19.6640625" style="454" hidden="1" customWidth="1"/>
    <col min="10" max="10" width="19.6640625" style="455" hidden="1" customWidth="1"/>
    <col min="11" max="11" width="19.6640625" style="454" hidden="1" customWidth="1"/>
    <col min="12" max="12" width="19.6640625" style="455" hidden="1" customWidth="1"/>
    <col min="13" max="13" width="19.6640625" style="454" hidden="1" customWidth="1"/>
    <col min="14" max="14" width="19.6640625" style="455" hidden="1" customWidth="1"/>
    <col min="15" max="15" width="19.6640625" style="454" hidden="1" customWidth="1"/>
    <col min="16" max="16" width="19.6640625" style="455" hidden="1" customWidth="1"/>
    <col min="17" max="17" width="19.6640625" style="454" hidden="1" customWidth="1"/>
    <col min="18" max="18" width="20.6640625" style="455" hidden="1" customWidth="1"/>
    <col min="19" max="19" width="19.6640625" style="454" hidden="1" customWidth="1"/>
    <col min="20" max="20" width="19.6640625" style="455" hidden="1" customWidth="1"/>
    <col min="21" max="21" width="19.6640625" style="454" hidden="1" customWidth="1"/>
    <col min="22" max="22" width="19.6640625" style="455" hidden="1" customWidth="1"/>
    <col min="23" max="23" width="19.6640625" style="454" hidden="1" customWidth="1"/>
    <col min="24" max="24" width="19.6640625" style="455" hidden="1" customWidth="1"/>
    <col min="25" max="25" width="19.6640625" style="454" hidden="1" customWidth="1"/>
    <col min="26" max="26" width="19.6640625" style="455" hidden="1" customWidth="1"/>
    <col min="27" max="27" width="19.6640625" style="454" hidden="1" customWidth="1"/>
    <col min="28" max="28" width="18.109375" style="453" hidden="1" customWidth="1"/>
    <col min="29" max="29" width="19.33203125" style="452" hidden="1" customWidth="1"/>
    <col min="30" max="30" width="19.109375" style="452" hidden="1" customWidth="1"/>
    <col min="31" max="31" width="23.44140625" style="452" hidden="1" customWidth="1"/>
    <col min="32" max="41" width="20.33203125" style="452" hidden="1" customWidth="1"/>
    <col min="42" max="42" width="17.44140625" style="452" hidden="1" customWidth="1"/>
    <col min="43" max="48" width="20.33203125" style="452" hidden="1" customWidth="1"/>
    <col min="49" max="49" width="23.88671875" style="452" hidden="1" customWidth="1"/>
    <col min="50" max="55" width="20.109375" style="452" hidden="1" customWidth="1"/>
    <col min="56" max="56" width="20" style="452" hidden="1" customWidth="1"/>
    <col min="57" max="57" width="20.109375" style="452" hidden="1" customWidth="1"/>
    <col min="58" max="68" width="20" style="452" hidden="1" customWidth="1"/>
    <col min="69" max="69" width="23.88671875" style="452" hidden="1" customWidth="1"/>
    <col min="70" max="75" width="20.109375" style="452" hidden="1" customWidth="1"/>
    <col min="76" max="85" width="20.33203125" style="452" hidden="1" customWidth="1"/>
    <col min="86" max="87" width="20.33203125" style="1332" hidden="1" customWidth="1"/>
    <col min="88" max="108" width="20.44140625" style="452" hidden="1" customWidth="1"/>
    <col min="109" max="115" width="21.109375" style="452" hidden="1" customWidth="1"/>
    <col min="116" max="116" width="17.6640625" style="452" hidden="1" customWidth="1"/>
    <col min="117" max="117" width="23.88671875" style="452" hidden="1" customWidth="1"/>
    <col min="118" max="118" width="17.6640625" style="452" hidden="1" customWidth="1"/>
    <col min="119" max="119" width="24" style="452" hidden="1" customWidth="1"/>
    <col min="120" max="120" width="17.6640625" style="452" hidden="1" customWidth="1"/>
    <col min="121" max="121" width="24" style="452" hidden="1" customWidth="1"/>
    <col min="122" max="149" width="18.6640625" style="452" hidden="1" customWidth="1"/>
    <col min="150" max="151" width="18.6640625" style="452" customWidth="1"/>
    <col min="152" max="155" width="18.6640625" style="452" hidden="1" customWidth="1"/>
    <col min="156" max="157" width="18.6640625" style="452" customWidth="1"/>
    <col min="158" max="161" width="18.6640625" style="452" hidden="1" customWidth="1"/>
    <col min="162" max="163" width="18.6640625" style="452" customWidth="1"/>
    <col min="164" max="167" width="18.6640625" style="452" hidden="1" customWidth="1"/>
    <col min="168" max="173" width="18.6640625" style="452" customWidth="1"/>
    <col min="174" max="174" width="65.5546875" style="452" customWidth="1"/>
    <col min="175" max="16384" width="9.109375" style="452"/>
  </cols>
  <sheetData>
    <row r="2" spans="1:245" ht="41.25" customHeight="1">
      <c r="A2" s="2853" t="s">
        <v>3186</v>
      </c>
      <c r="B2" s="2853"/>
      <c r="C2" s="2853"/>
      <c r="D2" s="2853"/>
      <c r="E2" s="2853"/>
      <c r="F2" s="2853"/>
      <c r="G2" s="2853"/>
      <c r="H2" s="2853"/>
      <c r="I2" s="2853"/>
      <c r="J2" s="2853"/>
      <c r="K2" s="2853"/>
      <c r="L2" s="2853"/>
      <c r="M2" s="2853"/>
      <c r="N2" s="2853"/>
      <c r="O2" s="2853"/>
      <c r="P2" s="2853"/>
      <c r="Q2" s="2853"/>
      <c r="R2" s="2853"/>
      <c r="S2" s="2853"/>
      <c r="T2" s="2853"/>
      <c r="U2" s="2853"/>
      <c r="V2" s="2853"/>
      <c r="W2" s="2853"/>
      <c r="X2" s="2853"/>
      <c r="Y2" s="2853"/>
      <c r="Z2" s="2853"/>
      <c r="AA2" s="2853"/>
      <c r="AB2" s="2853"/>
      <c r="AC2" s="2853"/>
      <c r="AD2" s="2853"/>
      <c r="AE2" s="2853"/>
      <c r="AF2" s="2853"/>
      <c r="AG2" s="2853"/>
      <c r="AH2" s="2853"/>
      <c r="AI2" s="2853"/>
      <c r="AJ2" s="2853"/>
      <c r="AK2" s="2853"/>
      <c r="AL2" s="2853"/>
      <c r="AM2" s="2853"/>
      <c r="AN2" s="2853"/>
      <c r="AO2" s="2853"/>
      <c r="AP2" s="2853"/>
      <c r="AQ2" s="2853"/>
      <c r="AR2" s="2853"/>
      <c r="AS2" s="2853"/>
      <c r="AT2" s="2853"/>
      <c r="AU2" s="2853"/>
      <c r="AV2" s="2853"/>
      <c r="AW2" s="2853"/>
      <c r="AX2" s="2853"/>
      <c r="AY2" s="2853"/>
      <c r="AZ2" s="2853"/>
      <c r="BA2" s="2853"/>
      <c r="BB2" s="2853"/>
      <c r="BC2" s="2853"/>
      <c r="BD2" s="2853"/>
      <c r="BE2" s="2853"/>
      <c r="BF2" s="2853"/>
      <c r="BG2" s="2853"/>
      <c r="BH2" s="2853"/>
      <c r="BI2" s="2853"/>
      <c r="BJ2" s="2853"/>
      <c r="BK2" s="2853"/>
      <c r="BL2" s="2853"/>
      <c r="BM2" s="2853"/>
      <c r="BN2" s="2853"/>
      <c r="BO2" s="2853"/>
      <c r="BP2" s="2853"/>
      <c r="BQ2" s="2853"/>
      <c r="BR2" s="2853"/>
      <c r="BS2" s="2853"/>
      <c r="BT2" s="2853"/>
      <c r="BU2" s="2853"/>
      <c r="BV2" s="2853"/>
      <c r="BW2" s="2853"/>
      <c r="BX2" s="2853"/>
      <c r="BY2" s="2853"/>
      <c r="BZ2" s="2853"/>
      <c r="CA2" s="2853"/>
      <c r="CB2" s="2853"/>
      <c r="CC2" s="2853"/>
      <c r="CD2" s="2853"/>
      <c r="CE2" s="2853"/>
      <c r="CF2" s="2853"/>
      <c r="CG2" s="2853"/>
      <c r="CH2" s="2853"/>
      <c r="CI2" s="2853"/>
      <c r="CJ2" s="2853"/>
      <c r="CK2" s="2853"/>
      <c r="CL2" s="2853"/>
      <c r="CM2" s="2853"/>
      <c r="CN2" s="2853"/>
      <c r="CO2" s="2853"/>
      <c r="CP2" s="2853"/>
      <c r="CQ2" s="2853"/>
      <c r="CR2" s="2853"/>
      <c r="CS2" s="2853"/>
      <c r="CT2" s="2853"/>
      <c r="CU2" s="2853"/>
      <c r="CV2" s="2853"/>
      <c r="CW2" s="2853"/>
      <c r="CX2" s="2853"/>
      <c r="CY2" s="2853"/>
      <c r="CZ2" s="2853"/>
      <c r="DA2" s="2853"/>
      <c r="DB2" s="2853"/>
      <c r="DC2" s="2853"/>
      <c r="DD2" s="2853"/>
      <c r="DE2" s="2853"/>
      <c r="DF2" s="2853"/>
      <c r="DG2" s="2853"/>
      <c r="DH2" s="2853"/>
      <c r="DI2" s="2853"/>
      <c r="DJ2" s="2853"/>
      <c r="DK2" s="2853"/>
      <c r="DL2" s="2853"/>
      <c r="DM2" s="2853"/>
      <c r="DN2" s="2853"/>
      <c r="DO2" s="2853"/>
      <c r="DP2" s="2853"/>
      <c r="DQ2" s="2853"/>
      <c r="DR2" s="2853"/>
      <c r="DS2" s="2853"/>
      <c r="DT2" s="2853"/>
      <c r="DU2" s="2853"/>
      <c r="DV2" s="2853"/>
      <c r="DW2" s="2853"/>
      <c r="DX2" s="2853"/>
      <c r="DY2" s="2853"/>
      <c r="DZ2" s="2853"/>
      <c r="EA2" s="2853"/>
      <c r="EB2" s="2853"/>
      <c r="EC2" s="2853"/>
      <c r="ED2" s="2853"/>
      <c r="EE2" s="2853"/>
      <c r="EF2" s="2853"/>
      <c r="EG2" s="2853"/>
      <c r="EH2" s="2853"/>
      <c r="EI2" s="2853"/>
      <c r="EJ2" s="2853"/>
      <c r="EK2" s="2853"/>
      <c r="EL2" s="2853"/>
      <c r="EM2" s="2853"/>
      <c r="EN2" s="2853"/>
      <c r="EO2" s="2853"/>
      <c r="EP2" s="2853"/>
      <c r="EQ2" s="2853"/>
      <c r="ER2" s="2853"/>
      <c r="ES2" s="2853"/>
      <c r="ET2" s="2853"/>
      <c r="EU2" s="2853"/>
      <c r="EV2" s="2853"/>
      <c r="EW2" s="2853"/>
      <c r="EX2" s="2853"/>
      <c r="EY2" s="2853"/>
      <c r="EZ2" s="2853"/>
      <c r="FA2" s="2853"/>
      <c r="FB2" s="2853"/>
      <c r="FC2" s="2853"/>
      <c r="FD2" s="2853"/>
      <c r="FE2" s="2853"/>
      <c r="FF2" s="2853"/>
      <c r="FG2" s="2853"/>
      <c r="FH2" s="2853"/>
      <c r="FI2" s="2853"/>
      <c r="FJ2" s="2853"/>
      <c r="FK2" s="2853"/>
      <c r="FL2" s="2853"/>
      <c r="FM2" s="2853"/>
      <c r="FN2" s="2853"/>
      <c r="FO2" s="2853"/>
      <c r="FP2" s="2853"/>
      <c r="FQ2" s="2853"/>
      <c r="FR2" s="2853"/>
      <c r="FS2" s="1327"/>
      <c r="FT2" s="1327"/>
      <c r="FU2" s="1327"/>
      <c r="FV2" s="1327"/>
      <c r="FW2" s="1327"/>
      <c r="FX2" s="1327"/>
      <c r="FY2" s="1327"/>
      <c r="FZ2" s="1327"/>
      <c r="GA2" s="1327"/>
      <c r="GB2" s="1327"/>
      <c r="GC2" s="1327"/>
      <c r="GD2" s="1327"/>
      <c r="GE2" s="1327"/>
      <c r="GF2" s="1327"/>
      <c r="GG2" s="1327"/>
      <c r="GH2" s="1327"/>
      <c r="GI2" s="1327"/>
      <c r="GJ2" s="1327"/>
      <c r="GK2" s="1327"/>
      <c r="GL2" s="1327"/>
      <c r="GM2" s="1327"/>
      <c r="GN2" s="1327"/>
      <c r="GO2" s="1327"/>
      <c r="GP2" s="1327"/>
      <c r="GQ2" s="1327"/>
      <c r="GR2" s="1327"/>
      <c r="GS2" s="1327"/>
      <c r="GT2" s="1327"/>
      <c r="GU2" s="1327"/>
      <c r="GV2" s="1327"/>
      <c r="GW2" s="1327"/>
      <c r="GX2" s="1327"/>
      <c r="GY2" s="1327"/>
      <c r="GZ2" s="1327"/>
      <c r="HA2" s="1327"/>
      <c r="HB2" s="1327"/>
      <c r="HC2" s="1327"/>
      <c r="HD2" s="1327"/>
      <c r="HE2" s="1327"/>
      <c r="HF2" s="1327"/>
      <c r="HG2" s="1327"/>
      <c r="HH2" s="1327"/>
      <c r="HI2" s="1327"/>
      <c r="HJ2" s="1327"/>
      <c r="HK2" s="1327"/>
      <c r="HL2" s="1327"/>
      <c r="HM2" s="1327"/>
      <c r="HN2" s="1327"/>
      <c r="HO2" s="1327"/>
      <c r="HP2" s="1327"/>
      <c r="HQ2" s="1327"/>
      <c r="HR2" s="1327"/>
      <c r="HS2" s="1327"/>
      <c r="HT2" s="1327"/>
      <c r="HU2" s="1327"/>
      <c r="HV2" s="1327"/>
      <c r="HW2" s="1327"/>
      <c r="HX2" s="1327"/>
      <c r="HY2" s="1327"/>
      <c r="HZ2" s="1327"/>
      <c r="IA2" s="1327"/>
      <c r="IB2" s="1327"/>
      <c r="IC2" s="1327"/>
      <c r="ID2" s="1327"/>
      <c r="IE2" s="1327"/>
      <c r="IF2" s="1327"/>
      <c r="IG2" s="1327"/>
    </row>
    <row r="3" spans="1:245" ht="47.25" customHeight="1">
      <c r="A3" s="2854" t="s">
        <v>3266</v>
      </c>
      <c r="B3" s="2854"/>
      <c r="C3" s="2854"/>
      <c r="D3" s="2854"/>
      <c r="E3" s="2854"/>
      <c r="F3" s="2854"/>
      <c r="G3" s="2854"/>
      <c r="H3" s="2854"/>
      <c r="I3" s="2854"/>
      <c r="J3" s="2854"/>
      <c r="K3" s="2854"/>
      <c r="L3" s="2854"/>
      <c r="M3" s="2854"/>
      <c r="N3" s="2854"/>
      <c r="O3" s="2854"/>
      <c r="P3" s="2854"/>
      <c r="Q3" s="2854"/>
      <c r="R3" s="2854"/>
      <c r="S3" s="2854"/>
      <c r="T3" s="2854"/>
      <c r="U3" s="2854"/>
      <c r="V3" s="2854"/>
      <c r="W3" s="2854"/>
      <c r="X3" s="2854"/>
      <c r="Y3" s="2854"/>
      <c r="Z3" s="2854"/>
      <c r="AA3" s="2854"/>
      <c r="AB3" s="2854"/>
      <c r="AC3" s="2854"/>
      <c r="AD3" s="2854"/>
      <c r="AE3" s="2854"/>
      <c r="AF3" s="2854"/>
      <c r="AG3" s="2854"/>
      <c r="AH3" s="2854"/>
      <c r="AI3" s="2854"/>
      <c r="AJ3" s="2854"/>
      <c r="AK3" s="2854"/>
      <c r="AL3" s="2854"/>
      <c r="AM3" s="2854"/>
      <c r="AN3" s="2854"/>
      <c r="AO3" s="2854"/>
      <c r="AP3" s="2854"/>
      <c r="AQ3" s="2854"/>
      <c r="AR3" s="2854"/>
      <c r="AS3" s="2854"/>
      <c r="AT3" s="2854"/>
      <c r="AU3" s="2854"/>
      <c r="AV3" s="2854"/>
      <c r="AW3" s="2854"/>
      <c r="AX3" s="2854"/>
      <c r="AY3" s="2854"/>
      <c r="AZ3" s="2854"/>
      <c r="BA3" s="2854"/>
      <c r="BB3" s="2854"/>
      <c r="BC3" s="2854"/>
      <c r="BD3" s="2854"/>
      <c r="BE3" s="2854"/>
      <c r="BF3" s="2854"/>
      <c r="BG3" s="2854"/>
      <c r="BH3" s="2854"/>
      <c r="BI3" s="2854"/>
      <c r="BJ3" s="2854"/>
      <c r="BK3" s="2854"/>
      <c r="BL3" s="2854"/>
      <c r="BM3" s="2854"/>
      <c r="BN3" s="2854"/>
      <c r="BO3" s="2854"/>
      <c r="BP3" s="2854"/>
      <c r="BQ3" s="2854"/>
      <c r="BR3" s="2854"/>
      <c r="BS3" s="2854"/>
      <c r="BT3" s="2854"/>
      <c r="BU3" s="2854"/>
      <c r="BV3" s="2854"/>
      <c r="BW3" s="2854"/>
      <c r="BX3" s="2854"/>
      <c r="BY3" s="2854"/>
      <c r="BZ3" s="2854"/>
      <c r="CA3" s="2854"/>
      <c r="CB3" s="2854"/>
      <c r="CC3" s="2854"/>
      <c r="CD3" s="2854"/>
      <c r="CE3" s="2854"/>
      <c r="CF3" s="2854"/>
      <c r="CG3" s="2854"/>
      <c r="CH3" s="2854"/>
      <c r="CI3" s="2854"/>
      <c r="CJ3" s="2854"/>
      <c r="CK3" s="2854"/>
      <c r="CL3" s="2854"/>
      <c r="CM3" s="2854"/>
      <c r="CN3" s="2854"/>
      <c r="CO3" s="2854"/>
      <c r="CP3" s="2854"/>
      <c r="CQ3" s="2854"/>
      <c r="CR3" s="2854"/>
      <c r="CS3" s="2854"/>
      <c r="CT3" s="2854"/>
      <c r="CU3" s="2854"/>
      <c r="CV3" s="2854"/>
      <c r="CW3" s="2854"/>
      <c r="CX3" s="2854"/>
      <c r="CY3" s="2854"/>
      <c r="CZ3" s="2854"/>
      <c r="DA3" s="2854"/>
      <c r="DB3" s="2854"/>
      <c r="DC3" s="2854"/>
      <c r="DD3" s="2854"/>
      <c r="DE3" s="2854"/>
      <c r="DF3" s="2854"/>
      <c r="DG3" s="2854"/>
      <c r="DH3" s="2854"/>
      <c r="DI3" s="2854"/>
      <c r="DJ3" s="2854"/>
      <c r="DK3" s="2854"/>
      <c r="DL3" s="2854"/>
      <c r="DM3" s="2854"/>
      <c r="DN3" s="2854"/>
      <c r="DO3" s="2854"/>
      <c r="DP3" s="2854"/>
      <c r="DQ3" s="2854"/>
      <c r="DR3" s="2854"/>
      <c r="DS3" s="2854"/>
      <c r="DT3" s="2854"/>
      <c r="DU3" s="2854"/>
      <c r="DV3" s="2854"/>
      <c r="DW3" s="2854"/>
      <c r="DX3" s="2854"/>
      <c r="DY3" s="2854"/>
      <c r="DZ3" s="2854"/>
      <c r="EA3" s="2854"/>
      <c r="EB3" s="2854"/>
      <c r="EC3" s="2854"/>
      <c r="ED3" s="2854"/>
      <c r="EE3" s="2854"/>
      <c r="EF3" s="2854"/>
      <c r="EG3" s="2854"/>
      <c r="EH3" s="2854"/>
      <c r="EI3" s="2854"/>
      <c r="EJ3" s="2854"/>
      <c r="EK3" s="2854"/>
      <c r="EL3" s="2854"/>
      <c r="EM3" s="2854"/>
      <c r="EN3" s="2854"/>
      <c r="EO3" s="2854"/>
      <c r="EP3" s="2854"/>
      <c r="EQ3" s="2854"/>
      <c r="ER3" s="2854"/>
      <c r="ES3" s="2854"/>
      <c r="ET3" s="2854"/>
      <c r="EU3" s="2854"/>
      <c r="EV3" s="2854"/>
      <c r="EW3" s="2854"/>
      <c r="EX3" s="2854"/>
      <c r="EY3" s="2854"/>
      <c r="EZ3" s="2854"/>
      <c r="FA3" s="2854"/>
      <c r="FB3" s="2854"/>
      <c r="FC3" s="2854"/>
      <c r="FD3" s="2854"/>
      <c r="FE3" s="2854"/>
      <c r="FF3" s="2854"/>
      <c r="FG3" s="2854"/>
      <c r="FH3" s="2854"/>
      <c r="FI3" s="2854"/>
      <c r="FJ3" s="2854"/>
      <c r="FK3" s="2854"/>
      <c r="FL3" s="2854"/>
      <c r="FM3" s="2854"/>
      <c r="FN3" s="2854"/>
      <c r="FO3" s="2854"/>
      <c r="FP3" s="2854"/>
      <c r="FQ3" s="2854"/>
      <c r="FR3" s="2854"/>
      <c r="FS3" s="1327"/>
      <c r="FT3" s="1327"/>
      <c r="FU3" s="1327"/>
      <c r="FV3" s="1327"/>
      <c r="FW3" s="1327"/>
      <c r="FX3" s="1327"/>
      <c r="FY3" s="1327"/>
      <c r="FZ3" s="1327"/>
      <c r="GA3" s="1327"/>
      <c r="GB3" s="1327"/>
      <c r="GC3" s="1327"/>
      <c r="GD3" s="1327"/>
      <c r="GE3" s="1327"/>
      <c r="GF3" s="1327"/>
      <c r="GG3" s="1327"/>
      <c r="GH3" s="1327"/>
      <c r="GI3" s="1327"/>
      <c r="GJ3" s="1327"/>
      <c r="GK3" s="1327"/>
      <c r="GL3" s="1327"/>
      <c r="GM3" s="1327"/>
      <c r="GN3" s="1327"/>
      <c r="GO3" s="1327"/>
      <c r="GP3" s="1327"/>
      <c r="GQ3" s="1327"/>
      <c r="GR3" s="1327"/>
      <c r="GS3" s="1327"/>
      <c r="GT3" s="1327"/>
      <c r="GU3" s="1327"/>
      <c r="GV3" s="1327"/>
      <c r="GW3" s="1327"/>
      <c r="GX3" s="1327"/>
      <c r="GY3" s="1327"/>
      <c r="GZ3" s="1327"/>
      <c r="HA3" s="1327"/>
      <c r="HB3" s="1327"/>
      <c r="HC3" s="1327"/>
      <c r="HD3" s="1327"/>
      <c r="HE3" s="1327"/>
      <c r="HF3" s="1327"/>
      <c r="HG3" s="1327"/>
      <c r="HH3" s="1327"/>
      <c r="HI3" s="1327"/>
      <c r="HJ3" s="1327"/>
      <c r="HK3" s="1327"/>
      <c r="HL3" s="1327"/>
      <c r="HM3" s="1327"/>
      <c r="HN3" s="1327"/>
      <c r="HO3" s="1327"/>
      <c r="HP3" s="1327"/>
      <c r="HQ3" s="1327"/>
      <c r="HR3" s="1327"/>
      <c r="HS3" s="1327"/>
      <c r="HT3" s="1327"/>
      <c r="HU3" s="1327"/>
      <c r="HV3" s="1327"/>
      <c r="HW3" s="1327"/>
      <c r="HX3" s="1327"/>
      <c r="HY3" s="1327"/>
      <c r="HZ3" s="1327"/>
      <c r="IA3" s="1327"/>
      <c r="IB3" s="1327"/>
      <c r="IC3" s="1327"/>
      <c r="ID3" s="1327"/>
      <c r="IE3" s="1327"/>
      <c r="IF3" s="1327"/>
      <c r="IG3" s="1327"/>
    </row>
    <row r="4" spans="1:245" ht="22.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  <c r="AE4" s="1297"/>
      <c r="AF4" s="1297"/>
      <c r="AG4" s="1297"/>
      <c r="AH4" s="1297"/>
      <c r="AI4" s="1297"/>
      <c r="AJ4" s="1297"/>
      <c r="AK4" s="1297"/>
      <c r="AL4" s="1297"/>
      <c r="AM4" s="1297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C4" s="1297"/>
      <c r="BD4" s="1297"/>
      <c r="BE4" s="1297"/>
      <c r="BF4" s="1297"/>
      <c r="BG4" s="1297"/>
      <c r="BH4" s="1297"/>
      <c r="BI4" s="1297"/>
      <c r="BJ4" s="1297"/>
      <c r="BK4" s="1297"/>
      <c r="BL4" s="1297"/>
      <c r="BM4" s="1297"/>
      <c r="BN4" s="1297"/>
      <c r="BO4" s="1297"/>
      <c r="BP4" s="1297"/>
      <c r="BQ4" s="1297"/>
      <c r="BR4" s="1297"/>
      <c r="BS4" s="1297"/>
      <c r="BT4" s="1297"/>
      <c r="BU4" s="1297"/>
      <c r="BV4" s="1297"/>
      <c r="BW4" s="1297"/>
      <c r="BX4" s="1297"/>
      <c r="BY4" s="1297"/>
      <c r="BZ4" s="1297"/>
      <c r="CA4" s="1297"/>
      <c r="CB4" s="1297"/>
      <c r="CC4" s="1297"/>
      <c r="CD4" s="1297"/>
      <c r="CE4" s="1297"/>
      <c r="CF4" s="1297"/>
      <c r="CG4" s="1297"/>
      <c r="CH4" s="1297"/>
      <c r="CI4" s="1297"/>
      <c r="CJ4" s="1297"/>
      <c r="CK4" s="1297"/>
      <c r="CL4" s="1297"/>
      <c r="CM4" s="1297"/>
      <c r="CN4" s="1297"/>
      <c r="CO4" s="1297"/>
      <c r="CP4" s="1297"/>
      <c r="CQ4" s="1297"/>
      <c r="CR4" s="1297"/>
      <c r="CS4" s="1297"/>
      <c r="CT4" s="1297"/>
      <c r="CU4" s="1297"/>
      <c r="CV4" s="1297"/>
      <c r="CW4" s="1297"/>
      <c r="CX4" s="1297"/>
      <c r="CY4" s="1297"/>
      <c r="CZ4" s="1297"/>
      <c r="DA4" s="1297"/>
      <c r="DB4" s="1297"/>
      <c r="DC4" s="1297"/>
      <c r="DD4" s="1297"/>
      <c r="DE4" s="1297"/>
      <c r="DF4" s="1297"/>
      <c r="DG4" s="1297"/>
      <c r="DH4" s="1297"/>
      <c r="DI4" s="1297"/>
      <c r="DJ4" s="1297"/>
      <c r="DK4" s="1297"/>
      <c r="DL4" s="1297"/>
      <c r="DM4" s="1297"/>
      <c r="DN4" s="1297"/>
      <c r="DO4" s="1297"/>
      <c r="DP4" s="1297"/>
      <c r="DQ4" s="1297"/>
      <c r="DR4" s="1297"/>
      <c r="DS4" s="1297"/>
      <c r="DT4" s="1297"/>
      <c r="DU4" s="1297"/>
      <c r="DV4" s="1297"/>
      <c r="DW4" s="1297"/>
      <c r="DX4" s="1297"/>
      <c r="DY4" s="1297"/>
      <c r="DZ4" s="1297"/>
      <c r="EA4" s="1297"/>
      <c r="EB4" s="1297"/>
      <c r="EC4" s="1297"/>
      <c r="ED4" s="1297"/>
      <c r="EE4" s="1297"/>
      <c r="EF4" s="1297"/>
      <c r="EG4" s="1297"/>
      <c r="EH4" s="1297"/>
      <c r="EI4" s="1297"/>
      <c r="EJ4" s="1297"/>
      <c r="EK4" s="1297"/>
      <c r="EL4" s="1297"/>
      <c r="EM4" s="1297"/>
      <c r="EN4" s="1297"/>
      <c r="EO4" s="1297"/>
      <c r="EP4" s="1297"/>
      <c r="EQ4" s="1297"/>
      <c r="ER4" s="1297"/>
      <c r="ES4" s="1297"/>
      <c r="ET4" s="1297"/>
      <c r="EU4" s="1297"/>
      <c r="EV4" s="1297"/>
      <c r="EW4" s="1297"/>
      <c r="EX4" s="1297"/>
      <c r="EY4" s="1297"/>
      <c r="EZ4" s="1297"/>
      <c r="FA4" s="1297"/>
      <c r="FB4" s="1297"/>
      <c r="FC4" s="1297"/>
      <c r="FD4" s="1297"/>
      <c r="FE4" s="1297"/>
      <c r="FF4" s="1297"/>
      <c r="FG4" s="1297"/>
      <c r="FH4" s="1297"/>
      <c r="FI4" s="1297"/>
      <c r="FJ4" s="1297"/>
      <c r="FK4" s="1297"/>
      <c r="FL4" s="1297"/>
      <c r="FM4" s="1297"/>
      <c r="FN4" s="1297"/>
      <c r="FO4" s="1297"/>
      <c r="FP4" s="1297"/>
      <c r="FQ4" s="1297"/>
      <c r="FR4" s="1297"/>
      <c r="FS4" s="1327"/>
      <c r="FT4" s="1327"/>
      <c r="FU4" s="1327"/>
      <c r="FV4" s="1327"/>
      <c r="FW4" s="1327"/>
      <c r="FX4" s="1327"/>
      <c r="FY4" s="1327"/>
      <c r="FZ4" s="1327"/>
      <c r="GA4" s="1327"/>
      <c r="GB4" s="1327"/>
      <c r="GC4" s="1327"/>
      <c r="GD4" s="1327"/>
      <c r="GE4" s="1327"/>
      <c r="GF4" s="1327"/>
      <c r="GG4" s="1327"/>
      <c r="GH4" s="1327"/>
      <c r="GI4" s="1327"/>
      <c r="GJ4" s="1327"/>
      <c r="GK4" s="1327"/>
      <c r="GL4" s="1327"/>
      <c r="GM4" s="1327"/>
      <c r="GN4" s="1327"/>
      <c r="GO4" s="1327"/>
      <c r="GP4" s="1327"/>
      <c r="GQ4" s="1327"/>
      <c r="GR4" s="1327"/>
      <c r="GS4" s="1327"/>
      <c r="GT4" s="1327"/>
      <c r="GU4" s="1327"/>
      <c r="GV4" s="1327"/>
      <c r="GW4" s="1327"/>
      <c r="GX4" s="1327"/>
      <c r="GY4" s="1327"/>
      <c r="GZ4" s="1327"/>
      <c r="HA4" s="1327"/>
      <c r="HB4" s="1327"/>
      <c r="HC4" s="1327"/>
      <c r="HD4" s="1327"/>
      <c r="HE4" s="1327"/>
      <c r="HF4" s="1327"/>
      <c r="HG4" s="1327"/>
      <c r="HH4" s="1327"/>
      <c r="HI4" s="1327"/>
      <c r="HJ4" s="1327"/>
      <c r="HK4" s="1327"/>
      <c r="HL4" s="1327"/>
      <c r="HM4" s="1327"/>
      <c r="HN4" s="1327"/>
      <c r="HO4" s="1327"/>
      <c r="HP4" s="1327"/>
      <c r="HQ4" s="1327"/>
      <c r="HR4" s="1327"/>
      <c r="HS4" s="1327"/>
      <c r="HT4" s="1327"/>
      <c r="HU4" s="1327"/>
      <c r="HV4" s="1327"/>
      <c r="HW4" s="1327"/>
      <c r="HX4" s="1327"/>
      <c r="HY4" s="1327"/>
      <c r="HZ4" s="1327"/>
      <c r="IA4" s="1327"/>
      <c r="IB4" s="1327"/>
      <c r="IC4" s="1327"/>
      <c r="ID4" s="1327"/>
      <c r="IE4" s="1327"/>
      <c r="IF4" s="1327"/>
      <c r="IG4" s="1327"/>
    </row>
    <row r="5" spans="1:245" s="1329" customFormat="1" ht="22.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  <c r="X5" s="1296"/>
      <c r="Y5" s="1296"/>
      <c r="Z5" s="1296"/>
      <c r="AA5" s="1296"/>
      <c r="AB5" s="1296"/>
      <c r="AC5" s="1296"/>
      <c r="AD5" s="1296"/>
      <c r="AE5" s="1296"/>
      <c r="AF5" s="1296"/>
      <c r="AG5" s="1296"/>
      <c r="AH5" s="1296"/>
      <c r="AI5" s="1296"/>
      <c r="AJ5" s="1296"/>
      <c r="AK5" s="1296"/>
      <c r="AL5" s="1296"/>
      <c r="AM5" s="1296"/>
      <c r="AN5" s="1296"/>
      <c r="AO5" s="1296"/>
      <c r="AP5" s="1296"/>
      <c r="AQ5" s="1296"/>
      <c r="AR5" s="1296"/>
      <c r="AS5" s="1296"/>
      <c r="AT5" s="1296"/>
      <c r="AU5" s="1296"/>
      <c r="AV5" s="1296"/>
      <c r="AW5" s="1296"/>
      <c r="AX5" s="1296"/>
      <c r="AY5" s="1296"/>
      <c r="AZ5" s="1296"/>
      <c r="BA5" s="1296"/>
      <c r="BB5" s="1296"/>
      <c r="BC5" s="1296"/>
      <c r="BD5" s="1296"/>
      <c r="BE5" s="1296"/>
      <c r="BF5" s="1296"/>
      <c r="BG5" s="1296"/>
      <c r="BH5" s="1296"/>
      <c r="BI5" s="1296"/>
      <c r="BJ5" s="1296"/>
      <c r="BK5" s="1296"/>
      <c r="BL5" s="1296"/>
      <c r="BM5" s="1296"/>
      <c r="BN5" s="1296"/>
      <c r="BO5" s="1296"/>
      <c r="BP5" s="1296"/>
      <c r="BQ5" s="1296"/>
      <c r="BR5" s="1296"/>
      <c r="BS5" s="1296"/>
      <c r="BT5" s="1296"/>
      <c r="BU5" s="1296"/>
      <c r="BV5" s="1296"/>
      <c r="BW5" s="1296"/>
      <c r="BX5" s="1296"/>
      <c r="BY5" s="1296"/>
      <c r="BZ5" s="1296"/>
      <c r="CA5" s="1296"/>
      <c r="CB5" s="1296"/>
      <c r="CC5" s="1296"/>
      <c r="CD5" s="1296"/>
      <c r="CE5" s="1296"/>
      <c r="CF5" s="1296"/>
      <c r="CG5" s="1296"/>
      <c r="CH5" s="1296"/>
      <c r="CI5" s="1296"/>
      <c r="CJ5" s="1296"/>
      <c r="CK5" s="1296"/>
      <c r="CL5" s="1296"/>
      <c r="CM5" s="1296"/>
      <c r="CN5" s="1296"/>
      <c r="CO5" s="1296"/>
      <c r="CP5" s="1296"/>
      <c r="CQ5" s="1296"/>
      <c r="CR5" s="1296"/>
      <c r="CS5" s="1296"/>
      <c r="CT5" s="1296"/>
      <c r="CU5" s="1296"/>
      <c r="CV5" s="1296"/>
      <c r="CW5" s="1296"/>
      <c r="CX5" s="1296"/>
      <c r="CY5" s="1296"/>
      <c r="CZ5" s="1296"/>
      <c r="DA5" s="1296"/>
      <c r="DB5" s="1296"/>
      <c r="DC5" s="1296"/>
      <c r="DD5" s="1296"/>
      <c r="DE5" s="1296"/>
      <c r="DF5" s="1296"/>
      <c r="DG5" s="1296"/>
      <c r="DH5" s="1296"/>
      <c r="DI5" s="1296"/>
      <c r="DJ5" s="1296"/>
      <c r="DK5" s="1296"/>
      <c r="DL5" s="1296"/>
      <c r="DM5" s="1296"/>
      <c r="DN5" s="1296"/>
      <c r="DO5" s="1296"/>
      <c r="DP5" s="1296"/>
      <c r="DQ5" s="1296"/>
      <c r="DR5" s="1296"/>
      <c r="DS5" s="1296"/>
      <c r="DT5" s="1296"/>
      <c r="DU5" s="1296"/>
      <c r="DV5" s="1296"/>
      <c r="DW5" s="1296"/>
      <c r="DX5" s="1296"/>
      <c r="DY5" s="1296"/>
      <c r="DZ5" s="1296"/>
      <c r="EA5" s="1296"/>
      <c r="EB5" s="1296"/>
      <c r="EC5" s="1296"/>
      <c r="ED5" s="1296"/>
      <c r="EE5" s="1296"/>
      <c r="EF5" s="1296"/>
      <c r="EG5" s="1296"/>
      <c r="EH5" s="1296"/>
      <c r="EI5" s="1296"/>
      <c r="EJ5" s="1296"/>
      <c r="EK5" s="1296"/>
      <c r="EL5" s="1296"/>
      <c r="EM5" s="1296"/>
      <c r="EN5" s="1296"/>
      <c r="EO5" s="1296"/>
      <c r="EP5" s="1296"/>
      <c r="EQ5" s="1296"/>
      <c r="ER5" s="1296"/>
      <c r="ES5" s="1296"/>
      <c r="ET5" s="1296"/>
      <c r="EU5" s="1296"/>
      <c r="EV5" s="1296"/>
      <c r="EW5" s="1296"/>
      <c r="EX5" s="1296"/>
      <c r="EY5" s="1296"/>
      <c r="EZ5" s="1296"/>
      <c r="FA5" s="1296"/>
      <c r="FB5" s="1296"/>
      <c r="FC5" s="1296"/>
      <c r="FD5" s="1296"/>
      <c r="FE5" s="1296"/>
      <c r="FF5" s="1296"/>
      <c r="FG5" s="1296"/>
      <c r="FH5" s="1296"/>
      <c r="FI5" s="1296"/>
      <c r="FJ5" s="1296"/>
      <c r="FK5" s="2090"/>
      <c r="FL5" s="2090"/>
      <c r="FM5" s="2090"/>
      <c r="FN5" s="2090"/>
      <c r="FO5" s="2090"/>
      <c r="FP5" s="2855" t="s">
        <v>3187</v>
      </c>
      <c r="FQ5" s="2855"/>
      <c r="FR5" s="2855"/>
      <c r="FS5" s="1328"/>
      <c r="FT5" s="1328"/>
      <c r="FU5" s="1328"/>
      <c r="FV5" s="1328"/>
      <c r="FW5" s="1328"/>
      <c r="FX5" s="1328"/>
      <c r="FY5" s="1328"/>
      <c r="FZ5" s="1328"/>
      <c r="GA5" s="1328"/>
      <c r="GB5" s="1328"/>
      <c r="GC5" s="1328"/>
      <c r="GD5" s="1328"/>
      <c r="GE5" s="1328"/>
      <c r="GF5" s="1328"/>
      <c r="GG5" s="1328"/>
      <c r="GH5" s="1328"/>
      <c r="GI5" s="1328"/>
      <c r="GJ5" s="1328"/>
      <c r="GK5" s="1328"/>
      <c r="GL5" s="1328"/>
      <c r="GM5" s="1328"/>
      <c r="GN5" s="1328"/>
      <c r="GO5" s="1328"/>
      <c r="GP5" s="1328"/>
      <c r="GQ5" s="1328"/>
      <c r="GR5" s="1328"/>
      <c r="GS5" s="1328"/>
      <c r="GT5" s="1328"/>
      <c r="GU5" s="1328"/>
      <c r="GV5" s="1328"/>
      <c r="GW5" s="1328"/>
      <c r="GX5" s="1328"/>
      <c r="GY5" s="1328"/>
      <c r="GZ5" s="1328"/>
      <c r="HA5" s="1328"/>
      <c r="HB5" s="1328"/>
      <c r="HC5" s="1328"/>
      <c r="HD5" s="1328"/>
      <c r="HE5" s="1328"/>
      <c r="HF5" s="1328"/>
      <c r="HG5" s="1328"/>
      <c r="HH5" s="1328"/>
      <c r="HI5" s="1328"/>
      <c r="HJ5" s="1328"/>
      <c r="HK5" s="1328"/>
      <c r="HL5" s="1328"/>
      <c r="HM5" s="1328"/>
      <c r="HN5" s="1328"/>
      <c r="HO5" s="1328"/>
      <c r="HP5" s="1328"/>
      <c r="HQ5" s="1328"/>
      <c r="HR5" s="1328"/>
      <c r="HS5" s="1328"/>
      <c r="HT5" s="1328"/>
      <c r="HU5" s="1328"/>
      <c r="HV5" s="1328"/>
      <c r="HW5" s="1328"/>
      <c r="HX5" s="1328"/>
      <c r="HY5" s="1328"/>
      <c r="HZ5" s="1328"/>
      <c r="IA5" s="1328"/>
      <c r="IB5" s="1328"/>
      <c r="IC5" s="1328"/>
      <c r="ID5" s="1328"/>
      <c r="IE5" s="1328"/>
      <c r="IF5" s="1328"/>
      <c r="IG5" s="1328"/>
      <c r="IH5" s="1328"/>
      <c r="II5" s="1328"/>
      <c r="IJ5" s="1328"/>
      <c r="IK5" s="1328"/>
    </row>
    <row r="6" spans="1:245" s="1330" customFormat="1" ht="27" customHeight="1">
      <c r="A6" s="2859" t="s">
        <v>2359</v>
      </c>
      <c r="B6" s="2856">
        <v>2017</v>
      </c>
      <c r="C6" s="2856"/>
      <c r="D6" s="2856"/>
      <c r="E6" s="2856"/>
      <c r="F6" s="2856"/>
      <c r="G6" s="2856"/>
      <c r="H6" s="2856"/>
      <c r="I6" s="2856"/>
      <c r="J6" s="2856"/>
      <c r="K6" s="2856"/>
      <c r="L6" s="2856"/>
      <c r="M6" s="2856"/>
      <c r="N6" s="2856"/>
      <c r="O6" s="2856"/>
      <c r="P6" s="2856"/>
      <c r="Q6" s="2856"/>
      <c r="R6" s="2856"/>
      <c r="S6" s="2856"/>
      <c r="T6" s="2856"/>
      <c r="U6" s="2856"/>
      <c r="V6" s="2856"/>
      <c r="W6" s="2856"/>
      <c r="X6" s="2856"/>
      <c r="Y6" s="2856"/>
      <c r="Z6" s="2857">
        <v>2018</v>
      </c>
      <c r="AA6" s="2857"/>
      <c r="AB6" s="2857"/>
      <c r="AC6" s="2857"/>
      <c r="AD6" s="2857"/>
      <c r="AE6" s="2857"/>
      <c r="AF6" s="2857"/>
      <c r="AG6" s="2857"/>
      <c r="AH6" s="2857"/>
      <c r="AI6" s="2857"/>
      <c r="AJ6" s="2857"/>
      <c r="AK6" s="2857"/>
      <c r="AL6" s="2857"/>
      <c r="AM6" s="2857"/>
      <c r="AN6" s="2857"/>
      <c r="AO6" s="2857"/>
      <c r="AP6" s="2857"/>
      <c r="AQ6" s="2857"/>
      <c r="AR6" s="2857"/>
      <c r="AS6" s="2857"/>
      <c r="AT6" s="2857"/>
      <c r="AU6" s="2857"/>
      <c r="AV6" s="2857"/>
      <c r="AW6" s="2857"/>
      <c r="AX6" s="2858">
        <v>2019</v>
      </c>
      <c r="AY6" s="2858"/>
      <c r="AZ6" s="2858"/>
      <c r="BA6" s="2858"/>
      <c r="BB6" s="2858"/>
      <c r="BC6" s="2858"/>
      <c r="BD6" s="2858"/>
      <c r="BE6" s="2858"/>
      <c r="BF6" s="2858"/>
      <c r="BG6" s="2858"/>
      <c r="BH6" s="2858"/>
      <c r="BI6" s="2858"/>
      <c r="BJ6" s="2858"/>
      <c r="BK6" s="2858"/>
      <c r="BL6" s="2858"/>
      <c r="BM6" s="2858"/>
      <c r="BN6" s="2858"/>
      <c r="BO6" s="2858"/>
      <c r="BP6" s="2858"/>
      <c r="BQ6" s="2858"/>
      <c r="BR6" s="2858"/>
      <c r="BS6" s="2858"/>
      <c r="BT6" s="2858"/>
      <c r="BU6" s="2858"/>
      <c r="BV6" s="2857">
        <v>2020</v>
      </c>
      <c r="BW6" s="2857"/>
      <c r="BX6" s="2857"/>
      <c r="BY6" s="2857"/>
      <c r="BZ6" s="2857"/>
      <c r="CA6" s="2857"/>
      <c r="CB6" s="2857"/>
      <c r="CC6" s="2857"/>
      <c r="CD6" s="2857"/>
      <c r="CE6" s="2857"/>
      <c r="CF6" s="2857"/>
      <c r="CG6" s="2857"/>
      <c r="CH6" s="2857"/>
      <c r="CI6" s="2857"/>
      <c r="CJ6" s="2857"/>
      <c r="CK6" s="2857"/>
      <c r="CL6" s="2857"/>
      <c r="CM6" s="2857"/>
      <c r="CN6" s="2857"/>
      <c r="CO6" s="2857"/>
      <c r="CP6" s="2857"/>
      <c r="CQ6" s="2857"/>
      <c r="CR6" s="2857"/>
      <c r="CS6" s="2857"/>
      <c r="CT6" s="2858">
        <v>2021</v>
      </c>
      <c r="CU6" s="2858"/>
      <c r="CV6" s="2858"/>
      <c r="CW6" s="2858"/>
      <c r="CX6" s="2858"/>
      <c r="CY6" s="2858"/>
      <c r="CZ6" s="2858"/>
      <c r="DA6" s="2858"/>
      <c r="DB6" s="2858"/>
      <c r="DC6" s="2858"/>
      <c r="DD6" s="2858"/>
      <c r="DE6" s="2858"/>
      <c r="DF6" s="2858"/>
      <c r="DG6" s="2858"/>
      <c r="DH6" s="2858"/>
      <c r="DI6" s="2858"/>
      <c r="DJ6" s="2858"/>
      <c r="DK6" s="2858"/>
      <c r="DL6" s="2858"/>
      <c r="DM6" s="2858"/>
      <c r="DN6" s="2858"/>
      <c r="DO6" s="2858"/>
      <c r="DP6" s="2858"/>
      <c r="DQ6" s="2858"/>
      <c r="DR6" s="2847">
        <v>2022</v>
      </c>
      <c r="DS6" s="2848"/>
      <c r="DT6" s="2848"/>
      <c r="DU6" s="2848"/>
      <c r="DV6" s="2848"/>
      <c r="DW6" s="2848"/>
      <c r="DX6" s="2848"/>
      <c r="DY6" s="2848"/>
      <c r="DZ6" s="2848"/>
      <c r="EA6" s="2848"/>
      <c r="EB6" s="2848"/>
      <c r="EC6" s="2848"/>
      <c r="ED6" s="2848"/>
      <c r="EE6" s="2848"/>
      <c r="EF6" s="2848"/>
      <c r="EG6" s="2848"/>
      <c r="EH6" s="2848"/>
      <c r="EI6" s="2848"/>
      <c r="EJ6" s="2848"/>
      <c r="EK6" s="2848"/>
      <c r="EL6" s="2848"/>
      <c r="EM6" s="2848"/>
      <c r="EN6" s="2848"/>
      <c r="EO6" s="2849"/>
      <c r="EP6" s="2847">
        <v>2023</v>
      </c>
      <c r="EQ6" s="2848"/>
      <c r="ER6" s="2848"/>
      <c r="ES6" s="2848"/>
      <c r="ET6" s="2848"/>
      <c r="EU6" s="2848"/>
      <c r="EV6" s="2848"/>
      <c r="EW6" s="2848"/>
      <c r="EX6" s="2848"/>
      <c r="EY6" s="2848"/>
      <c r="EZ6" s="2848"/>
      <c r="FA6" s="2848"/>
      <c r="FB6" s="2848"/>
      <c r="FC6" s="2848"/>
      <c r="FD6" s="2848"/>
      <c r="FE6" s="2848"/>
      <c r="FF6" s="2848"/>
      <c r="FG6" s="2848"/>
      <c r="FH6" s="2848"/>
      <c r="FI6" s="2848"/>
      <c r="FJ6" s="2848"/>
      <c r="FK6" s="2848"/>
      <c r="FL6" s="2848"/>
      <c r="FM6" s="2849"/>
      <c r="FN6" s="2847">
        <v>2024</v>
      </c>
      <c r="FO6" s="2848"/>
      <c r="FP6" s="2848"/>
      <c r="FQ6" s="2849"/>
      <c r="FR6" s="2859" t="s">
        <v>3267</v>
      </c>
    </row>
    <row r="7" spans="1:245" s="458" customFormat="1" ht="21" customHeight="1">
      <c r="A7" s="2860"/>
      <c r="B7" s="2850" t="s">
        <v>2358</v>
      </c>
      <c r="C7" s="2850"/>
      <c r="D7" s="2850" t="s">
        <v>3302</v>
      </c>
      <c r="E7" s="2850"/>
      <c r="F7" s="2850" t="s">
        <v>3303</v>
      </c>
      <c r="G7" s="2850"/>
      <c r="H7" s="2850" t="s">
        <v>3304</v>
      </c>
      <c r="I7" s="2850"/>
      <c r="J7" s="2850" t="s">
        <v>3305</v>
      </c>
      <c r="K7" s="2850"/>
      <c r="L7" s="2850" t="s">
        <v>3306</v>
      </c>
      <c r="M7" s="2850"/>
      <c r="N7" s="2850" t="s">
        <v>3307</v>
      </c>
      <c r="O7" s="2850"/>
      <c r="P7" s="2850" t="s">
        <v>3308</v>
      </c>
      <c r="Q7" s="2850"/>
      <c r="R7" s="2850" t="s">
        <v>3309</v>
      </c>
      <c r="S7" s="2850"/>
      <c r="T7" s="2850" t="s">
        <v>3319</v>
      </c>
      <c r="U7" s="2850"/>
      <c r="V7" s="2850" t="s">
        <v>3320</v>
      </c>
      <c r="W7" s="2850"/>
      <c r="X7" s="2850" t="s">
        <v>3321</v>
      </c>
      <c r="Y7" s="2850"/>
      <c r="Z7" s="2850" t="s">
        <v>2358</v>
      </c>
      <c r="AA7" s="2850"/>
      <c r="AB7" s="2850" t="s">
        <v>3302</v>
      </c>
      <c r="AC7" s="2850"/>
      <c r="AD7" s="2850" t="s">
        <v>3303</v>
      </c>
      <c r="AE7" s="2850"/>
      <c r="AF7" s="2850" t="s">
        <v>3304</v>
      </c>
      <c r="AG7" s="2850"/>
      <c r="AH7" s="2850" t="s">
        <v>3305</v>
      </c>
      <c r="AI7" s="2850"/>
      <c r="AJ7" s="2850" t="s">
        <v>3306</v>
      </c>
      <c r="AK7" s="2850"/>
      <c r="AL7" s="2850" t="s">
        <v>3307</v>
      </c>
      <c r="AM7" s="2850"/>
      <c r="AN7" s="2850" t="s">
        <v>3308</v>
      </c>
      <c r="AO7" s="2850"/>
      <c r="AP7" s="2850" t="s">
        <v>3309</v>
      </c>
      <c r="AQ7" s="2850"/>
      <c r="AR7" s="2850" t="s">
        <v>3319</v>
      </c>
      <c r="AS7" s="2850"/>
      <c r="AT7" s="2850" t="s">
        <v>3320</v>
      </c>
      <c r="AU7" s="2850"/>
      <c r="AV7" s="2850" t="s">
        <v>3321</v>
      </c>
      <c r="AW7" s="2850"/>
      <c r="AX7" s="2850" t="s">
        <v>2358</v>
      </c>
      <c r="AY7" s="2850"/>
      <c r="AZ7" s="2850" t="s">
        <v>3302</v>
      </c>
      <c r="BA7" s="2850"/>
      <c r="BB7" s="2850" t="s">
        <v>3303</v>
      </c>
      <c r="BC7" s="2850"/>
      <c r="BD7" s="2850" t="s">
        <v>3304</v>
      </c>
      <c r="BE7" s="2850"/>
      <c r="BF7" s="2850" t="s">
        <v>3305</v>
      </c>
      <c r="BG7" s="2850"/>
      <c r="BH7" s="2850" t="s">
        <v>3306</v>
      </c>
      <c r="BI7" s="2850"/>
      <c r="BJ7" s="2850" t="s">
        <v>3307</v>
      </c>
      <c r="BK7" s="2850"/>
      <c r="BL7" s="2850" t="s">
        <v>3308</v>
      </c>
      <c r="BM7" s="2850"/>
      <c r="BN7" s="2850" t="s">
        <v>3309</v>
      </c>
      <c r="BO7" s="2850"/>
      <c r="BP7" s="2850" t="s">
        <v>3319</v>
      </c>
      <c r="BQ7" s="2850"/>
      <c r="BR7" s="2850" t="s">
        <v>3320</v>
      </c>
      <c r="BS7" s="2850"/>
      <c r="BT7" s="2850" t="s">
        <v>3321</v>
      </c>
      <c r="BU7" s="2850"/>
      <c r="BV7" s="2850" t="s">
        <v>2358</v>
      </c>
      <c r="BW7" s="2850"/>
      <c r="BX7" s="2850" t="s">
        <v>3302</v>
      </c>
      <c r="BY7" s="2850"/>
      <c r="BZ7" s="2850" t="s">
        <v>3303</v>
      </c>
      <c r="CA7" s="2850"/>
      <c r="CB7" s="2850" t="s">
        <v>3304</v>
      </c>
      <c r="CC7" s="2850"/>
      <c r="CD7" s="2850" t="s">
        <v>3305</v>
      </c>
      <c r="CE7" s="2850"/>
      <c r="CF7" s="2850" t="s">
        <v>3306</v>
      </c>
      <c r="CG7" s="2850"/>
      <c r="CH7" s="2850" t="s">
        <v>3307</v>
      </c>
      <c r="CI7" s="2850"/>
      <c r="CJ7" s="2850" t="s">
        <v>3308</v>
      </c>
      <c r="CK7" s="2850"/>
      <c r="CL7" s="2850" t="s">
        <v>3309</v>
      </c>
      <c r="CM7" s="2850"/>
      <c r="CN7" s="2850" t="s">
        <v>3319</v>
      </c>
      <c r="CO7" s="2850"/>
      <c r="CP7" s="2850" t="s">
        <v>3320</v>
      </c>
      <c r="CQ7" s="2850"/>
      <c r="CR7" s="2850" t="s">
        <v>3321</v>
      </c>
      <c r="CS7" s="2850"/>
      <c r="CT7" s="2850" t="s">
        <v>2358</v>
      </c>
      <c r="CU7" s="2850"/>
      <c r="CV7" s="2850" t="s">
        <v>3302</v>
      </c>
      <c r="CW7" s="2850"/>
      <c r="CX7" s="2850" t="s">
        <v>3303</v>
      </c>
      <c r="CY7" s="2850"/>
      <c r="CZ7" s="2850" t="s">
        <v>3304</v>
      </c>
      <c r="DA7" s="2850"/>
      <c r="DB7" s="2850" t="s">
        <v>3305</v>
      </c>
      <c r="DC7" s="2850"/>
      <c r="DD7" s="2850" t="s">
        <v>3306</v>
      </c>
      <c r="DE7" s="2850"/>
      <c r="DF7" s="2850" t="s">
        <v>3307</v>
      </c>
      <c r="DG7" s="2850"/>
      <c r="DH7" s="2850" t="s">
        <v>3308</v>
      </c>
      <c r="DI7" s="2850"/>
      <c r="DJ7" s="2850" t="s">
        <v>3309</v>
      </c>
      <c r="DK7" s="2850"/>
      <c r="DL7" s="2850" t="s">
        <v>3319</v>
      </c>
      <c r="DM7" s="2850"/>
      <c r="DN7" s="2850" t="s">
        <v>3320</v>
      </c>
      <c r="DO7" s="2850"/>
      <c r="DP7" s="2850" t="s">
        <v>3321</v>
      </c>
      <c r="DQ7" s="2850"/>
      <c r="DR7" s="2846" t="s">
        <v>2358</v>
      </c>
      <c r="DS7" s="2846"/>
      <c r="DT7" s="2846" t="s">
        <v>3302</v>
      </c>
      <c r="DU7" s="2846"/>
      <c r="DV7" s="2846" t="s">
        <v>3303</v>
      </c>
      <c r="DW7" s="2846"/>
      <c r="DX7" s="2846" t="s">
        <v>3304</v>
      </c>
      <c r="DY7" s="2846"/>
      <c r="DZ7" s="2846" t="s">
        <v>3305</v>
      </c>
      <c r="EA7" s="2846"/>
      <c r="EB7" s="2846" t="s">
        <v>3306</v>
      </c>
      <c r="EC7" s="2846"/>
      <c r="ED7" s="2846" t="s">
        <v>3307</v>
      </c>
      <c r="EE7" s="2846"/>
      <c r="EF7" s="2846" t="s">
        <v>3308</v>
      </c>
      <c r="EG7" s="2846"/>
      <c r="EH7" s="2846" t="s">
        <v>3309</v>
      </c>
      <c r="EI7" s="2846"/>
      <c r="EJ7" s="2846" t="s">
        <v>3319</v>
      </c>
      <c r="EK7" s="2846"/>
      <c r="EL7" s="2846" t="s">
        <v>3320</v>
      </c>
      <c r="EM7" s="2846"/>
      <c r="EN7" s="2846" t="s">
        <v>3321</v>
      </c>
      <c r="EO7" s="2846"/>
      <c r="EP7" s="2846" t="s">
        <v>2358</v>
      </c>
      <c r="EQ7" s="2846"/>
      <c r="ER7" s="2846" t="s">
        <v>3302</v>
      </c>
      <c r="ES7" s="2846"/>
      <c r="ET7" s="2846" t="s">
        <v>3303</v>
      </c>
      <c r="EU7" s="2846"/>
      <c r="EV7" s="2846" t="s">
        <v>3304</v>
      </c>
      <c r="EW7" s="2846"/>
      <c r="EX7" s="2846" t="s">
        <v>3305</v>
      </c>
      <c r="EY7" s="2846"/>
      <c r="EZ7" s="2846" t="s">
        <v>3306</v>
      </c>
      <c r="FA7" s="2846"/>
      <c r="FB7" s="2846" t="s">
        <v>3936</v>
      </c>
      <c r="FC7" s="2846"/>
      <c r="FD7" s="2846" t="s">
        <v>3308</v>
      </c>
      <c r="FE7" s="2846"/>
      <c r="FF7" s="2846" t="s">
        <v>3309</v>
      </c>
      <c r="FG7" s="2846"/>
      <c r="FH7" s="2846" t="s">
        <v>3319</v>
      </c>
      <c r="FI7" s="2846"/>
      <c r="FJ7" s="2846" t="s">
        <v>3320</v>
      </c>
      <c r="FK7" s="2846"/>
      <c r="FL7" s="2846" t="s">
        <v>3321</v>
      </c>
      <c r="FM7" s="2846"/>
      <c r="FN7" s="2846" t="s">
        <v>2358</v>
      </c>
      <c r="FO7" s="2846"/>
      <c r="FP7" s="2846" t="s">
        <v>3302</v>
      </c>
      <c r="FQ7" s="2846"/>
      <c r="FR7" s="2860"/>
    </row>
    <row r="8" spans="1:245" s="458" customFormat="1" ht="21" customHeight="1">
      <c r="A8" s="2860"/>
      <c r="B8" s="2851" t="s">
        <v>3235</v>
      </c>
      <c r="C8" s="2852"/>
      <c r="D8" s="2851" t="s">
        <v>3310</v>
      </c>
      <c r="E8" s="2852"/>
      <c r="F8" s="2851" t="s">
        <v>3311</v>
      </c>
      <c r="G8" s="2852"/>
      <c r="H8" s="2851" t="s">
        <v>3312</v>
      </c>
      <c r="I8" s="2852"/>
      <c r="J8" s="2851" t="s">
        <v>3313</v>
      </c>
      <c r="K8" s="2852"/>
      <c r="L8" s="2851" t="s">
        <v>3314</v>
      </c>
      <c r="M8" s="2852"/>
      <c r="N8" s="2851" t="s">
        <v>3315</v>
      </c>
      <c r="O8" s="2852"/>
      <c r="P8" s="2851" t="s">
        <v>3316</v>
      </c>
      <c r="Q8" s="2852"/>
      <c r="R8" s="2851" t="s">
        <v>3317</v>
      </c>
      <c r="S8" s="2852"/>
      <c r="T8" s="2851" t="s">
        <v>3324</v>
      </c>
      <c r="U8" s="2852"/>
      <c r="V8" s="2851" t="s">
        <v>3323</v>
      </c>
      <c r="W8" s="2852"/>
      <c r="X8" s="2851" t="s">
        <v>3322</v>
      </c>
      <c r="Y8" s="2852"/>
      <c r="Z8" s="2850" t="s">
        <v>3235</v>
      </c>
      <c r="AA8" s="2850"/>
      <c r="AB8" s="2850" t="s">
        <v>3310</v>
      </c>
      <c r="AC8" s="2850"/>
      <c r="AD8" s="2850" t="s">
        <v>3311</v>
      </c>
      <c r="AE8" s="2850"/>
      <c r="AF8" s="2850" t="s">
        <v>3312</v>
      </c>
      <c r="AG8" s="2850"/>
      <c r="AH8" s="2850" t="s">
        <v>3313</v>
      </c>
      <c r="AI8" s="2850"/>
      <c r="AJ8" s="2850" t="s">
        <v>3314</v>
      </c>
      <c r="AK8" s="2850"/>
      <c r="AL8" s="2850" t="s">
        <v>3315</v>
      </c>
      <c r="AM8" s="2850"/>
      <c r="AN8" s="2850" t="s">
        <v>3316</v>
      </c>
      <c r="AO8" s="2850"/>
      <c r="AP8" s="2850" t="s">
        <v>3317</v>
      </c>
      <c r="AQ8" s="2850"/>
      <c r="AR8" s="2850" t="s">
        <v>3324</v>
      </c>
      <c r="AS8" s="2850"/>
      <c r="AT8" s="2850" t="s">
        <v>3323</v>
      </c>
      <c r="AU8" s="2850"/>
      <c r="AV8" s="2850" t="s">
        <v>3322</v>
      </c>
      <c r="AW8" s="2850"/>
      <c r="AX8" s="2850" t="s">
        <v>3235</v>
      </c>
      <c r="AY8" s="2850"/>
      <c r="AZ8" s="2850" t="s">
        <v>3310</v>
      </c>
      <c r="BA8" s="2850"/>
      <c r="BB8" s="2850" t="s">
        <v>3311</v>
      </c>
      <c r="BC8" s="2850"/>
      <c r="BD8" s="2850" t="s">
        <v>3312</v>
      </c>
      <c r="BE8" s="2850"/>
      <c r="BF8" s="2850" t="s">
        <v>3313</v>
      </c>
      <c r="BG8" s="2850"/>
      <c r="BH8" s="2850" t="s">
        <v>3314</v>
      </c>
      <c r="BI8" s="2850"/>
      <c r="BJ8" s="2850" t="s">
        <v>3315</v>
      </c>
      <c r="BK8" s="2850"/>
      <c r="BL8" s="2850" t="s">
        <v>3316</v>
      </c>
      <c r="BM8" s="2850"/>
      <c r="BN8" s="2850" t="s">
        <v>3317</v>
      </c>
      <c r="BO8" s="2850"/>
      <c r="BP8" s="2850" t="s">
        <v>3324</v>
      </c>
      <c r="BQ8" s="2850"/>
      <c r="BR8" s="2850" t="s">
        <v>3323</v>
      </c>
      <c r="BS8" s="2850"/>
      <c r="BT8" s="2850" t="s">
        <v>3322</v>
      </c>
      <c r="BU8" s="2850"/>
      <c r="BV8" s="2850" t="s">
        <v>3235</v>
      </c>
      <c r="BW8" s="2850"/>
      <c r="BX8" s="2850" t="s">
        <v>3310</v>
      </c>
      <c r="BY8" s="2850"/>
      <c r="BZ8" s="2850" t="s">
        <v>3311</v>
      </c>
      <c r="CA8" s="2850"/>
      <c r="CB8" s="2850" t="s">
        <v>3312</v>
      </c>
      <c r="CC8" s="2850"/>
      <c r="CD8" s="2850" t="s">
        <v>3313</v>
      </c>
      <c r="CE8" s="2850"/>
      <c r="CF8" s="2850" t="s">
        <v>3314</v>
      </c>
      <c r="CG8" s="2850"/>
      <c r="CH8" s="2850" t="s">
        <v>3315</v>
      </c>
      <c r="CI8" s="2850"/>
      <c r="CJ8" s="2850" t="s">
        <v>3316</v>
      </c>
      <c r="CK8" s="2850"/>
      <c r="CL8" s="2850" t="s">
        <v>3317</v>
      </c>
      <c r="CM8" s="2850"/>
      <c r="CN8" s="2850" t="s">
        <v>3324</v>
      </c>
      <c r="CO8" s="2850"/>
      <c r="CP8" s="2850" t="s">
        <v>3323</v>
      </c>
      <c r="CQ8" s="2850"/>
      <c r="CR8" s="2850" t="s">
        <v>3322</v>
      </c>
      <c r="CS8" s="2850"/>
      <c r="CT8" s="2850" t="s">
        <v>3235</v>
      </c>
      <c r="CU8" s="2850"/>
      <c r="CV8" s="2850" t="s">
        <v>3310</v>
      </c>
      <c r="CW8" s="2850"/>
      <c r="CX8" s="2850" t="s">
        <v>3311</v>
      </c>
      <c r="CY8" s="2850"/>
      <c r="CZ8" s="2850" t="s">
        <v>3312</v>
      </c>
      <c r="DA8" s="2850"/>
      <c r="DB8" s="2850" t="s">
        <v>3313</v>
      </c>
      <c r="DC8" s="2850"/>
      <c r="DD8" s="2850" t="s">
        <v>3314</v>
      </c>
      <c r="DE8" s="2850"/>
      <c r="DF8" s="2850" t="s">
        <v>3315</v>
      </c>
      <c r="DG8" s="2850"/>
      <c r="DH8" s="2850" t="s">
        <v>3316</v>
      </c>
      <c r="DI8" s="2850"/>
      <c r="DJ8" s="2850" t="s">
        <v>3317</v>
      </c>
      <c r="DK8" s="2850"/>
      <c r="DL8" s="2850" t="s">
        <v>3324</v>
      </c>
      <c r="DM8" s="2850"/>
      <c r="DN8" s="2850" t="s">
        <v>3323</v>
      </c>
      <c r="DO8" s="2850"/>
      <c r="DP8" s="2850" t="s">
        <v>3322</v>
      </c>
      <c r="DQ8" s="2850"/>
      <c r="DR8" s="2846" t="s">
        <v>3235</v>
      </c>
      <c r="DS8" s="2846"/>
      <c r="DT8" s="2846" t="s">
        <v>3310</v>
      </c>
      <c r="DU8" s="2846"/>
      <c r="DV8" s="2846" t="s">
        <v>3311</v>
      </c>
      <c r="DW8" s="2846"/>
      <c r="DX8" s="2846" t="s">
        <v>3312</v>
      </c>
      <c r="DY8" s="2846"/>
      <c r="DZ8" s="2846" t="s">
        <v>3313</v>
      </c>
      <c r="EA8" s="2846"/>
      <c r="EB8" s="2846" t="s">
        <v>3314</v>
      </c>
      <c r="EC8" s="2846"/>
      <c r="ED8" s="2846" t="s">
        <v>3315</v>
      </c>
      <c r="EE8" s="2846"/>
      <c r="EF8" s="2846" t="s">
        <v>3316</v>
      </c>
      <c r="EG8" s="2846"/>
      <c r="EH8" s="2846" t="s">
        <v>3317</v>
      </c>
      <c r="EI8" s="2846"/>
      <c r="EJ8" s="2846" t="s">
        <v>3478</v>
      </c>
      <c r="EK8" s="2846"/>
      <c r="EL8" s="2846" t="s">
        <v>3506</v>
      </c>
      <c r="EM8" s="2846"/>
      <c r="EN8" s="2846" t="s">
        <v>3556</v>
      </c>
      <c r="EO8" s="2846"/>
      <c r="EP8" s="2846" t="s">
        <v>3235</v>
      </c>
      <c r="EQ8" s="2846"/>
      <c r="ER8" s="2846" t="s">
        <v>3310</v>
      </c>
      <c r="ES8" s="2846"/>
      <c r="ET8" s="2846" t="s">
        <v>3311</v>
      </c>
      <c r="EU8" s="2846"/>
      <c r="EV8" s="2846" t="s">
        <v>3748</v>
      </c>
      <c r="EW8" s="2846"/>
      <c r="EX8" s="2846" t="s">
        <v>3313</v>
      </c>
      <c r="EY8" s="2846"/>
      <c r="EZ8" s="2846" t="s">
        <v>3314</v>
      </c>
      <c r="FA8" s="2846"/>
      <c r="FB8" s="2846" t="s">
        <v>3315</v>
      </c>
      <c r="FC8" s="2846"/>
      <c r="FD8" s="2846" t="s">
        <v>3316</v>
      </c>
      <c r="FE8" s="2846"/>
      <c r="FF8" s="2846" t="s">
        <v>3317</v>
      </c>
      <c r="FG8" s="2846"/>
      <c r="FH8" s="2846" t="s">
        <v>3478</v>
      </c>
      <c r="FI8" s="2846"/>
      <c r="FJ8" s="2846" t="s">
        <v>3506</v>
      </c>
      <c r="FK8" s="2846"/>
      <c r="FL8" s="2846" t="s">
        <v>3556</v>
      </c>
      <c r="FM8" s="2846"/>
      <c r="FN8" s="2846" t="s">
        <v>3235</v>
      </c>
      <c r="FO8" s="2846"/>
      <c r="FP8" s="2846" t="s">
        <v>3310</v>
      </c>
      <c r="FQ8" s="2846"/>
      <c r="FR8" s="2860"/>
    </row>
    <row r="9" spans="1:245" s="458" customFormat="1" ht="48" customHeight="1">
      <c r="A9" s="2860"/>
      <c r="B9" s="1382" t="s">
        <v>3152</v>
      </c>
      <c r="C9" s="1383" t="s">
        <v>2357</v>
      </c>
      <c r="D9" s="1382" t="s">
        <v>3152</v>
      </c>
      <c r="E9" s="1383" t="s">
        <v>2357</v>
      </c>
      <c r="F9" s="1382" t="s">
        <v>3152</v>
      </c>
      <c r="G9" s="1383" t="s">
        <v>2357</v>
      </c>
      <c r="H9" s="1382" t="s">
        <v>3152</v>
      </c>
      <c r="I9" s="1383" t="s">
        <v>2357</v>
      </c>
      <c r="J9" s="1382" t="s">
        <v>3152</v>
      </c>
      <c r="K9" s="1383" t="s">
        <v>2357</v>
      </c>
      <c r="L9" s="1382" t="s">
        <v>3152</v>
      </c>
      <c r="M9" s="1383" t="s">
        <v>2357</v>
      </c>
      <c r="N9" s="1382" t="s">
        <v>3152</v>
      </c>
      <c r="O9" s="1383" t="s">
        <v>2357</v>
      </c>
      <c r="P9" s="1382" t="s">
        <v>3152</v>
      </c>
      <c r="Q9" s="1383" t="s">
        <v>2357</v>
      </c>
      <c r="R9" s="1382" t="s">
        <v>3152</v>
      </c>
      <c r="S9" s="1383" t="s">
        <v>2357</v>
      </c>
      <c r="T9" s="1382" t="s">
        <v>3152</v>
      </c>
      <c r="U9" s="1383" t="s">
        <v>2357</v>
      </c>
      <c r="V9" s="1382" t="s">
        <v>3152</v>
      </c>
      <c r="W9" s="1383" t="s">
        <v>2357</v>
      </c>
      <c r="X9" s="1382" t="s">
        <v>3152</v>
      </c>
      <c r="Y9" s="1383" t="s">
        <v>2357</v>
      </c>
      <c r="Z9" s="1382" t="s">
        <v>3152</v>
      </c>
      <c r="AA9" s="1383" t="s">
        <v>2357</v>
      </c>
      <c r="AB9" s="1382" t="s">
        <v>3152</v>
      </c>
      <c r="AC9" s="1383" t="s">
        <v>2357</v>
      </c>
      <c r="AD9" s="1382" t="s">
        <v>3152</v>
      </c>
      <c r="AE9" s="1383" t="s">
        <v>2357</v>
      </c>
      <c r="AF9" s="1382" t="s">
        <v>3152</v>
      </c>
      <c r="AG9" s="1383" t="s">
        <v>2357</v>
      </c>
      <c r="AH9" s="1382" t="s">
        <v>3152</v>
      </c>
      <c r="AI9" s="1383" t="s">
        <v>2357</v>
      </c>
      <c r="AJ9" s="1382" t="s">
        <v>3152</v>
      </c>
      <c r="AK9" s="1383" t="s">
        <v>2357</v>
      </c>
      <c r="AL9" s="1382" t="s">
        <v>3152</v>
      </c>
      <c r="AM9" s="1383" t="s">
        <v>2357</v>
      </c>
      <c r="AN9" s="1382" t="s">
        <v>3152</v>
      </c>
      <c r="AO9" s="1383" t="s">
        <v>2357</v>
      </c>
      <c r="AP9" s="1382" t="s">
        <v>3152</v>
      </c>
      <c r="AQ9" s="1383" t="s">
        <v>2357</v>
      </c>
      <c r="AR9" s="1382" t="s">
        <v>3152</v>
      </c>
      <c r="AS9" s="1383" t="s">
        <v>2357</v>
      </c>
      <c r="AT9" s="1382" t="s">
        <v>3152</v>
      </c>
      <c r="AU9" s="1383" t="s">
        <v>2357</v>
      </c>
      <c r="AV9" s="1382" t="s">
        <v>3152</v>
      </c>
      <c r="AW9" s="1383" t="s">
        <v>2357</v>
      </c>
      <c r="AX9" s="1382" t="s">
        <v>3152</v>
      </c>
      <c r="AY9" s="1383" t="s">
        <v>2357</v>
      </c>
      <c r="AZ9" s="1382" t="s">
        <v>3152</v>
      </c>
      <c r="BA9" s="1383" t="s">
        <v>2357</v>
      </c>
      <c r="BB9" s="1382" t="s">
        <v>3152</v>
      </c>
      <c r="BC9" s="1383" t="s">
        <v>2357</v>
      </c>
      <c r="BD9" s="1382" t="s">
        <v>3152</v>
      </c>
      <c r="BE9" s="1383" t="s">
        <v>2357</v>
      </c>
      <c r="BF9" s="1382" t="s">
        <v>3152</v>
      </c>
      <c r="BG9" s="1383" t="s">
        <v>2357</v>
      </c>
      <c r="BH9" s="1382" t="s">
        <v>3152</v>
      </c>
      <c r="BI9" s="1383" t="s">
        <v>2357</v>
      </c>
      <c r="BJ9" s="1382" t="s">
        <v>3152</v>
      </c>
      <c r="BK9" s="1383" t="s">
        <v>2357</v>
      </c>
      <c r="BL9" s="1382" t="s">
        <v>3152</v>
      </c>
      <c r="BM9" s="1383" t="s">
        <v>2357</v>
      </c>
      <c r="BN9" s="1382" t="s">
        <v>3152</v>
      </c>
      <c r="BO9" s="1383" t="s">
        <v>2357</v>
      </c>
      <c r="BP9" s="1382" t="s">
        <v>3152</v>
      </c>
      <c r="BQ9" s="1383" t="s">
        <v>2357</v>
      </c>
      <c r="BR9" s="1382" t="s">
        <v>3152</v>
      </c>
      <c r="BS9" s="1383" t="s">
        <v>2357</v>
      </c>
      <c r="BT9" s="1382" t="s">
        <v>3152</v>
      </c>
      <c r="BU9" s="1383" t="s">
        <v>2357</v>
      </c>
      <c r="BV9" s="1382" t="s">
        <v>3152</v>
      </c>
      <c r="BW9" s="1383" t="s">
        <v>2357</v>
      </c>
      <c r="BX9" s="1382" t="s">
        <v>3152</v>
      </c>
      <c r="BY9" s="1383" t="s">
        <v>2357</v>
      </c>
      <c r="BZ9" s="1382" t="s">
        <v>3152</v>
      </c>
      <c r="CA9" s="1383" t="s">
        <v>2357</v>
      </c>
      <c r="CB9" s="1382" t="s">
        <v>3152</v>
      </c>
      <c r="CC9" s="1383" t="s">
        <v>2357</v>
      </c>
      <c r="CD9" s="1382" t="s">
        <v>3152</v>
      </c>
      <c r="CE9" s="1383" t="s">
        <v>2357</v>
      </c>
      <c r="CF9" s="1382" t="s">
        <v>3152</v>
      </c>
      <c r="CG9" s="1383" t="s">
        <v>2357</v>
      </c>
      <c r="CH9" s="1382" t="s">
        <v>3152</v>
      </c>
      <c r="CI9" s="1383" t="s">
        <v>2357</v>
      </c>
      <c r="CJ9" s="1382" t="s">
        <v>3152</v>
      </c>
      <c r="CK9" s="1383" t="s">
        <v>2357</v>
      </c>
      <c r="CL9" s="1382" t="s">
        <v>3152</v>
      </c>
      <c r="CM9" s="1383" t="s">
        <v>2357</v>
      </c>
      <c r="CN9" s="1382" t="s">
        <v>3152</v>
      </c>
      <c r="CO9" s="1383" t="s">
        <v>2357</v>
      </c>
      <c r="CP9" s="1382" t="s">
        <v>3152</v>
      </c>
      <c r="CQ9" s="1383" t="s">
        <v>2357</v>
      </c>
      <c r="CR9" s="1382" t="s">
        <v>3152</v>
      </c>
      <c r="CS9" s="1383" t="s">
        <v>2357</v>
      </c>
      <c r="CT9" s="1382" t="s">
        <v>3152</v>
      </c>
      <c r="CU9" s="1383" t="s">
        <v>2357</v>
      </c>
      <c r="CV9" s="1382" t="s">
        <v>3152</v>
      </c>
      <c r="CW9" s="1383" t="s">
        <v>2357</v>
      </c>
      <c r="CX9" s="1382" t="s">
        <v>3152</v>
      </c>
      <c r="CY9" s="1383" t="s">
        <v>2357</v>
      </c>
      <c r="CZ9" s="1382" t="s">
        <v>3152</v>
      </c>
      <c r="DA9" s="1383" t="s">
        <v>2357</v>
      </c>
      <c r="DB9" s="1382" t="s">
        <v>3152</v>
      </c>
      <c r="DC9" s="1383" t="s">
        <v>2357</v>
      </c>
      <c r="DD9" s="1382" t="s">
        <v>3152</v>
      </c>
      <c r="DE9" s="1383" t="s">
        <v>2357</v>
      </c>
      <c r="DF9" s="1382" t="s">
        <v>3152</v>
      </c>
      <c r="DG9" s="1383" t="s">
        <v>2357</v>
      </c>
      <c r="DH9" s="1382" t="s">
        <v>3152</v>
      </c>
      <c r="DI9" s="1383" t="s">
        <v>2357</v>
      </c>
      <c r="DJ9" s="1382" t="s">
        <v>3152</v>
      </c>
      <c r="DK9" s="1383" t="s">
        <v>2357</v>
      </c>
      <c r="DL9" s="1382" t="s">
        <v>3152</v>
      </c>
      <c r="DM9" s="1383" t="s">
        <v>2357</v>
      </c>
      <c r="DN9" s="1382" t="s">
        <v>3152</v>
      </c>
      <c r="DO9" s="1383" t="s">
        <v>2357</v>
      </c>
      <c r="DP9" s="1382" t="s">
        <v>3152</v>
      </c>
      <c r="DQ9" s="1383" t="s">
        <v>2357</v>
      </c>
      <c r="DR9" s="1382" t="s">
        <v>3152</v>
      </c>
      <c r="DS9" s="1383" t="s">
        <v>2357</v>
      </c>
      <c r="DT9" s="1382" t="s">
        <v>3152</v>
      </c>
      <c r="DU9" s="1383" t="s">
        <v>2357</v>
      </c>
      <c r="DV9" s="1382" t="s">
        <v>3152</v>
      </c>
      <c r="DW9" s="1383" t="s">
        <v>2357</v>
      </c>
      <c r="DX9" s="1382" t="s">
        <v>3152</v>
      </c>
      <c r="DY9" s="1383" t="s">
        <v>2357</v>
      </c>
      <c r="DZ9" s="1382" t="s">
        <v>3152</v>
      </c>
      <c r="EA9" s="1383" t="s">
        <v>2357</v>
      </c>
      <c r="EB9" s="1382" t="s">
        <v>3152</v>
      </c>
      <c r="EC9" s="1383" t="s">
        <v>2357</v>
      </c>
      <c r="ED9" s="1382" t="s">
        <v>3152</v>
      </c>
      <c r="EE9" s="1383" t="s">
        <v>2357</v>
      </c>
      <c r="EF9" s="1383" t="s">
        <v>3152</v>
      </c>
      <c r="EG9" s="1383" t="s">
        <v>2357</v>
      </c>
      <c r="EH9" s="1382" t="s">
        <v>3152</v>
      </c>
      <c r="EI9" s="1383" t="s">
        <v>2357</v>
      </c>
      <c r="EJ9" s="1382" t="s">
        <v>3152</v>
      </c>
      <c r="EK9" s="1383" t="s">
        <v>2357</v>
      </c>
      <c r="EL9" s="1382" t="s">
        <v>3152</v>
      </c>
      <c r="EM9" s="1383" t="s">
        <v>2357</v>
      </c>
      <c r="EN9" s="1382" t="s">
        <v>3152</v>
      </c>
      <c r="EO9" s="1383" t="s">
        <v>2357</v>
      </c>
      <c r="EP9" s="1382" t="s">
        <v>3152</v>
      </c>
      <c r="EQ9" s="1383" t="s">
        <v>2357</v>
      </c>
      <c r="ER9" s="1382" t="s">
        <v>3152</v>
      </c>
      <c r="ES9" s="1383" t="s">
        <v>2357</v>
      </c>
      <c r="ET9" s="1383" t="s">
        <v>3152</v>
      </c>
      <c r="EU9" s="1383" t="s">
        <v>2357</v>
      </c>
      <c r="EV9" s="1382" t="s">
        <v>3152</v>
      </c>
      <c r="EW9" s="1383" t="s">
        <v>2357</v>
      </c>
      <c r="EX9" s="1382" t="s">
        <v>3152</v>
      </c>
      <c r="EY9" s="1383" t="s">
        <v>2357</v>
      </c>
      <c r="EZ9" s="1383" t="s">
        <v>3152</v>
      </c>
      <c r="FA9" s="1383" t="s">
        <v>2357</v>
      </c>
      <c r="FB9" s="1382" t="s">
        <v>3152</v>
      </c>
      <c r="FC9" s="1383" t="s">
        <v>2357</v>
      </c>
      <c r="FD9" s="1382" t="s">
        <v>3152</v>
      </c>
      <c r="FE9" s="1383" t="s">
        <v>2357</v>
      </c>
      <c r="FF9" s="1382" t="s">
        <v>3152</v>
      </c>
      <c r="FG9" s="1383" t="s">
        <v>2357</v>
      </c>
      <c r="FH9" s="1382" t="s">
        <v>3152</v>
      </c>
      <c r="FI9" s="1383" t="s">
        <v>2357</v>
      </c>
      <c r="FJ9" s="1383" t="s">
        <v>3152</v>
      </c>
      <c r="FK9" s="1383" t="s">
        <v>2357</v>
      </c>
      <c r="FL9" s="1382" t="s">
        <v>3152</v>
      </c>
      <c r="FM9" s="1383" t="s">
        <v>2357</v>
      </c>
      <c r="FN9" s="1382" t="s">
        <v>3152</v>
      </c>
      <c r="FO9" s="1383" t="s">
        <v>2357</v>
      </c>
      <c r="FP9" s="1382" t="s">
        <v>3152</v>
      </c>
      <c r="FQ9" s="1383" t="s">
        <v>2357</v>
      </c>
      <c r="FR9" s="2860"/>
    </row>
    <row r="10" spans="1:245" s="458" customFormat="1" ht="39" customHeight="1">
      <c r="A10" s="2861"/>
      <c r="B10" s="1382" t="s">
        <v>3236</v>
      </c>
      <c r="C10" s="1383" t="s">
        <v>3237</v>
      </c>
      <c r="D10" s="1382" t="s">
        <v>3236</v>
      </c>
      <c r="E10" s="1383" t="s">
        <v>3237</v>
      </c>
      <c r="F10" s="1382" t="s">
        <v>3236</v>
      </c>
      <c r="G10" s="1383" t="s">
        <v>3237</v>
      </c>
      <c r="H10" s="1382" t="s">
        <v>3236</v>
      </c>
      <c r="I10" s="1383" t="s">
        <v>3237</v>
      </c>
      <c r="J10" s="1382" t="s">
        <v>3236</v>
      </c>
      <c r="K10" s="1383" t="s">
        <v>3237</v>
      </c>
      <c r="L10" s="1382" t="s">
        <v>3236</v>
      </c>
      <c r="M10" s="1383" t="s">
        <v>3237</v>
      </c>
      <c r="N10" s="1382" t="s">
        <v>3236</v>
      </c>
      <c r="O10" s="1383" t="s">
        <v>3237</v>
      </c>
      <c r="P10" s="1382" t="s">
        <v>3236</v>
      </c>
      <c r="Q10" s="1383" t="s">
        <v>3237</v>
      </c>
      <c r="R10" s="1382" t="s">
        <v>3236</v>
      </c>
      <c r="S10" s="1383" t="s">
        <v>3237</v>
      </c>
      <c r="T10" s="1382" t="s">
        <v>3236</v>
      </c>
      <c r="U10" s="1383" t="s">
        <v>3237</v>
      </c>
      <c r="V10" s="1382" t="s">
        <v>3236</v>
      </c>
      <c r="W10" s="1383" t="s">
        <v>3237</v>
      </c>
      <c r="X10" s="1382" t="s">
        <v>3236</v>
      </c>
      <c r="Y10" s="1383" t="s">
        <v>3237</v>
      </c>
      <c r="Z10" s="1382" t="s">
        <v>3236</v>
      </c>
      <c r="AA10" s="1383" t="s">
        <v>3237</v>
      </c>
      <c r="AB10" s="1382" t="s">
        <v>3236</v>
      </c>
      <c r="AC10" s="1383" t="s">
        <v>3237</v>
      </c>
      <c r="AD10" s="1382" t="s">
        <v>3236</v>
      </c>
      <c r="AE10" s="1383" t="s">
        <v>3237</v>
      </c>
      <c r="AF10" s="1382" t="s">
        <v>3236</v>
      </c>
      <c r="AG10" s="1383" t="s">
        <v>3237</v>
      </c>
      <c r="AH10" s="1382" t="s">
        <v>3236</v>
      </c>
      <c r="AI10" s="1383" t="s">
        <v>3237</v>
      </c>
      <c r="AJ10" s="1382" t="s">
        <v>3236</v>
      </c>
      <c r="AK10" s="1383" t="s">
        <v>3237</v>
      </c>
      <c r="AL10" s="1382" t="s">
        <v>3236</v>
      </c>
      <c r="AM10" s="1383" t="s">
        <v>3237</v>
      </c>
      <c r="AN10" s="1382" t="s">
        <v>3236</v>
      </c>
      <c r="AO10" s="1383" t="s">
        <v>3237</v>
      </c>
      <c r="AP10" s="1382" t="s">
        <v>3236</v>
      </c>
      <c r="AQ10" s="1383" t="s">
        <v>3237</v>
      </c>
      <c r="AR10" s="1382" t="s">
        <v>3236</v>
      </c>
      <c r="AS10" s="1383" t="s">
        <v>3237</v>
      </c>
      <c r="AT10" s="1382" t="s">
        <v>3236</v>
      </c>
      <c r="AU10" s="1383" t="s">
        <v>3237</v>
      </c>
      <c r="AV10" s="1382" t="s">
        <v>3236</v>
      </c>
      <c r="AW10" s="1383" t="s">
        <v>3237</v>
      </c>
      <c r="AX10" s="1382" t="s">
        <v>3236</v>
      </c>
      <c r="AY10" s="1383" t="s">
        <v>3237</v>
      </c>
      <c r="AZ10" s="1382" t="s">
        <v>3236</v>
      </c>
      <c r="BA10" s="1383" t="s">
        <v>3237</v>
      </c>
      <c r="BB10" s="1382" t="s">
        <v>3236</v>
      </c>
      <c r="BC10" s="1383" t="s">
        <v>3237</v>
      </c>
      <c r="BD10" s="1382" t="s">
        <v>3236</v>
      </c>
      <c r="BE10" s="1383" t="s">
        <v>3237</v>
      </c>
      <c r="BF10" s="1382" t="s">
        <v>3236</v>
      </c>
      <c r="BG10" s="1383" t="s">
        <v>3237</v>
      </c>
      <c r="BH10" s="1382" t="s">
        <v>3236</v>
      </c>
      <c r="BI10" s="1383" t="s">
        <v>3237</v>
      </c>
      <c r="BJ10" s="1382" t="s">
        <v>3236</v>
      </c>
      <c r="BK10" s="1383" t="s">
        <v>3237</v>
      </c>
      <c r="BL10" s="1382" t="s">
        <v>3236</v>
      </c>
      <c r="BM10" s="1383" t="s">
        <v>3237</v>
      </c>
      <c r="BN10" s="1382" t="s">
        <v>3236</v>
      </c>
      <c r="BO10" s="1383" t="s">
        <v>3237</v>
      </c>
      <c r="BP10" s="1382" t="s">
        <v>3236</v>
      </c>
      <c r="BQ10" s="1383" t="s">
        <v>3237</v>
      </c>
      <c r="BR10" s="1382" t="s">
        <v>3236</v>
      </c>
      <c r="BS10" s="1383" t="s">
        <v>3237</v>
      </c>
      <c r="BT10" s="1382" t="s">
        <v>3236</v>
      </c>
      <c r="BU10" s="1383" t="s">
        <v>3237</v>
      </c>
      <c r="BV10" s="1382" t="s">
        <v>3236</v>
      </c>
      <c r="BW10" s="1383" t="s">
        <v>3237</v>
      </c>
      <c r="BX10" s="1382" t="s">
        <v>3236</v>
      </c>
      <c r="BY10" s="1383" t="s">
        <v>3237</v>
      </c>
      <c r="BZ10" s="1382" t="s">
        <v>3236</v>
      </c>
      <c r="CA10" s="1383" t="s">
        <v>3237</v>
      </c>
      <c r="CB10" s="1382" t="s">
        <v>3236</v>
      </c>
      <c r="CC10" s="1383" t="s">
        <v>3237</v>
      </c>
      <c r="CD10" s="1382" t="s">
        <v>3236</v>
      </c>
      <c r="CE10" s="1383" t="s">
        <v>3237</v>
      </c>
      <c r="CF10" s="1382" t="s">
        <v>3236</v>
      </c>
      <c r="CG10" s="1383" t="s">
        <v>3237</v>
      </c>
      <c r="CH10" s="1382" t="s">
        <v>3236</v>
      </c>
      <c r="CI10" s="1383" t="s">
        <v>3237</v>
      </c>
      <c r="CJ10" s="1382" t="s">
        <v>3236</v>
      </c>
      <c r="CK10" s="1383" t="s">
        <v>3237</v>
      </c>
      <c r="CL10" s="1382" t="s">
        <v>3236</v>
      </c>
      <c r="CM10" s="1383" t="s">
        <v>3237</v>
      </c>
      <c r="CN10" s="1382" t="s">
        <v>3236</v>
      </c>
      <c r="CO10" s="1383" t="s">
        <v>3237</v>
      </c>
      <c r="CP10" s="1382" t="s">
        <v>3236</v>
      </c>
      <c r="CQ10" s="1383" t="s">
        <v>3237</v>
      </c>
      <c r="CR10" s="1382" t="s">
        <v>3236</v>
      </c>
      <c r="CS10" s="1383" t="s">
        <v>3237</v>
      </c>
      <c r="CT10" s="1382" t="s">
        <v>3236</v>
      </c>
      <c r="CU10" s="1383" t="s">
        <v>3237</v>
      </c>
      <c r="CV10" s="1382" t="s">
        <v>3236</v>
      </c>
      <c r="CW10" s="1383" t="s">
        <v>3237</v>
      </c>
      <c r="CX10" s="1382" t="s">
        <v>3236</v>
      </c>
      <c r="CY10" s="1383" t="s">
        <v>3237</v>
      </c>
      <c r="CZ10" s="1382" t="s">
        <v>3236</v>
      </c>
      <c r="DA10" s="1383" t="s">
        <v>3237</v>
      </c>
      <c r="DB10" s="1382" t="s">
        <v>3236</v>
      </c>
      <c r="DC10" s="1383" t="s">
        <v>3237</v>
      </c>
      <c r="DD10" s="1382" t="s">
        <v>3236</v>
      </c>
      <c r="DE10" s="1383" t="s">
        <v>3237</v>
      </c>
      <c r="DF10" s="1382" t="s">
        <v>3236</v>
      </c>
      <c r="DG10" s="1383" t="s">
        <v>3237</v>
      </c>
      <c r="DH10" s="1382" t="s">
        <v>3236</v>
      </c>
      <c r="DI10" s="1383" t="s">
        <v>3237</v>
      </c>
      <c r="DJ10" s="1382" t="s">
        <v>3236</v>
      </c>
      <c r="DK10" s="1383" t="s">
        <v>3237</v>
      </c>
      <c r="DL10" s="1382" t="s">
        <v>3236</v>
      </c>
      <c r="DM10" s="1383" t="s">
        <v>3237</v>
      </c>
      <c r="DN10" s="1382" t="s">
        <v>3236</v>
      </c>
      <c r="DO10" s="1383" t="s">
        <v>3237</v>
      </c>
      <c r="DP10" s="1382" t="s">
        <v>3236</v>
      </c>
      <c r="DQ10" s="1383" t="s">
        <v>3237</v>
      </c>
      <c r="DR10" s="1382" t="s">
        <v>3236</v>
      </c>
      <c r="DS10" s="1383" t="s">
        <v>3237</v>
      </c>
      <c r="DT10" s="1382" t="s">
        <v>3236</v>
      </c>
      <c r="DU10" s="1383" t="s">
        <v>3237</v>
      </c>
      <c r="DV10" s="1382" t="s">
        <v>3236</v>
      </c>
      <c r="DW10" s="1383" t="s">
        <v>3237</v>
      </c>
      <c r="DX10" s="1382" t="s">
        <v>3236</v>
      </c>
      <c r="DY10" s="1383" t="s">
        <v>3237</v>
      </c>
      <c r="DZ10" s="1382" t="s">
        <v>3236</v>
      </c>
      <c r="EA10" s="1383" t="s">
        <v>3237</v>
      </c>
      <c r="EB10" s="1382" t="s">
        <v>3236</v>
      </c>
      <c r="EC10" s="1383" t="s">
        <v>3237</v>
      </c>
      <c r="ED10" s="1382" t="s">
        <v>3236</v>
      </c>
      <c r="EE10" s="1383" t="s">
        <v>3237</v>
      </c>
      <c r="EF10" s="1383" t="s">
        <v>3236</v>
      </c>
      <c r="EG10" s="1383" t="s">
        <v>3237</v>
      </c>
      <c r="EH10" s="1382" t="s">
        <v>3236</v>
      </c>
      <c r="EI10" s="1383" t="s">
        <v>3237</v>
      </c>
      <c r="EJ10" s="1382" t="s">
        <v>3236</v>
      </c>
      <c r="EK10" s="1383" t="s">
        <v>3237</v>
      </c>
      <c r="EL10" s="1382" t="s">
        <v>3236</v>
      </c>
      <c r="EM10" s="1383" t="s">
        <v>3237</v>
      </c>
      <c r="EN10" s="1382" t="s">
        <v>3236</v>
      </c>
      <c r="EO10" s="1383" t="s">
        <v>3237</v>
      </c>
      <c r="EP10" s="1382" t="s">
        <v>3236</v>
      </c>
      <c r="EQ10" s="1383" t="s">
        <v>3237</v>
      </c>
      <c r="ER10" s="1382" t="s">
        <v>3236</v>
      </c>
      <c r="ES10" s="1383" t="s">
        <v>3237</v>
      </c>
      <c r="ET10" s="1383" t="s">
        <v>3236</v>
      </c>
      <c r="EU10" s="1383" t="s">
        <v>3237</v>
      </c>
      <c r="EV10" s="1382" t="s">
        <v>3236</v>
      </c>
      <c r="EW10" s="1383" t="s">
        <v>3237</v>
      </c>
      <c r="EX10" s="1382" t="s">
        <v>3236</v>
      </c>
      <c r="EY10" s="1383" t="s">
        <v>3237</v>
      </c>
      <c r="EZ10" s="1383" t="s">
        <v>3236</v>
      </c>
      <c r="FA10" s="1383" t="s">
        <v>3237</v>
      </c>
      <c r="FB10" s="1382" t="s">
        <v>3236</v>
      </c>
      <c r="FC10" s="1383" t="s">
        <v>3237</v>
      </c>
      <c r="FD10" s="1382" t="s">
        <v>3236</v>
      </c>
      <c r="FE10" s="1383" t="s">
        <v>3237</v>
      </c>
      <c r="FF10" s="1382" t="s">
        <v>3236</v>
      </c>
      <c r="FG10" s="1383" t="s">
        <v>3237</v>
      </c>
      <c r="FH10" s="1382" t="s">
        <v>3236</v>
      </c>
      <c r="FI10" s="1383" t="s">
        <v>3237</v>
      </c>
      <c r="FJ10" s="1383" t="s">
        <v>3236</v>
      </c>
      <c r="FK10" s="1383" t="s">
        <v>3237</v>
      </c>
      <c r="FL10" s="1382" t="s">
        <v>3236</v>
      </c>
      <c r="FM10" s="1383" t="s">
        <v>3237</v>
      </c>
      <c r="FN10" s="1382" t="s">
        <v>3236</v>
      </c>
      <c r="FO10" s="1383" t="s">
        <v>3237</v>
      </c>
      <c r="FP10" s="1382" t="s">
        <v>3236</v>
      </c>
      <c r="FQ10" s="1383" t="s">
        <v>3237</v>
      </c>
      <c r="FR10" s="2861"/>
    </row>
    <row r="11" spans="1:245" s="458" customFormat="1" ht="22.5" customHeight="1">
      <c r="A11" s="1379" t="s">
        <v>2356</v>
      </c>
      <c r="B11" s="1380">
        <f t="shared" ref="B11:BM11" si="0">B13+B18</f>
        <v>59108.279780000012</v>
      </c>
      <c r="C11" s="1380">
        <f t="shared" si="0"/>
        <v>22825.83741</v>
      </c>
      <c r="D11" s="1380">
        <f t="shared" si="0"/>
        <v>81436.483720438002</v>
      </c>
      <c r="E11" s="1380">
        <f t="shared" si="0"/>
        <v>35909.666469999996</v>
      </c>
      <c r="F11" s="1380">
        <f t="shared" si="0"/>
        <v>111913.34434000001</v>
      </c>
      <c r="G11" s="1380">
        <f t="shared" si="0"/>
        <v>47343.730989999996</v>
      </c>
      <c r="H11" s="1380">
        <f t="shared" si="0"/>
        <v>140766.13191</v>
      </c>
      <c r="I11" s="1380">
        <f t="shared" si="0"/>
        <v>57751.798999999999</v>
      </c>
      <c r="J11" s="1380">
        <f t="shared" si="0"/>
        <v>172647.03302999999</v>
      </c>
      <c r="K11" s="1380">
        <f t="shared" si="0"/>
        <v>75934.496589999995</v>
      </c>
      <c r="L11" s="1380">
        <f t="shared" si="0"/>
        <v>193802.48547999898</v>
      </c>
      <c r="M11" s="1380">
        <f t="shared" si="0"/>
        <v>98573.162280000004</v>
      </c>
      <c r="N11" s="1380">
        <f t="shared" si="0"/>
        <v>223457.58611999999</v>
      </c>
      <c r="O11" s="1380">
        <f t="shared" si="0"/>
        <v>113319.80238000001</v>
      </c>
      <c r="P11" s="1380">
        <f t="shared" si="0"/>
        <v>252978.3707</v>
      </c>
      <c r="Q11" s="1380">
        <f t="shared" si="0"/>
        <v>130746.44103</v>
      </c>
      <c r="R11" s="1380">
        <f t="shared" si="0"/>
        <v>281647.78428000002</v>
      </c>
      <c r="S11" s="1380">
        <f t="shared" si="0"/>
        <v>147725.55063000001</v>
      </c>
      <c r="T11" s="1380">
        <f t="shared" si="0"/>
        <v>307301.93542999995</v>
      </c>
      <c r="U11" s="1380">
        <f t="shared" si="0"/>
        <v>158899.80316000001</v>
      </c>
      <c r="V11" s="1380">
        <f t="shared" si="0"/>
        <v>335764.63698000001</v>
      </c>
      <c r="W11" s="1380">
        <f t="shared" si="0"/>
        <v>179718.84656000001</v>
      </c>
      <c r="X11" s="1380">
        <f t="shared" si="0"/>
        <v>375231.47305000003</v>
      </c>
      <c r="Y11" s="1380">
        <f t="shared" si="0"/>
        <v>199424.8922</v>
      </c>
      <c r="Z11" s="1380">
        <f t="shared" si="0"/>
        <v>71858.84438000001</v>
      </c>
      <c r="AA11" s="1380">
        <f t="shared" si="0"/>
        <v>17992.852439000002</v>
      </c>
      <c r="AB11" s="1380">
        <f t="shared" si="0"/>
        <v>106779.38829</v>
      </c>
      <c r="AC11" s="1380">
        <f t="shared" si="0"/>
        <v>29637.924689999996</v>
      </c>
      <c r="AD11" s="1380">
        <f t="shared" si="0"/>
        <v>157059.21796000001</v>
      </c>
      <c r="AE11" s="1380">
        <f t="shared" si="0"/>
        <v>44436.488689999998</v>
      </c>
      <c r="AF11" s="1380">
        <f t="shared" si="0"/>
        <v>220860.59321999998</v>
      </c>
      <c r="AG11" s="1380">
        <f t="shared" si="0"/>
        <v>56936.578020000001</v>
      </c>
      <c r="AH11" s="1380">
        <f t="shared" si="0"/>
        <v>255408.53672999999</v>
      </c>
      <c r="AI11" s="1380">
        <f t="shared" si="0"/>
        <v>69784.150410000002</v>
      </c>
      <c r="AJ11" s="1380">
        <f t="shared" si="0"/>
        <v>286838.38493000006</v>
      </c>
      <c r="AK11" s="1380">
        <f t="shared" si="0"/>
        <v>87105.885379999992</v>
      </c>
      <c r="AL11" s="1380">
        <f t="shared" si="0"/>
        <v>334477.69801000005</v>
      </c>
      <c r="AM11" s="1380">
        <f t="shared" si="0"/>
        <v>107509.6238</v>
      </c>
      <c r="AN11" s="1380">
        <f t="shared" si="0"/>
        <v>374662.73365000007</v>
      </c>
      <c r="AO11" s="1380">
        <f t="shared" si="0"/>
        <v>124639.48737000002</v>
      </c>
      <c r="AP11" s="1380">
        <f t="shared" si="0"/>
        <v>414944.60618999996</v>
      </c>
      <c r="AQ11" s="1380">
        <f t="shared" si="0"/>
        <v>137320.01965999999</v>
      </c>
      <c r="AR11" s="1380">
        <f t="shared" si="0"/>
        <v>450761.31994000002</v>
      </c>
      <c r="AS11" s="1380">
        <f t="shared" si="0"/>
        <v>149741.78434000001</v>
      </c>
      <c r="AT11" s="1380">
        <f t="shared" si="0"/>
        <v>485320.29032000003</v>
      </c>
      <c r="AU11" s="1380">
        <f t="shared" si="0"/>
        <v>162417.86358999999</v>
      </c>
      <c r="AV11" s="1380">
        <f t="shared" si="0"/>
        <v>536146.87455000007</v>
      </c>
      <c r="AW11" s="1380">
        <f t="shared" si="0"/>
        <v>172564.83457000001</v>
      </c>
      <c r="AX11" s="1380">
        <f t="shared" si="0"/>
        <v>72588.431540000005</v>
      </c>
      <c r="AY11" s="1380">
        <f t="shared" si="0"/>
        <v>10793.73616</v>
      </c>
      <c r="AZ11" s="1380">
        <f t="shared" si="0"/>
        <v>103950.46861000001</v>
      </c>
      <c r="BA11" s="1380">
        <f t="shared" si="0"/>
        <v>21337.961309999999</v>
      </c>
      <c r="BB11" s="1380">
        <f t="shared" si="0"/>
        <v>129931.37953999999</v>
      </c>
      <c r="BC11" s="1380">
        <f t="shared" si="0"/>
        <v>29912.106050000002</v>
      </c>
      <c r="BD11" s="1380">
        <f t="shared" si="0"/>
        <v>176202.44117000001</v>
      </c>
      <c r="BE11" s="1380">
        <f t="shared" si="0"/>
        <v>43346.339839999993</v>
      </c>
      <c r="BF11" s="1380">
        <f t="shared" si="0"/>
        <v>212707.16513000001</v>
      </c>
      <c r="BG11" s="1380">
        <f t="shared" si="0"/>
        <v>64023.06897</v>
      </c>
      <c r="BH11" s="1380">
        <f t="shared" si="0"/>
        <v>241792.75234999997</v>
      </c>
      <c r="BI11" s="1380">
        <f t="shared" si="0"/>
        <v>83268.621169999999</v>
      </c>
      <c r="BJ11" s="1380">
        <f t="shared" si="0"/>
        <v>285603.54849000007</v>
      </c>
      <c r="BK11" s="1380">
        <f t="shared" si="0"/>
        <v>109987.84782</v>
      </c>
      <c r="BL11" s="1380">
        <f t="shared" si="0"/>
        <v>315589.47619000002</v>
      </c>
      <c r="BM11" s="1380">
        <f t="shared" si="0"/>
        <v>124122.9552</v>
      </c>
      <c r="BN11" s="1380">
        <f t="shared" ref="BN11:DY11" si="1">BN13+BN18</f>
        <v>351722.18362999998</v>
      </c>
      <c r="BO11" s="1380">
        <f t="shared" si="1"/>
        <v>143441.67624</v>
      </c>
      <c r="BP11" s="1380">
        <f t="shared" si="1"/>
        <v>387027.81017000001</v>
      </c>
      <c r="BQ11" s="1380">
        <f t="shared" si="1"/>
        <v>159657.07675000001</v>
      </c>
      <c r="BR11" s="1380">
        <f t="shared" si="1"/>
        <v>417814.97445999994</v>
      </c>
      <c r="BS11" s="1380">
        <f t="shared" si="1"/>
        <v>179540.27496000001</v>
      </c>
      <c r="BT11" s="1380">
        <f t="shared" si="1"/>
        <v>456604.20232000004</v>
      </c>
      <c r="BU11" s="1380">
        <f t="shared" si="1"/>
        <v>220910.05273999998</v>
      </c>
      <c r="BV11" s="1380">
        <f t="shared" si="1"/>
        <v>91230.754159999997</v>
      </c>
      <c r="BW11" s="1380">
        <f t="shared" si="1"/>
        <v>19242.320180000002</v>
      </c>
      <c r="BX11" s="1380">
        <f t="shared" si="1"/>
        <v>123466.37974</v>
      </c>
      <c r="BY11" s="1380">
        <f t="shared" si="1"/>
        <v>34198.379480000003</v>
      </c>
      <c r="BZ11" s="1380">
        <f t="shared" si="1"/>
        <v>160517.82574999999</v>
      </c>
      <c r="CA11" s="1380">
        <f t="shared" si="1"/>
        <v>57484.857620000002</v>
      </c>
      <c r="CB11" s="1380">
        <f t="shared" si="1"/>
        <v>209807.27048000001</v>
      </c>
      <c r="CC11" s="1380">
        <f t="shared" si="1"/>
        <v>80282.155119999996</v>
      </c>
      <c r="CD11" s="1380">
        <f t="shared" si="1"/>
        <v>242993.74248999998</v>
      </c>
      <c r="CE11" s="1380">
        <f t="shared" si="1"/>
        <v>110923.35782</v>
      </c>
      <c r="CF11" s="1380">
        <f t="shared" si="1"/>
        <v>274154.15925999999</v>
      </c>
      <c r="CG11" s="1380">
        <f t="shared" si="1"/>
        <v>154018.59525000001</v>
      </c>
      <c r="CH11" s="1380">
        <f t="shared" si="1"/>
        <v>325474.40952999995</v>
      </c>
      <c r="CI11" s="1380">
        <f t="shared" si="1"/>
        <v>188000.64062999998</v>
      </c>
      <c r="CJ11" s="1380">
        <f t="shared" si="1"/>
        <v>365855.32296000002</v>
      </c>
      <c r="CK11" s="1380">
        <f t="shared" si="1"/>
        <v>219085.65304999999</v>
      </c>
      <c r="CL11" s="1380">
        <f t="shared" si="1"/>
        <v>401679.25686999998</v>
      </c>
      <c r="CM11" s="1380">
        <f t="shared" si="1"/>
        <v>257299.08840000001</v>
      </c>
      <c r="CN11" s="1380">
        <f t="shared" si="1"/>
        <v>435222.30601000006</v>
      </c>
      <c r="CO11" s="1380">
        <f t="shared" si="1"/>
        <v>293939.20003000001</v>
      </c>
      <c r="CP11" s="1380">
        <f t="shared" si="1"/>
        <v>461646.02765</v>
      </c>
      <c r="CQ11" s="1380">
        <f t="shared" si="1"/>
        <v>328069.42420999997</v>
      </c>
      <c r="CR11" s="1380">
        <f t="shared" si="1"/>
        <v>502768.70271000004</v>
      </c>
      <c r="CS11" s="1380">
        <f t="shared" si="1"/>
        <v>378741.23450000002</v>
      </c>
      <c r="CT11" s="1380">
        <f t="shared" si="1"/>
        <v>84178.325880000004</v>
      </c>
      <c r="CU11" s="1380">
        <f t="shared" si="1"/>
        <v>37187.69829</v>
      </c>
      <c r="CV11" s="1380">
        <f t="shared" si="1"/>
        <v>117747.58765</v>
      </c>
      <c r="CW11" s="1380">
        <f t="shared" si="1"/>
        <v>67109.673500000004</v>
      </c>
      <c r="CX11" s="1380">
        <f t="shared" si="1"/>
        <v>155647.98918</v>
      </c>
      <c r="CY11" s="1380">
        <f t="shared" si="1"/>
        <v>104330.01140000002</v>
      </c>
      <c r="CZ11" s="1380">
        <f t="shared" si="1"/>
        <v>222416.18964000003</v>
      </c>
      <c r="DA11" s="1380">
        <f t="shared" si="1"/>
        <v>129372.58914</v>
      </c>
      <c r="DB11" s="1380">
        <f t="shared" si="1"/>
        <v>264787.44631000003</v>
      </c>
      <c r="DC11" s="1380">
        <f t="shared" si="1"/>
        <v>151540.48887999999</v>
      </c>
      <c r="DD11" s="1380">
        <f t="shared" si="1"/>
        <v>304513.32678999996</v>
      </c>
      <c r="DE11" s="1380">
        <f t="shared" si="1"/>
        <v>183663.41975</v>
      </c>
      <c r="DF11" s="1380">
        <f t="shared" si="1"/>
        <v>364792.14871999994</v>
      </c>
      <c r="DG11" s="1380">
        <f t="shared" si="1"/>
        <v>228183.79194000002</v>
      </c>
      <c r="DH11" s="1380">
        <f t="shared" si="1"/>
        <v>398829.93345999997</v>
      </c>
      <c r="DI11" s="1380">
        <f t="shared" si="1"/>
        <v>257744.44704</v>
      </c>
      <c r="DJ11" s="1380">
        <f t="shared" si="1"/>
        <v>443835.39465000003</v>
      </c>
      <c r="DK11" s="1380">
        <f t="shared" si="1"/>
        <v>280839.54478300002</v>
      </c>
      <c r="DL11" s="1380">
        <f t="shared" si="1"/>
        <v>482652.29535999999</v>
      </c>
      <c r="DM11" s="1380">
        <f t="shared" si="1"/>
        <v>299848.42320000002</v>
      </c>
      <c r="DN11" s="1380">
        <f t="shared" si="1"/>
        <v>528794.12450999999</v>
      </c>
      <c r="DO11" s="1380">
        <f t="shared" si="1"/>
        <v>319738.47968300001</v>
      </c>
      <c r="DP11" s="1380">
        <f t="shared" si="1"/>
        <v>586594.62865999993</v>
      </c>
      <c r="DQ11" s="1384">
        <f t="shared" si="1"/>
        <v>339265.52567999996</v>
      </c>
      <c r="DR11" s="1394">
        <f t="shared" si="1"/>
        <v>99281.556080000009</v>
      </c>
      <c r="DS11" s="1395">
        <f t="shared" si="1"/>
        <v>9444.8248000000003</v>
      </c>
      <c r="DT11" s="1388">
        <f t="shared" si="1"/>
        <v>143136.26617099997</v>
      </c>
      <c r="DU11" s="1384">
        <f t="shared" si="1"/>
        <v>24463.269250000001</v>
      </c>
      <c r="DV11" s="1406">
        <f t="shared" si="1"/>
        <v>193989.10613999999</v>
      </c>
      <c r="DW11" s="1407">
        <f t="shared" si="1"/>
        <v>38898.655809999997</v>
      </c>
      <c r="DX11" s="1388">
        <f t="shared" si="1"/>
        <v>267745.00729999994</v>
      </c>
      <c r="DY11" s="1384">
        <f t="shared" si="1"/>
        <v>62350.635609999998</v>
      </c>
      <c r="DZ11" s="1406">
        <f t="shared" ref="DZ11:EE11" si="2">DZ13+DZ18</f>
        <v>318065.35183000006</v>
      </c>
      <c r="EA11" s="1407">
        <f t="shared" si="2"/>
        <v>90598.459000000003</v>
      </c>
      <c r="EB11" s="1388">
        <f t="shared" si="2"/>
        <v>366698.12631000008</v>
      </c>
      <c r="EC11" s="1381">
        <f t="shared" si="2"/>
        <v>130249.03214</v>
      </c>
      <c r="ED11" s="1406">
        <f t="shared" si="2"/>
        <v>438710.31428000005</v>
      </c>
      <c r="EE11" s="1407">
        <f t="shared" si="2"/>
        <v>186782.81148000003</v>
      </c>
      <c r="EF11" s="1406">
        <v>493685.8701</v>
      </c>
      <c r="EG11" s="1407">
        <v>220316.80287000001</v>
      </c>
      <c r="EH11" s="1388">
        <v>553565.34953000001</v>
      </c>
      <c r="EI11" s="1381">
        <v>246766.73180000001</v>
      </c>
      <c r="EJ11" s="1388">
        <v>601852.72037</v>
      </c>
      <c r="EK11" s="1381">
        <v>279218.96015000006</v>
      </c>
      <c r="EL11" s="1388">
        <v>657638.55290999997</v>
      </c>
      <c r="EM11" s="1381">
        <v>313746.87060999998</v>
      </c>
      <c r="EN11" s="1388">
        <v>728071.01115999999</v>
      </c>
      <c r="EO11" s="1381">
        <v>337633.16804000002</v>
      </c>
      <c r="EP11" s="1388">
        <v>113490.66243000001</v>
      </c>
      <c r="EQ11" s="1381">
        <v>26870.20695</v>
      </c>
      <c r="ER11" s="1388">
        <v>171427.38548</v>
      </c>
      <c r="ES11" s="1381">
        <v>52591.037230000002</v>
      </c>
      <c r="ET11" s="1631">
        <v>255355.92375000002</v>
      </c>
      <c r="EU11" s="1632">
        <v>78217.819310000006</v>
      </c>
      <c r="EV11" s="1388">
        <v>341853.86812</v>
      </c>
      <c r="EW11" s="1381">
        <v>102501.93807999999</v>
      </c>
      <c r="EX11" s="1388">
        <v>410666.32101000001</v>
      </c>
      <c r="EY11" s="1381">
        <v>133340.32786999998</v>
      </c>
      <c r="EZ11" s="1388">
        <v>470656.02851999999</v>
      </c>
      <c r="FA11" s="1381">
        <v>174824.24132999999</v>
      </c>
      <c r="FB11" s="1388">
        <v>559287.32224999997</v>
      </c>
      <c r="FC11" s="1381">
        <v>221326.00675000003</v>
      </c>
      <c r="FD11" s="1388">
        <v>618920.68718999997</v>
      </c>
      <c r="FE11" s="1381">
        <v>274138.60837999999</v>
      </c>
      <c r="FF11" s="1388">
        <v>686071.20922000008</v>
      </c>
      <c r="FG11" s="1381">
        <v>320151.46427999996</v>
      </c>
      <c r="FH11" s="1388">
        <v>748890.64110000001</v>
      </c>
      <c r="FI11" s="1381">
        <v>364539.6716</v>
      </c>
      <c r="FJ11" s="1631">
        <v>812598.88630999997</v>
      </c>
      <c r="FK11" s="1632">
        <v>398352.01985999994</v>
      </c>
      <c r="FL11" s="1388">
        <v>888104.33716999996</v>
      </c>
      <c r="FM11" s="1381">
        <v>479252.54622000002</v>
      </c>
      <c r="FN11" s="1388">
        <v>118306.60537</v>
      </c>
      <c r="FO11" s="1381">
        <v>30547.419670000003</v>
      </c>
      <c r="FP11" s="1388">
        <v>191047.25730999996</v>
      </c>
      <c r="FQ11" s="1381">
        <v>79822.840609999999</v>
      </c>
      <c r="FR11" s="1379" t="s">
        <v>3270</v>
      </c>
    </row>
    <row r="12" spans="1:245" s="458" customFormat="1" ht="22.5" customHeight="1">
      <c r="A12" s="1369" t="s">
        <v>2318</v>
      </c>
      <c r="B12" s="1367"/>
      <c r="C12" s="1367"/>
      <c r="D12" s="1367"/>
      <c r="E12" s="1367"/>
      <c r="F12" s="1367"/>
      <c r="G12" s="1367"/>
      <c r="H12" s="1367"/>
      <c r="I12" s="1367"/>
      <c r="J12" s="1367"/>
      <c r="K12" s="1367"/>
      <c r="L12" s="1367"/>
      <c r="M12" s="1367"/>
      <c r="N12" s="1367"/>
      <c r="O12" s="1367"/>
      <c r="P12" s="1367"/>
      <c r="Q12" s="1367"/>
      <c r="R12" s="1367"/>
      <c r="S12" s="1367"/>
      <c r="T12" s="1367"/>
      <c r="U12" s="1367"/>
      <c r="V12" s="1367"/>
      <c r="W12" s="1367"/>
      <c r="X12" s="1367"/>
      <c r="Y12" s="1367"/>
      <c r="Z12" s="1367"/>
      <c r="AA12" s="1367"/>
      <c r="AB12" s="1367"/>
      <c r="AC12" s="1367"/>
      <c r="AD12" s="1367"/>
      <c r="AE12" s="1367"/>
      <c r="AF12" s="1367"/>
      <c r="AG12" s="1367"/>
      <c r="AH12" s="1367"/>
      <c r="AI12" s="1367"/>
      <c r="AJ12" s="1367"/>
      <c r="AK12" s="1367"/>
      <c r="AL12" s="1367"/>
      <c r="AM12" s="1367"/>
      <c r="AN12" s="1367"/>
      <c r="AO12" s="1367"/>
      <c r="AP12" s="1367"/>
      <c r="AQ12" s="1367"/>
      <c r="AR12" s="1367"/>
      <c r="AS12" s="1367"/>
      <c r="AT12" s="1367"/>
      <c r="AU12" s="1367"/>
      <c r="AV12" s="1367"/>
      <c r="AW12" s="1367"/>
      <c r="AX12" s="1367"/>
      <c r="AY12" s="1367"/>
      <c r="AZ12" s="1367"/>
      <c r="BA12" s="1367"/>
      <c r="BB12" s="1367"/>
      <c r="BC12" s="1367"/>
      <c r="BD12" s="1367"/>
      <c r="BE12" s="1367"/>
      <c r="BF12" s="1367"/>
      <c r="BG12" s="1367"/>
      <c r="BH12" s="1367"/>
      <c r="BI12" s="1367"/>
      <c r="BJ12" s="1367"/>
      <c r="BK12" s="1367"/>
      <c r="BL12" s="1367"/>
      <c r="BM12" s="1367"/>
      <c r="BN12" s="1367"/>
      <c r="BO12" s="1367"/>
      <c r="BP12" s="1367"/>
      <c r="BQ12" s="1367"/>
      <c r="BR12" s="1367"/>
      <c r="BS12" s="1367"/>
      <c r="BT12" s="1367"/>
      <c r="BU12" s="1367"/>
      <c r="BV12" s="1367"/>
      <c r="BW12" s="1367"/>
      <c r="BX12" s="1367"/>
      <c r="BY12" s="1367"/>
      <c r="BZ12" s="1367"/>
      <c r="CA12" s="1367"/>
      <c r="CB12" s="1367"/>
      <c r="CC12" s="1367"/>
      <c r="CD12" s="1367"/>
      <c r="CE12" s="1367"/>
      <c r="CF12" s="1367"/>
      <c r="CG12" s="1367"/>
      <c r="CH12" s="1367"/>
      <c r="CI12" s="1367"/>
      <c r="CJ12" s="1367"/>
      <c r="CK12" s="1367"/>
      <c r="CL12" s="1367"/>
      <c r="CM12" s="1367"/>
      <c r="CN12" s="1367"/>
      <c r="CO12" s="1367"/>
      <c r="CP12" s="1367"/>
      <c r="CQ12" s="1367"/>
      <c r="CR12" s="1367"/>
      <c r="CS12" s="1367"/>
      <c r="CT12" s="1367"/>
      <c r="CU12" s="1367"/>
      <c r="CV12" s="1367"/>
      <c r="CW12" s="1367"/>
      <c r="CX12" s="1367"/>
      <c r="CY12" s="1367"/>
      <c r="CZ12" s="1367"/>
      <c r="DA12" s="1367"/>
      <c r="DB12" s="1367"/>
      <c r="DC12" s="1367"/>
      <c r="DD12" s="1367"/>
      <c r="DE12" s="1367"/>
      <c r="DF12" s="1367"/>
      <c r="DG12" s="1367"/>
      <c r="DH12" s="1367"/>
      <c r="DI12" s="1367"/>
      <c r="DJ12" s="1367"/>
      <c r="DK12" s="1367"/>
      <c r="DL12" s="1367"/>
      <c r="DM12" s="1367"/>
      <c r="DN12" s="1367"/>
      <c r="DO12" s="1367"/>
      <c r="DP12" s="1367"/>
      <c r="DQ12" s="1385"/>
      <c r="DR12" s="1396"/>
      <c r="DS12" s="1368"/>
      <c r="DT12" s="1389"/>
      <c r="DU12" s="1385"/>
      <c r="DV12" s="1396"/>
      <c r="DW12" s="1368"/>
      <c r="DX12" s="1389"/>
      <c r="DY12" s="1385"/>
      <c r="DZ12" s="1396"/>
      <c r="EA12" s="1368"/>
      <c r="EB12" s="1389"/>
      <c r="EC12" s="1368"/>
      <c r="ED12" s="1396"/>
      <c r="EE12" s="1368"/>
      <c r="EF12" s="1396"/>
      <c r="EG12" s="1368"/>
      <c r="EH12" s="1389"/>
      <c r="EI12" s="1368"/>
      <c r="EJ12" s="1389"/>
      <c r="EK12" s="1368"/>
      <c r="EL12" s="1389"/>
      <c r="EM12" s="1368"/>
      <c r="EN12" s="1389"/>
      <c r="EO12" s="1368"/>
      <c r="EP12" s="1389"/>
      <c r="EQ12" s="1368"/>
      <c r="ER12" s="1389"/>
      <c r="ES12" s="1368"/>
      <c r="ET12" s="1633"/>
      <c r="EU12" s="1634"/>
      <c r="EV12" s="1389"/>
      <c r="EW12" s="1368"/>
      <c r="EX12" s="1389"/>
      <c r="EY12" s="1368"/>
      <c r="EZ12" s="1389"/>
      <c r="FA12" s="1368"/>
      <c r="FB12" s="1389"/>
      <c r="FC12" s="1368"/>
      <c r="FD12" s="1389"/>
      <c r="FE12" s="1368"/>
      <c r="FF12" s="1389"/>
      <c r="FG12" s="1368"/>
      <c r="FH12" s="1389"/>
      <c r="FI12" s="1368"/>
      <c r="FJ12" s="1633"/>
      <c r="FK12" s="1634"/>
      <c r="FL12" s="1389"/>
      <c r="FM12" s="1368"/>
      <c r="FN12" s="1389"/>
      <c r="FO12" s="1368"/>
      <c r="FP12" s="1389"/>
      <c r="FQ12" s="1368"/>
      <c r="FR12" s="1369" t="s">
        <v>3507</v>
      </c>
    </row>
    <row r="13" spans="1:245" s="458" customFormat="1" ht="22.5" customHeight="1">
      <c r="A13" s="1366" t="s">
        <v>2355</v>
      </c>
      <c r="B13" s="1367">
        <f t="shared" ref="B13:BM13" si="3">SUM(B14:B17)</f>
        <v>6342.8492200000001</v>
      </c>
      <c r="C13" s="1367">
        <f t="shared" si="3"/>
        <v>17166.309270000002</v>
      </c>
      <c r="D13" s="1367">
        <f t="shared" si="3"/>
        <v>15136.20363</v>
      </c>
      <c r="E13" s="1367">
        <f t="shared" si="3"/>
        <v>25599.854559999996</v>
      </c>
      <c r="F13" s="1367">
        <f t="shared" si="3"/>
        <v>34166.324560000001</v>
      </c>
      <c r="G13" s="1367">
        <f t="shared" si="3"/>
        <v>31003.583899999998</v>
      </c>
      <c r="H13" s="1367">
        <f t="shared" si="3"/>
        <v>54343.006259999995</v>
      </c>
      <c r="I13" s="1367">
        <f t="shared" si="3"/>
        <v>37626.183779999999</v>
      </c>
      <c r="J13" s="1367">
        <f t="shared" si="3"/>
        <v>74275.737050000011</v>
      </c>
      <c r="K13" s="1367">
        <f t="shared" si="3"/>
        <v>47643.747820000004</v>
      </c>
      <c r="L13" s="1367">
        <f t="shared" si="3"/>
        <v>84646.730819998993</v>
      </c>
      <c r="M13" s="1367">
        <f t="shared" si="3"/>
        <v>61012.837459999995</v>
      </c>
      <c r="N13" s="1367">
        <f t="shared" si="3"/>
        <v>96297.332630000004</v>
      </c>
      <c r="O13" s="1367">
        <f t="shared" si="3"/>
        <v>69338.036550000004</v>
      </c>
      <c r="P13" s="1367">
        <f t="shared" si="3"/>
        <v>110871.53505999999</v>
      </c>
      <c r="Q13" s="1367">
        <f t="shared" si="3"/>
        <v>77260.153109999999</v>
      </c>
      <c r="R13" s="1367">
        <f t="shared" si="3"/>
        <v>123875.35850000002</v>
      </c>
      <c r="S13" s="1367">
        <f t="shared" si="3"/>
        <v>89051.943490000005</v>
      </c>
      <c r="T13" s="1367">
        <f t="shared" si="3"/>
        <v>138181.25177999996</v>
      </c>
      <c r="U13" s="1367">
        <f t="shared" si="3"/>
        <v>93637.328750000001</v>
      </c>
      <c r="V13" s="1367">
        <f t="shared" si="3"/>
        <v>155559.02755</v>
      </c>
      <c r="W13" s="1367">
        <f t="shared" si="3"/>
        <v>110562.99611000001</v>
      </c>
      <c r="X13" s="1367">
        <f t="shared" si="3"/>
        <v>177855.77153000003</v>
      </c>
      <c r="Y13" s="1367">
        <f t="shared" si="3"/>
        <v>126406.9201</v>
      </c>
      <c r="Z13" s="1367">
        <f t="shared" si="3"/>
        <v>16702.570650000001</v>
      </c>
      <c r="AA13" s="1367">
        <f t="shared" si="3"/>
        <v>10995.473970000001</v>
      </c>
      <c r="AB13" s="1367">
        <f t="shared" si="3"/>
        <v>36224.588850000007</v>
      </c>
      <c r="AC13" s="1367">
        <f t="shared" si="3"/>
        <v>16610.190009999998</v>
      </c>
      <c r="AD13" s="1367">
        <f t="shared" si="3"/>
        <v>63307.579740000008</v>
      </c>
      <c r="AE13" s="1367">
        <f t="shared" si="3"/>
        <v>26711.776180000001</v>
      </c>
      <c r="AF13" s="1367">
        <f t="shared" si="3"/>
        <v>115597.70895999999</v>
      </c>
      <c r="AG13" s="1367">
        <f t="shared" si="3"/>
        <v>30813.443630000002</v>
      </c>
      <c r="AH13" s="1367">
        <f t="shared" si="3"/>
        <v>138086.18336</v>
      </c>
      <c r="AI13" s="1367">
        <f t="shared" si="3"/>
        <v>37356.379289999997</v>
      </c>
      <c r="AJ13" s="1367">
        <f t="shared" si="3"/>
        <v>158932.39964000002</v>
      </c>
      <c r="AK13" s="1367">
        <f t="shared" si="3"/>
        <v>48915.751250000001</v>
      </c>
      <c r="AL13" s="1367">
        <f t="shared" si="3"/>
        <v>185169.27197000003</v>
      </c>
      <c r="AM13" s="1367">
        <f t="shared" si="3"/>
        <v>62643.390529999997</v>
      </c>
      <c r="AN13" s="1367">
        <f t="shared" si="3"/>
        <v>211796.39895000003</v>
      </c>
      <c r="AO13" s="1367">
        <f t="shared" si="3"/>
        <v>73581.876470000017</v>
      </c>
      <c r="AP13" s="1367">
        <f t="shared" si="3"/>
        <v>235020.05383999998</v>
      </c>
      <c r="AQ13" s="1367">
        <f t="shared" si="3"/>
        <v>80542.979149999999</v>
      </c>
      <c r="AR13" s="1367">
        <f t="shared" si="3"/>
        <v>256326.01818000001</v>
      </c>
      <c r="AS13" s="1367">
        <f t="shared" si="3"/>
        <v>86544.231280000007</v>
      </c>
      <c r="AT13" s="1367">
        <f t="shared" si="3"/>
        <v>279417.69367000001</v>
      </c>
      <c r="AU13" s="1367">
        <f t="shared" si="3"/>
        <v>90857.292849999998</v>
      </c>
      <c r="AV13" s="1367">
        <f t="shared" si="3"/>
        <v>305700.39014000003</v>
      </c>
      <c r="AW13" s="1367">
        <f t="shared" si="3"/>
        <v>94978.919219999996</v>
      </c>
      <c r="AX13" s="1367">
        <f t="shared" si="3"/>
        <v>11540.625180000001</v>
      </c>
      <c r="AY13" s="1367">
        <f t="shared" si="3"/>
        <v>7442.02729</v>
      </c>
      <c r="AZ13" s="1367">
        <f t="shared" si="3"/>
        <v>24798.76902</v>
      </c>
      <c r="BA13" s="1367">
        <f t="shared" si="3"/>
        <v>11750.73553</v>
      </c>
      <c r="BB13" s="1367">
        <f t="shared" si="3"/>
        <v>38516.693149999999</v>
      </c>
      <c r="BC13" s="1367">
        <f t="shared" si="3"/>
        <v>15170.13175</v>
      </c>
      <c r="BD13" s="1367">
        <f t="shared" si="3"/>
        <v>72480.792360000007</v>
      </c>
      <c r="BE13" s="1367">
        <f t="shared" si="3"/>
        <v>20970.496669999997</v>
      </c>
      <c r="BF13" s="1367">
        <f t="shared" si="3"/>
        <v>92940.531329999998</v>
      </c>
      <c r="BG13" s="1367">
        <f t="shared" si="3"/>
        <v>30136.017809999998</v>
      </c>
      <c r="BH13" s="1367">
        <f t="shared" si="3"/>
        <v>109976.18386</v>
      </c>
      <c r="BI13" s="1367">
        <f t="shared" si="3"/>
        <v>40147.740559999998</v>
      </c>
      <c r="BJ13" s="1367">
        <f t="shared" si="3"/>
        <v>133858.35436000003</v>
      </c>
      <c r="BK13" s="1367">
        <f t="shared" si="3"/>
        <v>63496.498419999996</v>
      </c>
      <c r="BL13" s="1367">
        <f t="shared" si="3"/>
        <v>151891.33817999999</v>
      </c>
      <c r="BM13" s="1367">
        <f t="shared" si="3"/>
        <v>68201.237639999992</v>
      </c>
      <c r="BN13" s="1367">
        <f t="shared" ref="BN13:DY13" si="4">SUM(BN14:BN17)</f>
        <v>168111.66623</v>
      </c>
      <c r="BO13" s="1367">
        <f t="shared" si="4"/>
        <v>80614.438640000008</v>
      </c>
      <c r="BP13" s="1367">
        <f t="shared" si="4"/>
        <v>185222.50315</v>
      </c>
      <c r="BQ13" s="1367">
        <f t="shared" si="4"/>
        <v>88798.136419999995</v>
      </c>
      <c r="BR13" s="1367">
        <f t="shared" si="4"/>
        <v>202431.24639999997</v>
      </c>
      <c r="BS13" s="1367">
        <f t="shared" si="4"/>
        <v>99869.264420000007</v>
      </c>
      <c r="BT13" s="1367">
        <f t="shared" si="4"/>
        <v>219371.2035</v>
      </c>
      <c r="BU13" s="1367">
        <f t="shared" si="4"/>
        <v>121797.81581</v>
      </c>
      <c r="BV13" s="1367">
        <f t="shared" si="4"/>
        <v>16244.12082</v>
      </c>
      <c r="BW13" s="1367">
        <f t="shared" si="4"/>
        <v>12094.194430000001</v>
      </c>
      <c r="BX13" s="1367">
        <f t="shared" si="4"/>
        <v>33038.876960000001</v>
      </c>
      <c r="BY13" s="1367">
        <f t="shared" si="4"/>
        <v>20865.698179999999</v>
      </c>
      <c r="BZ13" s="1367">
        <f t="shared" si="4"/>
        <v>56441.563319999994</v>
      </c>
      <c r="CA13" s="1367">
        <f t="shared" si="4"/>
        <v>35463.562290000002</v>
      </c>
      <c r="CB13" s="1367">
        <f t="shared" si="4"/>
        <v>93920.360640000014</v>
      </c>
      <c r="CC13" s="1367">
        <f t="shared" si="4"/>
        <v>49322.839679999997</v>
      </c>
      <c r="CD13" s="1367">
        <f t="shared" si="4"/>
        <v>113873.90745</v>
      </c>
      <c r="CE13" s="1367">
        <f t="shared" si="4"/>
        <v>70924.464850000004</v>
      </c>
      <c r="CF13" s="1367">
        <f t="shared" si="4"/>
        <v>131499.29803999999</v>
      </c>
      <c r="CG13" s="1367">
        <f t="shared" si="4"/>
        <v>108316.44255000001</v>
      </c>
      <c r="CH13" s="1367">
        <f t="shared" si="4"/>
        <v>158901.03532</v>
      </c>
      <c r="CI13" s="1367">
        <f t="shared" si="4"/>
        <v>137148.46724</v>
      </c>
      <c r="CJ13" s="1367">
        <f t="shared" si="4"/>
        <v>177747.69000999999</v>
      </c>
      <c r="CK13" s="1367">
        <f t="shared" si="4"/>
        <v>162261.78574999998</v>
      </c>
      <c r="CL13" s="1367">
        <f t="shared" si="4"/>
        <v>197358.11611</v>
      </c>
      <c r="CM13" s="1367">
        <f t="shared" si="4"/>
        <v>184138.75705000001</v>
      </c>
      <c r="CN13" s="1367">
        <f t="shared" si="4"/>
        <v>213943.26452000003</v>
      </c>
      <c r="CO13" s="1367">
        <f t="shared" si="4"/>
        <v>216007.0295</v>
      </c>
      <c r="CP13" s="1367">
        <f t="shared" si="4"/>
        <v>231251.05240999997</v>
      </c>
      <c r="CQ13" s="1367">
        <f t="shared" si="4"/>
        <v>244759.55254999999</v>
      </c>
      <c r="CR13" s="1367">
        <f t="shared" si="4"/>
        <v>249794.27066000001</v>
      </c>
      <c r="CS13" s="1367">
        <f t="shared" si="4"/>
        <v>280441.32857999997</v>
      </c>
      <c r="CT13" s="1367">
        <f t="shared" si="4"/>
        <v>17043.927009999999</v>
      </c>
      <c r="CU13" s="1367">
        <f t="shared" si="4"/>
        <v>28353.520919999999</v>
      </c>
      <c r="CV13" s="1367">
        <f t="shared" si="4"/>
        <v>36191.401409999999</v>
      </c>
      <c r="CW13" s="1367">
        <f t="shared" si="4"/>
        <v>50726.74063</v>
      </c>
      <c r="CX13" s="1367">
        <f t="shared" si="4"/>
        <v>53901.793840000006</v>
      </c>
      <c r="CY13" s="1367">
        <f t="shared" si="4"/>
        <v>83126.091150000007</v>
      </c>
      <c r="CZ13" s="1367">
        <f t="shared" si="4"/>
        <v>108230.18195</v>
      </c>
      <c r="DA13" s="1367">
        <f t="shared" si="4"/>
        <v>100574.87543</v>
      </c>
      <c r="DB13" s="1367">
        <f t="shared" si="4"/>
        <v>136525.88909000001</v>
      </c>
      <c r="DC13" s="1367">
        <f t="shared" si="4"/>
        <v>117202.55712999999</v>
      </c>
      <c r="DD13" s="1367">
        <f t="shared" si="4"/>
        <v>158679.63913</v>
      </c>
      <c r="DE13" s="1367">
        <f t="shared" si="4"/>
        <v>139513.84530000002</v>
      </c>
      <c r="DF13" s="1367">
        <f t="shared" si="4"/>
        <v>193743.15644999998</v>
      </c>
      <c r="DG13" s="1367">
        <f t="shared" si="4"/>
        <v>176909.45979000002</v>
      </c>
      <c r="DH13" s="1367">
        <f t="shared" si="4"/>
        <v>217530.74867</v>
      </c>
      <c r="DI13" s="1367">
        <f t="shared" si="4"/>
        <v>190363.80711999998</v>
      </c>
      <c r="DJ13" s="1367">
        <f t="shared" si="4"/>
        <v>237851.25545</v>
      </c>
      <c r="DK13" s="1367">
        <f t="shared" si="4"/>
        <v>201996.67898300002</v>
      </c>
      <c r="DL13" s="1367">
        <f t="shared" si="4"/>
        <v>262011.25289</v>
      </c>
      <c r="DM13" s="1367">
        <f t="shared" si="4"/>
        <v>213069.69831000001</v>
      </c>
      <c r="DN13" s="1367">
        <f t="shared" si="4"/>
        <v>290897.15429999999</v>
      </c>
      <c r="DO13" s="1367">
        <f t="shared" si="4"/>
        <v>226256.60757299999</v>
      </c>
      <c r="DP13" s="1367">
        <f t="shared" si="4"/>
        <v>319601.90811999998</v>
      </c>
      <c r="DQ13" s="1385">
        <f t="shared" si="4"/>
        <v>235714.46747</v>
      </c>
      <c r="DR13" s="1396">
        <f t="shared" si="4"/>
        <v>25163.185120000002</v>
      </c>
      <c r="DS13" s="1368">
        <f t="shared" si="4"/>
        <v>4849.56664</v>
      </c>
      <c r="DT13" s="1389">
        <f t="shared" si="4"/>
        <v>51359.557260999994</v>
      </c>
      <c r="DU13" s="1385">
        <f t="shared" si="4"/>
        <v>9997.4326899999996</v>
      </c>
      <c r="DV13" s="1396">
        <f t="shared" si="4"/>
        <v>88124.612729999993</v>
      </c>
      <c r="DW13" s="1368">
        <f t="shared" si="4"/>
        <v>16876.57602</v>
      </c>
      <c r="DX13" s="1389">
        <f t="shared" si="4"/>
        <v>146376.30148999998</v>
      </c>
      <c r="DY13" s="1385">
        <f t="shared" si="4"/>
        <v>30276.19988</v>
      </c>
      <c r="DZ13" s="1396">
        <f t="shared" ref="DZ13:EE13" si="5">SUM(DZ14:DZ17)</f>
        <v>176667.53622000004</v>
      </c>
      <c r="EA13" s="1368">
        <f t="shared" si="5"/>
        <v>50798.177510000001</v>
      </c>
      <c r="EB13" s="1389">
        <f t="shared" si="5"/>
        <v>205551.48507000002</v>
      </c>
      <c r="EC13" s="1368">
        <f t="shared" si="5"/>
        <v>83000.493180000005</v>
      </c>
      <c r="ED13" s="1396">
        <f t="shared" si="5"/>
        <v>249015.09822000004</v>
      </c>
      <c r="EE13" s="1368">
        <f t="shared" si="5"/>
        <v>132212.36051000003</v>
      </c>
      <c r="EF13" s="1396">
        <v>282787.05064999999</v>
      </c>
      <c r="EG13" s="1368">
        <v>157361.56406</v>
      </c>
      <c r="EH13" s="1389">
        <v>316057.44425</v>
      </c>
      <c r="EI13" s="1368">
        <v>175935.46615000002</v>
      </c>
      <c r="EJ13" s="1389">
        <v>351438.26105000003</v>
      </c>
      <c r="EK13" s="1368">
        <v>199607.13692000005</v>
      </c>
      <c r="EL13" s="1389">
        <v>385845.50131999998</v>
      </c>
      <c r="EM13" s="1368">
        <v>228054.88599000001</v>
      </c>
      <c r="EN13" s="1389">
        <v>425088.99625999999</v>
      </c>
      <c r="EO13" s="1368">
        <v>244706.29159000001</v>
      </c>
      <c r="EP13" s="1389">
        <v>34315.280610000002</v>
      </c>
      <c r="EQ13" s="1368">
        <v>19673.205310000001</v>
      </c>
      <c r="ER13" s="1389">
        <v>69634.47920999999</v>
      </c>
      <c r="ES13" s="1368">
        <v>37517.202740000001</v>
      </c>
      <c r="ET13" s="1633">
        <v>131378.01579999999</v>
      </c>
      <c r="EU13" s="1634">
        <v>55164.641260000004</v>
      </c>
      <c r="EV13" s="1389">
        <v>205490.01342</v>
      </c>
      <c r="EW13" s="1368">
        <v>71538.630379999988</v>
      </c>
      <c r="EX13" s="1389">
        <v>251889.83469000002</v>
      </c>
      <c r="EY13" s="1368">
        <v>93926.485539999994</v>
      </c>
      <c r="EZ13" s="1389">
        <v>288782.57694</v>
      </c>
      <c r="FA13" s="1368">
        <v>127278.47427000001</v>
      </c>
      <c r="FB13" s="1389">
        <v>338307.00809000002</v>
      </c>
      <c r="FC13" s="1368">
        <v>166259.42191000003</v>
      </c>
      <c r="FD13" s="1389">
        <v>377360.95846000005</v>
      </c>
      <c r="FE13" s="1368">
        <v>194491.45972999997</v>
      </c>
      <c r="FF13" s="1389">
        <v>420845.34465000004</v>
      </c>
      <c r="FG13" s="1368">
        <v>220636.73561999999</v>
      </c>
      <c r="FH13" s="1389">
        <v>459506.82767000003</v>
      </c>
      <c r="FI13" s="1368">
        <v>251730.98883999998</v>
      </c>
      <c r="FJ13" s="1633">
        <v>498718.58751999994</v>
      </c>
      <c r="FK13" s="1634">
        <v>271629.81005999993</v>
      </c>
      <c r="FL13" s="1389">
        <v>545203.24265999999</v>
      </c>
      <c r="FM13" s="1368">
        <v>294793.39156999998</v>
      </c>
      <c r="FN13" s="1389">
        <v>40171.874629999998</v>
      </c>
      <c r="FO13" s="1368">
        <v>21558.633820000003</v>
      </c>
      <c r="FP13" s="1389">
        <v>87075.295689999984</v>
      </c>
      <c r="FQ13" s="1368">
        <v>60046.170680000003</v>
      </c>
      <c r="FR13" s="1366" t="s">
        <v>3271</v>
      </c>
    </row>
    <row r="14" spans="1:245" s="458" customFormat="1" ht="22.5" customHeight="1">
      <c r="A14" s="1370" t="s">
        <v>2354</v>
      </c>
      <c r="B14" s="1371">
        <v>4736.3493099999996</v>
      </c>
      <c r="C14" s="1371">
        <v>16928.319920000002</v>
      </c>
      <c r="D14" s="1371">
        <v>11958.133539999999</v>
      </c>
      <c r="E14" s="1371">
        <v>25125.388199999998</v>
      </c>
      <c r="F14" s="1371">
        <v>28950.939150000002</v>
      </c>
      <c r="G14" s="1371">
        <v>30321.270219999999</v>
      </c>
      <c r="H14" s="1371">
        <v>46938.428009999996</v>
      </c>
      <c r="I14" s="1371">
        <v>36680.167540000002</v>
      </c>
      <c r="J14" s="1371">
        <v>64205.200360000003</v>
      </c>
      <c r="K14" s="1371">
        <v>46504.131130000002</v>
      </c>
      <c r="L14" s="1371">
        <v>71822.30915999999</v>
      </c>
      <c r="M14" s="1371">
        <v>59720.06366</v>
      </c>
      <c r="N14" s="1371">
        <v>79771.370800000004</v>
      </c>
      <c r="O14" s="1371">
        <v>67865.264840000003</v>
      </c>
      <c r="P14" s="1371">
        <v>89397.963390000004</v>
      </c>
      <c r="Q14" s="1371">
        <v>75518.201029999997</v>
      </c>
      <c r="R14" s="1371">
        <v>98672.867670000007</v>
      </c>
      <c r="S14" s="1371">
        <v>87197.060689999998</v>
      </c>
      <c r="T14" s="1371">
        <v>108588.61331999999</v>
      </c>
      <c r="U14" s="1371">
        <v>91552.766940000001</v>
      </c>
      <c r="V14" s="1371">
        <v>121145.33721</v>
      </c>
      <c r="W14" s="1371">
        <v>108337.81808</v>
      </c>
      <c r="X14" s="1371">
        <v>137927.65808000002</v>
      </c>
      <c r="Y14" s="1371">
        <v>124045.57663</v>
      </c>
      <c r="Z14" s="1371">
        <v>12622.55184</v>
      </c>
      <c r="AA14" s="1371">
        <v>10944.42827</v>
      </c>
      <c r="AB14" s="1371">
        <v>27785.358130000001</v>
      </c>
      <c r="AC14" s="1371">
        <v>16461.902109999999</v>
      </c>
      <c r="AD14" s="1371">
        <v>50012.285530000001</v>
      </c>
      <c r="AE14" s="1371">
        <v>26430.17283</v>
      </c>
      <c r="AF14" s="1371">
        <v>96707.759330000001</v>
      </c>
      <c r="AG14" s="1371">
        <v>30290.540780000003</v>
      </c>
      <c r="AH14" s="1371">
        <v>113315.13400000001</v>
      </c>
      <c r="AI14" s="1371">
        <v>36744.186679999999</v>
      </c>
      <c r="AJ14" s="1371">
        <v>130959.08487000001</v>
      </c>
      <c r="AK14" s="1371">
        <v>48186.267220000002</v>
      </c>
      <c r="AL14" s="1371">
        <v>152882.45362000001</v>
      </c>
      <c r="AM14" s="1371">
        <v>61798.108999999997</v>
      </c>
      <c r="AN14" s="1371">
        <v>174619.54207</v>
      </c>
      <c r="AO14" s="1371">
        <v>72477.688180000012</v>
      </c>
      <c r="AP14" s="1371">
        <v>194168.79657000001</v>
      </c>
      <c r="AQ14" s="1371">
        <v>79325.821450000003</v>
      </c>
      <c r="AR14" s="1371">
        <v>211779.19243</v>
      </c>
      <c r="AS14" s="1371">
        <v>85153.934880000001</v>
      </c>
      <c r="AT14" s="1371">
        <v>231565.42068000001</v>
      </c>
      <c r="AU14" s="1371">
        <v>89294.794769999993</v>
      </c>
      <c r="AV14" s="1371">
        <v>253943.49268</v>
      </c>
      <c r="AW14" s="1371">
        <v>93366.017919999998</v>
      </c>
      <c r="AX14" s="1371">
        <v>8363.5464100000008</v>
      </c>
      <c r="AY14" s="1371">
        <v>7339.1547</v>
      </c>
      <c r="AZ14" s="1371">
        <v>18201.75981</v>
      </c>
      <c r="BA14" s="1371">
        <v>11203.240019999999</v>
      </c>
      <c r="BB14" s="1371">
        <v>29055.112639999999</v>
      </c>
      <c r="BC14" s="1371">
        <v>14544.900750000001</v>
      </c>
      <c r="BD14" s="1371">
        <v>59050.441460000002</v>
      </c>
      <c r="BE14" s="1371">
        <v>20536.727159999999</v>
      </c>
      <c r="BF14" s="1371">
        <v>73035.545939999996</v>
      </c>
      <c r="BG14" s="1371">
        <v>29619.191489999997</v>
      </c>
      <c r="BH14" s="1371">
        <v>85055.739629999996</v>
      </c>
      <c r="BI14" s="1371">
        <v>39598.587229999997</v>
      </c>
      <c r="BJ14" s="1371">
        <v>102436.68676000001</v>
      </c>
      <c r="BK14" s="1371">
        <v>62834.111109999998</v>
      </c>
      <c r="BL14" s="1371">
        <v>115247.49</v>
      </c>
      <c r="BM14" s="1371">
        <v>67438.886729999998</v>
      </c>
      <c r="BN14" s="1371">
        <v>126807.99256</v>
      </c>
      <c r="BO14" s="1371">
        <v>79726.48414</v>
      </c>
      <c r="BP14" s="1371">
        <v>138629.07303</v>
      </c>
      <c r="BQ14" s="1371">
        <v>87792.779459999991</v>
      </c>
      <c r="BR14" s="1371">
        <v>151805.63657</v>
      </c>
      <c r="BS14" s="1371">
        <v>98706.257530000003</v>
      </c>
      <c r="BT14" s="1371">
        <v>166110.06164</v>
      </c>
      <c r="BU14" s="1371">
        <v>120547.88182</v>
      </c>
      <c r="BV14" s="1371">
        <v>13288.3712</v>
      </c>
      <c r="BW14" s="1371">
        <v>11928.218510000001</v>
      </c>
      <c r="BX14" s="1371">
        <v>26261.35888</v>
      </c>
      <c r="BY14" s="1371">
        <v>20638.588739999999</v>
      </c>
      <c r="BZ14" s="1371">
        <v>45688.413209999999</v>
      </c>
      <c r="CA14" s="1371">
        <v>35155.503060000003</v>
      </c>
      <c r="CB14" s="1371">
        <v>81418.233560000008</v>
      </c>
      <c r="CC14" s="1371">
        <v>48884.602559999999</v>
      </c>
      <c r="CD14" s="1371">
        <v>98446.82104000001</v>
      </c>
      <c r="CE14" s="1371">
        <v>70402.350330000001</v>
      </c>
      <c r="CF14" s="1371">
        <v>112074.77670999999</v>
      </c>
      <c r="CG14" s="1371">
        <v>107766.48793</v>
      </c>
      <c r="CH14" s="1371">
        <v>135363.68865999999</v>
      </c>
      <c r="CI14" s="1371">
        <v>136519.50167</v>
      </c>
      <c r="CJ14" s="1371">
        <v>148732.27309999999</v>
      </c>
      <c r="CK14" s="1371">
        <v>161425.45971999998</v>
      </c>
      <c r="CL14" s="1371">
        <v>163038.73256999999</v>
      </c>
      <c r="CM14" s="1371">
        <v>183224.44578000001</v>
      </c>
      <c r="CN14" s="1371">
        <v>176260.32143000001</v>
      </c>
      <c r="CO14" s="1371">
        <v>214765.58489</v>
      </c>
      <c r="CP14" s="1371">
        <v>190514.75003</v>
      </c>
      <c r="CQ14" s="1371">
        <v>243321.67403999998</v>
      </c>
      <c r="CR14" s="1371">
        <v>205341.73295999999</v>
      </c>
      <c r="CS14" s="1371">
        <v>275661.67956999998</v>
      </c>
      <c r="CT14" s="1371">
        <v>14084.066490000001</v>
      </c>
      <c r="CU14" s="1371">
        <v>27952.651180000001</v>
      </c>
      <c r="CV14" s="1371">
        <v>29279.31652</v>
      </c>
      <c r="CW14" s="1371">
        <v>50057.222549999999</v>
      </c>
      <c r="CX14" s="1371">
        <v>45488.415789999999</v>
      </c>
      <c r="CY14" s="1371">
        <v>82117.512300000002</v>
      </c>
      <c r="CZ14" s="1371">
        <v>98463.482459999999</v>
      </c>
      <c r="DA14" s="1371">
        <v>99153.496849999996</v>
      </c>
      <c r="DB14" s="1371">
        <v>122966.94887000001</v>
      </c>
      <c r="DC14" s="1371">
        <v>115586.59659999999</v>
      </c>
      <c r="DD14" s="1371">
        <v>140623.30124999999</v>
      </c>
      <c r="DE14" s="1371">
        <v>137731.69127000001</v>
      </c>
      <c r="DF14" s="1371">
        <v>170081.05780000001</v>
      </c>
      <c r="DG14" s="1371">
        <v>174848.79852000001</v>
      </c>
      <c r="DH14" s="1371">
        <v>188301.04778999998</v>
      </c>
      <c r="DI14" s="1371">
        <v>188154.20841999998</v>
      </c>
      <c r="DJ14" s="1371">
        <v>203224.95926999999</v>
      </c>
      <c r="DK14" s="1371">
        <v>199365.95803000001</v>
      </c>
      <c r="DL14" s="1371">
        <v>223122.86571000001</v>
      </c>
      <c r="DM14" s="1371">
        <v>210024.69683</v>
      </c>
      <c r="DN14" s="1371">
        <v>247914.69662999999</v>
      </c>
      <c r="DO14" s="1371">
        <v>222901.69448999999</v>
      </c>
      <c r="DP14" s="1371">
        <v>272925.43375999999</v>
      </c>
      <c r="DQ14" s="1386">
        <v>231719.42752</v>
      </c>
      <c r="DR14" s="1397">
        <v>22694.463250000001</v>
      </c>
      <c r="DS14" s="1372">
        <v>4581.2482</v>
      </c>
      <c r="DT14" s="1390">
        <v>46183.665850999998</v>
      </c>
      <c r="DU14" s="1386">
        <v>9354.3396499999999</v>
      </c>
      <c r="DV14" s="1397">
        <v>80697.018909999999</v>
      </c>
      <c r="DW14" s="1372">
        <v>15984.46787</v>
      </c>
      <c r="DX14" s="1390">
        <v>136694.31099999999</v>
      </c>
      <c r="DY14" s="1386">
        <v>29132.5942</v>
      </c>
      <c r="DZ14" s="1397">
        <v>164810.07902</v>
      </c>
      <c r="EA14" s="1372">
        <v>49286.59779</v>
      </c>
      <c r="EB14" s="1390">
        <v>191585.12546000001</v>
      </c>
      <c r="EC14" s="1372">
        <v>81272.692620000002</v>
      </c>
      <c r="ED14" s="1397">
        <v>232489.70808000001</v>
      </c>
      <c r="EE14" s="1372">
        <v>130339.94904000001</v>
      </c>
      <c r="EF14" s="1397">
        <v>263969.87141000002</v>
      </c>
      <c r="EG14" s="1372">
        <v>155445.63659000001</v>
      </c>
      <c r="EH14" s="1390">
        <v>294363.24794999999</v>
      </c>
      <c r="EI14" s="1372">
        <v>173867.73756000001</v>
      </c>
      <c r="EJ14" s="1390">
        <v>327112.10810000001</v>
      </c>
      <c r="EK14" s="1372">
        <v>197402.21475000001</v>
      </c>
      <c r="EL14" s="1390">
        <v>359275.30101</v>
      </c>
      <c r="EM14" s="1372">
        <v>225664.29461000001</v>
      </c>
      <c r="EN14" s="1390">
        <v>396687.22957999998</v>
      </c>
      <c r="EO14" s="1372">
        <v>242078.27742999999</v>
      </c>
      <c r="EP14" s="1390">
        <v>32304.249769999999</v>
      </c>
      <c r="EQ14" s="1372">
        <v>19572.746070000001</v>
      </c>
      <c r="ER14" s="1390">
        <v>64933.868179999998</v>
      </c>
      <c r="ES14" s="1372">
        <v>37348.930329999996</v>
      </c>
      <c r="ET14" s="1635">
        <v>123830.84278000001</v>
      </c>
      <c r="EU14" s="1636">
        <v>54775.079149999998</v>
      </c>
      <c r="EV14" s="1390">
        <v>195412.91213000001</v>
      </c>
      <c r="EW14" s="1372">
        <v>71061.596839999998</v>
      </c>
      <c r="EX14" s="1390">
        <v>239257.12502000001</v>
      </c>
      <c r="EY14" s="1372">
        <v>93329.346150000012</v>
      </c>
      <c r="EZ14" s="1390">
        <v>273665.49536</v>
      </c>
      <c r="FA14" s="1372">
        <v>126512.71794</v>
      </c>
      <c r="FB14" s="1390">
        <v>319563.03944000002</v>
      </c>
      <c r="FC14" s="1372">
        <v>165433.55033000003</v>
      </c>
      <c r="FD14" s="1390">
        <v>355739.04421000002</v>
      </c>
      <c r="FE14" s="1372">
        <v>193407.91370999999</v>
      </c>
      <c r="FF14" s="1390">
        <v>389781.2182</v>
      </c>
      <c r="FG14" s="1372">
        <v>219342.72477999999</v>
      </c>
      <c r="FH14" s="1390">
        <v>425081.49995000003</v>
      </c>
      <c r="FI14" s="1372">
        <v>249929.91248999999</v>
      </c>
      <c r="FJ14" s="1635">
        <v>461383.13682999997</v>
      </c>
      <c r="FK14" s="1636">
        <v>269542.59318999999</v>
      </c>
      <c r="FL14" s="1390">
        <v>504992.69643000001</v>
      </c>
      <c r="FM14" s="1372">
        <v>292552.02318000002</v>
      </c>
      <c r="FN14" s="1390">
        <v>37870.656510000001</v>
      </c>
      <c r="FO14" s="1372">
        <v>21317.333920000001</v>
      </c>
      <c r="FP14" s="1390">
        <v>80429.659349999987</v>
      </c>
      <c r="FQ14" s="1372">
        <v>59617.741200000004</v>
      </c>
      <c r="FR14" s="1373" t="s">
        <v>3272</v>
      </c>
    </row>
    <row r="15" spans="1:245" s="458" customFormat="1" ht="22.5" customHeight="1">
      <c r="A15" s="1370" t="s">
        <v>2353</v>
      </c>
      <c r="B15" s="1371">
        <v>1544.3743300000001</v>
      </c>
      <c r="C15" s="1371">
        <v>237.98935</v>
      </c>
      <c r="D15" s="1371">
        <v>3039.3586600000003</v>
      </c>
      <c r="E15" s="1371">
        <v>474.46636000000001</v>
      </c>
      <c r="F15" s="1371">
        <v>4981.7330200000006</v>
      </c>
      <c r="G15" s="1371">
        <v>677.31368000000009</v>
      </c>
      <c r="H15" s="1371">
        <v>7075.6160799999998</v>
      </c>
      <c r="I15" s="1371">
        <v>941.01624000000004</v>
      </c>
      <c r="J15" s="1371">
        <v>9636.446539999999</v>
      </c>
      <c r="K15" s="1371">
        <v>1132.1916899999999</v>
      </c>
      <c r="L15" s="1371">
        <v>12275.39293</v>
      </c>
      <c r="M15" s="1371">
        <v>1282.9238</v>
      </c>
      <c r="N15" s="1371">
        <v>15830.84562</v>
      </c>
      <c r="O15" s="1371">
        <v>1462.9217100000001</v>
      </c>
      <c r="P15" s="1371">
        <v>20513.949059999999</v>
      </c>
      <c r="Q15" s="1371">
        <v>1732.1020800000001</v>
      </c>
      <c r="R15" s="1371">
        <v>24095.737430000001</v>
      </c>
      <c r="S15" s="1371">
        <v>1845.0328</v>
      </c>
      <c r="T15" s="1371">
        <v>27849.590489999999</v>
      </c>
      <c r="U15" s="1371">
        <v>2074.7118100000002</v>
      </c>
      <c r="V15" s="1371">
        <v>32490.409469999999</v>
      </c>
      <c r="W15" s="1371">
        <v>2215.3280299999997</v>
      </c>
      <c r="X15" s="1371">
        <v>37942.389490000001</v>
      </c>
      <c r="Y15" s="1371">
        <v>2351.4934700000003</v>
      </c>
      <c r="Z15" s="1371">
        <v>3921.31585</v>
      </c>
      <c r="AA15" s="1371">
        <v>51.045699999999997</v>
      </c>
      <c r="AB15" s="1371">
        <v>8083.0420700000004</v>
      </c>
      <c r="AC15" s="1371">
        <v>148.28790000000001</v>
      </c>
      <c r="AD15" s="1371">
        <v>12746.14205</v>
      </c>
      <c r="AE15" s="1371">
        <v>281.60334999999998</v>
      </c>
      <c r="AF15" s="1371">
        <v>17982.851340000001</v>
      </c>
      <c r="AG15" s="1371">
        <v>522.90284999999994</v>
      </c>
      <c r="AH15" s="1371">
        <v>23382.388300000002</v>
      </c>
      <c r="AI15" s="1371">
        <v>612.19260999999995</v>
      </c>
      <c r="AJ15" s="1371">
        <v>26295.865180000001</v>
      </c>
      <c r="AK15" s="1371">
        <v>729.48403000000008</v>
      </c>
      <c r="AL15" s="1371">
        <v>30306.174640000001</v>
      </c>
      <c r="AM15" s="1371">
        <v>845.28152999999998</v>
      </c>
      <c r="AN15" s="1371">
        <v>34740.928700000004</v>
      </c>
      <c r="AO15" s="1371">
        <v>1104.1882900000001</v>
      </c>
      <c r="AP15" s="1371">
        <v>37960.107880000003</v>
      </c>
      <c r="AQ15" s="1371">
        <v>1217.1577</v>
      </c>
      <c r="AR15" s="1371">
        <v>41424.811900000001</v>
      </c>
      <c r="AS15" s="1371">
        <v>1390.2963999999999</v>
      </c>
      <c r="AT15" s="1371">
        <v>44494.338409999997</v>
      </c>
      <c r="AU15" s="1371">
        <v>1562.4980800000001</v>
      </c>
      <c r="AV15" s="1371">
        <v>48090.492530000003</v>
      </c>
      <c r="AW15" s="1371">
        <v>1612.9013</v>
      </c>
      <c r="AX15" s="1371">
        <v>2925.8253999999997</v>
      </c>
      <c r="AY15" s="1371">
        <v>102.87259</v>
      </c>
      <c r="AZ15" s="1371">
        <v>6048.7129100000002</v>
      </c>
      <c r="BA15" s="1371">
        <v>547.49550999999997</v>
      </c>
      <c r="BB15" s="1371">
        <v>8696.14948</v>
      </c>
      <c r="BC15" s="1371">
        <v>625.23099999999999</v>
      </c>
      <c r="BD15" s="1371">
        <v>12244.29904</v>
      </c>
      <c r="BE15" s="1371">
        <v>433.76951000000003</v>
      </c>
      <c r="BF15" s="1371">
        <v>18187.543850000002</v>
      </c>
      <c r="BG15" s="1371">
        <v>516.82632000000001</v>
      </c>
      <c r="BH15" s="1371">
        <v>22777.426050000002</v>
      </c>
      <c r="BI15" s="1371">
        <v>549.15332999999998</v>
      </c>
      <c r="BJ15" s="1371">
        <v>28633.478320000002</v>
      </c>
      <c r="BK15" s="1371">
        <v>662.38731000000007</v>
      </c>
      <c r="BL15" s="1371">
        <v>33391.308109999998</v>
      </c>
      <c r="BM15" s="1371">
        <v>762.35091</v>
      </c>
      <c r="BN15" s="1371">
        <v>37440.577859999998</v>
      </c>
      <c r="BO15" s="1371">
        <v>887.95450000000005</v>
      </c>
      <c r="BP15" s="1371">
        <v>42296.085209999997</v>
      </c>
      <c r="BQ15" s="1371">
        <v>1005.35696</v>
      </c>
      <c r="BR15" s="1371">
        <v>46150.78645</v>
      </c>
      <c r="BS15" s="1371">
        <v>1163.0068899999999</v>
      </c>
      <c r="BT15" s="1371">
        <v>48537.026100000003</v>
      </c>
      <c r="BU15" s="1371">
        <v>1249.93399</v>
      </c>
      <c r="BV15" s="1371">
        <v>2896.8254900000002</v>
      </c>
      <c r="BW15" s="1371">
        <v>165.97592</v>
      </c>
      <c r="BX15" s="1371">
        <v>6608.1522300000006</v>
      </c>
      <c r="BY15" s="1371">
        <v>227.10944000000001</v>
      </c>
      <c r="BZ15" s="1371">
        <v>10473.311659999999</v>
      </c>
      <c r="CA15" s="1371">
        <v>308.05922999999996</v>
      </c>
      <c r="CB15" s="1371">
        <v>12159.93744</v>
      </c>
      <c r="CC15" s="1371">
        <v>438.23712</v>
      </c>
      <c r="CD15" s="1371">
        <v>15030.577310000001</v>
      </c>
      <c r="CE15" s="1371">
        <v>522.11451999999997</v>
      </c>
      <c r="CF15" s="1371">
        <v>18949.247179999998</v>
      </c>
      <c r="CG15" s="1371">
        <v>549.95461999999998</v>
      </c>
      <c r="CH15" s="1371">
        <v>22993.192050000001</v>
      </c>
      <c r="CI15" s="1371">
        <v>628.96556999999996</v>
      </c>
      <c r="CJ15" s="1371">
        <v>28269.046920000001</v>
      </c>
      <c r="CK15" s="1371">
        <v>836.32603000000006</v>
      </c>
      <c r="CL15" s="1371">
        <v>33252.629959999998</v>
      </c>
      <c r="CM15" s="1371">
        <v>914.31127000000004</v>
      </c>
      <c r="CN15" s="1371">
        <v>36526.570020000006</v>
      </c>
      <c r="CO15" s="1371">
        <v>1241.44461</v>
      </c>
      <c r="CP15" s="1371">
        <v>39506.082049999997</v>
      </c>
      <c r="CQ15" s="1371">
        <v>1437.87851</v>
      </c>
      <c r="CR15" s="1371">
        <v>43130.15885</v>
      </c>
      <c r="CS15" s="1371">
        <v>4779.6490100000001</v>
      </c>
      <c r="CT15" s="1371">
        <v>2870.9665099999997</v>
      </c>
      <c r="CU15" s="1371">
        <v>395.86973999999998</v>
      </c>
      <c r="CV15" s="1371">
        <v>6293.3376600000001</v>
      </c>
      <c r="CW15" s="1371">
        <v>664.51807999999994</v>
      </c>
      <c r="CX15" s="1371">
        <v>7630.7462699999996</v>
      </c>
      <c r="CY15" s="1371">
        <v>1003.57885</v>
      </c>
      <c r="CZ15" s="1371">
        <v>8789.3066500000004</v>
      </c>
      <c r="DA15" s="1371">
        <v>1416.3785800000001</v>
      </c>
      <c r="DB15" s="1371">
        <v>12227.4139</v>
      </c>
      <c r="DC15" s="1371">
        <v>1600.9605300000001</v>
      </c>
      <c r="DD15" s="1371">
        <v>16307.184810000001</v>
      </c>
      <c r="DE15" s="1371">
        <v>1767.1540299999999</v>
      </c>
      <c r="DF15" s="1371">
        <v>21405.42484</v>
      </c>
      <c r="DG15" s="1371">
        <v>2045.6612700000001</v>
      </c>
      <c r="DH15" s="1371">
        <v>26420.384739999998</v>
      </c>
      <c r="DI15" s="1371">
        <v>2189.5987</v>
      </c>
      <c r="DJ15" s="1371">
        <v>31171.489519999999</v>
      </c>
      <c r="DK15" s="1371">
        <v>2610.720953</v>
      </c>
      <c r="DL15" s="1371">
        <v>34879.338909999999</v>
      </c>
      <c r="DM15" s="1371">
        <v>3025.0014799999999</v>
      </c>
      <c r="DN15" s="1371">
        <v>38609.938900000001</v>
      </c>
      <c r="DO15" s="1371">
        <v>3329.9130829999999</v>
      </c>
      <c r="DP15" s="1371">
        <v>41953.43838</v>
      </c>
      <c r="DQ15" s="1386">
        <v>3968.0399499999999</v>
      </c>
      <c r="DR15" s="1397">
        <v>2295.3569299999999</v>
      </c>
      <c r="DS15" s="1372">
        <v>268.31844000000001</v>
      </c>
      <c r="DT15" s="1390">
        <v>4805.47523</v>
      </c>
      <c r="DU15" s="1386">
        <v>643.09303999999997</v>
      </c>
      <c r="DV15" s="1397">
        <v>6887.0745699999998</v>
      </c>
      <c r="DW15" s="1372">
        <v>892.10815000000002</v>
      </c>
      <c r="DX15" s="1390">
        <v>8917.0786700000008</v>
      </c>
      <c r="DY15" s="1386">
        <v>1143.6056799999999</v>
      </c>
      <c r="DZ15" s="1397">
        <v>10901.78752</v>
      </c>
      <c r="EA15" s="1372">
        <v>1506.57972</v>
      </c>
      <c r="EB15" s="1390">
        <v>12816.8568</v>
      </c>
      <c r="EC15" s="1372">
        <v>1677.61608</v>
      </c>
      <c r="ED15" s="1397">
        <v>15204.094520000001</v>
      </c>
      <c r="EE15" s="1372">
        <v>1816.79062</v>
      </c>
      <c r="EF15" s="1397">
        <v>17308.821540000001</v>
      </c>
      <c r="EG15" s="1372">
        <v>1858.4790700000001</v>
      </c>
      <c r="EH15" s="1390">
        <v>19690.365440000001</v>
      </c>
      <c r="EI15" s="1372">
        <v>1982.85616</v>
      </c>
      <c r="EJ15" s="1390">
        <v>21963.018479999999</v>
      </c>
      <c r="EK15" s="1372">
        <v>2112.4565699999998</v>
      </c>
      <c r="EL15" s="1390">
        <v>23977.634109999999</v>
      </c>
      <c r="EM15" s="1372">
        <v>2286.4353700000001</v>
      </c>
      <c r="EN15" s="1390">
        <v>25852.231960000001</v>
      </c>
      <c r="EO15" s="1372">
        <v>2519.5404199999998</v>
      </c>
      <c r="EP15" s="1390">
        <v>1821.70471</v>
      </c>
      <c r="EQ15" s="1372">
        <v>100.45924000000001</v>
      </c>
      <c r="ER15" s="1390">
        <v>4153.6512899999998</v>
      </c>
      <c r="ES15" s="1372">
        <v>164.27304000000001</v>
      </c>
      <c r="ET15" s="1635">
        <v>6562.5130399999998</v>
      </c>
      <c r="EU15" s="1636">
        <v>384.51778000000002</v>
      </c>
      <c r="EV15" s="1390">
        <v>8725.5713099999994</v>
      </c>
      <c r="EW15" s="1372">
        <v>470.56409000000002</v>
      </c>
      <c r="EX15" s="1390">
        <v>11022.1625</v>
      </c>
      <c r="EY15" s="1372">
        <v>588.97349999999994</v>
      </c>
      <c r="EZ15" s="1390">
        <v>13231.0615</v>
      </c>
      <c r="FA15" s="1372">
        <v>744.68898999999999</v>
      </c>
      <c r="FB15" s="1390">
        <v>16356.150730000001</v>
      </c>
      <c r="FC15" s="1372">
        <v>790.15614000000005</v>
      </c>
      <c r="FD15" s="1390">
        <v>18808.553950000001</v>
      </c>
      <c r="FE15" s="1372">
        <v>1018.68429</v>
      </c>
      <c r="FF15" s="1390">
        <v>25362.719350000003</v>
      </c>
      <c r="FG15" s="1372">
        <v>1199.4527399999999</v>
      </c>
      <c r="FH15" s="1390">
        <v>28109.388859999999</v>
      </c>
      <c r="FI15" s="1372">
        <v>1697.9730999999999</v>
      </c>
      <c r="FJ15" s="1635">
        <v>30460.62702</v>
      </c>
      <c r="FK15" s="1636">
        <v>1976.2621899999999</v>
      </c>
      <c r="FL15" s="1390">
        <v>32931.702519999999</v>
      </c>
      <c r="FM15" s="1372">
        <v>2030.2056599999999</v>
      </c>
      <c r="FN15" s="1390">
        <v>1999.3978</v>
      </c>
      <c r="FO15" s="1372">
        <v>233.08044000000001</v>
      </c>
      <c r="FP15" s="1390">
        <v>5282.1114000000007</v>
      </c>
      <c r="FQ15" s="1372">
        <v>378.00101000000001</v>
      </c>
      <c r="FR15" s="1373" t="s">
        <v>3273</v>
      </c>
    </row>
    <row r="16" spans="1:245" s="458" customFormat="1" ht="22.5" customHeight="1">
      <c r="A16" s="1373" t="s">
        <v>2352</v>
      </c>
      <c r="B16" s="1371">
        <v>54.472580000000001</v>
      </c>
      <c r="C16" s="1371">
        <v>0</v>
      </c>
      <c r="D16" s="1371">
        <v>122.98082000000001</v>
      </c>
      <c r="E16" s="1371">
        <v>0</v>
      </c>
      <c r="F16" s="1371">
        <v>204.8665</v>
      </c>
      <c r="G16" s="1371">
        <v>0</v>
      </c>
      <c r="H16" s="1371">
        <v>292.69079999999997</v>
      </c>
      <c r="I16" s="1371">
        <v>0</v>
      </c>
      <c r="J16" s="1371">
        <v>388.50900000000001</v>
      </c>
      <c r="K16" s="1371">
        <v>0</v>
      </c>
      <c r="L16" s="1371">
        <v>495.66929118000002</v>
      </c>
      <c r="M16" s="1371">
        <v>0</v>
      </c>
      <c r="N16" s="1371">
        <v>633.37519999999995</v>
      </c>
      <c r="O16" s="1371">
        <v>0</v>
      </c>
      <c r="P16" s="1371">
        <v>855.68485999999996</v>
      </c>
      <c r="Q16" s="1371">
        <v>0</v>
      </c>
      <c r="R16" s="1371">
        <v>1006.3415</v>
      </c>
      <c r="S16" s="1371">
        <v>0</v>
      </c>
      <c r="T16" s="1371">
        <v>1637.2521399999998</v>
      </c>
      <c r="U16" s="1371">
        <v>0</v>
      </c>
      <c r="V16" s="1371">
        <v>1810.2138200000002</v>
      </c>
      <c r="W16" s="1371">
        <v>0</v>
      </c>
      <c r="X16" s="1371">
        <v>1868.2073300000002</v>
      </c>
      <c r="Y16" s="1371">
        <v>0</v>
      </c>
      <c r="Z16" s="1371">
        <v>151.51146</v>
      </c>
      <c r="AA16" s="1371">
        <v>0</v>
      </c>
      <c r="AB16" s="1371">
        <v>341.08987000000002</v>
      </c>
      <c r="AC16" s="1371">
        <v>0</v>
      </c>
      <c r="AD16" s="1371">
        <v>532.88656999999989</v>
      </c>
      <c r="AE16" s="1371">
        <v>0</v>
      </c>
      <c r="AF16" s="1371">
        <v>881.28120999999999</v>
      </c>
      <c r="AG16" s="1371">
        <v>0</v>
      </c>
      <c r="AH16" s="1371">
        <v>1356.4846499999999</v>
      </c>
      <c r="AI16" s="1371">
        <v>0</v>
      </c>
      <c r="AJ16" s="1371">
        <v>1630.7734399999999</v>
      </c>
      <c r="AK16" s="1371">
        <v>0</v>
      </c>
      <c r="AL16" s="1371">
        <v>1923.3008400000001</v>
      </c>
      <c r="AM16" s="1371">
        <v>0</v>
      </c>
      <c r="AN16" s="1371">
        <v>2334.75461</v>
      </c>
      <c r="AO16" s="1371">
        <v>0</v>
      </c>
      <c r="AP16" s="1371">
        <v>2644.56853</v>
      </c>
      <c r="AQ16" s="1371">
        <v>0</v>
      </c>
      <c r="AR16" s="1371">
        <v>2869.9008199999998</v>
      </c>
      <c r="AS16" s="1371">
        <v>0</v>
      </c>
      <c r="AT16" s="1371">
        <v>3100.4574499999999</v>
      </c>
      <c r="AU16" s="1371">
        <v>0</v>
      </c>
      <c r="AV16" s="1371">
        <v>3388.4390600000002</v>
      </c>
      <c r="AW16" s="1371">
        <v>0</v>
      </c>
      <c r="AX16" s="1371">
        <v>244.53064999999998</v>
      </c>
      <c r="AY16" s="1371">
        <v>0</v>
      </c>
      <c r="AZ16" s="1371">
        <v>531.85152000000005</v>
      </c>
      <c r="BA16" s="1371">
        <v>0</v>
      </c>
      <c r="BB16" s="1371">
        <v>742.35668999999996</v>
      </c>
      <c r="BC16" s="1371">
        <v>0</v>
      </c>
      <c r="BD16" s="1371">
        <v>1144.56024</v>
      </c>
      <c r="BE16" s="1371">
        <v>0</v>
      </c>
      <c r="BF16" s="1371">
        <v>1651.3817099999999</v>
      </c>
      <c r="BG16" s="1371">
        <v>0</v>
      </c>
      <c r="BH16" s="1371">
        <v>2048.26413</v>
      </c>
      <c r="BI16" s="1371">
        <v>0</v>
      </c>
      <c r="BJ16" s="1371">
        <v>2645.4960799999999</v>
      </c>
      <c r="BK16" s="1371">
        <v>0</v>
      </c>
      <c r="BL16" s="1371">
        <v>3034.0666699999997</v>
      </c>
      <c r="BM16" s="1371">
        <v>0</v>
      </c>
      <c r="BN16" s="1371">
        <v>3469.9316400000002</v>
      </c>
      <c r="BO16" s="1371">
        <v>0</v>
      </c>
      <c r="BP16" s="1371">
        <v>3862.8373900000001</v>
      </c>
      <c r="BQ16" s="1371">
        <v>0</v>
      </c>
      <c r="BR16" s="1371">
        <v>4150.2928000000002</v>
      </c>
      <c r="BS16" s="1371">
        <v>0</v>
      </c>
      <c r="BT16" s="1371">
        <v>4373.5182599999998</v>
      </c>
      <c r="BU16" s="1371">
        <v>0</v>
      </c>
      <c r="BV16" s="1371">
        <v>38.748220000000003</v>
      </c>
      <c r="BW16" s="1371">
        <v>0</v>
      </c>
      <c r="BX16" s="1371">
        <v>119.57725000000001</v>
      </c>
      <c r="BY16" s="1371">
        <v>0</v>
      </c>
      <c r="BZ16" s="1371">
        <v>156.77452</v>
      </c>
      <c r="CA16" s="1371">
        <v>0</v>
      </c>
      <c r="CB16" s="1371">
        <v>202.77495000000002</v>
      </c>
      <c r="CC16" s="1371">
        <v>0</v>
      </c>
      <c r="CD16" s="1371">
        <v>237.73770999999999</v>
      </c>
      <c r="CE16" s="1371">
        <v>0</v>
      </c>
      <c r="CF16" s="1371">
        <v>287.51284000000004</v>
      </c>
      <c r="CG16" s="1371">
        <v>0</v>
      </c>
      <c r="CH16" s="1371">
        <v>327.95744999999999</v>
      </c>
      <c r="CI16" s="1371">
        <v>0</v>
      </c>
      <c r="CJ16" s="1371">
        <v>427.07625000000002</v>
      </c>
      <c r="CK16" s="1371">
        <v>0</v>
      </c>
      <c r="CL16" s="1371">
        <v>696.96780000000001</v>
      </c>
      <c r="CM16" s="1371">
        <v>0</v>
      </c>
      <c r="CN16" s="1371">
        <v>746.59579000000008</v>
      </c>
      <c r="CO16" s="1371">
        <v>0</v>
      </c>
      <c r="CP16" s="1371">
        <v>792.51585</v>
      </c>
      <c r="CQ16" s="1371">
        <v>0</v>
      </c>
      <c r="CR16" s="1371">
        <v>843.48764000000006</v>
      </c>
      <c r="CS16" s="1371">
        <v>0</v>
      </c>
      <c r="CT16" s="1371">
        <v>41.055620000000005</v>
      </c>
      <c r="CU16" s="1371">
        <v>0</v>
      </c>
      <c r="CV16" s="1371">
        <v>517.84114999999997</v>
      </c>
      <c r="CW16" s="1371">
        <v>0</v>
      </c>
      <c r="CX16" s="1371">
        <v>622.24502000000007</v>
      </c>
      <c r="CY16" s="1371">
        <v>0</v>
      </c>
      <c r="CZ16" s="1371">
        <v>727.50630000000001</v>
      </c>
      <c r="DA16" s="1371">
        <v>0</v>
      </c>
      <c r="DB16" s="1371">
        <v>1031.2154599999999</v>
      </c>
      <c r="DC16" s="1371">
        <v>0</v>
      </c>
      <c r="DD16" s="1371">
        <v>1394.3331000000001</v>
      </c>
      <c r="DE16" s="1371">
        <v>0</v>
      </c>
      <c r="DF16" s="1371">
        <v>1821.38786</v>
      </c>
      <c r="DG16" s="1371">
        <v>0</v>
      </c>
      <c r="DH16" s="1371">
        <v>2265.75956</v>
      </c>
      <c r="DI16" s="1371">
        <v>0</v>
      </c>
      <c r="DJ16" s="1371">
        <v>2674.84852</v>
      </c>
      <c r="DK16" s="1371">
        <v>0</v>
      </c>
      <c r="DL16" s="1371">
        <v>3177.2068199999999</v>
      </c>
      <c r="DM16" s="1371">
        <v>0</v>
      </c>
      <c r="DN16" s="1371">
        <v>3487.6472699999999</v>
      </c>
      <c r="DO16" s="1371">
        <v>0</v>
      </c>
      <c r="DP16" s="1371">
        <v>3783.7116000000001</v>
      </c>
      <c r="DQ16" s="1386">
        <v>0</v>
      </c>
      <c r="DR16" s="1397">
        <v>83.925880000000006</v>
      </c>
      <c r="DS16" s="1372">
        <v>0</v>
      </c>
      <c r="DT16" s="1390">
        <v>199.50855000000001</v>
      </c>
      <c r="DU16" s="1386">
        <v>0</v>
      </c>
      <c r="DV16" s="1397">
        <v>291.90368000000001</v>
      </c>
      <c r="DW16" s="1372">
        <v>0</v>
      </c>
      <c r="DX16" s="1390">
        <v>412.8603</v>
      </c>
      <c r="DY16" s="1386">
        <v>0</v>
      </c>
      <c r="DZ16" s="1397">
        <v>516.12222999999994</v>
      </c>
      <c r="EA16" s="1372">
        <v>0</v>
      </c>
      <c r="EB16" s="1390">
        <v>616.71684000000005</v>
      </c>
      <c r="EC16" s="1372">
        <v>20.184480000000001</v>
      </c>
      <c r="ED16" s="1397">
        <v>709.55384000000004</v>
      </c>
      <c r="EE16" s="1372">
        <v>25.620850000000001</v>
      </c>
      <c r="EF16" s="1397">
        <v>807.56763000000001</v>
      </c>
      <c r="EG16" s="1372">
        <v>27.348400000000002</v>
      </c>
      <c r="EH16" s="1390">
        <v>930.08151999999995</v>
      </c>
      <c r="EI16" s="1372">
        <v>29.672429999999999</v>
      </c>
      <c r="EJ16" s="1390">
        <v>1204.67311</v>
      </c>
      <c r="EK16" s="1372">
        <v>32.265599999999999</v>
      </c>
      <c r="EL16" s="1390">
        <v>1327.15059</v>
      </c>
      <c r="EM16" s="1372">
        <v>43.956009999999999</v>
      </c>
      <c r="EN16" s="1390">
        <v>1208.24533</v>
      </c>
      <c r="EO16" s="1372">
        <v>48.273739999999997</v>
      </c>
      <c r="EP16" s="1390">
        <v>84.52188000000001</v>
      </c>
      <c r="EQ16" s="1372">
        <v>0</v>
      </c>
      <c r="ER16" s="1390">
        <v>265.84258</v>
      </c>
      <c r="ES16" s="1372">
        <v>3.84937</v>
      </c>
      <c r="ET16" s="1635">
        <v>454.24297999999999</v>
      </c>
      <c r="EU16" s="1636">
        <v>4.8943300000000001</v>
      </c>
      <c r="EV16" s="1390">
        <v>571.08981000000006</v>
      </c>
      <c r="EW16" s="1372">
        <v>6.3194499999999998</v>
      </c>
      <c r="EX16" s="1390">
        <v>696.96834000000001</v>
      </c>
      <c r="EY16" s="1372">
        <v>8.0158900000000006</v>
      </c>
      <c r="EZ16" s="1390">
        <v>797.51156000000003</v>
      </c>
      <c r="FA16" s="1372">
        <v>9.5173400000000008</v>
      </c>
      <c r="FB16" s="1390">
        <v>996.32281999999998</v>
      </c>
      <c r="FC16" s="1372">
        <v>20.16544</v>
      </c>
      <c r="FD16" s="1390">
        <v>1170.6956399999999</v>
      </c>
      <c r="FE16" s="1372">
        <v>44.311729999999997</v>
      </c>
      <c r="FF16" s="1390">
        <v>1359.09032</v>
      </c>
      <c r="FG16" s="1372">
        <v>68.008099999999999</v>
      </c>
      <c r="FH16" s="1390">
        <v>1552.7937999999999</v>
      </c>
      <c r="FI16" s="1372">
        <v>69.553250000000006</v>
      </c>
      <c r="FJ16" s="1635">
        <v>1764.0330899999999</v>
      </c>
      <c r="FK16" s="1636">
        <v>77.404679999999999</v>
      </c>
      <c r="FL16" s="1390">
        <v>1928.5048700000002</v>
      </c>
      <c r="FM16" s="1372">
        <v>146.61273</v>
      </c>
      <c r="FN16" s="1390">
        <v>109.31189000000001</v>
      </c>
      <c r="FO16" s="1372">
        <v>8.2194599999999998</v>
      </c>
      <c r="FP16" s="1390">
        <v>670.68444</v>
      </c>
      <c r="FQ16" s="1372">
        <v>36.678470000000004</v>
      </c>
      <c r="FR16" s="1426" t="s">
        <v>3508</v>
      </c>
    </row>
    <row r="17" spans="1:174" s="458" customFormat="1" ht="22.5" customHeight="1">
      <c r="A17" s="1370" t="s">
        <v>2351</v>
      </c>
      <c r="B17" s="1371">
        <v>7.6529999999999996</v>
      </c>
      <c r="C17" s="1371">
        <v>0</v>
      </c>
      <c r="D17" s="1371">
        <v>15.73061</v>
      </c>
      <c r="E17" s="1371">
        <v>0</v>
      </c>
      <c r="F17" s="1371">
        <v>28.785889999999998</v>
      </c>
      <c r="G17" s="1371">
        <v>5</v>
      </c>
      <c r="H17" s="1371">
        <v>36.271370000000005</v>
      </c>
      <c r="I17" s="1371">
        <v>5</v>
      </c>
      <c r="J17" s="1371">
        <v>45.581150000000001</v>
      </c>
      <c r="K17" s="1371">
        <v>7.4249999999999998</v>
      </c>
      <c r="L17" s="1371">
        <v>53.359438819000005</v>
      </c>
      <c r="M17" s="1371">
        <v>9.85</v>
      </c>
      <c r="N17" s="1371">
        <v>61.741010000000003</v>
      </c>
      <c r="O17" s="1371">
        <v>9.85</v>
      </c>
      <c r="P17" s="1371">
        <v>103.93774999999999</v>
      </c>
      <c r="Q17" s="1371">
        <v>9.85</v>
      </c>
      <c r="R17" s="1371">
        <v>100.41189999999999</v>
      </c>
      <c r="S17" s="1371">
        <v>9.85</v>
      </c>
      <c r="T17" s="1371">
        <v>105.79583</v>
      </c>
      <c r="U17" s="1371">
        <v>9.85</v>
      </c>
      <c r="V17" s="1371">
        <v>113.06705000000001</v>
      </c>
      <c r="W17" s="1371">
        <v>9.85</v>
      </c>
      <c r="X17" s="1371">
        <v>117.51663000000001</v>
      </c>
      <c r="Y17" s="1371">
        <v>9.85</v>
      </c>
      <c r="Z17" s="1371">
        <v>7.1914999999999996</v>
      </c>
      <c r="AA17" s="1371">
        <v>0</v>
      </c>
      <c r="AB17" s="1371">
        <v>15.098780000000001</v>
      </c>
      <c r="AC17" s="1371">
        <v>0</v>
      </c>
      <c r="AD17" s="1371">
        <v>16.26559</v>
      </c>
      <c r="AE17" s="1371">
        <v>0</v>
      </c>
      <c r="AF17" s="1371">
        <v>25.817080000000001</v>
      </c>
      <c r="AG17" s="1371">
        <v>0</v>
      </c>
      <c r="AH17" s="1371">
        <v>32.176409999999997</v>
      </c>
      <c r="AI17" s="1371">
        <v>0</v>
      </c>
      <c r="AJ17" s="1371">
        <v>46.67615</v>
      </c>
      <c r="AK17" s="1371">
        <v>0</v>
      </c>
      <c r="AL17" s="1371">
        <v>57.342869999999998</v>
      </c>
      <c r="AM17" s="1371">
        <v>0</v>
      </c>
      <c r="AN17" s="1371">
        <v>101.17357000000001</v>
      </c>
      <c r="AO17" s="1371">
        <v>0</v>
      </c>
      <c r="AP17" s="1371">
        <v>246.58085999999997</v>
      </c>
      <c r="AQ17" s="1371">
        <v>0</v>
      </c>
      <c r="AR17" s="1371">
        <v>252.11303000000001</v>
      </c>
      <c r="AS17" s="1371">
        <v>0</v>
      </c>
      <c r="AT17" s="1371">
        <v>257.47712999999999</v>
      </c>
      <c r="AU17" s="1371">
        <v>0</v>
      </c>
      <c r="AV17" s="1371">
        <v>277.96587</v>
      </c>
      <c r="AW17" s="1371">
        <v>0</v>
      </c>
      <c r="AX17" s="1371">
        <v>6.7227200000000007</v>
      </c>
      <c r="AY17" s="1371">
        <v>0</v>
      </c>
      <c r="AZ17" s="1371">
        <v>16.444780000000002</v>
      </c>
      <c r="BA17" s="1371">
        <v>0</v>
      </c>
      <c r="BB17" s="1371">
        <v>23.074339999999999</v>
      </c>
      <c r="BC17" s="1371">
        <v>0</v>
      </c>
      <c r="BD17" s="1371">
        <v>41.491620000000005</v>
      </c>
      <c r="BE17" s="1371">
        <v>0</v>
      </c>
      <c r="BF17" s="1371">
        <v>66.059830000000005</v>
      </c>
      <c r="BG17" s="1371">
        <v>0</v>
      </c>
      <c r="BH17" s="1371">
        <v>94.754050000000007</v>
      </c>
      <c r="BI17" s="1371">
        <v>0</v>
      </c>
      <c r="BJ17" s="1371">
        <v>142.69320000000002</v>
      </c>
      <c r="BK17" s="1371">
        <v>0</v>
      </c>
      <c r="BL17" s="1371">
        <v>218.4734</v>
      </c>
      <c r="BM17" s="1371">
        <v>0</v>
      </c>
      <c r="BN17" s="1371">
        <v>393.16416999999996</v>
      </c>
      <c r="BO17" s="1371">
        <v>0</v>
      </c>
      <c r="BP17" s="1371">
        <v>434.50752</v>
      </c>
      <c r="BQ17" s="1371">
        <v>0</v>
      </c>
      <c r="BR17" s="1371">
        <v>324.53058000000004</v>
      </c>
      <c r="BS17" s="1371">
        <v>0</v>
      </c>
      <c r="BT17" s="1371">
        <v>350.59750000000003</v>
      </c>
      <c r="BU17" s="1371">
        <v>0</v>
      </c>
      <c r="BV17" s="1371">
        <v>20.175909999999998</v>
      </c>
      <c r="BW17" s="1371">
        <v>0</v>
      </c>
      <c r="BX17" s="1371">
        <v>49.788599999999995</v>
      </c>
      <c r="BY17" s="1371">
        <v>0</v>
      </c>
      <c r="BZ17" s="1371">
        <v>123.06393</v>
      </c>
      <c r="CA17" s="1371">
        <v>0</v>
      </c>
      <c r="CB17" s="1371">
        <v>139.41469000000001</v>
      </c>
      <c r="CC17" s="1371">
        <v>0</v>
      </c>
      <c r="CD17" s="1371">
        <v>158.77139000000003</v>
      </c>
      <c r="CE17" s="1371">
        <v>0</v>
      </c>
      <c r="CF17" s="1371">
        <v>187.76131000000001</v>
      </c>
      <c r="CG17" s="1371">
        <v>0</v>
      </c>
      <c r="CH17" s="1371">
        <v>216.19716</v>
      </c>
      <c r="CI17" s="1371">
        <v>0</v>
      </c>
      <c r="CJ17" s="1371">
        <v>319.29374000000001</v>
      </c>
      <c r="CK17" s="1371">
        <v>0</v>
      </c>
      <c r="CL17" s="1371">
        <v>369.78578000000005</v>
      </c>
      <c r="CM17" s="1371">
        <v>0</v>
      </c>
      <c r="CN17" s="1371">
        <v>409.77728000000002</v>
      </c>
      <c r="CO17" s="1371">
        <v>0</v>
      </c>
      <c r="CP17" s="1371">
        <v>437.70447999999999</v>
      </c>
      <c r="CQ17" s="1371">
        <v>0</v>
      </c>
      <c r="CR17" s="1371">
        <v>478.89121</v>
      </c>
      <c r="CS17" s="1371">
        <v>0</v>
      </c>
      <c r="CT17" s="1371">
        <v>47.838389999999997</v>
      </c>
      <c r="CU17" s="1371">
        <v>5</v>
      </c>
      <c r="CV17" s="1371">
        <v>100.90608</v>
      </c>
      <c r="CW17" s="1371">
        <v>5</v>
      </c>
      <c r="CX17" s="1371">
        <v>160.38676000000001</v>
      </c>
      <c r="CY17" s="1371">
        <v>5</v>
      </c>
      <c r="CZ17" s="1371">
        <v>249.88654</v>
      </c>
      <c r="DA17" s="1371">
        <v>5</v>
      </c>
      <c r="DB17" s="1371">
        <v>300.31085999999999</v>
      </c>
      <c r="DC17" s="1371">
        <v>15</v>
      </c>
      <c r="DD17" s="1371">
        <v>354.81996999999996</v>
      </c>
      <c r="DE17" s="1371">
        <v>15</v>
      </c>
      <c r="DF17" s="1371">
        <v>435.28595000000001</v>
      </c>
      <c r="DG17" s="1371">
        <v>15</v>
      </c>
      <c r="DH17" s="1371">
        <v>543.55657999999994</v>
      </c>
      <c r="DI17" s="1371">
        <v>20</v>
      </c>
      <c r="DJ17" s="1371">
        <v>779.95813999999996</v>
      </c>
      <c r="DK17" s="1371">
        <v>20</v>
      </c>
      <c r="DL17" s="1371">
        <v>831.84145000000001</v>
      </c>
      <c r="DM17" s="1371">
        <v>20</v>
      </c>
      <c r="DN17" s="1371">
        <v>884.87149999999997</v>
      </c>
      <c r="DO17" s="1371">
        <v>25</v>
      </c>
      <c r="DP17" s="1371">
        <v>939.32438000000002</v>
      </c>
      <c r="DQ17" s="1386">
        <v>27</v>
      </c>
      <c r="DR17" s="1397">
        <v>89.439059999999998</v>
      </c>
      <c r="DS17" s="1372">
        <v>0</v>
      </c>
      <c r="DT17" s="1390">
        <v>170.90763000000001</v>
      </c>
      <c r="DU17" s="1386">
        <v>0</v>
      </c>
      <c r="DV17" s="1397">
        <v>248.61556999999999</v>
      </c>
      <c r="DW17" s="1372">
        <v>0</v>
      </c>
      <c r="DX17" s="1390">
        <v>352.05151999999998</v>
      </c>
      <c r="DY17" s="1386">
        <v>0</v>
      </c>
      <c r="DZ17" s="1397">
        <v>439.54745000000003</v>
      </c>
      <c r="EA17" s="1372">
        <v>5</v>
      </c>
      <c r="EB17" s="1390">
        <v>532.78597000000002</v>
      </c>
      <c r="EC17" s="1372">
        <v>30</v>
      </c>
      <c r="ED17" s="1397">
        <v>611.74177999999995</v>
      </c>
      <c r="EE17" s="1372">
        <v>30</v>
      </c>
      <c r="EF17" s="1397">
        <v>700.79007000000001</v>
      </c>
      <c r="EG17" s="1372">
        <v>30.1</v>
      </c>
      <c r="EH17" s="1390">
        <v>1073.7493400000001</v>
      </c>
      <c r="EI17" s="1372">
        <v>55.2</v>
      </c>
      <c r="EJ17" s="1390">
        <v>1158.46136</v>
      </c>
      <c r="EK17" s="1372">
        <v>60.2</v>
      </c>
      <c r="EL17" s="1390">
        <v>1265.41561</v>
      </c>
      <c r="EM17" s="1372">
        <v>60.2</v>
      </c>
      <c r="EN17" s="1390">
        <v>1341.2893899999999</v>
      </c>
      <c r="EO17" s="1372">
        <v>60.2</v>
      </c>
      <c r="EP17" s="1390">
        <v>104.80425</v>
      </c>
      <c r="EQ17" s="1372">
        <v>0</v>
      </c>
      <c r="ER17" s="1390">
        <v>281.11715999999996</v>
      </c>
      <c r="ES17" s="1372">
        <v>0.15</v>
      </c>
      <c r="ET17" s="1635">
        <v>530.41700000000003</v>
      </c>
      <c r="EU17" s="1636">
        <v>0.15</v>
      </c>
      <c r="EV17" s="1390">
        <v>780.44016999999997</v>
      </c>
      <c r="EW17" s="1372">
        <v>0.15</v>
      </c>
      <c r="EX17" s="1390">
        <v>913.57882999999993</v>
      </c>
      <c r="EY17" s="1372">
        <v>0.15</v>
      </c>
      <c r="EZ17" s="1390">
        <v>1088.5085200000001</v>
      </c>
      <c r="FA17" s="1372">
        <v>11.55</v>
      </c>
      <c r="FB17" s="1390">
        <v>1391.4951000000001</v>
      </c>
      <c r="FC17" s="1372">
        <v>15.55</v>
      </c>
      <c r="FD17" s="1390">
        <v>1642.6646599999999</v>
      </c>
      <c r="FE17" s="1372">
        <v>20.55</v>
      </c>
      <c r="FF17" s="1390">
        <v>4342.3167800000001</v>
      </c>
      <c r="FG17" s="1372">
        <v>26.55</v>
      </c>
      <c r="FH17" s="1390">
        <v>4763.1450599999998</v>
      </c>
      <c r="FI17" s="1372">
        <v>33.549999999999997</v>
      </c>
      <c r="FJ17" s="1635">
        <v>5110.7905799999999</v>
      </c>
      <c r="FK17" s="1636">
        <v>33.549999999999997</v>
      </c>
      <c r="FL17" s="1390">
        <v>5350.3388399999994</v>
      </c>
      <c r="FM17" s="1372">
        <v>64.55</v>
      </c>
      <c r="FN17" s="1390">
        <v>192.50843</v>
      </c>
      <c r="FO17" s="1372">
        <v>0</v>
      </c>
      <c r="FP17" s="1390">
        <v>692.84050000000002</v>
      </c>
      <c r="FQ17" s="1372">
        <v>13.75</v>
      </c>
      <c r="FR17" s="1373" t="s">
        <v>3509</v>
      </c>
    </row>
    <row r="18" spans="1:174" s="458" customFormat="1" ht="22.5" customHeight="1">
      <c r="A18" s="1366" t="s">
        <v>2350</v>
      </c>
      <c r="B18" s="1367">
        <f t="shared" ref="B18:BM18" si="6">B19+B23</f>
        <v>52765.430560000008</v>
      </c>
      <c r="C18" s="1367">
        <f t="shared" si="6"/>
        <v>5659.5281400000003</v>
      </c>
      <c r="D18" s="1367">
        <f t="shared" si="6"/>
        <v>66300.280090437998</v>
      </c>
      <c r="E18" s="1367">
        <f t="shared" si="6"/>
        <v>10309.81191</v>
      </c>
      <c r="F18" s="1367">
        <f t="shared" si="6"/>
        <v>77747.019780000002</v>
      </c>
      <c r="G18" s="1367">
        <f t="shared" si="6"/>
        <v>16340.14709</v>
      </c>
      <c r="H18" s="1367">
        <f t="shared" si="6"/>
        <v>86423.125650000002</v>
      </c>
      <c r="I18" s="1367">
        <f t="shared" si="6"/>
        <v>20125.61522</v>
      </c>
      <c r="J18" s="1367">
        <f t="shared" si="6"/>
        <v>98371.295979999995</v>
      </c>
      <c r="K18" s="1367">
        <f t="shared" si="6"/>
        <v>28290.748769999998</v>
      </c>
      <c r="L18" s="1367">
        <f t="shared" si="6"/>
        <v>109155.75466000001</v>
      </c>
      <c r="M18" s="1367">
        <f t="shared" si="6"/>
        <v>37560.324820000009</v>
      </c>
      <c r="N18" s="1367">
        <f t="shared" si="6"/>
        <v>127160.25349</v>
      </c>
      <c r="O18" s="1367">
        <f t="shared" si="6"/>
        <v>43981.765830000004</v>
      </c>
      <c r="P18" s="1367">
        <f t="shared" si="6"/>
        <v>142106.83564</v>
      </c>
      <c r="Q18" s="1367">
        <f t="shared" si="6"/>
        <v>53486.287920000002</v>
      </c>
      <c r="R18" s="1367">
        <f t="shared" si="6"/>
        <v>157772.42577999999</v>
      </c>
      <c r="S18" s="1367">
        <f t="shared" si="6"/>
        <v>58673.60714</v>
      </c>
      <c r="T18" s="1367">
        <f t="shared" si="6"/>
        <v>169120.68365000002</v>
      </c>
      <c r="U18" s="1367">
        <f t="shared" si="6"/>
        <v>65262.474409999995</v>
      </c>
      <c r="V18" s="1367">
        <f t="shared" si="6"/>
        <v>180205.60943000001</v>
      </c>
      <c r="W18" s="1367">
        <f t="shared" si="6"/>
        <v>69155.850449999998</v>
      </c>
      <c r="X18" s="1367">
        <f t="shared" si="6"/>
        <v>197375.70152</v>
      </c>
      <c r="Y18" s="1367">
        <f t="shared" si="6"/>
        <v>73017.972099999999</v>
      </c>
      <c r="Z18" s="1367">
        <f t="shared" si="6"/>
        <v>55156.273730000008</v>
      </c>
      <c r="AA18" s="1367">
        <f t="shared" si="6"/>
        <v>6997.3784690000002</v>
      </c>
      <c r="AB18" s="1367">
        <f t="shared" si="6"/>
        <v>70554.799440000003</v>
      </c>
      <c r="AC18" s="1367">
        <f t="shared" si="6"/>
        <v>13027.734679999998</v>
      </c>
      <c r="AD18" s="1367">
        <f t="shared" si="6"/>
        <v>93751.638219999993</v>
      </c>
      <c r="AE18" s="1367">
        <f t="shared" si="6"/>
        <v>17724.712509999998</v>
      </c>
      <c r="AF18" s="1367">
        <f t="shared" si="6"/>
        <v>105262.88425999999</v>
      </c>
      <c r="AG18" s="1367">
        <f t="shared" si="6"/>
        <v>26123.134389999996</v>
      </c>
      <c r="AH18" s="1367">
        <f t="shared" si="6"/>
        <v>117322.35337</v>
      </c>
      <c r="AI18" s="1367">
        <f t="shared" si="6"/>
        <v>32427.771120000001</v>
      </c>
      <c r="AJ18" s="1367">
        <f t="shared" si="6"/>
        <v>127905.98529000001</v>
      </c>
      <c r="AK18" s="1367">
        <f t="shared" si="6"/>
        <v>38190.134129999999</v>
      </c>
      <c r="AL18" s="1367">
        <f t="shared" si="6"/>
        <v>149308.42604000002</v>
      </c>
      <c r="AM18" s="1367">
        <f t="shared" si="6"/>
        <v>44866.233269999997</v>
      </c>
      <c r="AN18" s="1367">
        <f t="shared" si="6"/>
        <v>162866.33470000001</v>
      </c>
      <c r="AO18" s="1367">
        <f t="shared" si="6"/>
        <v>51057.6109</v>
      </c>
      <c r="AP18" s="1367">
        <f t="shared" si="6"/>
        <v>179924.55235000001</v>
      </c>
      <c r="AQ18" s="1367">
        <f t="shared" si="6"/>
        <v>56777.040509999999</v>
      </c>
      <c r="AR18" s="1367">
        <f t="shared" si="6"/>
        <v>194435.30176</v>
      </c>
      <c r="AS18" s="1367">
        <f t="shared" si="6"/>
        <v>63197.553059999998</v>
      </c>
      <c r="AT18" s="1367">
        <f t="shared" si="6"/>
        <v>205902.59664999999</v>
      </c>
      <c r="AU18" s="1367">
        <f t="shared" si="6"/>
        <v>71560.570739999996</v>
      </c>
      <c r="AV18" s="1367">
        <f t="shared" si="6"/>
        <v>230446.48440999998</v>
      </c>
      <c r="AW18" s="1367">
        <f t="shared" si="6"/>
        <v>77585.915349999996</v>
      </c>
      <c r="AX18" s="1367">
        <f t="shared" si="6"/>
        <v>61047.806360000002</v>
      </c>
      <c r="AY18" s="1367">
        <f t="shared" si="6"/>
        <v>3351.7088699999999</v>
      </c>
      <c r="AZ18" s="1367">
        <f t="shared" si="6"/>
        <v>79151.699590000004</v>
      </c>
      <c r="BA18" s="1367">
        <f t="shared" si="6"/>
        <v>9587.2257800000007</v>
      </c>
      <c r="BB18" s="1367">
        <f t="shared" si="6"/>
        <v>91414.686389999988</v>
      </c>
      <c r="BC18" s="1367">
        <f t="shared" si="6"/>
        <v>14741.974300000002</v>
      </c>
      <c r="BD18" s="1367">
        <f t="shared" si="6"/>
        <v>103721.64881000001</v>
      </c>
      <c r="BE18" s="1367">
        <f t="shared" si="6"/>
        <v>22375.843169999996</v>
      </c>
      <c r="BF18" s="1367">
        <f t="shared" si="6"/>
        <v>119766.63380000001</v>
      </c>
      <c r="BG18" s="1367">
        <f t="shared" si="6"/>
        <v>33887.051160000003</v>
      </c>
      <c r="BH18" s="1367">
        <f t="shared" si="6"/>
        <v>131816.56848999998</v>
      </c>
      <c r="BI18" s="1367">
        <f t="shared" si="6"/>
        <v>43120.88061</v>
      </c>
      <c r="BJ18" s="1367">
        <f t="shared" si="6"/>
        <v>151745.19413000002</v>
      </c>
      <c r="BK18" s="1367">
        <f t="shared" si="6"/>
        <v>46491.349399999999</v>
      </c>
      <c r="BL18" s="1367">
        <f t="shared" si="6"/>
        <v>163698.13801000002</v>
      </c>
      <c r="BM18" s="1367">
        <f t="shared" si="6"/>
        <v>55921.717560000005</v>
      </c>
      <c r="BN18" s="1367">
        <f t="shared" ref="BN18:DY18" si="7">BN19+BN23</f>
        <v>183610.51740000001</v>
      </c>
      <c r="BO18" s="1367">
        <f t="shared" si="7"/>
        <v>62827.237600000008</v>
      </c>
      <c r="BP18" s="1367">
        <f t="shared" si="7"/>
        <v>201805.30702000001</v>
      </c>
      <c r="BQ18" s="1367">
        <f t="shared" si="7"/>
        <v>70858.940329999998</v>
      </c>
      <c r="BR18" s="1367">
        <f t="shared" si="7"/>
        <v>215383.72805999999</v>
      </c>
      <c r="BS18" s="1367">
        <f t="shared" si="7"/>
        <v>79671.010539999988</v>
      </c>
      <c r="BT18" s="1367">
        <f t="shared" si="7"/>
        <v>237232.99882000001</v>
      </c>
      <c r="BU18" s="1367">
        <f t="shared" si="7"/>
        <v>99112.236929999985</v>
      </c>
      <c r="BV18" s="1367">
        <f t="shared" si="7"/>
        <v>74986.63334</v>
      </c>
      <c r="BW18" s="1367">
        <f t="shared" si="7"/>
        <v>7148.1257499999992</v>
      </c>
      <c r="BX18" s="1367">
        <f t="shared" si="7"/>
        <v>90427.502779999995</v>
      </c>
      <c r="BY18" s="1367">
        <f t="shared" si="7"/>
        <v>13332.681300000002</v>
      </c>
      <c r="BZ18" s="1367">
        <f t="shared" si="7"/>
        <v>104076.26242999999</v>
      </c>
      <c r="CA18" s="1367">
        <f t="shared" si="7"/>
        <v>22021.295330000001</v>
      </c>
      <c r="CB18" s="1367">
        <f t="shared" si="7"/>
        <v>115886.90983999998</v>
      </c>
      <c r="CC18" s="1367">
        <f t="shared" si="7"/>
        <v>30959.315440000002</v>
      </c>
      <c r="CD18" s="1367">
        <f t="shared" si="7"/>
        <v>129119.83503999999</v>
      </c>
      <c r="CE18" s="1367">
        <f t="shared" si="7"/>
        <v>39998.892970000001</v>
      </c>
      <c r="CF18" s="1367">
        <f t="shared" si="7"/>
        <v>142654.86121999999</v>
      </c>
      <c r="CG18" s="1367">
        <f t="shared" si="7"/>
        <v>45702.152699999999</v>
      </c>
      <c r="CH18" s="1367">
        <f t="shared" si="7"/>
        <v>166573.37420999998</v>
      </c>
      <c r="CI18" s="1367">
        <f t="shared" si="7"/>
        <v>50852.173389999996</v>
      </c>
      <c r="CJ18" s="1367">
        <f t="shared" si="7"/>
        <v>188107.63295</v>
      </c>
      <c r="CK18" s="1367">
        <f t="shared" si="7"/>
        <v>56823.867300000005</v>
      </c>
      <c r="CL18" s="1367">
        <f t="shared" si="7"/>
        <v>204321.14075999998</v>
      </c>
      <c r="CM18" s="1367">
        <f t="shared" si="7"/>
        <v>73160.331350000008</v>
      </c>
      <c r="CN18" s="1367">
        <f t="shared" si="7"/>
        <v>221279.04149000003</v>
      </c>
      <c r="CO18" s="1367">
        <f t="shared" si="7"/>
        <v>77932.170530000003</v>
      </c>
      <c r="CP18" s="1367">
        <f t="shared" si="7"/>
        <v>230394.97524000003</v>
      </c>
      <c r="CQ18" s="1367">
        <f t="shared" si="7"/>
        <v>83309.871660000004</v>
      </c>
      <c r="CR18" s="1367">
        <f t="shared" si="7"/>
        <v>252974.43205000003</v>
      </c>
      <c r="CS18" s="1367">
        <f t="shared" si="7"/>
        <v>98299.905920000019</v>
      </c>
      <c r="CT18" s="1367">
        <f t="shared" si="7"/>
        <v>67134.398870000005</v>
      </c>
      <c r="CU18" s="1367">
        <f t="shared" si="7"/>
        <v>8834.1773699999994</v>
      </c>
      <c r="CV18" s="1367">
        <f t="shared" si="7"/>
        <v>81556.18624000001</v>
      </c>
      <c r="CW18" s="1367">
        <f t="shared" si="7"/>
        <v>16382.932869999999</v>
      </c>
      <c r="CX18" s="1367">
        <f t="shared" si="7"/>
        <v>101746.19534000001</v>
      </c>
      <c r="CY18" s="1367">
        <f t="shared" si="7"/>
        <v>21203.920250000003</v>
      </c>
      <c r="CZ18" s="1367">
        <f t="shared" si="7"/>
        <v>114186.00769000003</v>
      </c>
      <c r="DA18" s="1367">
        <f t="shared" si="7"/>
        <v>28797.71371</v>
      </c>
      <c r="DB18" s="1367">
        <f t="shared" si="7"/>
        <v>128261.55721999999</v>
      </c>
      <c r="DC18" s="1367">
        <f t="shared" si="7"/>
        <v>34337.931749999996</v>
      </c>
      <c r="DD18" s="1367">
        <f t="shared" si="7"/>
        <v>145833.68766</v>
      </c>
      <c r="DE18" s="1367">
        <f t="shared" si="7"/>
        <v>44149.57445</v>
      </c>
      <c r="DF18" s="1367">
        <f t="shared" si="7"/>
        <v>171048.99226999999</v>
      </c>
      <c r="DG18" s="1367">
        <f t="shared" si="7"/>
        <v>51274.332150000002</v>
      </c>
      <c r="DH18" s="1367">
        <f t="shared" si="7"/>
        <v>181299.18479</v>
      </c>
      <c r="DI18" s="1367">
        <f t="shared" si="7"/>
        <v>67380.639920000001</v>
      </c>
      <c r="DJ18" s="1367">
        <f t="shared" si="7"/>
        <v>205984.13920000001</v>
      </c>
      <c r="DK18" s="1367">
        <f t="shared" si="7"/>
        <v>78842.8658</v>
      </c>
      <c r="DL18" s="1367">
        <f t="shared" si="7"/>
        <v>220641.04246999999</v>
      </c>
      <c r="DM18" s="1367">
        <f t="shared" si="7"/>
        <v>86778.724890000012</v>
      </c>
      <c r="DN18" s="1367">
        <f t="shared" si="7"/>
        <v>237896.97021</v>
      </c>
      <c r="DO18" s="1367">
        <f t="shared" si="7"/>
        <v>93481.872109999997</v>
      </c>
      <c r="DP18" s="1367">
        <f t="shared" si="7"/>
        <v>266992.72054000001</v>
      </c>
      <c r="DQ18" s="1385">
        <f t="shared" si="7"/>
        <v>103551.05820999999</v>
      </c>
      <c r="DR18" s="1398">
        <f t="shared" si="7"/>
        <v>74118.37096</v>
      </c>
      <c r="DS18" s="1399">
        <f t="shared" si="7"/>
        <v>4595.2581600000003</v>
      </c>
      <c r="DT18" s="1389">
        <f t="shared" si="7"/>
        <v>91776.708909999987</v>
      </c>
      <c r="DU18" s="1385">
        <f t="shared" si="7"/>
        <v>14465.836560000002</v>
      </c>
      <c r="DV18" s="1396">
        <f t="shared" si="7"/>
        <v>105864.49341000001</v>
      </c>
      <c r="DW18" s="1368">
        <f t="shared" si="7"/>
        <v>22022.07979</v>
      </c>
      <c r="DX18" s="1389">
        <f t="shared" si="7"/>
        <v>121368.70580999998</v>
      </c>
      <c r="DY18" s="1385">
        <f t="shared" si="7"/>
        <v>32074.435729999997</v>
      </c>
      <c r="DZ18" s="1396">
        <f t="shared" ref="DZ18:EE18" si="8">DZ19+DZ23</f>
        <v>141397.81560999999</v>
      </c>
      <c r="EA18" s="1368">
        <f t="shared" si="8"/>
        <v>39800.281489999994</v>
      </c>
      <c r="EB18" s="1389">
        <f t="shared" si="8"/>
        <v>161146.64124000003</v>
      </c>
      <c r="EC18" s="1368">
        <f t="shared" si="8"/>
        <v>47248.538959999998</v>
      </c>
      <c r="ED18" s="1396">
        <f t="shared" si="8"/>
        <v>189695.21606000001</v>
      </c>
      <c r="EE18" s="1368">
        <f t="shared" si="8"/>
        <v>54570.450969999998</v>
      </c>
      <c r="EF18" s="1396">
        <v>210898.81945000001</v>
      </c>
      <c r="EG18" s="1368">
        <v>62955.238810000003</v>
      </c>
      <c r="EH18" s="1389">
        <v>237507.90527999998</v>
      </c>
      <c r="EI18" s="1368">
        <v>70831.265650000001</v>
      </c>
      <c r="EJ18" s="1389">
        <v>250414.45931999997</v>
      </c>
      <c r="EK18" s="1368">
        <v>79611.823229999995</v>
      </c>
      <c r="EL18" s="1389">
        <v>271793.05158999999</v>
      </c>
      <c r="EM18" s="1368">
        <v>85691.984620000003</v>
      </c>
      <c r="EN18" s="1389">
        <v>302982.01489999995</v>
      </c>
      <c r="EO18" s="1368">
        <v>92926.876449999996</v>
      </c>
      <c r="EP18" s="1389">
        <v>79175.38182000001</v>
      </c>
      <c r="EQ18" s="1368">
        <v>7197.0016399999995</v>
      </c>
      <c r="ER18" s="1389">
        <v>101792.90627000001</v>
      </c>
      <c r="ES18" s="1368">
        <v>15073.834490000001</v>
      </c>
      <c r="ET18" s="1633">
        <v>123977.90795000002</v>
      </c>
      <c r="EU18" s="1634">
        <v>23053.178050000002</v>
      </c>
      <c r="EV18" s="1389">
        <v>136363.8547</v>
      </c>
      <c r="EW18" s="1368">
        <v>30963.307700000001</v>
      </c>
      <c r="EX18" s="1389">
        <v>158776.48632</v>
      </c>
      <c r="EY18" s="1368">
        <v>39413.842329999999</v>
      </c>
      <c r="EZ18" s="1389">
        <v>181873.45157999999</v>
      </c>
      <c r="FA18" s="1368">
        <v>47545.767059999998</v>
      </c>
      <c r="FB18" s="1389">
        <v>220980.31416000001</v>
      </c>
      <c r="FC18" s="1368">
        <v>55066.584840000003</v>
      </c>
      <c r="FD18" s="1389">
        <v>241559.72872999997</v>
      </c>
      <c r="FE18" s="1368">
        <v>79647.148650000003</v>
      </c>
      <c r="FF18" s="1389">
        <v>265225.86456999998</v>
      </c>
      <c r="FG18" s="1368">
        <v>99514.728659999993</v>
      </c>
      <c r="FH18" s="1389">
        <v>289383.81342999998</v>
      </c>
      <c r="FI18" s="1368">
        <v>112808.68276</v>
      </c>
      <c r="FJ18" s="1633">
        <v>313880.29879000003</v>
      </c>
      <c r="FK18" s="1634">
        <v>126722.2098</v>
      </c>
      <c r="FL18" s="1389">
        <v>342901.09450999997</v>
      </c>
      <c r="FM18" s="1368">
        <v>184459.15465000001</v>
      </c>
      <c r="FN18" s="1389">
        <v>78134.730740000014</v>
      </c>
      <c r="FO18" s="1368">
        <v>8988.7858500000002</v>
      </c>
      <c r="FP18" s="1389">
        <v>103971.96161999999</v>
      </c>
      <c r="FQ18" s="1368">
        <v>19776.66993</v>
      </c>
      <c r="FR18" s="1366" t="s">
        <v>3274</v>
      </c>
    </row>
    <row r="19" spans="1:174" s="458" customFormat="1" ht="22.5" customHeight="1">
      <c r="A19" s="1366" t="s">
        <v>2349</v>
      </c>
      <c r="B19" s="1367">
        <f t="shared" ref="B19:BM19" si="9">SUM(B20:B22)</f>
        <v>37372.112400000005</v>
      </c>
      <c r="C19" s="1367">
        <f t="shared" si="9"/>
        <v>4248.7987599999997</v>
      </c>
      <c r="D19" s="1367">
        <f t="shared" si="9"/>
        <v>42583.509589999994</v>
      </c>
      <c r="E19" s="1367">
        <f t="shared" si="9"/>
        <v>7537.5465299999996</v>
      </c>
      <c r="F19" s="1367">
        <f t="shared" si="9"/>
        <v>45971.448519999998</v>
      </c>
      <c r="G19" s="1367">
        <f t="shared" si="9"/>
        <v>11674.278690000001</v>
      </c>
      <c r="H19" s="1367">
        <f t="shared" si="9"/>
        <v>49195.233030000003</v>
      </c>
      <c r="I19" s="1367">
        <f t="shared" si="9"/>
        <v>13652.010689999999</v>
      </c>
      <c r="J19" s="1367">
        <f t="shared" si="9"/>
        <v>52182.888779999994</v>
      </c>
      <c r="K19" s="1367">
        <f t="shared" si="9"/>
        <v>17601.215499999998</v>
      </c>
      <c r="L19" s="1367">
        <f t="shared" si="9"/>
        <v>55005.230880000003</v>
      </c>
      <c r="M19" s="1367">
        <f t="shared" si="9"/>
        <v>25035.989460000004</v>
      </c>
      <c r="N19" s="1367">
        <f t="shared" si="9"/>
        <v>59148.509539999999</v>
      </c>
      <c r="O19" s="1367">
        <f t="shared" si="9"/>
        <v>30513.503420000001</v>
      </c>
      <c r="P19" s="1367">
        <f t="shared" si="9"/>
        <v>67618.840830000001</v>
      </c>
      <c r="Q19" s="1367">
        <f t="shared" si="9"/>
        <v>38842.810840000006</v>
      </c>
      <c r="R19" s="1367">
        <f t="shared" si="9"/>
        <v>70587.364690000002</v>
      </c>
      <c r="S19" s="1367">
        <f t="shared" si="9"/>
        <v>42771.857560000004</v>
      </c>
      <c r="T19" s="1367">
        <f t="shared" si="9"/>
        <v>75220.040059999999</v>
      </c>
      <c r="U19" s="1367">
        <f t="shared" si="9"/>
        <v>48387.544749999994</v>
      </c>
      <c r="V19" s="1367">
        <f t="shared" si="9"/>
        <v>78813.529679999992</v>
      </c>
      <c r="W19" s="1367">
        <f t="shared" si="9"/>
        <v>51324.791400000002</v>
      </c>
      <c r="X19" s="1367">
        <f t="shared" si="9"/>
        <v>90538.533469999995</v>
      </c>
      <c r="Y19" s="1367">
        <f t="shared" si="9"/>
        <v>53830.176339999998</v>
      </c>
      <c r="Z19" s="1367">
        <f t="shared" si="9"/>
        <v>40209.123770000006</v>
      </c>
      <c r="AA19" s="1367">
        <f t="shared" si="9"/>
        <v>5522.9358490000004</v>
      </c>
      <c r="AB19" s="1367">
        <f t="shared" si="9"/>
        <v>44504.262790000001</v>
      </c>
      <c r="AC19" s="1367">
        <f t="shared" si="9"/>
        <v>10600.519449999998</v>
      </c>
      <c r="AD19" s="1367">
        <f t="shared" si="9"/>
        <v>48885.591220000002</v>
      </c>
      <c r="AE19" s="1367">
        <f t="shared" si="9"/>
        <v>14770.360949999998</v>
      </c>
      <c r="AF19" s="1367">
        <f t="shared" si="9"/>
        <v>51715.974569999998</v>
      </c>
      <c r="AG19" s="1367">
        <f t="shared" si="9"/>
        <v>22121.669239999996</v>
      </c>
      <c r="AH19" s="1367">
        <f t="shared" si="9"/>
        <v>55675.539490000003</v>
      </c>
      <c r="AI19" s="1367">
        <f t="shared" si="9"/>
        <v>26849.59446</v>
      </c>
      <c r="AJ19" s="1367">
        <f t="shared" si="9"/>
        <v>58432.950960000002</v>
      </c>
      <c r="AK19" s="1367">
        <f t="shared" si="9"/>
        <v>30879.030510000001</v>
      </c>
      <c r="AL19" s="1367">
        <f t="shared" si="9"/>
        <v>62246.382319999997</v>
      </c>
      <c r="AM19" s="1367">
        <f t="shared" si="9"/>
        <v>35972.304459999999</v>
      </c>
      <c r="AN19" s="1367">
        <f t="shared" si="9"/>
        <v>67331.330900000015</v>
      </c>
      <c r="AO19" s="1367">
        <f t="shared" si="9"/>
        <v>41272.039729999997</v>
      </c>
      <c r="AP19" s="1367">
        <f t="shared" si="9"/>
        <v>69798.794620000001</v>
      </c>
      <c r="AQ19" s="1367">
        <f t="shared" si="9"/>
        <v>45171.77968</v>
      </c>
      <c r="AR19" s="1367">
        <f t="shared" si="9"/>
        <v>77190.992299999998</v>
      </c>
      <c r="AS19" s="1367">
        <f t="shared" si="9"/>
        <v>50009.036780000002</v>
      </c>
      <c r="AT19" s="1367">
        <f t="shared" si="9"/>
        <v>81744.13625000001</v>
      </c>
      <c r="AU19" s="1367">
        <f t="shared" si="9"/>
        <v>56650.44264999999</v>
      </c>
      <c r="AV19" s="1367">
        <f t="shared" si="9"/>
        <v>94115.308440000008</v>
      </c>
      <c r="AW19" s="1367">
        <f t="shared" si="9"/>
        <v>60556.948710000004</v>
      </c>
      <c r="AX19" s="1367">
        <f t="shared" si="9"/>
        <v>46005.852270000003</v>
      </c>
      <c r="AY19" s="1367">
        <f t="shared" si="9"/>
        <v>2061.9471199999998</v>
      </c>
      <c r="AZ19" s="1367">
        <f t="shared" si="9"/>
        <v>53141.8511</v>
      </c>
      <c r="BA19" s="1367">
        <f t="shared" si="9"/>
        <v>6869.1354499999998</v>
      </c>
      <c r="BB19" s="1367">
        <f t="shared" si="9"/>
        <v>58355.291659999995</v>
      </c>
      <c r="BC19" s="1367">
        <f t="shared" si="9"/>
        <v>11013.159240000001</v>
      </c>
      <c r="BD19" s="1367">
        <f t="shared" si="9"/>
        <v>61993.944970000004</v>
      </c>
      <c r="BE19" s="1367">
        <f t="shared" si="9"/>
        <v>17298.807819999998</v>
      </c>
      <c r="BF19" s="1367">
        <f t="shared" si="9"/>
        <v>66209.337079999998</v>
      </c>
      <c r="BG19" s="1367">
        <f t="shared" si="9"/>
        <v>22851.866050000004</v>
      </c>
      <c r="BH19" s="1367">
        <f t="shared" si="9"/>
        <v>68738.498389999993</v>
      </c>
      <c r="BI19" s="1367">
        <f t="shared" si="9"/>
        <v>29349.534360000001</v>
      </c>
      <c r="BJ19" s="1367">
        <f t="shared" si="9"/>
        <v>72094.123869999996</v>
      </c>
      <c r="BK19" s="1367">
        <f t="shared" si="9"/>
        <v>30645.434860000001</v>
      </c>
      <c r="BL19" s="1367">
        <f t="shared" si="9"/>
        <v>76503.503180000014</v>
      </c>
      <c r="BM19" s="1367">
        <f t="shared" si="9"/>
        <v>38872.347400000006</v>
      </c>
      <c r="BN19" s="1367">
        <f t="shared" ref="BN19:DY19" si="10">SUM(BN20:BN22)</f>
        <v>79464.257310000001</v>
      </c>
      <c r="BO19" s="1367">
        <f t="shared" si="10"/>
        <v>43947.861150000004</v>
      </c>
      <c r="BP19" s="1367">
        <f t="shared" si="10"/>
        <v>87895.090349999999</v>
      </c>
      <c r="BQ19" s="1367">
        <f t="shared" si="10"/>
        <v>50351.538529999998</v>
      </c>
      <c r="BR19" s="1367">
        <f t="shared" si="10"/>
        <v>92484.691080000004</v>
      </c>
      <c r="BS19" s="1367">
        <f t="shared" si="10"/>
        <v>57665.661219999995</v>
      </c>
      <c r="BT19" s="1367">
        <f t="shared" si="10"/>
        <v>104119.88130000001</v>
      </c>
      <c r="BU19" s="1367">
        <f t="shared" si="10"/>
        <v>61418.520329999999</v>
      </c>
      <c r="BV19" s="1367">
        <f t="shared" si="10"/>
        <v>52312.700140000008</v>
      </c>
      <c r="BW19" s="1367">
        <f t="shared" si="10"/>
        <v>5770.2693399999998</v>
      </c>
      <c r="BX19" s="1367">
        <f t="shared" si="10"/>
        <v>58536.787439999993</v>
      </c>
      <c r="BY19" s="1367">
        <f t="shared" si="10"/>
        <v>10128.889360000001</v>
      </c>
      <c r="BZ19" s="1367">
        <f t="shared" si="10"/>
        <v>64100.895129999997</v>
      </c>
      <c r="CA19" s="1367">
        <f t="shared" si="10"/>
        <v>17082.475310000002</v>
      </c>
      <c r="CB19" s="1367">
        <f t="shared" si="10"/>
        <v>68548.851809999993</v>
      </c>
      <c r="CC19" s="1367">
        <f t="shared" si="10"/>
        <v>23565.561130000002</v>
      </c>
      <c r="CD19" s="1367">
        <f t="shared" si="10"/>
        <v>71941.476269999999</v>
      </c>
      <c r="CE19" s="1367">
        <f t="shared" si="10"/>
        <v>31207.557690000001</v>
      </c>
      <c r="CF19" s="1367">
        <f t="shared" si="10"/>
        <v>73891.928550000011</v>
      </c>
      <c r="CG19" s="1367">
        <f t="shared" si="10"/>
        <v>35839.785349999998</v>
      </c>
      <c r="CH19" s="1367">
        <f t="shared" si="10"/>
        <v>76568.637229999993</v>
      </c>
      <c r="CI19" s="1367">
        <f t="shared" si="10"/>
        <v>39621.402730000002</v>
      </c>
      <c r="CJ19" s="1367">
        <f t="shared" si="10"/>
        <v>79404.565139999992</v>
      </c>
      <c r="CK19" s="1367">
        <f t="shared" si="10"/>
        <v>43912.920020000005</v>
      </c>
      <c r="CL19" s="1367">
        <f t="shared" si="10"/>
        <v>82045.395629999985</v>
      </c>
      <c r="CM19" s="1367">
        <f t="shared" si="10"/>
        <v>47658.800580000003</v>
      </c>
      <c r="CN19" s="1367">
        <f t="shared" si="10"/>
        <v>91184.410970000012</v>
      </c>
      <c r="CO19" s="1367">
        <f t="shared" si="10"/>
        <v>51265.796969999996</v>
      </c>
      <c r="CP19" s="1367">
        <f t="shared" si="10"/>
        <v>94158.971699999995</v>
      </c>
      <c r="CQ19" s="1367">
        <f t="shared" si="10"/>
        <v>54691.918300000005</v>
      </c>
      <c r="CR19" s="1367">
        <f t="shared" si="10"/>
        <v>105894.23261000001</v>
      </c>
      <c r="CS19" s="1367">
        <f t="shared" si="10"/>
        <v>68336.312490000011</v>
      </c>
      <c r="CT19" s="1367">
        <f t="shared" si="10"/>
        <v>51300.774949999999</v>
      </c>
      <c r="CU19" s="1367">
        <f t="shared" si="10"/>
        <v>7758.96155</v>
      </c>
      <c r="CV19" s="1367">
        <f t="shared" si="10"/>
        <v>56114.901080000003</v>
      </c>
      <c r="CW19" s="1367">
        <f t="shared" si="10"/>
        <v>14000.513139999999</v>
      </c>
      <c r="CX19" s="1367">
        <f t="shared" si="10"/>
        <v>62812.205650000004</v>
      </c>
      <c r="CY19" s="1367">
        <f t="shared" si="10"/>
        <v>17094.457780000001</v>
      </c>
      <c r="CZ19" s="1367">
        <f t="shared" si="10"/>
        <v>67497.887520000004</v>
      </c>
      <c r="DA19" s="1367">
        <f t="shared" si="10"/>
        <v>20896.524519999999</v>
      </c>
      <c r="DB19" s="1367">
        <f t="shared" si="10"/>
        <v>71385.375579999993</v>
      </c>
      <c r="DC19" s="1367">
        <f t="shared" si="10"/>
        <v>24848.92885</v>
      </c>
      <c r="DD19" s="1367">
        <f t="shared" si="10"/>
        <v>72750.005999999994</v>
      </c>
      <c r="DE19" s="1367">
        <f t="shared" si="10"/>
        <v>32379.564149999998</v>
      </c>
      <c r="DF19" s="1367">
        <f t="shared" si="10"/>
        <v>75753.515640000012</v>
      </c>
      <c r="DG19" s="1367">
        <f t="shared" si="10"/>
        <v>38000.779880000002</v>
      </c>
      <c r="DH19" s="1367">
        <f t="shared" si="10"/>
        <v>78883.770880000011</v>
      </c>
      <c r="DI19" s="1367">
        <f t="shared" si="10"/>
        <v>52597.885399999999</v>
      </c>
      <c r="DJ19" s="1367">
        <f t="shared" si="10"/>
        <v>88283.580530000007</v>
      </c>
      <c r="DK19" s="1367">
        <f t="shared" si="10"/>
        <v>61957.334000000003</v>
      </c>
      <c r="DL19" s="1367">
        <f t="shared" si="10"/>
        <v>92436.9755</v>
      </c>
      <c r="DM19" s="1367">
        <f t="shared" si="10"/>
        <v>68061.364280000009</v>
      </c>
      <c r="DN19" s="1367">
        <f t="shared" si="10"/>
        <v>100737.11676</v>
      </c>
      <c r="DO19" s="1367">
        <f t="shared" si="10"/>
        <v>72678.363270000002</v>
      </c>
      <c r="DP19" s="1367">
        <f t="shared" si="10"/>
        <v>108360.94007</v>
      </c>
      <c r="DQ19" s="1385">
        <f t="shared" si="10"/>
        <v>79370.927169999995</v>
      </c>
      <c r="DR19" s="1396">
        <f t="shared" si="10"/>
        <v>57474.470570000005</v>
      </c>
      <c r="DS19" s="1399">
        <f t="shared" si="10"/>
        <v>3315.0377400000002</v>
      </c>
      <c r="DT19" s="1389">
        <f t="shared" si="10"/>
        <v>63031.962629999995</v>
      </c>
      <c r="DU19" s="1385">
        <f t="shared" si="10"/>
        <v>11316.880000000001</v>
      </c>
      <c r="DV19" s="1396">
        <f t="shared" si="10"/>
        <v>69010.02234000001</v>
      </c>
      <c r="DW19" s="1368">
        <f t="shared" si="10"/>
        <v>17566.1417</v>
      </c>
      <c r="DX19" s="1389">
        <f t="shared" si="10"/>
        <v>74554.244309999995</v>
      </c>
      <c r="DY19" s="1385">
        <f t="shared" si="10"/>
        <v>25646.957709999999</v>
      </c>
      <c r="DZ19" s="1396">
        <f t="shared" ref="DZ19:EE19" si="11">SUM(DZ20:DZ22)</f>
        <v>78283.455489999993</v>
      </c>
      <c r="EA19" s="1368">
        <f t="shared" si="11"/>
        <v>31667.424629999998</v>
      </c>
      <c r="EB19" s="1389">
        <f t="shared" si="11"/>
        <v>81188.42859000001</v>
      </c>
      <c r="EC19" s="1368">
        <f t="shared" si="11"/>
        <v>37711.865109999999</v>
      </c>
      <c r="ED19" s="1396">
        <f t="shared" si="11"/>
        <v>85507.407389999993</v>
      </c>
      <c r="EE19" s="1368">
        <f t="shared" si="11"/>
        <v>43743.779349999997</v>
      </c>
      <c r="EF19" s="1396">
        <v>90024.429459999985</v>
      </c>
      <c r="EG19" s="1368">
        <v>50469.114970000002</v>
      </c>
      <c r="EH19" s="1389">
        <v>99362.015879999992</v>
      </c>
      <c r="EI19" s="1368">
        <v>56341.236720000001</v>
      </c>
      <c r="EJ19" s="1389">
        <v>102896.23169999999</v>
      </c>
      <c r="EK19" s="1368">
        <v>62218.579299999998</v>
      </c>
      <c r="EL19" s="1389">
        <v>113899.70667</v>
      </c>
      <c r="EM19" s="1368">
        <v>66718.112229999999</v>
      </c>
      <c r="EN19" s="1389">
        <v>121325.39498</v>
      </c>
      <c r="EO19" s="1368">
        <v>70951.105909999998</v>
      </c>
      <c r="EP19" s="1389">
        <v>58264.887490000001</v>
      </c>
      <c r="EQ19" s="1368">
        <v>5676.5604899999998</v>
      </c>
      <c r="ER19" s="1389">
        <v>66073.408439999999</v>
      </c>
      <c r="ES19" s="1368">
        <v>11391.756340000002</v>
      </c>
      <c r="ET19" s="1633">
        <v>72347.584730000017</v>
      </c>
      <c r="EU19" s="1634">
        <v>17141.65797</v>
      </c>
      <c r="EV19" s="1389">
        <v>75095.224599999987</v>
      </c>
      <c r="EW19" s="1368">
        <v>22873.089630000002</v>
      </c>
      <c r="EX19" s="1389">
        <v>82006.900949999996</v>
      </c>
      <c r="EY19" s="1368">
        <v>29097.235810000002</v>
      </c>
      <c r="EZ19" s="1389">
        <v>86230.268629999991</v>
      </c>
      <c r="FA19" s="1368">
        <v>35345.65178</v>
      </c>
      <c r="FB19" s="1389">
        <v>91642.57415</v>
      </c>
      <c r="FC19" s="1368">
        <v>41272.525150000001</v>
      </c>
      <c r="FD19" s="1389">
        <v>98299.336039999995</v>
      </c>
      <c r="FE19" s="1368">
        <v>48945.834940000001</v>
      </c>
      <c r="FF19" s="1389">
        <v>107851.44128</v>
      </c>
      <c r="FG19" s="1368">
        <v>55969.834749999995</v>
      </c>
      <c r="FH19" s="1389">
        <v>112818.34257000001</v>
      </c>
      <c r="FI19" s="1368">
        <v>64126.038759999996</v>
      </c>
      <c r="FJ19" s="1633">
        <v>122722.77893</v>
      </c>
      <c r="FK19" s="1634">
        <v>74151.326990000001</v>
      </c>
      <c r="FL19" s="1389">
        <v>132021.74262</v>
      </c>
      <c r="FM19" s="1368">
        <v>83086.649990000005</v>
      </c>
      <c r="FN19" s="1389">
        <v>52738.81990000001</v>
      </c>
      <c r="FO19" s="1368">
        <v>6269.7092500000008</v>
      </c>
      <c r="FP19" s="1389">
        <v>64245.839520000001</v>
      </c>
      <c r="FQ19" s="1368">
        <v>14353.061879999999</v>
      </c>
      <c r="FR19" s="1366" t="s">
        <v>3275</v>
      </c>
    </row>
    <row r="20" spans="1:174" s="458" customFormat="1" ht="22.5" customHeight="1">
      <c r="A20" s="1370" t="s">
        <v>2348</v>
      </c>
      <c r="B20" s="1371">
        <v>36855.467840000005</v>
      </c>
      <c r="C20" s="1371">
        <v>4223.4009699999997</v>
      </c>
      <c r="D20" s="1371">
        <v>41592.193479999994</v>
      </c>
      <c r="E20" s="1371">
        <v>7453.8695399999997</v>
      </c>
      <c r="F20" s="1371">
        <v>44552.182160000004</v>
      </c>
      <c r="G20" s="1371">
        <v>11513.764770000002</v>
      </c>
      <c r="H20" s="1371">
        <v>47368.419240000003</v>
      </c>
      <c r="I20" s="1371">
        <v>13374.605599999999</v>
      </c>
      <c r="J20" s="1371">
        <v>49480.949919999999</v>
      </c>
      <c r="K20" s="1371">
        <v>17279.188249999999</v>
      </c>
      <c r="L20" s="1371">
        <v>51652.408880000003</v>
      </c>
      <c r="M20" s="1371">
        <v>24676.620870000002</v>
      </c>
      <c r="N20" s="1371">
        <v>54965.031229999993</v>
      </c>
      <c r="O20" s="1371">
        <v>30063.065139999999</v>
      </c>
      <c r="P20" s="1371">
        <v>62634.10916</v>
      </c>
      <c r="Q20" s="1371">
        <v>38342.955590000005</v>
      </c>
      <c r="R20" s="1371">
        <v>64981.929259999997</v>
      </c>
      <c r="S20" s="1371">
        <v>42117.39183</v>
      </c>
      <c r="T20" s="1371">
        <v>68920.698109999998</v>
      </c>
      <c r="U20" s="1371">
        <v>47669.271719999997</v>
      </c>
      <c r="V20" s="1371">
        <v>72091.449909999996</v>
      </c>
      <c r="W20" s="1371">
        <v>50555.007369999999</v>
      </c>
      <c r="X20" s="1371">
        <v>83165.692020000002</v>
      </c>
      <c r="Y20" s="1371">
        <v>53002.789250000002</v>
      </c>
      <c r="Z20" s="1371">
        <v>39815.647560000005</v>
      </c>
      <c r="AA20" s="1371">
        <v>5501.3439989999997</v>
      </c>
      <c r="AB20" s="1371">
        <v>43646.11735</v>
      </c>
      <c r="AC20" s="1371">
        <v>10549.742969999999</v>
      </c>
      <c r="AD20" s="1371">
        <v>47638.961340000002</v>
      </c>
      <c r="AE20" s="1371">
        <v>14682.801039999998</v>
      </c>
      <c r="AF20" s="1371">
        <v>50025.840640000002</v>
      </c>
      <c r="AG20" s="1371">
        <v>21743.686329999997</v>
      </c>
      <c r="AH20" s="1371">
        <v>53221.124510000001</v>
      </c>
      <c r="AI20" s="1371">
        <v>26380.90913</v>
      </c>
      <c r="AJ20" s="1371">
        <v>55231.308799999999</v>
      </c>
      <c r="AK20" s="1371">
        <v>30274.633429999998</v>
      </c>
      <c r="AL20" s="1371">
        <v>58286.213939999994</v>
      </c>
      <c r="AM20" s="1371">
        <v>35357.156360000001</v>
      </c>
      <c r="AN20" s="1371">
        <v>62535.477770000005</v>
      </c>
      <c r="AO20" s="1371">
        <v>40551.54664</v>
      </c>
      <c r="AP20" s="1371">
        <v>64201.595569999998</v>
      </c>
      <c r="AQ20" s="1371">
        <v>44349.687729999998</v>
      </c>
      <c r="AR20" s="1371">
        <v>71106.855249999993</v>
      </c>
      <c r="AS20" s="1371">
        <v>49084.84635</v>
      </c>
      <c r="AT20" s="1371">
        <v>75050.078959999999</v>
      </c>
      <c r="AU20" s="1371">
        <v>55681.897979999994</v>
      </c>
      <c r="AV20" s="1371">
        <v>87057.252340000006</v>
      </c>
      <c r="AW20" s="1371">
        <v>59484.608919999999</v>
      </c>
      <c r="AX20" s="1371">
        <v>45603.760670000003</v>
      </c>
      <c r="AY20" s="1371">
        <v>2042.38777</v>
      </c>
      <c r="AZ20" s="1371">
        <v>52214.416060000003</v>
      </c>
      <c r="BA20" s="1371">
        <v>6823.1878899999992</v>
      </c>
      <c r="BB20" s="1371">
        <v>56920.007789999996</v>
      </c>
      <c r="BC20" s="1371">
        <v>10916.495570000001</v>
      </c>
      <c r="BD20" s="1371">
        <v>60202.252340000006</v>
      </c>
      <c r="BE20" s="1371">
        <v>17102.411329999999</v>
      </c>
      <c r="BF20" s="1371">
        <v>63773.26483</v>
      </c>
      <c r="BG20" s="1371">
        <v>22575.893190000003</v>
      </c>
      <c r="BH20" s="1371">
        <v>65582.287729999996</v>
      </c>
      <c r="BI20" s="1371">
        <v>29014.568859999999</v>
      </c>
      <c r="BJ20" s="1371">
        <v>67850.978480000005</v>
      </c>
      <c r="BK20" s="1371">
        <v>30198.81954</v>
      </c>
      <c r="BL20" s="1371">
        <v>71341.365900000004</v>
      </c>
      <c r="BM20" s="1371">
        <v>38368.316210000005</v>
      </c>
      <c r="BN20" s="1371">
        <v>73200.919330000004</v>
      </c>
      <c r="BO20" s="1371">
        <v>43322.595600000001</v>
      </c>
      <c r="BP20" s="1371">
        <v>80998.588329999999</v>
      </c>
      <c r="BQ20" s="1371">
        <v>49598.184939999999</v>
      </c>
      <c r="BR20" s="1371">
        <v>84867.158660000001</v>
      </c>
      <c r="BS20" s="1371">
        <v>56829.965979999994</v>
      </c>
      <c r="BT20" s="1371">
        <v>95825.485060000006</v>
      </c>
      <c r="BU20" s="1371">
        <v>60492.939599999998</v>
      </c>
      <c r="BV20" s="1371">
        <v>51808.393630000006</v>
      </c>
      <c r="BW20" s="1371">
        <v>5712.2097000000003</v>
      </c>
      <c r="BX20" s="1371">
        <v>57258.143509999994</v>
      </c>
      <c r="BY20" s="1371">
        <v>10033.067570000001</v>
      </c>
      <c r="BZ20" s="1371">
        <v>62525.213899999995</v>
      </c>
      <c r="CA20" s="1371">
        <v>16917.075230000002</v>
      </c>
      <c r="CB20" s="1371">
        <v>66858.9951</v>
      </c>
      <c r="CC20" s="1371">
        <v>23316.247940000001</v>
      </c>
      <c r="CD20" s="1371">
        <v>69997.879620000007</v>
      </c>
      <c r="CE20" s="1371">
        <v>30914.457420000002</v>
      </c>
      <c r="CF20" s="1371">
        <v>71799.90615000001</v>
      </c>
      <c r="CG20" s="1371">
        <v>35523.535389999997</v>
      </c>
      <c r="CH20" s="1371">
        <v>74212.756599999993</v>
      </c>
      <c r="CI20" s="1371">
        <v>39280.847289999998</v>
      </c>
      <c r="CJ20" s="1371">
        <v>76767.961779999998</v>
      </c>
      <c r="CK20" s="1371">
        <v>43519.488990000005</v>
      </c>
      <c r="CL20" s="1371">
        <v>78638.838569999993</v>
      </c>
      <c r="CM20" s="1371">
        <v>47250.66893</v>
      </c>
      <c r="CN20" s="1371">
        <v>87387.166540000006</v>
      </c>
      <c r="CO20" s="1371">
        <v>50832.521729999993</v>
      </c>
      <c r="CP20" s="1371">
        <v>90236.1875</v>
      </c>
      <c r="CQ20" s="1371">
        <v>54254.09259</v>
      </c>
      <c r="CR20" s="1371">
        <v>101564.62347000001</v>
      </c>
      <c r="CS20" s="1371">
        <v>67869.50877</v>
      </c>
      <c r="CT20" s="1371">
        <v>51090.430200000003</v>
      </c>
      <c r="CU20" s="1371">
        <v>7752.3820999999998</v>
      </c>
      <c r="CV20" s="1371">
        <v>55666.613340000004</v>
      </c>
      <c r="CW20" s="1371">
        <v>13945.85468</v>
      </c>
      <c r="CX20" s="1371">
        <v>62045.569390000004</v>
      </c>
      <c r="CY20" s="1371">
        <v>17033.912319999999</v>
      </c>
      <c r="CZ20" s="1371">
        <v>66485.35252</v>
      </c>
      <c r="DA20" s="1371">
        <v>20774.32978</v>
      </c>
      <c r="DB20" s="1371">
        <v>70035.058709999998</v>
      </c>
      <c r="DC20" s="1371">
        <v>24687.799429999999</v>
      </c>
      <c r="DD20" s="1371">
        <v>70768.554439999993</v>
      </c>
      <c r="DE20" s="1371">
        <v>32196.335789999997</v>
      </c>
      <c r="DF20" s="1371">
        <v>72907.537680000009</v>
      </c>
      <c r="DG20" s="1371">
        <v>37807.230450000003</v>
      </c>
      <c r="DH20" s="1371">
        <v>75354.636760000009</v>
      </c>
      <c r="DI20" s="1371">
        <v>52394.136930000001</v>
      </c>
      <c r="DJ20" s="1371">
        <v>83739.761719999995</v>
      </c>
      <c r="DK20" s="1371">
        <v>61670.384310000001</v>
      </c>
      <c r="DL20" s="1371">
        <v>87470.02347</v>
      </c>
      <c r="DM20" s="1371">
        <v>67722.849260000003</v>
      </c>
      <c r="DN20" s="1371">
        <v>95394.634080000003</v>
      </c>
      <c r="DO20" s="1371">
        <v>72325.116320000001</v>
      </c>
      <c r="DP20" s="1371">
        <v>102649.39958</v>
      </c>
      <c r="DQ20" s="1386">
        <v>78944.396659999999</v>
      </c>
      <c r="DR20" s="1397">
        <v>57123.202160000001</v>
      </c>
      <c r="DS20" s="1400">
        <v>3242.2952100000002</v>
      </c>
      <c r="DT20" s="1390">
        <v>62343.875829999997</v>
      </c>
      <c r="DU20" s="1386">
        <v>11208.108260000001</v>
      </c>
      <c r="DV20" s="1397">
        <v>67850.442890000006</v>
      </c>
      <c r="DW20" s="1372">
        <v>17432.849689999999</v>
      </c>
      <c r="DX20" s="1390">
        <v>72792.863089999999</v>
      </c>
      <c r="DY20" s="1386">
        <v>25484.07243</v>
      </c>
      <c r="DZ20" s="1397">
        <v>75804.024479999993</v>
      </c>
      <c r="EA20" s="1372">
        <v>31436.631300000001</v>
      </c>
      <c r="EB20" s="1390">
        <v>78107.65453</v>
      </c>
      <c r="EC20" s="1372">
        <v>37391.459439999999</v>
      </c>
      <c r="ED20" s="1397">
        <v>81341.680429999993</v>
      </c>
      <c r="EE20" s="1372">
        <v>43342.975619999997</v>
      </c>
      <c r="EF20" s="1397">
        <v>84785.351039999994</v>
      </c>
      <c r="EG20" s="1372">
        <v>50038.000110000001</v>
      </c>
      <c r="EH20" s="1390">
        <v>93074.326220000003</v>
      </c>
      <c r="EI20" s="1372">
        <v>55867.988169999997</v>
      </c>
      <c r="EJ20" s="1390">
        <v>95764.073699999994</v>
      </c>
      <c r="EK20" s="1372">
        <v>61716.063529999999</v>
      </c>
      <c r="EL20" s="1390">
        <v>105546.56829</v>
      </c>
      <c r="EM20" s="1372">
        <v>66127.603069999997</v>
      </c>
      <c r="EN20" s="1390">
        <v>112260.04118</v>
      </c>
      <c r="EO20" s="1372">
        <v>70222.080130000002</v>
      </c>
      <c r="EP20" s="1390">
        <v>57682.179179999999</v>
      </c>
      <c r="EQ20" s="1372">
        <v>5664.7486699999999</v>
      </c>
      <c r="ER20" s="1390">
        <v>64871.050380000001</v>
      </c>
      <c r="ES20" s="1372">
        <v>11308.24567</v>
      </c>
      <c r="ET20" s="1635">
        <v>70543.691990000007</v>
      </c>
      <c r="EU20" s="1636">
        <v>17040.8344</v>
      </c>
      <c r="EV20" s="1390">
        <v>72618.536999999997</v>
      </c>
      <c r="EW20" s="1372">
        <v>22747.871869999999</v>
      </c>
      <c r="EX20" s="1390">
        <v>78222.003649999999</v>
      </c>
      <c r="EY20" s="1372">
        <v>28923.035820000001</v>
      </c>
      <c r="EZ20" s="1390">
        <v>81608.043849999987</v>
      </c>
      <c r="FA20" s="1372">
        <v>35145.801380000004</v>
      </c>
      <c r="FB20" s="1390">
        <v>85651.199040000007</v>
      </c>
      <c r="FC20" s="1372">
        <v>41029.689469999998</v>
      </c>
      <c r="FD20" s="1390">
        <v>91226.537259999997</v>
      </c>
      <c r="FE20" s="1372">
        <v>48633.073960000002</v>
      </c>
      <c r="FF20" s="1390">
        <v>99800.09564</v>
      </c>
      <c r="FG20" s="1372">
        <v>55541.673259999996</v>
      </c>
      <c r="FH20" s="1390">
        <v>103275.73618000001</v>
      </c>
      <c r="FI20" s="1372">
        <v>63662.357889999999</v>
      </c>
      <c r="FJ20" s="1635">
        <v>112547.82079</v>
      </c>
      <c r="FK20" s="1636">
        <v>73497.845560000002</v>
      </c>
      <c r="FL20" s="1390">
        <v>121010.91701</v>
      </c>
      <c r="FM20" s="1372">
        <v>82367.729120000004</v>
      </c>
      <c r="FN20" s="1390">
        <v>52108.096210000003</v>
      </c>
      <c r="FO20" s="1372">
        <v>6233.3559800000003</v>
      </c>
      <c r="FP20" s="1390">
        <v>62933.47337</v>
      </c>
      <c r="FQ20" s="1372">
        <v>14256.17376</v>
      </c>
      <c r="FR20" s="1373" t="s">
        <v>3510</v>
      </c>
    </row>
    <row r="21" spans="1:174" s="458" customFormat="1" ht="22.5" customHeight="1">
      <c r="A21" s="1374" t="s">
        <v>2347</v>
      </c>
      <c r="B21" s="1371">
        <v>148.82676000000001</v>
      </c>
      <c r="C21" s="1371">
        <v>4.7051800000000004</v>
      </c>
      <c r="D21" s="1371">
        <v>325.29307</v>
      </c>
      <c r="E21" s="1371">
        <v>27.50065</v>
      </c>
      <c r="F21" s="1371">
        <v>509.81162999999992</v>
      </c>
      <c r="G21" s="1371">
        <v>53.135580000000004</v>
      </c>
      <c r="H21" s="1371">
        <v>705.80830000000003</v>
      </c>
      <c r="I21" s="1371">
        <v>71.145589999999999</v>
      </c>
      <c r="J21" s="1371">
        <v>991.27355</v>
      </c>
      <c r="K21" s="1371">
        <v>117.59075</v>
      </c>
      <c r="L21" s="1371">
        <v>1323.8947599999999</v>
      </c>
      <c r="M21" s="1371">
        <v>129.08305000000001</v>
      </c>
      <c r="N21" s="1371">
        <v>1840.7411299999999</v>
      </c>
      <c r="O21" s="1371">
        <v>146.25514000000001</v>
      </c>
      <c r="P21" s="1371">
        <v>2307.6070299999997</v>
      </c>
      <c r="Q21" s="1371">
        <v>182.02610999999999</v>
      </c>
      <c r="R21" s="1371">
        <v>2507.6607799999997</v>
      </c>
      <c r="S21" s="1371">
        <v>289.49996000000004</v>
      </c>
      <c r="T21" s="1371">
        <v>2750.8502400000002</v>
      </c>
      <c r="U21" s="1371">
        <v>329.20625999999999</v>
      </c>
      <c r="V21" s="1371">
        <v>2943.3612000000003</v>
      </c>
      <c r="W21" s="1371">
        <v>361.02526</v>
      </c>
      <c r="X21" s="1371">
        <v>3100.1843200000003</v>
      </c>
      <c r="Y21" s="1371">
        <v>375.59332000000001</v>
      </c>
      <c r="Z21" s="1371">
        <v>215.6061</v>
      </c>
      <c r="AA21" s="1371">
        <v>11.681940000000001</v>
      </c>
      <c r="AB21" s="1371">
        <v>429.28646000000003</v>
      </c>
      <c r="AC21" s="1371">
        <v>15.478569999999999</v>
      </c>
      <c r="AD21" s="1371">
        <v>636.04300000000001</v>
      </c>
      <c r="AE21" s="1371">
        <v>37.005000000000003</v>
      </c>
      <c r="AF21" s="1371">
        <v>887.69011999999998</v>
      </c>
      <c r="AG21" s="1371">
        <v>292.81799999999998</v>
      </c>
      <c r="AH21" s="1371">
        <v>1211.1149800000001</v>
      </c>
      <c r="AI21" s="1371">
        <v>361.61041999999998</v>
      </c>
      <c r="AJ21" s="1371">
        <v>1643.68319</v>
      </c>
      <c r="AK21" s="1371">
        <v>456.09717000000001</v>
      </c>
      <c r="AL21" s="1371">
        <v>2223.5200199999999</v>
      </c>
      <c r="AM21" s="1371">
        <v>462.34318999999999</v>
      </c>
      <c r="AN21" s="1371">
        <v>2730.8883999999998</v>
      </c>
      <c r="AO21" s="1371">
        <v>533.15953000000002</v>
      </c>
      <c r="AP21" s="1371">
        <v>3061.1123499999999</v>
      </c>
      <c r="AQ21" s="1371">
        <v>603.25081999999998</v>
      </c>
      <c r="AR21" s="1371">
        <v>3350.7155899999998</v>
      </c>
      <c r="AS21" s="1371">
        <v>676.67769999999996</v>
      </c>
      <c r="AT21" s="1371">
        <v>3604.8102799999997</v>
      </c>
      <c r="AU21" s="1371">
        <v>687.94005000000004</v>
      </c>
      <c r="AV21" s="1371">
        <v>3758.14939</v>
      </c>
      <c r="AW21" s="1371">
        <v>749.50563999999997</v>
      </c>
      <c r="AX21" s="1371">
        <v>251.19410999999999</v>
      </c>
      <c r="AY21" s="1371">
        <v>11.15311</v>
      </c>
      <c r="AZ21" s="1371">
        <v>502.67162999999999</v>
      </c>
      <c r="BA21" s="1371">
        <v>24.241319999999998</v>
      </c>
      <c r="BB21" s="1371">
        <v>738.19452999999999</v>
      </c>
      <c r="BC21" s="1371">
        <v>41.537430000000001</v>
      </c>
      <c r="BD21" s="1371">
        <v>1029.89688</v>
      </c>
      <c r="BE21" s="1371">
        <v>110.10025</v>
      </c>
      <c r="BF21" s="1371">
        <v>1427.39068</v>
      </c>
      <c r="BG21" s="1371">
        <v>153.19175000000001</v>
      </c>
      <c r="BH21" s="1371">
        <v>1934.1501499999999</v>
      </c>
      <c r="BI21" s="1371">
        <v>196.28095000000002</v>
      </c>
      <c r="BJ21" s="1371">
        <v>2645.6152700000002</v>
      </c>
      <c r="BK21" s="1371">
        <v>257.39503000000002</v>
      </c>
      <c r="BL21" s="1371">
        <v>3305.7902100000001</v>
      </c>
      <c r="BM21" s="1371">
        <v>285.30090000000001</v>
      </c>
      <c r="BN21" s="1371">
        <v>3796.9089900000004</v>
      </c>
      <c r="BO21" s="1371">
        <v>359.09926000000002</v>
      </c>
      <c r="BP21" s="1371">
        <v>4166.2618700000003</v>
      </c>
      <c r="BQ21" s="1371">
        <v>436.55930000000001</v>
      </c>
      <c r="BR21" s="1371">
        <v>4523.7093399999994</v>
      </c>
      <c r="BS21" s="1371">
        <v>472.68445000000003</v>
      </c>
      <c r="BT21" s="1371">
        <v>4878.0391</v>
      </c>
      <c r="BU21" s="1371">
        <v>481.90397999999999</v>
      </c>
      <c r="BV21" s="1371">
        <v>309.43208000000004</v>
      </c>
      <c r="BW21" s="1371">
        <v>43.024639999999998</v>
      </c>
      <c r="BX21" s="1371">
        <v>655.46632</v>
      </c>
      <c r="BY21" s="1371">
        <v>72.358789999999999</v>
      </c>
      <c r="BZ21" s="1371">
        <v>769.93795999999998</v>
      </c>
      <c r="CA21" s="1371">
        <v>98.505870000000002</v>
      </c>
      <c r="CB21" s="1371">
        <v>782.82281</v>
      </c>
      <c r="CC21" s="1371">
        <v>188.25433999999998</v>
      </c>
      <c r="CD21" s="1371">
        <v>794.46735999999999</v>
      </c>
      <c r="CE21" s="1371">
        <v>219.53742000000003</v>
      </c>
      <c r="CF21" s="1371">
        <v>793.49123999999995</v>
      </c>
      <c r="CG21" s="1371">
        <v>228.99280999999999</v>
      </c>
      <c r="CH21" s="1371">
        <v>852.97125000000005</v>
      </c>
      <c r="CI21" s="1371">
        <v>235.43929</v>
      </c>
      <c r="CJ21" s="1371">
        <v>991.46607999999992</v>
      </c>
      <c r="CK21" s="1371">
        <v>266.00887999999998</v>
      </c>
      <c r="CL21" s="1371">
        <v>1161.7506000000001</v>
      </c>
      <c r="CM21" s="1371">
        <v>275.48809999999997</v>
      </c>
      <c r="CN21" s="1371">
        <v>1276.6858400000001</v>
      </c>
      <c r="CO21" s="1371">
        <v>280.76053000000002</v>
      </c>
      <c r="CP21" s="1371">
        <v>1333.1001799999999</v>
      </c>
      <c r="CQ21" s="1371">
        <v>281.36799999999999</v>
      </c>
      <c r="CR21" s="1371">
        <v>1416.05008</v>
      </c>
      <c r="CS21" s="1371">
        <v>307.68601000000001</v>
      </c>
      <c r="CT21" s="1371">
        <v>103.94686</v>
      </c>
      <c r="CU21" s="1371">
        <v>2.4013200000000001</v>
      </c>
      <c r="CV21" s="1371">
        <v>214.99106</v>
      </c>
      <c r="CW21" s="1371">
        <v>13.411530000000001</v>
      </c>
      <c r="CX21" s="1371">
        <v>330.22353999999996</v>
      </c>
      <c r="CY21" s="1371">
        <v>13.411530000000001</v>
      </c>
      <c r="CZ21" s="1371">
        <v>467.06016999999997</v>
      </c>
      <c r="DA21" s="1371">
        <v>38.060809999999996</v>
      </c>
      <c r="DB21" s="1371">
        <v>602.57673</v>
      </c>
      <c r="DC21" s="1371">
        <v>73.315490000000011</v>
      </c>
      <c r="DD21" s="1371">
        <v>829.31002000000001</v>
      </c>
      <c r="DE21" s="1371">
        <v>88.934429999999992</v>
      </c>
      <c r="DF21" s="1371">
        <v>1308.9730099999999</v>
      </c>
      <c r="DG21" s="1371">
        <v>95.155500000000004</v>
      </c>
      <c r="DH21" s="1371">
        <v>1868.0806699999998</v>
      </c>
      <c r="DI21" s="1371">
        <v>101.99454</v>
      </c>
      <c r="DJ21" s="1371">
        <v>2295.0023799999999</v>
      </c>
      <c r="DK21" s="1371">
        <v>133.02167</v>
      </c>
      <c r="DL21" s="1371">
        <v>2557.0192099999999</v>
      </c>
      <c r="DM21" s="1371">
        <v>155.84827999999999</v>
      </c>
      <c r="DN21" s="1371">
        <v>2773.8145100000002</v>
      </c>
      <c r="DO21" s="1371">
        <v>162.13843</v>
      </c>
      <c r="DP21" s="1371">
        <v>2963.7100399999999</v>
      </c>
      <c r="DQ21" s="1386">
        <v>229.45199</v>
      </c>
      <c r="DR21" s="1397">
        <v>201.46573000000001</v>
      </c>
      <c r="DS21" s="1372">
        <v>0.55259999999999998</v>
      </c>
      <c r="DT21" s="1390">
        <v>385.02166</v>
      </c>
      <c r="DU21" s="1386">
        <v>9.3350299999999997</v>
      </c>
      <c r="DV21" s="1397">
        <v>627.14044000000001</v>
      </c>
      <c r="DW21" s="1372">
        <v>25.57244</v>
      </c>
      <c r="DX21" s="1390">
        <v>949.45851000000005</v>
      </c>
      <c r="DY21" s="1386">
        <v>37.633980000000001</v>
      </c>
      <c r="DZ21" s="1397">
        <v>1484.5909799999999</v>
      </c>
      <c r="EA21" s="1372">
        <v>100.33129</v>
      </c>
      <c r="EB21" s="1390">
        <v>1857.03629</v>
      </c>
      <c r="EC21" s="1372">
        <v>181.19983999999999</v>
      </c>
      <c r="ED21" s="1397">
        <v>2610.2428300000001</v>
      </c>
      <c r="EE21" s="1372">
        <v>226.04856000000001</v>
      </c>
      <c r="EF21" s="1397">
        <v>3407.8195000000001</v>
      </c>
      <c r="EG21" s="1372">
        <v>251.36682999999999</v>
      </c>
      <c r="EH21" s="1390">
        <v>3944.4822800000002</v>
      </c>
      <c r="EI21" s="1372">
        <v>284.74671999999998</v>
      </c>
      <c r="EJ21" s="1390">
        <v>4374.2649600000004</v>
      </c>
      <c r="EK21" s="1372">
        <v>306.55871999999999</v>
      </c>
      <c r="EL21" s="1390">
        <v>4768.5699100000002</v>
      </c>
      <c r="EM21" s="1372">
        <v>380.61676</v>
      </c>
      <c r="EN21" s="1390">
        <v>5173.85419</v>
      </c>
      <c r="EO21" s="1372">
        <v>509.69922000000003</v>
      </c>
      <c r="EP21" s="1390">
        <v>371.1748</v>
      </c>
      <c r="EQ21" s="1372">
        <v>8.0367899999999999</v>
      </c>
      <c r="ER21" s="1390">
        <v>762.78761999999995</v>
      </c>
      <c r="ES21" s="1372">
        <v>61.974910000000001</v>
      </c>
      <c r="ET21" s="1635">
        <v>1148.1283699999999</v>
      </c>
      <c r="EU21" s="1636">
        <v>67.895169999999993</v>
      </c>
      <c r="EV21" s="1390">
        <v>1559.3200999999999</v>
      </c>
      <c r="EW21" s="1372">
        <v>84.431960000000004</v>
      </c>
      <c r="EX21" s="1390">
        <v>2171.50695</v>
      </c>
      <c r="EY21" s="1372">
        <v>103.24786</v>
      </c>
      <c r="EZ21" s="1390">
        <v>2736.22354</v>
      </c>
      <c r="FA21" s="1372">
        <v>116.17917999999999</v>
      </c>
      <c r="FB21" s="1390">
        <v>3721.63033</v>
      </c>
      <c r="FC21" s="1372">
        <v>151.78257000000002</v>
      </c>
      <c r="FD21" s="1390">
        <v>4503.56466</v>
      </c>
      <c r="FE21" s="1372">
        <v>190.90546000000001</v>
      </c>
      <c r="FF21" s="1390">
        <v>4917.5642099999995</v>
      </c>
      <c r="FG21" s="1372">
        <v>292.42399999999998</v>
      </c>
      <c r="FH21" s="1390">
        <v>5290.7333399999998</v>
      </c>
      <c r="FI21" s="1372">
        <v>314.45042999999998</v>
      </c>
      <c r="FJ21" s="1635">
        <v>5641.62</v>
      </c>
      <c r="FK21" s="1636">
        <v>488.50664</v>
      </c>
      <c r="FL21" s="1390">
        <v>6022.2288899999994</v>
      </c>
      <c r="FM21" s="1372">
        <v>543.24384999999995</v>
      </c>
      <c r="FN21" s="1390">
        <v>326.07906000000003</v>
      </c>
      <c r="FO21" s="1372">
        <v>28.421209999999999</v>
      </c>
      <c r="FP21" s="1390">
        <v>692.57231000000002</v>
      </c>
      <c r="FQ21" s="1372">
        <v>77.215729999999994</v>
      </c>
      <c r="FR21" s="1424" t="s">
        <v>3276</v>
      </c>
    </row>
    <row r="22" spans="1:174" s="458" customFormat="1" ht="22.5" customHeight="1">
      <c r="A22" s="1370" t="s">
        <v>2346</v>
      </c>
      <c r="B22" s="1371">
        <v>367.81779999999998</v>
      </c>
      <c r="C22" s="1371">
        <v>20.692610000000002</v>
      </c>
      <c r="D22" s="1371">
        <v>666.02304000000004</v>
      </c>
      <c r="E22" s="1371">
        <v>56.176339999999996</v>
      </c>
      <c r="F22" s="1371">
        <v>909.45472999999993</v>
      </c>
      <c r="G22" s="1371">
        <v>107.37833999999999</v>
      </c>
      <c r="H22" s="1371">
        <v>1121.00549</v>
      </c>
      <c r="I22" s="1371">
        <v>206.2595</v>
      </c>
      <c r="J22" s="1371">
        <v>1710.6653100000001</v>
      </c>
      <c r="K22" s="1371">
        <v>204.4365</v>
      </c>
      <c r="L22" s="1371">
        <v>2028.92724</v>
      </c>
      <c r="M22" s="1371">
        <v>230.28554</v>
      </c>
      <c r="N22" s="1371">
        <v>2342.7371800000001</v>
      </c>
      <c r="O22" s="1371">
        <v>304.18314000000004</v>
      </c>
      <c r="P22" s="1371">
        <v>2677.12464</v>
      </c>
      <c r="Q22" s="1371">
        <v>317.82914</v>
      </c>
      <c r="R22" s="1371">
        <v>3097.7746499999998</v>
      </c>
      <c r="S22" s="1371">
        <v>364.96577000000002</v>
      </c>
      <c r="T22" s="1371">
        <v>3548.4917099999998</v>
      </c>
      <c r="U22" s="1371">
        <v>389.06677000000002</v>
      </c>
      <c r="V22" s="1371">
        <v>3778.71857</v>
      </c>
      <c r="W22" s="1371">
        <v>408.75877000000003</v>
      </c>
      <c r="X22" s="1371">
        <v>4272.6571299999996</v>
      </c>
      <c r="Y22" s="1371">
        <v>451.79376999999999</v>
      </c>
      <c r="Z22" s="1371">
        <v>177.87010999999998</v>
      </c>
      <c r="AA22" s="1371">
        <v>9.90991</v>
      </c>
      <c r="AB22" s="1371">
        <v>428.85897999999997</v>
      </c>
      <c r="AC22" s="1371">
        <v>35.297910000000002</v>
      </c>
      <c r="AD22" s="1371">
        <v>610.58687999999995</v>
      </c>
      <c r="AE22" s="1371">
        <v>50.554910000000007</v>
      </c>
      <c r="AF22" s="1371">
        <v>802.4438100000001</v>
      </c>
      <c r="AG22" s="1371">
        <v>85.164910000000006</v>
      </c>
      <c r="AH22" s="1371">
        <v>1243.3</v>
      </c>
      <c r="AI22" s="1371">
        <v>107.07491</v>
      </c>
      <c r="AJ22" s="1371">
        <v>1557.9589699999999</v>
      </c>
      <c r="AK22" s="1371">
        <v>148.29991000000001</v>
      </c>
      <c r="AL22" s="1371">
        <v>1736.6483599999999</v>
      </c>
      <c r="AM22" s="1371">
        <v>152.80491000000001</v>
      </c>
      <c r="AN22" s="1371">
        <v>2064.9647300000001</v>
      </c>
      <c r="AO22" s="1371">
        <v>187.33356000000001</v>
      </c>
      <c r="AP22" s="1371">
        <v>2536.0867000000003</v>
      </c>
      <c r="AQ22" s="1371">
        <v>218.84112999999999</v>
      </c>
      <c r="AR22" s="1371">
        <v>2733.42146</v>
      </c>
      <c r="AS22" s="1371">
        <v>247.51273</v>
      </c>
      <c r="AT22" s="1371">
        <v>3089.24701</v>
      </c>
      <c r="AU22" s="1371">
        <v>280.60462000000001</v>
      </c>
      <c r="AV22" s="1371">
        <v>3299.9067099999997</v>
      </c>
      <c r="AW22" s="1371">
        <v>322.83415000000002</v>
      </c>
      <c r="AX22" s="1371">
        <v>150.89749</v>
      </c>
      <c r="AY22" s="1371">
        <v>8.4062400000000004</v>
      </c>
      <c r="AZ22" s="1371">
        <v>424.76340999999996</v>
      </c>
      <c r="BA22" s="1371">
        <v>21.706240000000001</v>
      </c>
      <c r="BB22" s="1371">
        <v>697.08933999999999</v>
      </c>
      <c r="BC22" s="1371">
        <v>55.126239999999996</v>
      </c>
      <c r="BD22" s="1371">
        <v>761.79575</v>
      </c>
      <c r="BE22" s="1371">
        <v>86.296240000000012</v>
      </c>
      <c r="BF22" s="1371">
        <v>1008.68157</v>
      </c>
      <c r="BG22" s="1371">
        <v>122.78111</v>
      </c>
      <c r="BH22" s="1371">
        <v>1222.06051</v>
      </c>
      <c r="BI22" s="1371">
        <v>138.68455</v>
      </c>
      <c r="BJ22" s="1371">
        <v>1597.5301200000001</v>
      </c>
      <c r="BK22" s="1371">
        <v>189.22029000000001</v>
      </c>
      <c r="BL22" s="1371">
        <v>1856.34707</v>
      </c>
      <c r="BM22" s="1371">
        <v>218.73029</v>
      </c>
      <c r="BN22" s="1371">
        <v>2466.4289900000003</v>
      </c>
      <c r="BO22" s="1371">
        <v>266.16629</v>
      </c>
      <c r="BP22" s="1371">
        <v>2730.2401500000001</v>
      </c>
      <c r="BQ22" s="1371">
        <v>316.79428999999999</v>
      </c>
      <c r="BR22" s="1371">
        <v>3093.8230800000001</v>
      </c>
      <c r="BS22" s="1371">
        <v>363.01078999999999</v>
      </c>
      <c r="BT22" s="1371">
        <v>3416.3571400000001</v>
      </c>
      <c r="BU22" s="1371">
        <v>443.67675000000003</v>
      </c>
      <c r="BV22" s="1371">
        <v>194.87442999999999</v>
      </c>
      <c r="BW22" s="1371">
        <v>15.035</v>
      </c>
      <c r="BX22" s="1371">
        <v>623.17760999999996</v>
      </c>
      <c r="BY22" s="1371">
        <v>23.463000000000001</v>
      </c>
      <c r="BZ22" s="1371">
        <v>805.74327000000005</v>
      </c>
      <c r="CA22" s="1371">
        <v>66.894210000000001</v>
      </c>
      <c r="CB22" s="1371">
        <v>907.03390000000002</v>
      </c>
      <c r="CC22" s="1371">
        <v>61.05885</v>
      </c>
      <c r="CD22" s="1371">
        <v>1149.1292900000001</v>
      </c>
      <c r="CE22" s="1371">
        <v>73.562850000000012</v>
      </c>
      <c r="CF22" s="1371">
        <v>1298.53116</v>
      </c>
      <c r="CG22" s="1371">
        <v>87.257149999999996</v>
      </c>
      <c r="CH22" s="1371">
        <v>1502.9093799999998</v>
      </c>
      <c r="CI22" s="1371">
        <v>105.11614999999999</v>
      </c>
      <c r="CJ22" s="1371">
        <v>1645.1372799999999</v>
      </c>
      <c r="CK22" s="1371">
        <v>127.42214999999999</v>
      </c>
      <c r="CL22" s="1371">
        <v>2244.8064599999998</v>
      </c>
      <c r="CM22" s="1371">
        <v>132.64354999999998</v>
      </c>
      <c r="CN22" s="1371">
        <v>2520.5585899999996</v>
      </c>
      <c r="CO22" s="1371">
        <v>152.51470999999998</v>
      </c>
      <c r="CP22" s="1371">
        <v>2589.6840200000001</v>
      </c>
      <c r="CQ22" s="1371">
        <v>156.45770999999999</v>
      </c>
      <c r="CR22" s="1371">
        <v>2913.55906</v>
      </c>
      <c r="CS22" s="1371">
        <v>159.11770999999999</v>
      </c>
      <c r="CT22" s="1371">
        <v>106.39789</v>
      </c>
      <c r="CU22" s="1371">
        <v>4.1781300000000003</v>
      </c>
      <c r="CV22" s="1371">
        <v>233.29667999999998</v>
      </c>
      <c r="CW22" s="1371">
        <v>41.246929999999999</v>
      </c>
      <c r="CX22" s="1371">
        <v>436.41271999999998</v>
      </c>
      <c r="CY22" s="1371">
        <v>47.133929999999999</v>
      </c>
      <c r="CZ22" s="1371">
        <v>545.47483</v>
      </c>
      <c r="DA22" s="1371">
        <v>84.133929999999992</v>
      </c>
      <c r="DB22" s="1371">
        <v>747.74014</v>
      </c>
      <c r="DC22" s="1371">
        <v>87.813929999999999</v>
      </c>
      <c r="DD22" s="1371">
        <v>1152.1415400000001</v>
      </c>
      <c r="DE22" s="1371">
        <v>94.293929999999989</v>
      </c>
      <c r="DF22" s="1371">
        <v>1537.00495</v>
      </c>
      <c r="DG22" s="1371">
        <v>98.393929999999997</v>
      </c>
      <c r="DH22" s="1371">
        <v>1661.0534499999999</v>
      </c>
      <c r="DI22" s="1371">
        <v>101.75393</v>
      </c>
      <c r="DJ22" s="1371">
        <v>2248.8164299999999</v>
      </c>
      <c r="DK22" s="1371">
        <v>153.92802</v>
      </c>
      <c r="DL22" s="1371">
        <v>2409.93282</v>
      </c>
      <c r="DM22" s="1371">
        <v>182.66674</v>
      </c>
      <c r="DN22" s="1371">
        <v>2568.6681699999999</v>
      </c>
      <c r="DO22" s="1371">
        <v>191.10852</v>
      </c>
      <c r="DP22" s="1371">
        <v>2747.8304499999999</v>
      </c>
      <c r="DQ22" s="1386">
        <v>197.07852</v>
      </c>
      <c r="DR22" s="1401">
        <v>149.80268000000001</v>
      </c>
      <c r="DS22" s="1372">
        <v>72.189930000000004</v>
      </c>
      <c r="DT22" s="1390">
        <v>303.06513999999999</v>
      </c>
      <c r="DU22" s="1386">
        <v>99.436710000000005</v>
      </c>
      <c r="DV22" s="1397">
        <v>532.43901000000005</v>
      </c>
      <c r="DW22" s="1372">
        <v>107.71957</v>
      </c>
      <c r="DX22" s="1390">
        <v>811.92271000000005</v>
      </c>
      <c r="DY22" s="1386">
        <v>125.2513</v>
      </c>
      <c r="DZ22" s="1397">
        <v>994.84002999999996</v>
      </c>
      <c r="EA22" s="1372">
        <v>130.46204</v>
      </c>
      <c r="EB22" s="1390">
        <v>1223.73777</v>
      </c>
      <c r="EC22" s="1372">
        <v>139.20582999999999</v>
      </c>
      <c r="ED22" s="1397">
        <v>1555.4841300000001</v>
      </c>
      <c r="EE22" s="1372">
        <v>174.75516999999999</v>
      </c>
      <c r="EF22" s="1397">
        <v>1831.25892</v>
      </c>
      <c r="EG22" s="1372">
        <v>179.74803</v>
      </c>
      <c r="EH22" s="1390">
        <v>2343.2073799999998</v>
      </c>
      <c r="EI22" s="1372">
        <v>188.50183000000001</v>
      </c>
      <c r="EJ22" s="1390">
        <v>2757.8930399999999</v>
      </c>
      <c r="EK22" s="1372">
        <v>195.95705000000001</v>
      </c>
      <c r="EL22" s="1390">
        <v>3584.5684700000002</v>
      </c>
      <c r="EM22" s="1372">
        <v>209.89240000000001</v>
      </c>
      <c r="EN22" s="1390">
        <v>3891.4996099999998</v>
      </c>
      <c r="EO22" s="1372">
        <v>219.32656</v>
      </c>
      <c r="EP22" s="1390">
        <v>211.53351000000001</v>
      </c>
      <c r="EQ22" s="1372">
        <v>3.7750300000000001</v>
      </c>
      <c r="ER22" s="1390">
        <v>439.57044000000002</v>
      </c>
      <c r="ES22" s="1372">
        <v>21.53576</v>
      </c>
      <c r="ET22" s="1635">
        <v>655.76436999999999</v>
      </c>
      <c r="EU22" s="1636">
        <v>32.928400000000003</v>
      </c>
      <c r="EV22" s="1390">
        <v>917.36749999999995</v>
      </c>
      <c r="EW22" s="1372">
        <v>40.785800000000002</v>
      </c>
      <c r="EX22" s="1390">
        <v>1613.3903500000001</v>
      </c>
      <c r="EY22" s="1372">
        <v>70.952130000000011</v>
      </c>
      <c r="EZ22" s="1390">
        <v>1886.0012400000001</v>
      </c>
      <c r="FA22" s="1372">
        <v>83.671220000000005</v>
      </c>
      <c r="FB22" s="1390">
        <v>2269.74478</v>
      </c>
      <c r="FC22" s="1372">
        <v>91.053110000000004</v>
      </c>
      <c r="FD22" s="1390">
        <v>2569.2341200000001</v>
      </c>
      <c r="FE22" s="1372">
        <v>121.85552</v>
      </c>
      <c r="FF22" s="1390">
        <v>3133.78143</v>
      </c>
      <c r="FG22" s="1372">
        <v>135.73748999999998</v>
      </c>
      <c r="FH22" s="1390">
        <v>4251.8730500000001</v>
      </c>
      <c r="FI22" s="1372">
        <v>149.23043999999999</v>
      </c>
      <c r="FJ22" s="1635">
        <v>4533.3381399999998</v>
      </c>
      <c r="FK22" s="1636">
        <v>164.97479000000001</v>
      </c>
      <c r="FL22" s="1390">
        <v>4988.5967199999996</v>
      </c>
      <c r="FM22" s="1372">
        <v>175.67702</v>
      </c>
      <c r="FN22" s="1390">
        <v>304.64463000000001</v>
      </c>
      <c r="FO22" s="1372">
        <v>7.9320599999999999</v>
      </c>
      <c r="FP22" s="1390">
        <v>619.79383999999993</v>
      </c>
      <c r="FQ22" s="1372">
        <v>19.67239</v>
      </c>
      <c r="FR22" s="1373" t="s">
        <v>3511</v>
      </c>
    </row>
    <row r="23" spans="1:174" s="458" customFormat="1" ht="22.5" customHeight="1">
      <c r="A23" s="1366" t="s">
        <v>2345</v>
      </c>
      <c r="B23" s="1367">
        <f t="shared" ref="B23:BM23" si="12">B24+B36+B46+B48</f>
        <v>15393.318160000001</v>
      </c>
      <c r="C23" s="1367">
        <f t="shared" si="12"/>
        <v>1410.7293800000002</v>
      </c>
      <c r="D23" s="1367">
        <f t="shared" si="12"/>
        <v>23716.770500437997</v>
      </c>
      <c r="E23" s="1367">
        <f t="shared" si="12"/>
        <v>2772.2653799999998</v>
      </c>
      <c r="F23" s="1367">
        <f t="shared" si="12"/>
        <v>31775.571260000001</v>
      </c>
      <c r="G23" s="1367">
        <f t="shared" si="12"/>
        <v>4665.8683999999994</v>
      </c>
      <c r="H23" s="1367">
        <f t="shared" si="12"/>
        <v>37227.892619999999</v>
      </c>
      <c r="I23" s="1367">
        <f t="shared" si="12"/>
        <v>6473.6045300000005</v>
      </c>
      <c r="J23" s="1367">
        <f t="shared" si="12"/>
        <v>46188.407200000001</v>
      </c>
      <c r="K23" s="1367">
        <f t="shared" si="12"/>
        <v>10689.53327</v>
      </c>
      <c r="L23" s="1367">
        <f t="shared" si="12"/>
        <v>54150.523780000003</v>
      </c>
      <c r="M23" s="1367">
        <f t="shared" si="12"/>
        <v>12524.335360000001</v>
      </c>
      <c r="N23" s="1367">
        <f t="shared" si="12"/>
        <v>68011.743950000004</v>
      </c>
      <c r="O23" s="1367">
        <f t="shared" si="12"/>
        <v>13468.262409999999</v>
      </c>
      <c r="P23" s="1367">
        <f t="shared" si="12"/>
        <v>74487.994810000004</v>
      </c>
      <c r="Q23" s="1367">
        <f t="shared" si="12"/>
        <v>14643.477079999997</v>
      </c>
      <c r="R23" s="1367">
        <f t="shared" si="12"/>
        <v>87185.061090000003</v>
      </c>
      <c r="S23" s="1367">
        <f t="shared" si="12"/>
        <v>15901.749579999996</v>
      </c>
      <c r="T23" s="1367">
        <f t="shared" si="12"/>
        <v>93900.643590000022</v>
      </c>
      <c r="U23" s="1367">
        <f t="shared" si="12"/>
        <v>16874.929659999998</v>
      </c>
      <c r="V23" s="1367">
        <f t="shared" si="12"/>
        <v>101392.07975</v>
      </c>
      <c r="W23" s="1367">
        <f t="shared" si="12"/>
        <v>17831.059049999996</v>
      </c>
      <c r="X23" s="1367">
        <f t="shared" si="12"/>
        <v>106837.16805000001</v>
      </c>
      <c r="Y23" s="1367">
        <f t="shared" si="12"/>
        <v>19187.795759999997</v>
      </c>
      <c r="Z23" s="1367">
        <f t="shared" si="12"/>
        <v>14947.149960000001</v>
      </c>
      <c r="AA23" s="1367">
        <f t="shared" si="12"/>
        <v>1474.4426199999998</v>
      </c>
      <c r="AB23" s="1367">
        <f t="shared" si="12"/>
        <v>26050.536649999998</v>
      </c>
      <c r="AC23" s="1367">
        <f t="shared" si="12"/>
        <v>2427.2152299999998</v>
      </c>
      <c r="AD23" s="1367">
        <f t="shared" si="12"/>
        <v>44866.046999999999</v>
      </c>
      <c r="AE23" s="1367">
        <f t="shared" si="12"/>
        <v>2954.3515600000001</v>
      </c>
      <c r="AF23" s="1367">
        <f t="shared" si="12"/>
        <v>53546.90969</v>
      </c>
      <c r="AG23" s="1367">
        <f t="shared" si="12"/>
        <v>4001.4651499999995</v>
      </c>
      <c r="AH23" s="1367">
        <f t="shared" si="12"/>
        <v>61646.813880000002</v>
      </c>
      <c r="AI23" s="1367">
        <f t="shared" si="12"/>
        <v>5578.1766600000001</v>
      </c>
      <c r="AJ23" s="1367">
        <f t="shared" si="12"/>
        <v>69473.03433000001</v>
      </c>
      <c r="AK23" s="1367">
        <f t="shared" si="12"/>
        <v>7311.1036200000008</v>
      </c>
      <c r="AL23" s="1367">
        <f t="shared" si="12"/>
        <v>87062.043720000016</v>
      </c>
      <c r="AM23" s="1367">
        <f t="shared" si="12"/>
        <v>8893.9288100000012</v>
      </c>
      <c r="AN23" s="1367">
        <f t="shared" si="12"/>
        <v>95535.003800000006</v>
      </c>
      <c r="AO23" s="1367">
        <f t="shared" si="12"/>
        <v>9785.5711700000011</v>
      </c>
      <c r="AP23" s="1367">
        <f t="shared" si="12"/>
        <v>110125.75773000003</v>
      </c>
      <c r="AQ23" s="1367">
        <f t="shared" si="12"/>
        <v>11605.260829999999</v>
      </c>
      <c r="AR23" s="1367">
        <f t="shared" si="12"/>
        <v>117244.30946</v>
      </c>
      <c r="AS23" s="1367">
        <f t="shared" si="12"/>
        <v>13188.516279999998</v>
      </c>
      <c r="AT23" s="1367">
        <f t="shared" si="12"/>
        <v>124158.46039999998</v>
      </c>
      <c r="AU23" s="1367">
        <f t="shared" si="12"/>
        <v>14910.128089999998</v>
      </c>
      <c r="AV23" s="1367">
        <f t="shared" si="12"/>
        <v>136331.17596999998</v>
      </c>
      <c r="AW23" s="1367">
        <f t="shared" si="12"/>
        <v>17028.966639999999</v>
      </c>
      <c r="AX23" s="1367">
        <f t="shared" si="12"/>
        <v>15041.954090000003</v>
      </c>
      <c r="AY23" s="1367">
        <f t="shared" si="12"/>
        <v>1289.7617500000001</v>
      </c>
      <c r="AZ23" s="1367">
        <f t="shared" si="12"/>
        <v>26009.84849</v>
      </c>
      <c r="BA23" s="1367">
        <f t="shared" si="12"/>
        <v>2718.09033</v>
      </c>
      <c r="BB23" s="1367">
        <f t="shared" si="12"/>
        <v>33059.39473</v>
      </c>
      <c r="BC23" s="1367">
        <f t="shared" si="12"/>
        <v>3728.8150599999999</v>
      </c>
      <c r="BD23" s="1367">
        <f t="shared" si="12"/>
        <v>41727.703840000002</v>
      </c>
      <c r="BE23" s="1367">
        <f t="shared" si="12"/>
        <v>5077.0353499999992</v>
      </c>
      <c r="BF23" s="1367">
        <f t="shared" si="12"/>
        <v>53557.296720000013</v>
      </c>
      <c r="BG23" s="1367">
        <f t="shared" si="12"/>
        <v>11035.18511</v>
      </c>
      <c r="BH23" s="1367">
        <f t="shared" si="12"/>
        <v>63078.070099999997</v>
      </c>
      <c r="BI23" s="1367">
        <f t="shared" si="12"/>
        <v>13771.346249999999</v>
      </c>
      <c r="BJ23" s="1367">
        <f t="shared" si="12"/>
        <v>79651.070260000008</v>
      </c>
      <c r="BK23" s="1367">
        <f t="shared" si="12"/>
        <v>15845.91454</v>
      </c>
      <c r="BL23" s="1367">
        <f t="shared" si="12"/>
        <v>87194.63483000001</v>
      </c>
      <c r="BM23" s="1367">
        <f t="shared" si="12"/>
        <v>17049.370160000002</v>
      </c>
      <c r="BN23" s="1367">
        <f t="shared" ref="BN23:DY23" si="13">BN24+BN36+BN46+BN48</f>
        <v>104146.26009</v>
      </c>
      <c r="BO23" s="1367">
        <f t="shared" si="13"/>
        <v>18879.37645</v>
      </c>
      <c r="BP23" s="1367">
        <f t="shared" si="13"/>
        <v>113910.21667000001</v>
      </c>
      <c r="BQ23" s="1367">
        <f t="shared" si="13"/>
        <v>20507.4018</v>
      </c>
      <c r="BR23" s="1367">
        <f t="shared" si="13"/>
        <v>122899.03698</v>
      </c>
      <c r="BS23" s="1367">
        <f t="shared" si="13"/>
        <v>22005.349319999998</v>
      </c>
      <c r="BT23" s="1367">
        <f t="shared" si="13"/>
        <v>133113.11752</v>
      </c>
      <c r="BU23" s="1367">
        <f t="shared" si="13"/>
        <v>37693.716599999992</v>
      </c>
      <c r="BV23" s="1367">
        <f t="shared" si="13"/>
        <v>22673.933199999999</v>
      </c>
      <c r="BW23" s="1367">
        <f t="shared" si="13"/>
        <v>1377.8564099999999</v>
      </c>
      <c r="BX23" s="1367">
        <f t="shared" si="13"/>
        <v>31890.715340000002</v>
      </c>
      <c r="BY23" s="1367">
        <f t="shared" si="13"/>
        <v>3203.7919400000005</v>
      </c>
      <c r="BZ23" s="1367">
        <f t="shared" si="13"/>
        <v>39975.367299999991</v>
      </c>
      <c r="CA23" s="1367">
        <f t="shared" si="13"/>
        <v>4938.8200200000001</v>
      </c>
      <c r="CB23" s="1367">
        <f t="shared" si="13"/>
        <v>47338.058029999986</v>
      </c>
      <c r="CC23" s="1367">
        <f t="shared" si="13"/>
        <v>7393.7543099999994</v>
      </c>
      <c r="CD23" s="1367">
        <f t="shared" si="13"/>
        <v>57178.358769999992</v>
      </c>
      <c r="CE23" s="1367">
        <f t="shared" si="13"/>
        <v>8791.3352800000011</v>
      </c>
      <c r="CF23" s="1367">
        <f t="shared" si="13"/>
        <v>68762.93266999998</v>
      </c>
      <c r="CG23" s="1367">
        <f t="shared" si="13"/>
        <v>9862.3673499999986</v>
      </c>
      <c r="CH23" s="1367">
        <f t="shared" si="13"/>
        <v>90004.736980000001</v>
      </c>
      <c r="CI23" s="1367">
        <f t="shared" si="13"/>
        <v>11230.770659999998</v>
      </c>
      <c r="CJ23" s="1367">
        <f t="shared" si="13"/>
        <v>108703.06781000002</v>
      </c>
      <c r="CK23" s="1367">
        <f t="shared" si="13"/>
        <v>12910.94728</v>
      </c>
      <c r="CL23" s="1367">
        <f t="shared" si="13"/>
        <v>122275.74513000001</v>
      </c>
      <c r="CM23" s="1367">
        <f t="shared" si="13"/>
        <v>25501.530770000001</v>
      </c>
      <c r="CN23" s="1367">
        <f t="shared" si="13"/>
        <v>130094.63052000004</v>
      </c>
      <c r="CO23" s="1367">
        <f t="shared" si="13"/>
        <v>26666.373560000004</v>
      </c>
      <c r="CP23" s="1367">
        <f t="shared" si="13"/>
        <v>136236.00354000003</v>
      </c>
      <c r="CQ23" s="1367">
        <f t="shared" si="13"/>
        <v>28617.953359999996</v>
      </c>
      <c r="CR23" s="1367">
        <f t="shared" si="13"/>
        <v>147080.19944000003</v>
      </c>
      <c r="CS23" s="1367">
        <f t="shared" si="13"/>
        <v>29963.593430000001</v>
      </c>
      <c r="CT23" s="1367">
        <f t="shared" si="13"/>
        <v>15833.62392</v>
      </c>
      <c r="CU23" s="1367">
        <f t="shared" si="13"/>
        <v>1075.2158200000001</v>
      </c>
      <c r="CV23" s="1367">
        <f t="shared" si="13"/>
        <v>25441.285159999999</v>
      </c>
      <c r="CW23" s="1367">
        <f t="shared" si="13"/>
        <v>2382.4197300000001</v>
      </c>
      <c r="CX23" s="1367">
        <f t="shared" si="13"/>
        <v>38933.989690000002</v>
      </c>
      <c r="CY23" s="1367">
        <f t="shared" si="13"/>
        <v>4109.4624700000004</v>
      </c>
      <c r="CZ23" s="1367">
        <f t="shared" si="13"/>
        <v>46688.120170000017</v>
      </c>
      <c r="DA23" s="1367">
        <f t="shared" si="13"/>
        <v>7901.1891900000001</v>
      </c>
      <c r="DB23" s="1367">
        <f t="shared" si="13"/>
        <v>56876.181639999988</v>
      </c>
      <c r="DC23" s="1367">
        <f t="shared" si="13"/>
        <v>9489.0028999999977</v>
      </c>
      <c r="DD23" s="1367">
        <f t="shared" si="13"/>
        <v>73083.681660000002</v>
      </c>
      <c r="DE23" s="1367">
        <f t="shared" si="13"/>
        <v>11770.010299999998</v>
      </c>
      <c r="DF23" s="1367">
        <f t="shared" si="13"/>
        <v>95295.47662999999</v>
      </c>
      <c r="DG23" s="1367">
        <f t="shared" si="13"/>
        <v>13273.55227</v>
      </c>
      <c r="DH23" s="1367">
        <f t="shared" si="13"/>
        <v>102415.41390999999</v>
      </c>
      <c r="DI23" s="1367">
        <f t="shared" si="13"/>
        <v>14782.754519999999</v>
      </c>
      <c r="DJ23" s="1367">
        <f t="shared" si="13"/>
        <v>117700.55867</v>
      </c>
      <c r="DK23" s="1367">
        <f t="shared" si="13"/>
        <v>16885.531800000001</v>
      </c>
      <c r="DL23" s="1367">
        <f t="shared" si="13"/>
        <v>128204.06697</v>
      </c>
      <c r="DM23" s="1367">
        <f t="shared" si="13"/>
        <v>18717.36061</v>
      </c>
      <c r="DN23" s="1367">
        <f t="shared" si="13"/>
        <v>137159.85345</v>
      </c>
      <c r="DO23" s="1367">
        <f t="shared" si="13"/>
        <v>20803.508839999995</v>
      </c>
      <c r="DP23" s="1367">
        <f t="shared" si="13"/>
        <v>158631.78047</v>
      </c>
      <c r="DQ23" s="1385">
        <f t="shared" si="13"/>
        <v>24180.131039999997</v>
      </c>
      <c r="DR23" s="1396">
        <f t="shared" si="13"/>
        <v>16643.900389999999</v>
      </c>
      <c r="DS23" s="1368">
        <f t="shared" si="13"/>
        <v>1280.2204199999999</v>
      </c>
      <c r="DT23" s="1389">
        <f t="shared" si="13"/>
        <v>28744.746279999999</v>
      </c>
      <c r="DU23" s="1385">
        <f t="shared" si="13"/>
        <v>3148.9565600000001</v>
      </c>
      <c r="DV23" s="1396">
        <f t="shared" si="13"/>
        <v>36854.47107</v>
      </c>
      <c r="DW23" s="1368">
        <f t="shared" si="13"/>
        <v>4455.9380899999996</v>
      </c>
      <c r="DX23" s="1389">
        <f t="shared" si="13"/>
        <v>46814.461499999998</v>
      </c>
      <c r="DY23" s="1385">
        <f t="shared" si="13"/>
        <v>6427.4780200000005</v>
      </c>
      <c r="DZ23" s="1396">
        <f t="shared" ref="DZ23:EE23" si="14">DZ24+DZ36+DZ46+DZ48</f>
        <v>63114.360120000005</v>
      </c>
      <c r="EA23" s="1368">
        <f t="shared" si="14"/>
        <v>8132.8568599999999</v>
      </c>
      <c r="EB23" s="1389">
        <f t="shared" si="14"/>
        <v>79958.212650000001</v>
      </c>
      <c r="EC23" s="1368">
        <f t="shared" si="14"/>
        <v>9536.6738499999992</v>
      </c>
      <c r="ED23" s="1396">
        <f t="shared" si="14"/>
        <v>104187.80867000001</v>
      </c>
      <c r="EE23" s="1368">
        <f t="shared" si="14"/>
        <v>10826.671619999999</v>
      </c>
      <c r="EF23" s="1396">
        <v>120874.38999000001</v>
      </c>
      <c r="EG23" s="1368">
        <v>12486.12384</v>
      </c>
      <c r="EH23" s="1389">
        <v>138145.88939999999</v>
      </c>
      <c r="EI23" s="1368">
        <v>14490.028930000002</v>
      </c>
      <c r="EJ23" s="1389">
        <v>147518.22761999999</v>
      </c>
      <c r="EK23" s="1368">
        <v>17393.243930000001</v>
      </c>
      <c r="EL23" s="1389">
        <v>157893.34492</v>
      </c>
      <c r="EM23" s="1368">
        <v>18973.87239</v>
      </c>
      <c r="EN23" s="1389">
        <v>181656.61991999997</v>
      </c>
      <c r="EO23" s="1368">
        <v>21975.770540000001</v>
      </c>
      <c r="EP23" s="1389">
        <v>20910.494330000001</v>
      </c>
      <c r="EQ23" s="1368">
        <v>1520.4411499999999</v>
      </c>
      <c r="ER23" s="1389">
        <v>35719.49783</v>
      </c>
      <c r="ES23" s="1368">
        <v>3682.0781500000003</v>
      </c>
      <c r="ET23" s="1633">
        <v>51630.323220000006</v>
      </c>
      <c r="EU23" s="1634">
        <v>5911.5200800000002</v>
      </c>
      <c r="EV23" s="1389">
        <v>61268.630100000009</v>
      </c>
      <c r="EW23" s="1368">
        <v>8090.2180699999999</v>
      </c>
      <c r="EX23" s="1389">
        <v>76769.585370000001</v>
      </c>
      <c r="EY23" s="1368">
        <v>10316.606519999999</v>
      </c>
      <c r="EZ23" s="1389">
        <v>95643.182950000017</v>
      </c>
      <c r="FA23" s="1368">
        <v>12200.11528</v>
      </c>
      <c r="FB23" s="1389">
        <v>129337.74001000001</v>
      </c>
      <c r="FC23" s="1368">
        <v>13794.059690000002</v>
      </c>
      <c r="FD23" s="1389">
        <v>143260.39268999998</v>
      </c>
      <c r="FE23" s="1368">
        <v>30701.313709999999</v>
      </c>
      <c r="FF23" s="1389">
        <v>157374.42329000001</v>
      </c>
      <c r="FG23" s="1368">
        <v>43544.893910000006</v>
      </c>
      <c r="FH23" s="1389">
        <v>176565.47085999997</v>
      </c>
      <c r="FI23" s="1368">
        <v>48682.644000000008</v>
      </c>
      <c r="FJ23" s="1633">
        <v>191157.51986</v>
      </c>
      <c r="FK23" s="1634">
        <v>52570.882809999996</v>
      </c>
      <c r="FL23" s="1389">
        <v>210879.35188999999</v>
      </c>
      <c r="FM23" s="1368">
        <v>101372.50466000001</v>
      </c>
      <c r="FN23" s="1389">
        <v>25395.91084</v>
      </c>
      <c r="FO23" s="1368">
        <v>2719.0765999999999</v>
      </c>
      <c r="FP23" s="1389">
        <v>39726.122099999993</v>
      </c>
      <c r="FQ23" s="1368">
        <v>5423.6080499999998</v>
      </c>
      <c r="FR23" s="1366" t="s">
        <v>3277</v>
      </c>
    </row>
    <row r="24" spans="1:174" s="458" customFormat="1" ht="22.5" customHeight="1">
      <c r="A24" s="1366" t="s">
        <v>2344</v>
      </c>
      <c r="B24" s="1367">
        <f t="shared" ref="B24:AP24" si="15">SUM(B25:B33)</f>
        <v>11386.108340000001</v>
      </c>
      <c r="C24" s="1367">
        <f t="shared" si="15"/>
        <v>1100.4920300000001</v>
      </c>
      <c r="D24" s="1367">
        <f t="shared" si="15"/>
        <v>17993.895695437997</v>
      </c>
      <c r="E24" s="1367">
        <f t="shared" si="15"/>
        <v>2430.1043799999998</v>
      </c>
      <c r="F24" s="1367">
        <f t="shared" si="15"/>
        <v>24251.5249</v>
      </c>
      <c r="G24" s="1367">
        <f t="shared" si="15"/>
        <v>4285.6860899999992</v>
      </c>
      <c r="H24" s="1367">
        <f t="shared" si="15"/>
        <v>28653.276650000003</v>
      </c>
      <c r="I24" s="1367">
        <f t="shared" si="15"/>
        <v>5304.4887900000003</v>
      </c>
      <c r="J24" s="1367">
        <f t="shared" si="15"/>
        <v>35857.903559999999</v>
      </c>
      <c r="K24" s="1367">
        <f t="shared" si="15"/>
        <v>8713.5318900000002</v>
      </c>
      <c r="L24" s="1367">
        <f t="shared" si="15"/>
        <v>42184.332980000007</v>
      </c>
      <c r="M24" s="1367">
        <f t="shared" si="15"/>
        <v>10325.25878</v>
      </c>
      <c r="N24" s="1367">
        <f t="shared" si="15"/>
        <v>53039.93406</v>
      </c>
      <c r="O24" s="1367">
        <f t="shared" si="15"/>
        <v>11300.875789999998</v>
      </c>
      <c r="P24" s="1367">
        <f t="shared" si="15"/>
        <v>58664.854329999995</v>
      </c>
      <c r="Q24" s="1367">
        <f t="shared" si="15"/>
        <v>12467.794279999998</v>
      </c>
      <c r="R24" s="1367">
        <f t="shared" si="15"/>
        <v>70354.558520000006</v>
      </c>
      <c r="S24" s="1367">
        <f t="shared" si="15"/>
        <v>13562.437559999997</v>
      </c>
      <c r="T24" s="1367">
        <f t="shared" si="15"/>
        <v>76070.552490000016</v>
      </c>
      <c r="U24" s="1367">
        <f t="shared" si="15"/>
        <v>14531.876119999997</v>
      </c>
      <c r="V24" s="1367">
        <f t="shared" si="15"/>
        <v>82695.202520000006</v>
      </c>
      <c r="W24" s="1367">
        <f t="shared" si="15"/>
        <v>15455.208359999997</v>
      </c>
      <c r="X24" s="1367">
        <f t="shared" si="15"/>
        <v>87517.481110000008</v>
      </c>
      <c r="Y24" s="1367">
        <f t="shared" si="15"/>
        <v>16397.809709999998</v>
      </c>
      <c r="Z24" s="1367">
        <f t="shared" si="15"/>
        <v>10844.12882</v>
      </c>
      <c r="AA24" s="1367">
        <f t="shared" si="15"/>
        <v>950.20162999999991</v>
      </c>
      <c r="AB24" s="1367">
        <f t="shared" si="15"/>
        <v>20717.01743</v>
      </c>
      <c r="AC24" s="1367">
        <f t="shared" si="15"/>
        <v>1899.5230499999998</v>
      </c>
      <c r="AD24" s="1367">
        <f t="shared" si="15"/>
        <v>36717.747259999996</v>
      </c>
      <c r="AE24" s="1367">
        <f t="shared" si="15"/>
        <v>2416.6979900000001</v>
      </c>
      <c r="AF24" s="1367">
        <f t="shared" si="15"/>
        <v>44395.069949999997</v>
      </c>
      <c r="AG24" s="1367">
        <f t="shared" si="15"/>
        <v>3462.7523199999996</v>
      </c>
      <c r="AH24" s="1367">
        <f t="shared" si="15"/>
        <v>50848.762589999998</v>
      </c>
      <c r="AI24" s="1367">
        <f t="shared" si="15"/>
        <v>4421.5420999999997</v>
      </c>
      <c r="AJ24" s="1367">
        <f t="shared" si="15"/>
        <v>58010.875969999994</v>
      </c>
      <c r="AK24" s="1367">
        <f t="shared" si="15"/>
        <v>5879.1870200000003</v>
      </c>
      <c r="AL24" s="1367">
        <f t="shared" si="15"/>
        <v>69120.539740000022</v>
      </c>
      <c r="AM24" s="1367">
        <f t="shared" si="15"/>
        <v>7069.0427700000009</v>
      </c>
      <c r="AN24" s="1367">
        <f t="shared" si="15"/>
        <v>77160.063850000006</v>
      </c>
      <c r="AO24" s="1367">
        <f t="shared" si="15"/>
        <v>7955.4674000000005</v>
      </c>
      <c r="AP24" s="1367">
        <f t="shared" si="15"/>
        <v>90776.989770000015</v>
      </c>
      <c r="AQ24" s="1367">
        <f t="shared" ref="AQ24:DB24" si="16">SUM(AQ25:AQ33)</f>
        <v>9772.1059299999997</v>
      </c>
      <c r="AR24" s="1367">
        <f t="shared" si="16"/>
        <v>96982.48431</v>
      </c>
      <c r="AS24" s="1367">
        <f t="shared" si="16"/>
        <v>11343.784249999999</v>
      </c>
      <c r="AT24" s="1367">
        <f t="shared" si="16"/>
        <v>103161.36994999998</v>
      </c>
      <c r="AU24" s="1367">
        <f t="shared" si="16"/>
        <v>13062.018929999998</v>
      </c>
      <c r="AV24" s="1367">
        <f t="shared" si="16"/>
        <v>112095.50434</v>
      </c>
      <c r="AW24" s="1367">
        <f t="shared" si="16"/>
        <v>15074.405989999997</v>
      </c>
      <c r="AX24" s="1367">
        <f t="shared" si="16"/>
        <v>10897.221530000003</v>
      </c>
      <c r="AY24" s="1367">
        <f t="shared" si="16"/>
        <v>1281.77251</v>
      </c>
      <c r="AZ24" s="1367">
        <f t="shared" si="16"/>
        <v>19191.785909999999</v>
      </c>
      <c r="BA24" s="1367">
        <f t="shared" si="16"/>
        <v>2513.0135700000001</v>
      </c>
      <c r="BB24" s="1367">
        <f t="shared" si="16"/>
        <v>24782.860700000005</v>
      </c>
      <c r="BC24" s="1367">
        <f t="shared" si="16"/>
        <v>3506.8697999999999</v>
      </c>
      <c r="BD24" s="1367">
        <f t="shared" si="16"/>
        <v>31642.022989999998</v>
      </c>
      <c r="BE24" s="1367">
        <f t="shared" si="16"/>
        <v>4845.968429999999</v>
      </c>
      <c r="BF24" s="1367">
        <f t="shared" si="16"/>
        <v>41290.006760000011</v>
      </c>
      <c r="BG24" s="1367">
        <f t="shared" si="16"/>
        <v>10788.065340000001</v>
      </c>
      <c r="BH24" s="1367">
        <f t="shared" si="16"/>
        <v>50205.568959999997</v>
      </c>
      <c r="BI24" s="1367">
        <f t="shared" si="16"/>
        <v>13484.462309999999</v>
      </c>
      <c r="BJ24" s="1367">
        <f t="shared" si="16"/>
        <v>63536.662080000009</v>
      </c>
      <c r="BK24" s="1367">
        <f t="shared" si="16"/>
        <v>15537.42059</v>
      </c>
      <c r="BL24" s="1367">
        <f t="shared" si="16"/>
        <v>70053.403359999997</v>
      </c>
      <c r="BM24" s="1367">
        <f t="shared" si="16"/>
        <v>16721.815380000004</v>
      </c>
      <c r="BN24" s="1367">
        <f t="shared" si="16"/>
        <v>86051.554629999984</v>
      </c>
      <c r="BO24" s="1367">
        <f t="shared" si="16"/>
        <v>18324.641919999998</v>
      </c>
      <c r="BP24" s="1367">
        <f t="shared" si="16"/>
        <v>94061.578740000012</v>
      </c>
      <c r="BQ24" s="1367">
        <f t="shared" si="16"/>
        <v>19934.997199999998</v>
      </c>
      <c r="BR24" s="1367">
        <f t="shared" si="16"/>
        <v>102254.18617</v>
      </c>
      <c r="BS24" s="1367">
        <f t="shared" si="16"/>
        <v>20933.100609999998</v>
      </c>
      <c r="BT24" s="1367">
        <f t="shared" si="16"/>
        <v>111710.56036</v>
      </c>
      <c r="BU24" s="1367">
        <f t="shared" si="16"/>
        <v>36610.015319999991</v>
      </c>
      <c r="BV24" s="1367">
        <f t="shared" si="16"/>
        <v>17850.02115</v>
      </c>
      <c r="BW24" s="1367">
        <f t="shared" si="16"/>
        <v>1350.8927199999998</v>
      </c>
      <c r="BX24" s="1367">
        <f t="shared" si="16"/>
        <v>24864.223700000002</v>
      </c>
      <c r="BY24" s="1367">
        <f t="shared" si="16"/>
        <v>3138.3972300000005</v>
      </c>
      <c r="BZ24" s="1367">
        <f t="shared" si="16"/>
        <v>31277.029389999996</v>
      </c>
      <c r="CA24" s="1367">
        <f t="shared" si="16"/>
        <v>4612.9468999999999</v>
      </c>
      <c r="CB24" s="1367">
        <f t="shared" si="16"/>
        <v>36962.526249999988</v>
      </c>
      <c r="CC24" s="1367">
        <f t="shared" si="16"/>
        <v>7067.8811899999992</v>
      </c>
      <c r="CD24" s="1367">
        <f t="shared" si="16"/>
        <v>44725.016569999992</v>
      </c>
      <c r="CE24" s="1367">
        <f t="shared" si="16"/>
        <v>8465.4621600000009</v>
      </c>
      <c r="CF24" s="1367">
        <f t="shared" si="16"/>
        <v>55258.609069999984</v>
      </c>
      <c r="CG24" s="1367">
        <f t="shared" si="16"/>
        <v>9530.4143699999986</v>
      </c>
      <c r="CH24" s="1367">
        <f t="shared" si="16"/>
        <v>73096.64966000001</v>
      </c>
      <c r="CI24" s="1367">
        <f t="shared" si="16"/>
        <v>10876.114679999999</v>
      </c>
      <c r="CJ24" s="1367">
        <f t="shared" si="16"/>
        <v>91330.637470000016</v>
      </c>
      <c r="CK24" s="1367">
        <f t="shared" si="16"/>
        <v>12426.4053</v>
      </c>
      <c r="CL24" s="1367">
        <f t="shared" si="16"/>
        <v>103753.46979</v>
      </c>
      <c r="CM24" s="1367">
        <f t="shared" si="16"/>
        <v>24962.893789999998</v>
      </c>
      <c r="CN24" s="1367">
        <f t="shared" si="16"/>
        <v>110735.48052000003</v>
      </c>
      <c r="CO24" s="1367">
        <f t="shared" si="16"/>
        <v>26107.542580000001</v>
      </c>
      <c r="CP24" s="1367">
        <f t="shared" si="16"/>
        <v>116417.77357000002</v>
      </c>
      <c r="CQ24" s="1367">
        <f t="shared" si="16"/>
        <v>28047.481379999994</v>
      </c>
      <c r="CR24" s="1367">
        <f t="shared" si="16"/>
        <v>125751.61469</v>
      </c>
      <c r="CS24" s="1367">
        <f t="shared" si="16"/>
        <v>29373.650450000001</v>
      </c>
      <c r="CT24" s="1367">
        <f t="shared" si="16"/>
        <v>11415.11507</v>
      </c>
      <c r="CU24" s="1367">
        <f t="shared" si="16"/>
        <v>1050.5648200000001</v>
      </c>
      <c r="CV24" s="1367">
        <f t="shared" si="16"/>
        <v>18897.326859999997</v>
      </c>
      <c r="CW24" s="1367">
        <f t="shared" si="16"/>
        <v>2346.1130900000003</v>
      </c>
      <c r="CX24" s="1367">
        <f t="shared" si="16"/>
        <v>29159.631959999999</v>
      </c>
      <c r="CY24" s="1367">
        <f t="shared" si="16"/>
        <v>4037.7578600000002</v>
      </c>
      <c r="CZ24" s="1367">
        <f t="shared" si="16"/>
        <v>36135.02436000001</v>
      </c>
      <c r="DA24" s="1367">
        <f t="shared" si="16"/>
        <v>7796.67688</v>
      </c>
      <c r="DB24" s="1367">
        <f t="shared" si="16"/>
        <v>44636.674429999992</v>
      </c>
      <c r="DC24" s="1367">
        <f t="shared" ref="DC24:EE24" si="17">SUM(DC25:DC33)</f>
        <v>9365.8924899999984</v>
      </c>
      <c r="DD24" s="1367">
        <f t="shared" si="17"/>
        <v>59927.899400000002</v>
      </c>
      <c r="DE24" s="1367">
        <f t="shared" si="17"/>
        <v>11607.268429999998</v>
      </c>
      <c r="DF24" s="1367">
        <f t="shared" si="17"/>
        <v>78823.469389999998</v>
      </c>
      <c r="DG24" s="1367">
        <f t="shared" si="17"/>
        <v>12973.517449999999</v>
      </c>
      <c r="DH24" s="1367">
        <f t="shared" si="17"/>
        <v>85432.300029999999</v>
      </c>
      <c r="DI24" s="1367">
        <f t="shared" si="17"/>
        <v>14448.619699999999</v>
      </c>
      <c r="DJ24" s="1367">
        <f t="shared" si="17"/>
        <v>99889.907500000001</v>
      </c>
      <c r="DK24" s="1367">
        <f t="shared" si="17"/>
        <v>16219.782860000001</v>
      </c>
      <c r="DL24" s="1367">
        <f t="shared" si="17"/>
        <v>109689.57196</v>
      </c>
      <c r="DM24" s="1367">
        <f t="shared" si="17"/>
        <v>18030.966329999999</v>
      </c>
      <c r="DN24" s="1367">
        <f t="shared" si="17"/>
        <v>118143.98946</v>
      </c>
      <c r="DO24" s="1367">
        <f t="shared" si="17"/>
        <v>20095.192279999996</v>
      </c>
      <c r="DP24" s="1367">
        <f t="shared" si="17"/>
        <v>134415.61442999999</v>
      </c>
      <c r="DQ24" s="1385">
        <f t="shared" si="17"/>
        <v>23449.047479999997</v>
      </c>
      <c r="DR24" s="1396">
        <f t="shared" si="17"/>
        <v>12720.157140000001</v>
      </c>
      <c r="DS24" s="1368">
        <f t="shared" si="17"/>
        <v>1267.0559099999998</v>
      </c>
      <c r="DT24" s="1389">
        <f t="shared" si="17"/>
        <v>21420.099409999999</v>
      </c>
      <c r="DU24" s="1385">
        <f t="shared" si="17"/>
        <v>3121.6688600000002</v>
      </c>
      <c r="DV24" s="1396">
        <f t="shared" si="17"/>
        <v>28226.57303</v>
      </c>
      <c r="DW24" s="1368">
        <f t="shared" si="17"/>
        <v>4414.2171899999994</v>
      </c>
      <c r="DX24" s="1389">
        <f t="shared" si="17"/>
        <v>36745.611059999996</v>
      </c>
      <c r="DY24" s="1385">
        <f t="shared" si="17"/>
        <v>6379.8083300000008</v>
      </c>
      <c r="DZ24" s="1396">
        <f t="shared" si="17"/>
        <v>51843.011780000001</v>
      </c>
      <c r="EA24" s="1368">
        <f t="shared" si="17"/>
        <v>8082.1886100000002</v>
      </c>
      <c r="EB24" s="1389">
        <f t="shared" si="17"/>
        <v>65356.346109999999</v>
      </c>
      <c r="EC24" s="1368">
        <f t="shared" si="17"/>
        <v>9479.4524299999994</v>
      </c>
      <c r="ED24" s="1396">
        <f t="shared" si="17"/>
        <v>86598.438910000012</v>
      </c>
      <c r="EE24" s="1368">
        <f t="shared" si="17"/>
        <v>10765.306769999999</v>
      </c>
      <c r="EF24" s="1396">
        <v>101281.32435000001</v>
      </c>
      <c r="EG24" s="1368">
        <v>12406.24303</v>
      </c>
      <c r="EH24" s="1389">
        <v>117250.06581</v>
      </c>
      <c r="EI24" s="1368">
        <v>14373.112340000001</v>
      </c>
      <c r="EJ24" s="1389">
        <v>125638.48787000001</v>
      </c>
      <c r="EK24" s="1368">
        <v>17304.667570000001</v>
      </c>
      <c r="EL24" s="1389">
        <v>134712.01310000001</v>
      </c>
      <c r="EM24" s="1368">
        <v>18885.24309</v>
      </c>
      <c r="EN24" s="1389">
        <v>156997.57859999998</v>
      </c>
      <c r="EO24" s="1368">
        <v>21886.56323</v>
      </c>
      <c r="EP24" s="1389">
        <v>18011.76801</v>
      </c>
      <c r="EQ24" s="1368">
        <v>1477.7156599999998</v>
      </c>
      <c r="ER24" s="1389">
        <v>31125.657670000001</v>
      </c>
      <c r="ES24" s="1368">
        <v>3608.8092900000001</v>
      </c>
      <c r="ET24" s="1633">
        <v>44645.430600000007</v>
      </c>
      <c r="EU24" s="1634">
        <v>5837.3170600000003</v>
      </c>
      <c r="EV24" s="1389">
        <v>51959.116740000005</v>
      </c>
      <c r="EW24" s="1368">
        <v>8009.2009600000001</v>
      </c>
      <c r="EX24" s="1389">
        <v>66183.095190000007</v>
      </c>
      <c r="EY24" s="1368">
        <v>10231.39141</v>
      </c>
      <c r="EZ24" s="1389">
        <v>82929.056130000012</v>
      </c>
      <c r="FA24" s="1368">
        <v>12112.881170000001</v>
      </c>
      <c r="FB24" s="1389">
        <v>110867.38786</v>
      </c>
      <c r="FC24" s="1368">
        <v>13694.619940000002</v>
      </c>
      <c r="FD24" s="1389">
        <v>122774.51852999999</v>
      </c>
      <c r="FE24" s="1368">
        <v>30571.804559999997</v>
      </c>
      <c r="FF24" s="1389">
        <v>135496.80436000001</v>
      </c>
      <c r="FG24" s="1368">
        <v>43407.239430000009</v>
      </c>
      <c r="FH24" s="1389">
        <v>151816.37080999996</v>
      </c>
      <c r="FI24" s="1368">
        <v>48543.21390000001</v>
      </c>
      <c r="FJ24" s="1633">
        <v>164551.27359999999</v>
      </c>
      <c r="FK24" s="1634">
        <v>52427.584109999996</v>
      </c>
      <c r="FL24" s="1389">
        <v>182726.86567999999</v>
      </c>
      <c r="FM24" s="1368">
        <v>101191.1551</v>
      </c>
      <c r="FN24" s="1389">
        <v>21142.006679999999</v>
      </c>
      <c r="FO24" s="1368">
        <v>2715.5302200000001</v>
      </c>
      <c r="FP24" s="1389">
        <v>33650.428969999994</v>
      </c>
      <c r="FQ24" s="1368">
        <v>5394.9490399999995</v>
      </c>
      <c r="FR24" s="1366" t="s">
        <v>3278</v>
      </c>
    </row>
    <row r="25" spans="1:174" s="458" customFormat="1" ht="22.5" customHeight="1">
      <c r="A25" s="1370" t="s">
        <v>2343</v>
      </c>
      <c r="B25" s="1371">
        <v>4720.3086299999995</v>
      </c>
      <c r="C25" s="1371">
        <v>0</v>
      </c>
      <c r="D25" s="1371">
        <v>4860.3086299999995</v>
      </c>
      <c r="E25" s="1371">
        <v>0</v>
      </c>
      <c r="F25" s="1371">
        <v>4720.3086299999995</v>
      </c>
      <c r="G25" s="1371">
        <v>0</v>
      </c>
      <c r="H25" s="1371">
        <v>5379.7733499999995</v>
      </c>
      <c r="I25" s="1371">
        <v>0</v>
      </c>
      <c r="J25" s="1371">
        <v>5380.7863600000001</v>
      </c>
      <c r="K25" s="1371">
        <v>15.593999999999999</v>
      </c>
      <c r="L25" s="1371">
        <v>5056.3874999999998</v>
      </c>
      <c r="M25" s="1371">
        <v>0</v>
      </c>
      <c r="N25" s="1371">
        <v>10089.64767</v>
      </c>
      <c r="O25" s="1371">
        <v>15.593999999999999</v>
      </c>
      <c r="P25" s="1371">
        <v>10069.44291</v>
      </c>
      <c r="Q25" s="1371">
        <v>15.593999999999999</v>
      </c>
      <c r="R25" s="1371">
        <v>10369.00153</v>
      </c>
      <c r="S25" s="1371">
        <v>15.593999999999999</v>
      </c>
      <c r="T25" s="1371">
        <v>10487.315130000001</v>
      </c>
      <c r="U25" s="1371">
        <v>0</v>
      </c>
      <c r="V25" s="1371">
        <v>10535.724779999999</v>
      </c>
      <c r="W25" s="1371">
        <v>0</v>
      </c>
      <c r="X25" s="1371">
        <v>10561.901199999998</v>
      </c>
      <c r="Y25" s="1371">
        <v>0</v>
      </c>
      <c r="Z25" s="1371">
        <v>4253.1487800000004</v>
      </c>
      <c r="AA25" s="1371">
        <v>0</v>
      </c>
      <c r="AB25" s="1371">
        <v>4331.05746</v>
      </c>
      <c r="AC25" s="1371">
        <v>0</v>
      </c>
      <c r="AD25" s="1371">
        <v>4400.4952999999996</v>
      </c>
      <c r="AE25" s="1371">
        <v>0</v>
      </c>
      <c r="AF25" s="1371">
        <v>5115.2739299999994</v>
      </c>
      <c r="AG25" s="1371">
        <v>0</v>
      </c>
      <c r="AH25" s="1371">
        <v>5280.1044900000006</v>
      </c>
      <c r="AI25" s="1371">
        <v>0</v>
      </c>
      <c r="AJ25" s="1371">
        <v>5288.8562599999996</v>
      </c>
      <c r="AK25" s="1371">
        <v>246.5</v>
      </c>
      <c r="AL25" s="1371">
        <v>9841.4102400000011</v>
      </c>
      <c r="AM25" s="1371">
        <v>246.5</v>
      </c>
      <c r="AN25" s="1371">
        <v>9880.8426400000008</v>
      </c>
      <c r="AO25" s="1371">
        <v>246.5</v>
      </c>
      <c r="AP25" s="1371">
        <v>10029.762560000001</v>
      </c>
      <c r="AQ25" s="1371">
        <v>246.5</v>
      </c>
      <c r="AR25" s="1371">
        <v>10083.377409999999</v>
      </c>
      <c r="AS25" s="1371">
        <v>246.5</v>
      </c>
      <c r="AT25" s="1371">
        <v>10185.74418</v>
      </c>
      <c r="AU25" s="1371">
        <v>246.5</v>
      </c>
      <c r="AV25" s="1371">
        <v>10334.85556</v>
      </c>
      <c r="AW25" s="1371">
        <v>873.20961999999997</v>
      </c>
      <c r="AX25" s="1371">
        <v>4369.7519400000001</v>
      </c>
      <c r="AY25" s="1371">
        <v>20.105779999999999</v>
      </c>
      <c r="AZ25" s="1371">
        <v>4972.1195299999999</v>
      </c>
      <c r="BA25" s="1371">
        <v>20.105779999999999</v>
      </c>
      <c r="BB25" s="1371">
        <v>5173.7987000000003</v>
      </c>
      <c r="BC25" s="1371">
        <v>21.184740000000001</v>
      </c>
      <c r="BD25" s="1371">
        <v>5184.6213399999997</v>
      </c>
      <c r="BE25" s="1371">
        <v>21.184740000000001</v>
      </c>
      <c r="BF25" s="1371">
        <v>5184.6213399999997</v>
      </c>
      <c r="BG25" s="1371">
        <v>4521.1847400000006</v>
      </c>
      <c r="BH25" s="1371">
        <v>5439.8606500000005</v>
      </c>
      <c r="BI25" s="1371">
        <v>5026.6389300000001</v>
      </c>
      <c r="BJ25" s="1371">
        <v>10546.62148</v>
      </c>
      <c r="BK25" s="1371">
        <v>5695.2975800000004</v>
      </c>
      <c r="BL25" s="1371">
        <v>10571.84424</v>
      </c>
      <c r="BM25" s="1371">
        <v>5695.2975800000004</v>
      </c>
      <c r="BN25" s="1371">
        <v>10603.503650000001</v>
      </c>
      <c r="BO25" s="1371">
        <v>5695.2975900000001</v>
      </c>
      <c r="BP25" s="1371">
        <v>10616.96508</v>
      </c>
      <c r="BQ25" s="1371">
        <v>5695.2975800000004</v>
      </c>
      <c r="BR25" s="1371">
        <v>10616.96508</v>
      </c>
      <c r="BS25" s="1371">
        <v>5695.2975900000001</v>
      </c>
      <c r="BT25" s="1371">
        <v>10637.270759999999</v>
      </c>
      <c r="BU25" s="1371">
        <v>19227.297579999999</v>
      </c>
      <c r="BV25" s="1371">
        <v>4883.7342500000004</v>
      </c>
      <c r="BW25" s="1371">
        <v>0</v>
      </c>
      <c r="BX25" s="1371">
        <v>5475.1074400000007</v>
      </c>
      <c r="BY25" s="1371">
        <v>412.54192</v>
      </c>
      <c r="BZ25" s="1371">
        <v>5637.3720599999997</v>
      </c>
      <c r="CA25" s="1371">
        <v>330.16346000000004</v>
      </c>
      <c r="CB25" s="1371">
        <v>5637.3720599999997</v>
      </c>
      <c r="CC25" s="1371">
        <v>1647.15346</v>
      </c>
      <c r="CD25" s="1371">
        <v>5637.3720599999997</v>
      </c>
      <c r="CE25" s="1371">
        <v>1647.15346</v>
      </c>
      <c r="CF25" s="1371">
        <v>5644.7466399999994</v>
      </c>
      <c r="CG25" s="1371">
        <v>1647.15346</v>
      </c>
      <c r="CH25" s="1371">
        <v>9347.7946300000003</v>
      </c>
      <c r="CI25" s="1371">
        <v>1647.15346</v>
      </c>
      <c r="CJ25" s="1371">
        <v>15788.293900000001</v>
      </c>
      <c r="CK25" s="1371">
        <v>1647.15346</v>
      </c>
      <c r="CL25" s="1371">
        <v>15788.29191</v>
      </c>
      <c r="CM25" s="1371">
        <v>1647.15346</v>
      </c>
      <c r="CN25" s="1371">
        <v>15703.334720000001</v>
      </c>
      <c r="CO25" s="1371">
        <v>1647.15346</v>
      </c>
      <c r="CP25" s="1371">
        <v>15753.563890000001</v>
      </c>
      <c r="CQ25" s="1371">
        <v>2061.1034599999998</v>
      </c>
      <c r="CR25" s="1371">
        <v>15753.563890000001</v>
      </c>
      <c r="CS25" s="1371">
        <v>2061.1034599999998</v>
      </c>
      <c r="CT25" s="1371">
        <v>3456.9119799999999</v>
      </c>
      <c r="CU25" s="1371">
        <v>0</v>
      </c>
      <c r="CV25" s="1371">
        <v>3456.9119799999999</v>
      </c>
      <c r="CW25" s="1371">
        <v>98.6</v>
      </c>
      <c r="CX25" s="1371">
        <v>4140.8688099999999</v>
      </c>
      <c r="CY25" s="1371">
        <v>98.6</v>
      </c>
      <c r="CZ25" s="1371">
        <v>4140.8688099999999</v>
      </c>
      <c r="DA25" s="1371">
        <v>98.6</v>
      </c>
      <c r="DB25" s="1371">
        <v>4140.8688099999999</v>
      </c>
      <c r="DC25" s="1371">
        <v>98.6</v>
      </c>
      <c r="DD25" s="1371">
        <v>4140.8688099999999</v>
      </c>
      <c r="DE25" s="1371">
        <v>1126.5242700000001</v>
      </c>
      <c r="DF25" s="1371">
        <v>14348.888070000001</v>
      </c>
      <c r="DG25" s="1371">
        <v>1143.5242700000001</v>
      </c>
      <c r="DH25" s="1371">
        <v>14348.888630000001</v>
      </c>
      <c r="DI25" s="1371">
        <v>1143.5242700000001</v>
      </c>
      <c r="DJ25" s="1371">
        <v>15916.83669</v>
      </c>
      <c r="DK25" s="1371">
        <v>1143.5242700000001</v>
      </c>
      <c r="DL25" s="1371">
        <v>15916.83669</v>
      </c>
      <c r="DM25" s="1371">
        <v>1143.5242699999999</v>
      </c>
      <c r="DN25" s="1371">
        <v>15916.83669</v>
      </c>
      <c r="DO25" s="1371">
        <v>1143.5242699999999</v>
      </c>
      <c r="DP25" s="1371">
        <v>15916.83669</v>
      </c>
      <c r="DQ25" s="1386">
        <v>2329.8809200000001</v>
      </c>
      <c r="DR25" s="1397">
        <v>2710.6490800000001</v>
      </c>
      <c r="DS25" s="1372">
        <v>0</v>
      </c>
      <c r="DT25" s="1390">
        <v>2710.6494899999998</v>
      </c>
      <c r="DU25" s="1386">
        <v>0</v>
      </c>
      <c r="DV25" s="1397">
        <v>2710.6494899999998</v>
      </c>
      <c r="DW25" s="1372">
        <v>0</v>
      </c>
      <c r="DX25" s="1390">
        <v>2710.6494899999998</v>
      </c>
      <c r="DY25" s="1386">
        <v>0</v>
      </c>
      <c r="DZ25" s="1397">
        <v>2710.6494899999998</v>
      </c>
      <c r="EA25" s="1372">
        <v>0</v>
      </c>
      <c r="EB25" s="1390">
        <v>7109.8117499999998</v>
      </c>
      <c r="EC25" s="1372">
        <v>0</v>
      </c>
      <c r="ED25" s="1397">
        <v>18878.266490000002</v>
      </c>
      <c r="EE25" s="1372">
        <v>40.799999999999997</v>
      </c>
      <c r="EF25" s="1397">
        <v>21263.646909999999</v>
      </c>
      <c r="EG25" s="1372">
        <v>40.799999999999997</v>
      </c>
      <c r="EH25" s="1390">
        <v>21263.646909999999</v>
      </c>
      <c r="EI25" s="1372">
        <v>40.799999999999997</v>
      </c>
      <c r="EJ25" s="1390">
        <v>21275.907800000001</v>
      </c>
      <c r="EK25" s="1372">
        <v>57.8</v>
      </c>
      <c r="EL25" s="1390">
        <v>21305.202550000002</v>
      </c>
      <c r="EM25" s="1372">
        <v>57.8</v>
      </c>
      <c r="EN25" s="1390">
        <v>21527.34779</v>
      </c>
      <c r="EO25" s="1372">
        <v>74.8</v>
      </c>
      <c r="EP25" s="1390">
        <v>96.162490000000005</v>
      </c>
      <c r="EQ25" s="1372">
        <v>0</v>
      </c>
      <c r="ER25" s="1390">
        <v>96.162490000000005</v>
      </c>
      <c r="ES25" s="1372">
        <v>0</v>
      </c>
      <c r="ET25" s="1635">
        <v>96.162490000000005</v>
      </c>
      <c r="EU25" s="1636">
        <v>0</v>
      </c>
      <c r="EV25" s="1390">
        <v>100.77070999999999</v>
      </c>
      <c r="EW25" s="1372">
        <v>0</v>
      </c>
      <c r="EX25" s="1390">
        <v>1970.77071</v>
      </c>
      <c r="EY25" s="1372">
        <v>0</v>
      </c>
      <c r="EZ25" s="1390">
        <v>1970.77071</v>
      </c>
      <c r="FA25" s="1372">
        <v>0</v>
      </c>
      <c r="FB25" s="1390">
        <v>19866.0465</v>
      </c>
      <c r="FC25" s="1372">
        <v>0</v>
      </c>
      <c r="FD25" s="1390">
        <v>19256.739300000001</v>
      </c>
      <c r="FE25" s="1372">
        <v>0</v>
      </c>
      <c r="FF25" s="1390">
        <v>19267.353300000002</v>
      </c>
      <c r="FG25" s="1372">
        <v>17</v>
      </c>
      <c r="FH25" s="1390">
        <v>19267.353299999999</v>
      </c>
      <c r="FI25" s="1372">
        <v>17</v>
      </c>
      <c r="FJ25" s="1635">
        <v>20020.886890000002</v>
      </c>
      <c r="FK25" s="1636">
        <v>448.32751999999999</v>
      </c>
      <c r="FL25" s="1390">
        <v>22169.913929999999</v>
      </c>
      <c r="FM25" s="1372">
        <v>448.32751999999999</v>
      </c>
      <c r="FN25" s="1390">
        <v>1413.22488</v>
      </c>
      <c r="FO25" s="1372">
        <v>28.27027</v>
      </c>
      <c r="FP25" s="1390">
        <v>2416.3747000000003</v>
      </c>
      <c r="FQ25" s="1372">
        <v>28.27027</v>
      </c>
      <c r="FR25" s="1373" t="s">
        <v>3279</v>
      </c>
    </row>
    <row r="26" spans="1:174" s="458" customFormat="1" ht="22.5" customHeight="1">
      <c r="A26" s="1370" t="s">
        <v>2342</v>
      </c>
      <c r="B26" s="1371">
        <v>2854.4523199999999</v>
      </c>
      <c r="C26" s="1371">
        <v>368.20645999999999</v>
      </c>
      <c r="D26" s="1371">
        <v>5070.6043399999999</v>
      </c>
      <c r="E26" s="1371">
        <v>546.20497</v>
      </c>
      <c r="F26" s="1371">
        <v>7169.9546300000002</v>
      </c>
      <c r="G26" s="1371">
        <v>644.6536000000001</v>
      </c>
      <c r="H26" s="1371">
        <v>8748.302740000001</v>
      </c>
      <c r="I26" s="1371">
        <v>737.04581999999994</v>
      </c>
      <c r="J26" s="1371">
        <v>12527.536189999999</v>
      </c>
      <c r="K26" s="1371">
        <v>1078.29718</v>
      </c>
      <c r="L26" s="1371">
        <v>15965.44533</v>
      </c>
      <c r="M26" s="1371">
        <v>1457.55834</v>
      </c>
      <c r="N26" s="1371">
        <v>19018.723959999999</v>
      </c>
      <c r="O26" s="1371">
        <v>1520.4034299999998</v>
      </c>
      <c r="P26" s="1371">
        <v>21824.591680000001</v>
      </c>
      <c r="Q26" s="1371">
        <v>1864.7352700000001</v>
      </c>
      <c r="R26" s="1371">
        <v>29426.052070000002</v>
      </c>
      <c r="S26" s="1371">
        <v>1956.1366399999999</v>
      </c>
      <c r="T26" s="1371">
        <v>31710.83769</v>
      </c>
      <c r="U26" s="1371">
        <v>2049.9261299999998</v>
      </c>
      <c r="V26" s="1371">
        <v>35218.879350000003</v>
      </c>
      <c r="W26" s="1371">
        <v>2151.4666899999997</v>
      </c>
      <c r="X26" s="1371">
        <v>37813.447919999999</v>
      </c>
      <c r="Y26" s="1371">
        <v>2214.3898499999996</v>
      </c>
      <c r="Z26" s="1371">
        <v>3465.7083899999998</v>
      </c>
      <c r="AA26" s="1371">
        <v>36.875449999999994</v>
      </c>
      <c r="AB26" s="1371">
        <v>8720.9691000000003</v>
      </c>
      <c r="AC26" s="1371">
        <v>111.62860999999999</v>
      </c>
      <c r="AD26" s="1371">
        <v>22863.153870000002</v>
      </c>
      <c r="AE26" s="1371">
        <v>135.18967000000001</v>
      </c>
      <c r="AF26" s="1371">
        <v>25506.073329999999</v>
      </c>
      <c r="AG26" s="1371">
        <v>410.17484000000002</v>
      </c>
      <c r="AH26" s="1371">
        <v>27793.636690000003</v>
      </c>
      <c r="AI26" s="1371">
        <v>443.16640000000001</v>
      </c>
      <c r="AJ26" s="1371">
        <v>31887.73703</v>
      </c>
      <c r="AK26" s="1371">
        <v>476.76499000000001</v>
      </c>
      <c r="AL26" s="1371">
        <v>34456.407490000005</v>
      </c>
      <c r="AM26" s="1371">
        <v>771.71976000000006</v>
      </c>
      <c r="AN26" s="1371">
        <v>39447.605439999999</v>
      </c>
      <c r="AO26" s="1371">
        <v>816.18037000000004</v>
      </c>
      <c r="AP26" s="1371">
        <v>48293.257230000003</v>
      </c>
      <c r="AQ26" s="1371">
        <v>1775.713</v>
      </c>
      <c r="AR26" s="1371">
        <v>50823.553659999998</v>
      </c>
      <c r="AS26" s="1371">
        <v>2043.6151</v>
      </c>
      <c r="AT26" s="1371">
        <v>53670.77289</v>
      </c>
      <c r="AU26" s="1371">
        <v>2673.9180000000001</v>
      </c>
      <c r="AV26" s="1371">
        <v>59373.386460000002</v>
      </c>
      <c r="AW26" s="1371">
        <v>3074.25711</v>
      </c>
      <c r="AX26" s="1371">
        <v>3170.0090699999996</v>
      </c>
      <c r="AY26" s="1371">
        <v>326.49990000000003</v>
      </c>
      <c r="AZ26" s="1371">
        <v>7042.4854699999996</v>
      </c>
      <c r="BA26" s="1371">
        <v>622.07792000000006</v>
      </c>
      <c r="BB26" s="1371">
        <v>10250.33474</v>
      </c>
      <c r="BC26" s="1371">
        <v>734.2319399999999</v>
      </c>
      <c r="BD26" s="1371">
        <v>12967.758159999999</v>
      </c>
      <c r="BE26" s="1371">
        <v>848.68651999999997</v>
      </c>
      <c r="BF26" s="1371">
        <v>18086.584019999998</v>
      </c>
      <c r="BG26" s="1371">
        <v>1096.6253300000001</v>
      </c>
      <c r="BH26" s="1371">
        <v>21054.802769999998</v>
      </c>
      <c r="BI26" s="1371">
        <v>1238.90327</v>
      </c>
      <c r="BJ26" s="1371">
        <v>25559.760920000001</v>
      </c>
      <c r="BK26" s="1371">
        <v>1362.91516</v>
      </c>
      <c r="BL26" s="1371">
        <v>27634.398670000002</v>
      </c>
      <c r="BM26" s="1371">
        <v>1455.13958</v>
      </c>
      <c r="BN26" s="1371">
        <v>37872.909849999996</v>
      </c>
      <c r="BO26" s="1371">
        <v>1686.85653</v>
      </c>
      <c r="BP26" s="1371">
        <v>42035.654270000006</v>
      </c>
      <c r="BQ26" s="1371">
        <v>1832.1260400000001</v>
      </c>
      <c r="BR26" s="1371">
        <v>45924.370759999998</v>
      </c>
      <c r="BS26" s="1371">
        <v>1863.97219</v>
      </c>
      <c r="BT26" s="1371">
        <v>51069.017890000003</v>
      </c>
      <c r="BU26" s="1371">
        <v>2171.6981600000004</v>
      </c>
      <c r="BV26" s="1371">
        <v>3915.71272</v>
      </c>
      <c r="BW26" s="1371">
        <v>330.82452000000001</v>
      </c>
      <c r="BX26" s="1371">
        <v>6338.5014199999996</v>
      </c>
      <c r="BY26" s="1371">
        <v>384.6223</v>
      </c>
      <c r="BZ26" s="1371">
        <v>9556.6000999999997</v>
      </c>
      <c r="CA26" s="1371">
        <v>869.27751999999998</v>
      </c>
      <c r="CB26" s="1371">
        <v>12184.052119999998</v>
      </c>
      <c r="CC26" s="1371">
        <v>948.43584999999996</v>
      </c>
      <c r="CD26" s="1371">
        <v>15540.400750000001</v>
      </c>
      <c r="CE26" s="1371">
        <v>1081.1816799999999</v>
      </c>
      <c r="CF26" s="1371">
        <v>19703.52463</v>
      </c>
      <c r="CG26" s="1371">
        <v>1150.19129</v>
      </c>
      <c r="CH26" s="1371">
        <v>30328.256069999999</v>
      </c>
      <c r="CI26" s="1371">
        <v>1326.66623</v>
      </c>
      <c r="CJ26" s="1371">
        <v>36870.333740000002</v>
      </c>
      <c r="CK26" s="1371">
        <v>1806.5528200000001</v>
      </c>
      <c r="CL26" s="1371">
        <v>43799.565539999996</v>
      </c>
      <c r="CM26" s="1371">
        <v>12965.52025</v>
      </c>
      <c r="CN26" s="1371">
        <v>47443.285899999995</v>
      </c>
      <c r="CO26" s="1371">
        <v>13101.2215</v>
      </c>
      <c r="CP26" s="1371">
        <v>49939.987529999999</v>
      </c>
      <c r="CQ26" s="1371">
        <v>13357.93687</v>
      </c>
      <c r="CR26" s="1371">
        <v>56281.659610000002</v>
      </c>
      <c r="CS26" s="1371">
        <v>13383.299130000001</v>
      </c>
      <c r="CT26" s="1371">
        <v>4313.9287599999998</v>
      </c>
      <c r="CU26" s="1371">
        <v>268.01778000000002</v>
      </c>
      <c r="CV26" s="1371">
        <v>6796.5787499999997</v>
      </c>
      <c r="CW26" s="1371">
        <v>448.69675999999998</v>
      </c>
      <c r="CX26" s="1371">
        <v>12773.14553</v>
      </c>
      <c r="CY26" s="1371">
        <v>423.46731</v>
      </c>
      <c r="CZ26" s="1371">
        <v>15854.969800000001</v>
      </c>
      <c r="DA26" s="1371">
        <v>2677.4093900000003</v>
      </c>
      <c r="DB26" s="1371">
        <v>20403.13336</v>
      </c>
      <c r="DC26" s="1371">
        <v>2789.1127999999999</v>
      </c>
      <c r="DD26" s="1371">
        <v>29387.88121</v>
      </c>
      <c r="DE26" s="1371">
        <v>2890.7373399999997</v>
      </c>
      <c r="DF26" s="1371">
        <v>31488.856609999999</v>
      </c>
      <c r="DG26" s="1371">
        <v>2989.29061</v>
      </c>
      <c r="DH26" s="1371">
        <v>33557.40582</v>
      </c>
      <c r="DI26" s="1371">
        <v>3108.7934799999998</v>
      </c>
      <c r="DJ26" s="1371">
        <v>41879.864560000002</v>
      </c>
      <c r="DK26" s="1371">
        <v>3410.7299600000001</v>
      </c>
      <c r="DL26" s="1371">
        <v>47068.617160000002</v>
      </c>
      <c r="DM26" s="1371">
        <v>3705.9066800000001</v>
      </c>
      <c r="DN26" s="1371">
        <v>48953.995029999998</v>
      </c>
      <c r="DO26" s="1371">
        <v>4060.8981699999999</v>
      </c>
      <c r="DP26" s="1371">
        <v>55792.715989999997</v>
      </c>
      <c r="DQ26" s="1386">
        <v>4412.99611</v>
      </c>
      <c r="DR26" s="1397">
        <v>3406.4238</v>
      </c>
      <c r="DS26" s="1372">
        <v>92.871780000000001</v>
      </c>
      <c r="DT26" s="1390">
        <v>6587.6168100000004</v>
      </c>
      <c r="DU26" s="1386">
        <v>410.13549</v>
      </c>
      <c r="DV26" s="1397">
        <v>9824.0387499999997</v>
      </c>
      <c r="DW26" s="1372">
        <v>508.38362000000001</v>
      </c>
      <c r="DX26" s="1390">
        <v>13294.510389999999</v>
      </c>
      <c r="DY26" s="1386">
        <v>541.73753999999997</v>
      </c>
      <c r="DZ26" s="1397">
        <v>23607.472730000001</v>
      </c>
      <c r="EA26" s="1372">
        <v>768.20460000000003</v>
      </c>
      <c r="EB26" s="1390">
        <v>27913.508460000001</v>
      </c>
      <c r="EC26" s="1372">
        <v>808.20567000000005</v>
      </c>
      <c r="ED26" s="1397">
        <v>32289.330969999999</v>
      </c>
      <c r="EE26" s="1372">
        <v>889.45938999999998</v>
      </c>
      <c r="EF26" s="1397">
        <v>37947.428160000003</v>
      </c>
      <c r="EG26" s="1372">
        <v>1112.4813200000001</v>
      </c>
      <c r="EH26" s="1390">
        <v>47295.331639999997</v>
      </c>
      <c r="EI26" s="1372">
        <v>1182.9741799999999</v>
      </c>
      <c r="EJ26" s="1390">
        <v>51131.116479999997</v>
      </c>
      <c r="EK26" s="1372">
        <v>1263.63519</v>
      </c>
      <c r="EL26" s="1390">
        <v>54748.369449999998</v>
      </c>
      <c r="EM26" s="1372">
        <v>1352.45856</v>
      </c>
      <c r="EN26" s="1390">
        <v>66350.701499999996</v>
      </c>
      <c r="EO26" s="1372">
        <v>1428.4406899999999</v>
      </c>
      <c r="EP26" s="1390">
        <v>4733.7252400000007</v>
      </c>
      <c r="EQ26" s="1372">
        <v>69.275240000000011</v>
      </c>
      <c r="ER26" s="1390">
        <v>12134.438390000001</v>
      </c>
      <c r="ES26" s="1372">
        <v>170.65404999999998</v>
      </c>
      <c r="ET26" s="1635">
        <v>21327.604520000001</v>
      </c>
      <c r="EU26" s="1636">
        <v>274.67198000000002</v>
      </c>
      <c r="EV26" s="1390">
        <v>23341.019199999999</v>
      </c>
      <c r="EW26" s="1372">
        <v>696.25460999999996</v>
      </c>
      <c r="EX26" s="1390">
        <v>28761.570350000002</v>
      </c>
      <c r="EY26" s="1372">
        <v>1296.80592</v>
      </c>
      <c r="EZ26" s="1390">
        <v>38604.993240000003</v>
      </c>
      <c r="FA26" s="1372">
        <v>1708.2707800000001</v>
      </c>
      <c r="FB26" s="1390">
        <v>42914.383459999997</v>
      </c>
      <c r="FC26" s="1372">
        <v>1933.5884900000001</v>
      </c>
      <c r="FD26" s="1390">
        <v>46963.570979999997</v>
      </c>
      <c r="FE26" s="1372">
        <v>16804.472819999999</v>
      </c>
      <c r="FF26" s="1390">
        <v>52603.501980000001</v>
      </c>
      <c r="FG26" s="1372">
        <v>27597.216920000003</v>
      </c>
      <c r="FH26" s="1390">
        <v>63637.409070000002</v>
      </c>
      <c r="FI26" s="1372">
        <v>30246.029190000001</v>
      </c>
      <c r="FJ26" s="1635">
        <v>68051.437409999999</v>
      </c>
      <c r="FK26" s="1636">
        <v>30572.857169999999</v>
      </c>
      <c r="FL26" s="1390">
        <v>74928.075200000007</v>
      </c>
      <c r="FM26" s="1372">
        <v>75415.164400000009</v>
      </c>
      <c r="FN26" s="1390">
        <v>7540.70172</v>
      </c>
      <c r="FO26" s="1372">
        <v>164.46472</v>
      </c>
      <c r="FP26" s="1390">
        <v>11681.038460000002</v>
      </c>
      <c r="FQ26" s="1372">
        <v>391.75274000000002</v>
      </c>
      <c r="FR26" s="1373" t="s">
        <v>3512</v>
      </c>
    </row>
    <row r="27" spans="1:174" s="458" customFormat="1" ht="22.5" customHeight="1">
      <c r="A27" s="1375" t="s">
        <v>2341</v>
      </c>
      <c r="B27" s="1371">
        <v>1712.2983899999999</v>
      </c>
      <c r="C27" s="1371">
        <v>731.08556999999996</v>
      </c>
      <c r="D27" s="1371">
        <v>4480.9744299999993</v>
      </c>
      <c r="E27" s="1371">
        <v>1636.44559</v>
      </c>
      <c r="F27" s="1371">
        <v>6089.8972100000001</v>
      </c>
      <c r="G27" s="1371">
        <v>2772.3521399999995</v>
      </c>
      <c r="H27" s="1371">
        <v>7687.5887699999994</v>
      </c>
      <c r="I27" s="1371">
        <v>3713.4522299999999</v>
      </c>
      <c r="J27" s="1371">
        <v>9374.6315799999993</v>
      </c>
      <c r="K27" s="1371">
        <v>4884.9043300000003</v>
      </c>
      <c r="L27" s="1371">
        <v>10560.077810000001</v>
      </c>
      <c r="M27" s="1371">
        <v>5711.9737500000001</v>
      </c>
      <c r="N27" s="1371">
        <v>12230.46135</v>
      </c>
      <c r="O27" s="1371">
        <v>6576.6550199999992</v>
      </c>
      <c r="P27" s="1371">
        <v>14244.819220000001</v>
      </c>
      <c r="Q27" s="1371">
        <v>7392.6246900000006</v>
      </c>
      <c r="R27" s="1371">
        <v>16894.26756</v>
      </c>
      <c r="S27" s="1371">
        <v>8370.9069299999992</v>
      </c>
      <c r="T27" s="1371">
        <v>18496.267319999999</v>
      </c>
      <c r="U27" s="1371">
        <v>9261.3770199999999</v>
      </c>
      <c r="V27" s="1371">
        <v>20531.36837</v>
      </c>
      <c r="W27" s="1371">
        <v>10059.78752</v>
      </c>
      <c r="X27" s="1371">
        <v>22546.881100000002</v>
      </c>
      <c r="Y27" s="1371">
        <v>10873.82043</v>
      </c>
      <c r="Z27" s="1371">
        <v>2075.6687200000001</v>
      </c>
      <c r="AA27" s="1371">
        <v>830.83537999999999</v>
      </c>
      <c r="AB27" s="1371">
        <v>3776.4115499999998</v>
      </c>
      <c r="AC27" s="1371">
        <v>1633.85194</v>
      </c>
      <c r="AD27" s="1371">
        <v>5098.3764900000006</v>
      </c>
      <c r="AE27" s="1371">
        <v>2092.32339</v>
      </c>
      <c r="AF27" s="1371">
        <v>8752.2875899999999</v>
      </c>
      <c r="AG27" s="1371">
        <v>2830.5947099999998</v>
      </c>
      <c r="AH27" s="1371">
        <v>10825.75582</v>
      </c>
      <c r="AI27" s="1371">
        <v>3673.31504</v>
      </c>
      <c r="AJ27" s="1371">
        <v>12553.074570000001</v>
      </c>
      <c r="AK27" s="1371">
        <v>4227.8707599999998</v>
      </c>
      <c r="AL27" s="1371">
        <v>14963.782789999999</v>
      </c>
      <c r="AM27" s="1371">
        <v>5078.5562800000007</v>
      </c>
      <c r="AN27" s="1371">
        <v>17286.21313</v>
      </c>
      <c r="AO27" s="1371">
        <v>5870.1425300000001</v>
      </c>
      <c r="AP27" s="1371">
        <v>20560.59101</v>
      </c>
      <c r="AQ27" s="1371">
        <v>6553.3480099999997</v>
      </c>
      <c r="AR27" s="1371">
        <v>23233.328899999997</v>
      </c>
      <c r="AS27" s="1371">
        <v>7667.09908</v>
      </c>
      <c r="AT27" s="1371">
        <v>25817.671859999999</v>
      </c>
      <c r="AU27" s="1371">
        <v>8738.2193599999991</v>
      </c>
      <c r="AV27" s="1371">
        <v>28449.747950000001</v>
      </c>
      <c r="AW27" s="1371">
        <v>9574.6235399999987</v>
      </c>
      <c r="AX27" s="1371">
        <v>2414.2360699999999</v>
      </c>
      <c r="AY27" s="1371">
        <v>872.02897999999993</v>
      </c>
      <c r="AZ27" s="1371">
        <v>4091.8614400000001</v>
      </c>
      <c r="BA27" s="1371">
        <v>1705.18379</v>
      </c>
      <c r="BB27" s="1371">
        <v>5849.7533099999991</v>
      </c>
      <c r="BC27" s="1371">
        <v>2564.08304</v>
      </c>
      <c r="BD27" s="1371">
        <v>8999.8632699999998</v>
      </c>
      <c r="BE27" s="1371">
        <v>3489.8512099999998</v>
      </c>
      <c r="BF27" s="1371">
        <v>12357.311800000001</v>
      </c>
      <c r="BG27" s="1371">
        <v>4548.4163399999998</v>
      </c>
      <c r="BH27" s="1371">
        <v>16411.53357</v>
      </c>
      <c r="BI27" s="1371">
        <v>5613.6062699999993</v>
      </c>
      <c r="BJ27" s="1371">
        <v>19332.522559999998</v>
      </c>
      <c r="BK27" s="1371">
        <v>6782.3033599999999</v>
      </c>
      <c r="BL27" s="1371">
        <v>22071.511109999999</v>
      </c>
      <c r="BM27" s="1371">
        <v>7844.6509100000003</v>
      </c>
      <c r="BN27" s="1371">
        <v>25852.507369999999</v>
      </c>
      <c r="BO27" s="1371">
        <v>9147.9244199999994</v>
      </c>
      <c r="BP27" s="1371">
        <v>28966.579109999999</v>
      </c>
      <c r="BQ27" s="1371">
        <v>10516.861859999999</v>
      </c>
      <c r="BR27" s="1371">
        <v>32761.302800000001</v>
      </c>
      <c r="BS27" s="1371">
        <v>11426.892539999999</v>
      </c>
      <c r="BT27" s="1371">
        <v>36280.606289999996</v>
      </c>
      <c r="BU27" s="1371">
        <v>13072.253429999999</v>
      </c>
      <c r="BV27" s="1371">
        <v>7040.9058199999999</v>
      </c>
      <c r="BW27" s="1371">
        <v>995.61069999999995</v>
      </c>
      <c r="BX27" s="1371">
        <v>10170.661769999999</v>
      </c>
      <c r="BY27" s="1371">
        <v>2179.2914100000003</v>
      </c>
      <c r="BZ27" s="1371">
        <v>12254.437039999999</v>
      </c>
      <c r="CA27" s="1371">
        <v>3232.73452</v>
      </c>
      <c r="CB27" s="1371">
        <v>14008.78883</v>
      </c>
      <c r="CC27" s="1371">
        <v>4276.9317499999997</v>
      </c>
      <c r="CD27" s="1371">
        <v>17612.56698</v>
      </c>
      <c r="CE27" s="1371">
        <v>5305.1061900000004</v>
      </c>
      <c r="CF27" s="1371">
        <v>21355.07144</v>
      </c>
      <c r="CG27" s="1371">
        <v>6222.6787999999997</v>
      </c>
      <c r="CH27" s="1371">
        <v>23189.66129</v>
      </c>
      <c r="CI27" s="1371">
        <v>7330.0901299999996</v>
      </c>
      <c r="CJ27" s="1371">
        <v>25629.693780000001</v>
      </c>
      <c r="CK27" s="1371">
        <v>8327.8468200000007</v>
      </c>
      <c r="CL27" s="1371">
        <v>29264.769929999999</v>
      </c>
      <c r="CM27" s="1371">
        <v>9636.7668200000007</v>
      </c>
      <c r="CN27" s="1371">
        <v>31954.031149999999</v>
      </c>
      <c r="CO27" s="1371">
        <v>10552.34403</v>
      </c>
      <c r="CP27" s="1371">
        <v>34447.662270000001</v>
      </c>
      <c r="CQ27" s="1371">
        <v>11785.552679999999</v>
      </c>
      <c r="CR27" s="1371">
        <v>36875.872100000001</v>
      </c>
      <c r="CS27" s="1371">
        <v>13039.36536</v>
      </c>
      <c r="CT27" s="1371">
        <v>2705.07744</v>
      </c>
      <c r="CU27" s="1371">
        <v>726.95299999999997</v>
      </c>
      <c r="CV27" s="1371">
        <v>5584.7871500000001</v>
      </c>
      <c r="CW27" s="1371">
        <v>1680.02854</v>
      </c>
      <c r="CX27" s="1371">
        <v>7493.4080000000004</v>
      </c>
      <c r="CY27" s="1371">
        <v>3281.2665400000001</v>
      </c>
      <c r="CZ27" s="1371">
        <v>10269.217470000001</v>
      </c>
      <c r="DA27" s="1371">
        <v>4768.54036</v>
      </c>
      <c r="DB27" s="1371">
        <v>13120.627869999998</v>
      </c>
      <c r="DC27" s="1371">
        <v>6220.8655999999992</v>
      </c>
      <c r="DD27" s="1371">
        <v>18114.261760000001</v>
      </c>
      <c r="DE27" s="1371">
        <v>7266.7930199999992</v>
      </c>
      <c r="DF27" s="1371">
        <v>22388.686280000002</v>
      </c>
      <c r="DG27" s="1371">
        <v>8511.2512699999988</v>
      </c>
      <c r="DH27" s="1371">
        <v>25571.95434</v>
      </c>
      <c r="DI27" s="1371">
        <v>9817.2290199999989</v>
      </c>
      <c r="DJ27" s="1371">
        <v>29092.94498</v>
      </c>
      <c r="DK27" s="1371">
        <v>11160.71881</v>
      </c>
      <c r="DL27" s="1371">
        <v>32435.72883</v>
      </c>
      <c r="DM27" s="1371">
        <v>12508.110839999999</v>
      </c>
      <c r="DN27" s="1371">
        <v>36202.812319999997</v>
      </c>
      <c r="DO27" s="1371">
        <v>14126.59737</v>
      </c>
      <c r="DP27" s="1371">
        <v>39671.959589999999</v>
      </c>
      <c r="DQ27" s="1386">
        <v>15849.2338</v>
      </c>
      <c r="DR27" s="1401">
        <v>2938.7702100000001</v>
      </c>
      <c r="DS27" s="1372">
        <v>1133.72642</v>
      </c>
      <c r="DT27" s="1390">
        <v>6194.2943299999997</v>
      </c>
      <c r="DU27" s="1386">
        <v>2617.1095</v>
      </c>
      <c r="DV27" s="1397">
        <v>8441.0348900000008</v>
      </c>
      <c r="DW27" s="1372">
        <v>3755.2616800000001</v>
      </c>
      <c r="DX27" s="1390">
        <v>12440.50382</v>
      </c>
      <c r="DY27" s="1386">
        <v>5642.9458400000003</v>
      </c>
      <c r="DZ27" s="1397">
        <v>15450.58527</v>
      </c>
      <c r="EA27" s="1372">
        <v>7057.1116700000002</v>
      </c>
      <c r="EB27" s="1390">
        <v>18857.232629999999</v>
      </c>
      <c r="EC27" s="1372">
        <v>8374.8241699999999</v>
      </c>
      <c r="ED27" s="1397">
        <v>22349.864529999999</v>
      </c>
      <c r="EE27" s="1372">
        <v>9520.7954900000004</v>
      </c>
      <c r="EF27" s="1397">
        <v>26527.45953</v>
      </c>
      <c r="EG27" s="1372">
        <v>10824.02684</v>
      </c>
      <c r="EH27" s="1390">
        <v>31186.241480000001</v>
      </c>
      <c r="EI27" s="1372">
        <v>12278.710220000001</v>
      </c>
      <c r="EJ27" s="1390">
        <v>34670.708610000001</v>
      </c>
      <c r="EK27" s="1372">
        <v>13970.1212</v>
      </c>
      <c r="EL27" s="1390">
        <v>38669.148269999998</v>
      </c>
      <c r="EM27" s="1372">
        <v>15214.736559999999</v>
      </c>
      <c r="EN27" s="1390">
        <v>42097.627460000003</v>
      </c>
      <c r="EO27" s="1372">
        <v>16754.824410000001</v>
      </c>
      <c r="EP27" s="1390">
        <v>3509.17416</v>
      </c>
      <c r="EQ27" s="1372">
        <v>1205.6407099999999</v>
      </c>
      <c r="ER27" s="1390">
        <v>6669.0451299999995</v>
      </c>
      <c r="ES27" s="1372">
        <v>2732.2744199999997</v>
      </c>
      <c r="ET27" s="1635">
        <v>9715.4286400000001</v>
      </c>
      <c r="EU27" s="1636">
        <v>4569.5746900000004</v>
      </c>
      <c r="EV27" s="1390">
        <v>13497.400460000001</v>
      </c>
      <c r="EW27" s="1372">
        <v>6089.0961600000001</v>
      </c>
      <c r="EX27" s="1390">
        <v>17994.112659999999</v>
      </c>
      <c r="EY27" s="1372">
        <v>7573.0096399999993</v>
      </c>
      <c r="EZ27" s="1390">
        <v>22380.642110000001</v>
      </c>
      <c r="FA27" s="1372">
        <v>8926.9223999999995</v>
      </c>
      <c r="FB27" s="1390">
        <v>27178.277600000001</v>
      </c>
      <c r="FC27" s="1372">
        <v>10167.586150000001</v>
      </c>
      <c r="FD27" s="1390">
        <v>32547.965520000002</v>
      </c>
      <c r="FE27" s="1372">
        <v>12133.559370000001</v>
      </c>
      <c r="FF27" s="1390">
        <v>37818.500260000001</v>
      </c>
      <c r="FG27" s="1372">
        <v>14006.883980000001</v>
      </c>
      <c r="FH27" s="1390">
        <v>42464.214749999999</v>
      </c>
      <c r="FI27" s="1372">
        <v>16466.117149999998</v>
      </c>
      <c r="FJ27" s="1635">
        <v>47641.989930000003</v>
      </c>
      <c r="FK27" s="1636">
        <v>18271.004959999998</v>
      </c>
      <c r="FL27" s="1390">
        <v>54871.412659999995</v>
      </c>
      <c r="FM27" s="1372">
        <v>20432.70477</v>
      </c>
      <c r="FN27" s="1390">
        <v>4574.1160300000001</v>
      </c>
      <c r="FO27" s="1372">
        <v>1526.4356700000001</v>
      </c>
      <c r="FP27" s="1390">
        <v>9180.9326500000006</v>
      </c>
      <c r="FQ27" s="1372">
        <v>3306.0548199999998</v>
      </c>
      <c r="FR27" s="1425" t="s">
        <v>3513</v>
      </c>
    </row>
    <row r="28" spans="1:174" s="458" customFormat="1" ht="22.5" customHeight="1">
      <c r="A28" s="1370" t="s">
        <v>2340</v>
      </c>
      <c r="B28" s="1371">
        <v>27.70309</v>
      </c>
      <c r="C28" s="1371">
        <v>0</v>
      </c>
      <c r="D28" s="1371">
        <v>212.72824543800002</v>
      </c>
      <c r="E28" s="1371">
        <v>3.7921999999999998</v>
      </c>
      <c r="F28" s="1371">
        <v>544.63065000000006</v>
      </c>
      <c r="G28" s="1371">
        <v>5.8219200000000004</v>
      </c>
      <c r="H28" s="1371">
        <v>942.77906000000007</v>
      </c>
      <c r="I28" s="1371">
        <v>5.8219200000000004</v>
      </c>
      <c r="J28" s="1371">
        <v>1219.7019299999999</v>
      </c>
      <c r="K28" s="1371">
        <v>16.143059999999998</v>
      </c>
      <c r="L28" s="1371">
        <v>1479.33718</v>
      </c>
      <c r="M28" s="1371">
        <v>23.340730000000001</v>
      </c>
      <c r="N28" s="1371">
        <v>1693.6954099999998</v>
      </c>
      <c r="O28" s="1371">
        <v>31.88401</v>
      </c>
      <c r="P28" s="1371">
        <v>1975.2191699999998</v>
      </c>
      <c r="Q28" s="1371">
        <v>36.550989999999999</v>
      </c>
      <c r="R28" s="1371">
        <v>2300.6860699999997</v>
      </c>
      <c r="S28" s="1371">
        <v>36.976019999999998</v>
      </c>
      <c r="T28" s="1371">
        <v>2661.1942999999997</v>
      </c>
      <c r="U28" s="1371">
        <v>37.749000000000002</v>
      </c>
      <c r="V28" s="1371">
        <v>3010.8397500000001</v>
      </c>
      <c r="W28" s="1371">
        <v>37.749000000000002</v>
      </c>
      <c r="X28" s="1371">
        <v>3257.5207400000004</v>
      </c>
      <c r="Y28" s="1371">
        <v>76.021070000000009</v>
      </c>
      <c r="Z28" s="1371">
        <v>490.39840999999996</v>
      </c>
      <c r="AA28" s="1371">
        <v>2.6299299999999999</v>
      </c>
      <c r="AB28" s="1371">
        <v>1603.92354</v>
      </c>
      <c r="AC28" s="1371">
        <v>3.0243500000000001</v>
      </c>
      <c r="AD28" s="1371">
        <v>1805.70705</v>
      </c>
      <c r="AE28" s="1371">
        <v>19.794630000000002</v>
      </c>
      <c r="AF28" s="1371">
        <v>2121.6337899999999</v>
      </c>
      <c r="AG28" s="1371">
        <v>19.936049999999998</v>
      </c>
      <c r="AH28" s="1371">
        <v>2378.9641499999998</v>
      </c>
      <c r="AI28" s="1371">
        <v>22.127130000000001</v>
      </c>
      <c r="AJ28" s="1371">
        <v>2610.0838799999997</v>
      </c>
      <c r="AK28" s="1371">
        <v>24.535710000000002</v>
      </c>
      <c r="AL28" s="1371">
        <v>2921.6536099999998</v>
      </c>
      <c r="AM28" s="1371">
        <v>39.332989999999995</v>
      </c>
      <c r="AN28" s="1371">
        <v>3105.6515299999996</v>
      </c>
      <c r="AO28" s="1371">
        <v>39.58511</v>
      </c>
      <c r="AP28" s="1371">
        <v>3334.7594399999998</v>
      </c>
      <c r="AQ28" s="1371">
        <v>153.47552999999999</v>
      </c>
      <c r="AR28" s="1371">
        <v>3634.2260000000001</v>
      </c>
      <c r="AS28" s="1371">
        <v>175.45423000000002</v>
      </c>
      <c r="AT28" s="1371">
        <v>3950.88139</v>
      </c>
      <c r="AU28" s="1371">
        <v>175.71092999999999</v>
      </c>
      <c r="AV28" s="1371">
        <v>4199.5760799999998</v>
      </c>
      <c r="AW28" s="1371">
        <v>185.17075</v>
      </c>
      <c r="AX28" s="1371">
        <v>458.62979999999999</v>
      </c>
      <c r="AY28" s="1371">
        <v>1.0679000000000001</v>
      </c>
      <c r="AZ28" s="1371">
        <v>750.35173999999995</v>
      </c>
      <c r="BA28" s="1371">
        <v>13.8222</v>
      </c>
      <c r="BB28" s="1371">
        <v>984.55610000000001</v>
      </c>
      <c r="BC28" s="1371">
        <v>13.8222</v>
      </c>
      <c r="BD28" s="1371">
        <v>1242.2679699999999</v>
      </c>
      <c r="BE28" s="1371">
        <v>184.56765999999999</v>
      </c>
      <c r="BF28" s="1371">
        <v>1522.86295</v>
      </c>
      <c r="BG28" s="1371">
        <v>211.35560000000001</v>
      </c>
      <c r="BH28" s="1371">
        <v>1741.74947</v>
      </c>
      <c r="BI28" s="1371">
        <v>235.98913000000002</v>
      </c>
      <c r="BJ28" s="1371">
        <v>2019.5016900000001</v>
      </c>
      <c r="BK28" s="1371">
        <v>237.77427</v>
      </c>
      <c r="BL28" s="1371">
        <v>2343.9087200000004</v>
      </c>
      <c r="BM28" s="1371">
        <v>254.14526999999998</v>
      </c>
      <c r="BN28" s="1371">
        <v>2726.0600299999996</v>
      </c>
      <c r="BO28" s="1371">
        <v>256.44182999999998</v>
      </c>
      <c r="BP28" s="1371">
        <v>3093.91507</v>
      </c>
      <c r="BQ28" s="1371">
        <v>257.93403000000001</v>
      </c>
      <c r="BR28" s="1371">
        <v>3405.2932500000002</v>
      </c>
      <c r="BS28" s="1371">
        <v>288.94628</v>
      </c>
      <c r="BT28" s="1371">
        <v>3851.9622899999999</v>
      </c>
      <c r="BU28" s="1371">
        <v>289.88764000000003</v>
      </c>
      <c r="BV28" s="1371">
        <v>332.81819999999999</v>
      </c>
      <c r="BW28" s="1371">
        <v>3.1568299999999998</v>
      </c>
      <c r="BX28" s="1371">
        <v>655.20318999999995</v>
      </c>
      <c r="BY28" s="1371">
        <v>25.10717</v>
      </c>
      <c r="BZ28" s="1371">
        <v>982.49026000000003</v>
      </c>
      <c r="CA28" s="1371">
        <v>27.656549999999999</v>
      </c>
      <c r="CB28" s="1371">
        <v>1306.40915</v>
      </c>
      <c r="CC28" s="1371">
        <v>7.05328</v>
      </c>
      <c r="CD28" s="1371">
        <v>1597.4234899999999</v>
      </c>
      <c r="CE28" s="1371">
        <v>18.784119999999998</v>
      </c>
      <c r="CF28" s="1371">
        <v>3519.4227700000001</v>
      </c>
      <c r="CG28" s="1371">
        <v>41.208839999999995</v>
      </c>
      <c r="CH28" s="1371">
        <v>3876.3632400000001</v>
      </c>
      <c r="CI28" s="1371">
        <v>47.200629999999997</v>
      </c>
      <c r="CJ28" s="1371">
        <v>4335.36618</v>
      </c>
      <c r="CK28" s="1371">
        <v>49.13608</v>
      </c>
      <c r="CL28" s="1371">
        <v>4673.6455999999998</v>
      </c>
      <c r="CM28" s="1371">
        <v>49.423989999999996</v>
      </c>
      <c r="CN28" s="1371">
        <v>5042.1835599999995</v>
      </c>
      <c r="CO28" s="1371">
        <v>50.247230000000002</v>
      </c>
      <c r="CP28" s="1371">
        <v>5367.5645999999997</v>
      </c>
      <c r="CQ28" s="1371">
        <v>50.457419999999999</v>
      </c>
      <c r="CR28" s="1371">
        <v>5731.2465000000002</v>
      </c>
      <c r="CS28" s="1371">
        <v>67.490160000000003</v>
      </c>
      <c r="CT28" s="1371">
        <v>567.87279000000001</v>
      </c>
      <c r="CU28" s="1371">
        <v>18.452110000000001</v>
      </c>
      <c r="CV28" s="1371">
        <v>781.73919999999998</v>
      </c>
      <c r="CW28" s="1371">
        <v>51.031349999999996</v>
      </c>
      <c r="CX28" s="1371">
        <v>1324.2650900000001</v>
      </c>
      <c r="CY28" s="1371">
        <v>51.506349999999998</v>
      </c>
      <c r="CZ28" s="1371">
        <v>1742.4875400000001</v>
      </c>
      <c r="DA28" s="1371">
        <v>51.772349999999996</v>
      </c>
      <c r="DB28" s="1371">
        <v>2319.2835499999997</v>
      </c>
      <c r="DC28" s="1371">
        <v>52.052349999999997</v>
      </c>
      <c r="DD28" s="1371">
        <v>2656.5850800000003</v>
      </c>
      <c r="DE28" s="1371">
        <v>74.010289999999998</v>
      </c>
      <c r="DF28" s="1371">
        <v>2923.54792</v>
      </c>
      <c r="DG28" s="1371">
        <v>74.152789999999996</v>
      </c>
      <c r="DH28" s="1371">
        <v>3221.90688</v>
      </c>
      <c r="DI28" s="1371">
        <v>76.861550000000008</v>
      </c>
      <c r="DJ28" s="1371">
        <v>3584.64642</v>
      </c>
      <c r="DK28" s="1371">
        <v>131.42287999999999</v>
      </c>
      <c r="DL28" s="1371">
        <v>3966.1490800000001</v>
      </c>
      <c r="DM28" s="1371">
        <v>248.06058999999999</v>
      </c>
      <c r="DN28" s="1371">
        <v>4459.3626299999996</v>
      </c>
      <c r="DO28" s="1371">
        <v>253.14430999999999</v>
      </c>
      <c r="DP28" s="1371">
        <v>4894.8787400000001</v>
      </c>
      <c r="DQ28" s="1386">
        <v>253.5693</v>
      </c>
      <c r="DR28" s="1397">
        <v>428.34165999999999</v>
      </c>
      <c r="DS28" s="1372">
        <v>0.63061</v>
      </c>
      <c r="DT28" s="1390">
        <v>869.73706000000004</v>
      </c>
      <c r="DU28" s="1386">
        <v>1.2597700000000001</v>
      </c>
      <c r="DV28" s="1397">
        <v>1204.7166</v>
      </c>
      <c r="DW28" s="1372">
        <v>1.94482</v>
      </c>
      <c r="DX28" s="1390">
        <v>1679.2376400000001</v>
      </c>
      <c r="DY28" s="1386">
        <v>3.3911600000000002</v>
      </c>
      <c r="DZ28" s="1397">
        <v>2131.2961300000002</v>
      </c>
      <c r="EA28" s="1372">
        <v>3.8438599999999998</v>
      </c>
      <c r="EB28" s="1390">
        <v>2562.3302399999998</v>
      </c>
      <c r="EC28" s="1372">
        <v>4.9700300000000004</v>
      </c>
      <c r="ED28" s="1397">
        <v>3044.9224199999999</v>
      </c>
      <c r="EE28" s="1372">
        <v>4.9700300000000004</v>
      </c>
      <c r="EF28" s="1397">
        <v>3469.8933900000002</v>
      </c>
      <c r="EG28" s="1372">
        <v>14.777060000000001</v>
      </c>
      <c r="EH28" s="1390">
        <v>3871.7921500000002</v>
      </c>
      <c r="EI28" s="1372">
        <v>33.653509999999997</v>
      </c>
      <c r="EJ28" s="1390">
        <v>4566.02574</v>
      </c>
      <c r="EK28" s="1372">
        <v>33.653509999999997</v>
      </c>
      <c r="EL28" s="1390">
        <v>5077.8429500000002</v>
      </c>
      <c r="EM28" s="1372">
        <v>42.01437</v>
      </c>
      <c r="EN28" s="1390">
        <v>5428.3847599999999</v>
      </c>
      <c r="EO28" s="1372">
        <v>42.01437</v>
      </c>
      <c r="EP28" s="1390">
        <v>620.53247999999996</v>
      </c>
      <c r="EQ28" s="1372">
        <v>0</v>
      </c>
      <c r="ER28" s="1390">
        <v>1162.72434</v>
      </c>
      <c r="ES28" s="1372">
        <v>2.39202</v>
      </c>
      <c r="ET28" s="1635">
        <v>1635.46219</v>
      </c>
      <c r="EU28" s="1636">
        <v>2.39202</v>
      </c>
      <c r="EV28" s="1390">
        <v>2149.13247</v>
      </c>
      <c r="EW28" s="1372">
        <v>27.782</v>
      </c>
      <c r="EX28" s="1390">
        <v>2632.2388500000002</v>
      </c>
      <c r="EY28" s="1372">
        <v>46.783900000000003</v>
      </c>
      <c r="EZ28" s="1390">
        <v>3150.9633699999999</v>
      </c>
      <c r="FA28" s="1372">
        <v>66.987719999999996</v>
      </c>
      <c r="FB28" s="1390">
        <v>3617.6998399999998</v>
      </c>
      <c r="FC28" s="1372">
        <v>67.288520000000005</v>
      </c>
      <c r="FD28" s="1390">
        <v>4011.0313900000001</v>
      </c>
      <c r="FE28" s="1372">
        <v>71.946259999999995</v>
      </c>
      <c r="FF28" s="1390">
        <v>4548.6686900000004</v>
      </c>
      <c r="FG28" s="1372">
        <v>99.761259999999993</v>
      </c>
      <c r="FH28" s="1390">
        <v>5017.8007900000002</v>
      </c>
      <c r="FI28" s="1372">
        <v>126.30866</v>
      </c>
      <c r="FJ28" s="1635">
        <v>5491.8635899999999</v>
      </c>
      <c r="FK28" s="1636">
        <v>134.07932</v>
      </c>
      <c r="FL28" s="1390">
        <v>5987.7356399999999</v>
      </c>
      <c r="FM28" s="1372">
        <v>210.79160999999999</v>
      </c>
      <c r="FN28" s="1390">
        <v>636.68690000000004</v>
      </c>
      <c r="FO28" s="1372">
        <v>74.936000000000007</v>
      </c>
      <c r="FP28" s="1390">
        <v>1034.3004699999999</v>
      </c>
      <c r="FQ28" s="1372">
        <v>74.936000000000007</v>
      </c>
      <c r="FR28" s="1373" t="s">
        <v>3514</v>
      </c>
    </row>
    <row r="29" spans="1:174" s="458" customFormat="1" ht="22.5" customHeight="1">
      <c r="A29" s="1370" t="s">
        <v>2339</v>
      </c>
      <c r="B29" s="1371">
        <v>0.36</v>
      </c>
      <c r="C29" s="1371">
        <v>1.2</v>
      </c>
      <c r="D29" s="1371">
        <v>0.6</v>
      </c>
      <c r="E29" s="1371">
        <v>7.46</v>
      </c>
      <c r="F29" s="1371">
        <v>2030.0162399999999</v>
      </c>
      <c r="G29" s="1371">
        <v>22.389610000000001</v>
      </c>
      <c r="H29" s="1371">
        <v>1140.3071299999999</v>
      </c>
      <c r="I29" s="1371">
        <v>7.7</v>
      </c>
      <c r="J29" s="1371">
        <v>1142.2051299999998</v>
      </c>
      <c r="K29" s="1371">
        <v>153.2525</v>
      </c>
      <c r="L29" s="1371">
        <v>1145.3861299999999</v>
      </c>
      <c r="M29" s="1371">
        <v>7.8</v>
      </c>
      <c r="N29" s="1371">
        <v>1960.7953200000002</v>
      </c>
      <c r="O29" s="1371">
        <v>31.75337</v>
      </c>
      <c r="P29" s="1371">
        <v>1961.5453200000002</v>
      </c>
      <c r="Q29" s="1371">
        <v>33.70337</v>
      </c>
      <c r="R29" s="1371">
        <v>1962.01532</v>
      </c>
      <c r="S29" s="1371">
        <v>44.238010000000003</v>
      </c>
      <c r="T29" s="1371">
        <v>2802.5363199999997</v>
      </c>
      <c r="U29" s="1371">
        <v>44.238010000000003</v>
      </c>
      <c r="V29" s="1371">
        <v>3008.4646600000001</v>
      </c>
      <c r="W29" s="1371">
        <v>67.619190000000003</v>
      </c>
      <c r="X29" s="1371">
        <v>3009.10266</v>
      </c>
      <c r="Y29" s="1371">
        <v>94.992399999999989</v>
      </c>
      <c r="Z29" s="1371">
        <v>285.27382</v>
      </c>
      <c r="AA29" s="1371">
        <v>79.860869999999991</v>
      </c>
      <c r="AB29" s="1371">
        <v>540.30667000000005</v>
      </c>
      <c r="AC29" s="1371">
        <v>86.647089999999992</v>
      </c>
      <c r="AD29" s="1371">
        <v>540.47867000000008</v>
      </c>
      <c r="AE29" s="1371">
        <v>105.01924000000001</v>
      </c>
      <c r="AF29" s="1371">
        <v>884.57386999999994</v>
      </c>
      <c r="AG29" s="1371">
        <v>137.67565999999999</v>
      </c>
      <c r="AH29" s="1371">
        <v>947.39986999999996</v>
      </c>
      <c r="AI29" s="1371">
        <v>218.56246999999999</v>
      </c>
      <c r="AJ29" s="1371">
        <v>1072.7980700000001</v>
      </c>
      <c r="AK29" s="1371">
        <v>227</v>
      </c>
      <c r="AL29" s="1371">
        <v>1155.1073799999999</v>
      </c>
      <c r="AM29" s="1371">
        <v>256.41818000000001</v>
      </c>
      <c r="AN29" s="1371">
        <v>1358.12193</v>
      </c>
      <c r="AO29" s="1371">
        <v>306.54383000000001</v>
      </c>
      <c r="AP29" s="1371">
        <v>1358.82393</v>
      </c>
      <c r="AQ29" s="1371">
        <v>366.55383</v>
      </c>
      <c r="AR29" s="1371">
        <v>1770.5154299999999</v>
      </c>
      <c r="AS29" s="1371">
        <v>534.60028</v>
      </c>
      <c r="AT29" s="1371">
        <v>1922.51593</v>
      </c>
      <c r="AU29" s="1371">
        <v>551.15508</v>
      </c>
      <c r="AV29" s="1371">
        <v>2040.30018</v>
      </c>
      <c r="AW29" s="1371">
        <v>574.74381999999991</v>
      </c>
      <c r="AX29" s="1371">
        <v>116.78792</v>
      </c>
      <c r="AY29" s="1371">
        <v>62.069949999999999</v>
      </c>
      <c r="AZ29" s="1371">
        <v>116.80110999999999</v>
      </c>
      <c r="BA29" s="1371">
        <v>151.82388</v>
      </c>
      <c r="BB29" s="1371">
        <v>205.79955999999999</v>
      </c>
      <c r="BC29" s="1371">
        <v>173.54787999999999</v>
      </c>
      <c r="BD29" s="1371">
        <v>429.93503999999996</v>
      </c>
      <c r="BE29" s="1371">
        <v>301.67829999999998</v>
      </c>
      <c r="BF29" s="1371">
        <v>481.44457</v>
      </c>
      <c r="BG29" s="1371">
        <v>410.48333000000002</v>
      </c>
      <c r="BH29" s="1371">
        <v>509.43734999999998</v>
      </c>
      <c r="BI29" s="1371">
        <v>504.54572999999999</v>
      </c>
      <c r="BJ29" s="1371">
        <v>736.6327</v>
      </c>
      <c r="BK29" s="1371">
        <v>594.35123999999996</v>
      </c>
      <c r="BL29" s="1371">
        <v>890.08599000000004</v>
      </c>
      <c r="BM29" s="1371">
        <v>607.80306000000007</v>
      </c>
      <c r="BN29" s="1371">
        <v>939.80906000000004</v>
      </c>
      <c r="BO29" s="1371">
        <v>673.34256999999991</v>
      </c>
      <c r="BP29" s="1371">
        <v>1131.7423999999999</v>
      </c>
      <c r="BQ29" s="1371">
        <v>767.99870999999996</v>
      </c>
      <c r="BR29" s="1371">
        <v>1272.76929</v>
      </c>
      <c r="BS29" s="1371">
        <v>793.21303</v>
      </c>
      <c r="BT29" s="1371">
        <v>1438.7856499999998</v>
      </c>
      <c r="BU29" s="1371">
        <v>936.72053000000005</v>
      </c>
      <c r="BV29" s="1371">
        <v>118.85308999999999</v>
      </c>
      <c r="BW29" s="1371">
        <v>21.300669999999997</v>
      </c>
      <c r="BX29" s="1371">
        <v>367.26231999999999</v>
      </c>
      <c r="BY29" s="1371">
        <v>136.83443</v>
      </c>
      <c r="BZ29" s="1371">
        <v>673.45706999999993</v>
      </c>
      <c r="CA29" s="1371">
        <v>153.11485000000002</v>
      </c>
      <c r="CB29" s="1371">
        <v>1119.2323700000002</v>
      </c>
      <c r="CC29" s="1371">
        <v>188.30685</v>
      </c>
      <c r="CD29" s="1371">
        <v>1289.7655199999999</v>
      </c>
      <c r="CE29" s="1371">
        <v>203.8048</v>
      </c>
      <c r="CF29" s="1371">
        <v>1619.1973600000001</v>
      </c>
      <c r="CG29" s="1371">
        <v>259.75006999999999</v>
      </c>
      <c r="CH29" s="1371">
        <v>1680.2640100000001</v>
      </c>
      <c r="CI29" s="1371">
        <v>315.57231999999999</v>
      </c>
      <c r="CJ29" s="1371">
        <v>1913.79468</v>
      </c>
      <c r="CK29" s="1371">
        <v>386.28421000000003</v>
      </c>
      <c r="CL29" s="1371">
        <v>2037.2805900000001</v>
      </c>
      <c r="CM29" s="1371">
        <v>454.59735999999998</v>
      </c>
      <c r="CN29" s="1371">
        <v>2259.7385800000002</v>
      </c>
      <c r="CO29" s="1371">
        <v>547.14445000000001</v>
      </c>
      <c r="CP29" s="1371">
        <v>2674.1125000000002</v>
      </c>
      <c r="CQ29" s="1371">
        <v>582.99904000000004</v>
      </c>
      <c r="CR29" s="1371">
        <v>2841.9871600000001</v>
      </c>
      <c r="CS29" s="1371">
        <v>612.96043000000009</v>
      </c>
      <c r="CT29" s="1371">
        <v>208.86651999999998</v>
      </c>
      <c r="CU29" s="1371">
        <v>37.141930000000002</v>
      </c>
      <c r="CV29" s="1371">
        <v>316.50261</v>
      </c>
      <c r="CW29" s="1371">
        <v>67.756439999999998</v>
      </c>
      <c r="CX29" s="1371">
        <v>743.58100000000002</v>
      </c>
      <c r="CY29" s="1371">
        <v>182.91766000000001</v>
      </c>
      <c r="CZ29" s="1371">
        <v>1083.8000400000001</v>
      </c>
      <c r="DA29" s="1371">
        <v>200.35478000000001</v>
      </c>
      <c r="DB29" s="1371">
        <v>1359.7980299999999</v>
      </c>
      <c r="DC29" s="1371">
        <v>205.26174</v>
      </c>
      <c r="DD29" s="1371">
        <v>1726.14013</v>
      </c>
      <c r="DE29" s="1371">
        <v>249.20351000000002</v>
      </c>
      <c r="DF29" s="1371">
        <v>2720.07159</v>
      </c>
      <c r="DG29" s="1371">
        <v>255.29851000000002</v>
      </c>
      <c r="DH29" s="1371">
        <v>3686.4171200000001</v>
      </c>
      <c r="DI29" s="1371">
        <v>302.21138000000002</v>
      </c>
      <c r="DJ29" s="1371">
        <v>4193.7051200000005</v>
      </c>
      <c r="DK29" s="1371">
        <v>369.60694000000001</v>
      </c>
      <c r="DL29" s="1371">
        <v>4923.2388000000001</v>
      </c>
      <c r="DM29" s="1371">
        <v>421.58395000000002</v>
      </c>
      <c r="DN29" s="1371">
        <v>5687.3663699999997</v>
      </c>
      <c r="DO29" s="1371">
        <v>507.24815999999998</v>
      </c>
      <c r="DP29" s="1371">
        <v>6408.00504</v>
      </c>
      <c r="DQ29" s="1386">
        <v>574.63634999999999</v>
      </c>
      <c r="DR29" s="1397">
        <v>283.71485000000001</v>
      </c>
      <c r="DS29" s="1372">
        <v>39.827100000000002</v>
      </c>
      <c r="DT29" s="1390">
        <v>683.70943</v>
      </c>
      <c r="DU29" s="1386">
        <v>93.164100000000005</v>
      </c>
      <c r="DV29" s="1397">
        <v>1232.94982</v>
      </c>
      <c r="DW29" s="1372">
        <v>148.62707</v>
      </c>
      <c r="DX29" s="1390">
        <v>1388.6489999999999</v>
      </c>
      <c r="DY29" s="1386">
        <v>191.73379</v>
      </c>
      <c r="DZ29" s="1397">
        <v>1579.09349</v>
      </c>
      <c r="EA29" s="1372">
        <v>253.02848</v>
      </c>
      <c r="EB29" s="1390">
        <v>1716.3902499999999</v>
      </c>
      <c r="EC29" s="1372">
        <v>291.45256000000001</v>
      </c>
      <c r="ED29" s="1397">
        <v>2122.9057400000002</v>
      </c>
      <c r="EE29" s="1372">
        <v>309.28185999999999</v>
      </c>
      <c r="EF29" s="1397">
        <v>2410.8784599999999</v>
      </c>
      <c r="EG29" s="1372">
        <v>360.55617999999998</v>
      </c>
      <c r="EH29" s="1390">
        <v>2569.4391700000001</v>
      </c>
      <c r="EI29" s="1372">
        <v>616.85563000000002</v>
      </c>
      <c r="EJ29" s="1390">
        <v>2732.8743300000001</v>
      </c>
      <c r="EK29" s="1372">
        <v>775.71614</v>
      </c>
      <c r="EL29" s="1390">
        <v>3123.8772100000001</v>
      </c>
      <c r="EM29" s="1372">
        <v>913.83430999999996</v>
      </c>
      <c r="EN29" s="1390">
        <v>5598.0770700000003</v>
      </c>
      <c r="EO29" s="1372">
        <v>1085.3997899999999</v>
      </c>
      <c r="EP29" s="1390">
        <v>112.21594</v>
      </c>
      <c r="EQ29" s="1372">
        <v>71.50421</v>
      </c>
      <c r="ER29" s="1390">
        <v>205.07485999999997</v>
      </c>
      <c r="ES29" s="1372">
        <v>245.45148</v>
      </c>
      <c r="ET29" s="1635">
        <v>397.09570000000002</v>
      </c>
      <c r="EU29" s="1636">
        <v>305.62943999999999</v>
      </c>
      <c r="EV29" s="1390">
        <v>1307.1010799999999</v>
      </c>
      <c r="EW29" s="1372">
        <v>402.44662</v>
      </c>
      <c r="EX29" s="1390">
        <v>2001.52802</v>
      </c>
      <c r="EY29" s="1372">
        <v>463.89544000000001</v>
      </c>
      <c r="EZ29" s="1390">
        <v>2235.5152000000003</v>
      </c>
      <c r="FA29" s="1372">
        <v>558.78181999999993</v>
      </c>
      <c r="FB29" s="1390">
        <v>2609.5114800000001</v>
      </c>
      <c r="FC29" s="1372">
        <v>650.78770999999995</v>
      </c>
      <c r="FD29" s="1390">
        <v>2671.0022600000002</v>
      </c>
      <c r="FE29" s="1372">
        <v>668.40700000000004</v>
      </c>
      <c r="FF29" s="1390">
        <v>2954.0456200000003</v>
      </c>
      <c r="FG29" s="1372">
        <v>792.95816000000002</v>
      </c>
      <c r="FH29" s="1390">
        <v>3085.4333000000001</v>
      </c>
      <c r="FI29" s="1372">
        <v>792.95816000000002</v>
      </c>
      <c r="FJ29" s="1635">
        <v>3408.7374399999999</v>
      </c>
      <c r="FK29" s="1636">
        <v>866.6934</v>
      </c>
      <c r="FL29" s="1390">
        <v>3951.1748700000003</v>
      </c>
      <c r="FM29" s="1372">
        <v>1079.7946399999998</v>
      </c>
      <c r="FN29" s="1390">
        <v>302.47415999999998</v>
      </c>
      <c r="FO29" s="1372">
        <v>104.01584</v>
      </c>
      <c r="FP29" s="1390">
        <v>410.75997999999998</v>
      </c>
      <c r="FQ29" s="1372">
        <v>358.85166999999996</v>
      </c>
      <c r="FR29" s="1373" t="s">
        <v>3280</v>
      </c>
    </row>
    <row r="30" spans="1:174" s="458" customFormat="1" ht="22.5" customHeight="1">
      <c r="A30" s="1370" t="s">
        <v>2338</v>
      </c>
      <c r="B30" s="1371">
        <v>1716.6447599999999</v>
      </c>
      <c r="C30" s="1371">
        <v>0</v>
      </c>
      <c r="D30" s="1371">
        <v>2933.1362300000001</v>
      </c>
      <c r="E30" s="1371">
        <v>0</v>
      </c>
      <c r="F30" s="1371">
        <v>2997.12509</v>
      </c>
      <c r="G30" s="1371">
        <v>0</v>
      </c>
      <c r="H30" s="1371">
        <v>4041.0931499999997</v>
      </c>
      <c r="I30" s="1371">
        <v>0</v>
      </c>
      <c r="J30" s="1371">
        <v>4368.2246799999994</v>
      </c>
      <c r="K30" s="1371">
        <v>0</v>
      </c>
      <c r="L30" s="1371">
        <v>5722.9997599999997</v>
      </c>
      <c r="M30" s="1371">
        <v>0</v>
      </c>
      <c r="N30" s="1371">
        <v>5776.0270799999998</v>
      </c>
      <c r="O30" s="1371">
        <v>0</v>
      </c>
      <c r="P30" s="1371">
        <v>6286.9747600000001</v>
      </c>
      <c r="Q30" s="1371">
        <v>0</v>
      </c>
      <c r="R30" s="1371">
        <v>7087.3877000000002</v>
      </c>
      <c r="S30" s="1371">
        <v>0</v>
      </c>
      <c r="T30" s="1371">
        <v>7228.0081900000005</v>
      </c>
      <c r="U30" s="1371">
        <v>0</v>
      </c>
      <c r="V30" s="1371">
        <v>7497.7897400000002</v>
      </c>
      <c r="W30" s="1371">
        <v>0</v>
      </c>
      <c r="X30" s="1371">
        <v>7595.5167599999995</v>
      </c>
      <c r="Y30" s="1371">
        <v>0</v>
      </c>
      <c r="Z30" s="1371">
        <v>226.05382</v>
      </c>
      <c r="AA30" s="1371">
        <v>0</v>
      </c>
      <c r="AB30" s="1371">
        <v>1562.18019</v>
      </c>
      <c r="AC30" s="1371">
        <v>0</v>
      </c>
      <c r="AD30" s="1371">
        <v>1823.90156</v>
      </c>
      <c r="AE30" s="1371">
        <v>0</v>
      </c>
      <c r="AF30" s="1371">
        <v>1828.6601599999999</v>
      </c>
      <c r="AG30" s="1371">
        <v>0</v>
      </c>
      <c r="AH30" s="1371">
        <v>2849.9023099999999</v>
      </c>
      <c r="AI30" s="1371">
        <v>0</v>
      </c>
      <c r="AJ30" s="1371">
        <v>3814.9195099999997</v>
      </c>
      <c r="AK30" s="1371">
        <v>612.14449999999999</v>
      </c>
      <c r="AL30" s="1371">
        <v>4813.3088699999998</v>
      </c>
      <c r="AM30" s="1371">
        <v>612.14449999999999</v>
      </c>
      <c r="AN30" s="1371">
        <v>5109.3768</v>
      </c>
      <c r="AO30" s="1371">
        <v>612.14449999999999</v>
      </c>
      <c r="AP30" s="1371">
        <v>5831.6918599999999</v>
      </c>
      <c r="AQ30" s="1371">
        <v>612.14449999999999</v>
      </c>
      <c r="AR30" s="1371">
        <v>6054.0389400000004</v>
      </c>
      <c r="AS30" s="1371">
        <v>612.14449999999999</v>
      </c>
      <c r="AT30" s="1371">
        <v>6216.6289800000004</v>
      </c>
      <c r="AU30" s="1371">
        <v>612.14449999999999</v>
      </c>
      <c r="AV30" s="1371">
        <v>6278.0457200000001</v>
      </c>
      <c r="AW30" s="1371">
        <v>612.14449999999999</v>
      </c>
      <c r="AX30" s="1371">
        <v>318.68525</v>
      </c>
      <c r="AY30" s="1371">
        <v>0</v>
      </c>
      <c r="AZ30" s="1371">
        <v>2159.8143599999999</v>
      </c>
      <c r="BA30" s="1371">
        <v>0</v>
      </c>
      <c r="BB30" s="1371">
        <v>2230.49161</v>
      </c>
      <c r="BC30" s="1371">
        <v>0</v>
      </c>
      <c r="BD30" s="1371">
        <v>2672.75828</v>
      </c>
      <c r="BE30" s="1371">
        <v>0</v>
      </c>
      <c r="BF30" s="1371">
        <v>3445.03089</v>
      </c>
      <c r="BG30" s="1371">
        <v>0</v>
      </c>
      <c r="BH30" s="1371">
        <v>4656.5165199999992</v>
      </c>
      <c r="BI30" s="1371">
        <v>864.77897999999993</v>
      </c>
      <c r="BJ30" s="1371">
        <v>4950.7496900000006</v>
      </c>
      <c r="BK30" s="1371">
        <v>864.77897999999993</v>
      </c>
      <c r="BL30" s="1371">
        <v>6037.4538700000003</v>
      </c>
      <c r="BM30" s="1371">
        <v>864.77897999999993</v>
      </c>
      <c r="BN30" s="1371">
        <v>7546.3197699999992</v>
      </c>
      <c r="BO30" s="1371">
        <v>864.77897999999993</v>
      </c>
      <c r="BP30" s="1371">
        <v>7721.55717</v>
      </c>
      <c r="BQ30" s="1371">
        <v>864.77897999999993</v>
      </c>
      <c r="BR30" s="1371">
        <v>7771.2013699999998</v>
      </c>
      <c r="BS30" s="1371">
        <v>864.77897999999993</v>
      </c>
      <c r="BT30" s="1371">
        <v>7916.2648899999995</v>
      </c>
      <c r="BU30" s="1371">
        <v>912.15797999999995</v>
      </c>
      <c r="BV30" s="1371">
        <v>1554.3306</v>
      </c>
      <c r="BW30" s="1371">
        <v>0</v>
      </c>
      <c r="BX30" s="1371">
        <v>1809.8106</v>
      </c>
      <c r="BY30" s="1371">
        <v>0</v>
      </c>
      <c r="BZ30" s="1371">
        <v>2034.6556</v>
      </c>
      <c r="CA30" s="1371">
        <v>0</v>
      </c>
      <c r="CB30" s="1371">
        <v>2521.8819399999998</v>
      </c>
      <c r="CC30" s="1371">
        <v>0</v>
      </c>
      <c r="CD30" s="1371">
        <v>2847.86922</v>
      </c>
      <c r="CE30" s="1371">
        <v>209.43191000000002</v>
      </c>
      <c r="CF30" s="1371">
        <v>3201.3701800000003</v>
      </c>
      <c r="CG30" s="1371">
        <v>209.43191000000002</v>
      </c>
      <c r="CH30" s="1371">
        <v>4480.95568</v>
      </c>
      <c r="CI30" s="1371">
        <v>209.43191000000002</v>
      </c>
      <c r="CJ30" s="1371">
        <v>6536.7949200000003</v>
      </c>
      <c r="CK30" s="1371">
        <v>209.43191000000002</v>
      </c>
      <c r="CL30" s="1371">
        <v>7923.6218600000002</v>
      </c>
      <c r="CM30" s="1371">
        <v>209.43191000000002</v>
      </c>
      <c r="CN30" s="1371">
        <v>7946.3168599999999</v>
      </c>
      <c r="CO30" s="1371">
        <v>209.43191000000002</v>
      </c>
      <c r="CP30" s="1371">
        <v>7759.0219800000004</v>
      </c>
      <c r="CQ30" s="1371">
        <v>209.43191000000002</v>
      </c>
      <c r="CR30" s="1371">
        <v>7784.4913799999995</v>
      </c>
      <c r="CS30" s="1371">
        <v>209.43191000000002</v>
      </c>
      <c r="CT30" s="1371">
        <v>140.49020000000002</v>
      </c>
      <c r="CU30" s="1371">
        <v>0</v>
      </c>
      <c r="CV30" s="1371">
        <v>1890.10663</v>
      </c>
      <c r="CW30" s="1371">
        <v>0</v>
      </c>
      <c r="CX30" s="1371">
        <v>2551.9983900000002</v>
      </c>
      <c r="CY30" s="1371">
        <v>0</v>
      </c>
      <c r="CZ30" s="1371">
        <v>2551.9983900000002</v>
      </c>
      <c r="DA30" s="1371">
        <v>0</v>
      </c>
      <c r="DB30" s="1371">
        <v>2784.1668</v>
      </c>
      <c r="DC30" s="1371">
        <v>0</v>
      </c>
      <c r="DD30" s="1371">
        <v>3249.3090000000002</v>
      </c>
      <c r="DE30" s="1371">
        <v>0</v>
      </c>
      <c r="DF30" s="1371">
        <v>4266.8199599999998</v>
      </c>
      <c r="DG30" s="1371">
        <v>0</v>
      </c>
      <c r="DH30" s="1371">
        <v>4308.5929400000005</v>
      </c>
      <c r="DI30" s="1371">
        <v>0</v>
      </c>
      <c r="DJ30" s="1371">
        <v>4352.3471200000004</v>
      </c>
      <c r="DK30" s="1371">
        <v>0</v>
      </c>
      <c r="DL30" s="1371">
        <v>4422.2294199999997</v>
      </c>
      <c r="DM30" s="1371">
        <v>0</v>
      </c>
      <c r="DN30" s="1371">
        <v>5835.9769399999996</v>
      </c>
      <c r="DO30" s="1371">
        <v>0</v>
      </c>
      <c r="DP30" s="1371">
        <v>5298.7008999999998</v>
      </c>
      <c r="DQ30" s="1386">
        <v>0</v>
      </c>
      <c r="DR30" s="1397">
        <v>1687.96613</v>
      </c>
      <c r="DS30" s="1372">
        <v>0</v>
      </c>
      <c r="DT30" s="1390">
        <v>2112.5030000000002</v>
      </c>
      <c r="DU30" s="1386">
        <v>0</v>
      </c>
      <c r="DV30" s="1397">
        <v>2322.17553</v>
      </c>
      <c r="DW30" s="1372">
        <v>0</v>
      </c>
      <c r="DX30" s="1390">
        <v>2601.6181900000001</v>
      </c>
      <c r="DY30" s="1386">
        <v>0</v>
      </c>
      <c r="DZ30" s="1397">
        <v>2594.30224</v>
      </c>
      <c r="EA30" s="1372">
        <v>0</v>
      </c>
      <c r="EB30" s="1390">
        <v>2843.12608</v>
      </c>
      <c r="EC30" s="1372">
        <v>0</v>
      </c>
      <c r="ED30" s="1397">
        <v>3373.75992</v>
      </c>
      <c r="EE30" s="1372">
        <v>0</v>
      </c>
      <c r="EF30" s="1397">
        <v>4202.3198000000002</v>
      </c>
      <c r="EG30" s="1372">
        <v>0</v>
      </c>
      <c r="EH30" s="1390">
        <v>5271.9582399999999</v>
      </c>
      <c r="EI30" s="1372">
        <v>0</v>
      </c>
      <c r="EJ30" s="1390">
        <v>5388.7128499999999</v>
      </c>
      <c r="EK30" s="1372">
        <v>485.33152000000001</v>
      </c>
      <c r="EL30" s="1390">
        <v>5472.2004500000003</v>
      </c>
      <c r="EM30" s="1372">
        <v>485.33152000000001</v>
      </c>
      <c r="EN30" s="1390">
        <v>6452.4794199999997</v>
      </c>
      <c r="EO30" s="1372">
        <v>821.44885999999997</v>
      </c>
      <c r="EP30" s="1390">
        <v>4.08</v>
      </c>
      <c r="EQ30" s="1372">
        <v>0</v>
      </c>
      <c r="ER30" s="1390">
        <v>1874.1916899999999</v>
      </c>
      <c r="ES30" s="1372">
        <v>109.63167</v>
      </c>
      <c r="ET30" s="1635">
        <v>2143.5436300000001</v>
      </c>
      <c r="EU30" s="1636">
        <v>109.63167</v>
      </c>
      <c r="EV30" s="1390">
        <v>2155.51503</v>
      </c>
      <c r="EW30" s="1372">
        <v>109.63167</v>
      </c>
      <c r="EX30" s="1390">
        <v>2225.6904500000001</v>
      </c>
      <c r="EY30" s="1372">
        <v>109.63167</v>
      </c>
      <c r="EZ30" s="1390">
        <v>3465.20084</v>
      </c>
      <c r="FA30" s="1372">
        <v>109.63167</v>
      </c>
      <c r="FB30" s="1390">
        <v>3476.1297599999998</v>
      </c>
      <c r="FC30" s="1372">
        <v>109.63167</v>
      </c>
      <c r="FD30" s="1390">
        <v>5911.4043799999999</v>
      </c>
      <c r="FE30" s="1372">
        <v>109.63167</v>
      </c>
      <c r="FF30" s="1390">
        <v>6240.8773099999999</v>
      </c>
      <c r="FG30" s="1372">
        <v>109.63167</v>
      </c>
      <c r="FH30" s="1390">
        <v>6246.8273099999997</v>
      </c>
      <c r="FI30" s="1372">
        <v>109.63167</v>
      </c>
      <c r="FJ30" s="1635">
        <v>7748.5812699999997</v>
      </c>
      <c r="FK30" s="1636">
        <v>109.63167</v>
      </c>
      <c r="FL30" s="1390">
        <v>7555.3485899999996</v>
      </c>
      <c r="FM30" s="1372">
        <v>109.63167</v>
      </c>
      <c r="FN30" s="1390">
        <v>18.790099999999999</v>
      </c>
      <c r="FO30" s="1372">
        <v>0</v>
      </c>
      <c r="FP30" s="1390">
        <v>2113.24919</v>
      </c>
      <c r="FQ30" s="1372">
        <v>0</v>
      </c>
      <c r="FR30" s="1373" t="s">
        <v>3515</v>
      </c>
    </row>
    <row r="31" spans="1:174" s="458" customFormat="1" ht="22.5" customHeight="1">
      <c r="A31" s="1370" t="s">
        <v>2337</v>
      </c>
      <c r="B31" s="1371">
        <v>0</v>
      </c>
      <c r="C31" s="1371">
        <v>0</v>
      </c>
      <c r="D31" s="1371">
        <v>5.8</v>
      </c>
      <c r="E31" s="1371">
        <v>0</v>
      </c>
      <c r="F31" s="1371">
        <v>273.38163000000003</v>
      </c>
      <c r="G31" s="1371">
        <v>0</v>
      </c>
      <c r="H31" s="1371">
        <v>273.38163000000003</v>
      </c>
      <c r="I31" s="1371">
        <v>0</v>
      </c>
      <c r="J31" s="1371">
        <v>273.38163000000003</v>
      </c>
      <c r="K31" s="1371">
        <v>0</v>
      </c>
      <c r="L31" s="1371">
        <v>273.38163000000003</v>
      </c>
      <c r="M31" s="1371">
        <v>0</v>
      </c>
      <c r="N31" s="1371">
        <v>273.38163000000003</v>
      </c>
      <c r="O31" s="1371">
        <v>0</v>
      </c>
      <c r="P31" s="1371">
        <v>273.38163000000003</v>
      </c>
      <c r="Q31" s="1371">
        <v>0</v>
      </c>
      <c r="R31" s="1371">
        <v>273.38163000000003</v>
      </c>
      <c r="S31" s="1371">
        <v>0</v>
      </c>
      <c r="T31" s="1371">
        <v>273.38163000000003</v>
      </c>
      <c r="U31" s="1371">
        <v>0</v>
      </c>
      <c r="V31" s="1371">
        <v>273.38163000000003</v>
      </c>
      <c r="W31" s="1371">
        <v>0</v>
      </c>
      <c r="X31" s="1371">
        <v>310.5428</v>
      </c>
      <c r="Y31" s="1371">
        <v>0</v>
      </c>
      <c r="Z31" s="1371">
        <v>0.87551000000000001</v>
      </c>
      <c r="AA31" s="1371">
        <v>0</v>
      </c>
      <c r="AB31" s="1371">
        <v>121.72931</v>
      </c>
      <c r="AC31" s="1371">
        <v>0</v>
      </c>
      <c r="AD31" s="1371">
        <v>121.72931</v>
      </c>
      <c r="AE31" s="1371">
        <v>0</v>
      </c>
      <c r="AF31" s="1371">
        <v>92.109110000000001</v>
      </c>
      <c r="AG31" s="1371">
        <v>0</v>
      </c>
      <c r="AH31" s="1371">
        <v>92.109110000000001</v>
      </c>
      <c r="AI31" s="1371">
        <v>0</v>
      </c>
      <c r="AJ31" s="1371">
        <v>92.109110000000001</v>
      </c>
      <c r="AK31" s="1371">
        <v>0</v>
      </c>
      <c r="AL31" s="1371">
        <v>92.109110000000001</v>
      </c>
      <c r="AM31" s="1371">
        <v>0</v>
      </c>
      <c r="AN31" s="1371">
        <v>92.109110000000001</v>
      </c>
      <c r="AO31" s="1371">
        <v>0</v>
      </c>
      <c r="AP31" s="1371">
        <v>92.109110000000001</v>
      </c>
      <c r="AQ31" s="1371">
        <v>0</v>
      </c>
      <c r="AR31" s="1371">
        <v>92.109110000000001</v>
      </c>
      <c r="AS31" s="1371">
        <v>0</v>
      </c>
      <c r="AT31" s="1371">
        <v>92.108910000000009</v>
      </c>
      <c r="AU31" s="1371">
        <v>0</v>
      </c>
      <c r="AV31" s="1371">
        <v>106.55367</v>
      </c>
      <c r="AW31" s="1371">
        <v>0</v>
      </c>
      <c r="AX31" s="1371">
        <v>0</v>
      </c>
      <c r="AY31" s="1371">
        <v>0</v>
      </c>
      <c r="AZ31" s="1371">
        <v>0</v>
      </c>
      <c r="BA31" s="1371">
        <v>0</v>
      </c>
      <c r="BB31" s="1371">
        <v>25.406500000000001</v>
      </c>
      <c r="BC31" s="1371">
        <v>0</v>
      </c>
      <c r="BD31" s="1371">
        <v>52.7425</v>
      </c>
      <c r="BE31" s="1371">
        <v>0</v>
      </c>
      <c r="BF31" s="1371">
        <v>52.7425</v>
      </c>
      <c r="BG31" s="1371">
        <v>0</v>
      </c>
      <c r="BH31" s="1371">
        <v>75.000500000000002</v>
      </c>
      <c r="BI31" s="1371">
        <v>0</v>
      </c>
      <c r="BJ31" s="1371">
        <v>75.000500000000002</v>
      </c>
      <c r="BK31" s="1371">
        <v>0</v>
      </c>
      <c r="BL31" s="1371">
        <v>74.830500000000001</v>
      </c>
      <c r="BM31" s="1371">
        <v>0</v>
      </c>
      <c r="BN31" s="1371">
        <v>74.830500000000001</v>
      </c>
      <c r="BO31" s="1371">
        <v>0</v>
      </c>
      <c r="BP31" s="1371">
        <v>47.494500000000002</v>
      </c>
      <c r="BQ31" s="1371">
        <v>0</v>
      </c>
      <c r="BR31" s="1371">
        <v>47.494500000000002</v>
      </c>
      <c r="BS31" s="1371">
        <v>0</v>
      </c>
      <c r="BT31" s="1371">
        <v>47.494500000000002</v>
      </c>
      <c r="BU31" s="1371">
        <v>0</v>
      </c>
      <c r="BV31" s="1371">
        <v>0</v>
      </c>
      <c r="BW31" s="1371">
        <v>0</v>
      </c>
      <c r="BX31" s="1371">
        <v>0</v>
      </c>
      <c r="BY31" s="1371">
        <v>0</v>
      </c>
      <c r="BZ31" s="1371">
        <v>0</v>
      </c>
      <c r="CA31" s="1371">
        <v>0</v>
      </c>
      <c r="CB31" s="1371">
        <v>36.119300000000003</v>
      </c>
      <c r="CC31" s="1371">
        <v>0</v>
      </c>
      <c r="CD31" s="1371">
        <v>36.119300000000003</v>
      </c>
      <c r="CE31" s="1371">
        <v>0</v>
      </c>
      <c r="CF31" s="1371">
        <v>36.119300000000003</v>
      </c>
      <c r="CG31" s="1371">
        <v>0</v>
      </c>
      <c r="CH31" s="1371">
        <v>36.119300000000003</v>
      </c>
      <c r="CI31" s="1371">
        <v>0</v>
      </c>
      <c r="CJ31" s="1371">
        <v>36.119300000000003</v>
      </c>
      <c r="CK31" s="1371">
        <v>0</v>
      </c>
      <c r="CL31" s="1371">
        <v>36.119300000000003</v>
      </c>
      <c r="CM31" s="1371">
        <v>0</v>
      </c>
      <c r="CN31" s="1371">
        <v>36.119300000000003</v>
      </c>
      <c r="CO31" s="1371">
        <v>0</v>
      </c>
      <c r="CP31" s="1371">
        <v>36.119300000000003</v>
      </c>
      <c r="CQ31" s="1371">
        <v>0</v>
      </c>
      <c r="CR31" s="1371">
        <v>36.119300000000003</v>
      </c>
      <c r="CS31" s="1371">
        <v>0</v>
      </c>
      <c r="CT31" s="1371">
        <v>15.888999999999999</v>
      </c>
      <c r="CU31" s="1371">
        <v>0</v>
      </c>
      <c r="CV31" s="1371">
        <v>15.888999999999999</v>
      </c>
      <c r="CW31" s="1371">
        <v>0</v>
      </c>
      <c r="CX31" s="1371">
        <v>15.888999999999999</v>
      </c>
      <c r="CY31" s="1371">
        <v>0</v>
      </c>
      <c r="CZ31" s="1371">
        <v>43.309199999999997</v>
      </c>
      <c r="DA31" s="1371">
        <v>0</v>
      </c>
      <c r="DB31" s="1371">
        <v>43.309199999999997</v>
      </c>
      <c r="DC31" s="1371">
        <v>0</v>
      </c>
      <c r="DD31" s="1371">
        <v>43.309199999999997</v>
      </c>
      <c r="DE31" s="1371">
        <v>0</v>
      </c>
      <c r="DF31" s="1371">
        <v>43.309199999999997</v>
      </c>
      <c r="DG31" s="1371">
        <v>0</v>
      </c>
      <c r="DH31" s="1371">
        <v>43.309199999999997</v>
      </c>
      <c r="DI31" s="1371">
        <v>0</v>
      </c>
      <c r="DJ31" s="1371">
        <v>43.309199999999997</v>
      </c>
      <c r="DK31" s="1371">
        <v>0</v>
      </c>
      <c r="DL31" s="1371">
        <v>72.8142</v>
      </c>
      <c r="DM31" s="1371">
        <v>0</v>
      </c>
      <c r="DN31" s="1371">
        <v>72.8142</v>
      </c>
      <c r="DO31" s="1371">
        <v>0</v>
      </c>
      <c r="DP31" s="1371">
        <v>72.8142</v>
      </c>
      <c r="DQ31" s="1386">
        <v>0</v>
      </c>
      <c r="DR31" s="1397">
        <v>15.888999999999999</v>
      </c>
      <c r="DS31" s="1372">
        <v>0</v>
      </c>
      <c r="DT31" s="1390">
        <v>15.888999999999999</v>
      </c>
      <c r="DU31" s="1386">
        <v>0</v>
      </c>
      <c r="DV31" s="1397">
        <v>15.888999999999999</v>
      </c>
      <c r="DW31" s="1372">
        <v>0</v>
      </c>
      <c r="DX31" s="1390">
        <v>34.496000000000002</v>
      </c>
      <c r="DY31" s="1386">
        <v>0</v>
      </c>
      <c r="DZ31" s="1397">
        <v>34.496000000000002</v>
      </c>
      <c r="EA31" s="1372">
        <v>0</v>
      </c>
      <c r="EB31" s="1390">
        <v>44.492190000000001</v>
      </c>
      <c r="EC31" s="1372">
        <v>0</v>
      </c>
      <c r="ED31" s="1397">
        <v>44.492190000000001</v>
      </c>
      <c r="EE31" s="1372">
        <v>0</v>
      </c>
      <c r="EF31" s="1397">
        <v>44.492190000000001</v>
      </c>
      <c r="EG31" s="1372">
        <v>0</v>
      </c>
      <c r="EH31" s="1390">
        <v>44.492190000000001</v>
      </c>
      <c r="EI31" s="1372">
        <v>0</v>
      </c>
      <c r="EJ31" s="1390">
        <v>72.521190000000004</v>
      </c>
      <c r="EK31" s="1372">
        <v>0</v>
      </c>
      <c r="EL31" s="1390">
        <v>72.521190000000004</v>
      </c>
      <c r="EM31" s="1372">
        <v>0</v>
      </c>
      <c r="EN31" s="1390">
        <v>72.521190000000004</v>
      </c>
      <c r="EO31" s="1372">
        <v>0</v>
      </c>
      <c r="EP31" s="1390">
        <v>15.888999999999999</v>
      </c>
      <c r="EQ31" s="1372">
        <v>0</v>
      </c>
      <c r="ER31" s="1390">
        <v>15.888999999999999</v>
      </c>
      <c r="ES31" s="1372">
        <v>0</v>
      </c>
      <c r="ET31" s="1635">
        <v>15.888999999999999</v>
      </c>
      <c r="EU31" s="1636">
        <v>0</v>
      </c>
      <c r="EV31" s="1390">
        <v>15.888999999999999</v>
      </c>
      <c r="EW31" s="1372">
        <v>0</v>
      </c>
      <c r="EX31" s="1390">
        <v>15.888999999999999</v>
      </c>
      <c r="EY31" s="1372">
        <v>0</v>
      </c>
      <c r="EZ31" s="1390">
        <v>32.507829999999998</v>
      </c>
      <c r="FA31" s="1372">
        <v>0</v>
      </c>
      <c r="FB31" s="1390">
        <v>32.507829999999998</v>
      </c>
      <c r="FC31" s="1372">
        <v>0</v>
      </c>
      <c r="FD31" s="1390">
        <v>32.507829999999998</v>
      </c>
      <c r="FE31" s="1372">
        <v>0</v>
      </c>
      <c r="FF31" s="1390">
        <v>32.507829999999998</v>
      </c>
      <c r="FG31" s="1372">
        <v>0</v>
      </c>
      <c r="FH31" s="1390">
        <v>60.536830000000002</v>
      </c>
      <c r="FI31" s="1372">
        <v>0</v>
      </c>
      <c r="FJ31" s="1635">
        <v>60.536830000000002</v>
      </c>
      <c r="FK31" s="1636">
        <v>0</v>
      </c>
      <c r="FL31" s="1390">
        <v>60.536830000000002</v>
      </c>
      <c r="FM31" s="1372">
        <v>0</v>
      </c>
      <c r="FN31" s="1390">
        <v>9.4</v>
      </c>
      <c r="FO31" s="1372">
        <v>0</v>
      </c>
      <c r="FP31" s="1390">
        <v>9.4</v>
      </c>
      <c r="FQ31" s="1372">
        <v>0</v>
      </c>
      <c r="FR31" s="1373" t="s">
        <v>3281</v>
      </c>
    </row>
    <row r="32" spans="1:174" s="458" customFormat="1" ht="22.5" customHeight="1">
      <c r="A32" s="1370" t="s">
        <v>2336</v>
      </c>
      <c r="B32" s="1371">
        <v>4.5549999999999997</v>
      </c>
      <c r="C32" s="1371">
        <v>0</v>
      </c>
      <c r="D32" s="1371">
        <v>8.4459999999999997</v>
      </c>
      <c r="E32" s="1371">
        <v>236.20161999999999</v>
      </c>
      <c r="F32" s="1371">
        <v>6.9480000000000004</v>
      </c>
      <c r="G32" s="1371">
        <v>840.46882000000005</v>
      </c>
      <c r="H32" s="1371">
        <v>7.5709999999999997</v>
      </c>
      <c r="I32" s="1371">
        <v>840.46881999999994</v>
      </c>
      <c r="J32" s="1371">
        <v>1057.29891</v>
      </c>
      <c r="K32" s="1371">
        <v>846.12081999999998</v>
      </c>
      <c r="L32" s="1371">
        <v>1324.1360099999999</v>
      </c>
      <c r="M32" s="1371">
        <v>1405.3659599999999</v>
      </c>
      <c r="N32" s="1371">
        <v>1341.3500100000001</v>
      </c>
      <c r="O32" s="1371">
        <v>1405.3659599999999</v>
      </c>
      <c r="P32" s="1371">
        <v>1324.1360099999999</v>
      </c>
      <c r="Q32" s="1371">
        <v>1405.3659599999999</v>
      </c>
      <c r="R32" s="1371">
        <v>1324.1360099999999</v>
      </c>
      <c r="S32" s="1371">
        <v>1419.3659599999999</v>
      </c>
      <c r="T32" s="1371">
        <v>1324.1360099999999</v>
      </c>
      <c r="U32" s="1371">
        <v>1419.3659599999999</v>
      </c>
      <c r="V32" s="1371">
        <v>1324.9440099999999</v>
      </c>
      <c r="W32" s="1371">
        <v>1419.3659599999999</v>
      </c>
      <c r="X32" s="1371">
        <v>1325.6790100000001</v>
      </c>
      <c r="Y32" s="1371">
        <v>1419.3659599999999</v>
      </c>
      <c r="Z32" s="1371">
        <v>0</v>
      </c>
      <c r="AA32" s="1371">
        <v>0</v>
      </c>
      <c r="AB32" s="1371">
        <v>6.444</v>
      </c>
      <c r="AC32" s="1371">
        <v>64.37106</v>
      </c>
      <c r="AD32" s="1371">
        <v>6.444</v>
      </c>
      <c r="AE32" s="1371">
        <v>64.37106</v>
      </c>
      <c r="AF32" s="1371">
        <v>31.853999999999999</v>
      </c>
      <c r="AG32" s="1371">
        <v>64.37106</v>
      </c>
      <c r="AH32" s="1371">
        <v>617.31925000000001</v>
      </c>
      <c r="AI32" s="1371">
        <v>64.37106</v>
      </c>
      <c r="AJ32" s="1371">
        <v>617.31925000000001</v>
      </c>
      <c r="AK32" s="1371">
        <v>64.37106</v>
      </c>
      <c r="AL32" s="1371">
        <v>617.31925000000001</v>
      </c>
      <c r="AM32" s="1371">
        <v>64.37106</v>
      </c>
      <c r="AN32" s="1371">
        <v>617.31925000000001</v>
      </c>
      <c r="AO32" s="1371">
        <v>64.37106</v>
      </c>
      <c r="AP32" s="1371">
        <v>630.64824999999996</v>
      </c>
      <c r="AQ32" s="1371">
        <v>64.37106</v>
      </c>
      <c r="AR32" s="1371">
        <v>633.78025000000002</v>
      </c>
      <c r="AS32" s="1371">
        <v>64.37106</v>
      </c>
      <c r="AT32" s="1371">
        <v>639.78724999999997</v>
      </c>
      <c r="AU32" s="1371">
        <v>64.37106</v>
      </c>
      <c r="AV32" s="1371">
        <v>639.78724999999997</v>
      </c>
      <c r="AW32" s="1371">
        <v>180.25665000000001</v>
      </c>
      <c r="AX32" s="1371">
        <v>0</v>
      </c>
      <c r="AY32" s="1371">
        <v>0</v>
      </c>
      <c r="AZ32" s="1371">
        <v>4.1059999999999999</v>
      </c>
      <c r="BA32" s="1371">
        <v>0</v>
      </c>
      <c r="BB32" s="1371">
        <v>4.1059999999999999</v>
      </c>
      <c r="BC32" s="1371">
        <v>0</v>
      </c>
      <c r="BD32" s="1371">
        <v>27.58</v>
      </c>
      <c r="BE32" s="1371">
        <v>0</v>
      </c>
      <c r="BF32" s="1371">
        <v>27.58</v>
      </c>
      <c r="BG32" s="1371">
        <v>0</v>
      </c>
      <c r="BH32" s="1371">
        <v>163.79485</v>
      </c>
      <c r="BI32" s="1371">
        <v>0</v>
      </c>
      <c r="BJ32" s="1371">
        <v>157.68185</v>
      </c>
      <c r="BK32" s="1371">
        <v>0</v>
      </c>
      <c r="BL32" s="1371">
        <v>157.68185</v>
      </c>
      <c r="BM32" s="1371">
        <v>0</v>
      </c>
      <c r="BN32" s="1371">
        <v>157.68185</v>
      </c>
      <c r="BO32" s="1371">
        <v>0</v>
      </c>
      <c r="BP32" s="1371">
        <v>167.68185</v>
      </c>
      <c r="BQ32" s="1371">
        <v>0</v>
      </c>
      <c r="BR32" s="1371">
        <v>168.78185000000002</v>
      </c>
      <c r="BS32" s="1371">
        <v>0</v>
      </c>
      <c r="BT32" s="1371">
        <v>183.78185000000002</v>
      </c>
      <c r="BU32" s="1371">
        <v>0</v>
      </c>
      <c r="BV32" s="1371">
        <v>0</v>
      </c>
      <c r="BW32" s="1371">
        <v>0</v>
      </c>
      <c r="BX32" s="1371">
        <v>0</v>
      </c>
      <c r="BY32" s="1371">
        <v>0</v>
      </c>
      <c r="BZ32" s="1371">
        <v>0</v>
      </c>
      <c r="CA32" s="1371">
        <v>0</v>
      </c>
      <c r="CB32" s="1371">
        <v>6.8419999999999996</v>
      </c>
      <c r="CC32" s="1371">
        <v>0</v>
      </c>
      <c r="CD32" s="1371">
        <v>6.8419999999999996</v>
      </c>
      <c r="CE32" s="1371">
        <v>0</v>
      </c>
      <c r="CF32" s="1371">
        <v>6.8419999999999996</v>
      </c>
      <c r="CG32" s="1371">
        <v>0</v>
      </c>
      <c r="CH32" s="1371">
        <v>6.8419999999999996</v>
      </c>
      <c r="CI32" s="1371">
        <v>0</v>
      </c>
      <c r="CJ32" s="1371">
        <v>6.8419999999999996</v>
      </c>
      <c r="CK32" s="1371">
        <v>0</v>
      </c>
      <c r="CL32" s="1371">
        <v>6.8419999999999996</v>
      </c>
      <c r="CM32" s="1371">
        <v>0</v>
      </c>
      <c r="CN32" s="1371">
        <v>6.8419999999999996</v>
      </c>
      <c r="CO32" s="1371">
        <v>0</v>
      </c>
      <c r="CP32" s="1371">
        <v>6.8419999999999996</v>
      </c>
      <c r="CQ32" s="1371">
        <v>0</v>
      </c>
      <c r="CR32" s="1371">
        <v>9.1567399999999992</v>
      </c>
      <c r="CS32" s="1371">
        <v>0</v>
      </c>
      <c r="CT32" s="1371">
        <v>0</v>
      </c>
      <c r="CU32" s="1371">
        <v>0</v>
      </c>
      <c r="CV32" s="1371">
        <v>0.69335999999999998</v>
      </c>
      <c r="CW32" s="1371">
        <v>0</v>
      </c>
      <c r="CX32" s="1371">
        <v>61.281120000000001</v>
      </c>
      <c r="CY32" s="1371">
        <v>0</v>
      </c>
      <c r="CZ32" s="1371">
        <v>392.01365999999996</v>
      </c>
      <c r="DA32" s="1371">
        <v>0</v>
      </c>
      <c r="DB32" s="1371">
        <v>408.28724</v>
      </c>
      <c r="DC32" s="1371">
        <v>0</v>
      </c>
      <c r="DD32" s="1371">
        <v>550.97993999999994</v>
      </c>
      <c r="DE32" s="1371">
        <v>0</v>
      </c>
      <c r="DF32" s="1371">
        <v>583.79175999999995</v>
      </c>
      <c r="DG32" s="1371">
        <v>0</v>
      </c>
      <c r="DH32" s="1371">
        <v>633.60518000000002</v>
      </c>
      <c r="DI32" s="1371">
        <v>0</v>
      </c>
      <c r="DJ32" s="1371">
        <v>638.08204000000001</v>
      </c>
      <c r="DK32" s="1371">
        <v>3.78</v>
      </c>
      <c r="DL32" s="1371">
        <v>695.11854000000005</v>
      </c>
      <c r="DM32" s="1371">
        <v>3.78</v>
      </c>
      <c r="DN32" s="1371">
        <v>825.25639999999999</v>
      </c>
      <c r="DO32" s="1371">
        <v>3.78</v>
      </c>
      <c r="DP32" s="1371">
        <v>6171.0005000000001</v>
      </c>
      <c r="DQ32" s="1386">
        <v>28.731000000000002</v>
      </c>
      <c r="DR32" s="1397">
        <v>1247.6387999999999</v>
      </c>
      <c r="DS32" s="1372">
        <v>0</v>
      </c>
      <c r="DT32" s="1390">
        <v>2146.4238</v>
      </c>
      <c r="DU32" s="1386">
        <v>0</v>
      </c>
      <c r="DV32" s="1397">
        <v>2374.9177399999999</v>
      </c>
      <c r="DW32" s="1372">
        <v>0</v>
      </c>
      <c r="DX32" s="1390">
        <v>2494.8991599999999</v>
      </c>
      <c r="DY32" s="1386">
        <v>0</v>
      </c>
      <c r="DZ32" s="1397">
        <v>3633.32</v>
      </c>
      <c r="EA32" s="1372">
        <v>0</v>
      </c>
      <c r="EB32" s="1390">
        <v>4207.0142999999998</v>
      </c>
      <c r="EC32" s="1372">
        <v>0</v>
      </c>
      <c r="ED32" s="1397">
        <v>4392.4564399999999</v>
      </c>
      <c r="EE32" s="1372">
        <v>0</v>
      </c>
      <c r="EF32" s="1397">
        <v>5312.7656999999999</v>
      </c>
      <c r="EG32" s="1372">
        <v>53.60163</v>
      </c>
      <c r="EH32" s="1390">
        <v>5485.7416000000003</v>
      </c>
      <c r="EI32" s="1372">
        <v>220.11879999999999</v>
      </c>
      <c r="EJ32" s="1390">
        <v>5539.1984400000001</v>
      </c>
      <c r="EK32" s="1372">
        <v>718.41001000000006</v>
      </c>
      <c r="EL32" s="1390">
        <v>5981.4286000000002</v>
      </c>
      <c r="EM32" s="1372">
        <v>819.06777</v>
      </c>
      <c r="EN32" s="1390">
        <v>9209.0169800000003</v>
      </c>
      <c r="EO32" s="1372">
        <v>1679.6351099999999</v>
      </c>
      <c r="EP32" s="1390">
        <v>8919.9886999999999</v>
      </c>
      <c r="EQ32" s="1372">
        <v>131.2955</v>
      </c>
      <c r="ER32" s="1390">
        <v>8880.7057800000002</v>
      </c>
      <c r="ES32" s="1372">
        <v>348.40565000000004</v>
      </c>
      <c r="ET32" s="1635">
        <v>9226.8184399999991</v>
      </c>
      <c r="EU32" s="1636">
        <v>575.41726000000006</v>
      </c>
      <c r="EV32" s="1390">
        <v>9304.8628000000008</v>
      </c>
      <c r="EW32" s="1372">
        <v>683.98990000000003</v>
      </c>
      <c r="EX32" s="1390">
        <v>10493.86916</v>
      </c>
      <c r="EY32" s="1372">
        <v>741.26483999999994</v>
      </c>
      <c r="EZ32" s="1390">
        <v>11001.036840000001</v>
      </c>
      <c r="FA32" s="1372">
        <v>742.28678000000002</v>
      </c>
      <c r="FB32" s="1390">
        <v>11085.4054</v>
      </c>
      <c r="FC32" s="1372">
        <v>765.73739999999998</v>
      </c>
      <c r="FD32" s="1390">
        <v>11125.08446</v>
      </c>
      <c r="FE32" s="1372">
        <v>783.78743999999995</v>
      </c>
      <c r="FF32" s="1390">
        <v>11776.136960000002</v>
      </c>
      <c r="FG32" s="1372">
        <v>783.78743999999995</v>
      </c>
      <c r="FH32" s="1390">
        <v>11777.467259999999</v>
      </c>
      <c r="FI32" s="1372">
        <v>785.16907000000003</v>
      </c>
      <c r="FJ32" s="1635">
        <v>11867.912039999999</v>
      </c>
      <c r="FK32" s="1636">
        <v>2024.9900700000001</v>
      </c>
      <c r="FL32" s="1390">
        <v>12943.339759999999</v>
      </c>
      <c r="FM32" s="1372">
        <v>3494.7404900000001</v>
      </c>
      <c r="FN32" s="1390">
        <v>6646.6128900000003</v>
      </c>
      <c r="FO32" s="1372">
        <v>817.40772000000004</v>
      </c>
      <c r="FP32" s="1390">
        <v>6721.9436599999999</v>
      </c>
      <c r="FQ32" s="1372">
        <v>1235.0835400000001</v>
      </c>
      <c r="FR32" s="1373" t="s">
        <v>3282</v>
      </c>
    </row>
    <row r="33" spans="1:174" s="458" customFormat="1" ht="22.5" customHeight="1">
      <c r="A33" s="1374" t="s">
        <v>2335</v>
      </c>
      <c r="B33" s="1371">
        <v>349.78615000000002</v>
      </c>
      <c r="C33" s="1371">
        <v>0</v>
      </c>
      <c r="D33" s="1371">
        <v>421.29782</v>
      </c>
      <c r="E33" s="1371">
        <v>0</v>
      </c>
      <c r="F33" s="1371">
        <v>419.26282000000003</v>
      </c>
      <c r="G33" s="1371">
        <v>0</v>
      </c>
      <c r="H33" s="1371">
        <v>432.47982000000002</v>
      </c>
      <c r="I33" s="1371">
        <v>0</v>
      </c>
      <c r="J33" s="1371">
        <v>514.13715000000002</v>
      </c>
      <c r="K33" s="1371">
        <v>1719.22</v>
      </c>
      <c r="L33" s="1371">
        <v>657.18163000000004</v>
      </c>
      <c r="M33" s="1371">
        <v>1719.22</v>
      </c>
      <c r="N33" s="1371">
        <v>655.85163</v>
      </c>
      <c r="O33" s="1371">
        <v>1719.22</v>
      </c>
      <c r="P33" s="1371">
        <v>704.74363000000005</v>
      </c>
      <c r="Q33" s="1371">
        <v>1719.22</v>
      </c>
      <c r="R33" s="1371">
        <v>717.63063</v>
      </c>
      <c r="S33" s="1371">
        <v>1719.22</v>
      </c>
      <c r="T33" s="1371">
        <v>1086.8759</v>
      </c>
      <c r="U33" s="1371">
        <v>1719.22</v>
      </c>
      <c r="V33" s="1371">
        <v>1293.81023</v>
      </c>
      <c r="W33" s="1371">
        <v>1719.22</v>
      </c>
      <c r="X33" s="1371">
        <v>1096.8889199999999</v>
      </c>
      <c r="Y33" s="1371">
        <v>1719.22</v>
      </c>
      <c r="Z33" s="1371">
        <v>47.001370000000001</v>
      </c>
      <c r="AA33" s="1371">
        <v>0</v>
      </c>
      <c r="AB33" s="1371">
        <v>53.995609999999999</v>
      </c>
      <c r="AC33" s="1371">
        <v>0</v>
      </c>
      <c r="AD33" s="1371">
        <v>57.461010000000002</v>
      </c>
      <c r="AE33" s="1371">
        <v>0</v>
      </c>
      <c r="AF33" s="1371">
        <v>62.604169999999996</v>
      </c>
      <c r="AG33" s="1371">
        <v>0</v>
      </c>
      <c r="AH33" s="1371">
        <v>63.570900000000002</v>
      </c>
      <c r="AI33" s="1371">
        <v>0</v>
      </c>
      <c r="AJ33" s="1371">
        <v>73.978289999999987</v>
      </c>
      <c r="AK33" s="1371">
        <v>0</v>
      </c>
      <c r="AL33" s="1371">
        <v>259.44099999999997</v>
      </c>
      <c r="AM33" s="1371">
        <v>0</v>
      </c>
      <c r="AN33" s="1371">
        <v>262.82402000000002</v>
      </c>
      <c r="AO33" s="1371">
        <v>0</v>
      </c>
      <c r="AP33" s="1371">
        <v>645.34637999999995</v>
      </c>
      <c r="AQ33" s="1371">
        <v>0</v>
      </c>
      <c r="AR33" s="1371">
        <v>657.55461000000003</v>
      </c>
      <c r="AS33" s="1371">
        <v>0</v>
      </c>
      <c r="AT33" s="1371">
        <v>665.2585600000001</v>
      </c>
      <c r="AU33" s="1371">
        <v>0</v>
      </c>
      <c r="AV33" s="1371">
        <v>673.25146999999993</v>
      </c>
      <c r="AW33" s="1371">
        <v>0</v>
      </c>
      <c r="AX33" s="1371">
        <v>49.121480000000005</v>
      </c>
      <c r="AY33" s="1371">
        <v>0</v>
      </c>
      <c r="AZ33" s="1371">
        <v>54.246259999999999</v>
      </c>
      <c r="BA33" s="1371">
        <v>0</v>
      </c>
      <c r="BB33" s="1371">
        <v>58.614179999999998</v>
      </c>
      <c r="BC33" s="1371">
        <v>0</v>
      </c>
      <c r="BD33" s="1371">
        <v>64.496430000000004</v>
      </c>
      <c r="BE33" s="1371">
        <v>0</v>
      </c>
      <c r="BF33" s="1371">
        <v>131.82868999999999</v>
      </c>
      <c r="BG33" s="1371">
        <v>0</v>
      </c>
      <c r="BH33" s="1371">
        <v>152.87327999999999</v>
      </c>
      <c r="BI33" s="1371">
        <v>0</v>
      </c>
      <c r="BJ33" s="1371">
        <v>158.19068999999999</v>
      </c>
      <c r="BK33" s="1371">
        <v>0</v>
      </c>
      <c r="BL33" s="1371">
        <v>271.68840999999998</v>
      </c>
      <c r="BM33" s="1371">
        <v>0</v>
      </c>
      <c r="BN33" s="1371">
        <v>277.93254999999999</v>
      </c>
      <c r="BO33" s="1371">
        <v>0</v>
      </c>
      <c r="BP33" s="1371">
        <v>279.98928999999998</v>
      </c>
      <c r="BQ33" s="1371">
        <v>0</v>
      </c>
      <c r="BR33" s="1371">
        <v>286.00727000000001</v>
      </c>
      <c r="BS33" s="1371">
        <v>0</v>
      </c>
      <c r="BT33" s="1371">
        <v>285.37624</v>
      </c>
      <c r="BU33" s="1371">
        <v>0</v>
      </c>
      <c r="BV33" s="1371">
        <v>3.6664699999999999</v>
      </c>
      <c r="BW33" s="1371">
        <v>0</v>
      </c>
      <c r="BX33" s="1371">
        <v>47.676960000000001</v>
      </c>
      <c r="BY33" s="1371">
        <v>0</v>
      </c>
      <c r="BZ33" s="1371">
        <v>138.01726000000002</v>
      </c>
      <c r="CA33" s="1371">
        <v>0</v>
      </c>
      <c r="CB33" s="1371">
        <v>141.82848000000001</v>
      </c>
      <c r="CC33" s="1371">
        <v>0</v>
      </c>
      <c r="CD33" s="1371">
        <v>156.65725</v>
      </c>
      <c r="CE33" s="1371">
        <v>0</v>
      </c>
      <c r="CF33" s="1371">
        <v>172.31475</v>
      </c>
      <c r="CG33" s="1371">
        <v>0</v>
      </c>
      <c r="CH33" s="1371">
        <v>150.39344</v>
      </c>
      <c r="CI33" s="1371">
        <v>0</v>
      </c>
      <c r="CJ33" s="1371">
        <v>213.39896999999999</v>
      </c>
      <c r="CK33" s="1371">
        <v>0</v>
      </c>
      <c r="CL33" s="1371">
        <v>223.33305999999999</v>
      </c>
      <c r="CM33" s="1371">
        <v>0</v>
      </c>
      <c r="CN33" s="1371">
        <v>343.62844999999999</v>
      </c>
      <c r="CO33" s="1371">
        <v>0</v>
      </c>
      <c r="CP33" s="1371">
        <v>432.89949999999999</v>
      </c>
      <c r="CQ33" s="1371">
        <v>0</v>
      </c>
      <c r="CR33" s="1371">
        <v>437.51801</v>
      </c>
      <c r="CS33" s="1371">
        <v>0</v>
      </c>
      <c r="CT33" s="1371">
        <v>6.0783800000000001</v>
      </c>
      <c r="CU33" s="1371">
        <v>0</v>
      </c>
      <c r="CV33" s="1371">
        <v>54.118180000000002</v>
      </c>
      <c r="CW33" s="1371">
        <v>0</v>
      </c>
      <c r="CX33" s="1371">
        <v>55.19502</v>
      </c>
      <c r="CY33" s="1371">
        <v>0</v>
      </c>
      <c r="CZ33" s="1371">
        <v>56.359449999999995</v>
      </c>
      <c r="DA33" s="1371">
        <v>0</v>
      </c>
      <c r="DB33" s="1371">
        <v>57.199570000000001</v>
      </c>
      <c r="DC33" s="1371">
        <v>0</v>
      </c>
      <c r="DD33" s="1371">
        <v>58.564269999999993</v>
      </c>
      <c r="DE33" s="1371">
        <v>0</v>
      </c>
      <c r="DF33" s="1371">
        <v>59.497999999999998</v>
      </c>
      <c r="DG33" s="1371">
        <v>0</v>
      </c>
      <c r="DH33" s="1371">
        <v>60.219919999999995</v>
      </c>
      <c r="DI33" s="1371">
        <v>0</v>
      </c>
      <c r="DJ33" s="1371">
        <v>188.17137</v>
      </c>
      <c r="DK33" s="1371">
        <v>0</v>
      </c>
      <c r="DL33" s="1371">
        <v>188.83923999999999</v>
      </c>
      <c r="DM33" s="1371">
        <v>0</v>
      </c>
      <c r="DN33" s="1371">
        <v>189.56888000000001</v>
      </c>
      <c r="DO33" s="1371">
        <v>0</v>
      </c>
      <c r="DP33" s="1371">
        <v>188.70277999999999</v>
      </c>
      <c r="DQ33" s="1386">
        <v>0</v>
      </c>
      <c r="DR33" s="1397">
        <v>0.76361000000000001</v>
      </c>
      <c r="DS33" s="1372">
        <v>0</v>
      </c>
      <c r="DT33" s="1390">
        <v>99.276489999999995</v>
      </c>
      <c r="DU33" s="1386">
        <v>0</v>
      </c>
      <c r="DV33" s="1397">
        <v>100.20121</v>
      </c>
      <c r="DW33" s="1372">
        <v>0</v>
      </c>
      <c r="DX33" s="1390">
        <v>101.04737</v>
      </c>
      <c r="DY33" s="1386">
        <v>0</v>
      </c>
      <c r="DZ33" s="1397">
        <v>101.79643</v>
      </c>
      <c r="EA33" s="1372">
        <v>0</v>
      </c>
      <c r="EB33" s="1390">
        <v>102.44020999999999</v>
      </c>
      <c r="EC33" s="1372">
        <v>0</v>
      </c>
      <c r="ED33" s="1397">
        <v>102.44020999999999</v>
      </c>
      <c r="EE33" s="1372">
        <v>0</v>
      </c>
      <c r="EF33" s="1397">
        <v>102.44020999999999</v>
      </c>
      <c r="EG33" s="1372">
        <v>0</v>
      </c>
      <c r="EH33" s="1390">
        <v>261.42243000000002</v>
      </c>
      <c r="EI33" s="1372">
        <v>0</v>
      </c>
      <c r="EJ33" s="1390">
        <v>261.42243000000002</v>
      </c>
      <c r="EK33" s="1372">
        <v>0</v>
      </c>
      <c r="EL33" s="1390">
        <v>261.42243000000002</v>
      </c>
      <c r="EM33" s="1372">
        <v>0</v>
      </c>
      <c r="EN33" s="1390">
        <v>261.42243000000002</v>
      </c>
      <c r="EO33" s="1372">
        <v>0</v>
      </c>
      <c r="EP33" s="1390">
        <v>0</v>
      </c>
      <c r="EQ33" s="1372">
        <v>0</v>
      </c>
      <c r="ER33" s="1390">
        <v>87.425989999999999</v>
      </c>
      <c r="ES33" s="1372">
        <v>0</v>
      </c>
      <c r="ET33" s="1635">
        <v>87.425989999999999</v>
      </c>
      <c r="EU33" s="1636">
        <v>0</v>
      </c>
      <c r="EV33" s="1390">
        <v>87.425989999999999</v>
      </c>
      <c r="EW33" s="1372">
        <v>0</v>
      </c>
      <c r="EX33" s="1390">
        <v>87.425989999999999</v>
      </c>
      <c r="EY33" s="1372">
        <v>0</v>
      </c>
      <c r="EZ33" s="1390">
        <v>87.425989999999999</v>
      </c>
      <c r="FA33" s="1372">
        <v>0</v>
      </c>
      <c r="FB33" s="1390">
        <v>87.425989999999999</v>
      </c>
      <c r="FC33" s="1372">
        <v>0</v>
      </c>
      <c r="FD33" s="1390">
        <v>255.21241000000001</v>
      </c>
      <c r="FE33" s="1372">
        <v>0</v>
      </c>
      <c r="FF33" s="1390">
        <v>255.21241000000001</v>
      </c>
      <c r="FG33" s="1372">
        <v>0</v>
      </c>
      <c r="FH33" s="1390">
        <v>259.32819999999998</v>
      </c>
      <c r="FI33" s="1372">
        <v>0</v>
      </c>
      <c r="FJ33" s="1635">
        <v>259.32819999999998</v>
      </c>
      <c r="FK33" s="1636">
        <v>0</v>
      </c>
      <c r="FL33" s="1390">
        <v>259.32820000000004</v>
      </c>
      <c r="FM33" s="1372">
        <v>0</v>
      </c>
      <c r="FN33" s="1390">
        <v>0</v>
      </c>
      <c r="FO33" s="1372">
        <v>0</v>
      </c>
      <c r="FP33" s="1390">
        <v>82.429860000000005</v>
      </c>
      <c r="FQ33" s="1372">
        <v>0</v>
      </c>
      <c r="FR33" s="1424" t="s">
        <v>3283</v>
      </c>
    </row>
    <row r="34" spans="1:174" s="458" customFormat="1" ht="22.5" customHeight="1">
      <c r="A34" s="1370" t="s">
        <v>2334</v>
      </c>
      <c r="B34" s="1371">
        <v>349.78615000000002</v>
      </c>
      <c r="C34" s="1371">
        <v>0</v>
      </c>
      <c r="D34" s="1371">
        <v>421.29782</v>
      </c>
      <c r="E34" s="1371">
        <v>0</v>
      </c>
      <c r="F34" s="1371">
        <v>419.26282000000003</v>
      </c>
      <c r="G34" s="1371">
        <v>0</v>
      </c>
      <c r="H34" s="1371">
        <v>432.47982000000002</v>
      </c>
      <c r="I34" s="1371">
        <v>0</v>
      </c>
      <c r="J34" s="1371">
        <v>514.13715000000002</v>
      </c>
      <c r="K34" s="1371">
        <v>1719.22</v>
      </c>
      <c r="L34" s="1371">
        <v>655.64662999999996</v>
      </c>
      <c r="M34" s="1371">
        <v>1719.22</v>
      </c>
      <c r="N34" s="1371">
        <v>655.85163</v>
      </c>
      <c r="O34" s="1371">
        <v>1719.22</v>
      </c>
      <c r="P34" s="1371">
        <v>655.85163</v>
      </c>
      <c r="Q34" s="1371">
        <v>1719.22</v>
      </c>
      <c r="R34" s="1371">
        <v>668.73863000000006</v>
      </c>
      <c r="S34" s="1371">
        <v>1719.22</v>
      </c>
      <c r="T34" s="1371">
        <v>1037.9838999999999</v>
      </c>
      <c r="U34" s="1371">
        <v>1719.22</v>
      </c>
      <c r="V34" s="1371">
        <v>1244.91823</v>
      </c>
      <c r="W34" s="1371">
        <v>1719.22</v>
      </c>
      <c r="X34" s="1371">
        <v>1047.99692</v>
      </c>
      <c r="Y34" s="1371">
        <v>1719.22</v>
      </c>
      <c r="Z34" s="1371">
        <v>47.001370000000001</v>
      </c>
      <c r="AA34" s="1371">
        <v>0</v>
      </c>
      <c r="AB34" s="1371">
        <v>53.995609999999999</v>
      </c>
      <c r="AC34" s="1371">
        <v>0</v>
      </c>
      <c r="AD34" s="1371">
        <v>57.461010000000002</v>
      </c>
      <c r="AE34" s="1371">
        <v>0</v>
      </c>
      <c r="AF34" s="1371">
        <v>62.604169999999996</v>
      </c>
      <c r="AG34" s="1371">
        <v>0</v>
      </c>
      <c r="AH34" s="1371">
        <v>63.570900000000002</v>
      </c>
      <c r="AI34" s="1371">
        <v>0</v>
      </c>
      <c r="AJ34" s="1371">
        <v>73.978289999999987</v>
      </c>
      <c r="AK34" s="1371">
        <v>0</v>
      </c>
      <c r="AL34" s="1371">
        <v>213.11799999999999</v>
      </c>
      <c r="AM34" s="1371">
        <v>0</v>
      </c>
      <c r="AN34" s="1371">
        <v>216.50101999999998</v>
      </c>
      <c r="AO34" s="1371">
        <v>0</v>
      </c>
      <c r="AP34" s="1371">
        <v>599.03337999999997</v>
      </c>
      <c r="AQ34" s="1371">
        <v>0</v>
      </c>
      <c r="AR34" s="1371">
        <v>611.25161000000003</v>
      </c>
      <c r="AS34" s="1371">
        <v>0</v>
      </c>
      <c r="AT34" s="1371">
        <v>618.93556000000001</v>
      </c>
      <c r="AU34" s="1371">
        <v>0</v>
      </c>
      <c r="AV34" s="1371">
        <v>626.92846999999995</v>
      </c>
      <c r="AW34" s="1371">
        <v>0</v>
      </c>
      <c r="AX34" s="1371">
        <v>49.121480000000005</v>
      </c>
      <c r="AY34" s="1371">
        <v>0</v>
      </c>
      <c r="AZ34" s="1371">
        <v>54.246259999999999</v>
      </c>
      <c r="BA34" s="1371">
        <v>0</v>
      </c>
      <c r="BB34" s="1371">
        <v>58.614179999999998</v>
      </c>
      <c r="BC34" s="1371">
        <v>0</v>
      </c>
      <c r="BD34" s="1371">
        <v>64.496430000000004</v>
      </c>
      <c r="BE34" s="1371">
        <v>0</v>
      </c>
      <c r="BF34" s="1371">
        <v>131.82868999999999</v>
      </c>
      <c r="BG34" s="1371">
        <v>0</v>
      </c>
      <c r="BH34" s="1371">
        <v>152.87327999999999</v>
      </c>
      <c r="BI34" s="1371">
        <v>0</v>
      </c>
      <c r="BJ34" s="1371">
        <v>158.19068999999999</v>
      </c>
      <c r="BK34" s="1371">
        <v>0</v>
      </c>
      <c r="BL34" s="1371">
        <v>271.68840999999998</v>
      </c>
      <c r="BM34" s="1371">
        <v>0</v>
      </c>
      <c r="BN34" s="1371">
        <v>277.93254999999999</v>
      </c>
      <c r="BO34" s="1371">
        <v>0</v>
      </c>
      <c r="BP34" s="1371">
        <v>279.98928999999998</v>
      </c>
      <c r="BQ34" s="1371">
        <v>0</v>
      </c>
      <c r="BR34" s="1371">
        <v>286.00727000000001</v>
      </c>
      <c r="BS34" s="1371">
        <v>0</v>
      </c>
      <c r="BT34" s="1371">
        <v>285.37624</v>
      </c>
      <c r="BU34" s="1371">
        <v>0</v>
      </c>
      <c r="BV34" s="1371">
        <v>3.6664699999999999</v>
      </c>
      <c r="BW34" s="1371">
        <v>0</v>
      </c>
      <c r="BX34" s="1371">
        <v>47.676960000000001</v>
      </c>
      <c r="BY34" s="1371">
        <v>0</v>
      </c>
      <c r="BZ34" s="1371">
        <v>138.01726000000002</v>
      </c>
      <c r="CA34" s="1371">
        <v>0</v>
      </c>
      <c r="CB34" s="1371">
        <v>141.82848000000001</v>
      </c>
      <c r="CC34" s="1371">
        <v>0</v>
      </c>
      <c r="CD34" s="1371">
        <v>156.65725</v>
      </c>
      <c r="CE34" s="1371">
        <v>0</v>
      </c>
      <c r="CF34" s="1371">
        <v>172.31475</v>
      </c>
      <c r="CG34" s="1371">
        <v>0</v>
      </c>
      <c r="CH34" s="1371">
        <v>150.39344</v>
      </c>
      <c r="CI34" s="1371">
        <v>0</v>
      </c>
      <c r="CJ34" s="1371">
        <v>213.39896999999999</v>
      </c>
      <c r="CK34" s="1371">
        <v>0</v>
      </c>
      <c r="CL34" s="1371">
        <v>223.33305999999999</v>
      </c>
      <c r="CM34" s="1371">
        <v>0</v>
      </c>
      <c r="CN34" s="1371">
        <v>343.62844999999999</v>
      </c>
      <c r="CO34" s="1371">
        <v>0</v>
      </c>
      <c r="CP34" s="1371">
        <v>432.89949999999999</v>
      </c>
      <c r="CQ34" s="1371">
        <v>0</v>
      </c>
      <c r="CR34" s="1371">
        <v>437.51801</v>
      </c>
      <c r="CS34" s="1371">
        <v>0</v>
      </c>
      <c r="CT34" s="1371">
        <v>6.0783800000000001</v>
      </c>
      <c r="CU34" s="1371">
        <v>0</v>
      </c>
      <c r="CV34" s="1371">
        <v>54.118180000000002</v>
      </c>
      <c r="CW34" s="1371">
        <v>0</v>
      </c>
      <c r="CX34" s="1371">
        <v>55.19502</v>
      </c>
      <c r="CY34" s="1371">
        <v>0</v>
      </c>
      <c r="CZ34" s="1371">
        <v>56.359449999999995</v>
      </c>
      <c r="DA34" s="1371">
        <v>0</v>
      </c>
      <c r="DB34" s="1371">
        <v>57.199570000000001</v>
      </c>
      <c r="DC34" s="1371">
        <v>0</v>
      </c>
      <c r="DD34" s="1371">
        <v>58.564269999999993</v>
      </c>
      <c r="DE34" s="1371">
        <v>0</v>
      </c>
      <c r="DF34" s="1371">
        <v>59.497999999999998</v>
      </c>
      <c r="DG34" s="1371">
        <v>0</v>
      </c>
      <c r="DH34" s="1371">
        <v>60.219919999999995</v>
      </c>
      <c r="DI34" s="1371">
        <v>0</v>
      </c>
      <c r="DJ34" s="1371">
        <v>188.17137</v>
      </c>
      <c r="DK34" s="1371">
        <v>0</v>
      </c>
      <c r="DL34" s="1371">
        <v>188.83923999999999</v>
      </c>
      <c r="DM34" s="1371">
        <v>0</v>
      </c>
      <c r="DN34" s="1371">
        <v>189.56888000000001</v>
      </c>
      <c r="DO34" s="1371">
        <v>0</v>
      </c>
      <c r="DP34" s="1371">
        <v>188.70277999999999</v>
      </c>
      <c r="DQ34" s="1386">
        <v>0</v>
      </c>
      <c r="DR34" s="1397">
        <v>0.76361000000000001</v>
      </c>
      <c r="DS34" s="1372">
        <v>0</v>
      </c>
      <c r="DT34" s="1390">
        <v>99.276489999999995</v>
      </c>
      <c r="DU34" s="1386">
        <v>0</v>
      </c>
      <c r="DV34" s="1397">
        <v>100.20121</v>
      </c>
      <c r="DW34" s="1372">
        <v>0</v>
      </c>
      <c r="DX34" s="1390">
        <v>101.04737</v>
      </c>
      <c r="DY34" s="1386">
        <v>0</v>
      </c>
      <c r="DZ34" s="1397">
        <v>101.79643</v>
      </c>
      <c r="EA34" s="1372">
        <v>0</v>
      </c>
      <c r="EB34" s="1390">
        <v>102.44020999999999</v>
      </c>
      <c r="EC34" s="1372">
        <v>0</v>
      </c>
      <c r="ED34" s="1397">
        <v>102.44020999999999</v>
      </c>
      <c r="EE34" s="1372">
        <v>0</v>
      </c>
      <c r="EF34" s="1397">
        <v>102.44020999999999</v>
      </c>
      <c r="EG34" s="1372">
        <v>0</v>
      </c>
      <c r="EH34" s="1390">
        <v>261.42243000000002</v>
      </c>
      <c r="EI34" s="1372">
        <v>0</v>
      </c>
      <c r="EJ34" s="1390">
        <v>261.42243000000002</v>
      </c>
      <c r="EK34" s="1372">
        <v>0</v>
      </c>
      <c r="EL34" s="1390">
        <v>261.42243000000002</v>
      </c>
      <c r="EM34" s="1372">
        <v>0</v>
      </c>
      <c r="EN34" s="1390">
        <v>261.42243000000002</v>
      </c>
      <c r="EO34" s="1372">
        <v>0</v>
      </c>
      <c r="EP34" s="1390">
        <v>0</v>
      </c>
      <c r="EQ34" s="1372">
        <v>0</v>
      </c>
      <c r="ER34" s="1390">
        <v>87.425989999999999</v>
      </c>
      <c r="ES34" s="1372">
        <v>0</v>
      </c>
      <c r="ET34" s="1635">
        <v>87.425989999999999</v>
      </c>
      <c r="EU34" s="1636">
        <v>0</v>
      </c>
      <c r="EV34" s="1390">
        <v>87.425989999999999</v>
      </c>
      <c r="EW34" s="1372">
        <v>0</v>
      </c>
      <c r="EX34" s="1390">
        <v>87.425989999999999</v>
      </c>
      <c r="EY34" s="1372">
        <v>0</v>
      </c>
      <c r="EZ34" s="1390">
        <v>87.425989999999999</v>
      </c>
      <c r="FA34" s="1372">
        <v>0</v>
      </c>
      <c r="FB34" s="1390">
        <v>87.425989999999999</v>
      </c>
      <c r="FC34" s="1372">
        <v>0</v>
      </c>
      <c r="FD34" s="1390">
        <v>255.21241000000001</v>
      </c>
      <c r="FE34" s="1372">
        <v>0</v>
      </c>
      <c r="FF34" s="1390">
        <v>255.21241000000001</v>
      </c>
      <c r="FG34" s="1372">
        <v>0</v>
      </c>
      <c r="FH34" s="1390">
        <v>259.32819999999998</v>
      </c>
      <c r="FI34" s="1372">
        <v>0</v>
      </c>
      <c r="FJ34" s="1635">
        <v>259.32819999999998</v>
      </c>
      <c r="FK34" s="1636">
        <v>0</v>
      </c>
      <c r="FL34" s="1390">
        <v>259.32820000000004</v>
      </c>
      <c r="FM34" s="1372">
        <v>0</v>
      </c>
      <c r="FN34" s="1390">
        <v>0</v>
      </c>
      <c r="FO34" s="1372">
        <v>0</v>
      </c>
      <c r="FP34" s="1390">
        <v>82.429860000000005</v>
      </c>
      <c r="FQ34" s="1372">
        <v>0</v>
      </c>
      <c r="FR34" s="1426" t="s">
        <v>3516</v>
      </c>
    </row>
    <row r="35" spans="1:174" s="458" customFormat="1" ht="22.5" customHeight="1">
      <c r="A35" s="1370" t="s">
        <v>2333</v>
      </c>
      <c r="B35" s="1371">
        <v>0</v>
      </c>
      <c r="C35" s="1371">
        <v>0</v>
      </c>
      <c r="D35" s="1371">
        <v>0</v>
      </c>
      <c r="E35" s="1371">
        <v>0</v>
      </c>
      <c r="F35" s="1371">
        <v>0</v>
      </c>
      <c r="G35" s="1371">
        <v>0</v>
      </c>
      <c r="H35" s="1371">
        <v>0</v>
      </c>
      <c r="I35" s="1371">
        <v>0</v>
      </c>
      <c r="J35" s="1371">
        <v>0</v>
      </c>
      <c r="K35" s="1371">
        <v>0</v>
      </c>
      <c r="L35" s="1371">
        <v>1.5349999999999999</v>
      </c>
      <c r="M35" s="1371">
        <v>0</v>
      </c>
      <c r="N35" s="1371">
        <v>0</v>
      </c>
      <c r="O35" s="1371">
        <v>0</v>
      </c>
      <c r="P35" s="1371">
        <v>48.892000000000003</v>
      </c>
      <c r="Q35" s="1371">
        <v>0</v>
      </c>
      <c r="R35" s="1371">
        <v>48.892000000000003</v>
      </c>
      <c r="S35" s="1371">
        <v>0</v>
      </c>
      <c r="T35" s="1371">
        <v>48.892000000000003</v>
      </c>
      <c r="U35" s="1371">
        <v>0</v>
      </c>
      <c r="V35" s="1371">
        <v>48.892000000000003</v>
      </c>
      <c r="W35" s="1371">
        <v>0</v>
      </c>
      <c r="X35" s="1371">
        <v>48.892000000000003</v>
      </c>
      <c r="Y35" s="1371">
        <v>0</v>
      </c>
      <c r="Z35" s="1371"/>
      <c r="AA35" s="1371"/>
      <c r="AB35" s="1371">
        <v>0</v>
      </c>
      <c r="AC35" s="1371">
        <v>0</v>
      </c>
      <c r="AD35" s="1371">
        <v>0</v>
      </c>
      <c r="AE35" s="1371">
        <v>0</v>
      </c>
      <c r="AF35" s="1371">
        <v>0</v>
      </c>
      <c r="AG35" s="1371">
        <v>0</v>
      </c>
      <c r="AH35" s="1371">
        <v>0</v>
      </c>
      <c r="AI35" s="1371">
        <v>0</v>
      </c>
      <c r="AJ35" s="1371">
        <v>0</v>
      </c>
      <c r="AK35" s="1371">
        <v>0</v>
      </c>
      <c r="AL35" s="1371">
        <v>46.323</v>
      </c>
      <c r="AM35" s="1371">
        <v>0</v>
      </c>
      <c r="AN35" s="1371">
        <v>46.323</v>
      </c>
      <c r="AO35" s="1371">
        <v>0</v>
      </c>
      <c r="AP35" s="1371">
        <v>46.323</v>
      </c>
      <c r="AQ35" s="1371">
        <v>0</v>
      </c>
      <c r="AR35" s="1371">
        <v>46.323</v>
      </c>
      <c r="AS35" s="1371">
        <v>0</v>
      </c>
      <c r="AT35" s="1371">
        <v>46.323</v>
      </c>
      <c r="AU35" s="1371">
        <v>0</v>
      </c>
      <c r="AV35" s="1371">
        <v>46.323</v>
      </c>
      <c r="AW35" s="1371">
        <v>0</v>
      </c>
      <c r="AX35" s="1371">
        <v>0</v>
      </c>
      <c r="AY35" s="1371">
        <v>0</v>
      </c>
      <c r="AZ35" s="1371">
        <v>0</v>
      </c>
      <c r="BA35" s="1371">
        <v>0</v>
      </c>
      <c r="BB35" s="1371">
        <v>0</v>
      </c>
      <c r="BC35" s="1371">
        <v>0</v>
      </c>
      <c r="BD35" s="1371">
        <v>0</v>
      </c>
      <c r="BE35" s="1371">
        <v>0</v>
      </c>
      <c r="BF35" s="1371">
        <v>0</v>
      </c>
      <c r="BG35" s="1371">
        <v>0</v>
      </c>
      <c r="BH35" s="1371">
        <v>0</v>
      </c>
      <c r="BI35" s="1371">
        <v>0</v>
      </c>
      <c r="BJ35" s="1371">
        <v>0</v>
      </c>
      <c r="BK35" s="1371">
        <v>0</v>
      </c>
      <c r="BL35" s="1371">
        <v>0</v>
      </c>
      <c r="BM35" s="1371">
        <v>0</v>
      </c>
      <c r="BN35" s="1371">
        <v>0</v>
      </c>
      <c r="BO35" s="1371">
        <v>0</v>
      </c>
      <c r="BP35" s="1371">
        <v>0</v>
      </c>
      <c r="BQ35" s="1371">
        <v>0</v>
      </c>
      <c r="BR35" s="1371">
        <v>0</v>
      </c>
      <c r="BS35" s="1371">
        <v>0</v>
      </c>
      <c r="BT35" s="1371">
        <v>0</v>
      </c>
      <c r="BU35" s="1371">
        <v>0</v>
      </c>
      <c r="BV35" s="1371">
        <v>0</v>
      </c>
      <c r="BW35" s="1371">
        <v>0</v>
      </c>
      <c r="BX35" s="1371">
        <v>0</v>
      </c>
      <c r="BY35" s="1371">
        <v>0</v>
      </c>
      <c r="BZ35" s="1371">
        <v>0</v>
      </c>
      <c r="CA35" s="1371">
        <v>0</v>
      </c>
      <c r="CB35" s="1371">
        <v>0</v>
      </c>
      <c r="CC35" s="1371">
        <v>0</v>
      </c>
      <c r="CD35" s="1371">
        <v>0</v>
      </c>
      <c r="CE35" s="1371">
        <v>0</v>
      </c>
      <c r="CF35" s="1371">
        <v>0</v>
      </c>
      <c r="CG35" s="1371">
        <v>0</v>
      </c>
      <c r="CH35" s="1371">
        <v>0</v>
      </c>
      <c r="CI35" s="1371">
        <v>0</v>
      </c>
      <c r="CJ35" s="1371">
        <v>0</v>
      </c>
      <c r="CK35" s="1371">
        <v>0</v>
      </c>
      <c r="CL35" s="1371">
        <v>0</v>
      </c>
      <c r="CM35" s="1371">
        <v>0</v>
      </c>
      <c r="CN35" s="1371">
        <v>0</v>
      </c>
      <c r="CO35" s="1371">
        <v>0</v>
      </c>
      <c r="CP35" s="1371">
        <v>0</v>
      </c>
      <c r="CQ35" s="1371">
        <v>0</v>
      </c>
      <c r="CR35" s="1371">
        <v>0</v>
      </c>
      <c r="CS35" s="1371">
        <v>0</v>
      </c>
      <c r="CT35" s="1371">
        <v>0</v>
      </c>
      <c r="CU35" s="1371">
        <v>0</v>
      </c>
      <c r="CV35" s="1371">
        <v>0</v>
      </c>
      <c r="CW35" s="1371">
        <v>0</v>
      </c>
      <c r="CX35" s="1371">
        <v>0</v>
      </c>
      <c r="CY35" s="1371">
        <v>0</v>
      </c>
      <c r="CZ35" s="1371">
        <v>0</v>
      </c>
      <c r="DA35" s="1371">
        <v>0</v>
      </c>
      <c r="DB35" s="1371">
        <v>0</v>
      </c>
      <c r="DC35" s="1371">
        <v>0</v>
      </c>
      <c r="DD35" s="1371">
        <v>0</v>
      </c>
      <c r="DE35" s="1371">
        <v>0</v>
      </c>
      <c r="DF35" s="1371">
        <v>0</v>
      </c>
      <c r="DG35" s="1371">
        <v>0</v>
      </c>
      <c r="DH35" s="1371">
        <v>0</v>
      </c>
      <c r="DI35" s="1371">
        <v>0</v>
      </c>
      <c r="DJ35" s="1371">
        <v>0</v>
      </c>
      <c r="DK35" s="1371">
        <v>0</v>
      </c>
      <c r="DL35" s="1371">
        <v>0</v>
      </c>
      <c r="DM35" s="1371">
        <v>0</v>
      </c>
      <c r="DN35" s="1371">
        <v>0</v>
      </c>
      <c r="DO35" s="1371">
        <v>0</v>
      </c>
      <c r="DP35" s="1371">
        <v>0</v>
      </c>
      <c r="DQ35" s="1386">
        <v>0</v>
      </c>
      <c r="DR35" s="1397">
        <v>0</v>
      </c>
      <c r="DS35" s="1372">
        <v>0</v>
      </c>
      <c r="DT35" s="1390">
        <v>0</v>
      </c>
      <c r="DU35" s="1386">
        <v>0</v>
      </c>
      <c r="DV35" s="1397">
        <v>0</v>
      </c>
      <c r="DW35" s="1372">
        <v>0</v>
      </c>
      <c r="DX35" s="1390">
        <v>0</v>
      </c>
      <c r="DY35" s="1386">
        <v>0</v>
      </c>
      <c r="DZ35" s="1397">
        <v>0</v>
      </c>
      <c r="EA35" s="1372">
        <v>0</v>
      </c>
      <c r="EB35" s="1390">
        <v>0</v>
      </c>
      <c r="EC35" s="1372">
        <v>0</v>
      </c>
      <c r="ED35" s="1397">
        <v>0</v>
      </c>
      <c r="EE35" s="1372">
        <v>0</v>
      </c>
      <c r="EF35" s="1397">
        <v>0</v>
      </c>
      <c r="EG35" s="1372">
        <v>0</v>
      </c>
      <c r="EH35" s="1390">
        <v>0</v>
      </c>
      <c r="EI35" s="1372">
        <v>0</v>
      </c>
      <c r="EJ35" s="1390">
        <v>0</v>
      </c>
      <c r="EK35" s="1372">
        <v>0</v>
      </c>
      <c r="EL35" s="1390">
        <v>0</v>
      </c>
      <c r="EM35" s="1372">
        <v>0</v>
      </c>
      <c r="EN35" s="1390">
        <v>0</v>
      </c>
      <c r="EO35" s="1372">
        <v>0</v>
      </c>
      <c r="EP35" s="1390">
        <v>0</v>
      </c>
      <c r="EQ35" s="1372">
        <v>0</v>
      </c>
      <c r="ER35" s="1390">
        <v>0</v>
      </c>
      <c r="ES35" s="1372">
        <v>0</v>
      </c>
      <c r="ET35" s="1635">
        <v>0</v>
      </c>
      <c r="EU35" s="1636">
        <v>0</v>
      </c>
      <c r="EV35" s="1390">
        <v>0</v>
      </c>
      <c r="EW35" s="1372">
        <v>0</v>
      </c>
      <c r="EX35" s="1390">
        <v>0</v>
      </c>
      <c r="EY35" s="1372">
        <v>0</v>
      </c>
      <c r="EZ35" s="1390">
        <v>0</v>
      </c>
      <c r="FA35" s="1372">
        <v>0</v>
      </c>
      <c r="FB35" s="1390">
        <v>0</v>
      </c>
      <c r="FC35" s="1372">
        <v>0</v>
      </c>
      <c r="FD35" s="1390">
        <v>0</v>
      </c>
      <c r="FE35" s="1372">
        <v>0</v>
      </c>
      <c r="FF35" s="1390">
        <v>0</v>
      </c>
      <c r="FG35" s="1372">
        <v>0</v>
      </c>
      <c r="FH35" s="1390">
        <v>0</v>
      </c>
      <c r="FI35" s="1372">
        <v>0</v>
      </c>
      <c r="FJ35" s="1635">
        <v>0</v>
      </c>
      <c r="FK35" s="1636">
        <v>0</v>
      </c>
      <c r="FL35" s="1390">
        <v>0</v>
      </c>
      <c r="FM35" s="1372">
        <v>0</v>
      </c>
      <c r="FN35" s="1390">
        <v>0</v>
      </c>
      <c r="FO35" s="1372">
        <v>0</v>
      </c>
      <c r="FP35" s="1390">
        <v>0</v>
      </c>
      <c r="FQ35" s="1372">
        <v>0</v>
      </c>
      <c r="FR35" s="1426" t="s">
        <v>3284</v>
      </c>
    </row>
    <row r="36" spans="1:174" s="458" customFormat="1" ht="22.5" customHeight="1">
      <c r="A36" s="1366" t="s">
        <v>2332</v>
      </c>
      <c r="B36" s="1367">
        <f t="shared" ref="B36:BM36" si="18">SUM(B37:B45)</f>
        <v>4007.2098199999996</v>
      </c>
      <c r="C36" s="1367">
        <f t="shared" si="18"/>
        <v>310.23735000000005</v>
      </c>
      <c r="D36" s="1367">
        <f t="shared" si="18"/>
        <v>5722.8748050000004</v>
      </c>
      <c r="E36" s="1367">
        <f t="shared" si="18"/>
        <v>339.58450000000005</v>
      </c>
      <c r="F36" s="1367">
        <f t="shared" si="18"/>
        <v>7524.0463599999994</v>
      </c>
      <c r="G36" s="1367">
        <f t="shared" si="18"/>
        <v>376.04867000000002</v>
      </c>
      <c r="H36" s="1367">
        <f t="shared" si="18"/>
        <v>8574.6159699999989</v>
      </c>
      <c r="I36" s="1367">
        <f t="shared" si="18"/>
        <v>1164.9820999999997</v>
      </c>
      <c r="J36" s="1367">
        <f t="shared" si="18"/>
        <v>10330.503639999999</v>
      </c>
      <c r="K36" s="1367">
        <f t="shared" si="18"/>
        <v>1971.8677399999997</v>
      </c>
      <c r="L36" s="1367">
        <f t="shared" si="18"/>
        <v>11956.921200000001</v>
      </c>
      <c r="M36" s="1367">
        <f t="shared" si="18"/>
        <v>2194.9429400000004</v>
      </c>
      <c r="N36" s="1367">
        <f t="shared" si="18"/>
        <v>14962.540290000001</v>
      </c>
      <c r="O36" s="1367">
        <f t="shared" si="18"/>
        <v>2163.2529800000002</v>
      </c>
      <c r="P36" s="1367">
        <f t="shared" si="18"/>
        <v>15813.870880000002</v>
      </c>
      <c r="Q36" s="1367">
        <f t="shared" si="18"/>
        <v>2171.5491599999996</v>
      </c>
      <c r="R36" s="1367">
        <f t="shared" si="18"/>
        <v>16821.232970000001</v>
      </c>
      <c r="S36" s="1367">
        <f t="shared" si="18"/>
        <v>2335.1783799999998</v>
      </c>
      <c r="T36" s="1367">
        <f t="shared" si="18"/>
        <v>17820.821499999998</v>
      </c>
      <c r="U36" s="1367">
        <f t="shared" si="18"/>
        <v>2343.0535399999999</v>
      </c>
      <c r="V36" s="1367">
        <f t="shared" si="18"/>
        <v>18687.587629999995</v>
      </c>
      <c r="W36" s="1367">
        <f t="shared" si="18"/>
        <v>2375.8506899999998</v>
      </c>
      <c r="X36" s="1367">
        <f t="shared" si="18"/>
        <v>19310.327339999996</v>
      </c>
      <c r="Y36" s="1367">
        <f t="shared" si="18"/>
        <v>2789.98605</v>
      </c>
      <c r="Z36" s="1367">
        <f t="shared" si="18"/>
        <v>4102.4111400000002</v>
      </c>
      <c r="AA36" s="1367">
        <f t="shared" si="18"/>
        <v>524.24099000000001</v>
      </c>
      <c r="AB36" s="1367">
        <f t="shared" si="18"/>
        <v>5332.1992199999995</v>
      </c>
      <c r="AC36" s="1367">
        <f t="shared" si="18"/>
        <v>527.69218000000001</v>
      </c>
      <c r="AD36" s="1367">
        <f t="shared" si="18"/>
        <v>8146.5397399999993</v>
      </c>
      <c r="AE36" s="1367">
        <f t="shared" si="18"/>
        <v>537.65356999999995</v>
      </c>
      <c r="AF36" s="1367">
        <f t="shared" si="18"/>
        <v>9141.70478</v>
      </c>
      <c r="AG36" s="1367">
        <f t="shared" si="18"/>
        <v>538.71283000000005</v>
      </c>
      <c r="AH36" s="1367">
        <f t="shared" si="18"/>
        <v>10777.546330000001</v>
      </c>
      <c r="AI36" s="1367">
        <f t="shared" si="18"/>
        <v>1156.6345600000002</v>
      </c>
      <c r="AJ36" s="1367">
        <f t="shared" si="18"/>
        <v>11435.633400000001</v>
      </c>
      <c r="AK36" s="1367">
        <f t="shared" si="18"/>
        <v>1431.9166000000002</v>
      </c>
      <c r="AL36" s="1367">
        <f t="shared" si="18"/>
        <v>17910.739019999997</v>
      </c>
      <c r="AM36" s="1367">
        <f t="shared" si="18"/>
        <v>1824.8860400000001</v>
      </c>
      <c r="AN36" s="1367">
        <f t="shared" si="18"/>
        <v>18336.714989999997</v>
      </c>
      <c r="AO36" s="1367">
        <f t="shared" si="18"/>
        <v>1830.1037700000002</v>
      </c>
      <c r="AP36" s="1367">
        <f t="shared" si="18"/>
        <v>19306.012999999999</v>
      </c>
      <c r="AQ36" s="1367">
        <f t="shared" si="18"/>
        <v>1833.1549000000002</v>
      </c>
      <c r="AR36" s="1367">
        <f t="shared" si="18"/>
        <v>20213.81019</v>
      </c>
      <c r="AS36" s="1367">
        <f t="shared" si="18"/>
        <v>1844.7320299999999</v>
      </c>
      <c r="AT36" s="1367">
        <f t="shared" si="18"/>
        <v>20907.097440000001</v>
      </c>
      <c r="AU36" s="1367">
        <f t="shared" si="18"/>
        <v>1848.1091600000002</v>
      </c>
      <c r="AV36" s="1367">
        <f t="shared" si="18"/>
        <v>22375.039199999996</v>
      </c>
      <c r="AW36" s="1367">
        <f t="shared" si="18"/>
        <v>1954.5606500000001</v>
      </c>
      <c r="AX36" s="1367">
        <f t="shared" si="18"/>
        <v>4134.1797099999994</v>
      </c>
      <c r="AY36" s="1367">
        <f t="shared" si="18"/>
        <v>7.9892400000000006</v>
      </c>
      <c r="AZ36" s="1367">
        <f t="shared" si="18"/>
        <v>6801.5297300000002</v>
      </c>
      <c r="BA36" s="1367">
        <f t="shared" si="18"/>
        <v>205.07676000000001</v>
      </c>
      <c r="BB36" s="1367">
        <f t="shared" si="18"/>
        <v>8257.4111799999991</v>
      </c>
      <c r="BC36" s="1367">
        <f t="shared" si="18"/>
        <v>221.94525999999996</v>
      </c>
      <c r="BD36" s="1367">
        <f t="shared" si="18"/>
        <v>10056.4434</v>
      </c>
      <c r="BE36" s="1367">
        <f t="shared" si="18"/>
        <v>231.06691999999998</v>
      </c>
      <c r="BF36" s="1367">
        <f t="shared" si="18"/>
        <v>11915.016800000001</v>
      </c>
      <c r="BG36" s="1367">
        <f t="shared" si="18"/>
        <v>247.11976999999999</v>
      </c>
      <c r="BH36" s="1367">
        <f t="shared" si="18"/>
        <v>12507.75598</v>
      </c>
      <c r="BI36" s="1367">
        <f t="shared" si="18"/>
        <v>286.88394</v>
      </c>
      <c r="BJ36" s="1367">
        <f t="shared" si="18"/>
        <v>15719.140810000001</v>
      </c>
      <c r="BK36" s="1367">
        <f t="shared" si="18"/>
        <v>308.49394999999998</v>
      </c>
      <c r="BL36" s="1367">
        <f t="shared" si="18"/>
        <v>16727.421100000003</v>
      </c>
      <c r="BM36" s="1367">
        <f t="shared" si="18"/>
        <v>327.55477999999999</v>
      </c>
      <c r="BN36" s="1367">
        <f t="shared" ref="BN36:DY36" si="19">SUM(BN37:BN45)</f>
        <v>17666.483090000002</v>
      </c>
      <c r="BO36" s="1367">
        <f t="shared" si="19"/>
        <v>554.73452999999995</v>
      </c>
      <c r="BP36" s="1367">
        <f t="shared" si="19"/>
        <v>19417.218559999998</v>
      </c>
      <c r="BQ36" s="1367">
        <f t="shared" si="19"/>
        <v>572.40459999999996</v>
      </c>
      <c r="BR36" s="1367">
        <f t="shared" si="19"/>
        <v>20212.483439999996</v>
      </c>
      <c r="BS36" s="1367">
        <f t="shared" si="19"/>
        <v>1072.2487100000001</v>
      </c>
      <c r="BT36" s="1367">
        <f t="shared" si="19"/>
        <v>20923.379279999997</v>
      </c>
      <c r="BU36" s="1367">
        <f t="shared" si="19"/>
        <v>1083.70128</v>
      </c>
      <c r="BV36" s="1367">
        <f t="shared" si="19"/>
        <v>4818.7464000000009</v>
      </c>
      <c r="BW36" s="1367">
        <f t="shared" si="19"/>
        <v>13.72569</v>
      </c>
      <c r="BX36" s="1367">
        <f t="shared" si="19"/>
        <v>7016.99298</v>
      </c>
      <c r="BY36" s="1367">
        <f t="shared" si="19"/>
        <v>52.156710000000004</v>
      </c>
      <c r="BZ36" s="1367">
        <f t="shared" si="19"/>
        <v>8685.7400999999991</v>
      </c>
      <c r="CA36" s="1367">
        <f t="shared" si="19"/>
        <v>312.63512000000003</v>
      </c>
      <c r="CB36" s="1367">
        <f t="shared" si="19"/>
        <v>10361.838969999999</v>
      </c>
      <c r="CC36" s="1367">
        <f t="shared" si="19"/>
        <v>312.63512000000003</v>
      </c>
      <c r="CD36" s="1367">
        <f t="shared" si="19"/>
        <v>12033.07172</v>
      </c>
      <c r="CE36" s="1367">
        <f t="shared" si="19"/>
        <v>312.63512000000003</v>
      </c>
      <c r="CF36" s="1367">
        <f t="shared" si="19"/>
        <v>13083.327120000002</v>
      </c>
      <c r="CG36" s="1367">
        <f t="shared" si="19"/>
        <v>318.71498000000003</v>
      </c>
      <c r="CH36" s="1367">
        <f t="shared" si="19"/>
        <v>16485.719839999998</v>
      </c>
      <c r="CI36" s="1367">
        <f t="shared" si="19"/>
        <v>341.41798</v>
      </c>
      <c r="CJ36" s="1367">
        <f t="shared" si="19"/>
        <v>16944.158890000002</v>
      </c>
      <c r="CK36" s="1367">
        <f t="shared" si="19"/>
        <v>471.30398000000002</v>
      </c>
      <c r="CL36" s="1367">
        <f t="shared" si="19"/>
        <v>18079.777820000003</v>
      </c>
      <c r="CM36" s="1367">
        <f t="shared" si="19"/>
        <v>525.39897999999994</v>
      </c>
      <c r="CN36" s="1367">
        <f t="shared" si="19"/>
        <v>18901.597170000001</v>
      </c>
      <c r="CO36" s="1367">
        <f t="shared" si="19"/>
        <v>545.59298000000001</v>
      </c>
      <c r="CP36" s="1367">
        <f t="shared" si="19"/>
        <v>19342.859660000006</v>
      </c>
      <c r="CQ36" s="1367">
        <f t="shared" si="19"/>
        <v>557.23398000000009</v>
      </c>
      <c r="CR36" s="1367">
        <f t="shared" si="19"/>
        <v>20829.01758</v>
      </c>
      <c r="CS36" s="1367">
        <f t="shared" si="19"/>
        <v>576.70497999999998</v>
      </c>
      <c r="CT36" s="1367">
        <f t="shared" si="19"/>
        <v>4408.2868500000004</v>
      </c>
      <c r="CU36" s="1367">
        <f t="shared" si="19"/>
        <v>24.651</v>
      </c>
      <c r="CV36" s="1367">
        <f t="shared" si="19"/>
        <v>6515.4442000000008</v>
      </c>
      <c r="CW36" s="1367">
        <f t="shared" si="19"/>
        <v>36.306640000000002</v>
      </c>
      <c r="CX36" s="1367">
        <f t="shared" si="19"/>
        <v>9728.7990900000004</v>
      </c>
      <c r="CY36" s="1367">
        <f t="shared" si="19"/>
        <v>71.704610000000002</v>
      </c>
      <c r="CZ36" s="1367">
        <f t="shared" si="19"/>
        <v>10499.32429</v>
      </c>
      <c r="DA36" s="1367">
        <f t="shared" si="19"/>
        <v>104.51231</v>
      </c>
      <c r="DB36" s="1367">
        <f t="shared" si="19"/>
        <v>11747.806239999998</v>
      </c>
      <c r="DC36" s="1367">
        <f t="shared" si="19"/>
        <v>123.11041</v>
      </c>
      <c r="DD36" s="1367">
        <f t="shared" si="19"/>
        <v>12638.165299999997</v>
      </c>
      <c r="DE36" s="1367">
        <f t="shared" si="19"/>
        <v>162.74187000000001</v>
      </c>
      <c r="DF36" s="1367">
        <f t="shared" si="19"/>
        <v>15937.69247</v>
      </c>
      <c r="DG36" s="1367">
        <f t="shared" si="19"/>
        <v>300.03481999999997</v>
      </c>
      <c r="DH36" s="1367">
        <f t="shared" si="19"/>
        <v>16446.534109999997</v>
      </c>
      <c r="DI36" s="1367">
        <f t="shared" si="19"/>
        <v>334.13481999999999</v>
      </c>
      <c r="DJ36" s="1367">
        <f t="shared" si="19"/>
        <v>17209.030089999997</v>
      </c>
      <c r="DK36" s="1367">
        <f t="shared" si="19"/>
        <v>665.74893999999995</v>
      </c>
      <c r="DL36" s="1367">
        <f t="shared" si="19"/>
        <v>17871.609400000001</v>
      </c>
      <c r="DM36" s="1367">
        <f t="shared" si="19"/>
        <v>686.39427999999998</v>
      </c>
      <c r="DN36" s="1367">
        <f t="shared" si="19"/>
        <v>18307.071289999996</v>
      </c>
      <c r="DO36" s="1367">
        <f t="shared" si="19"/>
        <v>708.31655999999998</v>
      </c>
      <c r="DP36" s="1367">
        <f t="shared" si="19"/>
        <v>20385.361029999996</v>
      </c>
      <c r="DQ36" s="1385">
        <f t="shared" si="19"/>
        <v>731.08356000000003</v>
      </c>
      <c r="DR36" s="1396">
        <f t="shared" si="19"/>
        <v>3842.0506399999999</v>
      </c>
      <c r="DS36" s="1368">
        <f t="shared" si="19"/>
        <v>13.16451</v>
      </c>
      <c r="DT36" s="1389">
        <f t="shared" si="19"/>
        <v>7170.1548499999999</v>
      </c>
      <c r="DU36" s="1385">
        <f t="shared" si="19"/>
        <v>27.287700000000001</v>
      </c>
      <c r="DV36" s="1396">
        <f t="shared" si="19"/>
        <v>8430.1750200000006</v>
      </c>
      <c r="DW36" s="1368">
        <f t="shared" si="19"/>
        <v>41.7209</v>
      </c>
      <c r="DX36" s="1389">
        <f t="shared" si="19"/>
        <v>9868.5779500000008</v>
      </c>
      <c r="DY36" s="1385">
        <f t="shared" si="19"/>
        <v>47.669689999999996</v>
      </c>
      <c r="DZ36" s="1396">
        <f t="shared" ref="DZ36:EE36" si="20">SUM(DZ37:DZ45)</f>
        <v>10651.777679999999</v>
      </c>
      <c r="EA36" s="1368">
        <f t="shared" si="20"/>
        <v>50.66825</v>
      </c>
      <c r="EB36" s="1389">
        <f t="shared" si="20"/>
        <v>13718.313410000001</v>
      </c>
      <c r="EC36" s="1368">
        <f t="shared" si="20"/>
        <v>57.221420000000002</v>
      </c>
      <c r="ED36" s="1396">
        <f t="shared" si="20"/>
        <v>16704.114960000003</v>
      </c>
      <c r="EE36" s="1368">
        <f t="shared" si="20"/>
        <v>61.364850000000004</v>
      </c>
      <c r="EF36" s="1396">
        <v>18379.94184</v>
      </c>
      <c r="EG36" s="1368">
        <v>79.880809999999997</v>
      </c>
      <c r="EH36" s="1389">
        <v>19328.157629999998</v>
      </c>
      <c r="EI36" s="1368">
        <v>116.91659000000001</v>
      </c>
      <c r="EJ36" s="1389">
        <v>20309.592790000002</v>
      </c>
      <c r="EK36" s="1368">
        <v>88.452089999999998</v>
      </c>
      <c r="EL36" s="1389">
        <v>21232.065859999999</v>
      </c>
      <c r="EM36" s="1368">
        <v>88.452089999999998</v>
      </c>
      <c r="EN36" s="1389">
        <v>22317.036780000002</v>
      </c>
      <c r="EO36" s="1368">
        <v>89.030100000000004</v>
      </c>
      <c r="EP36" s="1389">
        <v>2788.4713199999997</v>
      </c>
      <c r="EQ36" s="1368">
        <v>42.725490000000001</v>
      </c>
      <c r="ER36" s="1389">
        <v>4140.1430399999999</v>
      </c>
      <c r="ES36" s="1368">
        <v>73.242260000000002</v>
      </c>
      <c r="ET36" s="1633">
        <v>6319.5883800000001</v>
      </c>
      <c r="EU36" s="1634">
        <v>74.176419999999993</v>
      </c>
      <c r="EV36" s="1389">
        <v>8419.0248499999998</v>
      </c>
      <c r="EW36" s="1368">
        <v>80.540509999999998</v>
      </c>
      <c r="EX36" s="1389">
        <v>9248.7975800000022</v>
      </c>
      <c r="EY36" s="1368">
        <v>84.738510000000019</v>
      </c>
      <c r="EZ36" s="1389">
        <v>11020.122750000002</v>
      </c>
      <c r="FA36" s="1368">
        <v>86.757510000000011</v>
      </c>
      <c r="FB36" s="1389">
        <v>16775.136080000004</v>
      </c>
      <c r="FC36" s="1368">
        <v>98.963149999999999</v>
      </c>
      <c r="FD36" s="1389">
        <v>17894.36608</v>
      </c>
      <c r="FE36" s="1368">
        <v>128.61255</v>
      </c>
      <c r="FF36" s="1389">
        <v>19026.592530000002</v>
      </c>
      <c r="FG36" s="1368">
        <v>136.75788</v>
      </c>
      <c r="FH36" s="1389">
        <v>21637.827909999996</v>
      </c>
      <c r="FI36" s="1368">
        <v>136.75788</v>
      </c>
      <c r="FJ36" s="1633">
        <v>22759.239289999998</v>
      </c>
      <c r="FK36" s="1634">
        <v>140.23246</v>
      </c>
      <c r="FL36" s="1389">
        <v>23846.994500000001</v>
      </c>
      <c r="FM36" s="1368">
        <v>176.48219</v>
      </c>
      <c r="FN36" s="1389">
        <v>3801.1730899999998</v>
      </c>
      <c r="FO36" s="1368">
        <v>0.75992000000000004</v>
      </c>
      <c r="FP36" s="1389">
        <v>5254.5899199999994</v>
      </c>
      <c r="FQ36" s="1368">
        <v>14.169419999999999</v>
      </c>
      <c r="FR36" s="1366" t="s">
        <v>3285</v>
      </c>
    </row>
    <row r="37" spans="1:174" s="458" customFormat="1" ht="22.5" customHeight="1">
      <c r="A37" s="1370" t="s">
        <v>2331</v>
      </c>
      <c r="B37" s="1371">
        <v>2192.1478999999999</v>
      </c>
      <c r="C37" s="1371">
        <v>0</v>
      </c>
      <c r="D37" s="1371">
        <v>2192.1478999999999</v>
      </c>
      <c r="E37" s="1371">
        <v>0</v>
      </c>
      <c r="F37" s="1371">
        <v>2192.1478999999999</v>
      </c>
      <c r="G37" s="1371">
        <v>0</v>
      </c>
      <c r="H37" s="1371">
        <v>2222.96875</v>
      </c>
      <c r="I37" s="1371">
        <v>766.39499999999998</v>
      </c>
      <c r="J37" s="1371">
        <v>2222.96875</v>
      </c>
      <c r="K37" s="1371">
        <v>1532.61</v>
      </c>
      <c r="L37" s="1371">
        <v>2270.3440799999998</v>
      </c>
      <c r="M37" s="1371">
        <v>1532.79</v>
      </c>
      <c r="N37" s="1371">
        <v>4452.0092000000004</v>
      </c>
      <c r="O37" s="1371">
        <v>1532.61</v>
      </c>
      <c r="P37" s="1371">
        <v>4383.5619500000003</v>
      </c>
      <c r="Q37" s="1371">
        <v>1532.61</v>
      </c>
      <c r="R37" s="1371">
        <v>4448.4119800000008</v>
      </c>
      <c r="S37" s="1371">
        <v>1532.61</v>
      </c>
      <c r="T37" s="1371">
        <v>4456.5962300000001</v>
      </c>
      <c r="U37" s="1371">
        <v>1532.61</v>
      </c>
      <c r="V37" s="1371">
        <v>4456.5962300000001</v>
      </c>
      <c r="W37" s="1371">
        <v>1532.61</v>
      </c>
      <c r="X37" s="1371">
        <v>4458.96461</v>
      </c>
      <c r="Y37" s="1371">
        <v>1532.61</v>
      </c>
      <c r="Z37" s="1371">
        <v>2013.4698999999998</v>
      </c>
      <c r="AA37" s="1371">
        <v>315.17473999999999</v>
      </c>
      <c r="AB37" s="1371">
        <v>2014.3199299999999</v>
      </c>
      <c r="AC37" s="1371">
        <v>315.17473999999999</v>
      </c>
      <c r="AD37" s="1371">
        <v>2014.3200200000001</v>
      </c>
      <c r="AE37" s="1371">
        <v>315.17473999999999</v>
      </c>
      <c r="AF37" s="1371">
        <v>2060.32006</v>
      </c>
      <c r="AG37" s="1371">
        <v>299.87384000000003</v>
      </c>
      <c r="AH37" s="1371">
        <v>2075.7885500000002</v>
      </c>
      <c r="AI37" s="1371">
        <v>299.87384000000003</v>
      </c>
      <c r="AJ37" s="1371">
        <v>2075.7885500000002</v>
      </c>
      <c r="AK37" s="1371">
        <v>566.87414000000001</v>
      </c>
      <c r="AL37" s="1371">
        <v>4305.2699199999997</v>
      </c>
      <c r="AM37" s="1371">
        <v>566.87414000000001</v>
      </c>
      <c r="AN37" s="1371">
        <v>4305.94992</v>
      </c>
      <c r="AO37" s="1371">
        <v>566.87414000000001</v>
      </c>
      <c r="AP37" s="1371">
        <v>4343.2579599999999</v>
      </c>
      <c r="AQ37" s="1371">
        <v>566.84414000000004</v>
      </c>
      <c r="AR37" s="1371">
        <v>4355.4599600000001</v>
      </c>
      <c r="AS37" s="1371">
        <v>566.87414000000001</v>
      </c>
      <c r="AT37" s="1371">
        <v>4371.0442199999998</v>
      </c>
      <c r="AU37" s="1371">
        <v>566.87414000000001</v>
      </c>
      <c r="AV37" s="1371">
        <v>4382.3787599999996</v>
      </c>
      <c r="AW37" s="1371">
        <v>566.87414000000001</v>
      </c>
      <c r="AX37" s="1371">
        <v>2098.7244999999998</v>
      </c>
      <c r="AY37" s="1371">
        <v>0</v>
      </c>
      <c r="AZ37" s="1371">
        <v>2114.2600000000002</v>
      </c>
      <c r="BA37" s="1371">
        <v>0</v>
      </c>
      <c r="BB37" s="1371">
        <v>2129.2600400000001</v>
      </c>
      <c r="BC37" s="1371">
        <v>0</v>
      </c>
      <c r="BD37" s="1371">
        <v>2129.2600400000001</v>
      </c>
      <c r="BE37" s="1371">
        <v>0</v>
      </c>
      <c r="BF37" s="1371">
        <v>2129.2600400000001</v>
      </c>
      <c r="BG37" s="1371">
        <v>0</v>
      </c>
      <c r="BH37" s="1371">
        <v>2180.11724</v>
      </c>
      <c r="BI37" s="1371">
        <v>0</v>
      </c>
      <c r="BJ37" s="1371">
        <v>4794.1538099999998</v>
      </c>
      <c r="BK37" s="1371">
        <v>0</v>
      </c>
      <c r="BL37" s="1371">
        <v>4794.1545400000005</v>
      </c>
      <c r="BM37" s="1371">
        <v>6.3639299999999999</v>
      </c>
      <c r="BN37" s="1371">
        <v>4806.9232099999999</v>
      </c>
      <c r="BO37" s="1371">
        <v>45.654319999999998</v>
      </c>
      <c r="BP37" s="1371">
        <v>4806.9232099999999</v>
      </c>
      <c r="BQ37" s="1371">
        <v>45.654309999999995</v>
      </c>
      <c r="BR37" s="1371">
        <v>4806.9232099999999</v>
      </c>
      <c r="BS37" s="1371">
        <v>538.65431000000001</v>
      </c>
      <c r="BT37" s="1371">
        <v>4807.7681399999992</v>
      </c>
      <c r="BU37" s="1371">
        <v>538.65431000000001</v>
      </c>
      <c r="BV37" s="1371">
        <v>2426.9254300000002</v>
      </c>
      <c r="BW37" s="1371">
        <v>0</v>
      </c>
      <c r="BX37" s="1371">
        <v>2453.3059700000003</v>
      </c>
      <c r="BY37" s="1371">
        <v>0</v>
      </c>
      <c r="BZ37" s="1371">
        <v>2468.3057999999996</v>
      </c>
      <c r="CA37" s="1371">
        <v>242.54192</v>
      </c>
      <c r="CB37" s="1371">
        <v>2468.3057899999999</v>
      </c>
      <c r="CC37" s="1371">
        <v>242.54192</v>
      </c>
      <c r="CD37" s="1371">
        <v>2468.3057899999999</v>
      </c>
      <c r="CE37" s="1371">
        <v>242.54192</v>
      </c>
      <c r="CF37" s="1371">
        <v>2468.3057899999999</v>
      </c>
      <c r="CG37" s="1371">
        <v>242.54192</v>
      </c>
      <c r="CH37" s="1371">
        <v>4854.9434600000004</v>
      </c>
      <c r="CI37" s="1371">
        <v>242.54192</v>
      </c>
      <c r="CJ37" s="1371">
        <v>4854.9411799999998</v>
      </c>
      <c r="CK37" s="1371">
        <v>242.54192</v>
      </c>
      <c r="CL37" s="1371">
        <v>4854.9430199999997</v>
      </c>
      <c r="CM37" s="1371">
        <v>242.54192</v>
      </c>
      <c r="CN37" s="1371">
        <v>4849.4731900000006</v>
      </c>
      <c r="CO37" s="1371">
        <v>242.54192</v>
      </c>
      <c r="CP37" s="1371">
        <v>4853.3659200000002</v>
      </c>
      <c r="CQ37" s="1371">
        <v>242.54192</v>
      </c>
      <c r="CR37" s="1371">
        <v>4853.3659200000002</v>
      </c>
      <c r="CS37" s="1371">
        <v>242.54192</v>
      </c>
      <c r="CT37" s="1371">
        <v>2181.96387</v>
      </c>
      <c r="CU37" s="1371">
        <v>0</v>
      </c>
      <c r="CV37" s="1371">
        <v>2181.96387</v>
      </c>
      <c r="CW37" s="1371">
        <v>0</v>
      </c>
      <c r="CX37" s="1371">
        <v>2214.8210299999996</v>
      </c>
      <c r="CY37" s="1371">
        <v>0</v>
      </c>
      <c r="CZ37" s="1371">
        <v>2214.8210299999996</v>
      </c>
      <c r="DA37" s="1371">
        <v>0</v>
      </c>
      <c r="DB37" s="1371">
        <v>2214.8210299999996</v>
      </c>
      <c r="DC37" s="1371">
        <v>0</v>
      </c>
      <c r="DD37" s="1371">
        <v>2214.8210299999996</v>
      </c>
      <c r="DE37" s="1371">
        <v>0</v>
      </c>
      <c r="DF37" s="1371">
        <v>4837.8907099999997</v>
      </c>
      <c r="DG37" s="1371">
        <v>0</v>
      </c>
      <c r="DH37" s="1371">
        <v>4837.8898099999997</v>
      </c>
      <c r="DI37" s="1371">
        <v>0</v>
      </c>
      <c r="DJ37" s="1371">
        <v>4866.89077</v>
      </c>
      <c r="DK37" s="1371">
        <v>0</v>
      </c>
      <c r="DL37" s="1371">
        <v>4866.89077</v>
      </c>
      <c r="DM37" s="1371">
        <v>0</v>
      </c>
      <c r="DN37" s="1371">
        <v>4866.89077</v>
      </c>
      <c r="DO37" s="1371">
        <v>0</v>
      </c>
      <c r="DP37" s="1371">
        <v>4866.89077</v>
      </c>
      <c r="DQ37" s="1386">
        <v>0</v>
      </c>
      <c r="DR37" s="1397">
        <v>1899.47696</v>
      </c>
      <c r="DS37" s="1372">
        <v>0</v>
      </c>
      <c r="DT37" s="1390">
        <v>1899.47686</v>
      </c>
      <c r="DU37" s="1386">
        <v>0</v>
      </c>
      <c r="DV37" s="1397">
        <v>1909.3431700000001</v>
      </c>
      <c r="DW37" s="1372">
        <v>0</v>
      </c>
      <c r="DX37" s="1390">
        <v>1909.3432</v>
      </c>
      <c r="DY37" s="1386">
        <v>0</v>
      </c>
      <c r="DZ37" s="1397">
        <v>1918.33134</v>
      </c>
      <c r="EA37" s="1372">
        <v>0</v>
      </c>
      <c r="EB37" s="1390">
        <v>3878.15434</v>
      </c>
      <c r="EC37" s="1372">
        <v>0</v>
      </c>
      <c r="ED37" s="1397">
        <v>6569.7774099999997</v>
      </c>
      <c r="EE37" s="1372">
        <v>0</v>
      </c>
      <c r="EF37" s="1397">
        <v>6627.17785</v>
      </c>
      <c r="EG37" s="1372">
        <v>0</v>
      </c>
      <c r="EH37" s="1390">
        <v>6627.1778599999998</v>
      </c>
      <c r="EI37" s="1372">
        <v>0</v>
      </c>
      <c r="EJ37" s="1390">
        <v>6627.1778599999998</v>
      </c>
      <c r="EK37" s="1372">
        <v>0</v>
      </c>
      <c r="EL37" s="1390">
        <v>6627.1778599999998</v>
      </c>
      <c r="EM37" s="1372">
        <v>0</v>
      </c>
      <c r="EN37" s="1390">
        <v>6776.8366400000004</v>
      </c>
      <c r="EO37" s="1372">
        <v>0</v>
      </c>
      <c r="EP37" s="1390">
        <v>68.729160000000007</v>
      </c>
      <c r="EQ37" s="1372">
        <v>0</v>
      </c>
      <c r="ER37" s="1390">
        <v>68.729160000000007</v>
      </c>
      <c r="ES37" s="1372">
        <v>0</v>
      </c>
      <c r="ET37" s="1635">
        <v>68.729159999999993</v>
      </c>
      <c r="EU37" s="1636">
        <v>0</v>
      </c>
      <c r="EV37" s="1390">
        <v>69.231899999999996</v>
      </c>
      <c r="EW37" s="1372">
        <v>2.04</v>
      </c>
      <c r="EX37" s="1390">
        <v>69.231899999999996</v>
      </c>
      <c r="EY37" s="1372">
        <v>2.04</v>
      </c>
      <c r="EZ37" s="1390">
        <v>69.231899999999996</v>
      </c>
      <c r="FA37" s="1372">
        <v>2.04</v>
      </c>
      <c r="FB37" s="1390">
        <v>4895.3865400000004</v>
      </c>
      <c r="FC37" s="1372">
        <v>7.3416000000000006</v>
      </c>
      <c r="FD37" s="1390">
        <v>4895.3865400000004</v>
      </c>
      <c r="FE37" s="1372">
        <v>14.6601</v>
      </c>
      <c r="FF37" s="1390">
        <v>4895.3865400000004</v>
      </c>
      <c r="FG37" s="1372">
        <v>14.6601</v>
      </c>
      <c r="FH37" s="1390">
        <v>4895.3865400000004</v>
      </c>
      <c r="FI37" s="1372">
        <v>14.6601</v>
      </c>
      <c r="FJ37" s="1635">
        <v>4980.6789399999998</v>
      </c>
      <c r="FK37" s="1636">
        <v>14.6601</v>
      </c>
      <c r="FL37" s="1390">
        <v>5028.1942300000001</v>
      </c>
      <c r="FM37" s="1372">
        <v>14.6601</v>
      </c>
      <c r="FN37" s="1390">
        <v>0</v>
      </c>
      <c r="FO37" s="1372">
        <v>0</v>
      </c>
      <c r="FP37" s="1390">
        <v>0</v>
      </c>
      <c r="FQ37" s="1372">
        <v>0</v>
      </c>
      <c r="FR37" s="1373" t="s">
        <v>3286</v>
      </c>
    </row>
    <row r="38" spans="1:174" s="458" customFormat="1" ht="22.5" customHeight="1">
      <c r="A38" s="1370" t="s">
        <v>2330</v>
      </c>
      <c r="B38" s="1371">
        <v>1493.39013</v>
      </c>
      <c r="C38" s="1371">
        <v>300.6952</v>
      </c>
      <c r="D38" s="1371">
        <v>2814.5426849999999</v>
      </c>
      <c r="E38" s="1371">
        <v>301.36020000000002</v>
      </c>
      <c r="F38" s="1371">
        <v>4168.5382900000004</v>
      </c>
      <c r="G38" s="1371">
        <v>309.68020000000001</v>
      </c>
      <c r="H38" s="1371">
        <v>4641.1950199999992</v>
      </c>
      <c r="I38" s="1371">
        <v>312.18059999999997</v>
      </c>
      <c r="J38" s="1371">
        <v>5417.8179700000001</v>
      </c>
      <c r="K38" s="1371">
        <v>314.3236</v>
      </c>
      <c r="L38" s="1371">
        <v>6641.5813200000002</v>
      </c>
      <c r="M38" s="1371">
        <v>541.18502999999998</v>
      </c>
      <c r="N38" s="1371">
        <v>7160.3629000000001</v>
      </c>
      <c r="O38" s="1371">
        <v>506.29290000000003</v>
      </c>
      <c r="P38" s="1371">
        <v>7750.3819800000001</v>
      </c>
      <c r="Q38" s="1371">
        <v>508.34590999999995</v>
      </c>
      <c r="R38" s="1371">
        <v>8280.0283500000005</v>
      </c>
      <c r="S38" s="1371">
        <v>658.73298</v>
      </c>
      <c r="T38" s="1371">
        <v>8940.0268599999999</v>
      </c>
      <c r="U38" s="1371">
        <v>661.85298</v>
      </c>
      <c r="V38" s="1371">
        <v>9635.3408500000005</v>
      </c>
      <c r="W38" s="1371">
        <v>662.51797999999997</v>
      </c>
      <c r="X38" s="1371">
        <v>10229.187039999999</v>
      </c>
      <c r="Y38" s="1371">
        <v>1070.4411699999998</v>
      </c>
      <c r="Z38" s="1371">
        <v>1624.5981200000001</v>
      </c>
      <c r="AA38" s="1371">
        <v>185.51142000000002</v>
      </c>
      <c r="AB38" s="1371">
        <v>2012.8513799999998</v>
      </c>
      <c r="AC38" s="1371">
        <v>187.11519000000001</v>
      </c>
      <c r="AD38" s="1371">
        <v>4495.72379</v>
      </c>
      <c r="AE38" s="1371">
        <v>188.43742</v>
      </c>
      <c r="AF38" s="1371">
        <v>5010.5318899999993</v>
      </c>
      <c r="AG38" s="1371">
        <v>198.18542000000002</v>
      </c>
      <c r="AH38" s="1371">
        <v>5564.3333000000002</v>
      </c>
      <c r="AI38" s="1371">
        <v>809.84180000000003</v>
      </c>
      <c r="AJ38" s="1371">
        <v>6132.6157899999998</v>
      </c>
      <c r="AK38" s="1371">
        <v>810.67193999999995</v>
      </c>
      <c r="AL38" s="1371">
        <v>10114.01785</v>
      </c>
      <c r="AM38" s="1371">
        <v>1194.66524</v>
      </c>
      <c r="AN38" s="1371">
        <v>10366.57121</v>
      </c>
      <c r="AO38" s="1371">
        <v>1195.33024</v>
      </c>
      <c r="AP38" s="1371">
        <v>10843.89457</v>
      </c>
      <c r="AQ38" s="1371">
        <v>1194.79024</v>
      </c>
      <c r="AR38" s="1371">
        <v>11554.94845</v>
      </c>
      <c r="AS38" s="1371">
        <v>1201.4402399999999</v>
      </c>
      <c r="AT38" s="1371">
        <v>12013.211160000001</v>
      </c>
      <c r="AU38" s="1371">
        <v>1202.1052400000001</v>
      </c>
      <c r="AV38" s="1371">
        <v>13335.44283</v>
      </c>
      <c r="AW38" s="1371">
        <v>1302.0046</v>
      </c>
      <c r="AX38" s="1371">
        <v>1249.9401799999998</v>
      </c>
      <c r="AY38" s="1371">
        <v>2.3740000000000001</v>
      </c>
      <c r="AZ38" s="1371">
        <v>3517.7184900000002</v>
      </c>
      <c r="BA38" s="1371">
        <v>189.76179999999999</v>
      </c>
      <c r="BB38" s="1371">
        <v>4728.0005899999996</v>
      </c>
      <c r="BC38" s="1371">
        <v>190.42679999999999</v>
      </c>
      <c r="BD38" s="1371">
        <v>5934.7460499999997</v>
      </c>
      <c r="BE38" s="1371">
        <v>191.09179999999998</v>
      </c>
      <c r="BF38" s="1371">
        <v>6711.7563300000002</v>
      </c>
      <c r="BG38" s="1371">
        <v>192.30679999999998</v>
      </c>
      <c r="BH38" s="1371">
        <v>7097.4725699999999</v>
      </c>
      <c r="BI38" s="1371">
        <v>207.30679999999998</v>
      </c>
      <c r="BJ38" s="1371">
        <v>7592.9434299999994</v>
      </c>
      <c r="BK38" s="1371">
        <v>207.67929999999998</v>
      </c>
      <c r="BL38" s="1371">
        <v>8426.4071800000002</v>
      </c>
      <c r="BM38" s="1371">
        <v>216.09648999999999</v>
      </c>
      <c r="BN38" s="1371">
        <v>8914.6013400000011</v>
      </c>
      <c r="BO38" s="1371">
        <v>402.65474</v>
      </c>
      <c r="BP38" s="1371">
        <v>10414.993339999999</v>
      </c>
      <c r="BQ38" s="1371">
        <v>417.91371000000004</v>
      </c>
      <c r="BR38" s="1371">
        <v>10996.500779999998</v>
      </c>
      <c r="BS38" s="1371">
        <v>441.96931999999998</v>
      </c>
      <c r="BT38" s="1371">
        <v>11519.418029999999</v>
      </c>
      <c r="BU38" s="1371">
        <v>425.41516999999999</v>
      </c>
      <c r="BV38" s="1371">
        <v>1738.2919999999999</v>
      </c>
      <c r="BW38" s="1371">
        <v>8.3759999999999994</v>
      </c>
      <c r="BX38" s="1371">
        <v>3764.7366699999998</v>
      </c>
      <c r="BY38" s="1371">
        <v>46.385910000000003</v>
      </c>
      <c r="BZ38" s="1371">
        <v>4973.7375099999999</v>
      </c>
      <c r="CA38" s="1371">
        <v>46.892449999999997</v>
      </c>
      <c r="CB38" s="1371">
        <v>6471.33464</v>
      </c>
      <c r="CC38" s="1371">
        <v>46.892449999999997</v>
      </c>
      <c r="CD38" s="1371">
        <v>6806.2162900000003</v>
      </c>
      <c r="CE38" s="1371">
        <v>46.892449999999997</v>
      </c>
      <c r="CF38" s="1371">
        <v>7591.9668700000002</v>
      </c>
      <c r="CG38" s="1371">
        <v>46.892449999999997</v>
      </c>
      <c r="CH38" s="1371">
        <v>8110.5928400000003</v>
      </c>
      <c r="CI38" s="1371">
        <v>64.892449999999997</v>
      </c>
      <c r="CJ38" s="1371">
        <v>8314.7539900000011</v>
      </c>
      <c r="CK38" s="1371">
        <v>197.08345</v>
      </c>
      <c r="CL38" s="1371">
        <v>8946.7499200000002</v>
      </c>
      <c r="CM38" s="1371">
        <v>248.95345</v>
      </c>
      <c r="CN38" s="1371">
        <v>9588.2463800000005</v>
      </c>
      <c r="CO38" s="1371">
        <v>253.06845000000001</v>
      </c>
      <c r="CP38" s="1371">
        <v>9818.2550700000011</v>
      </c>
      <c r="CQ38" s="1371">
        <v>253.74345000000002</v>
      </c>
      <c r="CR38" s="1371">
        <v>11067.65732</v>
      </c>
      <c r="CS38" s="1371">
        <v>257.34545000000003</v>
      </c>
      <c r="CT38" s="1371">
        <v>1405.80971</v>
      </c>
      <c r="CU38" s="1371">
        <v>0.72599999999999998</v>
      </c>
      <c r="CV38" s="1371">
        <v>3328.7742200000002</v>
      </c>
      <c r="CW38" s="1371">
        <v>4.9506399999999999</v>
      </c>
      <c r="CX38" s="1371">
        <v>5766.2493199999999</v>
      </c>
      <c r="CY38" s="1371">
        <v>11.041639999999999</v>
      </c>
      <c r="CZ38" s="1371">
        <v>6362.69236</v>
      </c>
      <c r="DA38" s="1371">
        <v>11.041639999999999</v>
      </c>
      <c r="DB38" s="1371">
        <v>7283.4710500000001</v>
      </c>
      <c r="DC38" s="1371">
        <v>15.641639999999999</v>
      </c>
      <c r="DD38" s="1371">
        <v>7987.5979800000005</v>
      </c>
      <c r="DE38" s="1371">
        <v>27.391839999999998</v>
      </c>
      <c r="DF38" s="1371">
        <v>8462.3940399999992</v>
      </c>
      <c r="DG38" s="1371">
        <v>134.26545999999999</v>
      </c>
      <c r="DH38" s="1371">
        <v>8786.9756600000001</v>
      </c>
      <c r="DI38" s="1371">
        <v>134.26545999999999</v>
      </c>
      <c r="DJ38" s="1371">
        <v>9164.090189999999</v>
      </c>
      <c r="DK38" s="1371">
        <v>428.68216999999999</v>
      </c>
      <c r="DL38" s="1371">
        <v>9687.8159799999994</v>
      </c>
      <c r="DM38" s="1371">
        <v>434.53451000000001</v>
      </c>
      <c r="DN38" s="1371">
        <v>10022.09621</v>
      </c>
      <c r="DO38" s="1371">
        <v>440.22179</v>
      </c>
      <c r="DP38" s="1371">
        <v>11804.623299999999</v>
      </c>
      <c r="DQ38" s="1386">
        <v>440.22179</v>
      </c>
      <c r="DR38" s="1397">
        <v>1360.7004999999999</v>
      </c>
      <c r="DS38" s="1372">
        <v>0</v>
      </c>
      <c r="DT38" s="1390">
        <v>4558.86067</v>
      </c>
      <c r="DU38" s="1386">
        <v>8.0991900000000001</v>
      </c>
      <c r="DV38" s="1397">
        <v>5566.7606599999999</v>
      </c>
      <c r="DW38" s="1372">
        <v>8.5911899999999992</v>
      </c>
      <c r="DX38" s="1390">
        <v>6559.6406500000003</v>
      </c>
      <c r="DY38" s="1386">
        <v>11.216189999999999</v>
      </c>
      <c r="DZ38" s="1397">
        <v>7117.7697799999996</v>
      </c>
      <c r="EA38" s="1372">
        <v>13.566190000000001</v>
      </c>
      <c r="EB38" s="1390">
        <v>7991.5718999999999</v>
      </c>
      <c r="EC38" s="1372">
        <v>13.566190000000001</v>
      </c>
      <c r="ED38" s="1397">
        <v>8036.9143700000004</v>
      </c>
      <c r="EE38" s="1372">
        <v>15.88123</v>
      </c>
      <c r="EF38" s="1397">
        <v>9393.0528599999998</v>
      </c>
      <c r="EG38" s="1372">
        <v>34.397190000000002</v>
      </c>
      <c r="EH38" s="1390">
        <v>9852.7412700000004</v>
      </c>
      <c r="EI38" s="1372">
        <v>34.397190000000002</v>
      </c>
      <c r="EJ38" s="1390">
        <v>10621.05521</v>
      </c>
      <c r="EK38" s="1372">
        <v>34.397190000000002</v>
      </c>
      <c r="EL38" s="1390">
        <v>11256.05797</v>
      </c>
      <c r="EM38" s="1372">
        <v>34.397190000000002</v>
      </c>
      <c r="EN38" s="1390">
        <v>11768.643459999999</v>
      </c>
      <c r="EO38" s="1372">
        <v>34.397190000000002</v>
      </c>
      <c r="EP38" s="1390">
        <v>1840.6695300000001</v>
      </c>
      <c r="EQ38" s="1372">
        <v>42.5</v>
      </c>
      <c r="ER38" s="1390">
        <v>2931.6235099999999</v>
      </c>
      <c r="ES38" s="1372">
        <v>73.016770000000008</v>
      </c>
      <c r="ET38" s="1635">
        <v>4688.3805700000003</v>
      </c>
      <c r="EU38" s="1636">
        <v>73.016769999999994</v>
      </c>
      <c r="EV38" s="1390">
        <v>6201.04349</v>
      </c>
      <c r="EW38" s="1372">
        <v>73.016769999999994</v>
      </c>
      <c r="EX38" s="1390">
        <v>6668.6640900000002</v>
      </c>
      <c r="EY38" s="1372">
        <v>73.016770000000008</v>
      </c>
      <c r="EZ38" s="1390">
        <v>7968.2149200000003</v>
      </c>
      <c r="FA38" s="1372">
        <v>73.016770000000008</v>
      </c>
      <c r="FB38" s="1390">
        <v>8652.043380000001</v>
      </c>
      <c r="FC38" s="1372">
        <v>73.866770000000002</v>
      </c>
      <c r="FD38" s="1390">
        <v>9400.2445200000002</v>
      </c>
      <c r="FE38" s="1372">
        <v>91.391970000000001</v>
      </c>
      <c r="FF38" s="1390">
        <v>10054.294519999999</v>
      </c>
      <c r="FG38" s="1372">
        <v>92.171970000000002</v>
      </c>
      <c r="FH38" s="1390">
        <v>12349.71463</v>
      </c>
      <c r="FI38" s="1372">
        <v>92.171970000000002</v>
      </c>
      <c r="FJ38" s="1635">
        <v>13061.415059999999</v>
      </c>
      <c r="FK38" s="1636">
        <v>95.646550000000005</v>
      </c>
      <c r="FL38" s="1390">
        <v>13459.612359999999</v>
      </c>
      <c r="FM38" s="1372">
        <v>124.61628</v>
      </c>
      <c r="FN38" s="1390">
        <v>2358.0638100000001</v>
      </c>
      <c r="FO38" s="1372">
        <v>0.75992000000000004</v>
      </c>
      <c r="FP38" s="1390">
        <v>3480.5483599999998</v>
      </c>
      <c r="FQ38" s="1372">
        <v>9.6589200000000002</v>
      </c>
      <c r="FR38" s="1373" t="s">
        <v>3517</v>
      </c>
    </row>
    <row r="39" spans="1:174" s="458" customFormat="1" ht="22.5" customHeight="1">
      <c r="A39" s="1375" t="s">
        <v>2329</v>
      </c>
      <c r="B39" s="1371">
        <v>244.48473000000001</v>
      </c>
      <c r="C39" s="1371">
        <v>8.91</v>
      </c>
      <c r="D39" s="1371">
        <v>306.42328000000003</v>
      </c>
      <c r="E39" s="1371">
        <v>8.9600000000000009</v>
      </c>
      <c r="F39" s="1371">
        <v>350.89841999999999</v>
      </c>
      <c r="G39" s="1371">
        <v>18.536000000000001</v>
      </c>
      <c r="H39" s="1371">
        <v>390.64825999999999</v>
      </c>
      <c r="I39" s="1371">
        <v>37.941859999999998</v>
      </c>
      <c r="J39" s="1371">
        <v>460.02415999999999</v>
      </c>
      <c r="K39" s="1371">
        <v>63.552599999999998</v>
      </c>
      <c r="L39" s="1371">
        <v>655.45848000000001</v>
      </c>
      <c r="M39" s="1371">
        <v>69.401600000000002</v>
      </c>
      <c r="N39" s="1371">
        <v>719.53102999999999</v>
      </c>
      <c r="O39" s="1371">
        <v>72.151600000000002</v>
      </c>
      <c r="P39" s="1371">
        <v>746.58540000000005</v>
      </c>
      <c r="Q39" s="1371">
        <v>77.262600000000006</v>
      </c>
      <c r="R39" s="1371">
        <v>1070.68542</v>
      </c>
      <c r="S39" s="1371">
        <v>89.872600000000006</v>
      </c>
      <c r="T39" s="1371">
        <v>1132.2978700000001</v>
      </c>
      <c r="U39" s="1371">
        <v>93.99560000000001</v>
      </c>
      <c r="V39" s="1371">
        <v>1172.8676799999998</v>
      </c>
      <c r="W39" s="1371">
        <v>95.49560000000001</v>
      </c>
      <c r="X39" s="1371">
        <v>1211.1010399999998</v>
      </c>
      <c r="Y39" s="1371">
        <v>101.07560000000001</v>
      </c>
      <c r="Z39" s="1371">
        <v>240.50714000000002</v>
      </c>
      <c r="AA39" s="1371">
        <v>7.9893999999999998</v>
      </c>
      <c r="AB39" s="1371">
        <v>281.52797999999996</v>
      </c>
      <c r="AC39" s="1371">
        <v>9.2046499999999991</v>
      </c>
      <c r="AD39" s="1371">
        <v>314.39107000000001</v>
      </c>
      <c r="AE39" s="1371">
        <v>17.211650000000002</v>
      </c>
      <c r="AF39" s="1371">
        <v>398.26535999999999</v>
      </c>
      <c r="AG39" s="1371">
        <v>23.191650000000003</v>
      </c>
      <c r="AH39" s="1371">
        <v>430.06155000000001</v>
      </c>
      <c r="AI39" s="1371">
        <v>27.126650000000001</v>
      </c>
      <c r="AJ39" s="1371">
        <v>459.36839000000003</v>
      </c>
      <c r="AK39" s="1371">
        <v>33.946109999999997</v>
      </c>
      <c r="AL39" s="1371">
        <v>546.41543999999999</v>
      </c>
      <c r="AM39" s="1371">
        <v>42.300110000000004</v>
      </c>
      <c r="AN39" s="1371">
        <v>628.29406999999992</v>
      </c>
      <c r="AO39" s="1371">
        <v>46.210709999999999</v>
      </c>
      <c r="AP39" s="1371">
        <v>945.7629300000001</v>
      </c>
      <c r="AQ39" s="1371">
        <v>49.199709999999996</v>
      </c>
      <c r="AR39" s="1371">
        <v>1004.9374499999999</v>
      </c>
      <c r="AS39" s="1371">
        <v>53.464709999999997</v>
      </c>
      <c r="AT39" s="1371">
        <v>1122.8776799999998</v>
      </c>
      <c r="AU39" s="1371">
        <v>55.544710000000002</v>
      </c>
      <c r="AV39" s="1371">
        <v>1174.48047</v>
      </c>
      <c r="AW39" s="1371">
        <v>61.464709999999997</v>
      </c>
      <c r="AX39" s="1371">
        <v>63.682370000000006</v>
      </c>
      <c r="AY39" s="1371">
        <v>4.9831099999999999</v>
      </c>
      <c r="AZ39" s="1371">
        <v>95.247799999999998</v>
      </c>
      <c r="BA39" s="1371">
        <v>12.506110000000001</v>
      </c>
      <c r="BB39" s="1371">
        <v>111.72563000000001</v>
      </c>
      <c r="BC39" s="1371">
        <v>15.54411</v>
      </c>
      <c r="BD39" s="1371">
        <v>146.62634</v>
      </c>
      <c r="BE39" s="1371">
        <v>21.82405</v>
      </c>
      <c r="BF39" s="1371">
        <v>200.40845000000002</v>
      </c>
      <c r="BG39" s="1371">
        <v>36.240790000000004</v>
      </c>
      <c r="BH39" s="1371">
        <v>240.45873999999998</v>
      </c>
      <c r="BI39" s="1371">
        <v>38.783850000000001</v>
      </c>
      <c r="BJ39" s="1371">
        <v>260.86637000000002</v>
      </c>
      <c r="BK39" s="1371">
        <v>49.600250000000003</v>
      </c>
      <c r="BL39" s="1371">
        <v>323.32587999999998</v>
      </c>
      <c r="BM39" s="1371">
        <v>53.458849999999998</v>
      </c>
      <c r="BN39" s="1371">
        <v>630.91552000000001</v>
      </c>
      <c r="BO39" s="1371">
        <v>54.368850000000002</v>
      </c>
      <c r="BP39" s="1371">
        <v>692.75798999999995</v>
      </c>
      <c r="BQ39" s="1371">
        <v>56.358849999999997</v>
      </c>
      <c r="BR39" s="1371">
        <v>779.68892000000005</v>
      </c>
      <c r="BS39" s="1371">
        <v>62.281849999999999</v>
      </c>
      <c r="BT39" s="1371">
        <v>883.70371</v>
      </c>
      <c r="BU39" s="1371">
        <v>66.311850000000007</v>
      </c>
      <c r="BV39" s="1371">
        <v>144.20405</v>
      </c>
      <c r="BW39" s="1371">
        <v>4.9285800000000002</v>
      </c>
      <c r="BX39" s="1371">
        <v>183.69489999999999</v>
      </c>
      <c r="BY39" s="1371">
        <v>4.9285800000000002</v>
      </c>
      <c r="BZ39" s="1371">
        <v>203.12467999999998</v>
      </c>
      <c r="CA39" s="1371">
        <v>4.9285800000000002</v>
      </c>
      <c r="CB39" s="1371">
        <v>267.98591999999996</v>
      </c>
      <c r="CC39" s="1371">
        <v>4.9285800000000002</v>
      </c>
      <c r="CD39" s="1371">
        <v>353.37509999999997</v>
      </c>
      <c r="CE39" s="1371">
        <v>4.9285800000000002</v>
      </c>
      <c r="CF39" s="1371">
        <v>501.97515000000004</v>
      </c>
      <c r="CG39" s="1371">
        <v>8.3545800000000003</v>
      </c>
      <c r="CH39" s="1371">
        <v>670.17585999999994</v>
      </c>
      <c r="CI39" s="1371">
        <v>13.05758</v>
      </c>
      <c r="CJ39" s="1371">
        <v>851.13204000000007</v>
      </c>
      <c r="CK39" s="1371">
        <v>10.75258</v>
      </c>
      <c r="CL39" s="1371">
        <v>1283.7636599999998</v>
      </c>
      <c r="CM39" s="1371">
        <v>12.97758</v>
      </c>
      <c r="CN39" s="1371">
        <v>1411.3874799999999</v>
      </c>
      <c r="CO39" s="1371">
        <v>29.05658</v>
      </c>
      <c r="CP39" s="1371">
        <v>1547.7460000000001</v>
      </c>
      <c r="CQ39" s="1371">
        <v>40.022580000000005</v>
      </c>
      <c r="CR39" s="1371">
        <v>1726.9485400000001</v>
      </c>
      <c r="CS39" s="1371">
        <v>55.891580000000005</v>
      </c>
      <c r="CT39" s="1371">
        <v>176.73203000000001</v>
      </c>
      <c r="CU39" s="1371">
        <v>23.925000000000001</v>
      </c>
      <c r="CV39" s="1371">
        <v>326.45787000000001</v>
      </c>
      <c r="CW39" s="1371">
        <v>31.356000000000002</v>
      </c>
      <c r="CX39" s="1371">
        <v>441.76840999999996</v>
      </c>
      <c r="CY39" s="1371">
        <v>60.662970000000001</v>
      </c>
      <c r="CZ39" s="1371">
        <v>529.75155000000007</v>
      </c>
      <c r="DA39" s="1371">
        <v>93.470669999999998</v>
      </c>
      <c r="DB39" s="1371">
        <v>574.75949000000003</v>
      </c>
      <c r="DC39" s="1371">
        <v>107.46877000000001</v>
      </c>
      <c r="DD39" s="1371">
        <v>683.71992</v>
      </c>
      <c r="DE39" s="1371">
        <v>135.35003</v>
      </c>
      <c r="DF39" s="1371">
        <v>832.83666000000005</v>
      </c>
      <c r="DG39" s="1371">
        <v>165.76935999999998</v>
      </c>
      <c r="DH39" s="1371">
        <v>905.33917000000008</v>
      </c>
      <c r="DI39" s="1371">
        <v>199.86935999999997</v>
      </c>
      <c r="DJ39" s="1371">
        <v>1152.1185</v>
      </c>
      <c r="DK39" s="1371">
        <v>237.06676999999999</v>
      </c>
      <c r="DL39" s="1371">
        <v>1234.22775</v>
      </c>
      <c r="DM39" s="1371">
        <v>251.85977</v>
      </c>
      <c r="DN39" s="1371">
        <v>1304.5846799999999</v>
      </c>
      <c r="DO39" s="1371">
        <v>268.09476999999998</v>
      </c>
      <c r="DP39" s="1371">
        <v>1420.3167900000001</v>
      </c>
      <c r="DQ39" s="1386">
        <v>290.86176999999998</v>
      </c>
      <c r="DR39" s="1401">
        <v>96.23057</v>
      </c>
      <c r="DS39" s="1372">
        <v>13.16451</v>
      </c>
      <c r="DT39" s="1390">
        <v>197.90772000000001</v>
      </c>
      <c r="DU39" s="1386">
        <v>19.188510000000001</v>
      </c>
      <c r="DV39" s="1397">
        <v>274.85660999999999</v>
      </c>
      <c r="DW39" s="1372">
        <v>33.129710000000003</v>
      </c>
      <c r="DX39" s="1390">
        <v>361.92437999999999</v>
      </c>
      <c r="DY39" s="1386">
        <v>36.453499999999998</v>
      </c>
      <c r="DZ39" s="1397">
        <v>464.16658000000001</v>
      </c>
      <c r="EA39" s="1372">
        <v>37.102060000000002</v>
      </c>
      <c r="EB39" s="1390">
        <v>603.12102000000004</v>
      </c>
      <c r="EC39" s="1372">
        <v>43.655230000000003</v>
      </c>
      <c r="ED39" s="1397">
        <v>746.88792999999998</v>
      </c>
      <c r="EE39" s="1372">
        <v>45.483620000000002</v>
      </c>
      <c r="EF39" s="1397">
        <v>912.33592999999996</v>
      </c>
      <c r="EG39" s="1372">
        <v>45.483620000000002</v>
      </c>
      <c r="EH39" s="1390">
        <v>1223.9725100000001</v>
      </c>
      <c r="EI39" s="1372">
        <v>82.519400000000005</v>
      </c>
      <c r="EJ39" s="1390">
        <v>1410.9414899999999</v>
      </c>
      <c r="EK39" s="1372">
        <v>54.054900000000004</v>
      </c>
      <c r="EL39" s="1390">
        <v>1588.3773000000001</v>
      </c>
      <c r="EM39" s="1372">
        <v>54.054900000000004</v>
      </c>
      <c r="EN39" s="1390">
        <v>1817.2421899999999</v>
      </c>
      <c r="EO39" s="1372">
        <v>54.632910000000003</v>
      </c>
      <c r="EP39" s="1390">
        <v>212.15271999999999</v>
      </c>
      <c r="EQ39" s="1372">
        <v>0.22549</v>
      </c>
      <c r="ER39" s="1390">
        <v>418.72879</v>
      </c>
      <c r="ES39" s="1372">
        <v>0.22549</v>
      </c>
      <c r="ET39" s="1635">
        <v>652.82392000000004</v>
      </c>
      <c r="EU39" s="1636">
        <v>1.1596500000000001</v>
      </c>
      <c r="EV39" s="1390">
        <v>848.06191999999999</v>
      </c>
      <c r="EW39" s="1372">
        <v>5.4837400000000001</v>
      </c>
      <c r="EX39" s="1390">
        <v>1079.28549</v>
      </c>
      <c r="EY39" s="1372">
        <v>9.6817399999999996</v>
      </c>
      <c r="EZ39" s="1390">
        <v>1285.0984599999999</v>
      </c>
      <c r="FA39" s="1372">
        <v>11.70074</v>
      </c>
      <c r="FB39" s="1390">
        <v>1470.1536899999999</v>
      </c>
      <c r="FC39" s="1372">
        <v>17.75478</v>
      </c>
      <c r="FD39" s="1390">
        <v>1673.56882</v>
      </c>
      <c r="FE39" s="1372">
        <v>22.560479999999998</v>
      </c>
      <c r="FF39" s="1390">
        <v>2008.91327</v>
      </c>
      <c r="FG39" s="1372">
        <v>29.925810000000002</v>
      </c>
      <c r="FH39" s="1390">
        <v>2285.1315399999999</v>
      </c>
      <c r="FI39" s="1372">
        <v>29.925809999999998</v>
      </c>
      <c r="FJ39" s="1635">
        <v>2548.7869500000002</v>
      </c>
      <c r="FK39" s="1636">
        <v>29.925809999999998</v>
      </c>
      <c r="FL39" s="1390">
        <v>2930.0962200000004</v>
      </c>
      <c r="FM39" s="1372">
        <v>37.20581</v>
      </c>
      <c r="FN39" s="1390">
        <v>297.99891000000002</v>
      </c>
      <c r="FO39" s="1372">
        <v>0</v>
      </c>
      <c r="FP39" s="1390">
        <v>595.89308999999992</v>
      </c>
      <c r="FQ39" s="1372">
        <v>1.357</v>
      </c>
      <c r="FR39" s="1425" t="s">
        <v>3518</v>
      </c>
    </row>
    <row r="40" spans="1:174" s="458" customFormat="1" ht="22.5" customHeight="1">
      <c r="A40" s="1370" t="s">
        <v>2328</v>
      </c>
      <c r="B40" s="1371">
        <v>51.055680000000002</v>
      </c>
      <c r="C40" s="1371">
        <v>0</v>
      </c>
      <c r="D40" s="1371">
        <v>91.013509999999997</v>
      </c>
      <c r="E40" s="1371">
        <v>0</v>
      </c>
      <c r="F40" s="1371">
        <v>100.65797000000001</v>
      </c>
      <c r="G40" s="1371">
        <v>0</v>
      </c>
      <c r="H40" s="1371">
        <v>604.91018999999994</v>
      </c>
      <c r="I40" s="1371">
        <v>0</v>
      </c>
      <c r="J40" s="1371">
        <v>1475.1877899999999</v>
      </c>
      <c r="K40" s="1371">
        <v>0.5</v>
      </c>
      <c r="L40" s="1371">
        <v>1608.9224199999999</v>
      </c>
      <c r="M40" s="1371">
        <v>0</v>
      </c>
      <c r="N40" s="1371">
        <v>1699.7741000000001</v>
      </c>
      <c r="O40" s="1371">
        <v>0</v>
      </c>
      <c r="P40" s="1371">
        <v>1745.1833000000001</v>
      </c>
      <c r="Q40" s="1371">
        <v>0.5</v>
      </c>
      <c r="R40" s="1371">
        <v>1749.3558</v>
      </c>
      <c r="S40" s="1371">
        <v>0.5</v>
      </c>
      <c r="T40" s="1371">
        <v>1975.53412</v>
      </c>
      <c r="U40" s="1371">
        <v>0.5</v>
      </c>
      <c r="V40" s="1371">
        <v>2010.81655</v>
      </c>
      <c r="W40" s="1371">
        <v>0.5</v>
      </c>
      <c r="X40" s="1371">
        <v>1949.42254</v>
      </c>
      <c r="Y40" s="1371">
        <v>0.5</v>
      </c>
      <c r="Z40" s="1371">
        <v>121.72788</v>
      </c>
      <c r="AA40" s="1371">
        <v>0</v>
      </c>
      <c r="AB40" s="1371">
        <v>722.29317000000003</v>
      </c>
      <c r="AC40" s="1371">
        <v>0</v>
      </c>
      <c r="AD40" s="1371">
        <v>847.6023100000001</v>
      </c>
      <c r="AE40" s="1371">
        <v>0</v>
      </c>
      <c r="AF40" s="1371">
        <v>907.3378100000001</v>
      </c>
      <c r="AG40" s="1371">
        <v>0</v>
      </c>
      <c r="AH40" s="1371">
        <v>1875.52457</v>
      </c>
      <c r="AI40" s="1371">
        <v>1.6981900000000001</v>
      </c>
      <c r="AJ40" s="1371">
        <v>1861.7083500000001</v>
      </c>
      <c r="AK40" s="1371">
        <v>1.6981900000000001</v>
      </c>
      <c r="AL40" s="1371">
        <v>1937.88321</v>
      </c>
      <c r="AM40" s="1371">
        <v>1.6981900000000001</v>
      </c>
      <c r="AN40" s="1371">
        <v>1947.7882099999999</v>
      </c>
      <c r="AO40" s="1371">
        <v>1.6981900000000001</v>
      </c>
      <c r="AP40" s="1371">
        <v>1951.86986</v>
      </c>
      <c r="AQ40" s="1371">
        <v>1.6981900000000001</v>
      </c>
      <c r="AR40" s="1371">
        <v>1982.5398600000001</v>
      </c>
      <c r="AS40" s="1371">
        <v>1.6981900000000001</v>
      </c>
      <c r="AT40" s="1371">
        <v>2031.4952499999999</v>
      </c>
      <c r="AU40" s="1371">
        <v>1.6981900000000001</v>
      </c>
      <c r="AV40" s="1371">
        <v>2036.5952500000001</v>
      </c>
      <c r="AW40" s="1371">
        <v>1.6981900000000001</v>
      </c>
      <c r="AX40" s="1371">
        <v>659.83371</v>
      </c>
      <c r="AY40" s="1371">
        <v>0</v>
      </c>
      <c r="AZ40" s="1371">
        <v>659.43995999999993</v>
      </c>
      <c r="BA40" s="1371">
        <v>0</v>
      </c>
      <c r="BB40" s="1371">
        <v>662.43995999999993</v>
      </c>
      <c r="BC40" s="1371">
        <v>14.5</v>
      </c>
      <c r="BD40" s="1371">
        <v>787.25101000000006</v>
      </c>
      <c r="BE40" s="1371">
        <v>14.5</v>
      </c>
      <c r="BF40" s="1371">
        <v>1767.8441399999999</v>
      </c>
      <c r="BG40" s="1371">
        <v>14.5</v>
      </c>
      <c r="BH40" s="1371">
        <v>1860.6275900000001</v>
      </c>
      <c r="BI40" s="1371">
        <v>14.5</v>
      </c>
      <c r="BJ40" s="1371">
        <v>1880.2025900000001</v>
      </c>
      <c r="BK40" s="1371">
        <v>14.5</v>
      </c>
      <c r="BL40" s="1371">
        <v>1908.1925900000001</v>
      </c>
      <c r="BM40" s="1371">
        <v>14.5</v>
      </c>
      <c r="BN40" s="1371">
        <v>1945.2010400000001</v>
      </c>
      <c r="BO40" s="1371">
        <v>14.5</v>
      </c>
      <c r="BP40" s="1371">
        <v>2065.5482099999999</v>
      </c>
      <c r="BQ40" s="1371">
        <v>14.5</v>
      </c>
      <c r="BR40" s="1371">
        <v>2080.6442099999999</v>
      </c>
      <c r="BS40" s="1371">
        <v>14.5</v>
      </c>
      <c r="BT40" s="1371">
        <v>2095.5637700000002</v>
      </c>
      <c r="BU40" s="1371">
        <v>14.5</v>
      </c>
      <c r="BV40" s="1371">
        <v>456.15090000000004</v>
      </c>
      <c r="BW40" s="1371">
        <v>0</v>
      </c>
      <c r="BX40" s="1371">
        <v>474.15010999999998</v>
      </c>
      <c r="BY40" s="1371">
        <v>0</v>
      </c>
      <c r="BZ40" s="1371">
        <v>488.95011</v>
      </c>
      <c r="CA40" s="1371">
        <v>0</v>
      </c>
      <c r="CB40" s="1371">
        <v>551.42405000000008</v>
      </c>
      <c r="CC40" s="1371">
        <v>0</v>
      </c>
      <c r="CD40" s="1371">
        <v>1738.12599</v>
      </c>
      <c r="CE40" s="1371">
        <v>0</v>
      </c>
      <c r="CF40" s="1371">
        <v>1806.7803100000001</v>
      </c>
      <c r="CG40" s="1371">
        <v>0</v>
      </c>
      <c r="CH40" s="1371">
        <v>2092.9262899999999</v>
      </c>
      <c r="CI40" s="1371">
        <v>0</v>
      </c>
      <c r="CJ40" s="1371">
        <v>2106.2642900000001</v>
      </c>
      <c r="CK40" s="1371">
        <v>0</v>
      </c>
      <c r="CL40" s="1371">
        <v>2125.7024200000001</v>
      </c>
      <c r="CM40" s="1371">
        <v>0</v>
      </c>
      <c r="CN40" s="1371">
        <v>2154.66516</v>
      </c>
      <c r="CO40" s="1371">
        <v>0</v>
      </c>
      <c r="CP40" s="1371">
        <v>2178.76116</v>
      </c>
      <c r="CQ40" s="1371">
        <v>0</v>
      </c>
      <c r="CR40" s="1371">
        <v>2196.5888100000002</v>
      </c>
      <c r="CS40" s="1371">
        <v>0</v>
      </c>
      <c r="CT40" s="1371">
        <v>477.16990000000004</v>
      </c>
      <c r="CU40" s="1371">
        <v>0</v>
      </c>
      <c r="CV40" s="1371">
        <v>501.52190000000002</v>
      </c>
      <c r="CW40" s="1371">
        <v>0</v>
      </c>
      <c r="CX40" s="1371">
        <v>516.32349999999997</v>
      </c>
      <c r="CY40" s="1371">
        <v>0</v>
      </c>
      <c r="CZ40" s="1371">
        <v>590.63751999999999</v>
      </c>
      <c r="DA40" s="1371">
        <v>0</v>
      </c>
      <c r="DB40" s="1371">
        <v>790.86817000000008</v>
      </c>
      <c r="DC40" s="1371">
        <v>0</v>
      </c>
      <c r="DD40" s="1371">
        <v>848.33146999999997</v>
      </c>
      <c r="DE40" s="1371">
        <v>0</v>
      </c>
      <c r="DF40" s="1371">
        <v>848.05002999999999</v>
      </c>
      <c r="DG40" s="1371">
        <v>0</v>
      </c>
      <c r="DH40" s="1371">
        <v>875.92003</v>
      </c>
      <c r="DI40" s="1371">
        <v>0</v>
      </c>
      <c r="DJ40" s="1371">
        <v>895.72003000000007</v>
      </c>
      <c r="DK40" s="1371">
        <v>0</v>
      </c>
      <c r="DL40" s="1371">
        <v>949.3143</v>
      </c>
      <c r="DM40" s="1371">
        <v>0</v>
      </c>
      <c r="DN40" s="1371">
        <v>963.35743000000002</v>
      </c>
      <c r="DO40" s="1371">
        <v>0</v>
      </c>
      <c r="DP40" s="1371">
        <v>968.94142999999997</v>
      </c>
      <c r="DQ40" s="1386">
        <v>0</v>
      </c>
      <c r="DR40" s="1397">
        <v>431.1268</v>
      </c>
      <c r="DS40" s="1372">
        <v>0</v>
      </c>
      <c r="DT40" s="1390">
        <v>431.1268</v>
      </c>
      <c r="DU40" s="1386">
        <v>0</v>
      </c>
      <c r="DV40" s="1397">
        <v>442.01679999999999</v>
      </c>
      <c r="DW40" s="1372">
        <v>0</v>
      </c>
      <c r="DX40" s="1390">
        <v>497.82985000000002</v>
      </c>
      <c r="DY40" s="1386">
        <v>0</v>
      </c>
      <c r="DZ40" s="1397">
        <v>561.50392999999997</v>
      </c>
      <c r="EA40" s="1372">
        <v>0</v>
      </c>
      <c r="EB40" s="1390">
        <v>603.90137000000004</v>
      </c>
      <c r="EC40" s="1372">
        <v>0</v>
      </c>
      <c r="ED40" s="1397">
        <v>658.12136999999996</v>
      </c>
      <c r="EE40" s="1372">
        <v>0</v>
      </c>
      <c r="EF40" s="1397">
        <v>678.12136999999996</v>
      </c>
      <c r="EG40" s="1372">
        <v>0</v>
      </c>
      <c r="EH40" s="1390">
        <v>800.11095999999998</v>
      </c>
      <c r="EI40" s="1372">
        <v>0</v>
      </c>
      <c r="EJ40" s="1390">
        <v>822.93856000000005</v>
      </c>
      <c r="EK40" s="1372">
        <v>0</v>
      </c>
      <c r="EL40" s="1390">
        <v>832.58856000000003</v>
      </c>
      <c r="EM40" s="1372">
        <v>0</v>
      </c>
      <c r="EN40" s="1390">
        <v>922.37945999999999</v>
      </c>
      <c r="EO40" s="1372">
        <v>0</v>
      </c>
      <c r="EP40" s="1390">
        <v>603.07500000000005</v>
      </c>
      <c r="EQ40" s="1372">
        <v>0</v>
      </c>
      <c r="ER40" s="1390">
        <v>648.94133999999997</v>
      </c>
      <c r="ES40" s="1372">
        <v>0</v>
      </c>
      <c r="ET40" s="1635">
        <v>671.89203999999995</v>
      </c>
      <c r="EU40" s="1636">
        <v>0</v>
      </c>
      <c r="EV40" s="1390">
        <v>732.51094999999998</v>
      </c>
      <c r="EW40" s="1372">
        <v>0</v>
      </c>
      <c r="EX40" s="1390">
        <v>817.03789000000006</v>
      </c>
      <c r="EY40" s="1372">
        <v>0</v>
      </c>
      <c r="EZ40" s="1390">
        <v>995.87396000000001</v>
      </c>
      <c r="FA40" s="1372">
        <v>0</v>
      </c>
      <c r="FB40" s="1390">
        <v>1040.8739599999999</v>
      </c>
      <c r="FC40" s="1372">
        <v>0</v>
      </c>
      <c r="FD40" s="1390">
        <v>1113.9294400000001</v>
      </c>
      <c r="FE40" s="1372">
        <v>0</v>
      </c>
      <c r="FF40" s="1390">
        <v>1164.25224</v>
      </c>
      <c r="FG40" s="1372">
        <v>0</v>
      </c>
      <c r="FH40" s="1390">
        <v>1167.9682399999999</v>
      </c>
      <c r="FI40" s="1372">
        <v>0</v>
      </c>
      <c r="FJ40" s="1635">
        <v>1196.6032399999999</v>
      </c>
      <c r="FK40" s="1636">
        <v>0</v>
      </c>
      <c r="FL40" s="1390">
        <v>1300.59329</v>
      </c>
      <c r="FM40" s="1372">
        <v>0</v>
      </c>
      <c r="FN40" s="1390">
        <v>1044.1762000000001</v>
      </c>
      <c r="FO40" s="1372">
        <v>0</v>
      </c>
      <c r="FP40" s="1390">
        <v>1060.3113000000001</v>
      </c>
      <c r="FQ40" s="1372">
        <v>0</v>
      </c>
      <c r="FR40" s="1373" t="s">
        <v>3519</v>
      </c>
    </row>
    <row r="41" spans="1:174" s="458" customFormat="1" ht="22.5" customHeight="1">
      <c r="A41" s="1370" t="s">
        <v>2327</v>
      </c>
      <c r="B41" s="1371">
        <v>26.13138</v>
      </c>
      <c r="C41" s="1371">
        <v>0.63214999999999999</v>
      </c>
      <c r="D41" s="1371">
        <v>128.84253000000001</v>
      </c>
      <c r="E41" s="1371">
        <v>1.26431</v>
      </c>
      <c r="F41" s="1371">
        <v>521.34888000000001</v>
      </c>
      <c r="G41" s="1371">
        <v>1.8964799999999999</v>
      </c>
      <c r="H41" s="1371">
        <v>524.43885</v>
      </c>
      <c r="I41" s="1371">
        <v>2.5286500000000003</v>
      </c>
      <c r="J41" s="1371">
        <v>564.05007000000001</v>
      </c>
      <c r="K41" s="1371">
        <v>14.945549999999999</v>
      </c>
      <c r="L41" s="1371">
        <v>590.16</v>
      </c>
      <c r="M41" s="1371">
        <v>5.6303199999999993</v>
      </c>
      <c r="N41" s="1371">
        <v>740.40816000000007</v>
      </c>
      <c r="O41" s="1371">
        <v>6.2624899999999997</v>
      </c>
      <c r="P41" s="1371">
        <v>928.63535000000002</v>
      </c>
      <c r="Q41" s="1371">
        <v>6.89466</v>
      </c>
      <c r="R41" s="1371">
        <v>1012.83852</v>
      </c>
      <c r="S41" s="1371">
        <v>7.5268100000000002</v>
      </c>
      <c r="T41" s="1371">
        <v>1038.2603100000001</v>
      </c>
      <c r="U41" s="1371">
        <v>8.1589700000000001</v>
      </c>
      <c r="V41" s="1371">
        <v>1133.8602100000001</v>
      </c>
      <c r="W41" s="1371">
        <v>8.7911200000000012</v>
      </c>
      <c r="X41" s="1371">
        <v>1183.546</v>
      </c>
      <c r="Y41" s="1371">
        <v>9.4232900000000015</v>
      </c>
      <c r="Z41" s="1371">
        <v>67.608100000000007</v>
      </c>
      <c r="AA41" s="1371">
        <v>15.565430000000001</v>
      </c>
      <c r="AB41" s="1371">
        <v>89.040009999999995</v>
      </c>
      <c r="AC41" s="1371">
        <v>16.197600000000001</v>
      </c>
      <c r="AD41" s="1371">
        <v>242.09776000000002</v>
      </c>
      <c r="AE41" s="1371">
        <v>16.829759999999997</v>
      </c>
      <c r="AF41" s="1371">
        <v>532.84492</v>
      </c>
      <c r="AG41" s="1371">
        <v>17.461919999999999</v>
      </c>
      <c r="AH41" s="1371">
        <v>599.43362000000002</v>
      </c>
      <c r="AI41" s="1371">
        <v>18.094080000000002</v>
      </c>
      <c r="AJ41" s="1371">
        <v>673.74757999999997</v>
      </c>
      <c r="AK41" s="1371">
        <v>18.726220000000001</v>
      </c>
      <c r="AL41" s="1371">
        <v>774.74785999999995</v>
      </c>
      <c r="AM41" s="1371">
        <v>19.34836</v>
      </c>
      <c r="AN41" s="1371">
        <v>828.51605000000006</v>
      </c>
      <c r="AO41" s="1371">
        <v>19.990490000000001</v>
      </c>
      <c r="AP41" s="1371">
        <v>943.28592000000003</v>
      </c>
      <c r="AQ41" s="1371">
        <v>20.622619999999998</v>
      </c>
      <c r="AR41" s="1371">
        <v>1037.94271</v>
      </c>
      <c r="AS41" s="1371">
        <v>21.254750000000001</v>
      </c>
      <c r="AT41" s="1371">
        <v>1090.4873700000001</v>
      </c>
      <c r="AU41" s="1371">
        <v>21.886880000000001</v>
      </c>
      <c r="AV41" s="1371">
        <v>1125.8515199999999</v>
      </c>
      <c r="AW41" s="1371">
        <v>22.519009999999998</v>
      </c>
      <c r="AX41" s="1371">
        <v>61.998949999999994</v>
      </c>
      <c r="AY41" s="1371">
        <v>0.63212999999999997</v>
      </c>
      <c r="AZ41" s="1371">
        <v>188.77538000000001</v>
      </c>
      <c r="BA41" s="1371">
        <v>2.8088500000000001</v>
      </c>
      <c r="BB41" s="1371">
        <v>324.43331999999998</v>
      </c>
      <c r="BC41" s="1371">
        <v>1.4743499999999998</v>
      </c>
      <c r="BD41" s="1371">
        <v>752.43362000000002</v>
      </c>
      <c r="BE41" s="1371">
        <v>3.6510700000000003</v>
      </c>
      <c r="BF41" s="1371">
        <v>799.62149999999997</v>
      </c>
      <c r="BG41" s="1371">
        <v>4.0721799999999995</v>
      </c>
      <c r="BH41" s="1371">
        <v>822.95349999999996</v>
      </c>
      <c r="BI41" s="1371">
        <v>26.293290000000002</v>
      </c>
      <c r="BJ41" s="1371">
        <v>874.20627000000002</v>
      </c>
      <c r="BK41" s="1371">
        <v>36.714400000000005</v>
      </c>
      <c r="BL41" s="1371">
        <v>931.79926999999998</v>
      </c>
      <c r="BM41" s="1371">
        <v>37.135510000000004</v>
      </c>
      <c r="BN41" s="1371">
        <v>1025.30034</v>
      </c>
      <c r="BO41" s="1371">
        <v>37.556620000000002</v>
      </c>
      <c r="BP41" s="1371">
        <v>1093.45417</v>
      </c>
      <c r="BQ41" s="1371">
        <v>37.977730000000001</v>
      </c>
      <c r="BR41" s="1371">
        <v>1167.7885200000001</v>
      </c>
      <c r="BS41" s="1371">
        <v>14.84323</v>
      </c>
      <c r="BT41" s="1371">
        <v>1212.5661299999999</v>
      </c>
      <c r="BU41" s="1371">
        <v>38.819949999999999</v>
      </c>
      <c r="BV41" s="1371">
        <v>53.174019999999999</v>
      </c>
      <c r="BW41" s="1371">
        <v>0.42111000000000004</v>
      </c>
      <c r="BX41" s="1371">
        <v>66.11045</v>
      </c>
      <c r="BY41" s="1371">
        <v>0.84222000000000008</v>
      </c>
      <c r="BZ41" s="1371">
        <v>476.62711999999999</v>
      </c>
      <c r="CA41" s="1371">
        <v>18.272169999999999</v>
      </c>
      <c r="CB41" s="1371">
        <v>527.79368999999997</v>
      </c>
      <c r="CC41" s="1371">
        <v>18.272169999999999</v>
      </c>
      <c r="CD41" s="1371">
        <v>592.05367000000001</v>
      </c>
      <c r="CE41" s="1371">
        <v>18.272169999999999</v>
      </c>
      <c r="CF41" s="1371">
        <v>628.06817000000001</v>
      </c>
      <c r="CG41" s="1371">
        <v>18.272169999999999</v>
      </c>
      <c r="CH41" s="1371">
        <v>670.85056000000009</v>
      </c>
      <c r="CI41" s="1371">
        <v>18.272169999999999</v>
      </c>
      <c r="CJ41" s="1371">
        <v>730.83656000000008</v>
      </c>
      <c r="CK41" s="1371">
        <v>18.272169999999999</v>
      </c>
      <c r="CL41" s="1371">
        <v>782.38797</v>
      </c>
      <c r="CM41" s="1371">
        <v>18.272169999999999</v>
      </c>
      <c r="CN41" s="1371">
        <v>811.59412999999995</v>
      </c>
      <c r="CO41" s="1371">
        <v>18.272169999999999</v>
      </c>
      <c r="CP41" s="1371">
        <v>858.5006800000001</v>
      </c>
      <c r="CQ41" s="1371">
        <v>18.272169999999999</v>
      </c>
      <c r="CR41" s="1371">
        <v>898.22616000000005</v>
      </c>
      <c r="CS41" s="1371">
        <v>18.272169999999999</v>
      </c>
      <c r="CT41" s="1371">
        <v>166.61133999999998</v>
      </c>
      <c r="CU41" s="1371">
        <v>0</v>
      </c>
      <c r="CV41" s="1371">
        <v>176.72633999999999</v>
      </c>
      <c r="CW41" s="1371">
        <v>0</v>
      </c>
      <c r="CX41" s="1371">
        <v>573.88420999999994</v>
      </c>
      <c r="CY41" s="1371">
        <v>0</v>
      </c>
      <c r="CZ41" s="1371">
        <v>585.66920999999991</v>
      </c>
      <c r="DA41" s="1371">
        <v>0</v>
      </c>
      <c r="DB41" s="1371">
        <v>668.13387999999998</v>
      </c>
      <c r="DC41" s="1371">
        <v>0</v>
      </c>
      <c r="DD41" s="1371">
        <v>687.94227999999998</v>
      </c>
      <c r="DE41" s="1371">
        <v>0</v>
      </c>
      <c r="DF41" s="1371">
        <v>760.94778000000008</v>
      </c>
      <c r="DG41" s="1371">
        <v>0</v>
      </c>
      <c r="DH41" s="1371">
        <v>813.9826700000001</v>
      </c>
      <c r="DI41" s="1371">
        <v>0</v>
      </c>
      <c r="DJ41" s="1371">
        <v>879.42207999999994</v>
      </c>
      <c r="DK41" s="1371">
        <v>0</v>
      </c>
      <c r="DL41" s="1371">
        <v>882.57208000000003</v>
      </c>
      <c r="DM41" s="1371">
        <v>0</v>
      </c>
      <c r="DN41" s="1371">
        <v>899.35368000000005</v>
      </c>
      <c r="DO41" s="1371">
        <v>0</v>
      </c>
      <c r="DP41" s="1371">
        <v>1041.5200400000001</v>
      </c>
      <c r="DQ41" s="1386">
        <v>0</v>
      </c>
      <c r="DR41" s="1397">
        <v>54.515810000000002</v>
      </c>
      <c r="DS41" s="1372">
        <v>0</v>
      </c>
      <c r="DT41" s="1390">
        <v>82.782799999999995</v>
      </c>
      <c r="DU41" s="1386">
        <v>0</v>
      </c>
      <c r="DV41" s="1397">
        <v>148.32335</v>
      </c>
      <c r="DW41" s="1372">
        <v>0</v>
      </c>
      <c r="DX41" s="1390">
        <v>450.96544</v>
      </c>
      <c r="DY41" s="1386">
        <v>0</v>
      </c>
      <c r="DZ41" s="1397">
        <v>501.13162</v>
      </c>
      <c r="EA41" s="1372">
        <v>0</v>
      </c>
      <c r="EB41" s="1390">
        <v>552.69034999999997</v>
      </c>
      <c r="EC41" s="1372">
        <v>0</v>
      </c>
      <c r="ED41" s="1397">
        <v>603.53944999999999</v>
      </c>
      <c r="EE41" s="1372">
        <v>0</v>
      </c>
      <c r="EF41" s="1397">
        <v>648.68970000000002</v>
      </c>
      <c r="EG41" s="1372">
        <v>0</v>
      </c>
      <c r="EH41" s="1390">
        <v>703.59090000000003</v>
      </c>
      <c r="EI41" s="1372">
        <v>0</v>
      </c>
      <c r="EJ41" s="1390">
        <v>705.98054000000002</v>
      </c>
      <c r="EK41" s="1372">
        <v>0</v>
      </c>
      <c r="EL41" s="1390">
        <v>748.14004</v>
      </c>
      <c r="EM41" s="1372">
        <v>0</v>
      </c>
      <c r="EN41" s="1390">
        <v>851.70090000000005</v>
      </c>
      <c r="EO41" s="1372">
        <v>0</v>
      </c>
      <c r="EP41" s="1390">
        <v>63.844910000000006</v>
      </c>
      <c r="EQ41" s="1372">
        <v>0</v>
      </c>
      <c r="ER41" s="1390">
        <v>70.420240000000007</v>
      </c>
      <c r="ES41" s="1372">
        <v>0</v>
      </c>
      <c r="ET41" s="1635">
        <v>147.96654000000001</v>
      </c>
      <c r="EU41" s="1636">
        <v>0</v>
      </c>
      <c r="EV41" s="1390">
        <v>477.53044</v>
      </c>
      <c r="EW41" s="1372">
        <v>0</v>
      </c>
      <c r="EX41" s="1390">
        <v>523.08205999999996</v>
      </c>
      <c r="EY41" s="1372">
        <v>0</v>
      </c>
      <c r="EZ41" s="1390">
        <v>568.98235999999997</v>
      </c>
      <c r="FA41" s="1372">
        <v>0</v>
      </c>
      <c r="FB41" s="1390">
        <v>581.40736000000004</v>
      </c>
      <c r="FC41" s="1372">
        <v>0</v>
      </c>
      <c r="FD41" s="1390">
        <v>675.54061000000002</v>
      </c>
      <c r="FE41" s="1372">
        <v>0</v>
      </c>
      <c r="FF41" s="1390">
        <v>756.97481000000005</v>
      </c>
      <c r="FG41" s="1372">
        <v>0</v>
      </c>
      <c r="FH41" s="1390">
        <v>775.00581</v>
      </c>
      <c r="FI41" s="1372">
        <v>0</v>
      </c>
      <c r="FJ41" s="1635">
        <v>805.77395000000001</v>
      </c>
      <c r="FK41" s="1636">
        <v>0</v>
      </c>
      <c r="FL41" s="1390">
        <v>894.43224999999995</v>
      </c>
      <c r="FM41" s="1372">
        <v>0</v>
      </c>
      <c r="FN41" s="1390">
        <v>83.509169999999997</v>
      </c>
      <c r="FO41" s="1372">
        <v>0</v>
      </c>
      <c r="FP41" s="1390">
        <v>99.137169999999998</v>
      </c>
      <c r="FQ41" s="1372">
        <v>0</v>
      </c>
      <c r="FR41" s="1373" t="s">
        <v>3287</v>
      </c>
    </row>
    <row r="42" spans="1:174" s="458" customFormat="1" ht="22.5" customHeight="1">
      <c r="A42" s="1370" t="s">
        <v>2326</v>
      </c>
      <c r="B42" s="1371">
        <v>0</v>
      </c>
      <c r="C42" s="1371">
        <v>0</v>
      </c>
      <c r="D42" s="1371">
        <v>26.929490000000001</v>
      </c>
      <c r="E42" s="1371">
        <v>27.99999</v>
      </c>
      <c r="F42" s="1371">
        <v>27.479490000000002</v>
      </c>
      <c r="G42" s="1371">
        <v>45.935989999999997</v>
      </c>
      <c r="H42" s="1371">
        <v>27.479490000000002</v>
      </c>
      <c r="I42" s="1371">
        <v>45.935989999999997</v>
      </c>
      <c r="J42" s="1371">
        <v>27.479490000000002</v>
      </c>
      <c r="K42" s="1371">
        <v>45.935989999999997</v>
      </c>
      <c r="L42" s="1371">
        <v>27.479490000000002</v>
      </c>
      <c r="M42" s="1371">
        <v>45.935989999999997</v>
      </c>
      <c r="N42" s="1371">
        <v>27.479490000000002</v>
      </c>
      <c r="O42" s="1371">
        <v>45.935989999999997</v>
      </c>
      <c r="P42" s="1371">
        <v>28.519490000000001</v>
      </c>
      <c r="Q42" s="1371">
        <v>45.935989999999997</v>
      </c>
      <c r="R42" s="1371">
        <v>28.909490000000002</v>
      </c>
      <c r="S42" s="1371">
        <v>45.935989999999997</v>
      </c>
      <c r="T42" s="1371">
        <v>28.909490000000002</v>
      </c>
      <c r="U42" s="1371">
        <v>45.935989999999997</v>
      </c>
      <c r="V42" s="1371">
        <v>28.909490000000002</v>
      </c>
      <c r="W42" s="1371">
        <v>75.935990000000004</v>
      </c>
      <c r="X42" s="1371">
        <v>28.909490000000002</v>
      </c>
      <c r="Y42" s="1371">
        <v>75.935990000000004</v>
      </c>
      <c r="Z42" s="1371">
        <v>34.5</v>
      </c>
      <c r="AA42" s="1371">
        <v>0</v>
      </c>
      <c r="AB42" s="1371">
        <v>50.199949999999994</v>
      </c>
      <c r="AC42" s="1371">
        <v>0</v>
      </c>
      <c r="AD42" s="1371">
        <v>50.2</v>
      </c>
      <c r="AE42" s="1371">
        <v>0</v>
      </c>
      <c r="AF42" s="1371">
        <v>50.199949999999994</v>
      </c>
      <c r="AG42" s="1371">
        <v>0</v>
      </c>
      <c r="AH42" s="1371">
        <v>50.199949999999994</v>
      </c>
      <c r="AI42" s="1371">
        <v>0</v>
      </c>
      <c r="AJ42" s="1371">
        <v>50.199949999999994</v>
      </c>
      <c r="AK42" s="1371">
        <v>0</v>
      </c>
      <c r="AL42" s="1371">
        <v>50.199949999999994</v>
      </c>
      <c r="AM42" s="1371">
        <v>0</v>
      </c>
      <c r="AN42" s="1371">
        <v>50.199949999999994</v>
      </c>
      <c r="AO42" s="1371">
        <v>0</v>
      </c>
      <c r="AP42" s="1371">
        <v>50.396180000000001</v>
      </c>
      <c r="AQ42" s="1371">
        <v>0</v>
      </c>
      <c r="AR42" s="1371">
        <v>50.396180000000001</v>
      </c>
      <c r="AS42" s="1371">
        <v>0</v>
      </c>
      <c r="AT42" s="1371">
        <v>50.396180000000001</v>
      </c>
      <c r="AU42" s="1371">
        <v>0</v>
      </c>
      <c r="AV42" s="1371">
        <v>50.396180000000001</v>
      </c>
      <c r="AW42" s="1371">
        <v>0</v>
      </c>
      <c r="AX42" s="1371">
        <v>0</v>
      </c>
      <c r="AY42" s="1371">
        <v>0</v>
      </c>
      <c r="AZ42" s="1371">
        <v>0</v>
      </c>
      <c r="BA42" s="1371">
        <v>0</v>
      </c>
      <c r="BB42" s="1371">
        <v>0</v>
      </c>
      <c r="BC42" s="1371">
        <v>0</v>
      </c>
      <c r="BD42" s="1371">
        <v>0</v>
      </c>
      <c r="BE42" s="1371">
        <v>0</v>
      </c>
      <c r="BF42" s="1371">
        <v>0</v>
      </c>
      <c r="BG42" s="1371">
        <v>0</v>
      </c>
      <c r="BH42" s="1371">
        <v>0</v>
      </c>
      <c r="BI42" s="1371">
        <v>0</v>
      </c>
      <c r="BJ42" s="1371">
        <v>0</v>
      </c>
      <c r="BK42" s="1371">
        <v>0</v>
      </c>
      <c r="BL42" s="1371">
        <v>0</v>
      </c>
      <c r="BM42" s="1371">
        <v>0</v>
      </c>
      <c r="BN42" s="1371">
        <v>0</v>
      </c>
      <c r="BO42" s="1371">
        <v>0</v>
      </c>
      <c r="BP42" s="1371">
        <v>0</v>
      </c>
      <c r="BQ42" s="1371">
        <v>0</v>
      </c>
      <c r="BR42" s="1371">
        <v>0</v>
      </c>
      <c r="BS42" s="1371">
        <v>0</v>
      </c>
      <c r="BT42" s="1371">
        <v>0</v>
      </c>
      <c r="BU42" s="1371">
        <v>0</v>
      </c>
      <c r="BV42" s="1371">
        <v>0</v>
      </c>
      <c r="BW42" s="1371">
        <v>0</v>
      </c>
      <c r="BX42" s="1371">
        <v>0</v>
      </c>
      <c r="BY42" s="1371">
        <v>0</v>
      </c>
      <c r="BZ42" s="1371">
        <v>0</v>
      </c>
      <c r="CA42" s="1371">
        <v>0</v>
      </c>
      <c r="CB42" s="1371">
        <v>0</v>
      </c>
      <c r="CC42" s="1371">
        <v>0</v>
      </c>
      <c r="CD42" s="1371">
        <v>0</v>
      </c>
      <c r="CE42" s="1371">
        <v>0</v>
      </c>
      <c r="CF42" s="1371">
        <v>0</v>
      </c>
      <c r="CG42" s="1371">
        <v>2.6538600000000003</v>
      </c>
      <c r="CH42" s="1371">
        <v>0</v>
      </c>
      <c r="CI42" s="1371">
        <v>2.6538600000000003</v>
      </c>
      <c r="CJ42" s="1371">
        <v>0</v>
      </c>
      <c r="CK42" s="1371">
        <v>2.6538600000000003</v>
      </c>
      <c r="CL42" s="1371">
        <v>0</v>
      </c>
      <c r="CM42" s="1371">
        <v>2.6538600000000003</v>
      </c>
      <c r="CN42" s="1371">
        <v>0</v>
      </c>
      <c r="CO42" s="1371">
        <v>2.6538600000000003</v>
      </c>
      <c r="CP42" s="1371">
        <v>0</v>
      </c>
      <c r="CQ42" s="1371">
        <v>2.6538600000000003</v>
      </c>
      <c r="CR42" s="1371">
        <v>0</v>
      </c>
      <c r="CS42" s="1371">
        <v>2.6538600000000003</v>
      </c>
      <c r="CT42" s="1371">
        <v>0</v>
      </c>
      <c r="CU42" s="1371">
        <v>0</v>
      </c>
      <c r="CV42" s="1371">
        <v>0</v>
      </c>
      <c r="CW42" s="1371">
        <v>0</v>
      </c>
      <c r="CX42" s="1371">
        <v>0</v>
      </c>
      <c r="CY42" s="1371">
        <v>0</v>
      </c>
      <c r="CZ42" s="1371">
        <v>0</v>
      </c>
      <c r="DA42" s="1371">
        <v>0</v>
      </c>
      <c r="DB42" s="1371">
        <v>0</v>
      </c>
      <c r="DC42" s="1371">
        <v>0</v>
      </c>
      <c r="DD42" s="1371">
        <v>0</v>
      </c>
      <c r="DE42" s="1371">
        <v>0</v>
      </c>
      <c r="DF42" s="1371">
        <v>0</v>
      </c>
      <c r="DG42" s="1371">
        <v>0</v>
      </c>
      <c r="DH42" s="1371">
        <v>0</v>
      </c>
      <c r="DI42" s="1371">
        <v>0</v>
      </c>
      <c r="DJ42" s="1371">
        <v>0</v>
      </c>
      <c r="DK42" s="1371">
        <v>0</v>
      </c>
      <c r="DL42" s="1371">
        <v>0</v>
      </c>
      <c r="DM42" s="1371">
        <v>0</v>
      </c>
      <c r="DN42" s="1371">
        <v>0</v>
      </c>
      <c r="DO42" s="1371">
        <v>0</v>
      </c>
      <c r="DP42" s="1371">
        <v>0</v>
      </c>
      <c r="DQ42" s="1386">
        <v>0</v>
      </c>
      <c r="DR42" s="1397">
        <v>0</v>
      </c>
      <c r="DS42" s="1372">
        <v>0</v>
      </c>
      <c r="DT42" s="1390">
        <v>0</v>
      </c>
      <c r="DU42" s="1386">
        <v>0</v>
      </c>
      <c r="DV42" s="1397">
        <v>0</v>
      </c>
      <c r="DW42" s="1372">
        <v>0</v>
      </c>
      <c r="DX42" s="1390">
        <v>0</v>
      </c>
      <c r="DY42" s="1386">
        <v>0</v>
      </c>
      <c r="DZ42" s="1397">
        <v>0</v>
      </c>
      <c r="EA42" s="1372">
        <v>0</v>
      </c>
      <c r="EB42" s="1390">
        <v>0</v>
      </c>
      <c r="EC42" s="1372">
        <v>0</v>
      </c>
      <c r="ED42" s="1397">
        <v>0</v>
      </c>
      <c r="EE42" s="1372">
        <v>0</v>
      </c>
      <c r="EF42" s="1397">
        <v>0</v>
      </c>
      <c r="EG42" s="1372">
        <v>0</v>
      </c>
      <c r="EH42" s="1390">
        <v>0</v>
      </c>
      <c r="EI42" s="1372">
        <v>0</v>
      </c>
      <c r="EJ42" s="1390">
        <v>0.93500000000000005</v>
      </c>
      <c r="EK42" s="1372">
        <v>0</v>
      </c>
      <c r="EL42" s="1390">
        <v>43.86</v>
      </c>
      <c r="EM42" s="1372">
        <v>0</v>
      </c>
      <c r="EN42" s="1390">
        <v>44.37</v>
      </c>
      <c r="EO42" s="1372">
        <v>0</v>
      </c>
      <c r="EP42" s="1390">
        <v>0</v>
      </c>
      <c r="EQ42" s="1372">
        <v>0</v>
      </c>
      <c r="ER42" s="1390">
        <v>1.7</v>
      </c>
      <c r="ES42" s="1372">
        <v>0</v>
      </c>
      <c r="ET42" s="1635">
        <v>2.5499999999999998</v>
      </c>
      <c r="EU42" s="1636">
        <v>0</v>
      </c>
      <c r="EV42" s="1390">
        <v>3.4</v>
      </c>
      <c r="EW42" s="1372">
        <v>0</v>
      </c>
      <c r="EX42" s="1390">
        <v>4.25</v>
      </c>
      <c r="EY42" s="1372">
        <v>0</v>
      </c>
      <c r="EZ42" s="1390">
        <v>45.475000000000001</v>
      </c>
      <c r="FA42" s="1372">
        <v>0</v>
      </c>
      <c r="FB42" s="1390">
        <v>48.024999999999999</v>
      </c>
      <c r="FC42" s="1372">
        <v>0</v>
      </c>
      <c r="FD42" s="1390">
        <v>48.45</v>
      </c>
      <c r="FE42" s="1372">
        <v>0</v>
      </c>
      <c r="FF42" s="1390">
        <v>59.524999999999999</v>
      </c>
      <c r="FG42" s="1372">
        <v>0</v>
      </c>
      <c r="FH42" s="1390">
        <v>62.075000000000003</v>
      </c>
      <c r="FI42" s="1372">
        <v>0</v>
      </c>
      <c r="FJ42" s="1635">
        <v>63.435000000000002</v>
      </c>
      <c r="FK42" s="1636">
        <v>0</v>
      </c>
      <c r="FL42" s="1390">
        <v>131.52000000000001</v>
      </c>
      <c r="FM42" s="1372">
        <v>0</v>
      </c>
      <c r="FN42" s="1390">
        <v>17.425000000000001</v>
      </c>
      <c r="FO42" s="1372">
        <v>0</v>
      </c>
      <c r="FP42" s="1390">
        <v>18.7</v>
      </c>
      <c r="FQ42" s="1372">
        <v>3.1535000000000002</v>
      </c>
      <c r="FR42" s="1373" t="s">
        <v>3520</v>
      </c>
    </row>
    <row r="43" spans="1:174" s="458" customFormat="1" ht="22.5" customHeight="1">
      <c r="A43" s="1370" t="s">
        <v>2325</v>
      </c>
      <c r="B43" s="1371">
        <v>0</v>
      </c>
      <c r="C43" s="1371">
        <v>0</v>
      </c>
      <c r="D43" s="1371">
        <v>162.97541000000001</v>
      </c>
      <c r="E43" s="1371">
        <v>0</v>
      </c>
      <c r="F43" s="1371">
        <v>162.97541000000001</v>
      </c>
      <c r="G43" s="1371">
        <v>0</v>
      </c>
      <c r="H43" s="1371">
        <v>162.97541000000001</v>
      </c>
      <c r="I43" s="1371">
        <v>0</v>
      </c>
      <c r="J43" s="1371">
        <v>162.97541000000001</v>
      </c>
      <c r="K43" s="1371">
        <v>0</v>
      </c>
      <c r="L43" s="1371">
        <v>162.97541000000001</v>
      </c>
      <c r="M43" s="1371">
        <v>0</v>
      </c>
      <c r="N43" s="1371">
        <v>162.97541000000001</v>
      </c>
      <c r="O43" s="1371">
        <v>0</v>
      </c>
      <c r="P43" s="1371">
        <v>231.00341</v>
      </c>
      <c r="Q43" s="1371">
        <v>0</v>
      </c>
      <c r="R43" s="1371">
        <v>231.00341</v>
      </c>
      <c r="S43" s="1371">
        <v>0</v>
      </c>
      <c r="T43" s="1371">
        <v>249.19662</v>
      </c>
      <c r="U43" s="1371">
        <v>0</v>
      </c>
      <c r="V43" s="1371">
        <v>249.19662</v>
      </c>
      <c r="W43" s="1371">
        <v>0</v>
      </c>
      <c r="X43" s="1371">
        <v>249.19662</v>
      </c>
      <c r="Y43" s="1371">
        <v>0</v>
      </c>
      <c r="Z43" s="1371">
        <v>0</v>
      </c>
      <c r="AA43" s="1371">
        <v>0</v>
      </c>
      <c r="AB43" s="1371">
        <v>161.96679999999998</v>
      </c>
      <c r="AC43" s="1371">
        <v>0</v>
      </c>
      <c r="AD43" s="1371">
        <v>182.20479</v>
      </c>
      <c r="AE43" s="1371">
        <v>0</v>
      </c>
      <c r="AF43" s="1371">
        <v>182.20479</v>
      </c>
      <c r="AG43" s="1371">
        <v>0</v>
      </c>
      <c r="AH43" s="1371">
        <v>182.20479</v>
      </c>
      <c r="AI43" s="1371">
        <v>0</v>
      </c>
      <c r="AJ43" s="1371">
        <v>182.20479</v>
      </c>
      <c r="AK43" s="1371">
        <v>0</v>
      </c>
      <c r="AL43" s="1371">
        <v>182.20479</v>
      </c>
      <c r="AM43" s="1371">
        <v>0</v>
      </c>
      <c r="AN43" s="1371">
        <v>209.39558</v>
      </c>
      <c r="AO43" s="1371">
        <v>0</v>
      </c>
      <c r="AP43" s="1371">
        <v>227.54558</v>
      </c>
      <c r="AQ43" s="1371">
        <v>0</v>
      </c>
      <c r="AR43" s="1371">
        <v>227.58557999999999</v>
      </c>
      <c r="AS43" s="1371">
        <v>0</v>
      </c>
      <c r="AT43" s="1371">
        <v>227.58557999999999</v>
      </c>
      <c r="AU43" s="1371">
        <v>0</v>
      </c>
      <c r="AV43" s="1371">
        <v>269.89418999999998</v>
      </c>
      <c r="AW43" s="1371">
        <v>0</v>
      </c>
      <c r="AX43" s="1371">
        <v>0</v>
      </c>
      <c r="AY43" s="1371">
        <v>0</v>
      </c>
      <c r="AZ43" s="1371">
        <v>226.0881</v>
      </c>
      <c r="BA43" s="1371">
        <v>0</v>
      </c>
      <c r="BB43" s="1371">
        <v>301.55164000000002</v>
      </c>
      <c r="BC43" s="1371">
        <v>0</v>
      </c>
      <c r="BD43" s="1371">
        <v>306.12634000000003</v>
      </c>
      <c r="BE43" s="1371">
        <v>0</v>
      </c>
      <c r="BF43" s="1371">
        <v>306.12634000000003</v>
      </c>
      <c r="BG43" s="1371">
        <v>0</v>
      </c>
      <c r="BH43" s="1371">
        <v>306.12634000000003</v>
      </c>
      <c r="BI43" s="1371">
        <v>0</v>
      </c>
      <c r="BJ43" s="1371">
        <v>316.76834000000002</v>
      </c>
      <c r="BK43" s="1371">
        <v>0</v>
      </c>
      <c r="BL43" s="1371">
        <v>343.54164000000003</v>
      </c>
      <c r="BM43" s="1371">
        <v>0</v>
      </c>
      <c r="BN43" s="1371">
        <v>343.54164000000003</v>
      </c>
      <c r="BO43" s="1371">
        <v>0</v>
      </c>
      <c r="BP43" s="1371">
        <v>343.54164000000003</v>
      </c>
      <c r="BQ43" s="1371">
        <v>0</v>
      </c>
      <c r="BR43" s="1371">
        <v>353.60179999999997</v>
      </c>
      <c r="BS43" s="1371">
        <v>0</v>
      </c>
      <c r="BT43" s="1371">
        <v>361.1345</v>
      </c>
      <c r="BU43" s="1371">
        <v>0</v>
      </c>
      <c r="BV43" s="1371">
        <v>0</v>
      </c>
      <c r="BW43" s="1371">
        <v>0</v>
      </c>
      <c r="BX43" s="1371">
        <v>74.994880000000009</v>
      </c>
      <c r="BY43" s="1371">
        <v>0</v>
      </c>
      <c r="BZ43" s="1371">
        <v>74.994880000000009</v>
      </c>
      <c r="CA43" s="1371">
        <v>0</v>
      </c>
      <c r="CB43" s="1371">
        <v>74.994880000000009</v>
      </c>
      <c r="CC43" s="1371">
        <v>0</v>
      </c>
      <c r="CD43" s="1371">
        <v>74.994880000000009</v>
      </c>
      <c r="CE43" s="1371">
        <v>0</v>
      </c>
      <c r="CF43" s="1371">
        <v>86.230829999999997</v>
      </c>
      <c r="CG43" s="1371">
        <v>0</v>
      </c>
      <c r="CH43" s="1371">
        <v>86.230829999999997</v>
      </c>
      <c r="CI43" s="1371">
        <v>0</v>
      </c>
      <c r="CJ43" s="1371">
        <v>86.230829999999997</v>
      </c>
      <c r="CK43" s="1371">
        <v>0</v>
      </c>
      <c r="CL43" s="1371">
        <v>86.230829999999997</v>
      </c>
      <c r="CM43" s="1371">
        <v>0</v>
      </c>
      <c r="CN43" s="1371">
        <v>86.230829999999997</v>
      </c>
      <c r="CO43" s="1371">
        <v>0</v>
      </c>
      <c r="CP43" s="1371">
        <v>86.230829999999997</v>
      </c>
      <c r="CQ43" s="1371">
        <v>0</v>
      </c>
      <c r="CR43" s="1371">
        <v>86.230829999999997</v>
      </c>
      <c r="CS43" s="1371">
        <v>0</v>
      </c>
      <c r="CT43" s="1371">
        <v>0</v>
      </c>
      <c r="CU43" s="1371">
        <v>0</v>
      </c>
      <c r="CV43" s="1371">
        <v>0</v>
      </c>
      <c r="CW43" s="1371">
        <v>0</v>
      </c>
      <c r="CX43" s="1371">
        <v>215.75262000000001</v>
      </c>
      <c r="CY43" s="1371">
        <v>0</v>
      </c>
      <c r="CZ43" s="1371">
        <v>215.75262000000001</v>
      </c>
      <c r="DA43" s="1371">
        <v>0</v>
      </c>
      <c r="DB43" s="1371">
        <v>215.75262000000001</v>
      </c>
      <c r="DC43" s="1371">
        <v>0</v>
      </c>
      <c r="DD43" s="1371">
        <v>215.75262000000001</v>
      </c>
      <c r="DE43" s="1371">
        <v>0</v>
      </c>
      <c r="DF43" s="1371">
        <v>195.57325</v>
      </c>
      <c r="DG43" s="1371">
        <v>0</v>
      </c>
      <c r="DH43" s="1371">
        <v>226.42676999999998</v>
      </c>
      <c r="DI43" s="1371">
        <v>0</v>
      </c>
      <c r="DJ43" s="1371">
        <v>250.78851999999998</v>
      </c>
      <c r="DK43" s="1371">
        <v>0</v>
      </c>
      <c r="DL43" s="1371">
        <v>250.78852000000001</v>
      </c>
      <c r="DM43" s="1371">
        <v>0</v>
      </c>
      <c r="DN43" s="1371">
        <v>250.78852000000001</v>
      </c>
      <c r="DO43" s="1371">
        <v>0</v>
      </c>
      <c r="DP43" s="1371">
        <v>283.06869999999998</v>
      </c>
      <c r="DQ43" s="1386">
        <v>0</v>
      </c>
      <c r="DR43" s="1397">
        <v>0</v>
      </c>
      <c r="DS43" s="1372">
        <v>0</v>
      </c>
      <c r="DT43" s="1390">
        <v>0</v>
      </c>
      <c r="DU43" s="1386">
        <v>0</v>
      </c>
      <c r="DV43" s="1397">
        <v>88.874430000000004</v>
      </c>
      <c r="DW43" s="1372">
        <v>0</v>
      </c>
      <c r="DX43" s="1390">
        <v>88.874430000000004</v>
      </c>
      <c r="DY43" s="1386">
        <v>0</v>
      </c>
      <c r="DZ43" s="1397">
        <v>88.874430000000004</v>
      </c>
      <c r="EA43" s="1372">
        <v>0</v>
      </c>
      <c r="EB43" s="1390">
        <v>88.874430000000004</v>
      </c>
      <c r="EC43" s="1372">
        <v>0</v>
      </c>
      <c r="ED43" s="1397">
        <v>88.874430000000004</v>
      </c>
      <c r="EE43" s="1372">
        <v>0</v>
      </c>
      <c r="EF43" s="1397">
        <v>120.56413000000001</v>
      </c>
      <c r="EG43" s="1372">
        <v>0</v>
      </c>
      <c r="EH43" s="1390">
        <v>120.56413000000001</v>
      </c>
      <c r="EI43" s="1372">
        <v>0</v>
      </c>
      <c r="EJ43" s="1390">
        <v>120.56413000000001</v>
      </c>
      <c r="EK43" s="1372">
        <v>0</v>
      </c>
      <c r="EL43" s="1390">
        <v>135.86412999999999</v>
      </c>
      <c r="EM43" s="1372">
        <v>0</v>
      </c>
      <c r="EN43" s="1390">
        <v>135.86412999999999</v>
      </c>
      <c r="EO43" s="1372">
        <v>0</v>
      </c>
      <c r="EP43" s="1390">
        <v>0</v>
      </c>
      <c r="EQ43" s="1372">
        <v>0</v>
      </c>
      <c r="ER43" s="1390">
        <v>0</v>
      </c>
      <c r="ES43" s="1372">
        <v>0</v>
      </c>
      <c r="ET43" s="1635">
        <v>87.24615</v>
      </c>
      <c r="EU43" s="1636">
        <v>0</v>
      </c>
      <c r="EV43" s="1390">
        <v>87.24615</v>
      </c>
      <c r="EW43" s="1372">
        <v>0</v>
      </c>
      <c r="EX43" s="1390">
        <v>87.24615</v>
      </c>
      <c r="EY43" s="1372">
        <v>0</v>
      </c>
      <c r="EZ43" s="1390">
        <v>87.24615</v>
      </c>
      <c r="FA43" s="1372">
        <v>0</v>
      </c>
      <c r="FB43" s="1390">
        <v>87.24615</v>
      </c>
      <c r="FC43" s="1372">
        <v>0</v>
      </c>
      <c r="FD43" s="1390">
        <v>87.24615</v>
      </c>
      <c r="FE43" s="1372">
        <v>0</v>
      </c>
      <c r="FF43" s="1390">
        <v>87.24615</v>
      </c>
      <c r="FG43" s="1372">
        <v>0</v>
      </c>
      <c r="FH43" s="1390">
        <v>102.54615</v>
      </c>
      <c r="FI43" s="1372">
        <v>0</v>
      </c>
      <c r="FJ43" s="1635">
        <v>102.54615</v>
      </c>
      <c r="FK43" s="1636">
        <v>0</v>
      </c>
      <c r="FL43" s="1390">
        <v>102.54615</v>
      </c>
      <c r="FM43" s="1372">
        <v>0</v>
      </c>
      <c r="FN43" s="1390">
        <v>0</v>
      </c>
      <c r="FO43" s="1372">
        <v>0</v>
      </c>
      <c r="FP43" s="1390">
        <v>0</v>
      </c>
      <c r="FQ43" s="1372">
        <v>0</v>
      </c>
      <c r="FR43" s="1373" t="s">
        <v>3521</v>
      </c>
    </row>
    <row r="44" spans="1:174" s="458" customFormat="1" ht="39.6">
      <c r="A44" s="1370" t="s">
        <v>3153</v>
      </c>
      <c r="B44" s="1371">
        <v>0</v>
      </c>
      <c r="C44" s="1371">
        <v>0</v>
      </c>
      <c r="D44" s="1371">
        <v>0</v>
      </c>
      <c r="E44" s="1371">
        <v>0</v>
      </c>
      <c r="F44" s="1371">
        <v>0</v>
      </c>
      <c r="G44" s="1371">
        <v>0</v>
      </c>
      <c r="H44" s="1371">
        <v>0</v>
      </c>
      <c r="I44" s="1371">
        <v>0</v>
      </c>
      <c r="J44" s="1371">
        <v>0</v>
      </c>
      <c r="K44" s="1371">
        <v>0</v>
      </c>
      <c r="L44" s="1371">
        <v>0</v>
      </c>
      <c r="M44" s="1371">
        <v>0</v>
      </c>
      <c r="N44" s="1371">
        <v>0</v>
      </c>
      <c r="O44" s="1371">
        <v>0</v>
      </c>
      <c r="P44" s="1371">
        <v>0</v>
      </c>
      <c r="Q44" s="1371">
        <v>0</v>
      </c>
      <c r="R44" s="1371">
        <v>0</v>
      </c>
      <c r="S44" s="1371">
        <v>0</v>
      </c>
      <c r="T44" s="1371">
        <v>0</v>
      </c>
      <c r="U44" s="1371">
        <v>0</v>
      </c>
      <c r="V44" s="1371">
        <v>0</v>
      </c>
      <c r="W44" s="1371">
        <v>0</v>
      </c>
      <c r="X44" s="1371">
        <v>0</v>
      </c>
      <c r="Y44" s="1371">
        <v>0</v>
      </c>
      <c r="Z44" s="1371">
        <v>0</v>
      </c>
      <c r="AA44" s="1371">
        <v>0</v>
      </c>
      <c r="AB44" s="1371">
        <v>0</v>
      </c>
      <c r="AC44" s="1371">
        <v>0</v>
      </c>
      <c r="AD44" s="1371">
        <v>0</v>
      </c>
      <c r="AE44" s="1371">
        <v>0</v>
      </c>
      <c r="AF44" s="1371">
        <v>0</v>
      </c>
      <c r="AG44" s="1371">
        <v>0</v>
      </c>
      <c r="AH44" s="1371">
        <v>0</v>
      </c>
      <c r="AI44" s="1371">
        <v>0</v>
      </c>
      <c r="AJ44" s="1371">
        <v>0</v>
      </c>
      <c r="AK44" s="1371">
        <v>0</v>
      </c>
      <c r="AL44" s="1371">
        <v>0</v>
      </c>
      <c r="AM44" s="1371">
        <v>0</v>
      </c>
      <c r="AN44" s="1371">
        <v>0</v>
      </c>
      <c r="AO44" s="1371">
        <v>0</v>
      </c>
      <c r="AP44" s="1371">
        <v>0</v>
      </c>
      <c r="AQ44" s="1371">
        <v>0</v>
      </c>
      <c r="AR44" s="1371">
        <v>0</v>
      </c>
      <c r="AS44" s="1371">
        <v>0</v>
      </c>
      <c r="AT44" s="1371">
        <v>0</v>
      </c>
      <c r="AU44" s="1371">
        <v>0</v>
      </c>
      <c r="AV44" s="1371">
        <v>0</v>
      </c>
      <c r="AW44" s="1371">
        <v>0</v>
      </c>
      <c r="AX44" s="1371"/>
      <c r="AY44" s="1371"/>
      <c r="AZ44" s="1371"/>
      <c r="BA44" s="1371"/>
      <c r="BB44" s="1371"/>
      <c r="BC44" s="1371"/>
      <c r="BD44" s="1371"/>
      <c r="BE44" s="1371"/>
      <c r="BF44" s="1371"/>
      <c r="BG44" s="1371"/>
      <c r="BH44" s="1371"/>
      <c r="BI44" s="1371"/>
      <c r="BJ44" s="1371"/>
      <c r="BK44" s="1371"/>
      <c r="BL44" s="1371"/>
      <c r="BM44" s="1371"/>
      <c r="BN44" s="1371"/>
      <c r="BO44" s="1371"/>
      <c r="BP44" s="1371">
        <v>0</v>
      </c>
      <c r="BQ44" s="1371">
        <v>0</v>
      </c>
      <c r="BR44" s="1371">
        <v>27.335999999999999</v>
      </c>
      <c r="BS44" s="1371">
        <v>0</v>
      </c>
      <c r="BT44" s="1371">
        <v>43.225000000000001</v>
      </c>
      <c r="BU44" s="1371">
        <v>0</v>
      </c>
      <c r="BV44" s="1371">
        <v>0</v>
      </c>
      <c r="BW44" s="1371">
        <v>0</v>
      </c>
      <c r="BX44" s="1371">
        <v>0</v>
      </c>
      <c r="BY44" s="1371">
        <v>0</v>
      </c>
      <c r="BZ44" s="1371">
        <v>0</v>
      </c>
      <c r="CA44" s="1371">
        <v>0</v>
      </c>
      <c r="CB44" s="1371">
        <v>0</v>
      </c>
      <c r="CC44" s="1371">
        <v>0</v>
      </c>
      <c r="CD44" s="1371">
        <v>0</v>
      </c>
      <c r="CE44" s="1371">
        <v>0</v>
      </c>
      <c r="CF44" s="1371">
        <v>0</v>
      </c>
      <c r="CG44" s="1371">
        <v>0</v>
      </c>
      <c r="CH44" s="1371">
        <v>0</v>
      </c>
      <c r="CI44" s="1371">
        <v>0</v>
      </c>
      <c r="CJ44" s="1371">
        <v>0</v>
      </c>
      <c r="CK44" s="1371">
        <v>0</v>
      </c>
      <c r="CL44" s="1371">
        <v>0</v>
      </c>
      <c r="CM44" s="1371">
        <v>0</v>
      </c>
      <c r="CN44" s="1371">
        <v>0</v>
      </c>
      <c r="CO44" s="1371">
        <v>0</v>
      </c>
      <c r="CP44" s="1371">
        <v>0</v>
      </c>
      <c r="CQ44" s="1371">
        <v>0</v>
      </c>
      <c r="CR44" s="1371">
        <v>0</v>
      </c>
      <c r="CS44" s="1371">
        <v>0</v>
      </c>
      <c r="CT44" s="1371">
        <v>0</v>
      </c>
      <c r="CU44" s="1371">
        <v>0</v>
      </c>
      <c r="CV44" s="1371">
        <v>0</v>
      </c>
      <c r="CW44" s="1371">
        <v>0</v>
      </c>
      <c r="CX44" s="1371">
        <v>0</v>
      </c>
      <c r="CY44" s="1371">
        <v>0</v>
      </c>
      <c r="CZ44" s="1371">
        <v>0</v>
      </c>
      <c r="DA44" s="1371">
        <v>0</v>
      </c>
      <c r="DB44" s="1371">
        <v>0</v>
      </c>
      <c r="DC44" s="1371">
        <v>0</v>
      </c>
      <c r="DD44" s="1371">
        <v>0</v>
      </c>
      <c r="DE44" s="1371">
        <v>0</v>
      </c>
      <c r="DF44" s="1371">
        <v>0</v>
      </c>
      <c r="DG44" s="1371">
        <v>0</v>
      </c>
      <c r="DH44" s="1371">
        <v>0</v>
      </c>
      <c r="DI44" s="1371">
        <v>0</v>
      </c>
      <c r="DJ44" s="1371">
        <v>0</v>
      </c>
      <c r="DK44" s="1371">
        <v>0</v>
      </c>
      <c r="DL44" s="1371">
        <v>0</v>
      </c>
      <c r="DM44" s="1371">
        <v>0</v>
      </c>
      <c r="DN44" s="1371">
        <v>0</v>
      </c>
      <c r="DO44" s="1371">
        <v>0</v>
      </c>
      <c r="DP44" s="1371">
        <v>0</v>
      </c>
      <c r="DQ44" s="1386">
        <v>0</v>
      </c>
      <c r="DR44" s="1397">
        <v>0</v>
      </c>
      <c r="DS44" s="1372">
        <v>0</v>
      </c>
      <c r="DT44" s="1390">
        <v>0</v>
      </c>
      <c r="DU44" s="1386">
        <v>0</v>
      </c>
      <c r="DV44" s="1397">
        <v>0</v>
      </c>
      <c r="DW44" s="1372">
        <v>0</v>
      </c>
      <c r="DX44" s="1390">
        <v>0</v>
      </c>
      <c r="DY44" s="1386">
        <v>0</v>
      </c>
      <c r="DZ44" s="1397">
        <v>0</v>
      </c>
      <c r="EA44" s="1372">
        <v>0</v>
      </c>
      <c r="EB44" s="1390">
        <v>0</v>
      </c>
      <c r="EC44" s="1372">
        <v>0</v>
      </c>
      <c r="ED44" s="1397">
        <v>0</v>
      </c>
      <c r="EE44" s="1372">
        <v>0</v>
      </c>
      <c r="EF44" s="1397">
        <v>0</v>
      </c>
      <c r="EG44" s="1372">
        <v>0</v>
      </c>
      <c r="EH44" s="1390">
        <v>0</v>
      </c>
      <c r="EI44" s="1372">
        <v>0</v>
      </c>
      <c r="EJ44" s="1390">
        <v>0</v>
      </c>
      <c r="EK44" s="1372">
        <v>0</v>
      </c>
      <c r="EL44" s="1390">
        <v>0</v>
      </c>
      <c r="EM44" s="1372">
        <v>0</v>
      </c>
      <c r="EN44" s="1390">
        <v>0</v>
      </c>
      <c r="EO44" s="1372">
        <v>0</v>
      </c>
      <c r="EP44" s="1390">
        <v>0</v>
      </c>
      <c r="EQ44" s="1372">
        <v>0</v>
      </c>
      <c r="ER44" s="1390">
        <v>0</v>
      </c>
      <c r="ES44" s="1372">
        <v>0</v>
      </c>
      <c r="ET44" s="1635">
        <v>0</v>
      </c>
      <c r="EU44" s="1636">
        <v>0</v>
      </c>
      <c r="EV44" s="1390">
        <v>0</v>
      </c>
      <c r="EW44" s="1372">
        <v>0</v>
      </c>
      <c r="EX44" s="1390">
        <v>0</v>
      </c>
      <c r="EY44" s="1372">
        <v>0</v>
      </c>
      <c r="EZ44" s="1390">
        <v>0</v>
      </c>
      <c r="FA44" s="1372">
        <v>0</v>
      </c>
      <c r="FB44" s="1390">
        <v>0</v>
      </c>
      <c r="FC44" s="1372">
        <v>0</v>
      </c>
      <c r="FD44" s="1390">
        <v>0</v>
      </c>
      <c r="FE44" s="1372">
        <v>0</v>
      </c>
      <c r="FF44" s="1390">
        <v>0</v>
      </c>
      <c r="FG44" s="1372">
        <v>0</v>
      </c>
      <c r="FH44" s="1390">
        <v>0</v>
      </c>
      <c r="FI44" s="1372">
        <v>0</v>
      </c>
      <c r="FJ44" s="1635">
        <v>0</v>
      </c>
      <c r="FK44" s="1636">
        <v>0</v>
      </c>
      <c r="FL44" s="1390">
        <v>0</v>
      </c>
      <c r="FM44" s="1372">
        <v>0</v>
      </c>
      <c r="FN44" s="1390">
        <v>0</v>
      </c>
      <c r="FO44" s="1372">
        <v>0</v>
      </c>
      <c r="FP44" s="1390">
        <v>0</v>
      </c>
      <c r="FQ44" s="1372">
        <v>0</v>
      </c>
      <c r="FR44" s="1373" t="s">
        <v>3522</v>
      </c>
    </row>
    <row r="45" spans="1:174" s="458" customFormat="1" ht="22.5" customHeight="1">
      <c r="A45" s="1370" t="s">
        <v>2324</v>
      </c>
      <c r="B45" s="1371"/>
      <c r="C45" s="1371"/>
      <c r="D45" s="1371"/>
      <c r="E45" s="1371"/>
      <c r="F45" s="1371"/>
      <c r="G45" s="1371"/>
      <c r="H45" s="1371"/>
      <c r="I45" s="1371"/>
      <c r="J45" s="1371"/>
      <c r="K45" s="1371"/>
      <c r="L45" s="1371"/>
      <c r="M45" s="1371"/>
      <c r="N45" s="1371"/>
      <c r="O45" s="1371"/>
      <c r="P45" s="1371"/>
      <c r="Q45" s="1371"/>
      <c r="R45" s="1371">
        <v>0</v>
      </c>
      <c r="S45" s="1371">
        <v>0</v>
      </c>
      <c r="T45" s="1371">
        <v>0</v>
      </c>
      <c r="U45" s="1371">
        <v>0</v>
      </c>
      <c r="V45" s="1371">
        <v>0</v>
      </c>
      <c r="W45" s="1371">
        <v>0</v>
      </c>
      <c r="X45" s="1371">
        <v>0</v>
      </c>
      <c r="Y45" s="1371">
        <v>0</v>
      </c>
      <c r="Z45" s="1371">
        <v>0</v>
      </c>
      <c r="AA45" s="1371">
        <v>0</v>
      </c>
      <c r="AB45" s="1371">
        <v>0</v>
      </c>
      <c r="AC45" s="1371">
        <v>0</v>
      </c>
      <c r="AD45" s="1371">
        <v>0</v>
      </c>
      <c r="AE45" s="1371">
        <v>0</v>
      </c>
      <c r="AF45" s="1371">
        <v>0</v>
      </c>
      <c r="AG45" s="1371">
        <v>0</v>
      </c>
      <c r="AH45" s="1371">
        <v>0</v>
      </c>
      <c r="AI45" s="1371">
        <v>0</v>
      </c>
      <c r="AJ45" s="1371">
        <v>0</v>
      </c>
      <c r="AK45" s="1371">
        <v>0</v>
      </c>
      <c r="AL45" s="1371">
        <v>0</v>
      </c>
      <c r="AM45" s="1371">
        <v>0</v>
      </c>
      <c r="AN45" s="1371">
        <v>0</v>
      </c>
      <c r="AO45" s="1371">
        <v>0</v>
      </c>
      <c r="AP45" s="1371">
        <v>0</v>
      </c>
      <c r="AQ45" s="1371">
        <v>0</v>
      </c>
      <c r="AR45" s="1371">
        <v>0</v>
      </c>
      <c r="AS45" s="1371">
        <v>0</v>
      </c>
      <c r="AT45" s="1371">
        <v>0</v>
      </c>
      <c r="AU45" s="1371">
        <v>0</v>
      </c>
      <c r="AV45" s="1371">
        <v>0</v>
      </c>
      <c r="AW45" s="1371">
        <v>0</v>
      </c>
      <c r="AX45" s="1371">
        <v>0</v>
      </c>
      <c r="AY45" s="1371">
        <v>0</v>
      </c>
      <c r="AZ45" s="1371">
        <v>0</v>
      </c>
      <c r="BA45" s="1371">
        <v>0</v>
      </c>
      <c r="BB45" s="1371">
        <v>0</v>
      </c>
      <c r="BC45" s="1371">
        <v>0</v>
      </c>
      <c r="BD45" s="1371">
        <v>0</v>
      </c>
      <c r="BE45" s="1371">
        <v>0</v>
      </c>
      <c r="BF45" s="1371">
        <v>0</v>
      </c>
      <c r="BG45" s="1371">
        <v>0</v>
      </c>
      <c r="BH45" s="1371">
        <v>0</v>
      </c>
      <c r="BI45" s="1371">
        <v>0</v>
      </c>
      <c r="BJ45" s="1371">
        <v>0</v>
      </c>
      <c r="BK45" s="1371">
        <v>0</v>
      </c>
      <c r="BL45" s="1371">
        <v>0</v>
      </c>
      <c r="BM45" s="1371">
        <v>0</v>
      </c>
      <c r="BN45" s="1371">
        <v>0</v>
      </c>
      <c r="BO45" s="1371">
        <v>0</v>
      </c>
      <c r="BP45" s="1371">
        <v>0</v>
      </c>
      <c r="BQ45" s="1371">
        <v>0</v>
      </c>
      <c r="BR45" s="1371">
        <v>0</v>
      </c>
      <c r="BS45" s="1371">
        <v>0</v>
      </c>
      <c r="BT45" s="1371">
        <v>0</v>
      </c>
      <c r="BU45" s="1371">
        <v>0</v>
      </c>
      <c r="BV45" s="1371">
        <v>0</v>
      </c>
      <c r="BW45" s="1371">
        <v>0</v>
      </c>
      <c r="BX45" s="1371">
        <v>0</v>
      </c>
      <c r="BY45" s="1371">
        <v>0</v>
      </c>
      <c r="BZ45" s="1371">
        <v>0</v>
      </c>
      <c r="CA45" s="1371">
        <v>0</v>
      </c>
      <c r="CB45" s="1371">
        <v>0</v>
      </c>
      <c r="CC45" s="1371">
        <v>0</v>
      </c>
      <c r="CD45" s="1371">
        <v>0</v>
      </c>
      <c r="CE45" s="1371">
        <v>0</v>
      </c>
      <c r="CF45" s="1371">
        <v>0</v>
      </c>
      <c r="CG45" s="1371">
        <v>0</v>
      </c>
      <c r="CH45" s="1371">
        <v>0</v>
      </c>
      <c r="CI45" s="1371">
        <v>0</v>
      </c>
      <c r="CJ45" s="1371">
        <v>0</v>
      </c>
      <c r="CK45" s="1371">
        <v>0</v>
      </c>
      <c r="CL45" s="1371">
        <v>0</v>
      </c>
      <c r="CM45" s="1371">
        <v>0</v>
      </c>
      <c r="CN45" s="1371">
        <v>0</v>
      </c>
      <c r="CO45" s="1371">
        <v>0</v>
      </c>
      <c r="CP45" s="1371">
        <v>0</v>
      </c>
      <c r="CQ45" s="1371">
        <v>0</v>
      </c>
      <c r="CR45" s="1371">
        <v>0</v>
      </c>
      <c r="CS45" s="1371">
        <v>0</v>
      </c>
      <c r="CT45" s="1371">
        <v>0</v>
      </c>
      <c r="CU45" s="1371">
        <v>0</v>
      </c>
      <c r="CV45" s="1371">
        <v>0</v>
      </c>
      <c r="CW45" s="1371">
        <v>0</v>
      </c>
      <c r="CX45" s="1371">
        <v>0</v>
      </c>
      <c r="CY45" s="1371">
        <v>0</v>
      </c>
      <c r="CZ45" s="1371">
        <v>0</v>
      </c>
      <c r="DA45" s="1371">
        <v>0</v>
      </c>
      <c r="DB45" s="1371">
        <v>0</v>
      </c>
      <c r="DC45" s="1371">
        <v>0</v>
      </c>
      <c r="DD45" s="1371">
        <v>0</v>
      </c>
      <c r="DE45" s="1371">
        <v>0</v>
      </c>
      <c r="DF45" s="1371">
        <v>0</v>
      </c>
      <c r="DG45" s="1371">
        <v>0</v>
      </c>
      <c r="DH45" s="1371">
        <v>0</v>
      </c>
      <c r="DI45" s="1371">
        <v>0</v>
      </c>
      <c r="DJ45" s="1371">
        <v>0</v>
      </c>
      <c r="DK45" s="1371">
        <v>0</v>
      </c>
      <c r="DL45" s="1371">
        <v>0</v>
      </c>
      <c r="DM45" s="1371">
        <v>0</v>
      </c>
      <c r="DN45" s="1371">
        <v>0</v>
      </c>
      <c r="DO45" s="1371">
        <v>0</v>
      </c>
      <c r="DP45" s="1371">
        <v>0</v>
      </c>
      <c r="DQ45" s="1386">
        <v>0</v>
      </c>
      <c r="DR45" s="1397">
        <v>0</v>
      </c>
      <c r="DS45" s="1372">
        <v>0</v>
      </c>
      <c r="DT45" s="1390">
        <v>0</v>
      </c>
      <c r="DU45" s="1386">
        <v>0</v>
      </c>
      <c r="DV45" s="1397">
        <v>0</v>
      </c>
      <c r="DW45" s="1372">
        <v>0</v>
      </c>
      <c r="DX45" s="1390">
        <v>0</v>
      </c>
      <c r="DY45" s="1386">
        <v>0</v>
      </c>
      <c r="DZ45" s="1397">
        <v>0</v>
      </c>
      <c r="EA45" s="1372">
        <v>0</v>
      </c>
      <c r="EB45" s="1390">
        <v>0</v>
      </c>
      <c r="EC45" s="1372">
        <v>0</v>
      </c>
      <c r="ED45" s="1397">
        <v>0</v>
      </c>
      <c r="EE45" s="1372">
        <v>0</v>
      </c>
      <c r="EF45" s="1397">
        <v>0</v>
      </c>
      <c r="EG45" s="1372">
        <v>0</v>
      </c>
      <c r="EH45" s="1390">
        <v>0</v>
      </c>
      <c r="EI45" s="1372">
        <v>0</v>
      </c>
      <c r="EJ45" s="1390">
        <v>0</v>
      </c>
      <c r="EK45" s="1372">
        <v>0</v>
      </c>
      <c r="EL45" s="1390">
        <v>0</v>
      </c>
      <c r="EM45" s="1372">
        <v>0</v>
      </c>
      <c r="EN45" s="1390">
        <v>0</v>
      </c>
      <c r="EO45" s="1372">
        <v>0</v>
      </c>
      <c r="EP45" s="1390">
        <v>0</v>
      </c>
      <c r="EQ45" s="1372">
        <v>0</v>
      </c>
      <c r="ER45" s="1390">
        <v>0</v>
      </c>
      <c r="ES45" s="1372">
        <v>0</v>
      </c>
      <c r="ET45" s="1635">
        <v>0</v>
      </c>
      <c r="EU45" s="1636">
        <v>0</v>
      </c>
      <c r="EV45" s="1390">
        <v>0</v>
      </c>
      <c r="EW45" s="1372">
        <v>0</v>
      </c>
      <c r="EX45" s="1390">
        <v>0</v>
      </c>
      <c r="EY45" s="1372">
        <v>0</v>
      </c>
      <c r="EZ45" s="1390">
        <v>0</v>
      </c>
      <c r="FA45" s="1372">
        <v>0</v>
      </c>
      <c r="FB45" s="1390">
        <v>0</v>
      </c>
      <c r="FC45" s="1372">
        <v>0</v>
      </c>
      <c r="FD45" s="1390">
        <v>0</v>
      </c>
      <c r="FE45" s="1372">
        <v>0</v>
      </c>
      <c r="FF45" s="1390">
        <v>0</v>
      </c>
      <c r="FG45" s="1372">
        <v>0</v>
      </c>
      <c r="FH45" s="1390">
        <v>0</v>
      </c>
      <c r="FI45" s="1372">
        <v>0</v>
      </c>
      <c r="FJ45" s="1635">
        <v>0</v>
      </c>
      <c r="FK45" s="1636">
        <v>0</v>
      </c>
      <c r="FL45" s="1390">
        <v>0</v>
      </c>
      <c r="FM45" s="1372">
        <v>0</v>
      </c>
      <c r="FN45" s="1390">
        <v>0</v>
      </c>
      <c r="FO45" s="1372">
        <v>0</v>
      </c>
      <c r="FP45" s="1390">
        <v>0</v>
      </c>
      <c r="FQ45" s="1372">
        <v>0</v>
      </c>
      <c r="FR45" s="1373" t="s">
        <v>3523</v>
      </c>
    </row>
    <row r="46" spans="1:174" s="458" customFormat="1" ht="22.5" customHeight="1">
      <c r="A46" s="1366" t="s">
        <v>2323</v>
      </c>
      <c r="B46" s="1367">
        <v>0</v>
      </c>
      <c r="C46" s="1367">
        <v>0</v>
      </c>
      <c r="D46" s="1367">
        <v>0</v>
      </c>
      <c r="E46" s="1367">
        <v>2.5764999999999998</v>
      </c>
      <c r="F46" s="1367">
        <v>0</v>
      </c>
      <c r="G46" s="1367">
        <v>4.1336400000000006</v>
      </c>
      <c r="H46" s="1367">
        <v>0</v>
      </c>
      <c r="I46" s="1367">
        <v>4.1336400000000006</v>
      </c>
      <c r="J46" s="1367">
        <v>0</v>
      </c>
      <c r="K46" s="1367">
        <v>4.1336400000000006</v>
      </c>
      <c r="L46" s="1367">
        <v>0</v>
      </c>
      <c r="M46" s="1367">
        <v>4.1336400000000006</v>
      </c>
      <c r="N46" s="1367">
        <v>0</v>
      </c>
      <c r="O46" s="1367">
        <v>4.1336400000000006</v>
      </c>
      <c r="P46" s="1367">
        <v>0</v>
      </c>
      <c r="Q46" s="1367">
        <v>4.1336400000000006</v>
      </c>
      <c r="R46" s="1367">
        <v>0</v>
      </c>
      <c r="S46" s="1367">
        <v>4.1336400000000006</v>
      </c>
      <c r="T46" s="1367">
        <v>0</v>
      </c>
      <c r="U46" s="1367">
        <v>0</v>
      </c>
      <c r="V46" s="1367">
        <v>0.02</v>
      </c>
      <c r="W46" s="1367">
        <v>0</v>
      </c>
      <c r="X46" s="1367">
        <v>0.09</v>
      </c>
      <c r="Y46" s="1367">
        <v>0</v>
      </c>
      <c r="Z46" s="1367">
        <v>0.61</v>
      </c>
      <c r="AA46" s="1367">
        <v>0</v>
      </c>
      <c r="AB46" s="1367">
        <v>1.32</v>
      </c>
      <c r="AC46" s="1367">
        <v>0</v>
      </c>
      <c r="AD46" s="1367">
        <v>1.76</v>
      </c>
      <c r="AE46" s="1367">
        <v>0</v>
      </c>
      <c r="AF46" s="1367">
        <v>9.57</v>
      </c>
      <c r="AG46" s="1367">
        <v>0</v>
      </c>
      <c r="AH46" s="1367">
        <v>19.940000000000001</v>
      </c>
      <c r="AI46" s="1367">
        <v>0</v>
      </c>
      <c r="AJ46" s="1367">
        <v>25.96</v>
      </c>
      <c r="AK46" s="1367">
        <v>0</v>
      </c>
      <c r="AL46" s="1367">
        <v>30.2</v>
      </c>
      <c r="AM46" s="1367">
        <v>0</v>
      </c>
      <c r="AN46" s="1367">
        <v>37.659999999999997</v>
      </c>
      <c r="AO46" s="1367">
        <v>0</v>
      </c>
      <c r="AP46" s="1367">
        <v>42.19</v>
      </c>
      <c r="AQ46" s="1367">
        <v>0</v>
      </c>
      <c r="AR46" s="1367">
        <v>47.45</v>
      </c>
      <c r="AS46" s="1367">
        <v>0</v>
      </c>
      <c r="AT46" s="1367">
        <v>89.428049999999999</v>
      </c>
      <c r="AU46" s="1367">
        <v>0</v>
      </c>
      <c r="AV46" s="1367">
        <v>1860.06747</v>
      </c>
      <c r="AW46" s="1367">
        <v>0</v>
      </c>
      <c r="AX46" s="1367">
        <v>8.36</v>
      </c>
      <c r="AY46" s="1367">
        <v>0</v>
      </c>
      <c r="AZ46" s="1367">
        <v>14.34</v>
      </c>
      <c r="BA46" s="1367">
        <v>0</v>
      </c>
      <c r="BB46" s="1367">
        <v>16.93</v>
      </c>
      <c r="BC46" s="1367">
        <v>0</v>
      </c>
      <c r="BD46" s="1367">
        <v>26.358000000000001</v>
      </c>
      <c r="BE46" s="1367">
        <v>0</v>
      </c>
      <c r="BF46" s="1367">
        <v>44.607999999999997</v>
      </c>
      <c r="BG46" s="1367">
        <v>0</v>
      </c>
      <c r="BH46" s="1367">
        <v>57.08</v>
      </c>
      <c r="BI46" s="1367">
        <v>0</v>
      </c>
      <c r="BJ46" s="1367">
        <v>78.224999999999994</v>
      </c>
      <c r="BK46" s="1367">
        <v>0</v>
      </c>
      <c r="BL46" s="1367">
        <v>96.447999999999993</v>
      </c>
      <c r="BM46" s="1367">
        <v>0</v>
      </c>
      <c r="BN46" s="1367">
        <v>109.42</v>
      </c>
      <c r="BO46" s="1367">
        <v>0</v>
      </c>
      <c r="BP46" s="1367">
        <v>112.617</v>
      </c>
      <c r="BQ46" s="1367">
        <v>0</v>
      </c>
      <c r="BR46" s="1367">
        <v>113.565</v>
      </c>
      <c r="BS46" s="1367">
        <v>0</v>
      </c>
      <c r="BT46" s="1367">
        <v>157.70371</v>
      </c>
      <c r="BU46" s="1367">
        <v>0</v>
      </c>
      <c r="BV46" s="1367">
        <v>3.91</v>
      </c>
      <c r="BW46" s="1367">
        <v>0</v>
      </c>
      <c r="BX46" s="1367">
        <v>6.6829999999999998</v>
      </c>
      <c r="BY46" s="1367">
        <v>0</v>
      </c>
      <c r="BZ46" s="1367">
        <v>11.037799999999999</v>
      </c>
      <c r="CA46" s="1367">
        <v>0</v>
      </c>
      <c r="CB46" s="1367">
        <v>11.652799999999999</v>
      </c>
      <c r="CC46" s="1367">
        <v>0</v>
      </c>
      <c r="CD46" s="1367">
        <v>13.83991</v>
      </c>
      <c r="CE46" s="1367">
        <v>0</v>
      </c>
      <c r="CF46" s="1367">
        <v>14.565910000000001</v>
      </c>
      <c r="CG46" s="1367">
        <v>0</v>
      </c>
      <c r="CH46" s="1367">
        <v>15.936909999999999</v>
      </c>
      <c r="CI46" s="1367">
        <v>0</v>
      </c>
      <c r="CJ46" s="1367">
        <v>21.520880000000002</v>
      </c>
      <c r="CK46" s="1367">
        <v>0</v>
      </c>
      <c r="CL46" s="1367">
        <v>35.746949999999998</v>
      </c>
      <c r="CM46" s="1367">
        <v>0</v>
      </c>
      <c r="CN46" s="1367">
        <v>50.802260000000004</v>
      </c>
      <c r="CO46" s="1367">
        <v>0</v>
      </c>
      <c r="CP46" s="1367">
        <v>67.38794</v>
      </c>
      <c r="CQ46" s="1367">
        <v>0</v>
      </c>
      <c r="CR46" s="1367">
        <v>91.584800000000001</v>
      </c>
      <c r="CS46" s="1367">
        <v>0</v>
      </c>
      <c r="CT46" s="1367">
        <v>10.222</v>
      </c>
      <c r="CU46" s="1367">
        <v>0</v>
      </c>
      <c r="CV46" s="1367">
        <v>28.514099999999999</v>
      </c>
      <c r="CW46" s="1367">
        <v>0</v>
      </c>
      <c r="CX46" s="1367">
        <v>45.558639999999997</v>
      </c>
      <c r="CY46" s="1367">
        <v>0</v>
      </c>
      <c r="CZ46" s="1367">
        <v>53.771519999999995</v>
      </c>
      <c r="DA46" s="1367">
        <v>0</v>
      </c>
      <c r="DB46" s="1367">
        <v>78.640339999999995</v>
      </c>
      <c r="DC46" s="1367">
        <v>0</v>
      </c>
      <c r="DD46" s="1367">
        <v>103.90758</v>
      </c>
      <c r="DE46" s="1367">
        <v>0</v>
      </c>
      <c r="DF46" s="1367">
        <v>120.60539</v>
      </c>
      <c r="DG46" s="1367">
        <v>0</v>
      </c>
      <c r="DH46" s="1367">
        <v>122.87039</v>
      </c>
      <c r="DI46" s="1367">
        <v>0</v>
      </c>
      <c r="DJ46" s="1367">
        <v>164.73917</v>
      </c>
      <c r="DK46" s="1367">
        <v>0</v>
      </c>
      <c r="DL46" s="1367">
        <v>206.00370000000001</v>
      </c>
      <c r="DM46" s="1367">
        <v>0</v>
      </c>
      <c r="DN46" s="1367">
        <v>271.91079000000002</v>
      </c>
      <c r="DO46" s="1367">
        <v>0</v>
      </c>
      <c r="DP46" s="1367">
        <v>3378.1590099999999</v>
      </c>
      <c r="DQ46" s="1385">
        <v>0</v>
      </c>
      <c r="DR46" s="1396">
        <v>81.692610000000002</v>
      </c>
      <c r="DS46" s="1368">
        <v>0</v>
      </c>
      <c r="DT46" s="1389">
        <v>154.49202</v>
      </c>
      <c r="DU46" s="1385">
        <v>0</v>
      </c>
      <c r="DV46" s="1396">
        <v>197.72301999999999</v>
      </c>
      <c r="DW46" s="1368">
        <v>0</v>
      </c>
      <c r="DX46" s="1389">
        <v>200.27249</v>
      </c>
      <c r="DY46" s="1385">
        <v>0</v>
      </c>
      <c r="DZ46" s="1396">
        <v>202.19614999999999</v>
      </c>
      <c r="EA46" s="1368">
        <v>0</v>
      </c>
      <c r="EB46" s="1389">
        <v>466.82736999999997</v>
      </c>
      <c r="EC46" s="1368">
        <v>0</v>
      </c>
      <c r="ED46" s="1396">
        <v>467.88029</v>
      </c>
      <c r="EE46" s="1368">
        <v>0</v>
      </c>
      <c r="EF46" s="1396">
        <v>795.74928999999997</v>
      </c>
      <c r="EG46" s="1368">
        <v>0</v>
      </c>
      <c r="EH46" s="1389">
        <v>1150.2914499999999</v>
      </c>
      <c r="EI46" s="1368">
        <v>0</v>
      </c>
      <c r="EJ46" s="1389">
        <v>1152.7724499999999</v>
      </c>
      <c r="EK46" s="1368">
        <v>0.12427000000000001</v>
      </c>
      <c r="EL46" s="1389">
        <v>1531.8914500000001</v>
      </c>
      <c r="EM46" s="1368">
        <v>0.17721000000000001</v>
      </c>
      <c r="EN46" s="1389">
        <v>1899.9356299999999</v>
      </c>
      <c r="EO46" s="1368">
        <v>0.17721000000000001</v>
      </c>
      <c r="EP46" s="1389">
        <v>110.255</v>
      </c>
      <c r="EQ46" s="1368">
        <v>0</v>
      </c>
      <c r="ER46" s="1389">
        <v>453.69711999999998</v>
      </c>
      <c r="ES46" s="1368">
        <v>2.6600000000000002E-2</v>
      </c>
      <c r="ET46" s="1633">
        <v>665.30424000000005</v>
      </c>
      <c r="EU46" s="1634">
        <v>2.6599999999999999E-2</v>
      </c>
      <c r="EV46" s="1389">
        <v>890.48851000000002</v>
      </c>
      <c r="EW46" s="1368">
        <v>0.47660000000000002</v>
      </c>
      <c r="EX46" s="1389">
        <v>892.14639999999997</v>
      </c>
      <c r="EY46" s="1368">
        <v>0.47660000000000002</v>
      </c>
      <c r="EZ46" s="1389">
        <v>1248.4578700000002</v>
      </c>
      <c r="FA46" s="1368">
        <v>0.47660000000000002</v>
      </c>
      <c r="FB46" s="1389">
        <v>1249.6698700000002</v>
      </c>
      <c r="FC46" s="1368">
        <v>0.47660000000000002</v>
      </c>
      <c r="FD46" s="1389">
        <v>2145.9618799999998</v>
      </c>
      <c r="FE46" s="1368">
        <v>0.89659999999999995</v>
      </c>
      <c r="FF46" s="1389">
        <v>2405.4802</v>
      </c>
      <c r="FG46" s="1368">
        <v>0.89660000000000006</v>
      </c>
      <c r="FH46" s="1389">
        <v>2665.7259399999998</v>
      </c>
      <c r="FI46" s="1368">
        <v>2.6722199999999998</v>
      </c>
      <c r="FJ46" s="1633">
        <v>3401.4607700000001</v>
      </c>
      <c r="FK46" s="1634">
        <v>3.0662400000000001</v>
      </c>
      <c r="FL46" s="1389">
        <v>3829.94994</v>
      </c>
      <c r="FM46" s="1368">
        <v>4.8673700000000002</v>
      </c>
      <c r="FN46" s="1389">
        <v>452.73106999999999</v>
      </c>
      <c r="FO46" s="1368">
        <v>2.7864599999999999</v>
      </c>
      <c r="FP46" s="1389">
        <v>821.10320999999999</v>
      </c>
      <c r="FQ46" s="1368">
        <v>14.48959</v>
      </c>
      <c r="FR46" s="1366" t="s">
        <v>3288</v>
      </c>
    </row>
    <row r="47" spans="1:174" s="458" customFormat="1" ht="22.5" customHeight="1">
      <c r="A47" s="1370" t="s">
        <v>2322</v>
      </c>
      <c r="B47" s="1371">
        <v>0</v>
      </c>
      <c r="C47" s="1371">
        <v>0</v>
      </c>
      <c r="D47" s="1371">
        <v>0</v>
      </c>
      <c r="E47" s="1371">
        <v>2.5764999999999998</v>
      </c>
      <c r="F47" s="1371">
        <v>0</v>
      </c>
      <c r="G47" s="1371">
        <v>4.1336400000000006</v>
      </c>
      <c r="H47" s="1371">
        <v>0</v>
      </c>
      <c r="I47" s="1371">
        <v>4.1336400000000006</v>
      </c>
      <c r="J47" s="1371">
        <v>0</v>
      </c>
      <c r="K47" s="1371">
        <v>4.1336400000000006</v>
      </c>
      <c r="L47" s="1371">
        <v>0</v>
      </c>
      <c r="M47" s="1371">
        <v>4.1336400000000006</v>
      </c>
      <c r="N47" s="1371">
        <v>0</v>
      </c>
      <c r="O47" s="1371">
        <v>4.1336400000000006</v>
      </c>
      <c r="P47" s="1371">
        <v>0</v>
      </c>
      <c r="Q47" s="1371">
        <v>4.1336400000000006</v>
      </c>
      <c r="R47" s="1371">
        <v>0</v>
      </c>
      <c r="S47" s="1371">
        <v>4.1336400000000006</v>
      </c>
      <c r="T47" s="1371">
        <v>0</v>
      </c>
      <c r="U47" s="1371">
        <v>0</v>
      </c>
      <c r="V47" s="1371">
        <v>0.02</v>
      </c>
      <c r="W47" s="1371">
        <v>0</v>
      </c>
      <c r="X47" s="1371">
        <v>0.09</v>
      </c>
      <c r="Y47" s="1371">
        <v>0</v>
      </c>
      <c r="Z47" s="1371">
        <v>0.61</v>
      </c>
      <c r="AA47" s="1371">
        <v>0</v>
      </c>
      <c r="AB47" s="1371">
        <v>1.32</v>
      </c>
      <c r="AC47" s="1371">
        <v>0</v>
      </c>
      <c r="AD47" s="1371">
        <v>1.76</v>
      </c>
      <c r="AE47" s="1371">
        <v>0</v>
      </c>
      <c r="AF47" s="1371">
        <v>9.57</v>
      </c>
      <c r="AG47" s="1371">
        <v>0</v>
      </c>
      <c r="AH47" s="1371">
        <v>19.940000000000001</v>
      </c>
      <c r="AI47" s="1371">
        <v>0</v>
      </c>
      <c r="AJ47" s="1371">
        <v>25.96</v>
      </c>
      <c r="AK47" s="1371">
        <v>0</v>
      </c>
      <c r="AL47" s="1371">
        <v>30.2</v>
      </c>
      <c r="AM47" s="1371">
        <v>0</v>
      </c>
      <c r="AN47" s="1371">
        <v>37.659999999999997</v>
      </c>
      <c r="AO47" s="1371">
        <v>0</v>
      </c>
      <c r="AP47" s="1371">
        <v>42.19</v>
      </c>
      <c r="AQ47" s="1371">
        <v>0</v>
      </c>
      <c r="AR47" s="1371">
        <v>47.45</v>
      </c>
      <c r="AS47" s="1371">
        <v>0</v>
      </c>
      <c r="AT47" s="1371">
        <v>89.428049999999999</v>
      </c>
      <c r="AU47" s="1371">
        <v>0</v>
      </c>
      <c r="AV47" s="1371">
        <v>1860.06747</v>
      </c>
      <c r="AW47" s="1371">
        <v>0</v>
      </c>
      <c r="AX47" s="1371">
        <v>8.36</v>
      </c>
      <c r="AY47" s="1371">
        <v>0</v>
      </c>
      <c r="AZ47" s="1371">
        <v>14.34</v>
      </c>
      <c r="BA47" s="1371">
        <v>0</v>
      </c>
      <c r="BB47" s="1371">
        <v>16.93</v>
      </c>
      <c r="BC47" s="1371">
        <v>0</v>
      </c>
      <c r="BD47" s="1371">
        <v>26.358000000000001</v>
      </c>
      <c r="BE47" s="1371">
        <v>0</v>
      </c>
      <c r="BF47" s="1371">
        <v>44.607999999999997</v>
      </c>
      <c r="BG47" s="1371">
        <v>0</v>
      </c>
      <c r="BH47" s="1371">
        <v>57.08</v>
      </c>
      <c r="BI47" s="1371">
        <v>0</v>
      </c>
      <c r="BJ47" s="1371">
        <v>78.224999999999994</v>
      </c>
      <c r="BK47" s="1371">
        <v>0</v>
      </c>
      <c r="BL47" s="1371">
        <v>96.447999999999993</v>
      </c>
      <c r="BM47" s="1371">
        <v>0</v>
      </c>
      <c r="BN47" s="1371">
        <v>109.42</v>
      </c>
      <c r="BO47" s="1371">
        <v>0</v>
      </c>
      <c r="BP47" s="1371">
        <v>112.617</v>
      </c>
      <c r="BQ47" s="1371">
        <v>0</v>
      </c>
      <c r="BR47" s="1371">
        <v>113.565</v>
      </c>
      <c r="BS47" s="1371">
        <v>0</v>
      </c>
      <c r="BT47" s="1371">
        <v>157.70371</v>
      </c>
      <c r="BU47" s="1371">
        <v>0</v>
      </c>
      <c r="BV47" s="1371">
        <v>3.91</v>
      </c>
      <c r="BW47" s="1371">
        <v>0</v>
      </c>
      <c r="BX47" s="1371">
        <v>6.6829999999999998</v>
      </c>
      <c r="BY47" s="1371">
        <v>0</v>
      </c>
      <c r="BZ47" s="1371">
        <v>11.037799999999999</v>
      </c>
      <c r="CA47" s="1371">
        <v>0</v>
      </c>
      <c r="CB47" s="1371">
        <v>11.652799999999999</v>
      </c>
      <c r="CC47" s="1371">
        <v>0</v>
      </c>
      <c r="CD47" s="1371">
        <v>13.83991</v>
      </c>
      <c r="CE47" s="1371">
        <v>0</v>
      </c>
      <c r="CF47" s="1371">
        <v>14.565910000000001</v>
      </c>
      <c r="CG47" s="1371">
        <v>0</v>
      </c>
      <c r="CH47" s="1371">
        <v>15.936909999999999</v>
      </c>
      <c r="CI47" s="1371">
        <v>0</v>
      </c>
      <c r="CJ47" s="1371">
        <v>21.520880000000002</v>
      </c>
      <c r="CK47" s="1371">
        <v>0</v>
      </c>
      <c r="CL47" s="1371">
        <v>35.746949999999998</v>
      </c>
      <c r="CM47" s="1371">
        <v>0</v>
      </c>
      <c r="CN47" s="1371">
        <v>50.802260000000004</v>
      </c>
      <c r="CO47" s="1371">
        <v>0</v>
      </c>
      <c r="CP47" s="1371">
        <v>67.38794</v>
      </c>
      <c r="CQ47" s="1371">
        <v>0</v>
      </c>
      <c r="CR47" s="1371">
        <v>91.584800000000001</v>
      </c>
      <c r="CS47" s="1371">
        <v>0</v>
      </c>
      <c r="CT47" s="1371">
        <v>10.222</v>
      </c>
      <c r="CU47" s="1371">
        <v>0</v>
      </c>
      <c r="CV47" s="1371">
        <v>28.514099999999999</v>
      </c>
      <c r="CW47" s="1371">
        <v>0</v>
      </c>
      <c r="CX47" s="1371">
        <v>45.558639999999997</v>
      </c>
      <c r="CY47" s="1371">
        <v>0</v>
      </c>
      <c r="CZ47" s="1371">
        <v>53.771519999999995</v>
      </c>
      <c r="DA47" s="1371">
        <v>0</v>
      </c>
      <c r="DB47" s="1371">
        <v>78.640339999999995</v>
      </c>
      <c r="DC47" s="1371">
        <v>0</v>
      </c>
      <c r="DD47" s="1371">
        <v>103.90758</v>
      </c>
      <c r="DE47" s="1371">
        <v>0</v>
      </c>
      <c r="DF47" s="1371">
        <v>120.60539</v>
      </c>
      <c r="DG47" s="1371">
        <v>0</v>
      </c>
      <c r="DH47" s="1371">
        <v>122.87039</v>
      </c>
      <c r="DI47" s="1371">
        <v>0</v>
      </c>
      <c r="DJ47" s="1371">
        <v>164.73917</v>
      </c>
      <c r="DK47" s="1371">
        <v>0</v>
      </c>
      <c r="DL47" s="1371">
        <v>206.00370000000001</v>
      </c>
      <c r="DM47" s="1371">
        <v>0</v>
      </c>
      <c r="DN47" s="1371">
        <v>271.91079000000002</v>
      </c>
      <c r="DO47" s="1371">
        <v>0</v>
      </c>
      <c r="DP47" s="1371">
        <v>3378.1590099999999</v>
      </c>
      <c r="DQ47" s="1386">
        <v>0</v>
      </c>
      <c r="DR47" s="1397">
        <v>81.692610000000002</v>
      </c>
      <c r="DS47" s="1372">
        <v>0</v>
      </c>
      <c r="DT47" s="1390">
        <v>154.49202</v>
      </c>
      <c r="DU47" s="1386">
        <v>0</v>
      </c>
      <c r="DV47" s="1397">
        <v>197.72301999999999</v>
      </c>
      <c r="DW47" s="1372">
        <v>0</v>
      </c>
      <c r="DX47" s="1390">
        <v>200.27249</v>
      </c>
      <c r="DY47" s="1386">
        <v>0</v>
      </c>
      <c r="DZ47" s="1397">
        <v>202.19614999999999</v>
      </c>
      <c r="EA47" s="1372">
        <v>0</v>
      </c>
      <c r="EB47" s="1390">
        <v>466.82736999999997</v>
      </c>
      <c r="EC47" s="1372">
        <v>0</v>
      </c>
      <c r="ED47" s="1397">
        <v>467.88029</v>
      </c>
      <c r="EE47" s="1372">
        <v>0</v>
      </c>
      <c r="EF47" s="1397">
        <v>795.74928999999997</v>
      </c>
      <c r="EG47" s="1372">
        <v>0</v>
      </c>
      <c r="EH47" s="1390">
        <v>1150.2914499999999</v>
      </c>
      <c r="EI47" s="1372">
        <v>0</v>
      </c>
      <c r="EJ47" s="1390">
        <v>1152.7724499999999</v>
      </c>
      <c r="EK47" s="1372">
        <v>0.12427000000000001</v>
      </c>
      <c r="EL47" s="1390">
        <v>1531.8914500000001</v>
      </c>
      <c r="EM47" s="1372">
        <v>0.17721000000000001</v>
      </c>
      <c r="EN47" s="1390">
        <v>1899.9356299999999</v>
      </c>
      <c r="EO47" s="1372">
        <v>0.17721000000000001</v>
      </c>
      <c r="EP47" s="1390">
        <v>110.255</v>
      </c>
      <c r="EQ47" s="1372">
        <v>0</v>
      </c>
      <c r="ER47" s="1390">
        <v>453.69711999999998</v>
      </c>
      <c r="ES47" s="1372">
        <v>2.6600000000000002E-2</v>
      </c>
      <c r="ET47" s="1635">
        <v>665.30424000000005</v>
      </c>
      <c r="EU47" s="1636">
        <v>2.6599999999999999E-2</v>
      </c>
      <c r="EV47" s="1390">
        <v>890.48851000000002</v>
      </c>
      <c r="EW47" s="1372">
        <v>0.47660000000000002</v>
      </c>
      <c r="EX47" s="1390">
        <v>892.14639999999997</v>
      </c>
      <c r="EY47" s="1372">
        <v>0.47660000000000002</v>
      </c>
      <c r="EZ47" s="1390">
        <v>1248.4578700000002</v>
      </c>
      <c r="FA47" s="1372">
        <v>0.47660000000000002</v>
      </c>
      <c r="FB47" s="1390">
        <v>1249.6698700000002</v>
      </c>
      <c r="FC47" s="1372">
        <v>0.47660000000000002</v>
      </c>
      <c r="FD47" s="1390">
        <v>2145.9618799999998</v>
      </c>
      <c r="FE47" s="1372">
        <v>0.89659999999999995</v>
      </c>
      <c r="FF47" s="1390">
        <v>2405.4802</v>
      </c>
      <c r="FG47" s="1372">
        <v>0.89660000000000006</v>
      </c>
      <c r="FH47" s="1390">
        <v>2665.7259399999998</v>
      </c>
      <c r="FI47" s="1372">
        <v>2.6722199999999998</v>
      </c>
      <c r="FJ47" s="1635">
        <v>3401.4607700000001</v>
      </c>
      <c r="FK47" s="1636">
        <v>3.0662400000000001</v>
      </c>
      <c r="FL47" s="1390">
        <v>3829.94994</v>
      </c>
      <c r="FM47" s="1372">
        <v>4.8673700000000002</v>
      </c>
      <c r="FN47" s="1390">
        <v>452.73106999999999</v>
      </c>
      <c r="FO47" s="1372">
        <v>2.7864599999999999</v>
      </c>
      <c r="FP47" s="1390">
        <v>821.10320999999999</v>
      </c>
      <c r="FQ47" s="1372">
        <v>14.48959</v>
      </c>
      <c r="FR47" s="1373" t="s">
        <v>3289</v>
      </c>
    </row>
    <row r="48" spans="1:174" s="458" customFormat="1" ht="22.5" customHeight="1">
      <c r="A48" s="1366" t="s">
        <v>2321</v>
      </c>
      <c r="B48" s="1367">
        <v>0</v>
      </c>
      <c r="C48" s="1367">
        <v>0</v>
      </c>
      <c r="D48" s="1367">
        <v>0</v>
      </c>
      <c r="E48" s="1367">
        <v>0</v>
      </c>
      <c r="F48" s="1367">
        <v>0</v>
      </c>
      <c r="G48" s="1367">
        <v>0</v>
      </c>
      <c r="H48" s="1367">
        <v>0</v>
      </c>
      <c r="I48" s="1367">
        <v>0</v>
      </c>
      <c r="J48" s="1367">
        <v>0</v>
      </c>
      <c r="K48" s="1367">
        <v>0</v>
      </c>
      <c r="L48" s="1367">
        <v>9.2696000000000005</v>
      </c>
      <c r="M48" s="1367">
        <v>0</v>
      </c>
      <c r="N48" s="1367">
        <v>9.2696000000000005</v>
      </c>
      <c r="O48" s="1367">
        <v>0</v>
      </c>
      <c r="P48" s="1367">
        <v>9.2696000000000005</v>
      </c>
      <c r="Q48" s="1367">
        <v>0</v>
      </c>
      <c r="R48" s="1367">
        <v>9.2696000000000005</v>
      </c>
      <c r="S48" s="1367">
        <v>0</v>
      </c>
      <c r="T48" s="1367">
        <v>9.2696000000000005</v>
      </c>
      <c r="U48" s="1367">
        <v>0</v>
      </c>
      <c r="V48" s="1367">
        <v>9.2696000000000005</v>
      </c>
      <c r="W48" s="1367">
        <v>0</v>
      </c>
      <c r="X48" s="1367">
        <v>9.2696000000000005</v>
      </c>
      <c r="Y48" s="1367">
        <v>0</v>
      </c>
      <c r="Z48" s="1367">
        <v>0</v>
      </c>
      <c r="AA48" s="1367">
        <v>0</v>
      </c>
      <c r="AB48" s="1367">
        <v>0</v>
      </c>
      <c r="AC48" s="1367">
        <v>0</v>
      </c>
      <c r="AD48" s="1367">
        <v>0</v>
      </c>
      <c r="AE48" s="1367">
        <v>0</v>
      </c>
      <c r="AF48" s="1367">
        <v>0.56496000000000002</v>
      </c>
      <c r="AG48" s="1367">
        <v>0</v>
      </c>
      <c r="AH48" s="1367">
        <v>0.56496000000000002</v>
      </c>
      <c r="AI48" s="1367">
        <v>0</v>
      </c>
      <c r="AJ48" s="1367">
        <v>0.56496000000000002</v>
      </c>
      <c r="AK48" s="1367">
        <v>0</v>
      </c>
      <c r="AL48" s="1367">
        <v>0.56496000000000002</v>
      </c>
      <c r="AM48" s="1367">
        <v>0</v>
      </c>
      <c r="AN48" s="1367">
        <v>0.56496000000000002</v>
      </c>
      <c r="AO48" s="1367">
        <v>0</v>
      </c>
      <c r="AP48" s="1367">
        <v>0.56496000000000002</v>
      </c>
      <c r="AQ48" s="1367">
        <v>0</v>
      </c>
      <c r="AR48" s="1367">
        <v>0.56496000000000002</v>
      </c>
      <c r="AS48" s="1367">
        <v>0</v>
      </c>
      <c r="AT48" s="1367">
        <v>0.56496000000000002</v>
      </c>
      <c r="AU48" s="1367">
        <v>0</v>
      </c>
      <c r="AV48" s="1367">
        <v>0.56496000000000002</v>
      </c>
      <c r="AW48" s="1367">
        <v>0</v>
      </c>
      <c r="AX48" s="1367">
        <v>2.19285</v>
      </c>
      <c r="AY48" s="1367">
        <v>0</v>
      </c>
      <c r="AZ48" s="1367">
        <v>2.19285</v>
      </c>
      <c r="BA48" s="1367">
        <v>0</v>
      </c>
      <c r="BB48" s="1367">
        <v>2.19285</v>
      </c>
      <c r="BC48" s="1367">
        <v>0</v>
      </c>
      <c r="BD48" s="1367">
        <v>2.8794499999999998</v>
      </c>
      <c r="BE48" s="1367">
        <v>0</v>
      </c>
      <c r="BF48" s="1367">
        <v>307.66515999999996</v>
      </c>
      <c r="BG48" s="1367">
        <v>0</v>
      </c>
      <c r="BH48" s="1367">
        <v>307.66515999999996</v>
      </c>
      <c r="BI48" s="1367">
        <v>0</v>
      </c>
      <c r="BJ48" s="1367">
        <v>317.04237000000001</v>
      </c>
      <c r="BK48" s="1367">
        <v>0</v>
      </c>
      <c r="BL48" s="1367">
        <v>317.36237</v>
      </c>
      <c r="BM48" s="1367">
        <v>0</v>
      </c>
      <c r="BN48" s="1367">
        <v>318.80237</v>
      </c>
      <c r="BO48" s="1367">
        <v>0</v>
      </c>
      <c r="BP48" s="1367">
        <v>318.80237</v>
      </c>
      <c r="BQ48" s="1367">
        <v>0</v>
      </c>
      <c r="BR48" s="1367">
        <v>318.80237</v>
      </c>
      <c r="BS48" s="1367">
        <v>0</v>
      </c>
      <c r="BT48" s="1367">
        <v>321.47416999999996</v>
      </c>
      <c r="BU48" s="1367">
        <v>0</v>
      </c>
      <c r="BV48" s="1367">
        <v>1.2556500000000002</v>
      </c>
      <c r="BW48" s="1367">
        <v>13.238</v>
      </c>
      <c r="BX48" s="1367">
        <v>2.8156599999999998</v>
      </c>
      <c r="BY48" s="1367">
        <v>13.238</v>
      </c>
      <c r="BZ48" s="1367">
        <v>1.5600099999999999</v>
      </c>
      <c r="CA48" s="1367">
        <v>13.238</v>
      </c>
      <c r="CB48" s="1367">
        <v>2.0400100000000001</v>
      </c>
      <c r="CC48" s="1367">
        <v>13.238</v>
      </c>
      <c r="CD48" s="1367">
        <v>406.43056999999999</v>
      </c>
      <c r="CE48" s="1367">
        <v>13.238</v>
      </c>
      <c r="CF48" s="1367">
        <v>406.43056999999999</v>
      </c>
      <c r="CG48" s="1367">
        <v>13.238</v>
      </c>
      <c r="CH48" s="1367">
        <v>406.43056999999999</v>
      </c>
      <c r="CI48" s="1367">
        <v>13.238</v>
      </c>
      <c r="CJ48" s="1367">
        <v>406.75056999999998</v>
      </c>
      <c r="CK48" s="1367">
        <v>13.238</v>
      </c>
      <c r="CL48" s="1367">
        <v>406.75056999999998</v>
      </c>
      <c r="CM48" s="1367">
        <v>13.238</v>
      </c>
      <c r="CN48" s="1367">
        <v>406.75056999999998</v>
      </c>
      <c r="CO48" s="1367">
        <v>13.238</v>
      </c>
      <c r="CP48" s="1367">
        <v>407.98237</v>
      </c>
      <c r="CQ48" s="1367">
        <v>13.238</v>
      </c>
      <c r="CR48" s="1367">
        <v>407.98237</v>
      </c>
      <c r="CS48" s="1367">
        <v>13.238</v>
      </c>
      <c r="CT48" s="1367">
        <v>0</v>
      </c>
      <c r="CU48" s="1367">
        <v>0</v>
      </c>
      <c r="CV48" s="1367">
        <v>0</v>
      </c>
      <c r="CW48" s="1367">
        <v>0</v>
      </c>
      <c r="CX48" s="1367">
        <v>0</v>
      </c>
      <c r="CY48" s="1367">
        <v>0</v>
      </c>
      <c r="CZ48" s="1367">
        <v>0</v>
      </c>
      <c r="DA48" s="1367">
        <v>0</v>
      </c>
      <c r="DB48" s="1367">
        <v>413.06063</v>
      </c>
      <c r="DC48" s="1367">
        <v>0</v>
      </c>
      <c r="DD48" s="1367">
        <v>413.70938000000001</v>
      </c>
      <c r="DE48" s="1367">
        <v>0</v>
      </c>
      <c r="DF48" s="1367">
        <v>413.70938000000001</v>
      </c>
      <c r="DG48" s="1367">
        <v>0</v>
      </c>
      <c r="DH48" s="1367">
        <v>413.70938000000001</v>
      </c>
      <c r="DI48" s="1367">
        <v>0</v>
      </c>
      <c r="DJ48" s="1367">
        <v>436.88190999999995</v>
      </c>
      <c r="DK48" s="1367">
        <v>0</v>
      </c>
      <c r="DL48" s="1367">
        <v>436.88191</v>
      </c>
      <c r="DM48" s="1367">
        <v>0</v>
      </c>
      <c r="DN48" s="1367">
        <v>436.88191</v>
      </c>
      <c r="DO48" s="1367">
        <v>0</v>
      </c>
      <c r="DP48" s="1367">
        <v>452.64600000000002</v>
      </c>
      <c r="DQ48" s="1385">
        <v>0</v>
      </c>
      <c r="DR48" s="1396">
        <v>0</v>
      </c>
      <c r="DS48" s="1368">
        <v>0</v>
      </c>
      <c r="DT48" s="1389">
        <v>0</v>
      </c>
      <c r="DU48" s="1385">
        <v>0</v>
      </c>
      <c r="DV48" s="1396">
        <v>0</v>
      </c>
      <c r="DW48" s="1368">
        <v>0</v>
      </c>
      <c r="DX48" s="1389">
        <v>0</v>
      </c>
      <c r="DY48" s="1385">
        <v>0</v>
      </c>
      <c r="DZ48" s="1396">
        <v>417.37450999999999</v>
      </c>
      <c r="EA48" s="1368">
        <v>0</v>
      </c>
      <c r="EB48" s="1389">
        <v>416.72575999999998</v>
      </c>
      <c r="EC48" s="1368">
        <v>0</v>
      </c>
      <c r="ED48" s="1396">
        <v>417.37450999999999</v>
      </c>
      <c r="EE48" s="1368">
        <v>0</v>
      </c>
      <c r="EF48" s="1396">
        <v>417.37450999999999</v>
      </c>
      <c r="EG48" s="1368">
        <v>0</v>
      </c>
      <c r="EH48" s="1389">
        <v>417.37450999999999</v>
      </c>
      <c r="EI48" s="1368">
        <v>0</v>
      </c>
      <c r="EJ48" s="1389">
        <v>417.37450999999999</v>
      </c>
      <c r="EK48" s="1368">
        <v>0</v>
      </c>
      <c r="EL48" s="1389">
        <v>417.37450999999999</v>
      </c>
      <c r="EM48" s="1368">
        <v>0</v>
      </c>
      <c r="EN48" s="1389">
        <v>442.06891000000002</v>
      </c>
      <c r="EO48" s="1368">
        <v>0</v>
      </c>
      <c r="EP48" s="1389">
        <v>0</v>
      </c>
      <c r="EQ48" s="1368">
        <v>0</v>
      </c>
      <c r="ER48" s="1389">
        <v>0</v>
      </c>
      <c r="ES48" s="1368">
        <v>0</v>
      </c>
      <c r="ET48" s="1633">
        <v>0</v>
      </c>
      <c r="EU48" s="1634">
        <v>0</v>
      </c>
      <c r="EV48" s="1389">
        <v>0</v>
      </c>
      <c r="EW48" s="1368">
        <v>0</v>
      </c>
      <c r="EX48" s="1389">
        <v>445.5462</v>
      </c>
      <c r="EY48" s="1368">
        <v>0</v>
      </c>
      <c r="EZ48" s="1389">
        <v>445.5462</v>
      </c>
      <c r="FA48" s="1368">
        <v>0</v>
      </c>
      <c r="FB48" s="1389">
        <v>445.5462</v>
      </c>
      <c r="FC48" s="1368">
        <v>0</v>
      </c>
      <c r="FD48" s="1389">
        <v>445.5462</v>
      </c>
      <c r="FE48" s="1368">
        <v>0</v>
      </c>
      <c r="FF48" s="1389">
        <v>445.5462</v>
      </c>
      <c r="FG48" s="1368">
        <v>0</v>
      </c>
      <c r="FH48" s="1389">
        <v>445.5462</v>
      </c>
      <c r="FI48" s="1368">
        <v>0</v>
      </c>
      <c r="FJ48" s="1633">
        <v>445.5462</v>
      </c>
      <c r="FK48" s="1634">
        <v>0</v>
      </c>
      <c r="FL48" s="1389">
        <v>475.54177000000004</v>
      </c>
      <c r="FM48" s="1368">
        <v>0</v>
      </c>
      <c r="FN48" s="1389">
        <v>0</v>
      </c>
      <c r="FO48" s="1368">
        <v>0</v>
      </c>
      <c r="FP48" s="1389">
        <v>0</v>
      </c>
      <c r="FQ48" s="1368">
        <v>0</v>
      </c>
      <c r="FR48" s="1366" t="s">
        <v>3290</v>
      </c>
    </row>
    <row r="49" spans="1:174" s="458" customFormat="1" ht="22.5" customHeight="1">
      <c r="A49" s="1370" t="s">
        <v>2320</v>
      </c>
      <c r="B49" s="1371">
        <v>0</v>
      </c>
      <c r="C49" s="1371">
        <v>0</v>
      </c>
      <c r="D49" s="1371">
        <v>0</v>
      </c>
      <c r="E49" s="1371">
        <v>0</v>
      </c>
      <c r="F49" s="1371">
        <v>0</v>
      </c>
      <c r="G49" s="1371">
        <v>0</v>
      </c>
      <c r="H49" s="1371">
        <v>0</v>
      </c>
      <c r="I49" s="1371">
        <v>0</v>
      </c>
      <c r="J49" s="1371">
        <v>0</v>
      </c>
      <c r="K49" s="1371">
        <v>0</v>
      </c>
      <c r="L49" s="1371">
        <v>9.2696000000000005</v>
      </c>
      <c r="M49" s="1371">
        <v>0</v>
      </c>
      <c r="N49" s="1371">
        <v>9.2696000000000005</v>
      </c>
      <c r="O49" s="1371">
        <v>0</v>
      </c>
      <c r="P49" s="1371">
        <v>9.2696000000000005</v>
      </c>
      <c r="Q49" s="1371">
        <v>0</v>
      </c>
      <c r="R49" s="1371">
        <v>9.2696000000000005</v>
      </c>
      <c r="S49" s="1371">
        <v>0</v>
      </c>
      <c r="T49" s="1371">
        <v>9.2696000000000005</v>
      </c>
      <c r="U49" s="1371">
        <v>0</v>
      </c>
      <c r="V49" s="1371">
        <v>9.2696000000000005</v>
      </c>
      <c r="W49" s="1371">
        <v>0</v>
      </c>
      <c r="X49" s="1371">
        <v>9.2696000000000005</v>
      </c>
      <c r="Y49" s="1371">
        <v>0</v>
      </c>
      <c r="Z49" s="1371">
        <v>0</v>
      </c>
      <c r="AA49" s="1371">
        <v>0</v>
      </c>
      <c r="AB49" s="1371">
        <v>0</v>
      </c>
      <c r="AC49" s="1371">
        <v>0</v>
      </c>
      <c r="AD49" s="1371">
        <v>0</v>
      </c>
      <c r="AE49" s="1371">
        <v>0</v>
      </c>
      <c r="AF49" s="1371">
        <v>0.56496000000000002</v>
      </c>
      <c r="AG49" s="1371">
        <v>0</v>
      </c>
      <c r="AH49" s="1371">
        <v>0.56496000000000002</v>
      </c>
      <c r="AI49" s="1371">
        <v>0</v>
      </c>
      <c r="AJ49" s="1371">
        <v>0.56496000000000002</v>
      </c>
      <c r="AK49" s="1371">
        <v>0</v>
      </c>
      <c r="AL49" s="1371">
        <v>0.56496000000000002</v>
      </c>
      <c r="AM49" s="1371">
        <v>0</v>
      </c>
      <c r="AN49" s="1371">
        <v>0.56496000000000002</v>
      </c>
      <c r="AO49" s="1371">
        <v>0</v>
      </c>
      <c r="AP49" s="1371">
        <v>0.56496000000000002</v>
      </c>
      <c r="AQ49" s="1371">
        <v>0</v>
      </c>
      <c r="AR49" s="1371">
        <v>0.56496000000000002</v>
      </c>
      <c r="AS49" s="1371">
        <v>0</v>
      </c>
      <c r="AT49" s="1371">
        <v>0.56496000000000002</v>
      </c>
      <c r="AU49" s="1371">
        <v>0</v>
      </c>
      <c r="AV49" s="1371">
        <v>0.56496000000000002</v>
      </c>
      <c r="AW49" s="1371">
        <v>0</v>
      </c>
      <c r="AX49" s="1371">
        <v>2.19285</v>
      </c>
      <c r="AY49" s="1371">
        <v>0</v>
      </c>
      <c r="AZ49" s="1371">
        <v>2.19285</v>
      </c>
      <c r="BA49" s="1371">
        <v>0</v>
      </c>
      <c r="BB49" s="1371">
        <v>2.19285</v>
      </c>
      <c r="BC49" s="1371">
        <v>0</v>
      </c>
      <c r="BD49" s="1371">
        <v>2.8794499999999998</v>
      </c>
      <c r="BE49" s="1371">
        <v>0</v>
      </c>
      <c r="BF49" s="1371">
        <v>307.66515999999996</v>
      </c>
      <c r="BG49" s="1371">
        <v>0</v>
      </c>
      <c r="BH49" s="1371">
        <v>307.66515999999996</v>
      </c>
      <c r="BI49" s="1371">
        <v>0</v>
      </c>
      <c r="BJ49" s="1371">
        <v>317.04237000000001</v>
      </c>
      <c r="BK49" s="1371">
        <v>0</v>
      </c>
      <c r="BL49" s="1371">
        <v>317.36237</v>
      </c>
      <c r="BM49" s="1371">
        <v>0</v>
      </c>
      <c r="BN49" s="1371">
        <v>318.80237</v>
      </c>
      <c r="BO49" s="1371">
        <v>0</v>
      </c>
      <c r="BP49" s="1371">
        <v>318.80237</v>
      </c>
      <c r="BQ49" s="1371">
        <v>0</v>
      </c>
      <c r="BR49" s="1371">
        <v>318.80237</v>
      </c>
      <c r="BS49" s="1371">
        <v>0</v>
      </c>
      <c r="BT49" s="1371">
        <v>321.47416999999996</v>
      </c>
      <c r="BU49" s="1371">
        <v>0</v>
      </c>
      <c r="BV49" s="1371">
        <v>1.2556500000000002</v>
      </c>
      <c r="BW49" s="1371">
        <v>13.238</v>
      </c>
      <c r="BX49" s="1371">
        <v>2.8156599999999998</v>
      </c>
      <c r="BY49" s="1371">
        <v>13.238</v>
      </c>
      <c r="BZ49" s="1371">
        <v>1.5600099999999999</v>
      </c>
      <c r="CA49" s="1371">
        <v>13.238</v>
      </c>
      <c r="CB49" s="1371">
        <v>2.0400100000000001</v>
      </c>
      <c r="CC49" s="1371">
        <v>13.238</v>
      </c>
      <c r="CD49" s="1371">
        <v>406.43056999999999</v>
      </c>
      <c r="CE49" s="1371">
        <v>13.238</v>
      </c>
      <c r="CF49" s="1371">
        <v>406.43056999999999</v>
      </c>
      <c r="CG49" s="1371">
        <v>13.238</v>
      </c>
      <c r="CH49" s="1371">
        <v>406.43056999999999</v>
      </c>
      <c r="CI49" s="1371">
        <v>13.238</v>
      </c>
      <c r="CJ49" s="1371">
        <v>406.75056999999998</v>
      </c>
      <c r="CK49" s="1371">
        <v>13.238</v>
      </c>
      <c r="CL49" s="1371">
        <v>406.75056999999998</v>
      </c>
      <c r="CM49" s="1371">
        <v>13.238</v>
      </c>
      <c r="CN49" s="1371">
        <v>406.75056999999998</v>
      </c>
      <c r="CO49" s="1371">
        <v>13.238</v>
      </c>
      <c r="CP49" s="1371">
        <v>407.98237</v>
      </c>
      <c r="CQ49" s="1371">
        <v>13.238</v>
      </c>
      <c r="CR49" s="1371">
        <v>407.98237</v>
      </c>
      <c r="CS49" s="1371">
        <v>13.238</v>
      </c>
      <c r="CT49" s="1371">
        <v>0</v>
      </c>
      <c r="CU49" s="1371">
        <v>0</v>
      </c>
      <c r="CV49" s="1371">
        <v>0</v>
      </c>
      <c r="CW49" s="1371">
        <v>0</v>
      </c>
      <c r="CX49" s="1371">
        <v>0</v>
      </c>
      <c r="CY49" s="1371">
        <v>0</v>
      </c>
      <c r="CZ49" s="1371">
        <v>0</v>
      </c>
      <c r="DA49" s="1371">
        <v>0</v>
      </c>
      <c r="DB49" s="1371">
        <v>413.06063</v>
      </c>
      <c r="DC49" s="1371">
        <v>0</v>
      </c>
      <c r="DD49" s="1371">
        <v>413.70938000000001</v>
      </c>
      <c r="DE49" s="1371">
        <v>0</v>
      </c>
      <c r="DF49" s="1371">
        <v>413.70938000000001</v>
      </c>
      <c r="DG49" s="1371">
        <v>0</v>
      </c>
      <c r="DH49" s="1371">
        <v>413.70938000000001</v>
      </c>
      <c r="DI49" s="1371">
        <v>0</v>
      </c>
      <c r="DJ49" s="1371">
        <v>436.88190999999995</v>
      </c>
      <c r="DK49" s="1371">
        <v>0</v>
      </c>
      <c r="DL49" s="1371">
        <v>436.88191</v>
      </c>
      <c r="DM49" s="1371">
        <v>0</v>
      </c>
      <c r="DN49" s="1371">
        <v>436.88191</v>
      </c>
      <c r="DO49" s="1371">
        <v>0</v>
      </c>
      <c r="DP49" s="1371">
        <v>452.64600000000002</v>
      </c>
      <c r="DQ49" s="1386">
        <v>0</v>
      </c>
      <c r="DR49" s="1397">
        <v>0</v>
      </c>
      <c r="DS49" s="1372">
        <v>0</v>
      </c>
      <c r="DT49" s="1390">
        <v>0</v>
      </c>
      <c r="DU49" s="1386">
        <v>0</v>
      </c>
      <c r="DV49" s="1397">
        <v>0</v>
      </c>
      <c r="DW49" s="1372">
        <v>0</v>
      </c>
      <c r="DX49" s="1390">
        <v>0</v>
      </c>
      <c r="DY49" s="1386">
        <v>0</v>
      </c>
      <c r="DZ49" s="1397">
        <v>417.37450999999999</v>
      </c>
      <c r="EA49" s="1372">
        <v>0</v>
      </c>
      <c r="EB49" s="1390">
        <v>416.72575999999998</v>
      </c>
      <c r="EC49" s="1372">
        <v>0</v>
      </c>
      <c r="ED49" s="1397">
        <v>417.37450999999999</v>
      </c>
      <c r="EE49" s="1372">
        <v>0</v>
      </c>
      <c r="EF49" s="1397">
        <v>417.37450999999999</v>
      </c>
      <c r="EG49" s="1372">
        <v>0</v>
      </c>
      <c r="EH49" s="1390">
        <v>417.37450999999999</v>
      </c>
      <c r="EI49" s="1372">
        <v>0</v>
      </c>
      <c r="EJ49" s="1390">
        <v>417.37450999999999</v>
      </c>
      <c r="EK49" s="1372">
        <v>0</v>
      </c>
      <c r="EL49" s="1390">
        <v>417.37450999999999</v>
      </c>
      <c r="EM49" s="1372">
        <v>0</v>
      </c>
      <c r="EN49" s="1390">
        <v>442.06891000000002</v>
      </c>
      <c r="EO49" s="1372">
        <v>0</v>
      </c>
      <c r="EP49" s="1390">
        <v>0</v>
      </c>
      <c r="EQ49" s="1372">
        <v>0</v>
      </c>
      <c r="ER49" s="1390">
        <v>0</v>
      </c>
      <c r="ES49" s="1372">
        <v>0</v>
      </c>
      <c r="ET49" s="1635">
        <v>0</v>
      </c>
      <c r="EU49" s="1636">
        <v>0</v>
      </c>
      <c r="EV49" s="1390">
        <v>0</v>
      </c>
      <c r="EW49" s="1372">
        <v>0</v>
      </c>
      <c r="EX49" s="1390">
        <v>445.5462</v>
      </c>
      <c r="EY49" s="1372">
        <v>0</v>
      </c>
      <c r="EZ49" s="1390">
        <v>445.5462</v>
      </c>
      <c r="FA49" s="1372">
        <v>0</v>
      </c>
      <c r="FB49" s="1390">
        <v>445.5462</v>
      </c>
      <c r="FC49" s="1372">
        <v>0</v>
      </c>
      <c r="FD49" s="1390">
        <v>445.5462</v>
      </c>
      <c r="FE49" s="1372">
        <v>0</v>
      </c>
      <c r="FF49" s="1390">
        <v>445.5462</v>
      </c>
      <c r="FG49" s="1372">
        <v>0</v>
      </c>
      <c r="FH49" s="1390">
        <v>445.5462</v>
      </c>
      <c r="FI49" s="1372">
        <v>0</v>
      </c>
      <c r="FJ49" s="1635">
        <v>445.5462</v>
      </c>
      <c r="FK49" s="1636">
        <v>0</v>
      </c>
      <c r="FL49" s="1390">
        <v>475.54177000000004</v>
      </c>
      <c r="FM49" s="1372">
        <v>0</v>
      </c>
      <c r="FN49" s="1390">
        <v>0</v>
      </c>
      <c r="FO49" s="1372">
        <v>0</v>
      </c>
      <c r="FP49" s="1390">
        <v>0</v>
      </c>
      <c r="FQ49" s="1372">
        <v>0</v>
      </c>
      <c r="FR49" s="1373" t="s">
        <v>3524</v>
      </c>
    </row>
    <row r="50" spans="1:174" s="458" customFormat="1" ht="22.5" customHeight="1">
      <c r="A50" s="1366" t="s">
        <v>2319</v>
      </c>
      <c r="B50" s="1367">
        <f t="shared" ref="B50:BM50" si="21">B52+B54</f>
        <v>11611.818950000001</v>
      </c>
      <c r="C50" s="1367">
        <f t="shared" si="21"/>
        <v>3949.48569</v>
      </c>
      <c r="D50" s="1367">
        <f t="shared" si="21"/>
        <v>22360.455129999998</v>
      </c>
      <c r="E50" s="1367">
        <f t="shared" si="21"/>
        <v>7948.8558000000003</v>
      </c>
      <c r="F50" s="1367">
        <f t="shared" si="21"/>
        <v>38768.336169999995</v>
      </c>
      <c r="G50" s="1367">
        <f t="shared" si="21"/>
        <v>12948.66258</v>
      </c>
      <c r="H50" s="1367">
        <f t="shared" si="21"/>
        <v>53405.956040000005</v>
      </c>
      <c r="I50" s="1367">
        <f t="shared" si="21"/>
        <v>17567.398399999998</v>
      </c>
      <c r="J50" s="1367">
        <f t="shared" si="21"/>
        <v>67468.390600000013</v>
      </c>
      <c r="K50" s="1367">
        <f t="shared" si="21"/>
        <v>21966.009310000005</v>
      </c>
      <c r="L50" s="1367">
        <f t="shared" si="21"/>
        <v>82355.958299999998</v>
      </c>
      <c r="M50" s="1367">
        <f t="shared" si="21"/>
        <v>25837.258080000007</v>
      </c>
      <c r="N50" s="1367">
        <f t="shared" si="21"/>
        <v>99372.473169999997</v>
      </c>
      <c r="O50" s="1367">
        <f t="shared" si="21"/>
        <v>30689.038120000001</v>
      </c>
      <c r="P50" s="1367">
        <f t="shared" si="21"/>
        <v>115937.07827999999</v>
      </c>
      <c r="Q50" s="1367">
        <f t="shared" si="21"/>
        <v>36314.476459999998</v>
      </c>
      <c r="R50" s="1367">
        <f t="shared" si="21"/>
        <v>132704.94069000002</v>
      </c>
      <c r="S50" s="1367">
        <f t="shared" si="21"/>
        <v>40854.17955999999</v>
      </c>
      <c r="T50" s="1367">
        <f t="shared" si="21"/>
        <v>155351.68312000003</v>
      </c>
      <c r="U50" s="1367">
        <f t="shared" si="21"/>
        <v>45737.200679999994</v>
      </c>
      <c r="V50" s="1367">
        <f t="shared" si="21"/>
        <v>168470.16164999999</v>
      </c>
      <c r="W50" s="1367">
        <f t="shared" si="21"/>
        <v>51161.473689999992</v>
      </c>
      <c r="X50" s="1367">
        <f t="shared" si="21"/>
        <v>181635.10555000001</v>
      </c>
      <c r="Y50" s="1367">
        <f t="shared" si="21"/>
        <v>57684.705239999996</v>
      </c>
      <c r="Z50" s="1367">
        <f t="shared" si="21"/>
        <v>10901.20126</v>
      </c>
      <c r="AA50" s="1367">
        <f t="shared" si="21"/>
        <v>4995.2671</v>
      </c>
      <c r="AB50" s="1367">
        <f t="shared" si="21"/>
        <v>23376.358039999999</v>
      </c>
      <c r="AC50" s="1367">
        <f t="shared" si="21"/>
        <v>10849.802179999999</v>
      </c>
      <c r="AD50" s="1367">
        <f t="shared" si="21"/>
        <v>36057.226300000002</v>
      </c>
      <c r="AE50" s="1367">
        <f t="shared" si="21"/>
        <v>15857.8236</v>
      </c>
      <c r="AF50" s="1367">
        <f t="shared" si="21"/>
        <v>80558.724530000007</v>
      </c>
      <c r="AG50" s="1367">
        <f t="shared" si="21"/>
        <v>21561.501070000002</v>
      </c>
      <c r="AH50" s="1367">
        <f t="shared" si="21"/>
        <v>95412.671089999989</v>
      </c>
      <c r="AI50" s="1367">
        <f t="shared" si="21"/>
        <v>27665.992920000004</v>
      </c>
      <c r="AJ50" s="1367">
        <f t="shared" si="21"/>
        <v>109532.84325999999</v>
      </c>
      <c r="AK50" s="1367">
        <f t="shared" si="21"/>
        <v>32197.48069</v>
      </c>
      <c r="AL50" s="1367">
        <f t="shared" si="21"/>
        <v>125373.81953000001</v>
      </c>
      <c r="AM50" s="1367">
        <f t="shared" si="21"/>
        <v>38395.118369999997</v>
      </c>
      <c r="AN50" s="1367">
        <f t="shared" si="21"/>
        <v>142260.94193</v>
      </c>
      <c r="AO50" s="1367">
        <f t="shared" si="21"/>
        <v>43941.965569999993</v>
      </c>
      <c r="AP50" s="1367">
        <f t="shared" si="21"/>
        <v>153593.75383999996</v>
      </c>
      <c r="AQ50" s="1367">
        <f t="shared" si="21"/>
        <v>49591.581520000014</v>
      </c>
      <c r="AR50" s="1367">
        <f t="shared" si="21"/>
        <v>166409.30296</v>
      </c>
      <c r="AS50" s="1367">
        <f t="shared" si="21"/>
        <v>56218.566330000001</v>
      </c>
      <c r="AT50" s="1367">
        <f t="shared" si="21"/>
        <v>178570.83778</v>
      </c>
      <c r="AU50" s="1367">
        <f t="shared" si="21"/>
        <v>61721.357839999997</v>
      </c>
      <c r="AV50" s="1367">
        <f t="shared" si="21"/>
        <v>191807.12871000002</v>
      </c>
      <c r="AW50" s="1367">
        <f t="shared" si="21"/>
        <v>67768.636160000009</v>
      </c>
      <c r="AX50" s="1367">
        <f t="shared" si="21"/>
        <v>15606.13017</v>
      </c>
      <c r="AY50" s="1367">
        <f t="shared" si="21"/>
        <v>6362.0858500000004</v>
      </c>
      <c r="AZ50" s="1367">
        <f t="shared" si="21"/>
        <v>28868.257840000002</v>
      </c>
      <c r="BA50" s="1367">
        <f t="shared" si="21"/>
        <v>11778.036810000001</v>
      </c>
      <c r="BB50" s="1367">
        <f t="shared" si="21"/>
        <v>71226.599180000005</v>
      </c>
      <c r="BC50" s="1367">
        <f t="shared" si="21"/>
        <v>16322.260400000001</v>
      </c>
      <c r="BD50" s="1367">
        <f t="shared" si="21"/>
        <v>89094.043239999999</v>
      </c>
      <c r="BE50" s="1367">
        <f t="shared" si="21"/>
        <v>23304.849030000001</v>
      </c>
      <c r="BF50" s="1367">
        <f t="shared" si="21"/>
        <v>106564.99370000001</v>
      </c>
      <c r="BG50" s="1367">
        <f t="shared" si="21"/>
        <v>29754.426670000001</v>
      </c>
      <c r="BH50" s="1367">
        <f t="shared" si="21"/>
        <v>119544.04553</v>
      </c>
      <c r="BI50" s="1367">
        <f t="shared" si="21"/>
        <v>35833.761849999995</v>
      </c>
      <c r="BJ50" s="1367">
        <f t="shared" si="21"/>
        <v>137327.86093</v>
      </c>
      <c r="BK50" s="1367">
        <f t="shared" si="21"/>
        <v>44644.09102</v>
      </c>
      <c r="BL50" s="1367">
        <f t="shared" si="21"/>
        <v>154159.21894000002</v>
      </c>
      <c r="BM50" s="1367">
        <f t="shared" si="21"/>
        <v>51350.613280000005</v>
      </c>
      <c r="BN50" s="1367">
        <f t="shared" ref="BN50:DY50" si="22">BN52+BN54</f>
        <v>170731.42296000003</v>
      </c>
      <c r="BO50" s="1367">
        <f t="shared" si="22"/>
        <v>58259.038339999999</v>
      </c>
      <c r="BP50" s="1367">
        <f t="shared" si="22"/>
        <v>183464.88166000001</v>
      </c>
      <c r="BQ50" s="1367">
        <f t="shared" si="22"/>
        <v>65815.875769999999</v>
      </c>
      <c r="BR50" s="1367">
        <f t="shared" si="22"/>
        <v>197741.30631000001</v>
      </c>
      <c r="BS50" s="1367">
        <f t="shared" si="22"/>
        <v>72680.720759999997</v>
      </c>
      <c r="BT50" s="1367">
        <f t="shared" si="22"/>
        <v>224572.63689000008</v>
      </c>
      <c r="BU50" s="1367">
        <f t="shared" si="22"/>
        <v>80626.652059999964</v>
      </c>
      <c r="BV50" s="1367">
        <f t="shared" si="22"/>
        <v>20794.79737</v>
      </c>
      <c r="BW50" s="1367">
        <f t="shared" si="22"/>
        <v>7504.5365200000006</v>
      </c>
      <c r="BX50" s="1367">
        <f t="shared" si="22"/>
        <v>67277.857990000004</v>
      </c>
      <c r="BY50" s="1367">
        <f t="shared" si="22"/>
        <v>15095.430359999998</v>
      </c>
      <c r="BZ50" s="1367">
        <f t="shared" si="22"/>
        <v>80246.469590000008</v>
      </c>
      <c r="CA50" s="1367">
        <f t="shared" si="22"/>
        <v>19606.409680000001</v>
      </c>
      <c r="CB50" s="1367">
        <f t="shared" si="22"/>
        <v>101529.69776000001</v>
      </c>
      <c r="CC50" s="1367">
        <f t="shared" si="22"/>
        <v>25282.572169999996</v>
      </c>
      <c r="CD50" s="1367">
        <f t="shared" si="22"/>
        <v>118354.49636000002</v>
      </c>
      <c r="CE50" s="1367">
        <f t="shared" si="22"/>
        <v>29247.678780000002</v>
      </c>
      <c r="CF50" s="1367">
        <f t="shared" si="22"/>
        <v>132246.10206</v>
      </c>
      <c r="CG50" s="1367">
        <f t="shared" si="22"/>
        <v>34332.592920000003</v>
      </c>
      <c r="CH50" s="1367">
        <f t="shared" si="22"/>
        <v>147250.72145000001</v>
      </c>
      <c r="CI50" s="1367">
        <f t="shared" si="22"/>
        <v>39128.440699999999</v>
      </c>
      <c r="CJ50" s="1367">
        <f t="shared" si="22"/>
        <v>162797.23939999999</v>
      </c>
      <c r="CK50" s="1367">
        <f t="shared" si="22"/>
        <v>43910.514479999998</v>
      </c>
      <c r="CL50" s="1367">
        <f t="shared" si="22"/>
        <v>179829.82478999998</v>
      </c>
      <c r="CM50" s="1367">
        <f t="shared" si="22"/>
        <v>50462.66102</v>
      </c>
      <c r="CN50" s="1367">
        <f t="shared" si="22"/>
        <v>193151.91069999998</v>
      </c>
      <c r="CO50" s="1367">
        <f t="shared" si="22"/>
        <v>56096.271639999999</v>
      </c>
      <c r="CP50" s="1367">
        <f t="shared" si="22"/>
        <v>206543.40607</v>
      </c>
      <c r="CQ50" s="1367">
        <f t="shared" si="22"/>
        <v>63384.148890000004</v>
      </c>
      <c r="CR50" s="1367">
        <f t="shared" si="22"/>
        <v>225865.35851000002</v>
      </c>
      <c r="CS50" s="1367">
        <f t="shared" si="22"/>
        <v>86411.88609</v>
      </c>
      <c r="CT50" s="1367">
        <f t="shared" si="22"/>
        <v>19832.496029999998</v>
      </c>
      <c r="CU50" s="1367">
        <f t="shared" si="22"/>
        <v>19652.993150000002</v>
      </c>
      <c r="CV50" s="1367">
        <f t="shared" si="22"/>
        <v>42697.492289999995</v>
      </c>
      <c r="CW50" s="1367">
        <f t="shared" si="22"/>
        <v>33060.477250000004</v>
      </c>
      <c r="CX50" s="1367">
        <f t="shared" si="22"/>
        <v>93340.679659999994</v>
      </c>
      <c r="CY50" s="1367">
        <f t="shared" si="22"/>
        <v>41014.721119999995</v>
      </c>
      <c r="CZ50" s="1367">
        <f t="shared" si="22"/>
        <v>116691.06636000001</v>
      </c>
      <c r="DA50" s="1367">
        <f t="shared" si="22"/>
        <v>50416.674050000001</v>
      </c>
      <c r="DB50" s="1367">
        <f t="shared" si="22"/>
        <v>133213.60582999999</v>
      </c>
      <c r="DC50" s="1367">
        <f t="shared" si="22"/>
        <v>56692.474130000002</v>
      </c>
      <c r="DD50" s="1367">
        <f t="shared" si="22"/>
        <v>147852.96007999999</v>
      </c>
      <c r="DE50" s="1367">
        <f t="shared" si="22"/>
        <v>64536.084889999998</v>
      </c>
      <c r="DF50" s="1367">
        <f t="shared" si="22"/>
        <v>163465.39016999997</v>
      </c>
      <c r="DG50" s="1367">
        <f t="shared" si="22"/>
        <v>72994.912939999995</v>
      </c>
      <c r="DH50" s="1367">
        <f t="shared" si="22"/>
        <v>181767.19612000001</v>
      </c>
      <c r="DI50" s="1367">
        <f t="shared" si="22"/>
        <v>82121.944059999994</v>
      </c>
      <c r="DJ50" s="1367">
        <f t="shared" si="22"/>
        <v>207648.49912999998</v>
      </c>
      <c r="DK50" s="1367">
        <f t="shared" si="22"/>
        <v>92651.696059999987</v>
      </c>
      <c r="DL50" s="1367">
        <f t="shared" si="22"/>
        <v>223047.62884999998</v>
      </c>
      <c r="DM50" s="1367">
        <f t="shared" si="22"/>
        <v>101362.81264</v>
      </c>
      <c r="DN50" s="1367">
        <f t="shared" si="22"/>
        <v>239015.98203000004</v>
      </c>
      <c r="DO50" s="1367">
        <f t="shared" si="22"/>
        <v>110110.4673</v>
      </c>
      <c r="DP50" s="1367">
        <f t="shared" si="22"/>
        <v>257302.64898999999</v>
      </c>
      <c r="DQ50" s="1385">
        <f t="shared" si="22"/>
        <v>119460.75782</v>
      </c>
      <c r="DR50" s="1398">
        <f t="shared" si="22"/>
        <v>18538.88263</v>
      </c>
      <c r="DS50" s="1399">
        <f t="shared" si="22"/>
        <v>7204.4734900000003</v>
      </c>
      <c r="DT50" s="1389">
        <f t="shared" si="22"/>
        <v>35170.706870000002</v>
      </c>
      <c r="DU50" s="1385">
        <f t="shared" si="22"/>
        <v>14472.987370000001</v>
      </c>
      <c r="DV50" s="1396">
        <f t="shared" si="22"/>
        <v>64435.877269999997</v>
      </c>
      <c r="DW50" s="1368">
        <f t="shared" si="22"/>
        <v>22329.003340000003</v>
      </c>
      <c r="DX50" s="1389">
        <f t="shared" si="22"/>
        <v>91026.119080000004</v>
      </c>
      <c r="DY50" s="1385">
        <f t="shared" si="22"/>
        <v>31066.905129999999</v>
      </c>
      <c r="DZ50" s="1396">
        <f t="shared" ref="DZ50:EE50" si="23">DZ52+DZ54</f>
        <v>108572.48303999999</v>
      </c>
      <c r="EA50" s="1368">
        <f t="shared" si="23"/>
        <v>38434.226199999997</v>
      </c>
      <c r="EB50" s="1389">
        <f t="shared" si="23"/>
        <v>124906.58470000001</v>
      </c>
      <c r="EC50" s="1368">
        <f t="shared" si="23"/>
        <v>44673.88607</v>
      </c>
      <c r="ED50" s="1396">
        <f t="shared" si="23"/>
        <v>141790.74886000002</v>
      </c>
      <c r="EE50" s="1368">
        <f t="shared" si="23"/>
        <v>54345.687170000005</v>
      </c>
      <c r="EF50" s="1396">
        <v>161232.07725</v>
      </c>
      <c r="EG50" s="1368">
        <v>63354.652249999992</v>
      </c>
      <c r="EH50" s="1389">
        <v>177654.48267</v>
      </c>
      <c r="EI50" s="1368">
        <v>71847.782859999992</v>
      </c>
      <c r="EJ50" s="1389">
        <v>195772.11609999998</v>
      </c>
      <c r="EK50" s="1368">
        <v>80077.823999999993</v>
      </c>
      <c r="EL50" s="1389">
        <v>217493.87023</v>
      </c>
      <c r="EM50" s="1368">
        <v>87206.433450000011</v>
      </c>
      <c r="EN50" s="1389">
        <v>242751.74097999997</v>
      </c>
      <c r="EO50" s="1368">
        <v>95569.317139999999</v>
      </c>
      <c r="EP50" s="1389">
        <v>18323.396119999998</v>
      </c>
      <c r="EQ50" s="1368">
        <v>8298.2185100000006</v>
      </c>
      <c r="ER50" s="1389">
        <v>49640.55949</v>
      </c>
      <c r="ES50" s="1368">
        <v>17923.35382</v>
      </c>
      <c r="ET50" s="1633">
        <v>91553.607300000003</v>
      </c>
      <c r="EU50" s="1634">
        <v>24071.867689999999</v>
      </c>
      <c r="EV50" s="1389">
        <v>125676.38940999999</v>
      </c>
      <c r="EW50" s="1368">
        <v>32099.746530000004</v>
      </c>
      <c r="EX50" s="1389">
        <v>155767.65390999999</v>
      </c>
      <c r="EY50" s="1368">
        <v>41095.866170000008</v>
      </c>
      <c r="EZ50" s="1389">
        <v>178289.40106</v>
      </c>
      <c r="FA50" s="1368">
        <v>50207.821170000003</v>
      </c>
      <c r="FB50" s="1389">
        <v>202513.69727999996</v>
      </c>
      <c r="FC50" s="1368">
        <v>61651.136419999995</v>
      </c>
      <c r="FD50" s="1389">
        <v>227933.76619000002</v>
      </c>
      <c r="FE50" s="1368">
        <v>71657.742529999989</v>
      </c>
      <c r="FF50" s="1389">
        <v>249863.48042999997</v>
      </c>
      <c r="FG50" s="1368">
        <v>80235.49688999998</v>
      </c>
      <c r="FH50" s="1389">
        <v>270853.91370999999</v>
      </c>
      <c r="FI50" s="1368">
        <v>90472.030400000003</v>
      </c>
      <c r="FJ50" s="1633">
        <v>295634.78655999998</v>
      </c>
      <c r="FK50" s="1634">
        <v>99114.295469999997</v>
      </c>
      <c r="FL50" s="1389">
        <v>334432.83226</v>
      </c>
      <c r="FM50" s="1368">
        <v>108072.42154999998</v>
      </c>
      <c r="FN50" s="1389">
        <v>20806.944599999999</v>
      </c>
      <c r="FO50" s="1368">
        <v>8235.7165599999989</v>
      </c>
      <c r="FP50" s="1389">
        <v>48671.578589999997</v>
      </c>
      <c r="FQ50" s="1368">
        <v>17611.541770000003</v>
      </c>
      <c r="FR50" s="1366" t="s">
        <v>3291</v>
      </c>
    </row>
    <row r="51" spans="1:174" s="458" customFormat="1" ht="22.5" customHeight="1">
      <c r="A51" s="1369" t="s">
        <v>2318</v>
      </c>
      <c r="B51" s="1367"/>
      <c r="C51" s="1367"/>
      <c r="D51" s="1367"/>
      <c r="E51" s="1367"/>
      <c r="F51" s="1367"/>
      <c r="G51" s="1367"/>
      <c r="H51" s="1367"/>
      <c r="I51" s="1367"/>
      <c r="J51" s="1367"/>
      <c r="K51" s="1367"/>
      <c r="L51" s="1367"/>
      <c r="M51" s="1367"/>
      <c r="N51" s="1367"/>
      <c r="O51" s="1367"/>
      <c r="P51" s="1367"/>
      <c r="Q51" s="1367"/>
      <c r="R51" s="1367"/>
      <c r="S51" s="1367"/>
      <c r="T51" s="1367"/>
      <c r="U51" s="1367"/>
      <c r="V51" s="1367"/>
      <c r="W51" s="1367"/>
      <c r="X51" s="1367"/>
      <c r="Y51" s="1367"/>
      <c r="Z51" s="1367"/>
      <c r="AA51" s="1367"/>
      <c r="AB51" s="1367"/>
      <c r="AC51" s="1367"/>
      <c r="AD51" s="1367"/>
      <c r="AE51" s="1367"/>
      <c r="AF51" s="1367"/>
      <c r="AG51" s="1367"/>
      <c r="AH51" s="1367"/>
      <c r="AI51" s="1367"/>
      <c r="AJ51" s="1367"/>
      <c r="AK51" s="1367"/>
      <c r="AL51" s="1367"/>
      <c r="AM51" s="1367"/>
      <c r="AN51" s="1367"/>
      <c r="AO51" s="1367"/>
      <c r="AP51" s="1367"/>
      <c r="AQ51" s="1367"/>
      <c r="AR51" s="1367"/>
      <c r="AS51" s="1367"/>
      <c r="AT51" s="1367"/>
      <c r="AU51" s="1367"/>
      <c r="AV51" s="1367"/>
      <c r="AW51" s="1367"/>
      <c r="AX51" s="1367"/>
      <c r="AY51" s="1367"/>
      <c r="AZ51" s="1367"/>
      <c r="BA51" s="1367"/>
      <c r="BB51" s="1367"/>
      <c r="BC51" s="1367"/>
      <c r="BD51" s="1367"/>
      <c r="BE51" s="1367"/>
      <c r="BF51" s="1367"/>
      <c r="BG51" s="1367"/>
      <c r="BH51" s="1367"/>
      <c r="BI51" s="1367"/>
      <c r="BJ51" s="1367"/>
      <c r="BK51" s="1367"/>
      <c r="BL51" s="1367"/>
      <c r="BM51" s="1367"/>
      <c r="BN51" s="1367"/>
      <c r="BO51" s="1367"/>
      <c r="BP51" s="1367"/>
      <c r="BQ51" s="1367"/>
      <c r="BR51" s="1367"/>
      <c r="BS51" s="1367"/>
      <c r="BT51" s="1367"/>
      <c r="BU51" s="1367"/>
      <c r="BV51" s="1367"/>
      <c r="BW51" s="1367"/>
      <c r="BX51" s="1367"/>
      <c r="BY51" s="1367"/>
      <c r="BZ51" s="1367"/>
      <c r="CA51" s="1367"/>
      <c r="CB51" s="1367"/>
      <c r="CC51" s="1367"/>
      <c r="CD51" s="1367"/>
      <c r="CE51" s="1367"/>
      <c r="CF51" s="1367"/>
      <c r="CG51" s="1367"/>
      <c r="CH51" s="1367"/>
      <c r="CI51" s="1367"/>
      <c r="CJ51" s="1367"/>
      <c r="CK51" s="1367"/>
      <c r="CL51" s="1367"/>
      <c r="CM51" s="1367"/>
      <c r="CN51" s="1367"/>
      <c r="CO51" s="1367"/>
      <c r="CP51" s="1367"/>
      <c r="CQ51" s="1367"/>
      <c r="CR51" s="1367"/>
      <c r="CS51" s="1367"/>
      <c r="CT51" s="1367"/>
      <c r="CU51" s="1367"/>
      <c r="CV51" s="1367"/>
      <c r="CW51" s="1367"/>
      <c r="CX51" s="1367"/>
      <c r="CY51" s="1367"/>
      <c r="CZ51" s="1367"/>
      <c r="DA51" s="1367"/>
      <c r="DB51" s="1367"/>
      <c r="DC51" s="1367"/>
      <c r="DD51" s="1367"/>
      <c r="DE51" s="1367"/>
      <c r="DF51" s="1367"/>
      <c r="DG51" s="1367"/>
      <c r="DH51" s="1367"/>
      <c r="DI51" s="1367"/>
      <c r="DJ51" s="1367"/>
      <c r="DK51" s="1367"/>
      <c r="DL51" s="1367"/>
      <c r="DM51" s="1367"/>
      <c r="DN51" s="1367"/>
      <c r="DO51" s="1367"/>
      <c r="DP51" s="1367"/>
      <c r="DQ51" s="1385"/>
      <c r="DR51" s="1396"/>
      <c r="DS51" s="1368"/>
      <c r="DT51" s="1389"/>
      <c r="DU51" s="1385"/>
      <c r="DV51" s="1396"/>
      <c r="DW51" s="1368"/>
      <c r="DX51" s="1389"/>
      <c r="DY51" s="1385"/>
      <c r="DZ51" s="1396"/>
      <c r="EA51" s="1368"/>
      <c r="EB51" s="1389"/>
      <c r="EC51" s="1368"/>
      <c r="ED51" s="1396"/>
      <c r="EE51" s="1368"/>
      <c r="EF51" s="1396"/>
      <c r="EG51" s="1368"/>
      <c r="EH51" s="1389"/>
      <c r="EI51" s="1368"/>
      <c r="EJ51" s="1389"/>
      <c r="EK51" s="1368"/>
      <c r="EL51" s="1389"/>
      <c r="EM51" s="1368"/>
      <c r="EN51" s="1389"/>
      <c r="EO51" s="1368"/>
      <c r="EP51" s="1389"/>
      <c r="EQ51" s="1368"/>
      <c r="ER51" s="1389"/>
      <c r="ES51" s="1368"/>
      <c r="ET51" s="1633"/>
      <c r="EU51" s="1634"/>
      <c r="EV51" s="1389"/>
      <c r="EW51" s="1368"/>
      <c r="EX51" s="1389"/>
      <c r="EY51" s="1368"/>
      <c r="EZ51" s="1389"/>
      <c r="FA51" s="1368"/>
      <c r="FB51" s="1389"/>
      <c r="FC51" s="1368"/>
      <c r="FD51" s="1389"/>
      <c r="FE51" s="1368"/>
      <c r="FF51" s="1389"/>
      <c r="FG51" s="1368"/>
      <c r="FH51" s="1389"/>
      <c r="FI51" s="1368"/>
      <c r="FJ51" s="1633"/>
      <c r="FK51" s="1634"/>
      <c r="FL51" s="1389"/>
      <c r="FM51" s="1368"/>
      <c r="FN51" s="1389"/>
      <c r="FO51" s="1368"/>
      <c r="FP51" s="1389"/>
      <c r="FQ51" s="1368"/>
      <c r="FR51" s="1369" t="s">
        <v>3507</v>
      </c>
    </row>
    <row r="52" spans="1:174" s="458" customFormat="1" ht="22.5" customHeight="1">
      <c r="A52" s="1366" t="s">
        <v>2317</v>
      </c>
      <c r="B52" s="1367">
        <v>1857.77838</v>
      </c>
      <c r="C52" s="1367">
        <v>380.69627000000003</v>
      </c>
      <c r="D52" s="1367">
        <v>5184.7249499999998</v>
      </c>
      <c r="E52" s="1367">
        <v>643.76015000000007</v>
      </c>
      <c r="F52" s="1367">
        <v>10398.921890000001</v>
      </c>
      <c r="G52" s="1367">
        <v>784.67268999999999</v>
      </c>
      <c r="H52" s="1367">
        <v>14742.03096</v>
      </c>
      <c r="I52" s="1367">
        <v>1017.6463199999999</v>
      </c>
      <c r="J52" s="1367">
        <v>17863.037640000002</v>
      </c>
      <c r="K52" s="1367">
        <v>1178.44497</v>
      </c>
      <c r="L52" s="1367">
        <v>19623.232550000001</v>
      </c>
      <c r="M52" s="1367">
        <v>1328.4916599999999</v>
      </c>
      <c r="N52" s="1367">
        <v>21595.47652</v>
      </c>
      <c r="O52" s="1367">
        <v>1410.27367</v>
      </c>
      <c r="P52" s="1367">
        <v>26444.111519999999</v>
      </c>
      <c r="Q52" s="1367">
        <v>1789.8103799999999</v>
      </c>
      <c r="R52" s="1367">
        <v>28332.021570000001</v>
      </c>
      <c r="S52" s="1367">
        <v>2220.00072</v>
      </c>
      <c r="T52" s="1367">
        <v>28809.417450000001</v>
      </c>
      <c r="U52" s="1367">
        <v>2632.1212599999999</v>
      </c>
      <c r="V52" s="1367">
        <v>30991.34737</v>
      </c>
      <c r="W52" s="1367">
        <v>2936.34798</v>
      </c>
      <c r="X52" s="1367">
        <v>33165.399010000001</v>
      </c>
      <c r="Y52" s="1367">
        <v>4226.4021600000005</v>
      </c>
      <c r="Z52" s="1367">
        <v>1766.98253</v>
      </c>
      <c r="AA52" s="1367">
        <v>446.70267999999999</v>
      </c>
      <c r="AB52" s="1367">
        <v>4695.32359</v>
      </c>
      <c r="AC52" s="1367">
        <v>680.34456999999998</v>
      </c>
      <c r="AD52" s="1367">
        <v>8407.9825000000001</v>
      </c>
      <c r="AE52" s="1367">
        <v>1246.0236</v>
      </c>
      <c r="AF52" s="1367">
        <v>15884.591369999998</v>
      </c>
      <c r="AG52" s="1367">
        <v>1357.6698999999999</v>
      </c>
      <c r="AH52" s="1367">
        <v>19821</v>
      </c>
      <c r="AI52" s="1367">
        <v>1670.81835</v>
      </c>
      <c r="AJ52" s="1367">
        <v>21299.788769999999</v>
      </c>
      <c r="AK52" s="1367">
        <v>1828.75317</v>
      </c>
      <c r="AL52" s="1367">
        <v>23776.973760000001</v>
      </c>
      <c r="AM52" s="1367">
        <v>2044.2250800000002</v>
      </c>
      <c r="AN52" s="1367">
        <v>27956.655420000003</v>
      </c>
      <c r="AO52" s="1367">
        <v>2240.0262499999999</v>
      </c>
      <c r="AP52" s="1367">
        <v>27996.074489999999</v>
      </c>
      <c r="AQ52" s="1367">
        <v>2360.2711200000003</v>
      </c>
      <c r="AR52" s="1367">
        <v>30243.701649999999</v>
      </c>
      <c r="AS52" s="1367">
        <v>2597.1868799999997</v>
      </c>
      <c r="AT52" s="1367">
        <v>33039.02691</v>
      </c>
      <c r="AU52" s="1367">
        <v>2812.6219799999999</v>
      </c>
      <c r="AV52" s="1367">
        <v>35292.506849999998</v>
      </c>
      <c r="AW52" s="1367">
        <v>3136.0500099999999</v>
      </c>
      <c r="AX52" s="1367">
        <v>2242.2412000000004</v>
      </c>
      <c r="AY52" s="1367">
        <v>390.03515999999996</v>
      </c>
      <c r="AZ52" s="1367">
        <v>6258.4051900000004</v>
      </c>
      <c r="BA52" s="1367">
        <v>556.03165000000001</v>
      </c>
      <c r="BB52" s="1367">
        <v>13021.29091</v>
      </c>
      <c r="BC52" s="1367">
        <v>661.76459999999997</v>
      </c>
      <c r="BD52" s="1367">
        <v>18088.325710000001</v>
      </c>
      <c r="BE52" s="1367">
        <v>713.69623999999999</v>
      </c>
      <c r="BF52" s="1367">
        <v>23311.043000000001</v>
      </c>
      <c r="BG52" s="1367">
        <v>961.70709999999997</v>
      </c>
      <c r="BH52" s="1367">
        <v>25413.85713</v>
      </c>
      <c r="BI52" s="1367">
        <v>1319.20146</v>
      </c>
      <c r="BJ52" s="1367">
        <v>27771.812519999999</v>
      </c>
      <c r="BK52" s="1367">
        <v>1513.18623</v>
      </c>
      <c r="BL52" s="1367">
        <v>31824.89906</v>
      </c>
      <c r="BM52" s="1367">
        <v>1777.88491</v>
      </c>
      <c r="BN52" s="1367">
        <v>36057.539840000005</v>
      </c>
      <c r="BO52" s="1367">
        <v>2031.65771</v>
      </c>
      <c r="BP52" s="1367">
        <v>38268.400119999998</v>
      </c>
      <c r="BQ52" s="1367">
        <v>2434.4777899999999</v>
      </c>
      <c r="BR52" s="1367">
        <v>42428.039189999996</v>
      </c>
      <c r="BS52" s="1367">
        <v>2755.18759</v>
      </c>
      <c r="BT52" s="1367">
        <v>48112.869840000007</v>
      </c>
      <c r="BU52" s="1367">
        <v>3100.6751899999999</v>
      </c>
      <c r="BV52" s="1367">
        <v>2584.4939800000002</v>
      </c>
      <c r="BW52" s="1367">
        <v>221.50744</v>
      </c>
      <c r="BX52" s="1367">
        <v>7676.10646</v>
      </c>
      <c r="BY52" s="1367">
        <v>415.99736999999999</v>
      </c>
      <c r="BZ52" s="1367">
        <v>11193.886480000001</v>
      </c>
      <c r="CA52" s="1367">
        <v>603.65324999999996</v>
      </c>
      <c r="CB52" s="1367">
        <v>21772.267629999998</v>
      </c>
      <c r="CC52" s="1367">
        <v>703.04147</v>
      </c>
      <c r="CD52" s="1367">
        <v>26992.49482</v>
      </c>
      <c r="CE52" s="1367">
        <v>811.83368000000007</v>
      </c>
      <c r="CF52" s="1367">
        <v>30122.05589</v>
      </c>
      <c r="CG52" s="1367">
        <v>1082.4506200000001</v>
      </c>
      <c r="CH52" s="1367">
        <v>33277.516000000003</v>
      </c>
      <c r="CI52" s="1367">
        <v>1244.35508</v>
      </c>
      <c r="CJ52" s="1367">
        <v>37939.255960000002</v>
      </c>
      <c r="CK52" s="1367">
        <v>1376.8395700000001</v>
      </c>
      <c r="CL52" s="1367">
        <v>41937.675409999996</v>
      </c>
      <c r="CM52" s="1367">
        <v>1801.14436</v>
      </c>
      <c r="CN52" s="1367">
        <v>45296.051719999996</v>
      </c>
      <c r="CO52" s="1367">
        <v>2083.6031499999999</v>
      </c>
      <c r="CP52" s="1367">
        <v>49668.259359999996</v>
      </c>
      <c r="CQ52" s="1367">
        <v>2263.5610499999998</v>
      </c>
      <c r="CR52" s="1367">
        <v>53949.731420000004</v>
      </c>
      <c r="CS52" s="1367">
        <v>2558.7546600000001</v>
      </c>
      <c r="CT52" s="1367">
        <v>3637.3295200000002</v>
      </c>
      <c r="CU52" s="1367">
        <v>390.18022999999999</v>
      </c>
      <c r="CV52" s="1367">
        <v>9939.4603599999991</v>
      </c>
      <c r="CW52" s="1367">
        <v>864.30764999999997</v>
      </c>
      <c r="CX52" s="1367">
        <v>14877.09816</v>
      </c>
      <c r="CY52" s="1367">
        <v>1132.1251399999999</v>
      </c>
      <c r="CZ52" s="1367">
        <v>26074.87457</v>
      </c>
      <c r="DA52" s="1367">
        <v>1476.3040000000001</v>
      </c>
      <c r="DB52" s="1367">
        <v>31749.670750000001</v>
      </c>
      <c r="DC52" s="1367">
        <v>1696.31691</v>
      </c>
      <c r="DD52" s="1367">
        <v>35012.79045</v>
      </c>
      <c r="DE52" s="1367">
        <v>2004.76954</v>
      </c>
      <c r="DF52" s="1367">
        <v>38899.940299999995</v>
      </c>
      <c r="DG52" s="1367">
        <v>2318.60484</v>
      </c>
      <c r="DH52" s="1367">
        <v>43400.433819999998</v>
      </c>
      <c r="DI52" s="1367">
        <v>2411.46722</v>
      </c>
      <c r="DJ52" s="1367">
        <v>48551.95319</v>
      </c>
      <c r="DK52" s="1367">
        <v>3154.3179700000001</v>
      </c>
      <c r="DL52" s="1367">
        <v>52035.665760000004</v>
      </c>
      <c r="DM52" s="1367">
        <v>3388.6383799999999</v>
      </c>
      <c r="DN52" s="1367">
        <v>57509.16865</v>
      </c>
      <c r="DO52" s="1367">
        <v>3647.80474</v>
      </c>
      <c r="DP52" s="1367">
        <v>63506.324000000001</v>
      </c>
      <c r="DQ52" s="1385">
        <v>4071.64723</v>
      </c>
      <c r="DR52" s="1396">
        <v>4534.9335799999999</v>
      </c>
      <c r="DS52" s="1399">
        <v>160.94218000000001</v>
      </c>
      <c r="DT52" s="1391">
        <v>11643.05119</v>
      </c>
      <c r="DU52" s="1404">
        <v>448.67756000000003</v>
      </c>
      <c r="DV52" s="1398">
        <v>17066.41906</v>
      </c>
      <c r="DW52" s="1400">
        <v>795.18426999999997</v>
      </c>
      <c r="DX52" s="1391">
        <v>30210.41203</v>
      </c>
      <c r="DY52" s="1404">
        <v>1226.75217</v>
      </c>
      <c r="DZ52" s="1398">
        <v>36385.771549999998</v>
      </c>
      <c r="EA52" s="1399">
        <v>1473.45849</v>
      </c>
      <c r="EB52" s="1389">
        <v>40345.455379999999</v>
      </c>
      <c r="EC52" s="1368">
        <v>1765.6340399999999</v>
      </c>
      <c r="ED52" s="1396">
        <v>45141.624940000002</v>
      </c>
      <c r="EE52" s="1368">
        <v>2237.4398700000002</v>
      </c>
      <c r="EF52" s="1396">
        <v>49435.391450000003</v>
      </c>
      <c r="EG52" s="1368">
        <v>2422.5545900000002</v>
      </c>
      <c r="EH52" s="1389">
        <v>53150.749790000002</v>
      </c>
      <c r="EI52" s="1368">
        <v>2660.9251199999999</v>
      </c>
      <c r="EJ52" s="1389">
        <v>58128.921269999999</v>
      </c>
      <c r="EK52" s="1368">
        <v>2864.8000699999998</v>
      </c>
      <c r="EL52" s="1389">
        <v>65181.989280000002</v>
      </c>
      <c r="EM52" s="1368">
        <v>3168.5146300000001</v>
      </c>
      <c r="EN52" s="1389">
        <v>73895.230039999995</v>
      </c>
      <c r="EO52" s="1368">
        <v>3407.7069200000001</v>
      </c>
      <c r="EP52" s="1389">
        <v>4377.0246799999995</v>
      </c>
      <c r="EQ52" s="1368">
        <v>178.58770999999999</v>
      </c>
      <c r="ER52" s="1389">
        <v>12523.79658</v>
      </c>
      <c r="ES52" s="1368">
        <v>382.78298999999998</v>
      </c>
      <c r="ET52" s="1633">
        <v>19098.258819999999</v>
      </c>
      <c r="EU52" s="1634">
        <v>531.18575999999996</v>
      </c>
      <c r="EV52" s="1389">
        <v>30316.60367</v>
      </c>
      <c r="EW52" s="1368">
        <v>650.95100000000002</v>
      </c>
      <c r="EX52" s="1389">
        <v>39258.417820000002</v>
      </c>
      <c r="EY52" s="1368">
        <v>871.55200000000002</v>
      </c>
      <c r="EZ52" s="1389">
        <v>44484.572240000001</v>
      </c>
      <c r="FA52" s="1368">
        <v>1270.34319</v>
      </c>
      <c r="FB52" s="1389">
        <v>50075.744930000001</v>
      </c>
      <c r="FC52" s="1368">
        <v>1477.27046</v>
      </c>
      <c r="FD52" s="1389">
        <v>55956.225259999999</v>
      </c>
      <c r="FE52" s="1368">
        <v>1855.7573500000001</v>
      </c>
      <c r="FF52" s="1389">
        <v>60652.01528</v>
      </c>
      <c r="FG52" s="1368">
        <v>2410.4063799999999</v>
      </c>
      <c r="FH52" s="1389">
        <v>66081.410759999999</v>
      </c>
      <c r="FI52" s="1368">
        <v>3016.6682999999998</v>
      </c>
      <c r="FJ52" s="1633">
        <v>74100.832899999994</v>
      </c>
      <c r="FK52" s="1634">
        <v>3452.6973699999999</v>
      </c>
      <c r="FL52" s="1389">
        <v>84041.06826</v>
      </c>
      <c r="FM52" s="1368">
        <v>3943.0880200000001</v>
      </c>
      <c r="FN52" s="1389">
        <v>4839.5582800000002</v>
      </c>
      <c r="FO52" s="1368">
        <v>205.82252</v>
      </c>
      <c r="FP52" s="1389">
        <v>13673.9948</v>
      </c>
      <c r="FQ52" s="1368">
        <v>580.51437999999996</v>
      </c>
      <c r="FR52" s="1366" t="s">
        <v>3292</v>
      </c>
    </row>
    <row r="53" spans="1:174" s="458" customFormat="1" ht="59.4">
      <c r="A53" s="1370" t="s">
        <v>3154</v>
      </c>
      <c r="B53" s="1371">
        <v>1857.77838</v>
      </c>
      <c r="C53" s="1371">
        <v>380.69627000000003</v>
      </c>
      <c r="D53" s="1371">
        <v>5184.7249499999998</v>
      </c>
      <c r="E53" s="1371">
        <v>643.76015000000007</v>
      </c>
      <c r="F53" s="1371">
        <v>10398.921890000001</v>
      </c>
      <c r="G53" s="1371">
        <v>784.67268999999999</v>
      </c>
      <c r="H53" s="1371">
        <v>14742.03096</v>
      </c>
      <c r="I53" s="1371">
        <v>1017.6463199999999</v>
      </c>
      <c r="J53" s="1371">
        <v>17863.037640000002</v>
      </c>
      <c r="K53" s="1371">
        <v>1178.44497</v>
      </c>
      <c r="L53" s="1371">
        <v>19623.232550000001</v>
      </c>
      <c r="M53" s="1371">
        <v>1328.4916599999999</v>
      </c>
      <c r="N53" s="1371">
        <v>21595.47652</v>
      </c>
      <c r="O53" s="1371">
        <v>1410.27367</v>
      </c>
      <c r="P53" s="1371">
        <v>26444.111519999999</v>
      </c>
      <c r="Q53" s="1371">
        <v>1789.8103799999999</v>
      </c>
      <c r="R53" s="1371">
        <v>28332.021570000001</v>
      </c>
      <c r="S53" s="1371">
        <v>2220.00072</v>
      </c>
      <c r="T53" s="1371">
        <v>28809.417450000001</v>
      </c>
      <c r="U53" s="1371">
        <v>2632.1212599999999</v>
      </c>
      <c r="V53" s="1371">
        <v>30991.34737</v>
      </c>
      <c r="W53" s="1371">
        <v>2936.34798</v>
      </c>
      <c r="X53" s="1371">
        <v>33165.399010000001</v>
      </c>
      <c r="Y53" s="1371">
        <v>4226.4021600000005</v>
      </c>
      <c r="Z53" s="1371">
        <v>1766.98253</v>
      </c>
      <c r="AA53" s="1371">
        <v>446.70267999999999</v>
      </c>
      <c r="AB53" s="1371">
        <v>4695.32359</v>
      </c>
      <c r="AC53" s="1371">
        <v>680.34456999999998</v>
      </c>
      <c r="AD53" s="1371">
        <v>8407.9824800000006</v>
      </c>
      <c r="AE53" s="1371">
        <v>1246.0235700000001</v>
      </c>
      <c r="AF53" s="1371">
        <v>15884.591369999998</v>
      </c>
      <c r="AG53" s="1371">
        <v>1357.6698999999999</v>
      </c>
      <c r="AH53" s="1371">
        <v>19821</v>
      </c>
      <c r="AI53" s="1371">
        <v>1670.81835</v>
      </c>
      <c r="AJ53" s="1371">
        <v>21299.788769999999</v>
      </c>
      <c r="AK53" s="1371">
        <v>1828.75317</v>
      </c>
      <c r="AL53" s="1371">
        <v>23776.973760000001</v>
      </c>
      <c r="AM53" s="1371">
        <v>2044.2250800000002</v>
      </c>
      <c r="AN53" s="1371">
        <v>27956.655420000003</v>
      </c>
      <c r="AO53" s="1371">
        <v>2240.0262499999999</v>
      </c>
      <c r="AP53" s="1371">
        <v>27996.074489999999</v>
      </c>
      <c r="AQ53" s="1371">
        <v>2360.2711200000003</v>
      </c>
      <c r="AR53" s="1371">
        <v>30243.701649999999</v>
      </c>
      <c r="AS53" s="1371">
        <v>2597.1868799999997</v>
      </c>
      <c r="AT53" s="1371">
        <v>33039.02691</v>
      </c>
      <c r="AU53" s="1371">
        <v>2812.6219799999999</v>
      </c>
      <c r="AV53" s="1371">
        <v>35292.506849999998</v>
      </c>
      <c r="AW53" s="1371">
        <v>3136.0500099999999</v>
      </c>
      <c r="AX53" s="1371">
        <v>2242.2412000000004</v>
      </c>
      <c r="AY53" s="1371">
        <v>390.03515999999996</v>
      </c>
      <c r="AZ53" s="1371">
        <v>6258.4051900000004</v>
      </c>
      <c r="BA53" s="1371">
        <v>556.03165000000001</v>
      </c>
      <c r="BB53" s="1371">
        <v>13021.29091</v>
      </c>
      <c r="BC53" s="1371">
        <v>661.76459999999997</v>
      </c>
      <c r="BD53" s="1371">
        <v>18088.325710000001</v>
      </c>
      <c r="BE53" s="1371">
        <v>713.69623999999999</v>
      </c>
      <c r="BF53" s="1371">
        <v>23311.043000000001</v>
      </c>
      <c r="BG53" s="1371">
        <v>961.70709999999997</v>
      </c>
      <c r="BH53" s="1371">
        <v>25413.85713</v>
      </c>
      <c r="BI53" s="1371">
        <v>1319.20146</v>
      </c>
      <c r="BJ53" s="1371">
        <v>27771.812519999999</v>
      </c>
      <c r="BK53" s="1371">
        <v>1513.18623</v>
      </c>
      <c r="BL53" s="1371">
        <v>31824.89906</v>
      </c>
      <c r="BM53" s="1371">
        <v>1777.88491</v>
      </c>
      <c r="BN53" s="1371">
        <v>36057.539840000005</v>
      </c>
      <c r="BO53" s="1371">
        <v>2031.65771</v>
      </c>
      <c r="BP53" s="1371">
        <v>38268.400119999998</v>
      </c>
      <c r="BQ53" s="1371">
        <v>2434.4777899999999</v>
      </c>
      <c r="BR53" s="1371">
        <v>42428.039189999996</v>
      </c>
      <c r="BS53" s="1371">
        <v>2755.18759</v>
      </c>
      <c r="BT53" s="1371">
        <v>48112.869840000007</v>
      </c>
      <c r="BU53" s="1371">
        <v>3100.6751899999999</v>
      </c>
      <c r="BV53" s="1371">
        <v>2584.4939800000002</v>
      </c>
      <c r="BW53" s="1371">
        <v>221.50744</v>
      </c>
      <c r="BX53" s="1371">
        <v>7676.10646</v>
      </c>
      <c r="BY53" s="1371">
        <v>415.99736999999999</v>
      </c>
      <c r="BZ53" s="1371">
        <v>11193.886480000001</v>
      </c>
      <c r="CA53" s="1371">
        <v>603.65324999999996</v>
      </c>
      <c r="CB53" s="1371">
        <v>21772.267629999998</v>
      </c>
      <c r="CC53" s="1371">
        <v>703.04147</v>
      </c>
      <c r="CD53" s="1371">
        <v>26992.49482</v>
      </c>
      <c r="CE53" s="1371">
        <v>811.83368000000007</v>
      </c>
      <c r="CF53" s="1371">
        <v>30122.05589</v>
      </c>
      <c r="CG53" s="1371">
        <v>1082.4506200000001</v>
      </c>
      <c r="CH53" s="1371">
        <v>33277.516000000003</v>
      </c>
      <c r="CI53" s="1371">
        <v>1244.35508</v>
      </c>
      <c r="CJ53" s="1371">
        <v>37939.255960000002</v>
      </c>
      <c r="CK53" s="1371">
        <v>1376.8395700000001</v>
      </c>
      <c r="CL53" s="1371">
        <v>41937.675409999996</v>
      </c>
      <c r="CM53" s="1371">
        <v>1801.14436</v>
      </c>
      <c r="CN53" s="1371">
        <v>45296.051719999996</v>
      </c>
      <c r="CO53" s="1371">
        <v>2083.6031499999999</v>
      </c>
      <c r="CP53" s="1371">
        <v>49668.259359999996</v>
      </c>
      <c r="CQ53" s="1371">
        <v>2263.5610499999998</v>
      </c>
      <c r="CR53" s="1371">
        <v>53949.731420000004</v>
      </c>
      <c r="CS53" s="1371">
        <v>2558.7546600000001</v>
      </c>
      <c r="CT53" s="1371">
        <v>3637.3295200000002</v>
      </c>
      <c r="CU53" s="1371">
        <v>390.18022999999999</v>
      </c>
      <c r="CV53" s="1371">
        <v>9939.4603599999991</v>
      </c>
      <c r="CW53" s="1371">
        <v>864.30764999999997</v>
      </c>
      <c r="CX53" s="1371">
        <v>14877.09816</v>
      </c>
      <c r="CY53" s="1371">
        <v>1132.1251399999999</v>
      </c>
      <c r="CZ53" s="1371">
        <v>26074.87457</v>
      </c>
      <c r="DA53" s="1371">
        <v>1476.3040000000001</v>
      </c>
      <c r="DB53" s="1371">
        <v>31749.670750000001</v>
      </c>
      <c r="DC53" s="1371">
        <v>1696.31691</v>
      </c>
      <c r="DD53" s="1371">
        <v>35012.79045</v>
      </c>
      <c r="DE53" s="1371">
        <v>2004.76954</v>
      </c>
      <c r="DF53" s="1371">
        <v>38899.940299999995</v>
      </c>
      <c r="DG53" s="1371">
        <v>2318.60484</v>
      </c>
      <c r="DH53" s="1371">
        <v>43400.433819999998</v>
      </c>
      <c r="DI53" s="1371">
        <v>2411.46722</v>
      </c>
      <c r="DJ53" s="1371">
        <v>48551.95319</v>
      </c>
      <c r="DK53" s="1371">
        <v>3154.3179700000001</v>
      </c>
      <c r="DL53" s="1371">
        <v>52035.665760000004</v>
      </c>
      <c r="DM53" s="1371">
        <v>3388.6383799999999</v>
      </c>
      <c r="DN53" s="1371">
        <v>57509.16865</v>
      </c>
      <c r="DO53" s="1371">
        <v>3647.80474</v>
      </c>
      <c r="DP53" s="1371">
        <v>63506.324000000001</v>
      </c>
      <c r="DQ53" s="1386">
        <v>4071.64723</v>
      </c>
      <c r="DR53" s="1397">
        <v>4534.9335799999999</v>
      </c>
      <c r="DS53" s="1400">
        <v>160.94218000000001</v>
      </c>
      <c r="DT53" s="1392">
        <v>11643.05119</v>
      </c>
      <c r="DU53" s="1405">
        <v>448.67756000000003</v>
      </c>
      <c r="DV53" s="1401">
        <v>17066.41906</v>
      </c>
      <c r="DW53" s="1400">
        <v>795.18426999999997</v>
      </c>
      <c r="DX53" s="1392">
        <v>30210.41203</v>
      </c>
      <c r="DY53" s="1405">
        <v>1226.75217</v>
      </c>
      <c r="DZ53" s="1401">
        <v>36385.771549999998</v>
      </c>
      <c r="EA53" s="1400">
        <v>1473.45849</v>
      </c>
      <c r="EB53" s="1390">
        <v>40345.455379999999</v>
      </c>
      <c r="EC53" s="1372">
        <v>1765.6340399999999</v>
      </c>
      <c r="ED53" s="1397">
        <v>45141.624940000002</v>
      </c>
      <c r="EE53" s="1372">
        <v>2237.4398700000002</v>
      </c>
      <c r="EF53" s="1397">
        <v>49435.391450000003</v>
      </c>
      <c r="EG53" s="1372">
        <v>2422.5545900000002</v>
      </c>
      <c r="EH53" s="1390">
        <v>53150.749790000002</v>
      </c>
      <c r="EI53" s="1372">
        <v>2660.9251199999999</v>
      </c>
      <c r="EJ53" s="1390">
        <v>58128.921269999999</v>
      </c>
      <c r="EK53" s="1372">
        <v>2864.8000699999998</v>
      </c>
      <c r="EL53" s="1390">
        <v>65181.989280000002</v>
      </c>
      <c r="EM53" s="1372">
        <v>3168.5146300000001</v>
      </c>
      <c r="EN53" s="1390">
        <v>73895.230039999995</v>
      </c>
      <c r="EO53" s="1372">
        <v>3407.7069200000001</v>
      </c>
      <c r="EP53" s="1390">
        <v>4377.0246799999995</v>
      </c>
      <c r="EQ53" s="1372">
        <v>178.58770999999999</v>
      </c>
      <c r="ER53" s="1390">
        <v>12523.79658</v>
      </c>
      <c r="ES53" s="1372">
        <v>382.78298999999998</v>
      </c>
      <c r="ET53" s="1635">
        <v>19098.258819999999</v>
      </c>
      <c r="EU53" s="1636">
        <v>531.18575999999996</v>
      </c>
      <c r="EV53" s="1390">
        <v>30316.60367</v>
      </c>
      <c r="EW53" s="1372">
        <v>650.95100000000002</v>
      </c>
      <c r="EX53" s="1390">
        <v>39258.417820000002</v>
      </c>
      <c r="EY53" s="1372">
        <v>871.55200000000002</v>
      </c>
      <c r="EZ53" s="1390">
        <v>44484.572240000001</v>
      </c>
      <c r="FA53" s="1372">
        <v>1270.34319</v>
      </c>
      <c r="FB53" s="1390">
        <v>50075.744930000001</v>
      </c>
      <c r="FC53" s="1372">
        <v>1477.27046</v>
      </c>
      <c r="FD53" s="1390">
        <v>55956.225259999999</v>
      </c>
      <c r="FE53" s="1372">
        <v>1855.7573500000001</v>
      </c>
      <c r="FF53" s="1390">
        <v>60652.01528</v>
      </c>
      <c r="FG53" s="1372">
        <v>2410.4063799999999</v>
      </c>
      <c r="FH53" s="1390">
        <v>66081.410759999999</v>
      </c>
      <c r="FI53" s="1372">
        <v>3016.6682999999998</v>
      </c>
      <c r="FJ53" s="1635">
        <v>74100.832899999994</v>
      </c>
      <c r="FK53" s="1636">
        <v>3452.6973699999999</v>
      </c>
      <c r="FL53" s="1390">
        <v>84041.06826</v>
      </c>
      <c r="FM53" s="1372">
        <v>3943.0880200000001</v>
      </c>
      <c r="FN53" s="1390">
        <v>4839.5582800000002</v>
      </c>
      <c r="FO53" s="1372">
        <v>205.82252</v>
      </c>
      <c r="FP53" s="1390">
        <v>13673.9948</v>
      </c>
      <c r="FQ53" s="1372">
        <v>580.51437999999996</v>
      </c>
      <c r="FR53" s="1373" t="s">
        <v>3525</v>
      </c>
    </row>
    <row r="54" spans="1:174" s="458" customFormat="1" ht="22.5" customHeight="1">
      <c r="A54" s="1366" t="s">
        <v>2316</v>
      </c>
      <c r="B54" s="1376">
        <f t="shared" ref="B54:BM54" si="24">B55+B56+B57+B58+B59</f>
        <v>9754.040570000001</v>
      </c>
      <c r="C54" s="1376">
        <f t="shared" si="24"/>
        <v>3568.7894200000001</v>
      </c>
      <c r="D54" s="1376">
        <f t="shared" si="24"/>
        <v>17175.730179999999</v>
      </c>
      <c r="E54" s="1376">
        <f t="shared" si="24"/>
        <v>7305.0956500000002</v>
      </c>
      <c r="F54" s="1376">
        <f t="shared" si="24"/>
        <v>28369.414279999994</v>
      </c>
      <c r="G54" s="1376">
        <f t="shared" si="24"/>
        <v>12163.989890000001</v>
      </c>
      <c r="H54" s="1376">
        <f t="shared" si="24"/>
        <v>38663.925080000001</v>
      </c>
      <c r="I54" s="1376">
        <f t="shared" si="24"/>
        <v>16549.752079999998</v>
      </c>
      <c r="J54" s="1376">
        <f t="shared" si="24"/>
        <v>49605.352960000004</v>
      </c>
      <c r="K54" s="1376">
        <f t="shared" si="24"/>
        <v>20787.564340000004</v>
      </c>
      <c r="L54" s="1376">
        <f t="shared" si="24"/>
        <v>62732.725750000005</v>
      </c>
      <c r="M54" s="1376">
        <f t="shared" si="24"/>
        <v>24508.766420000007</v>
      </c>
      <c r="N54" s="1376">
        <f t="shared" si="24"/>
        <v>77776.996650000001</v>
      </c>
      <c r="O54" s="1376">
        <f t="shared" si="24"/>
        <v>29278.764450000002</v>
      </c>
      <c r="P54" s="1376">
        <f t="shared" si="24"/>
        <v>89492.966759999981</v>
      </c>
      <c r="Q54" s="1376">
        <f t="shared" si="24"/>
        <v>34524.666079999995</v>
      </c>
      <c r="R54" s="1376">
        <f t="shared" si="24"/>
        <v>104372.91912000002</v>
      </c>
      <c r="S54" s="1376">
        <f t="shared" si="24"/>
        <v>38634.178839999993</v>
      </c>
      <c r="T54" s="1376">
        <f t="shared" si="24"/>
        <v>126542.26567000002</v>
      </c>
      <c r="U54" s="1376">
        <f t="shared" si="24"/>
        <v>43105.079419999995</v>
      </c>
      <c r="V54" s="1376">
        <f t="shared" si="24"/>
        <v>137478.81427999999</v>
      </c>
      <c r="W54" s="1376">
        <f t="shared" si="24"/>
        <v>48225.125709999993</v>
      </c>
      <c r="X54" s="1376">
        <f t="shared" si="24"/>
        <v>148469.70654000001</v>
      </c>
      <c r="Y54" s="1376">
        <f t="shared" si="24"/>
        <v>53458.303079999998</v>
      </c>
      <c r="Z54" s="1376">
        <f t="shared" si="24"/>
        <v>9134.2187300000005</v>
      </c>
      <c r="AA54" s="1376">
        <f t="shared" si="24"/>
        <v>4548.5644199999997</v>
      </c>
      <c r="AB54" s="1376">
        <f t="shared" si="24"/>
        <v>18681.034449999999</v>
      </c>
      <c r="AC54" s="1376">
        <f t="shared" si="24"/>
        <v>10169.457609999999</v>
      </c>
      <c r="AD54" s="1376">
        <f t="shared" si="24"/>
        <v>27649.2438</v>
      </c>
      <c r="AE54" s="1376">
        <f t="shared" si="24"/>
        <v>14611.8</v>
      </c>
      <c r="AF54" s="1376">
        <f t="shared" si="24"/>
        <v>64674.133160000012</v>
      </c>
      <c r="AG54" s="1376">
        <f t="shared" si="24"/>
        <v>20203.831170000001</v>
      </c>
      <c r="AH54" s="1376">
        <f t="shared" si="24"/>
        <v>75591.671089999989</v>
      </c>
      <c r="AI54" s="1376">
        <f t="shared" si="24"/>
        <v>25995.174570000003</v>
      </c>
      <c r="AJ54" s="1376">
        <f t="shared" si="24"/>
        <v>88233.054489999995</v>
      </c>
      <c r="AK54" s="1376">
        <f t="shared" si="24"/>
        <v>30368.72752</v>
      </c>
      <c r="AL54" s="1376">
        <f t="shared" si="24"/>
        <v>101596.84577</v>
      </c>
      <c r="AM54" s="1376">
        <f t="shared" si="24"/>
        <v>36350.89329</v>
      </c>
      <c r="AN54" s="1376">
        <f t="shared" si="24"/>
        <v>114304.28651000001</v>
      </c>
      <c r="AO54" s="1376">
        <f t="shared" si="24"/>
        <v>41701.93931999999</v>
      </c>
      <c r="AP54" s="1376">
        <f t="shared" si="24"/>
        <v>125597.67934999998</v>
      </c>
      <c r="AQ54" s="1376">
        <f t="shared" si="24"/>
        <v>47231.310400000017</v>
      </c>
      <c r="AR54" s="1376">
        <f t="shared" si="24"/>
        <v>136165.60131</v>
      </c>
      <c r="AS54" s="1376">
        <f t="shared" si="24"/>
        <v>53621.37945</v>
      </c>
      <c r="AT54" s="1376">
        <f t="shared" si="24"/>
        <v>145531.81087000002</v>
      </c>
      <c r="AU54" s="1376">
        <f t="shared" si="24"/>
        <v>58908.735860000001</v>
      </c>
      <c r="AV54" s="1376">
        <f t="shared" si="24"/>
        <v>156514.62186000001</v>
      </c>
      <c r="AW54" s="1376">
        <f t="shared" si="24"/>
        <v>64632.586150000003</v>
      </c>
      <c r="AX54" s="1376">
        <f t="shared" si="24"/>
        <v>13363.88897</v>
      </c>
      <c r="AY54" s="1376">
        <f t="shared" si="24"/>
        <v>5972.05069</v>
      </c>
      <c r="AZ54" s="1376">
        <f t="shared" si="24"/>
        <v>22609.852650000001</v>
      </c>
      <c r="BA54" s="1376">
        <f t="shared" si="24"/>
        <v>11222.005160000001</v>
      </c>
      <c r="BB54" s="1376">
        <f t="shared" si="24"/>
        <v>58205.308270000009</v>
      </c>
      <c r="BC54" s="1376">
        <f t="shared" si="24"/>
        <v>15660.495800000001</v>
      </c>
      <c r="BD54" s="1376">
        <f t="shared" si="24"/>
        <v>71005.717529999994</v>
      </c>
      <c r="BE54" s="1376">
        <f t="shared" si="24"/>
        <v>22591.15279</v>
      </c>
      <c r="BF54" s="1376">
        <f t="shared" si="24"/>
        <v>83253.950700000001</v>
      </c>
      <c r="BG54" s="1376">
        <f t="shared" si="24"/>
        <v>28792.719570000001</v>
      </c>
      <c r="BH54" s="1376">
        <f t="shared" si="24"/>
        <v>94130.188399999999</v>
      </c>
      <c r="BI54" s="1376">
        <f t="shared" si="24"/>
        <v>34514.560389999999</v>
      </c>
      <c r="BJ54" s="1376">
        <f t="shared" si="24"/>
        <v>109556.04840999999</v>
      </c>
      <c r="BK54" s="1376">
        <f t="shared" si="24"/>
        <v>43130.904790000001</v>
      </c>
      <c r="BL54" s="1376">
        <f t="shared" si="24"/>
        <v>122334.31988000002</v>
      </c>
      <c r="BM54" s="1376">
        <f t="shared" si="24"/>
        <v>49572.728370000004</v>
      </c>
      <c r="BN54" s="1376">
        <f t="shared" ref="BN54:DY54" si="25">BN55+BN56+BN57+BN58+BN59</f>
        <v>134673.88312000001</v>
      </c>
      <c r="BO54" s="1376">
        <f t="shared" si="25"/>
        <v>56227.38063</v>
      </c>
      <c r="BP54" s="1376">
        <f t="shared" si="25"/>
        <v>145196.48154000001</v>
      </c>
      <c r="BQ54" s="1376">
        <f t="shared" si="25"/>
        <v>63381.397980000002</v>
      </c>
      <c r="BR54" s="1376">
        <f t="shared" si="25"/>
        <v>155313.26712</v>
      </c>
      <c r="BS54" s="1376">
        <f t="shared" si="25"/>
        <v>69925.533169999995</v>
      </c>
      <c r="BT54" s="1376">
        <f t="shared" si="25"/>
        <v>176459.76705000008</v>
      </c>
      <c r="BU54" s="1376">
        <f t="shared" si="25"/>
        <v>77525.976869999969</v>
      </c>
      <c r="BV54" s="1376">
        <f t="shared" si="25"/>
        <v>18210.303390000001</v>
      </c>
      <c r="BW54" s="1376">
        <f t="shared" si="25"/>
        <v>7283.0290800000002</v>
      </c>
      <c r="BX54" s="1376">
        <f t="shared" si="25"/>
        <v>59601.751530000009</v>
      </c>
      <c r="BY54" s="1376">
        <f t="shared" si="25"/>
        <v>14679.432989999999</v>
      </c>
      <c r="BZ54" s="1376">
        <f t="shared" si="25"/>
        <v>69052.583110000007</v>
      </c>
      <c r="CA54" s="1376">
        <f t="shared" si="25"/>
        <v>19002.756430000001</v>
      </c>
      <c r="CB54" s="1376">
        <f t="shared" si="25"/>
        <v>79757.430130000008</v>
      </c>
      <c r="CC54" s="1376">
        <f t="shared" si="25"/>
        <v>24579.530699999996</v>
      </c>
      <c r="CD54" s="1376">
        <f t="shared" si="25"/>
        <v>91362.001540000012</v>
      </c>
      <c r="CE54" s="1376">
        <f t="shared" si="25"/>
        <v>28435.845100000002</v>
      </c>
      <c r="CF54" s="1376">
        <f t="shared" si="25"/>
        <v>102124.04617</v>
      </c>
      <c r="CG54" s="1376">
        <f t="shared" si="25"/>
        <v>33250.1423</v>
      </c>
      <c r="CH54" s="1376">
        <f t="shared" si="25"/>
        <v>113973.20545000001</v>
      </c>
      <c r="CI54" s="1376">
        <f t="shared" si="25"/>
        <v>37884.085619999998</v>
      </c>
      <c r="CJ54" s="1376">
        <f t="shared" si="25"/>
        <v>124857.98344</v>
      </c>
      <c r="CK54" s="1376">
        <f t="shared" si="25"/>
        <v>42533.674910000002</v>
      </c>
      <c r="CL54" s="1376">
        <f t="shared" si="25"/>
        <v>137892.14937999999</v>
      </c>
      <c r="CM54" s="1376">
        <f t="shared" si="25"/>
        <v>48661.516660000001</v>
      </c>
      <c r="CN54" s="1376">
        <f t="shared" si="25"/>
        <v>147855.85897999999</v>
      </c>
      <c r="CO54" s="1376">
        <f t="shared" si="25"/>
        <v>54012.668489999996</v>
      </c>
      <c r="CP54" s="1376">
        <f t="shared" si="25"/>
        <v>156875.14671</v>
      </c>
      <c r="CQ54" s="1376">
        <f t="shared" si="25"/>
        <v>61120.587840000007</v>
      </c>
      <c r="CR54" s="1376">
        <f t="shared" si="25"/>
        <v>171915.62709000002</v>
      </c>
      <c r="CS54" s="1376">
        <f t="shared" si="25"/>
        <v>83853.131429999994</v>
      </c>
      <c r="CT54" s="1376">
        <f t="shared" si="25"/>
        <v>16195.166509999999</v>
      </c>
      <c r="CU54" s="1376">
        <f t="shared" si="25"/>
        <v>19262.81292</v>
      </c>
      <c r="CV54" s="1376">
        <f t="shared" si="25"/>
        <v>32758.031929999997</v>
      </c>
      <c r="CW54" s="1376">
        <f t="shared" si="25"/>
        <v>32196.169600000001</v>
      </c>
      <c r="CX54" s="1376">
        <f t="shared" si="25"/>
        <v>78463.5815</v>
      </c>
      <c r="CY54" s="1376">
        <f t="shared" si="25"/>
        <v>39882.595979999998</v>
      </c>
      <c r="CZ54" s="1376">
        <f t="shared" si="25"/>
        <v>90616.191790000012</v>
      </c>
      <c r="DA54" s="1376">
        <f t="shared" si="25"/>
        <v>48940.370049999998</v>
      </c>
      <c r="DB54" s="1376">
        <f t="shared" si="25"/>
        <v>101463.93508</v>
      </c>
      <c r="DC54" s="1376">
        <f t="shared" si="25"/>
        <v>54996.157220000001</v>
      </c>
      <c r="DD54" s="1376">
        <f t="shared" si="25"/>
        <v>112840.16962999999</v>
      </c>
      <c r="DE54" s="1376">
        <f t="shared" si="25"/>
        <v>62531.315349999997</v>
      </c>
      <c r="DF54" s="1376">
        <f t="shared" si="25"/>
        <v>124565.44986999998</v>
      </c>
      <c r="DG54" s="1376">
        <f t="shared" si="25"/>
        <v>70676.308099999995</v>
      </c>
      <c r="DH54" s="1376">
        <f t="shared" si="25"/>
        <v>138366.7623</v>
      </c>
      <c r="DI54" s="1376">
        <f t="shared" si="25"/>
        <v>79710.476839999988</v>
      </c>
      <c r="DJ54" s="1376">
        <f t="shared" si="25"/>
        <v>159096.54593999998</v>
      </c>
      <c r="DK54" s="1376">
        <f t="shared" si="25"/>
        <v>89497.378089999984</v>
      </c>
      <c r="DL54" s="1376">
        <f t="shared" si="25"/>
        <v>171011.96308999998</v>
      </c>
      <c r="DM54" s="1376">
        <f t="shared" si="25"/>
        <v>97974.17426</v>
      </c>
      <c r="DN54" s="1376">
        <f t="shared" si="25"/>
        <v>181506.81338000004</v>
      </c>
      <c r="DO54" s="1376">
        <f t="shared" si="25"/>
        <v>106462.66256</v>
      </c>
      <c r="DP54" s="1376">
        <f t="shared" si="25"/>
        <v>193796.32498999999</v>
      </c>
      <c r="DQ54" s="1387">
        <f t="shared" si="25"/>
        <v>115389.11059</v>
      </c>
      <c r="DR54" s="1402">
        <f t="shared" si="25"/>
        <v>14003.949049999999</v>
      </c>
      <c r="DS54" s="1403">
        <f t="shared" si="25"/>
        <v>7043.5313100000003</v>
      </c>
      <c r="DT54" s="1393">
        <f t="shared" si="25"/>
        <v>23527.655680000003</v>
      </c>
      <c r="DU54" s="1387">
        <f t="shared" si="25"/>
        <v>14024.309810000001</v>
      </c>
      <c r="DV54" s="1408">
        <f t="shared" si="25"/>
        <v>47369.458209999997</v>
      </c>
      <c r="DW54" s="1377">
        <f t="shared" si="25"/>
        <v>21533.819070000001</v>
      </c>
      <c r="DX54" s="1393">
        <f t="shared" si="25"/>
        <v>60815.707049999997</v>
      </c>
      <c r="DY54" s="1387">
        <f t="shared" si="25"/>
        <v>29840.152959999999</v>
      </c>
      <c r="DZ54" s="1408">
        <f t="shared" ref="DZ54:EE54" si="26">DZ55+DZ56+DZ57+DZ58+DZ59</f>
        <v>72186.711490000002</v>
      </c>
      <c r="EA54" s="1377">
        <f t="shared" si="26"/>
        <v>36960.76771</v>
      </c>
      <c r="EB54" s="1393">
        <f t="shared" si="26"/>
        <v>84561.129320000007</v>
      </c>
      <c r="EC54" s="1377">
        <f t="shared" si="26"/>
        <v>42908.252030000003</v>
      </c>
      <c r="ED54" s="1408">
        <f t="shared" si="26"/>
        <v>96649.123920000013</v>
      </c>
      <c r="EE54" s="1377">
        <f t="shared" si="26"/>
        <v>52108.247300000003</v>
      </c>
      <c r="EF54" s="1408">
        <v>111796.68580000001</v>
      </c>
      <c r="EG54" s="1377">
        <v>60932.097659999992</v>
      </c>
      <c r="EH54" s="1393">
        <v>124503.73288</v>
      </c>
      <c r="EI54" s="1377">
        <v>69186.857739999992</v>
      </c>
      <c r="EJ54" s="1393">
        <v>137643.19482999999</v>
      </c>
      <c r="EK54" s="1377">
        <v>77213.023929999996</v>
      </c>
      <c r="EL54" s="1393">
        <v>152311.88094999999</v>
      </c>
      <c r="EM54" s="1377">
        <v>84037.918820000006</v>
      </c>
      <c r="EN54" s="1393">
        <v>168856.51093999998</v>
      </c>
      <c r="EO54" s="1377">
        <v>92161.610220000002</v>
      </c>
      <c r="EP54" s="1393">
        <v>13946.371439999999</v>
      </c>
      <c r="EQ54" s="1377">
        <v>8119.6307999999999</v>
      </c>
      <c r="ER54" s="1393">
        <v>37116.762909999998</v>
      </c>
      <c r="ES54" s="1377">
        <v>17540.570830000001</v>
      </c>
      <c r="ET54" s="1637">
        <v>72455.348480000001</v>
      </c>
      <c r="EU54" s="1638">
        <v>23540.681929999999</v>
      </c>
      <c r="EV54" s="1393">
        <v>95359.785739999992</v>
      </c>
      <c r="EW54" s="1377">
        <v>31448.795530000003</v>
      </c>
      <c r="EX54" s="1393">
        <v>116509.23608999999</v>
      </c>
      <c r="EY54" s="1377">
        <v>40224.314170000005</v>
      </c>
      <c r="EZ54" s="1393">
        <v>133804.82882</v>
      </c>
      <c r="FA54" s="1377">
        <v>48937.477980000003</v>
      </c>
      <c r="FB54" s="1393">
        <v>152437.95234999998</v>
      </c>
      <c r="FC54" s="1377">
        <v>60173.865959999996</v>
      </c>
      <c r="FD54" s="1393">
        <v>171977.54093000002</v>
      </c>
      <c r="FE54" s="1377">
        <v>69801.985179999989</v>
      </c>
      <c r="FF54" s="1393">
        <v>189211.46514999997</v>
      </c>
      <c r="FG54" s="1377">
        <v>77825.09050999998</v>
      </c>
      <c r="FH54" s="1393">
        <v>204772.50294999999</v>
      </c>
      <c r="FI54" s="1377">
        <v>87455.362099999998</v>
      </c>
      <c r="FJ54" s="1637">
        <v>221533.95366</v>
      </c>
      <c r="FK54" s="1638">
        <v>95661.598100000003</v>
      </c>
      <c r="FL54" s="1393">
        <v>250391.764</v>
      </c>
      <c r="FM54" s="1377">
        <v>104129.33352999999</v>
      </c>
      <c r="FN54" s="1393">
        <v>15967.38632</v>
      </c>
      <c r="FO54" s="1377">
        <v>8029.8940399999992</v>
      </c>
      <c r="FP54" s="1393">
        <v>34997.583789999997</v>
      </c>
      <c r="FQ54" s="1377">
        <v>17031.027390000003</v>
      </c>
      <c r="FR54" s="1366" t="s">
        <v>3274</v>
      </c>
    </row>
    <row r="55" spans="1:174" s="458" customFormat="1" ht="22.5" customHeight="1">
      <c r="A55" s="1427" t="s">
        <v>3297</v>
      </c>
      <c r="B55" s="1371">
        <v>4819.5867600000001</v>
      </c>
      <c r="C55" s="1371">
        <v>3059.1910600000001</v>
      </c>
      <c r="D55" s="1371">
        <v>9978.2065500000008</v>
      </c>
      <c r="E55" s="1371">
        <v>6085.3454900000006</v>
      </c>
      <c r="F55" s="1371">
        <v>17461.586649999997</v>
      </c>
      <c r="G55" s="1371">
        <v>9931.8826300000001</v>
      </c>
      <c r="H55" s="1371">
        <v>25599.331719999998</v>
      </c>
      <c r="I55" s="1371">
        <v>13385.902810000001</v>
      </c>
      <c r="J55" s="1371">
        <v>33556.197189999999</v>
      </c>
      <c r="K55" s="1371">
        <v>16876.245940000001</v>
      </c>
      <c r="L55" s="1371">
        <v>44708.578020000001</v>
      </c>
      <c r="M55" s="1371">
        <v>19903.036350000002</v>
      </c>
      <c r="N55" s="1371">
        <v>55449.138149999999</v>
      </c>
      <c r="O55" s="1371">
        <v>23688.472730000001</v>
      </c>
      <c r="P55" s="1371">
        <v>64687.862580000001</v>
      </c>
      <c r="Q55" s="1371">
        <v>28202.690480000001</v>
      </c>
      <c r="R55" s="1371">
        <v>71877.752010000011</v>
      </c>
      <c r="S55" s="1371">
        <v>31945.613980000002</v>
      </c>
      <c r="T55" s="1371">
        <v>79695.256789999999</v>
      </c>
      <c r="U55" s="1371">
        <v>36165.17787</v>
      </c>
      <c r="V55" s="1371">
        <v>86586.710730000006</v>
      </c>
      <c r="W55" s="1371">
        <v>40341.182119999998</v>
      </c>
      <c r="X55" s="1371">
        <v>92604.04737</v>
      </c>
      <c r="Y55" s="1371">
        <v>44763.625399999997</v>
      </c>
      <c r="Z55" s="1371">
        <v>5513.5177999999996</v>
      </c>
      <c r="AA55" s="1371">
        <v>4054.2116900000001</v>
      </c>
      <c r="AB55" s="1371">
        <v>11329.780859999999</v>
      </c>
      <c r="AC55" s="1371">
        <v>8194.7029199999997</v>
      </c>
      <c r="AD55" s="1371">
        <v>18299.072270000001</v>
      </c>
      <c r="AE55" s="1371">
        <v>11567.545619999999</v>
      </c>
      <c r="AF55" s="1371">
        <v>26718.736440000001</v>
      </c>
      <c r="AG55" s="1371">
        <v>15996.659609999999</v>
      </c>
      <c r="AH55" s="1371">
        <v>34926.09936</v>
      </c>
      <c r="AI55" s="1371">
        <v>20337.966960000002</v>
      </c>
      <c r="AJ55" s="1371">
        <v>44524.377460000003</v>
      </c>
      <c r="AK55" s="1371">
        <v>24076.218559999998</v>
      </c>
      <c r="AL55" s="1371">
        <v>55457.606189999999</v>
      </c>
      <c r="AM55" s="1371">
        <v>29207.067350000001</v>
      </c>
      <c r="AN55" s="1371">
        <v>64853.795389999999</v>
      </c>
      <c r="AO55" s="1371">
        <v>33838.063049999997</v>
      </c>
      <c r="AP55" s="1371">
        <v>72553.617389999999</v>
      </c>
      <c r="AQ55" s="1371">
        <v>38302.603860000003</v>
      </c>
      <c r="AR55" s="1371">
        <v>80977.643489999988</v>
      </c>
      <c r="AS55" s="1371">
        <v>43992.183700000001</v>
      </c>
      <c r="AT55" s="1371">
        <v>88416.99222</v>
      </c>
      <c r="AU55" s="1371">
        <v>48622.186479999997</v>
      </c>
      <c r="AV55" s="1371">
        <v>95440.454360000003</v>
      </c>
      <c r="AW55" s="1371">
        <v>53505.219189999996</v>
      </c>
      <c r="AX55" s="1371">
        <v>6511.3182800000004</v>
      </c>
      <c r="AY55" s="1371">
        <v>5432.0009</v>
      </c>
      <c r="AZ55" s="1371">
        <v>12715.19476</v>
      </c>
      <c r="BA55" s="1371">
        <v>9897.2929100000001</v>
      </c>
      <c r="BB55" s="1371">
        <v>20178.741239999999</v>
      </c>
      <c r="BC55" s="1371">
        <v>13645.46486</v>
      </c>
      <c r="BD55" s="1371">
        <v>29191.779629999997</v>
      </c>
      <c r="BE55" s="1371">
        <v>19728.48256</v>
      </c>
      <c r="BF55" s="1371">
        <v>38046.912630000006</v>
      </c>
      <c r="BG55" s="1371">
        <v>25189.093239999998</v>
      </c>
      <c r="BH55" s="1371">
        <v>47238.323630000006</v>
      </c>
      <c r="BI55" s="1371">
        <v>29995.813559999999</v>
      </c>
      <c r="BJ55" s="1371">
        <v>58519.878899999996</v>
      </c>
      <c r="BK55" s="1371">
        <v>37263.759680000003</v>
      </c>
      <c r="BL55" s="1371">
        <v>67860.710149999999</v>
      </c>
      <c r="BM55" s="1371">
        <v>42736.934340000007</v>
      </c>
      <c r="BN55" s="1371">
        <v>76197.630590000001</v>
      </c>
      <c r="BO55" s="1371">
        <v>48700.720590000004</v>
      </c>
      <c r="BP55" s="1371">
        <v>84463.206090000007</v>
      </c>
      <c r="BQ55" s="1371">
        <v>54893.438670000003</v>
      </c>
      <c r="BR55" s="1371">
        <v>92593.811589999998</v>
      </c>
      <c r="BS55" s="1371">
        <v>60598.840859999997</v>
      </c>
      <c r="BT55" s="1371">
        <v>100430.16220999999</v>
      </c>
      <c r="BU55" s="1371">
        <v>67235.563020000001</v>
      </c>
      <c r="BV55" s="1371">
        <v>6924.9952499999999</v>
      </c>
      <c r="BW55" s="1371">
        <v>6059.0794400000004</v>
      </c>
      <c r="BX55" s="1371">
        <v>13515.0965</v>
      </c>
      <c r="BY55" s="1371">
        <v>12477.556199999999</v>
      </c>
      <c r="BZ55" s="1371">
        <v>19372.857499999998</v>
      </c>
      <c r="CA55" s="1371">
        <v>16325.902830000001</v>
      </c>
      <c r="CB55" s="1371">
        <v>26225.853870000003</v>
      </c>
      <c r="CC55" s="1371">
        <v>20989.427949999998</v>
      </c>
      <c r="CD55" s="1371">
        <v>35255.420020000005</v>
      </c>
      <c r="CE55" s="1371">
        <v>24500.824390000002</v>
      </c>
      <c r="CF55" s="1371">
        <v>44152.252829999998</v>
      </c>
      <c r="CG55" s="1371">
        <v>28605.347600000001</v>
      </c>
      <c r="CH55" s="1371">
        <v>53700.200770000003</v>
      </c>
      <c r="CI55" s="1371">
        <v>32785.172210000004</v>
      </c>
      <c r="CJ55" s="1371">
        <v>62442.417460000004</v>
      </c>
      <c r="CK55" s="1371">
        <v>36927.090670000005</v>
      </c>
      <c r="CL55" s="1371">
        <v>70783.300749999995</v>
      </c>
      <c r="CM55" s="1371">
        <v>42220.9548</v>
      </c>
      <c r="CN55" s="1371">
        <v>78771.856629999995</v>
      </c>
      <c r="CO55" s="1371">
        <v>47018.987299999993</v>
      </c>
      <c r="CP55" s="1371">
        <v>85785.247799999997</v>
      </c>
      <c r="CQ55" s="1371">
        <v>51576.551579999999</v>
      </c>
      <c r="CR55" s="1371">
        <v>93293.501040000003</v>
      </c>
      <c r="CS55" s="1371">
        <v>56578.731959999997</v>
      </c>
      <c r="CT55" s="1371">
        <v>7106.4720900000002</v>
      </c>
      <c r="CU55" s="1371">
        <v>4708.2037799999998</v>
      </c>
      <c r="CV55" s="1371">
        <v>13847.68957</v>
      </c>
      <c r="CW55" s="1371">
        <v>9808.6905100000004</v>
      </c>
      <c r="CX55" s="1371">
        <v>20825.48516</v>
      </c>
      <c r="CY55" s="1371">
        <v>14790.49042</v>
      </c>
      <c r="CZ55" s="1371">
        <v>28712.01658</v>
      </c>
      <c r="DA55" s="1371">
        <v>21448.576300000001</v>
      </c>
      <c r="DB55" s="1371">
        <v>37600.040009999997</v>
      </c>
      <c r="DC55" s="1371">
        <v>26068.454389999999</v>
      </c>
      <c r="DD55" s="1371">
        <v>46757.772600000004</v>
      </c>
      <c r="DE55" s="1371">
        <v>32078.447889999999</v>
      </c>
      <c r="DF55" s="1371">
        <v>56557.608869999996</v>
      </c>
      <c r="DG55" s="1371">
        <v>38422.302189999995</v>
      </c>
      <c r="DH55" s="1371">
        <v>66102.299469999998</v>
      </c>
      <c r="DI55" s="1371">
        <v>45600.321469999995</v>
      </c>
      <c r="DJ55" s="1371">
        <v>74824.549950000001</v>
      </c>
      <c r="DK55" s="1371">
        <v>53144.271099999998</v>
      </c>
      <c r="DL55" s="1371">
        <v>83251.933910000007</v>
      </c>
      <c r="DM55" s="1371">
        <v>59946.431230000002</v>
      </c>
      <c r="DN55" s="1371">
        <v>91208.440730000002</v>
      </c>
      <c r="DO55" s="1371">
        <v>67041.278219999993</v>
      </c>
      <c r="DP55" s="1371">
        <v>99566.054300000003</v>
      </c>
      <c r="DQ55" s="1386">
        <v>74098.637799999997</v>
      </c>
      <c r="DR55" s="1401">
        <v>7365.7418399999997</v>
      </c>
      <c r="DS55" s="1400">
        <v>6620.0105199999998</v>
      </c>
      <c r="DT55" s="1392">
        <v>14282.49192</v>
      </c>
      <c r="DU55" s="1405">
        <v>13493.41178</v>
      </c>
      <c r="DV55" s="1401">
        <v>21705.131570000001</v>
      </c>
      <c r="DW55" s="1400">
        <v>20699.406470000002</v>
      </c>
      <c r="DX55" s="1392">
        <v>29977.026689999999</v>
      </c>
      <c r="DY55" s="1405">
        <v>28904.888569999999</v>
      </c>
      <c r="DZ55" s="1401">
        <v>39332.535779999998</v>
      </c>
      <c r="EA55" s="1400">
        <v>35942.541969999998</v>
      </c>
      <c r="EB55" s="1390">
        <v>48448.469550000002</v>
      </c>
      <c r="EC55" s="1372">
        <v>41774.70708</v>
      </c>
      <c r="ED55" s="1397">
        <v>59149.672330000001</v>
      </c>
      <c r="EE55" s="1372">
        <v>50845.696640000002</v>
      </c>
      <c r="EF55" s="1397">
        <v>69919.972590000005</v>
      </c>
      <c r="EG55" s="1372">
        <v>59505.453569999998</v>
      </c>
      <c r="EH55" s="1390">
        <v>80303.857480000006</v>
      </c>
      <c r="EI55" s="1372">
        <v>67584.016019999995</v>
      </c>
      <c r="EJ55" s="1390">
        <v>91073.342430000004</v>
      </c>
      <c r="EK55" s="1372">
        <v>75539.851720000006</v>
      </c>
      <c r="EL55" s="1390">
        <v>102219.89301</v>
      </c>
      <c r="EM55" s="1372">
        <v>82292.491569999998</v>
      </c>
      <c r="EN55" s="1390">
        <v>113843.57021999999</v>
      </c>
      <c r="EO55" s="1372">
        <v>90280.42254</v>
      </c>
      <c r="EP55" s="1390">
        <v>11271.21442</v>
      </c>
      <c r="EQ55" s="1372">
        <v>7920.0517399999999</v>
      </c>
      <c r="ER55" s="1390">
        <v>23457.885630000001</v>
      </c>
      <c r="ES55" s="1372">
        <v>17206.256659999999</v>
      </c>
      <c r="ET55" s="1635">
        <v>35667.024590000001</v>
      </c>
      <c r="EU55" s="1636">
        <v>23014.32546</v>
      </c>
      <c r="EV55" s="1390">
        <v>48167.781560000003</v>
      </c>
      <c r="EW55" s="1372">
        <v>30630.75188</v>
      </c>
      <c r="EX55" s="1390">
        <v>62945.835330000002</v>
      </c>
      <c r="EY55" s="1372">
        <v>39101.492450000005</v>
      </c>
      <c r="EZ55" s="1390">
        <v>76874.511029999994</v>
      </c>
      <c r="FA55" s="1372">
        <v>46493.464070000002</v>
      </c>
      <c r="FB55" s="1390">
        <v>92644.450599999996</v>
      </c>
      <c r="FC55" s="1372">
        <v>56655.319179999999</v>
      </c>
      <c r="FD55" s="1390">
        <v>107622.65153</v>
      </c>
      <c r="FE55" s="1372">
        <v>64770.162109999997</v>
      </c>
      <c r="FF55" s="1390">
        <v>121515.83559999999</v>
      </c>
      <c r="FG55" s="1372">
        <v>72679.01376999999</v>
      </c>
      <c r="FH55" s="1390">
        <v>135079.03260000001</v>
      </c>
      <c r="FI55" s="1372">
        <v>81912.731750000006</v>
      </c>
      <c r="FJ55" s="1635">
        <v>147793.33244999999</v>
      </c>
      <c r="FK55" s="1636">
        <v>89637.180300000007</v>
      </c>
      <c r="FL55" s="1390">
        <v>170929.51536000002</v>
      </c>
      <c r="FM55" s="1372">
        <v>97909.045209999997</v>
      </c>
      <c r="FN55" s="1390">
        <v>12330.036459999999</v>
      </c>
      <c r="FO55" s="1372">
        <v>7940.7301799999996</v>
      </c>
      <c r="FP55" s="1390">
        <v>24493.461090000001</v>
      </c>
      <c r="FQ55" s="1372">
        <v>16749.61159</v>
      </c>
      <c r="FR55" s="1425" t="s">
        <v>3526</v>
      </c>
    </row>
    <row r="56" spans="1:174" s="458" customFormat="1" ht="22.5" customHeight="1">
      <c r="A56" s="1373" t="s">
        <v>3298</v>
      </c>
      <c r="B56" s="1371">
        <v>2611.0838100000001</v>
      </c>
      <c r="C56" s="1371">
        <v>299.45535999999998</v>
      </c>
      <c r="D56" s="1371">
        <v>3883.3146299999999</v>
      </c>
      <c r="E56" s="1371">
        <v>593.59216000000004</v>
      </c>
      <c r="F56" s="1371">
        <v>5904.3386300000002</v>
      </c>
      <c r="G56" s="1371">
        <v>1065.8862300000001</v>
      </c>
      <c r="H56" s="1371">
        <v>7372.7953600000001</v>
      </c>
      <c r="I56" s="1371">
        <v>1245.1332399999999</v>
      </c>
      <c r="J56" s="1371">
        <v>9869.7677700000004</v>
      </c>
      <c r="K56" s="1371">
        <v>1401.1743700000002</v>
      </c>
      <c r="L56" s="1371">
        <v>11187.60773</v>
      </c>
      <c r="M56" s="1371">
        <v>1649.7900400000001</v>
      </c>
      <c r="N56" s="1371">
        <v>14292.34397</v>
      </c>
      <c r="O56" s="1371">
        <v>2024.1972499999999</v>
      </c>
      <c r="P56" s="1371">
        <v>16454.78515</v>
      </c>
      <c r="Q56" s="1371">
        <v>2320.22813</v>
      </c>
      <c r="R56" s="1371">
        <v>19079.485079999999</v>
      </c>
      <c r="S56" s="1371">
        <v>2353.5393899999999</v>
      </c>
      <c r="T56" s="1371">
        <v>21444.787850000001</v>
      </c>
      <c r="U56" s="1371">
        <v>2405.03008</v>
      </c>
      <c r="V56" s="1371">
        <v>24971.535359999998</v>
      </c>
      <c r="W56" s="1371">
        <v>2625.1581200000001</v>
      </c>
      <c r="X56" s="1371">
        <v>27928.380980000002</v>
      </c>
      <c r="Y56" s="1371">
        <v>2828.1072100000001</v>
      </c>
      <c r="Z56" s="1371">
        <v>3549.98623</v>
      </c>
      <c r="AA56" s="1371">
        <v>62.62453</v>
      </c>
      <c r="AB56" s="1371">
        <v>5094.4368700000005</v>
      </c>
      <c r="AC56" s="1371">
        <v>681.52548999999999</v>
      </c>
      <c r="AD56" s="1371">
        <v>7038.9120199999998</v>
      </c>
      <c r="AE56" s="1371">
        <v>955.05552</v>
      </c>
      <c r="AF56" s="1371">
        <v>9536.7381700000005</v>
      </c>
      <c r="AG56" s="1371">
        <v>1179.1693600000001</v>
      </c>
      <c r="AH56" s="1371">
        <v>12174.39718</v>
      </c>
      <c r="AI56" s="1371">
        <v>1439.6496399999999</v>
      </c>
      <c r="AJ56" s="1371">
        <v>15202.43648</v>
      </c>
      <c r="AK56" s="1371">
        <v>1678.7657300000001</v>
      </c>
      <c r="AL56" s="1371">
        <v>17238.29753</v>
      </c>
      <c r="AM56" s="1371">
        <v>1953.8507099999999</v>
      </c>
      <c r="AN56" s="1371">
        <v>20483.66907</v>
      </c>
      <c r="AO56" s="1371">
        <v>2169.6173399999998</v>
      </c>
      <c r="AP56" s="1371">
        <v>23506.90091</v>
      </c>
      <c r="AQ56" s="1371">
        <v>2912.7456099999999</v>
      </c>
      <c r="AR56" s="1371">
        <v>25299.251769999999</v>
      </c>
      <c r="AS56" s="1371">
        <v>3284.0598199999999</v>
      </c>
      <c r="AT56" s="1371">
        <v>27000.345600000001</v>
      </c>
      <c r="AU56" s="1371">
        <v>3609.9614500000002</v>
      </c>
      <c r="AV56" s="1371">
        <v>30364.470450000001</v>
      </c>
      <c r="AW56" s="1371">
        <v>4025.1817900000001</v>
      </c>
      <c r="AX56" s="1371">
        <v>5947.4026900000008</v>
      </c>
      <c r="AY56" s="1371">
        <v>306.60578999999996</v>
      </c>
      <c r="AZ56" s="1371">
        <v>7870.90589</v>
      </c>
      <c r="BA56" s="1371">
        <v>669.96225000000004</v>
      </c>
      <c r="BB56" s="1371">
        <v>9157.9690300000002</v>
      </c>
      <c r="BC56" s="1371">
        <v>1097.06394</v>
      </c>
      <c r="BD56" s="1371">
        <v>12841.251900000001</v>
      </c>
      <c r="BE56" s="1371">
        <v>1486.91823</v>
      </c>
      <c r="BF56" s="1371">
        <v>16187.461070000001</v>
      </c>
      <c r="BG56" s="1371">
        <v>1984.7363300000002</v>
      </c>
      <c r="BH56" s="1371">
        <v>17849.47177</v>
      </c>
      <c r="BI56" s="1371">
        <v>2571.90083</v>
      </c>
      <c r="BJ56" s="1371">
        <v>21367.308510000003</v>
      </c>
      <c r="BK56" s="1371">
        <v>3054.4621099999999</v>
      </c>
      <c r="BL56" s="1371">
        <v>25382.122230000001</v>
      </c>
      <c r="BM56" s="1371">
        <v>3497.0670299999997</v>
      </c>
      <c r="BN56" s="1371">
        <v>28430.533030000002</v>
      </c>
      <c r="BO56" s="1371">
        <v>3939.0550400000002</v>
      </c>
      <c r="BP56" s="1371">
        <v>30415.826949999999</v>
      </c>
      <c r="BQ56" s="1371">
        <v>4340.4448499999999</v>
      </c>
      <c r="BR56" s="1371">
        <v>32171.536030000003</v>
      </c>
      <c r="BS56" s="1371">
        <v>4857.2018499999995</v>
      </c>
      <c r="BT56" s="1371">
        <v>43426.783340000002</v>
      </c>
      <c r="BU56" s="1371">
        <v>5414.9928499999996</v>
      </c>
      <c r="BV56" s="1371">
        <v>10873.948410000001</v>
      </c>
      <c r="BW56" s="1371">
        <v>801.13264000000004</v>
      </c>
      <c r="BX56" s="1371">
        <v>14698.168300000001</v>
      </c>
      <c r="BY56" s="1371">
        <v>1360.98811</v>
      </c>
      <c r="BZ56" s="1371">
        <v>17845.278879999998</v>
      </c>
      <c r="CA56" s="1371">
        <v>1403.65192</v>
      </c>
      <c r="CB56" s="1371">
        <v>21326.394530000001</v>
      </c>
      <c r="CC56" s="1371">
        <v>2211.4360699999997</v>
      </c>
      <c r="CD56" s="1371">
        <v>23879.139789999997</v>
      </c>
      <c r="CE56" s="1371">
        <v>2359.61303</v>
      </c>
      <c r="CF56" s="1371">
        <v>25720.901610000001</v>
      </c>
      <c r="CG56" s="1371">
        <v>2689.4010200000002</v>
      </c>
      <c r="CH56" s="1371">
        <v>28003.722949999999</v>
      </c>
      <c r="CI56" s="1371">
        <v>2780.2257300000001</v>
      </c>
      <c r="CJ56" s="1371">
        <v>30114.643649999998</v>
      </c>
      <c r="CK56" s="1371">
        <v>3001.24656</v>
      </c>
      <c r="CL56" s="1371">
        <v>34768.446299999996</v>
      </c>
      <c r="CM56" s="1371">
        <v>3478.0721800000001</v>
      </c>
      <c r="CN56" s="1371">
        <v>36720.450020000004</v>
      </c>
      <c r="CO56" s="1371">
        <v>3634.0485099999996</v>
      </c>
      <c r="CP56" s="1371">
        <v>38679.121579999999</v>
      </c>
      <c r="CQ56" s="1371">
        <v>3702.1585800000003</v>
      </c>
      <c r="CR56" s="1371">
        <v>46140.777719999998</v>
      </c>
      <c r="CS56" s="1371">
        <v>3864.91579</v>
      </c>
      <c r="CT56" s="1371">
        <v>7889.80242</v>
      </c>
      <c r="CU56" s="1371">
        <v>113.41139</v>
      </c>
      <c r="CV56" s="1371">
        <v>16323.226359999999</v>
      </c>
      <c r="CW56" s="1371">
        <v>295.55734000000001</v>
      </c>
      <c r="CX56" s="1371">
        <v>23841.23934</v>
      </c>
      <c r="CY56" s="1371">
        <v>450.08981</v>
      </c>
      <c r="CZ56" s="1371">
        <v>27966.42411</v>
      </c>
      <c r="DA56" s="1371">
        <v>620.79999999999995</v>
      </c>
      <c r="DB56" s="1371">
        <v>29898.811969999999</v>
      </c>
      <c r="DC56" s="1371">
        <v>657.64907999999991</v>
      </c>
      <c r="DD56" s="1371">
        <v>32086.317930000001</v>
      </c>
      <c r="DE56" s="1371">
        <v>787.03570999999999</v>
      </c>
      <c r="DF56" s="1371">
        <v>33994.317900000002</v>
      </c>
      <c r="DG56" s="1371">
        <v>925.91916000000003</v>
      </c>
      <c r="DH56" s="1371">
        <v>38211.445729999999</v>
      </c>
      <c r="DI56" s="1371">
        <v>1106.5046200000002</v>
      </c>
      <c r="DJ56" s="1371">
        <v>50155.401389999999</v>
      </c>
      <c r="DK56" s="1371">
        <v>1289.6922400000001</v>
      </c>
      <c r="DL56" s="1371">
        <v>53595.581180000001</v>
      </c>
      <c r="DM56" s="1371">
        <v>1533.7422799999999</v>
      </c>
      <c r="DN56" s="1371">
        <v>56065.96355</v>
      </c>
      <c r="DO56" s="1371">
        <v>1615.0265899999999</v>
      </c>
      <c r="DP56" s="1371">
        <v>62502.186589999998</v>
      </c>
      <c r="DQ56" s="1386">
        <v>1919.08104</v>
      </c>
      <c r="DR56" s="1401">
        <v>6525.4672099999998</v>
      </c>
      <c r="DS56" s="1400">
        <v>65.340789999999998</v>
      </c>
      <c r="DT56" s="1392">
        <v>9074.2080600000008</v>
      </c>
      <c r="DU56" s="1405">
        <v>105.61803</v>
      </c>
      <c r="DV56" s="1401">
        <v>25252.089240000001</v>
      </c>
      <c r="DW56" s="1400">
        <v>275.2516</v>
      </c>
      <c r="DX56" s="1392">
        <v>30187.770509999998</v>
      </c>
      <c r="DY56" s="1405">
        <v>354.92338999999998</v>
      </c>
      <c r="DZ56" s="1401">
        <v>32174.102859999999</v>
      </c>
      <c r="EA56" s="1400">
        <v>437.88474000000002</v>
      </c>
      <c r="EB56" s="1390">
        <v>35320.4738</v>
      </c>
      <c r="EC56" s="1372">
        <v>538.47394999999995</v>
      </c>
      <c r="ED56" s="1397">
        <v>36734.395620000003</v>
      </c>
      <c r="EE56" s="1372">
        <v>609.17765999999995</v>
      </c>
      <c r="EF56" s="1397">
        <v>41081.033239999997</v>
      </c>
      <c r="EG56" s="1372">
        <v>747.64139</v>
      </c>
      <c r="EH56" s="1390">
        <v>43361.79103</v>
      </c>
      <c r="EI56" s="1372">
        <v>918.33802000000003</v>
      </c>
      <c r="EJ56" s="1390">
        <v>45688.253429999997</v>
      </c>
      <c r="EK56" s="1372">
        <v>963.18551000000002</v>
      </c>
      <c r="EL56" s="1390">
        <v>49164.258970000003</v>
      </c>
      <c r="EM56" s="1372">
        <v>1003.21675</v>
      </c>
      <c r="EN56" s="1390">
        <v>53979.716119999997</v>
      </c>
      <c r="EO56" s="1372">
        <v>1095.19118</v>
      </c>
      <c r="EP56" s="1390">
        <v>2625.26602</v>
      </c>
      <c r="EQ56" s="1372">
        <v>140.42845</v>
      </c>
      <c r="ER56" s="1390">
        <v>13519.53428</v>
      </c>
      <c r="ES56" s="1372">
        <v>249.39256</v>
      </c>
      <c r="ET56" s="1635">
        <v>36440.514589999999</v>
      </c>
      <c r="EU56" s="1636">
        <v>390.83485999999999</v>
      </c>
      <c r="EV56" s="1390">
        <v>46450.296739999998</v>
      </c>
      <c r="EW56" s="1372">
        <v>605.03204000000005</v>
      </c>
      <c r="EX56" s="1390">
        <v>52769.073320000003</v>
      </c>
      <c r="EY56" s="1372">
        <v>878.46010999999999</v>
      </c>
      <c r="EZ56" s="1390">
        <v>56110.884239999999</v>
      </c>
      <c r="FA56" s="1372">
        <v>2177.6522999999997</v>
      </c>
      <c r="FB56" s="1390">
        <v>58920.493909999997</v>
      </c>
      <c r="FC56" s="1372">
        <v>3240.90717</v>
      </c>
      <c r="FD56" s="1390">
        <v>63403.593560000001</v>
      </c>
      <c r="FE56" s="1372">
        <v>4737.2744599999996</v>
      </c>
      <c r="FF56" s="1390">
        <v>66704.058210000003</v>
      </c>
      <c r="FG56" s="1372">
        <v>4845.6781300000002</v>
      </c>
      <c r="FH56" s="1390">
        <v>68665.352410000007</v>
      </c>
      <c r="FI56" s="1372">
        <v>5242.2317400000002</v>
      </c>
      <c r="FJ56" s="1635">
        <v>72609.522270000001</v>
      </c>
      <c r="FK56" s="1636">
        <v>5550.5240800000001</v>
      </c>
      <c r="FL56" s="1390">
        <v>78201.5095</v>
      </c>
      <c r="FM56" s="1372">
        <v>5726.4685999999992</v>
      </c>
      <c r="FN56" s="1390">
        <v>3571.1022600000001</v>
      </c>
      <c r="FO56" s="1372">
        <v>88.315860000000001</v>
      </c>
      <c r="FP56" s="1390">
        <v>10358.275310000001</v>
      </c>
      <c r="FQ56" s="1372">
        <v>214.2038</v>
      </c>
      <c r="FR56" s="1373" t="s">
        <v>3293</v>
      </c>
    </row>
    <row r="57" spans="1:174" s="458" customFormat="1" ht="22.5" customHeight="1">
      <c r="A57" s="1373" t="s">
        <v>3299</v>
      </c>
      <c r="B57" s="1371">
        <v>41.25</v>
      </c>
      <c r="C57" s="1371">
        <v>0.83399999999999996</v>
      </c>
      <c r="D57" s="1371">
        <v>57.430999999999997</v>
      </c>
      <c r="E57" s="1371">
        <v>0.83399999999999996</v>
      </c>
      <c r="F57" s="1371">
        <v>72.75</v>
      </c>
      <c r="G57" s="1371">
        <v>18.055029999999999</v>
      </c>
      <c r="H57" s="1371">
        <v>119.122</v>
      </c>
      <c r="I57" s="1371">
        <v>18.055029999999999</v>
      </c>
      <c r="J57" s="1371">
        <v>141.30199999999999</v>
      </c>
      <c r="K57" s="1371">
        <v>18.40503</v>
      </c>
      <c r="L57" s="1371">
        <v>157.04599999999999</v>
      </c>
      <c r="M57" s="1371">
        <v>18.40503</v>
      </c>
      <c r="N57" s="1371">
        <v>172.70453000000001</v>
      </c>
      <c r="O57" s="1371">
        <v>20.833470000000002</v>
      </c>
      <c r="P57" s="1371">
        <v>196.04453000000001</v>
      </c>
      <c r="Q57" s="1371">
        <v>20.833470000000002</v>
      </c>
      <c r="R57" s="1371">
        <v>210.11453</v>
      </c>
      <c r="S57" s="1371">
        <v>22.833470000000002</v>
      </c>
      <c r="T57" s="1371">
        <v>237.57453000000001</v>
      </c>
      <c r="U57" s="1371">
        <v>23.533470000000001</v>
      </c>
      <c r="V57" s="1371">
        <v>273.53568999999999</v>
      </c>
      <c r="W57" s="1371">
        <v>23.533470000000001</v>
      </c>
      <c r="X57" s="1371">
        <v>296.07369</v>
      </c>
      <c r="Y57" s="1371">
        <v>23.533470000000001</v>
      </c>
      <c r="Z57" s="1371">
        <v>44.495699999999999</v>
      </c>
      <c r="AA57" s="1371">
        <v>22.031200000000002</v>
      </c>
      <c r="AB57" s="1371">
        <v>72.960719999999995</v>
      </c>
      <c r="AC57" s="1371">
        <v>22.031200000000002</v>
      </c>
      <c r="AD57" s="1371">
        <v>79.492550000000008</v>
      </c>
      <c r="AE57" s="1371">
        <v>22.030999999999999</v>
      </c>
      <c r="AF57" s="1371">
        <v>139.08255</v>
      </c>
      <c r="AG57" s="1371">
        <v>22.031200000000002</v>
      </c>
      <c r="AH57" s="1371">
        <v>165.57254999999998</v>
      </c>
      <c r="AI57" s="1371">
        <v>65.878969999999995</v>
      </c>
      <c r="AJ57" s="1371">
        <v>179.25254999999999</v>
      </c>
      <c r="AK57" s="1371">
        <v>69.785229999999999</v>
      </c>
      <c r="AL57" s="1371">
        <v>193.43254999999999</v>
      </c>
      <c r="AM57" s="1371">
        <v>69.735230000000001</v>
      </c>
      <c r="AN57" s="1371">
        <v>209.12254999999999</v>
      </c>
      <c r="AO57" s="1371">
        <v>71.482929999999996</v>
      </c>
      <c r="AP57" s="1371">
        <v>224.49254999999999</v>
      </c>
      <c r="AQ57" s="1371">
        <v>72.628929999999997</v>
      </c>
      <c r="AR57" s="1371">
        <v>249.32254999999998</v>
      </c>
      <c r="AS57" s="1371">
        <v>64.978930000000005</v>
      </c>
      <c r="AT57" s="1371">
        <v>270.29255000000001</v>
      </c>
      <c r="AU57" s="1371">
        <v>64.978930000000005</v>
      </c>
      <c r="AV57" s="1371">
        <v>299.40254999999996</v>
      </c>
      <c r="AW57" s="1371">
        <v>83.705169999999995</v>
      </c>
      <c r="AX57" s="1371">
        <v>5.88</v>
      </c>
      <c r="AY57" s="1371">
        <v>0</v>
      </c>
      <c r="AZ57" s="1371">
        <v>85.65</v>
      </c>
      <c r="BA57" s="1371">
        <v>0</v>
      </c>
      <c r="BB57" s="1371">
        <v>102.6</v>
      </c>
      <c r="BC57" s="1371">
        <v>0</v>
      </c>
      <c r="BD57" s="1371">
        <v>166.83</v>
      </c>
      <c r="BE57" s="1371">
        <v>0</v>
      </c>
      <c r="BF57" s="1371">
        <v>207.67</v>
      </c>
      <c r="BG57" s="1371">
        <v>0</v>
      </c>
      <c r="BH57" s="1371">
        <v>226.69</v>
      </c>
      <c r="BI57" s="1371">
        <v>0</v>
      </c>
      <c r="BJ57" s="1371">
        <v>255.04</v>
      </c>
      <c r="BK57" s="1371">
        <v>0</v>
      </c>
      <c r="BL57" s="1371">
        <v>273.91000000000003</v>
      </c>
      <c r="BM57" s="1371">
        <v>0</v>
      </c>
      <c r="BN57" s="1371">
        <v>296.08</v>
      </c>
      <c r="BO57" s="1371">
        <v>0</v>
      </c>
      <c r="BP57" s="1371">
        <v>325.39</v>
      </c>
      <c r="BQ57" s="1371">
        <v>5.3014599999999996</v>
      </c>
      <c r="BR57" s="1371">
        <v>354.97</v>
      </c>
      <c r="BS57" s="1371">
        <v>5.3014599999999996</v>
      </c>
      <c r="BT57" s="1371">
        <v>403.64</v>
      </c>
      <c r="BU57" s="1371">
        <v>0.60499999999999998</v>
      </c>
      <c r="BV57" s="1371">
        <v>56.73</v>
      </c>
      <c r="BW57" s="1371">
        <v>0</v>
      </c>
      <c r="BX57" s="1371">
        <v>92.22</v>
      </c>
      <c r="BY57" s="1371">
        <v>1.44668</v>
      </c>
      <c r="BZ57" s="1371">
        <v>121.8</v>
      </c>
      <c r="CA57" s="1371">
        <v>1.44668</v>
      </c>
      <c r="CB57" s="1371">
        <v>175.47</v>
      </c>
      <c r="CC57" s="1371">
        <v>1.44668</v>
      </c>
      <c r="CD57" s="1371">
        <v>197.13</v>
      </c>
      <c r="CE57" s="1371">
        <v>1.44668</v>
      </c>
      <c r="CF57" s="1371">
        <v>214.74</v>
      </c>
      <c r="CG57" s="1371">
        <v>13.79668</v>
      </c>
      <c r="CH57" s="1371">
        <v>231.81</v>
      </c>
      <c r="CI57" s="1371">
        <v>14.24668</v>
      </c>
      <c r="CJ57" s="1371">
        <v>262.56</v>
      </c>
      <c r="CK57" s="1371">
        <v>20.30368</v>
      </c>
      <c r="CL57" s="1371">
        <v>293.94</v>
      </c>
      <c r="CM57" s="1371">
        <v>20.703679999999999</v>
      </c>
      <c r="CN57" s="1371">
        <v>314.80500000000001</v>
      </c>
      <c r="CO57" s="1371">
        <v>22.74268</v>
      </c>
      <c r="CP57" s="1371">
        <v>340.245</v>
      </c>
      <c r="CQ57" s="1371">
        <v>22.74268</v>
      </c>
      <c r="CR57" s="1371">
        <v>407.77499999999998</v>
      </c>
      <c r="CS57" s="1371">
        <v>22.74268</v>
      </c>
      <c r="CT57" s="1371">
        <v>124.56</v>
      </c>
      <c r="CU57" s="1371">
        <v>3.6637499999999998</v>
      </c>
      <c r="CV57" s="1371">
        <v>221.886</v>
      </c>
      <c r="CW57" s="1371">
        <v>5.0137499999999999</v>
      </c>
      <c r="CX57" s="1371">
        <v>435.30599999999998</v>
      </c>
      <c r="CY57" s="1371">
        <v>5.0137499999999999</v>
      </c>
      <c r="CZ57" s="1371">
        <v>518.27850000000001</v>
      </c>
      <c r="DA57" s="1371">
        <v>5.8237500000000004</v>
      </c>
      <c r="DB57" s="1371">
        <v>541.91849999999999</v>
      </c>
      <c r="DC57" s="1371">
        <v>7.0667499999999999</v>
      </c>
      <c r="DD57" s="1371">
        <v>572.0385</v>
      </c>
      <c r="DE57" s="1371">
        <v>22.77675</v>
      </c>
      <c r="DF57" s="1371">
        <v>588.74249999999995</v>
      </c>
      <c r="DG57" s="1371">
        <v>22.77675</v>
      </c>
      <c r="DH57" s="1371">
        <v>621.62249999999995</v>
      </c>
      <c r="DI57" s="1371">
        <v>23.600750000000001</v>
      </c>
      <c r="DJ57" s="1371">
        <v>682.97249999999997</v>
      </c>
      <c r="DK57" s="1371">
        <v>23.600750000000001</v>
      </c>
      <c r="DL57" s="1371">
        <v>729.03899999999999</v>
      </c>
      <c r="DM57" s="1371">
        <v>23.600750000000001</v>
      </c>
      <c r="DN57" s="1371">
        <v>775.86900000000003</v>
      </c>
      <c r="DO57" s="1371">
        <v>28.700749999999999</v>
      </c>
      <c r="DP57" s="1371">
        <v>834.03899999999999</v>
      </c>
      <c r="DQ57" s="1386">
        <v>29.14875</v>
      </c>
      <c r="DR57" s="1401">
        <v>112.71</v>
      </c>
      <c r="DS57" s="1400">
        <v>0</v>
      </c>
      <c r="DT57" s="1392">
        <v>155.52000000000001</v>
      </c>
      <c r="DU57" s="1405">
        <v>0</v>
      </c>
      <c r="DV57" s="1401">
        <v>392.32060000000001</v>
      </c>
      <c r="DW57" s="1400">
        <v>0</v>
      </c>
      <c r="DX57" s="1392">
        <v>591.95259999999996</v>
      </c>
      <c r="DY57" s="1405">
        <v>0.25</v>
      </c>
      <c r="DZ57" s="1401">
        <v>615.89260000000002</v>
      </c>
      <c r="EA57" s="1400">
        <v>0.25</v>
      </c>
      <c r="EB57" s="1390">
        <v>683.0326</v>
      </c>
      <c r="EC57" s="1372">
        <v>14.98</v>
      </c>
      <c r="ED57" s="1397">
        <v>697.67259999999999</v>
      </c>
      <c r="EE57" s="1372">
        <v>18.27</v>
      </c>
      <c r="EF57" s="1397">
        <v>723.05259999999998</v>
      </c>
      <c r="EG57" s="1372">
        <v>28.499700000000001</v>
      </c>
      <c r="EH57" s="1390">
        <v>749.87260000000003</v>
      </c>
      <c r="EI57" s="1372">
        <v>28.499700000000001</v>
      </c>
      <c r="EJ57" s="1390">
        <v>791.99260000000004</v>
      </c>
      <c r="EK57" s="1372">
        <v>28.499700000000001</v>
      </c>
      <c r="EL57" s="1390">
        <v>819.92259999999999</v>
      </c>
      <c r="EM57" s="1372">
        <v>29.0505</v>
      </c>
      <c r="EN57" s="1390">
        <v>914.21259999999995</v>
      </c>
      <c r="EO57" s="1372">
        <v>29.752500000000001</v>
      </c>
      <c r="EP57" s="1390">
        <v>35.159999999999997</v>
      </c>
      <c r="EQ57" s="1372">
        <v>1.95061</v>
      </c>
      <c r="ER57" s="1390">
        <v>120.93</v>
      </c>
      <c r="ES57" s="1372">
        <v>1.95061</v>
      </c>
      <c r="ET57" s="1635">
        <v>322.87049999999999</v>
      </c>
      <c r="EU57" s="1636">
        <v>1.95061</v>
      </c>
      <c r="EV57" s="1390">
        <v>680.02059999999994</v>
      </c>
      <c r="EW57" s="1372">
        <v>8.4906100000000002</v>
      </c>
      <c r="EX57" s="1390">
        <v>726.38260000000002</v>
      </c>
      <c r="EY57" s="1372">
        <v>8.4906100000000002</v>
      </c>
      <c r="EZ57" s="1390">
        <v>749.95570999999995</v>
      </c>
      <c r="FA57" s="1372">
        <v>8.4906100000000002</v>
      </c>
      <c r="FB57" s="1390">
        <v>801.98259999999993</v>
      </c>
      <c r="FC57" s="1372">
        <v>8.7686100000000007</v>
      </c>
      <c r="FD57" s="1390">
        <v>878.42259999999999</v>
      </c>
      <c r="FE57" s="1372">
        <v>10.277609999999999</v>
      </c>
      <c r="FF57" s="1390">
        <v>910.30359999999996</v>
      </c>
      <c r="FG57" s="1372">
        <v>16.127610000000001</v>
      </c>
      <c r="FH57" s="1390">
        <v>946.18359999999996</v>
      </c>
      <c r="FI57" s="1372">
        <v>16.127610000000001</v>
      </c>
      <c r="FJ57" s="1635">
        <v>1031.9836</v>
      </c>
      <c r="FK57" s="1636">
        <v>19.629719999999999</v>
      </c>
      <c r="FL57" s="1390">
        <v>1152.7858000000001</v>
      </c>
      <c r="FM57" s="1372">
        <v>21.955719999999999</v>
      </c>
      <c r="FN57" s="1390">
        <v>60.060099999999998</v>
      </c>
      <c r="FO57" s="1372">
        <v>0.84799999999999998</v>
      </c>
      <c r="FP57" s="1390">
        <v>130.55439000000001</v>
      </c>
      <c r="FQ57" s="1372">
        <v>25.847999999999999</v>
      </c>
      <c r="FR57" s="1373" t="s">
        <v>3527</v>
      </c>
    </row>
    <row r="58" spans="1:174" s="458" customFormat="1" ht="42.75" customHeight="1">
      <c r="A58" s="1373" t="s">
        <v>3300</v>
      </c>
      <c r="B58" s="1371">
        <v>5.992</v>
      </c>
      <c r="C58" s="1371">
        <v>0</v>
      </c>
      <c r="D58" s="1371">
        <v>13.923</v>
      </c>
      <c r="E58" s="1371">
        <v>0</v>
      </c>
      <c r="F58" s="1371">
        <v>16.64</v>
      </c>
      <c r="G58" s="1371">
        <v>0</v>
      </c>
      <c r="H58" s="1371">
        <v>54.682000000000002</v>
      </c>
      <c r="I58" s="1371">
        <v>0</v>
      </c>
      <c r="J58" s="1371">
        <v>55.334000000000003</v>
      </c>
      <c r="K58" s="1371">
        <v>0</v>
      </c>
      <c r="L58" s="1371">
        <v>56</v>
      </c>
      <c r="M58" s="1371">
        <v>0</v>
      </c>
      <c r="N58" s="1371">
        <v>64.468999999999994</v>
      </c>
      <c r="O58" s="1371">
        <v>0</v>
      </c>
      <c r="P58" s="1371">
        <v>67.605000000000004</v>
      </c>
      <c r="Q58" s="1371">
        <v>0</v>
      </c>
      <c r="R58" s="1371">
        <v>81.463999999999999</v>
      </c>
      <c r="S58" s="1371">
        <v>0</v>
      </c>
      <c r="T58" s="1371">
        <v>82.394000000000005</v>
      </c>
      <c r="U58" s="1371">
        <v>0</v>
      </c>
      <c r="V58" s="1371">
        <v>93.507999999999996</v>
      </c>
      <c r="W58" s="1371">
        <v>0</v>
      </c>
      <c r="X58" s="1371">
        <v>103.82599999999999</v>
      </c>
      <c r="Y58" s="1371">
        <v>0</v>
      </c>
      <c r="Z58" s="1371">
        <v>25.834</v>
      </c>
      <c r="AA58" s="1371">
        <v>0</v>
      </c>
      <c r="AB58" s="1371">
        <v>31.209</v>
      </c>
      <c r="AC58" s="1371">
        <v>0</v>
      </c>
      <c r="AD58" s="1371">
        <v>32.668999999999997</v>
      </c>
      <c r="AE58" s="1371">
        <v>0</v>
      </c>
      <c r="AF58" s="1371">
        <v>69.477999999999994</v>
      </c>
      <c r="AG58" s="1371">
        <v>0</v>
      </c>
      <c r="AH58" s="1371">
        <v>69.561999999999998</v>
      </c>
      <c r="AI58" s="1371">
        <v>0</v>
      </c>
      <c r="AJ58" s="1371">
        <v>70.227999999999994</v>
      </c>
      <c r="AK58" s="1371">
        <v>0</v>
      </c>
      <c r="AL58" s="1371">
        <v>70.227999999999994</v>
      </c>
      <c r="AM58" s="1371">
        <v>0</v>
      </c>
      <c r="AN58" s="1371">
        <v>70.227999999999994</v>
      </c>
      <c r="AO58" s="1371">
        <v>0</v>
      </c>
      <c r="AP58" s="1371">
        <v>88.965000000000003</v>
      </c>
      <c r="AQ58" s="1371">
        <v>0</v>
      </c>
      <c r="AR58" s="1371">
        <v>89.444999999999993</v>
      </c>
      <c r="AS58" s="1371">
        <v>0</v>
      </c>
      <c r="AT58" s="1371">
        <v>100.599</v>
      </c>
      <c r="AU58" s="1371">
        <v>0</v>
      </c>
      <c r="AV58" s="1371">
        <v>112.839</v>
      </c>
      <c r="AW58" s="1371">
        <v>0</v>
      </c>
      <c r="AX58" s="1371">
        <v>0</v>
      </c>
      <c r="AY58" s="1371">
        <v>166.1</v>
      </c>
      <c r="AZ58" s="1371">
        <v>31.038</v>
      </c>
      <c r="BA58" s="1371">
        <v>0</v>
      </c>
      <c r="BB58" s="1371">
        <v>31.745999999999999</v>
      </c>
      <c r="BC58" s="1371">
        <v>0</v>
      </c>
      <c r="BD58" s="1371">
        <v>65.935000000000002</v>
      </c>
      <c r="BE58" s="1371">
        <v>0</v>
      </c>
      <c r="BF58" s="1371">
        <v>66.486999999999995</v>
      </c>
      <c r="BG58" s="1371">
        <v>0</v>
      </c>
      <c r="BH58" s="1371">
        <v>67.027000000000001</v>
      </c>
      <c r="BI58" s="1371">
        <v>0</v>
      </c>
      <c r="BJ58" s="1371">
        <v>67.722999999999999</v>
      </c>
      <c r="BK58" s="1371">
        <v>0</v>
      </c>
      <c r="BL58" s="1371">
        <v>67.722999999999999</v>
      </c>
      <c r="BM58" s="1371">
        <v>0</v>
      </c>
      <c r="BN58" s="1371">
        <v>86.209000000000003</v>
      </c>
      <c r="BO58" s="1371">
        <v>0</v>
      </c>
      <c r="BP58" s="1371">
        <v>96.313000000000002</v>
      </c>
      <c r="BQ58" s="1371">
        <v>0</v>
      </c>
      <c r="BR58" s="1371">
        <v>108.367</v>
      </c>
      <c r="BS58" s="1371">
        <v>0</v>
      </c>
      <c r="BT58" s="1371">
        <v>109.333</v>
      </c>
      <c r="BU58" s="1371">
        <v>0</v>
      </c>
      <c r="BV58" s="1371">
        <v>5.88</v>
      </c>
      <c r="BW58" s="1371">
        <v>0</v>
      </c>
      <c r="BX58" s="1371">
        <v>14.055</v>
      </c>
      <c r="BY58" s="1371">
        <v>0</v>
      </c>
      <c r="BZ58" s="1371">
        <v>41.558</v>
      </c>
      <c r="CA58" s="1371">
        <v>0</v>
      </c>
      <c r="CB58" s="1371">
        <v>74.856999999999999</v>
      </c>
      <c r="CC58" s="1371">
        <v>0</v>
      </c>
      <c r="CD58" s="1371">
        <v>74.941000000000003</v>
      </c>
      <c r="CE58" s="1371">
        <v>0</v>
      </c>
      <c r="CF58" s="1371">
        <v>75.210999999999999</v>
      </c>
      <c r="CG58" s="1371">
        <v>0</v>
      </c>
      <c r="CH58" s="1371">
        <v>75.840999999999994</v>
      </c>
      <c r="CI58" s="1371">
        <v>0</v>
      </c>
      <c r="CJ58" s="1371">
        <v>75.840999999999994</v>
      </c>
      <c r="CK58" s="1371">
        <v>0</v>
      </c>
      <c r="CL58" s="1371">
        <v>83.721000000000004</v>
      </c>
      <c r="CM58" s="1371">
        <v>0</v>
      </c>
      <c r="CN58" s="1371">
        <v>85.561000000000007</v>
      </c>
      <c r="CO58" s="1371">
        <v>0</v>
      </c>
      <c r="CP58" s="1371">
        <v>106.53100000000001</v>
      </c>
      <c r="CQ58" s="1371">
        <v>0</v>
      </c>
      <c r="CR58" s="1371">
        <v>108.75700000000001</v>
      </c>
      <c r="CS58" s="1371">
        <v>0</v>
      </c>
      <c r="CT58" s="1371">
        <v>11.199</v>
      </c>
      <c r="CU58" s="1371">
        <v>0</v>
      </c>
      <c r="CV58" s="1371">
        <v>11.367000000000001</v>
      </c>
      <c r="CW58" s="1371">
        <v>0</v>
      </c>
      <c r="CX58" s="1371">
        <v>12.872999999999999</v>
      </c>
      <c r="CY58" s="1371">
        <v>0</v>
      </c>
      <c r="CZ58" s="1371">
        <v>70.132999999999996</v>
      </c>
      <c r="DA58" s="1371">
        <v>0</v>
      </c>
      <c r="DB58" s="1371">
        <v>70.659000000000006</v>
      </c>
      <c r="DC58" s="1371">
        <v>0</v>
      </c>
      <c r="DD58" s="1371">
        <v>70.784999999999997</v>
      </c>
      <c r="DE58" s="1371">
        <v>0</v>
      </c>
      <c r="DF58" s="1371">
        <v>71.055000000000007</v>
      </c>
      <c r="DG58" s="1371">
        <v>0</v>
      </c>
      <c r="DH58" s="1371">
        <v>78.460999999999999</v>
      </c>
      <c r="DI58" s="1371">
        <v>0</v>
      </c>
      <c r="DJ58" s="1371">
        <v>79.688999999999993</v>
      </c>
      <c r="DK58" s="1371">
        <v>0</v>
      </c>
      <c r="DL58" s="1371">
        <v>80.709000000000003</v>
      </c>
      <c r="DM58" s="1371">
        <v>0</v>
      </c>
      <c r="DN58" s="1371">
        <v>101.361</v>
      </c>
      <c r="DO58" s="1371">
        <v>0</v>
      </c>
      <c r="DP58" s="1371">
        <v>104.175</v>
      </c>
      <c r="DQ58" s="1386">
        <v>0</v>
      </c>
      <c r="DR58" s="1401">
        <v>0</v>
      </c>
      <c r="DS58" s="1400">
        <v>0</v>
      </c>
      <c r="DT58" s="1392">
        <v>12.555</v>
      </c>
      <c r="DU58" s="1405">
        <v>0</v>
      </c>
      <c r="DV58" s="1401">
        <v>14.387</v>
      </c>
      <c r="DW58" s="1400">
        <v>0</v>
      </c>
      <c r="DX58" s="1392">
        <v>43.473999999999997</v>
      </c>
      <c r="DY58" s="1405">
        <v>0</v>
      </c>
      <c r="DZ58" s="1401">
        <v>43.973999999999997</v>
      </c>
      <c r="EA58" s="1400">
        <v>0</v>
      </c>
      <c r="EB58" s="1390">
        <v>87.665999999999997</v>
      </c>
      <c r="EC58" s="1372">
        <v>0</v>
      </c>
      <c r="ED58" s="1397">
        <v>45.558</v>
      </c>
      <c r="EE58" s="1372">
        <v>0</v>
      </c>
      <c r="EF58" s="1397">
        <v>50.802</v>
      </c>
      <c r="EG58" s="1372">
        <v>0</v>
      </c>
      <c r="EH58" s="1390">
        <v>66.272000000000006</v>
      </c>
      <c r="EI58" s="1372">
        <v>0</v>
      </c>
      <c r="EJ58" s="1390">
        <v>67.561999999999998</v>
      </c>
      <c r="EK58" s="1372">
        <v>0</v>
      </c>
      <c r="EL58" s="1390">
        <v>84.933999999999997</v>
      </c>
      <c r="EM58" s="1372">
        <v>0</v>
      </c>
      <c r="EN58" s="1390">
        <v>95.962000000000003</v>
      </c>
      <c r="EO58" s="1372">
        <v>0</v>
      </c>
      <c r="EP58" s="1390">
        <v>14.068</v>
      </c>
      <c r="EQ58" s="1372">
        <v>0</v>
      </c>
      <c r="ER58" s="1390">
        <v>14.403</v>
      </c>
      <c r="ES58" s="1372">
        <v>0</v>
      </c>
      <c r="ET58" s="1635">
        <v>15.459</v>
      </c>
      <c r="EU58" s="1636">
        <v>0</v>
      </c>
      <c r="EV58" s="1390">
        <v>46.661999999999999</v>
      </c>
      <c r="EW58" s="1372">
        <v>0</v>
      </c>
      <c r="EX58" s="1390">
        <v>47.741999999999997</v>
      </c>
      <c r="EY58" s="1372">
        <v>0</v>
      </c>
      <c r="EZ58" s="1390">
        <v>47.91</v>
      </c>
      <c r="FA58" s="1372">
        <v>0</v>
      </c>
      <c r="FB58" s="1390">
        <v>48.347999999999999</v>
      </c>
      <c r="FC58" s="1372">
        <v>0</v>
      </c>
      <c r="FD58" s="1390">
        <v>49.055999999999997</v>
      </c>
      <c r="FE58" s="1372">
        <v>0</v>
      </c>
      <c r="FF58" s="1390">
        <v>56.500999999999998</v>
      </c>
      <c r="FG58" s="1372">
        <v>0</v>
      </c>
      <c r="FH58" s="1390">
        <v>56.500999999999998</v>
      </c>
      <c r="FI58" s="1372">
        <v>0</v>
      </c>
      <c r="FJ58" s="1635">
        <v>72.864999999999995</v>
      </c>
      <c r="FK58" s="1636">
        <v>0</v>
      </c>
      <c r="FL58" s="1390">
        <v>81.251000000000005</v>
      </c>
      <c r="FM58" s="1372">
        <v>0</v>
      </c>
      <c r="FN58" s="1390">
        <v>5.9359999999999999</v>
      </c>
      <c r="FO58" s="1372">
        <v>0</v>
      </c>
      <c r="FP58" s="1390">
        <v>11.632</v>
      </c>
      <c r="FQ58" s="1372">
        <v>0</v>
      </c>
      <c r="FR58" s="1373" t="s">
        <v>3294</v>
      </c>
    </row>
    <row r="59" spans="1:174" s="458" customFormat="1" ht="22.5" customHeight="1">
      <c r="A59" s="1373" t="s">
        <v>3301</v>
      </c>
      <c r="B59" s="1371">
        <v>2276.1280000000006</v>
      </c>
      <c r="C59" s="1371">
        <v>209.30899999999997</v>
      </c>
      <c r="D59" s="1371">
        <v>3242.8549999999982</v>
      </c>
      <c r="E59" s="1371">
        <v>625.32399999999961</v>
      </c>
      <c r="F59" s="1371">
        <v>4914.0989999999993</v>
      </c>
      <c r="G59" s="1371">
        <v>1148.1660000000006</v>
      </c>
      <c r="H59" s="1371">
        <v>5517.9940000000024</v>
      </c>
      <c r="I59" s="1371">
        <v>1900.6609999999971</v>
      </c>
      <c r="J59" s="1371">
        <v>5982.7519999999977</v>
      </c>
      <c r="K59" s="1371">
        <v>2491.739</v>
      </c>
      <c r="L59" s="1371">
        <v>6623.493999999997</v>
      </c>
      <c r="M59" s="1371">
        <v>2937.5350000000017</v>
      </c>
      <c r="N59" s="1371">
        <v>7798.3410000000022</v>
      </c>
      <c r="O59" s="1371">
        <v>3545.2609999999972</v>
      </c>
      <c r="P59" s="1371">
        <v>8086.6694999999954</v>
      </c>
      <c r="Q59" s="1371">
        <v>3980.9139999999943</v>
      </c>
      <c r="R59" s="1371">
        <v>13124.103499999996</v>
      </c>
      <c r="S59" s="1371">
        <v>4312.1919999999918</v>
      </c>
      <c r="T59" s="1371">
        <v>25082.252500000021</v>
      </c>
      <c r="U59" s="1371">
        <v>4511.3379999999943</v>
      </c>
      <c r="V59" s="1371">
        <v>25553.524499999985</v>
      </c>
      <c r="W59" s="1371">
        <v>5235.251999999995</v>
      </c>
      <c r="X59" s="1371">
        <v>27537.37850000001</v>
      </c>
      <c r="Y59" s="1371">
        <v>5843.0370000000003</v>
      </c>
      <c r="Z59" s="1371">
        <v>0.38500000000090395</v>
      </c>
      <c r="AA59" s="1371">
        <v>409.6969999999996</v>
      </c>
      <c r="AB59" s="1371">
        <v>2152.6469999999999</v>
      </c>
      <c r="AC59" s="1371">
        <v>1271.1979999999999</v>
      </c>
      <c r="AD59" s="1371">
        <v>2199.0979600000001</v>
      </c>
      <c r="AE59" s="1371">
        <v>2067.1678600000005</v>
      </c>
      <c r="AF59" s="1371">
        <v>28210.098000000005</v>
      </c>
      <c r="AG59" s="1371">
        <v>3005.9710000000027</v>
      </c>
      <c r="AH59" s="1371">
        <v>28256.039999999986</v>
      </c>
      <c r="AI59" s="1371">
        <v>4151.6789999999983</v>
      </c>
      <c r="AJ59" s="1371">
        <v>28256.759999999991</v>
      </c>
      <c r="AK59" s="1371">
        <v>4543.9580000000024</v>
      </c>
      <c r="AL59" s="1371">
        <v>28637.281500000001</v>
      </c>
      <c r="AM59" s="1371">
        <v>5120.2399999999989</v>
      </c>
      <c r="AN59" s="1371">
        <v>28687.471500000007</v>
      </c>
      <c r="AO59" s="1371">
        <v>5622.7760000000007</v>
      </c>
      <c r="AP59" s="1371">
        <v>29223.703499999992</v>
      </c>
      <c r="AQ59" s="1371">
        <v>5943.332000000014</v>
      </c>
      <c r="AR59" s="1371">
        <v>29549.938500000011</v>
      </c>
      <c r="AS59" s="1371">
        <v>6280.1569999999983</v>
      </c>
      <c r="AT59" s="1371">
        <v>29743.581500000018</v>
      </c>
      <c r="AU59" s="1371">
        <v>6611.6090000000031</v>
      </c>
      <c r="AV59" s="1371">
        <v>30297.455500000011</v>
      </c>
      <c r="AW59" s="1371">
        <v>7018.4800000000059</v>
      </c>
      <c r="AX59" s="1371">
        <v>899.28799999999876</v>
      </c>
      <c r="AY59" s="1371">
        <v>67.344000000000079</v>
      </c>
      <c r="AZ59" s="1371">
        <v>1907.0639999999967</v>
      </c>
      <c r="BA59" s="1371">
        <v>654.75000000000045</v>
      </c>
      <c r="BB59" s="1371">
        <v>28734.252000000008</v>
      </c>
      <c r="BC59" s="1371">
        <v>917.96700000000055</v>
      </c>
      <c r="BD59" s="1371">
        <v>28739.920999999991</v>
      </c>
      <c r="BE59" s="1371">
        <v>1375.7519999999997</v>
      </c>
      <c r="BF59" s="1371">
        <v>28745.419999999995</v>
      </c>
      <c r="BG59" s="1371">
        <v>1618.8900000000026</v>
      </c>
      <c r="BH59" s="1371">
        <v>28748.675999999996</v>
      </c>
      <c r="BI59" s="1371">
        <v>1946.846</v>
      </c>
      <c r="BJ59" s="1371">
        <v>29346.098000000002</v>
      </c>
      <c r="BK59" s="1371">
        <v>2812.6829999999977</v>
      </c>
      <c r="BL59" s="1371">
        <v>28749.854500000009</v>
      </c>
      <c r="BM59" s="1371">
        <v>3338.7269999999976</v>
      </c>
      <c r="BN59" s="1371">
        <v>29663.430500000009</v>
      </c>
      <c r="BO59" s="1371">
        <v>3587.604999999995</v>
      </c>
      <c r="BP59" s="1371">
        <v>29895.745500000005</v>
      </c>
      <c r="BQ59" s="1371">
        <v>4142.2129999999988</v>
      </c>
      <c r="BR59" s="1371">
        <v>30084.582500000004</v>
      </c>
      <c r="BS59" s="1371">
        <v>4464.1889999999994</v>
      </c>
      <c r="BT59" s="1371">
        <v>32089.848500000058</v>
      </c>
      <c r="BU59" s="1371">
        <v>4874.8159999999834</v>
      </c>
      <c r="BV59" s="1371">
        <v>348.74973000000011</v>
      </c>
      <c r="BW59" s="1371">
        <v>422.81699999999978</v>
      </c>
      <c r="BX59" s="1371">
        <v>31282.211730000006</v>
      </c>
      <c r="BY59" s="1371">
        <v>839.44200000000023</v>
      </c>
      <c r="BZ59" s="1371">
        <v>31671.08873000001</v>
      </c>
      <c r="CA59" s="1371">
        <v>1271.7550000000003</v>
      </c>
      <c r="CB59" s="1371">
        <v>31954.854729999999</v>
      </c>
      <c r="CC59" s="1371">
        <v>1377.2199999999984</v>
      </c>
      <c r="CD59" s="1371">
        <v>31955.37073000001</v>
      </c>
      <c r="CE59" s="1371">
        <v>1573.9610000000007</v>
      </c>
      <c r="CF59" s="1371">
        <v>31960.940730000002</v>
      </c>
      <c r="CG59" s="1371">
        <v>1941.5969999999984</v>
      </c>
      <c r="CH59" s="1371">
        <v>31961.630730000004</v>
      </c>
      <c r="CI59" s="1371">
        <v>2304.4410000000007</v>
      </c>
      <c r="CJ59" s="1371">
        <v>31962.521329999992</v>
      </c>
      <c r="CK59" s="1371">
        <v>2585.0339999999965</v>
      </c>
      <c r="CL59" s="1371">
        <v>31962.741330000001</v>
      </c>
      <c r="CM59" s="1371">
        <v>2941.7860000000001</v>
      </c>
      <c r="CN59" s="1371">
        <v>31963.18633</v>
      </c>
      <c r="CO59" s="1371">
        <v>3336.89</v>
      </c>
      <c r="CP59" s="1371">
        <v>31964.001329999999</v>
      </c>
      <c r="CQ59" s="1371">
        <v>5819.1350000000002</v>
      </c>
      <c r="CR59" s="1371">
        <v>31964.816330000001</v>
      </c>
      <c r="CS59" s="1371">
        <v>23386.740999999998</v>
      </c>
      <c r="CT59" s="1371">
        <v>1063.133</v>
      </c>
      <c r="CU59" s="1371">
        <v>14437.534</v>
      </c>
      <c r="CV59" s="1371">
        <v>2353.8629999999998</v>
      </c>
      <c r="CW59" s="1371">
        <v>22086.907999999999</v>
      </c>
      <c r="CX59" s="1371">
        <v>33348.678</v>
      </c>
      <c r="CY59" s="1371">
        <v>24637.002</v>
      </c>
      <c r="CZ59" s="1371">
        <v>33349.339599999999</v>
      </c>
      <c r="DA59" s="1371">
        <v>26865.170000000002</v>
      </c>
      <c r="DB59" s="1371">
        <v>33352.505599999997</v>
      </c>
      <c r="DC59" s="1371">
        <v>28262.987000000001</v>
      </c>
      <c r="DD59" s="1371">
        <v>33353.255599999997</v>
      </c>
      <c r="DE59" s="1371">
        <v>29643.055</v>
      </c>
      <c r="DF59" s="1371">
        <v>33353.725599999998</v>
      </c>
      <c r="DG59" s="1371">
        <v>31305.31</v>
      </c>
      <c r="DH59" s="1371">
        <v>33352.933599999997</v>
      </c>
      <c r="DI59" s="1371">
        <v>32980.050000000003</v>
      </c>
      <c r="DJ59" s="1371">
        <v>33353.933099999995</v>
      </c>
      <c r="DK59" s="1371">
        <v>35039.813999999998</v>
      </c>
      <c r="DL59" s="1371">
        <v>33354.699999999997</v>
      </c>
      <c r="DM59" s="1371">
        <v>36470.400000000001</v>
      </c>
      <c r="DN59" s="1371">
        <v>33355.179100000001</v>
      </c>
      <c r="DO59" s="1371">
        <v>37777.656999999999</v>
      </c>
      <c r="DP59" s="1371">
        <v>30789.8701</v>
      </c>
      <c r="DQ59" s="1386">
        <v>39342.243000000002</v>
      </c>
      <c r="DR59" s="1401">
        <v>0.03</v>
      </c>
      <c r="DS59" s="1400">
        <v>358.17999999999995</v>
      </c>
      <c r="DT59" s="1392">
        <v>2.8807</v>
      </c>
      <c r="DU59" s="1405">
        <v>425.28</v>
      </c>
      <c r="DV59" s="1401">
        <v>5.5297999999999998</v>
      </c>
      <c r="DW59" s="1400">
        <v>559.16100000000006</v>
      </c>
      <c r="DX59" s="1392">
        <v>15.48325</v>
      </c>
      <c r="DY59" s="1405">
        <v>580.09100000000001</v>
      </c>
      <c r="DZ59" s="1401">
        <v>20.206250000000001</v>
      </c>
      <c r="EA59" s="1400">
        <v>580.09100000000001</v>
      </c>
      <c r="EB59" s="1390">
        <v>21.487369999999999</v>
      </c>
      <c r="EC59" s="1372">
        <v>580.09100000000001</v>
      </c>
      <c r="ED59" s="1397">
        <v>21.825369999999999</v>
      </c>
      <c r="EE59" s="1372">
        <v>635.10299999999995</v>
      </c>
      <c r="EF59" s="1397">
        <v>21.825369999999999</v>
      </c>
      <c r="EG59" s="1372">
        <v>650.50300000000004</v>
      </c>
      <c r="EH59" s="1390">
        <v>21.939769999999999</v>
      </c>
      <c r="EI59" s="1372">
        <v>656.00400000000002</v>
      </c>
      <c r="EJ59" s="1390">
        <v>22.044370000000001</v>
      </c>
      <c r="EK59" s="1372">
        <v>681.48699999999997</v>
      </c>
      <c r="EL59" s="1390">
        <v>22.87237</v>
      </c>
      <c r="EM59" s="1372">
        <v>713.16</v>
      </c>
      <c r="EN59" s="1390">
        <v>23.05</v>
      </c>
      <c r="EO59" s="1372">
        <v>756.24400000000003</v>
      </c>
      <c r="EP59" s="1390">
        <v>0.66300000000000003</v>
      </c>
      <c r="EQ59" s="1372">
        <v>57.2</v>
      </c>
      <c r="ER59" s="1390">
        <v>4.01</v>
      </c>
      <c r="ES59" s="1372">
        <v>82.971000000000004</v>
      </c>
      <c r="ET59" s="1635">
        <v>9.4797999999999991</v>
      </c>
      <c r="EU59" s="1636">
        <v>133.571</v>
      </c>
      <c r="EV59" s="1390">
        <v>15.024839999999999</v>
      </c>
      <c r="EW59" s="1372">
        <v>204.52099999999999</v>
      </c>
      <c r="EX59" s="1390">
        <v>20.202840000000002</v>
      </c>
      <c r="EY59" s="1372">
        <v>235.87100000000001</v>
      </c>
      <c r="EZ59" s="1390">
        <v>21.56784</v>
      </c>
      <c r="FA59" s="1372">
        <v>257.87099999999998</v>
      </c>
      <c r="FB59" s="1390">
        <v>22.677240000000001</v>
      </c>
      <c r="FC59" s="1372">
        <v>268.87099999999998</v>
      </c>
      <c r="FD59" s="1390">
        <v>23.817240000000002</v>
      </c>
      <c r="FE59" s="1372">
        <v>284.27100000000002</v>
      </c>
      <c r="FF59" s="1390">
        <v>24.766740000000002</v>
      </c>
      <c r="FG59" s="1372">
        <v>284.27100000000002</v>
      </c>
      <c r="FH59" s="1390">
        <v>25.433340000000001</v>
      </c>
      <c r="FI59" s="1372">
        <v>284.27100000000002</v>
      </c>
      <c r="FJ59" s="1635">
        <v>26.250340000000001</v>
      </c>
      <c r="FK59" s="1636">
        <v>454.26400000000001</v>
      </c>
      <c r="FL59" s="1390">
        <v>26.70234</v>
      </c>
      <c r="FM59" s="1372">
        <v>471.86399999999998</v>
      </c>
      <c r="FN59" s="1390">
        <v>0.2515</v>
      </c>
      <c r="FO59" s="1372">
        <v>0</v>
      </c>
      <c r="FP59" s="1390">
        <v>3.661</v>
      </c>
      <c r="FQ59" s="1372">
        <v>41.364000000000004</v>
      </c>
      <c r="FR59" s="1373" t="s">
        <v>3295</v>
      </c>
    </row>
    <row r="60" spans="1:174" s="458" customFormat="1" ht="30" customHeight="1">
      <c r="A60" s="1378" t="s">
        <v>2315</v>
      </c>
      <c r="B60" s="1703">
        <f t="shared" ref="B60:BM60" si="27">B11+B50</f>
        <v>70720.098730000012</v>
      </c>
      <c r="C60" s="1703">
        <f t="shared" si="27"/>
        <v>26775.323100000001</v>
      </c>
      <c r="D60" s="1703">
        <f t="shared" si="27"/>
        <v>103796.938850438</v>
      </c>
      <c r="E60" s="1703">
        <f t="shared" si="27"/>
        <v>43858.522269999994</v>
      </c>
      <c r="F60" s="1703">
        <f t="shared" si="27"/>
        <v>150681.68051000001</v>
      </c>
      <c r="G60" s="1703">
        <f t="shared" si="27"/>
        <v>60292.39357</v>
      </c>
      <c r="H60" s="1703">
        <f t="shared" si="27"/>
        <v>194172.08795000002</v>
      </c>
      <c r="I60" s="1703">
        <f t="shared" si="27"/>
        <v>75319.197400000005</v>
      </c>
      <c r="J60" s="1703">
        <f t="shared" si="27"/>
        <v>240115.42363</v>
      </c>
      <c r="K60" s="1703">
        <f t="shared" si="27"/>
        <v>97900.505900000004</v>
      </c>
      <c r="L60" s="1703">
        <f t="shared" si="27"/>
        <v>276158.44377999898</v>
      </c>
      <c r="M60" s="1703">
        <f t="shared" si="27"/>
        <v>124410.42036000002</v>
      </c>
      <c r="N60" s="1703">
        <f t="shared" si="27"/>
        <v>322830.05929</v>
      </c>
      <c r="O60" s="1703">
        <f t="shared" si="27"/>
        <v>144008.84050000002</v>
      </c>
      <c r="P60" s="1703">
        <f t="shared" si="27"/>
        <v>368915.44897999999</v>
      </c>
      <c r="Q60" s="1703">
        <f t="shared" si="27"/>
        <v>167060.91748999999</v>
      </c>
      <c r="R60" s="1703">
        <f t="shared" si="27"/>
        <v>414352.72497000004</v>
      </c>
      <c r="S60" s="1703">
        <f t="shared" si="27"/>
        <v>188579.73019</v>
      </c>
      <c r="T60" s="1703">
        <f t="shared" si="27"/>
        <v>462653.61855000001</v>
      </c>
      <c r="U60" s="1703">
        <f t="shared" si="27"/>
        <v>204637.00384000002</v>
      </c>
      <c r="V60" s="1703">
        <f t="shared" si="27"/>
        <v>504234.79862999998</v>
      </c>
      <c r="W60" s="1703">
        <f t="shared" si="27"/>
        <v>230880.32024999999</v>
      </c>
      <c r="X60" s="1703">
        <f t="shared" si="27"/>
        <v>556866.57860000001</v>
      </c>
      <c r="Y60" s="1703">
        <f t="shared" si="27"/>
        <v>257109.59743999998</v>
      </c>
      <c r="Z60" s="1703">
        <f t="shared" si="27"/>
        <v>82760.045640000011</v>
      </c>
      <c r="AA60" s="1703">
        <f t="shared" si="27"/>
        <v>22988.119539000003</v>
      </c>
      <c r="AB60" s="1703">
        <f t="shared" si="27"/>
        <v>130155.74632999999</v>
      </c>
      <c r="AC60" s="1703">
        <f t="shared" si="27"/>
        <v>40487.726869999999</v>
      </c>
      <c r="AD60" s="1703">
        <f t="shared" si="27"/>
        <v>193116.44426000002</v>
      </c>
      <c r="AE60" s="1703">
        <f t="shared" si="27"/>
        <v>60294.312290000002</v>
      </c>
      <c r="AF60" s="1703">
        <f t="shared" si="27"/>
        <v>301419.31774999999</v>
      </c>
      <c r="AG60" s="1703">
        <f t="shared" si="27"/>
        <v>78498.079089999999</v>
      </c>
      <c r="AH60" s="1703">
        <f t="shared" si="27"/>
        <v>350821.20782000001</v>
      </c>
      <c r="AI60" s="1703">
        <f t="shared" si="27"/>
        <v>97450.143330000006</v>
      </c>
      <c r="AJ60" s="1703">
        <f t="shared" si="27"/>
        <v>396371.22819000005</v>
      </c>
      <c r="AK60" s="1703">
        <f t="shared" si="27"/>
        <v>119303.36606999999</v>
      </c>
      <c r="AL60" s="1703">
        <f t="shared" si="27"/>
        <v>459851.51754000003</v>
      </c>
      <c r="AM60" s="1703">
        <f t="shared" si="27"/>
        <v>145904.74216999998</v>
      </c>
      <c r="AN60" s="1703">
        <f t="shared" si="27"/>
        <v>516923.67558000004</v>
      </c>
      <c r="AO60" s="1703">
        <f t="shared" si="27"/>
        <v>168581.45294000002</v>
      </c>
      <c r="AP60" s="1703">
        <f t="shared" si="27"/>
        <v>568538.36002999987</v>
      </c>
      <c r="AQ60" s="1703">
        <f t="shared" si="27"/>
        <v>186911.60118</v>
      </c>
      <c r="AR60" s="1703">
        <f t="shared" si="27"/>
        <v>617170.62290000007</v>
      </c>
      <c r="AS60" s="1703">
        <f t="shared" si="27"/>
        <v>205960.35067000001</v>
      </c>
      <c r="AT60" s="1703">
        <f t="shared" si="27"/>
        <v>663891.12810000009</v>
      </c>
      <c r="AU60" s="1703">
        <f t="shared" si="27"/>
        <v>224139.22142999998</v>
      </c>
      <c r="AV60" s="1703">
        <f t="shared" si="27"/>
        <v>727954.00326000014</v>
      </c>
      <c r="AW60" s="1703">
        <f t="shared" si="27"/>
        <v>240333.47073</v>
      </c>
      <c r="AX60" s="1703">
        <f t="shared" si="27"/>
        <v>88194.561710000009</v>
      </c>
      <c r="AY60" s="1703">
        <f t="shared" si="27"/>
        <v>17155.82201</v>
      </c>
      <c r="AZ60" s="1703">
        <f t="shared" si="27"/>
        <v>132818.72645000002</v>
      </c>
      <c r="BA60" s="1703">
        <f t="shared" si="27"/>
        <v>33115.998120000004</v>
      </c>
      <c r="BB60" s="1703">
        <f t="shared" si="27"/>
        <v>201157.97872000001</v>
      </c>
      <c r="BC60" s="1703">
        <f t="shared" si="27"/>
        <v>46234.366450000001</v>
      </c>
      <c r="BD60" s="1703">
        <f t="shared" si="27"/>
        <v>265296.48441000003</v>
      </c>
      <c r="BE60" s="1703">
        <f t="shared" si="27"/>
        <v>66651.188869999998</v>
      </c>
      <c r="BF60" s="1703">
        <f t="shared" si="27"/>
        <v>319272.15883000003</v>
      </c>
      <c r="BG60" s="1703">
        <f t="shared" si="27"/>
        <v>93777.495640000008</v>
      </c>
      <c r="BH60" s="1703">
        <f t="shared" si="27"/>
        <v>361336.79787999997</v>
      </c>
      <c r="BI60" s="1703">
        <f t="shared" si="27"/>
        <v>119102.38301999999</v>
      </c>
      <c r="BJ60" s="1703">
        <f t="shared" si="27"/>
        <v>422931.40942000004</v>
      </c>
      <c r="BK60" s="1703">
        <f t="shared" si="27"/>
        <v>154631.93883999999</v>
      </c>
      <c r="BL60" s="1703">
        <f t="shared" si="27"/>
        <v>469748.69513000001</v>
      </c>
      <c r="BM60" s="1703">
        <f t="shared" si="27"/>
        <v>175473.56848000002</v>
      </c>
      <c r="BN60" s="1703">
        <f t="shared" ref="BN60:DY60" si="28">BN11+BN50</f>
        <v>522453.60658999998</v>
      </c>
      <c r="BO60" s="1703">
        <f t="shared" si="28"/>
        <v>201700.71458</v>
      </c>
      <c r="BP60" s="1703">
        <f t="shared" si="28"/>
        <v>570492.69183000003</v>
      </c>
      <c r="BQ60" s="1703">
        <f t="shared" si="28"/>
        <v>225472.95251999999</v>
      </c>
      <c r="BR60" s="1703">
        <f t="shared" si="28"/>
        <v>615556.28076999995</v>
      </c>
      <c r="BS60" s="1703">
        <f t="shared" si="28"/>
        <v>252220.99572000001</v>
      </c>
      <c r="BT60" s="1703">
        <f t="shared" si="28"/>
        <v>681176.83921000012</v>
      </c>
      <c r="BU60" s="1703">
        <f t="shared" si="28"/>
        <v>301536.70479999995</v>
      </c>
      <c r="BV60" s="1703">
        <f t="shared" si="28"/>
        <v>112025.55153</v>
      </c>
      <c r="BW60" s="1703">
        <f t="shared" si="28"/>
        <v>26746.856700000004</v>
      </c>
      <c r="BX60" s="1703">
        <f t="shared" si="28"/>
        <v>190744.23772999999</v>
      </c>
      <c r="BY60" s="1703">
        <f t="shared" si="28"/>
        <v>49293.809840000002</v>
      </c>
      <c r="BZ60" s="1703">
        <f t="shared" si="28"/>
        <v>240764.29534000001</v>
      </c>
      <c r="CA60" s="1703">
        <f t="shared" si="28"/>
        <v>77091.267300000007</v>
      </c>
      <c r="CB60" s="1703">
        <f t="shared" si="28"/>
        <v>311336.96824000002</v>
      </c>
      <c r="CC60" s="1703">
        <f t="shared" si="28"/>
        <v>105564.72729</v>
      </c>
      <c r="CD60" s="1703">
        <f t="shared" si="28"/>
        <v>361348.23884999997</v>
      </c>
      <c r="CE60" s="1703">
        <f t="shared" si="28"/>
        <v>140171.03659999999</v>
      </c>
      <c r="CF60" s="1703">
        <f t="shared" si="28"/>
        <v>406400.26131999999</v>
      </c>
      <c r="CG60" s="1703">
        <f t="shared" si="28"/>
        <v>188351.18817000001</v>
      </c>
      <c r="CH60" s="1703">
        <f t="shared" si="28"/>
        <v>472725.13097999996</v>
      </c>
      <c r="CI60" s="1703">
        <f t="shared" si="28"/>
        <v>227129.08132999999</v>
      </c>
      <c r="CJ60" s="1703">
        <f t="shared" si="28"/>
        <v>528652.56235999998</v>
      </c>
      <c r="CK60" s="1703">
        <f t="shared" si="28"/>
        <v>262996.16752999998</v>
      </c>
      <c r="CL60" s="1703">
        <f t="shared" si="28"/>
        <v>581509.08165999991</v>
      </c>
      <c r="CM60" s="1703">
        <f t="shared" si="28"/>
        <v>307761.74942000001</v>
      </c>
      <c r="CN60" s="1703">
        <f t="shared" si="28"/>
        <v>628374.21671000007</v>
      </c>
      <c r="CO60" s="1703">
        <f t="shared" si="28"/>
        <v>350035.47167</v>
      </c>
      <c r="CP60" s="1703">
        <f t="shared" si="28"/>
        <v>668189.43371999997</v>
      </c>
      <c r="CQ60" s="1703">
        <f t="shared" si="28"/>
        <v>391453.57309999998</v>
      </c>
      <c r="CR60" s="1703">
        <f t="shared" si="28"/>
        <v>728634.06122000003</v>
      </c>
      <c r="CS60" s="1703">
        <f t="shared" si="28"/>
        <v>465153.12059000001</v>
      </c>
      <c r="CT60" s="1703">
        <f t="shared" si="28"/>
        <v>104010.82191</v>
      </c>
      <c r="CU60" s="1703">
        <f t="shared" si="28"/>
        <v>56840.691440000002</v>
      </c>
      <c r="CV60" s="1703">
        <f t="shared" si="28"/>
        <v>160445.07994</v>
      </c>
      <c r="CW60" s="1703">
        <f t="shared" si="28"/>
        <v>100170.15075</v>
      </c>
      <c r="CX60" s="1703">
        <f t="shared" si="28"/>
        <v>248988.66884</v>
      </c>
      <c r="CY60" s="1703">
        <f t="shared" si="28"/>
        <v>145344.73252000002</v>
      </c>
      <c r="CZ60" s="1703">
        <f t="shared" si="28"/>
        <v>339107.25600000005</v>
      </c>
      <c r="DA60" s="1703">
        <f t="shared" si="28"/>
        <v>179789.26319</v>
      </c>
      <c r="DB60" s="1703">
        <f t="shared" si="28"/>
        <v>398001.05214000004</v>
      </c>
      <c r="DC60" s="1703">
        <f t="shared" si="28"/>
        <v>208232.96301000001</v>
      </c>
      <c r="DD60" s="1703">
        <f t="shared" si="28"/>
        <v>452366.28686999995</v>
      </c>
      <c r="DE60" s="1703">
        <f t="shared" si="28"/>
        <v>248199.50464</v>
      </c>
      <c r="DF60" s="1703">
        <f t="shared" si="28"/>
        <v>528257.53888999997</v>
      </c>
      <c r="DG60" s="1703">
        <f t="shared" si="28"/>
        <v>301178.70488000003</v>
      </c>
      <c r="DH60" s="1703">
        <f t="shared" si="28"/>
        <v>580597.12957999995</v>
      </c>
      <c r="DI60" s="1703">
        <f t="shared" si="28"/>
        <v>339866.39110000001</v>
      </c>
      <c r="DJ60" s="1703">
        <f t="shared" si="28"/>
        <v>651483.89378000004</v>
      </c>
      <c r="DK60" s="1703">
        <f t="shared" si="28"/>
        <v>373491.24084300001</v>
      </c>
      <c r="DL60" s="1703">
        <f t="shared" si="28"/>
        <v>705699.92420999997</v>
      </c>
      <c r="DM60" s="1703">
        <f t="shared" si="28"/>
        <v>401211.23584000004</v>
      </c>
      <c r="DN60" s="1703">
        <f t="shared" si="28"/>
        <v>767810.10654000007</v>
      </c>
      <c r="DO60" s="1703">
        <f t="shared" si="28"/>
        <v>429848.94698300003</v>
      </c>
      <c r="DP60" s="1703">
        <f t="shared" si="28"/>
        <v>843897.27764999995</v>
      </c>
      <c r="DQ60" s="1704">
        <f t="shared" si="28"/>
        <v>458726.28349999996</v>
      </c>
      <c r="DR60" s="1705">
        <f t="shared" si="28"/>
        <v>117820.43871000002</v>
      </c>
      <c r="DS60" s="1706">
        <f t="shared" si="28"/>
        <v>16649.298289999999</v>
      </c>
      <c r="DT60" s="1707">
        <f t="shared" si="28"/>
        <v>178306.97304099996</v>
      </c>
      <c r="DU60" s="1704">
        <f t="shared" si="28"/>
        <v>38936.25662</v>
      </c>
      <c r="DV60" s="1708">
        <f t="shared" si="28"/>
        <v>258424.98340999999</v>
      </c>
      <c r="DW60" s="1709">
        <f t="shared" si="28"/>
        <v>61227.659149999999</v>
      </c>
      <c r="DX60" s="1707">
        <f t="shared" si="28"/>
        <v>358771.12637999991</v>
      </c>
      <c r="DY60" s="1704">
        <f t="shared" si="28"/>
        <v>93417.540739999997</v>
      </c>
      <c r="DZ60" s="1708">
        <f t="shared" ref="DZ60:EE60" si="29">DZ11+DZ50</f>
        <v>426637.83487000002</v>
      </c>
      <c r="EA60" s="1709">
        <f t="shared" si="29"/>
        <v>129032.68520000001</v>
      </c>
      <c r="EB60" s="1707">
        <f t="shared" si="29"/>
        <v>491604.71101000009</v>
      </c>
      <c r="EC60" s="1709">
        <f t="shared" si="29"/>
        <v>174922.91821</v>
      </c>
      <c r="ED60" s="1708">
        <f t="shared" si="29"/>
        <v>580501.0631400001</v>
      </c>
      <c r="EE60" s="1709">
        <f t="shared" si="29"/>
        <v>241128.49865000002</v>
      </c>
      <c r="EF60" s="1708">
        <v>654917.94735000003</v>
      </c>
      <c r="EG60" s="1709">
        <v>283671.45512</v>
      </c>
      <c r="EH60" s="1707">
        <v>731219.83220000006</v>
      </c>
      <c r="EI60" s="1709">
        <v>318614.51465999999</v>
      </c>
      <c r="EJ60" s="1707">
        <v>797624.83646999998</v>
      </c>
      <c r="EK60" s="1709">
        <v>359296.78415000008</v>
      </c>
      <c r="EL60" s="1707">
        <v>875132.42313999997</v>
      </c>
      <c r="EM60" s="1709">
        <v>400953.30405999999</v>
      </c>
      <c r="EN60" s="1707">
        <v>970822.75214</v>
      </c>
      <c r="EO60" s="1709">
        <v>433202.48518000002</v>
      </c>
      <c r="EP60" s="1707">
        <v>131814.05855000002</v>
      </c>
      <c r="EQ60" s="1709">
        <v>35168.425459999999</v>
      </c>
      <c r="ER60" s="1707">
        <v>221067.94497000001</v>
      </c>
      <c r="ES60" s="1709">
        <v>70514.391050000006</v>
      </c>
      <c r="ET60" s="1710">
        <v>346909.53104999999</v>
      </c>
      <c r="EU60" s="1711">
        <v>102289.68700000001</v>
      </c>
      <c r="EV60" s="1707">
        <v>467530.25753</v>
      </c>
      <c r="EW60" s="1709">
        <v>134601.68461</v>
      </c>
      <c r="EX60" s="1707">
        <v>566433.97491999995</v>
      </c>
      <c r="EY60" s="1709">
        <v>174436.19403999997</v>
      </c>
      <c r="EZ60" s="1707">
        <v>648945.42958</v>
      </c>
      <c r="FA60" s="1709">
        <v>225032.0625</v>
      </c>
      <c r="FB60" s="1707">
        <v>761801.01952999993</v>
      </c>
      <c r="FC60" s="1709">
        <v>282977.14317000005</v>
      </c>
      <c r="FD60" s="1707">
        <v>846854.45337999996</v>
      </c>
      <c r="FE60" s="1709">
        <v>345796.35090999998</v>
      </c>
      <c r="FF60" s="1707">
        <v>935934.68965000007</v>
      </c>
      <c r="FG60" s="1709">
        <v>400386.96116999991</v>
      </c>
      <c r="FH60" s="1707">
        <v>1019744.55481</v>
      </c>
      <c r="FI60" s="1709">
        <v>455011.70199999999</v>
      </c>
      <c r="FJ60" s="1710">
        <v>1108233.6728699999</v>
      </c>
      <c r="FK60" s="1711">
        <v>497466.31532999995</v>
      </c>
      <c r="FL60" s="1707">
        <v>1222537.16943</v>
      </c>
      <c r="FM60" s="1709">
        <v>587324.96776999999</v>
      </c>
      <c r="FN60" s="1707">
        <v>139113.54996999999</v>
      </c>
      <c r="FO60" s="1709">
        <v>38783.136230000004</v>
      </c>
      <c r="FP60" s="1707">
        <v>239718.83589999995</v>
      </c>
      <c r="FQ60" s="1709">
        <v>97434.382379999995</v>
      </c>
      <c r="FR60" s="1378" t="s">
        <v>3296</v>
      </c>
    </row>
    <row r="61" spans="1:174" s="1062" customFormat="1" ht="30" customHeight="1">
      <c r="A61" s="1461" t="s">
        <v>3356</v>
      </c>
      <c r="B61" s="1460"/>
      <c r="C61" s="1460"/>
      <c r="D61" s="1460"/>
      <c r="E61" s="1460"/>
      <c r="F61" s="1460"/>
      <c r="G61" s="1460"/>
      <c r="H61" s="1460"/>
      <c r="I61" s="1460"/>
      <c r="J61" s="1460"/>
      <c r="K61" s="1460"/>
      <c r="L61" s="1460"/>
      <c r="M61" s="1460"/>
      <c r="N61" s="1460"/>
      <c r="O61" s="1460"/>
      <c r="P61" s="1460"/>
      <c r="Q61" s="1460"/>
      <c r="R61" s="1460"/>
      <c r="S61" s="1460"/>
      <c r="T61" s="1460"/>
      <c r="U61" s="1460"/>
      <c r="V61" s="1460"/>
      <c r="W61" s="1460"/>
      <c r="X61" s="1460"/>
      <c r="Y61" s="1460"/>
      <c r="Z61" s="1460"/>
      <c r="AA61" s="1460"/>
      <c r="AB61" s="1460"/>
      <c r="AC61" s="1460"/>
      <c r="AD61" s="1460"/>
      <c r="AE61" s="1460"/>
      <c r="AF61" s="1460"/>
      <c r="AG61" s="1460"/>
      <c r="AH61" s="1460"/>
    </row>
    <row r="62" spans="1:174" ht="31.5" customHeight="1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7"/>
    </row>
    <row r="63" spans="1:174" ht="21" customHeight="1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6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Q63" s="456"/>
    </row>
    <row r="64" spans="1:174" ht="21" customHeight="1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2"/>
      <c r="Z64" s="452"/>
      <c r="AA64" s="452"/>
    </row>
    <row r="65" spans="2:27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  <c r="X65" s="452"/>
      <c r="Y65" s="452"/>
      <c r="Z65" s="452"/>
      <c r="AA65" s="452"/>
    </row>
    <row r="66" spans="2:27"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  <c r="X66" s="452"/>
      <c r="Y66" s="452"/>
      <c r="Z66" s="452"/>
      <c r="AA66" s="452"/>
    </row>
    <row r="67" spans="2:27"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</row>
    <row r="68" spans="2:27"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  <c r="X68" s="452"/>
      <c r="Y68" s="452"/>
      <c r="Z68" s="452"/>
      <c r="AA68" s="452"/>
    </row>
    <row r="69" spans="2:27">
      <c r="B69" s="452"/>
      <c r="C69" s="452"/>
      <c r="D69" s="452"/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52"/>
      <c r="Y69" s="452"/>
      <c r="Z69" s="452"/>
      <c r="AA69" s="452"/>
    </row>
    <row r="70" spans="2:27">
      <c r="B70" s="452"/>
      <c r="C70" s="452"/>
      <c r="D70" s="452"/>
      <c r="E70" s="452"/>
      <c r="F70" s="452"/>
      <c r="G70" s="452"/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  <c r="X70" s="452"/>
      <c r="Y70" s="452"/>
      <c r="Z70" s="452"/>
      <c r="AA70" s="452"/>
    </row>
    <row r="71" spans="2:27">
      <c r="B71" s="452"/>
      <c r="C71" s="452"/>
      <c r="D71" s="452"/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</row>
    <row r="72" spans="2:27">
      <c r="B72" s="452"/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  <c r="X72" s="452"/>
      <c r="Y72" s="452"/>
      <c r="Z72" s="452"/>
      <c r="AA72" s="452"/>
    </row>
    <row r="73" spans="2:27">
      <c r="B73" s="452"/>
      <c r="C73" s="452"/>
      <c r="D73" s="452"/>
      <c r="E73" s="452"/>
      <c r="F73" s="452"/>
      <c r="G73" s="452"/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  <c r="X73" s="452"/>
      <c r="Y73" s="452"/>
      <c r="Z73" s="452"/>
      <c r="AA73" s="452"/>
    </row>
    <row r="74" spans="2:27"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  <c r="X74" s="452"/>
      <c r="Y74" s="452"/>
      <c r="Z74" s="452"/>
      <c r="AA74" s="452"/>
    </row>
    <row r="75" spans="2:27"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  <c r="X75" s="452"/>
      <c r="Y75" s="452"/>
      <c r="Z75" s="452"/>
      <c r="AA75" s="452"/>
    </row>
    <row r="76" spans="2:27"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</row>
    <row r="77" spans="2:27">
      <c r="B77" s="452"/>
      <c r="C77" s="452"/>
      <c r="D77" s="452"/>
      <c r="E77" s="452"/>
      <c r="F77" s="452"/>
      <c r="G77" s="452"/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  <c r="X77" s="452"/>
      <c r="Y77" s="452"/>
      <c r="Z77" s="452"/>
      <c r="AA77" s="452"/>
    </row>
    <row r="78" spans="2:27">
      <c r="B78" s="452"/>
      <c r="C78" s="452"/>
      <c r="D78" s="452"/>
      <c r="E78" s="452"/>
      <c r="F78" s="452"/>
      <c r="G78" s="452"/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  <c r="X78" s="452"/>
      <c r="Y78" s="452"/>
      <c r="Z78" s="452"/>
      <c r="AA78" s="452"/>
    </row>
    <row r="79" spans="2:27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  <c r="Z79" s="452"/>
      <c r="AA79" s="452"/>
    </row>
    <row r="80" spans="2:27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  <c r="X80" s="452"/>
      <c r="Y80" s="452"/>
      <c r="Z80" s="452"/>
      <c r="AA80" s="452"/>
    </row>
    <row r="81" spans="2:27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  <c r="X81" s="452"/>
      <c r="Y81" s="452"/>
      <c r="Z81" s="452"/>
      <c r="AA81" s="452"/>
    </row>
    <row r="82" spans="2:27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  <c r="X82" s="452"/>
      <c r="Y82" s="452"/>
      <c r="Z82" s="452"/>
      <c r="AA82" s="452"/>
    </row>
    <row r="83" spans="2:27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  <c r="X83" s="452"/>
      <c r="Y83" s="452"/>
      <c r="Z83" s="452"/>
      <c r="AA83" s="452"/>
    </row>
    <row r="84" spans="2:27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  <c r="X84" s="452"/>
      <c r="Y84" s="452"/>
      <c r="Z84" s="452"/>
      <c r="AA84" s="452"/>
    </row>
    <row r="85" spans="2:27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  <c r="X85" s="452"/>
      <c r="Y85" s="452"/>
      <c r="Z85" s="452"/>
      <c r="AA85" s="452"/>
    </row>
    <row r="86" spans="2:27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  <c r="X86" s="452"/>
      <c r="Y86" s="452"/>
      <c r="Z86" s="452"/>
      <c r="AA86" s="452"/>
    </row>
    <row r="87" spans="2:27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</row>
    <row r="88" spans="2:27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  <c r="Z88" s="452"/>
      <c r="AA88" s="452"/>
    </row>
    <row r="89" spans="2:27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  <c r="X89" s="452"/>
      <c r="Y89" s="452"/>
      <c r="Z89" s="452"/>
      <c r="AA89" s="452"/>
    </row>
    <row r="90" spans="2:27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</row>
    <row r="91" spans="2:27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  <c r="X91" s="452"/>
      <c r="Y91" s="452"/>
      <c r="Z91" s="452"/>
      <c r="AA91" s="452"/>
    </row>
    <row r="92" spans="2:27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  <c r="X92" s="452"/>
      <c r="Y92" s="452"/>
      <c r="Z92" s="452"/>
      <c r="AA92" s="452"/>
    </row>
    <row r="93" spans="2:27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  <c r="X93" s="452"/>
      <c r="Y93" s="452"/>
      <c r="Z93" s="452"/>
      <c r="AA93" s="452"/>
    </row>
    <row r="94" spans="2:27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  <c r="X94" s="452"/>
      <c r="Y94" s="452"/>
      <c r="Z94" s="452"/>
      <c r="AA94" s="452"/>
    </row>
    <row r="95" spans="2:27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  <c r="X95" s="452"/>
      <c r="Y95" s="452"/>
      <c r="Z95" s="452"/>
      <c r="AA95" s="452"/>
    </row>
    <row r="96" spans="2:27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  <c r="X96" s="452"/>
      <c r="Y96" s="452"/>
      <c r="Z96" s="452"/>
      <c r="AA96" s="452"/>
    </row>
    <row r="97" spans="2:27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  <c r="X97" s="452"/>
      <c r="Y97" s="452"/>
      <c r="Z97" s="452"/>
      <c r="AA97" s="452"/>
    </row>
    <row r="98" spans="2:27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  <c r="X98" s="452"/>
      <c r="Y98" s="452"/>
      <c r="Z98" s="452"/>
      <c r="AA98" s="452"/>
    </row>
    <row r="99" spans="2:27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  <c r="X99" s="452"/>
      <c r="Y99" s="452"/>
      <c r="Z99" s="452"/>
      <c r="AA99" s="452"/>
    </row>
    <row r="100" spans="2:27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  <c r="X100" s="452"/>
      <c r="Y100" s="452"/>
      <c r="Z100" s="452"/>
      <c r="AA100" s="452"/>
    </row>
    <row r="101" spans="2:27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  <c r="X101" s="452"/>
      <c r="Y101" s="452"/>
      <c r="Z101" s="452"/>
      <c r="AA101" s="452"/>
    </row>
    <row r="102" spans="2:27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  <c r="X102" s="452"/>
      <c r="Y102" s="452"/>
      <c r="Z102" s="452"/>
      <c r="AA102" s="452"/>
    </row>
    <row r="103" spans="2:27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  <c r="X103" s="452"/>
      <c r="Y103" s="452"/>
      <c r="Z103" s="452"/>
      <c r="AA103" s="452"/>
    </row>
    <row r="104" spans="2:27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  <c r="X104" s="452"/>
      <c r="Y104" s="452"/>
      <c r="Z104" s="452"/>
      <c r="AA104" s="452"/>
    </row>
    <row r="105" spans="2:27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  <c r="Z105" s="452"/>
      <c r="AA105" s="452"/>
    </row>
    <row r="106" spans="2:27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  <c r="X106" s="452"/>
      <c r="Y106" s="452"/>
      <c r="Z106" s="452"/>
      <c r="AA106" s="452"/>
    </row>
    <row r="107" spans="2:27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  <c r="X107" s="452"/>
      <c r="Y107" s="452"/>
      <c r="Z107" s="452"/>
      <c r="AA107" s="452"/>
    </row>
    <row r="108" spans="2:27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  <c r="X108" s="452"/>
      <c r="Y108" s="452"/>
      <c r="Z108" s="452"/>
      <c r="AA108" s="452"/>
    </row>
    <row r="109" spans="2:27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2"/>
      <c r="Z109" s="452"/>
      <c r="AA109" s="452"/>
    </row>
    <row r="110" spans="2:27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2"/>
      <c r="Z110" s="452"/>
      <c r="AA110" s="452"/>
    </row>
    <row r="111" spans="2:27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2"/>
      <c r="Z111" s="452"/>
      <c r="AA111" s="452"/>
    </row>
    <row r="112" spans="2:27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2"/>
      <c r="Z112" s="452"/>
      <c r="AA112" s="452"/>
    </row>
    <row r="113" spans="2:27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S113" s="452"/>
      <c r="T113" s="452"/>
      <c r="U113" s="452"/>
      <c r="V113" s="452"/>
      <c r="W113" s="452"/>
      <c r="X113" s="452"/>
      <c r="Y113" s="452"/>
      <c r="Z113" s="452"/>
      <c r="AA113" s="452"/>
    </row>
    <row r="114" spans="2:27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S114" s="452"/>
      <c r="T114" s="452"/>
      <c r="U114" s="452"/>
      <c r="V114" s="452"/>
      <c r="W114" s="452"/>
      <c r="X114" s="452"/>
      <c r="Y114" s="452"/>
      <c r="Z114" s="452"/>
      <c r="AA114" s="452"/>
    </row>
    <row r="115" spans="2:27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S115" s="452"/>
      <c r="T115" s="452"/>
      <c r="U115" s="452"/>
      <c r="V115" s="452"/>
      <c r="W115" s="452"/>
      <c r="X115" s="452"/>
      <c r="Y115" s="452"/>
      <c r="Z115" s="452"/>
      <c r="AA115" s="452"/>
    </row>
    <row r="116" spans="2:27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S116" s="452"/>
      <c r="T116" s="452"/>
      <c r="U116" s="452"/>
      <c r="V116" s="452"/>
      <c r="W116" s="452"/>
      <c r="X116" s="452"/>
      <c r="Y116" s="452"/>
      <c r="Z116" s="452"/>
      <c r="AA116" s="452"/>
    </row>
    <row r="117" spans="2:27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S117" s="452"/>
      <c r="T117" s="452"/>
      <c r="U117" s="452"/>
      <c r="V117" s="452"/>
      <c r="W117" s="452"/>
      <c r="X117" s="452"/>
      <c r="Y117" s="452"/>
      <c r="Z117" s="452"/>
      <c r="AA117" s="452"/>
    </row>
    <row r="118" spans="2:27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S118" s="452"/>
      <c r="T118" s="452"/>
      <c r="U118" s="452"/>
      <c r="V118" s="452"/>
      <c r="W118" s="452"/>
      <c r="X118" s="452"/>
      <c r="Y118" s="452"/>
      <c r="Z118" s="452"/>
      <c r="AA118" s="452"/>
    </row>
    <row r="132" spans="54:54">
      <c r="BB132" s="1333"/>
    </row>
    <row r="133" spans="54:54">
      <c r="BB133" s="1333"/>
    </row>
  </sheetData>
  <mergeCells count="185">
    <mergeCell ref="EP6:FM6"/>
    <mergeCell ref="FJ7:FK7"/>
    <mergeCell ref="FJ8:FK8"/>
    <mergeCell ref="FR6:FR10"/>
    <mergeCell ref="A6:A10"/>
    <mergeCell ref="EF8:EG8"/>
    <mergeCell ref="FP8:FQ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FP7:FQ7"/>
    <mergeCell ref="DV7:DW7"/>
    <mergeCell ref="FH7:FI7"/>
    <mergeCell ref="FH8:FI8"/>
    <mergeCell ref="FL7:FM7"/>
    <mergeCell ref="FL8:FM8"/>
    <mergeCell ref="A2:FR2"/>
    <mergeCell ref="A3:FR3"/>
    <mergeCell ref="FP5:FR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AL7:AM7"/>
    <mergeCell ref="AN7:AO7"/>
    <mergeCell ref="AP7:AQ7"/>
    <mergeCell ref="AD7:AE7"/>
    <mergeCell ref="AX8:AY8"/>
    <mergeCell ref="AP8:AQ8"/>
    <mergeCell ref="AB8:AC8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FN7:FO7"/>
    <mergeCell ref="FN8:FO8"/>
    <mergeCell ref="FN6:FQ6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CR7:CS7"/>
    <mergeCell ref="CN7:CO7"/>
    <mergeCell ref="BZ8:CA8"/>
    <mergeCell ref="CB8:CC8"/>
  </mergeCells>
  <pageMargins left="0.7" right="0.7" top="0.25" bottom="0.23" header="0.3" footer="0.3"/>
  <pageSetup scale="22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8"/>
  <sheetViews>
    <sheetView showGridLines="0" view="pageBreakPreview" zoomScaleNormal="100" zoomScaleSheetLayoutView="100" workbookViewId="0">
      <pane xSplit="23" ySplit="8" topLeftCell="X117" activePane="bottomRight" state="frozen"/>
      <selection activeCell="G291" sqref="G291"/>
      <selection pane="topRight" activeCell="G291" sqref="G291"/>
      <selection pane="bottomLeft" activeCell="G291" sqref="G291"/>
      <selection pane="bottomRight" activeCell="Z140" sqref="Z140"/>
    </sheetView>
  </sheetViews>
  <sheetFormatPr defaultColWidth="9.109375" defaultRowHeight="13.8"/>
  <cols>
    <col min="1" max="1" width="9.33203125" style="1097" customWidth="1"/>
    <col min="2" max="23" width="8.88671875" style="1097" customWidth="1"/>
    <col min="24" max="16384" width="9.109375" style="1097"/>
  </cols>
  <sheetData>
    <row r="1" spans="1:23" ht="10.5" customHeight="1"/>
    <row r="2" spans="1:23" ht="20.25" customHeight="1">
      <c r="A2" s="2867" t="s">
        <v>3188</v>
      </c>
      <c r="B2" s="2867"/>
      <c r="C2" s="2867"/>
      <c r="D2" s="2867"/>
      <c r="E2" s="2867"/>
      <c r="F2" s="2867"/>
      <c r="G2" s="2867"/>
      <c r="H2" s="2867"/>
      <c r="I2" s="2867"/>
      <c r="J2" s="2867"/>
      <c r="K2" s="2867"/>
      <c r="L2" s="2867"/>
      <c r="M2" s="2867"/>
      <c r="N2" s="2867"/>
      <c r="O2" s="2867"/>
      <c r="P2" s="2867"/>
      <c r="Q2" s="2867"/>
      <c r="R2" s="2867"/>
      <c r="S2" s="2867"/>
      <c r="T2" s="2867"/>
      <c r="U2" s="2867"/>
      <c r="V2" s="2867"/>
      <c r="W2" s="2867"/>
    </row>
    <row r="3" spans="1:23" ht="27" customHeight="1">
      <c r="A3" s="2868" t="s">
        <v>3189</v>
      </c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2868"/>
      <c r="M3" s="2868"/>
      <c r="N3" s="2868"/>
      <c r="O3" s="2868"/>
      <c r="P3" s="2868"/>
      <c r="Q3" s="2868"/>
      <c r="R3" s="2868"/>
      <c r="S3" s="2868"/>
      <c r="T3" s="2868"/>
      <c r="U3" s="2868"/>
      <c r="V3" s="2868"/>
      <c r="W3" s="2868"/>
    </row>
    <row r="4" spans="1:23" ht="12.75" customHeight="1">
      <c r="A4" s="1297"/>
      <c r="B4" s="1297"/>
      <c r="C4" s="1297"/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</row>
    <row r="5" spans="1:23" ht="12.7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</row>
    <row r="6" spans="1:23" ht="23.25" customHeight="1">
      <c r="A6" s="2869" t="s">
        <v>182</v>
      </c>
      <c r="B6" s="2862" t="s">
        <v>3095</v>
      </c>
      <c r="C6" s="2862"/>
      <c r="D6" s="2862"/>
      <c r="E6" s="2862"/>
      <c r="F6" s="2862"/>
      <c r="G6" s="2862"/>
      <c r="H6" s="2862" t="s">
        <v>3096</v>
      </c>
      <c r="I6" s="2862"/>
      <c r="J6" s="2862"/>
      <c r="K6" s="2862"/>
      <c r="L6" s="2862"/>
      <c r="M6" s="2862"/>
      <c r="N6" s="2862" t="s">
        <v>3097</v>
      </c>
      <c r="O6" s="2862"/>
      <c r="P6" s="2862"/>
      <c r="Q6" s="2862"/>
      <c r="R6" s="2862"/>
      <c r="S6" s="2862" t="s">
        <v>3098</v>
      </c>
      <c r="T6" s="2862"/>
      <c r="U6" s="2862"/>
      <c r="V6" s="2862"/>
      <c r="W6" s="2862"/>
    </row>
    <row r="7" spans="1:23" ht="23.25" customHeight="1">
      <c r="A7" s="2869"/>
      <c r="B7" s="2862" t="s">
        <v>3099</v>
      </c>
      <c r="C7" s="2862"/>
      <c r="D7" s="2862"/>
      <c r="E7" s="2862" t="s">
        <v>3100</v>
      </c>
      <c r="F7" s="2862"/>
      <c r="G7" s="2863" t="s">
        <v>3101</v>
      </c>
      <c r="H7" s="2864" t="s">
        <v>3102</v>
      </c>
      <c r="I7" s="2864"/>
      <c r="J7" s="2862" t="s">
        <v>3103</v>
      </c>
      <c r="K7" s="2862"/>
      <c r="L7" s="2865" t="s">
        <v>3104</v>
      </c>
      <c r="M7" s="2863" t="s">
        <v>3105</v>
      </c>
      <c r="N7" s="2862" t="s">
        <v>3102</v>
      </c>
      <c r="O7" s="2862"/>
      <c r="P7" s="2862" t="s">
        <v>3103</v>
      </c>
      <c r="Q7" s="2862"/>
      <c r="R7" s="2863" t="s">
        <v>3625</v>
      </c>
      <c r="S7" s="2862" t="s">
        <v>3102</v>
      </c>
      <c r="T7" s="2862"/>
      <c r="U7" s="2862" t="s">
        <v>3103</v>
      </c>
      <c r="V7" s="2862"/>
      <c r="W7" s="2863" t="s">
        <v>3106</v>
      </c>
    </row>
    <row r="8" spans="1:23" s="1320" customFormat="1" ht="126.75" customHeight="1">
      <c r="A8" s="2869"/>
      <c r="B8" s="1409" t="s">
        <v>3107</v>
      </c>
      <c r="C8" s="1409" t="s">
        <v>3108</v>
      </c>
      <c r="D8" s="1409" t="s">
        <v>3109</v>
      </c>
      <c r="E8" s="1409" t="s">
        <v>3110</v>
      </c>
      <c r="F8" s="1409" t="s">
        <v>3111</v>
      </c>
      <c r="G8" s="2863"/>
      <c r="H8" s="1409" t="s">
        <v>3112</v>
      </c>
      <c r="I8" s="1409" t="s">
        <v>3113</v>
      </c>
      <c r="J8" s="1409" t="s">
        <v>3114</v>
      </c>
      <c r="K8" s="1409" t="s">
        <v>3111</v>
      </c>
      <c r="L8" s="2865"/>
      <c r="M8" s="2863"/>
      <c r="N8" s="1409" t="s">
        <v>3115</v>
      </c>
      <c r="O8" s="1409" t="s">
        <v>3116</v>
      </c>
      <c r="P8" s="1409" t="s">
        <v>3117</v>
      </c>
      <c r="Q8" s="1409" t="s">
        <v>3111</v>
      </c>
      <c r="R8" s="2863"/>
      <c r="S8" s="1409" t="s">
        <v>3118</v>
      </c>
      <c r="T8" s="1409" t="s">
        <v>3119</v>
      </c>
      <c r="U8" s="1409" t="s">
        <v>3120</v>
      </c>
      <c r="V8" s="1409" t="s">
        <v>3111</v>
      </c>
      <c r="W8" s="2863"/>
    </row>
    <row r="9" spans="1:23" ht="23.25" customHeight="1">
      <c r="A9" s="2862" t="s">
        <v>304</v>
      </c>
      <c r="B9" s="2862" t="s">
        <v>3121</v>
      </c>
      <c r="C9" s="2862"/>
      <c r="D9" s="2862"/>
      <c r="E9" s="2862"/>
      <c r="F9" s="2862"/>
      <c r="G9" s="2862"/>
      <c r="H9" s="2862" t="s">
        <v>3122</v>
      </c>
      <c r="I9" s="2862"/>
      <c r="J9" s="2862"/>
      <c r="K9" s="2862"/>
      <c r="L9" s="2862"/>
      <c r="M9" s="2862"/>
      <c r="N9" s="2862" t="s">
        <v>3123</v>
      </c>
      <c r="O9" s="2862"/>
      <c r="P9" s="2862"/>
      <c r="Q9" s="2862"/>
      <c r="R9" s="2862"/>
      <c r="S9" s="2862" t="s">
        <v>3124</v>
      </c>
      <c r="T9" s="2862"/>
      <c r="U9" s="2862"/>
      <c r="V9" s="2862"/>
      <c r="W9" s="2862"/>
    </row>
    <row r="10" spans="1:23" ht="23.25" customHeight="1">
      <c r="A10" s="2862"/>
      <c r="B10" s="2862" t="s">
        <v>3125</v>
      </c>
      <c r="C10" s="2862"/>
      <c r="D10" s="2862"/>
      <c r="E10" s="2862" t="s">
        <v>3126</v>
      </c>
      <c r="F10" s="2862"/>
      <c r="G10" s="2863" t="s">
        <v>3127</v>
      </c>
      <c r="H10" s="2864" t="s">
        <v>3125</v>
      </c>
      <c r="I10" s="2864"/>
      <c r="J10" s="2862" t="s">
        <v>3126</v>
      </c>
      <c r="K10" s="2862"/>
      <c r="L10" s="2865" t="s">
        <v>3128</v>
      </c>
      <c r="M10" s="2866" t="s">
        <v>3129</v>
      </c>
      <c r="N10" s="2864" t="s">
        <v>3125</v>
      </c>
      <c r="O10" s="2864"/>
      <c r="P10" s="2862" t="s">
        <v>3126</v>
      </c>
      <c r="Q10" s="2862"/>
      <c r="R10" s="2863" t="s">
        <v>3130</v>
      </c>
      <c r="S10" s="2864" t="s">
        <v>3125</v>
      </c>
      <c r="T10" s="2864"/>
      <c r="U10" s="2862" t="s">
        <v>3126</v>
      </c>
      <c r="V10" s="2862"/>
      <c r="W10" s="2863" t="s">
        <v>3131</v>
      </c>
    </row>
    <row r="11" spans="1:23" s="1320" customFormat="1" ht="180.75" customHeight="1">
      <c r="A11" s="2862"/>
      <c r="B11" s="1410" t="s">
        <v>3132</v>
      </c>
      <c r="C11" s="1409" t="s">
        <v>3133</v>
      </c>
      <c r="D11" s="1409" t="s">
        <v>3134</v>
      </c>
      <c r="E11" s="1409" t="s">
        <v>3135</v>
      </c>
      <c r="F11" s="1409" t="s">
        <v>3136</v>
      </c>
      <c r="G11" s="2863"/>
      <c r="H11" s="1409" t="s">
        <v>3137</v>
      </c>
      <c r="I11" s="1409" t="s">
        <v>3133</v>
      </c>
      <c r="J11" s="1409" t="s">
        <v>3138</v>
      </c>
      <c r="K11" s="1409" t="s">
        <v>3139</v>
      </c>
      <c r="L11" s="2865"/>
      <c r="M11" s="2866"/>
      <c r="N11" s="1409" t="s">
        <v>3140</v>
      </c>
      <c r="O11" s="1409" t="s">
        <v>3141</v>
      </c>
      <c r="P11" s="1409" t="s">
        <v>3142</v>
      </c>
      <c r="Q11" s="1409" t="s">
        <v>3136</v>
      </c>
      <c r="R11" s="2863"/>
      <c r="S11" s="1409" t="s">
        <v>3143</v>
      </c>
      <c r="T11" s="1409" t="s">
        <v>3144</v>
      </c>
      <c r="U11" s="1409" t="s">
        <v>3145</v>
      </c>
      <c r="V11" s="1409" t="s">
        <v>3136</v>
      </c>
      <c r="W11" s="2863"/>
    </row>
    <row r="12" spans="1:23" s="1320" customFormat="1" ht="17.25" customHeight="1">
      <c r="A12" s="1411">
        <v>2015</v>
      </c>
      <c r="B12" s="1413"/>
      <c r="C12" s="1413"/>
      <c r="D12" s="1412"/>
      <c r="E12" s="1413"/>
      <c r="F12" s="1412"/>
      <c r="G12" s="1413"/>
      <c r="H12" s="1413"/>
      <c r="I12" s="1413"/>
      <c r="J12" s="1413"/>
      <c r="K12" s="1413"/>
      <c r="L12" s="1413"/>
      <c r="M12" s="1413"/>
      <c r="N12" s="1413"/>
      <c r="O12" s="1413"/>
      <c r="P12" s="1413"/>
      <c r="Q12" s="1413"/>
      <c r="R12" s="1413"/>
      <c r="S12" s="1413"/>
      <c r="T12" s="1413"/>
      <c r="U12" s="1413"/>
      <c r="V12" s="1413"/>
      <c r="W12" s="1413"/>
    </row>
    <row r="13" spans="1:23" s="1320" customFormat="1" ht="17.25" customHeight="1">
      <c r="A13" s="1411">
        <v>1</v>
      </c>
      <c r="B13" s="1414">
        <v>-1.83</v>
      </c>
      <c r="C13" s="1414">
        <v>-28.86</v>
      </c>
      <c r="D13" s="1321">
        <v>0.18</v>
      </c>
      <c r="E13" s="1414">
        <v>-16.91</v>
      </c>
      <c r="F13" s="1321">
        <v>-1.57</v>
      </c>
      <c r="G13" s="1416">
        <v>-6.31</v>
      </c>
      <c r="H13" s="1414">
        <v>-16.760000000000002</v>
      </c>
      <c r="I13" s="1414">
        <v>-22.8</v>
      </c>
      <c r="J13" s="1414">
        <v>35.9</v>
      </c>
      <c r="K13" s="1414">
        <v>0</v>
      </c>
      <c r="L13" s="1414">
        <v>30</v>
      </c>
      <c r="M13" s="1416">
        <v>6.56</v>
      </c>
      <c r="N13" s="1414">
        <v>-10.430342815463165</v>
      </c>
      <c r="O13" s="1414">
        <v>22.27084852905422</v>
      </c>
      <c r="P13" s="1414">
        <v>-41.235108193532696</v>
      </c>
      <c r="Q13" s="1414">
        <v>-13.809871140286896</v>
      </c>
      <c r="R13" s="1416">
        <v>-24.645433179350029</v>
      </c>
      <c r="S13" s="1414">
        <v>9.7676623992413454</v>
      </c>
      <c r="T13" s="1414">
        <v>9.9288762446657177</v>
      </c>
      <c r="U13" s="1414">
        <v>-5.3959222380275014</v>
      </c>
      <c r="V13" s="1414">
        <v>-1.5362731152204843</v>
      </c>
      <c r="W13" s="1416">
        <v>4.7668721352931884</v>
      </c>
    </row>
    <row r="14" spans="1:23" ht="15.6">
      <c r="A14" s="1411">
        <v>2</v>
      </c>
      <c r="B14" s="1414">
        <v>-17.43</v>
      </c>
      <c r="C14" s="1414">
        <v>-26.51</v>
      </c>
      <c r="D14" s="1321">
        <v>-7.51</v>
      </c>
      <c r="E14" s="1414">
        <v>-2.78</v>
      </c>
      <c r="F14" s="1321">
        <v>3.14</v>
      </c>
      <c r="G14" s="1416">
        <v>-4.24</v>
      </c>
      <c r="H14" s="1414">
        <v>31.18</v>
      </c>
      <c r="I14" s="1414">
        <v>-21.81</v>
      </c>
      <c r="J14" s="1414">
        <v>38.700000000000003</v>
      </c>
      <c r="K14" s="1414">
        <v>0</v>
      </c>
      <c r="L14" s="1414">
        <v>29.4</v>
      </c>
      <c r="M14" s="1416">
        <v>8.44</v>
      </c>
      <c r="N14" s="1414">
        <v>-65.134938001458778</v>
      </c>
      <c r="O14" s="1414">
        <v>21.711646000486262</v>
      </c>
      <c r="P14" s="1414">
        <v>-41.235108193532696</v>
      </c>
      <c r="Q14" s="1414">
        <v>-11.062484804279116</v>
      </c>
      <c r="R14" s="1416">
        <v>-42.693897398492581</v>
      </c>
      <c r="S14" s="1414">
        <v>-12.626981866514765</v>
      </c>
      <c r="T14" s="1414">
        <v>-12.475078325263459</v>
      </c>
      <c r="U14" s="1414">
        <v>-10.490838317668281</v>
      </c>
      <c r="V14" s="1414">
        <v>6.2280451913035222</v>
      </c>
      <c r="W14" s="1416">
        <v>-11.864299503148834</v>
      </c>
    </row>
    <row r="15" spans="1:23" ht="15.6">
      <c r="A15" s="1411">
        <v>3</v>
      </c>
      <c r="B15" s="1414">
        <v>-29.75</v>
      </c>
      <c r="C15" s="1414">
        <v>-16.16</v>
      </c>
      <c r="D15" s="1321">
        <v>-10.83</v>
      </c>
      <c r="E15" s="1414">
        <v>11.87</v>
      </c>
      <c r="F15" s="1321">
        <v>27.2</v>
      </c>
      <c r="G15" s="1416">
        <v>-2.35</v>
      </c>
      <c r="H15" s="1414">
        <v>37.42</v>
      </c>
      <c r="I15" s="1414">
        <v>-32.409999999999997</v>
      </c>
      <c r="J15" s="1414">
        <v>39.200000000000003</v>
      </c>
      <c r="K15" s="1414">
        <v>-1.38</v>
      </c>
      <c r="L15" s="1414">
        <v>21.1</v>
      </c>
      <c r="M15" s="1416">
        <v>3.4</v>
      </c>
      <c r="N15" s="1414">
        <v>-65.177270519669733</v>
      </c>
      <c r="O15" s="1414">
        <v>30.451675570665376</v>
      </c>
      <c r="P15" s="1414">
        <v>-68.698397280233138</v>
      </c>
      <c r="Q15" s="1414">
        <v>-11.049052938319573</v>
      </c>
      <c r="R15" s="1416">
        <v>-54.775781123522748</v>
      </c>
      <c r="S15" s="1414">
        <v>-4.8134434634007421</v>
      </c>
      <c r="T15" s="1414">
        <v>-4.6615399221494362</v>
      </c>
      <c r="U15" s="1414">
        <v>-10.490838317668281</v>
      </c>
      <c r="V15" s="1414">
        <v>6.2280451913035222</v>
      </c>
      <c r="W15" s="1416">
        <v>-6.6552739010728201</v>
      </c>
    </row>
    <row r="16" spans="1:23" ht="15.6">
      <c r="A16" s="1411">
        <v>4</v>
      </c>
      <c r="B16" s="1414">
        <v>-26.46</v>
      </c>
      <c r="C16" s="1414">
        <v>-27.24</v>
      </c>
      <c r="D16" s="1321">
        <v>-0.71</v>
      </c>
      <c r="E16" s="1414">
        <v>29.68</v>
      </c>
      <c r="F16" s="1321">
        <v>16.690000000000001</v>
      </c>
      <c r="G16" s="1416">
        <v>1.31</v>
      </c>
      <c r="H16" s="1414">
        <v>-25.37</v>
      </c>
      <c r="I16" s="1414">
        <v>-32.020000000000003</v>
      </c>
      <c r="J16" s="1414">
        <v>6.9</v>
      </c>
      <c r="K16" s="1414">
        <v>-0.72</v>
      </c>
      <c r="L16" s="1414">
        <v>18.399999999999999</v>
      </c>
      <c r="M16" s="1416">
        <v>-12.58</v>
      </c>
      <c r="N16" s="1414">
        <v>-63.447609850313853</v>
      </c>
      <c r="O16" s="1414">
        <v>25.494929985514243</v>
      </c>
      <c r="P16" s="1414">
        <v>-65.25832930951232</v>
      </c>
      <c r="Q16" s="1414">
        <v>-9.005311443746983</v>
      </c>
      <c r="R16" s="1416">
        <v>-51.400289715113473</v>
      </c>
      <c r="S16" s="1414">
        <v>-3.9994363550962908</v>
      </c>
      <c r="T16" s="1414">
        <v>-4.0938468764678264</v>
      </c>
      <c r="U16" s="1414">
        <v>-10.136214185063412</v>
      </c>
      <c r="V16" s="1414">
        <v>6.1625176139032423</v>
      </c>
      <c r="W16" s="1416">
        <v>-6.0764991388758416</v>
      </c>
    </row>
    <row r="17" spans="1:23" ht="15.6">
      <c r="A17" s="1411">
        <v>5</v>
      </c>
      <c r="B17" s="1414">
        <v>2.74</v>
      </c>
      <c r="C17" s="1414">
        <v>-32.409999999999997</v>
      </c>
      <c r="D17" s="1321">
        <v>-4.97</v>
      </c>
      <c r="E17" s="1414">
        <v>15.25</v>
      </c>
      <c r="F17" s="1321">
        <v>4.97</v>
      </c>
      <c r="G17" s="1416">
        <v>7.66</v>
      </c>
      <c r="H17" s="1414">
        <v>-40.51</v>
      </c>
      <c r="I17" s="1414">
        <v>-45.48</v>
      </c>
      <c r="J17" s="1414">
        <v>-9</v>
      </c>
      <c r="K17" s="1414">
        <v>0</v>
      </c>
      <c r="L17" s="1414">
        <v>17.7</v>
      </c>
      <c r="M17" s="1416">
        <v>-27.25</v>
      </c>
      <c r="N17" s="1414">
        <v>-47.672672672672675</v>
      </c>
      <c r="O17" s="1414">
        <v>-5.0300300300300318</v>
      </c>
      <c r="P17" s="1414">
        <v>-0.30030030030030019</v>
      </c>
      <c r="Q17" s="1414">
        <v>-13.36336336336336</v>
      </c>
      <c r="R17" s="1416">
        <v>-14.314314314314315</v>
      </c>
      <c r="S17" s="1414">
        <v>-0.47728341642366706</v>
      </c>
      <c r="T17" s="1414">
        <v>-0.57181826733139018</v>
      </c>
      <c r="U17" s="1414">
        <v>-7.4781299971780637</v>
      </c>
      <c r="V17" s="1414">
        <v>6.1706330542752328</v>
      </c>
      <c r="W17" s="1416">
        <v>-2.8424105603110403</v>
      </c>
    </row>
    <row r="18" spans="1:23" ht="15.6">
      <c r="A18" s="1411">
        <v>6</v>
      </c>
      <c r="B18" s="1414">
        <v>6.54</v>
      </c>
      <c r="C18" s="1414">
        <v>-30.31</v>
      </c>
      <c r="D18" s="1321">
        <v>-14.35</v>
      </c>
      <c r="E18" s="1414">
        <v>14.19</v>
      </c>
      <c r="F18" s="1321">
        <v>3.51</v>
      </c>
      <c r="G18" s="1416">
        <v>11.69</v>
      </c>
      <c r="H18" s="1414">
        <v>11.36</v>
      </c>
      <c r="I18" s="1414">
        <v>-23.62</v>
      </c>
      <c r="J18" s="1414">
        <v>11.4</v>
      </c>
      <c r="K18" s="1414">
        <v>0</v>
      </c>
      <c r="L18" s="1414">
        <v>17</v>
      </c>
      <c r="M18" s="1416">
        <v>-6.12</v>
      </c>
      <c r="N18" s="1414">
        <v>4.527966854098846</v>
      </c>
      <c r="O18" s="1414">
        <v>-20.242675347736011</v>
      </c>
      <c r="P18" s="1414">
        <v>-17.076058005327027</v>
      </c>
      <c r="Q18" s="1414">
        <v>-7.1026931044687771</v>
      </c>
      <c r="R18" s="1416">
        <v>2.5648613988359426</v>
      </c>
      <c r="S18" s="1414">
        <v>2.8324558104550581</v>
      </c>
      <c r="T18" s="1414">
        <v>2.8977999247837527</v>
      </c>
      <c r="U18" s="1414">
        <v>-10.981572019556223</v>
      </c>
      <c r="V18" s="1414">
        <v>-0.89319292967280961</v>
      </c>
      <c r="W18" s="1416">
        <v>-1.7504387614391381</v>
      </c>
    </row>
    <row r="19" spans="1:23" ht="15.6">
      <c r="A19" s="1411">
        <v>7</v>
      </c>
      <c r="B19" s="1414">
        <v>11.02</v>
      </c>
      <c r="C19" s="1414">
        <v>-38.369999999999997</v>
      </c>
      <c r="D19" s="1321">
        <v>-10.84</v>
      </c>
      <c r="E19" s="1414">
        <v>23.97</v>
      </c>
      <c r="F19" s="1321">
        <v>5.38</v>
      </c>
      <c r="G19" s="1416">
        <v>15.28</v>
      </c>
      <c r="H19" s="1414">
        <v>13.8</v>
      </c>
      <c r="I19" s="1414">
        <v>-25.15</v>
      </c>
      <c r="J19" s="1414">
        <v>10.4</v>
      </c>
      <c r="K19" s="1414">
        <v>0</v>
      </c>
      <c r="L19" s="1414">
        <v>16.3</v>
      </c>
      <c r="M19" s="1416">
        <v>-7.37</v>
      </c>
      <c r="N19" s="1414">
        <v>-4.2502951593860665</v>
      </c>
      <c r="O19" s="1414">
        <v>2.9811097992916178</v>
      </c>
      <c r="P19" s="1414">
        <v>30.696576151121608</v>
      </c>
      <c r="Q19" s="1414">
        <v>-6.9362455726092085</v>
      </c>
      <c r="R19" s="1416">
        <v>7.8217237308146403</v>
      </c>
      <c r="S19" s="1414">
        <v>-1.3762515369752315</v>
      </c>
      <c r="T19" s="1414">
        <v>-2.5271385912524154</v>
      </c>
      <c r="U19" s="1414">
        <v>-4.177937818373441</v>
      </c>
      <c r="V19" s="1414">
        <v>-0.15808888108203073</v>
      </c>
      <c r="W19" s="1416">
        <v>-2.6937759822003624</v>
      </c>
    </row>
    <row r="20" spans="1:23" ht="15.6">
      <c r="A20" s="1411">
        <v>8</v>
      </c>
      <c r="B20" s="1414">
        <v>-3.18</v>
      </c>
      <c r="C20" s="1414">
        <v>-30.52</v>
      </c>
      <c r="D20" s="1321">
        <v>-7.21</v>
      </c>
      <c r="E20" s="1414">
        <v>20.03</v>
      </c>
      <c r="F20" s="1321">
        <v>5.78</v>
      </c>
      <c r="G20" s="1416">
        <v>8.02</v>
      </c>
      <c r="H20" s="1414">
        <v>11.15</v>
      </c>
      <c r="I20" s="1414">
        <v>-26.94</v>
      </c>
      <c r="J20" s="1414">
        <v>10.4</v>
      </c>
      <c r="K20" s="1414">
        <v>0</v>
      </c>
      <c r="L20" s="1414">
        <v>16.3</v>
      </c>
      <c r="M20" s="1416">
        <v>-8.26</v>
      </c>
      <c r="N20" s="1414">
        <v>-69.526387009472259</v>
      </c>
      <c r="O20" s="1414">
        <v>1.5967523680649529</v>
      </c>
      <c r="P20" s="1414">
        <v>-1.0825439783491255</v>
      </c>
      <c r="Q20" s="1414">
        <v>-12.15155615696888</v>
      </c>
      <c r="R20" s="1416">
        <v>-24.068561118628775</v>
      </c>
      <c r="S20" s="1414">
        <v>-2.0080779699710254</v>
      </c>
      <c r="T20" s="1414">
        <v>-3.1586618667134956</v>
      </c>
      <c r="U20" s="1414">
        <v>-3.8519624198788298</v>
      </c>
      <c r="V20" s="1414">
        <v>-0.15804723856352665</v>
      </c>
      <c r="W20" s="1416">
        <v>-3.0062340855211169</v>
      </c>
    </row>
    <row r="21" spans="1:23" ht="15.6">
      <c r="A21" s="1411">
        <v>9</v>
      </c>
      <c r="B21" s="1414">
        <v>-6.81</v>
      </c>
      <c r="C21" s="1414">
        <v>-37.200000000000003</v>
      </c>
      <c r="D21" s="1321">
        <v>-7.71</v>
      </c>
      <c r="E21" s="1414">
        <v>-0.3</v>
      </c>
      <c r="F21" s="1321">
        <v>3.89</v>
      </c>
      <c r="G21" s="1416">
        <v>0.2</v>
      </c>
      <c r="H21" s="1414">
        <v>-23.4</v>
      </c>
      <c r="I21" s="1414">
        <v>-25.37</v>
      </c>
      <c r="J21" s="1414">
        <v>14</v>
      </c>
      <c r="K21" s="1414">
        <v>0</v>
      </c>
      <c r="L21" s="1414">
        <v>16</v>
      </c>
      <c r="M21" s="1416">
        <v>-5.71</v>
      </c>
      <c r="N21" s="1414">
        <v>-60.103761348897535</v>
      </c>
      <c r="O21" s="1414">
        <v>-1.7898832684824899</v>
      </c>
      <c r="P21" s="1414">
        <v>16.549935149156944</v>
      </c>
      <c r="Q21" s="1414">
        <v>-7.8339818417639435</v>
      </c>
      <c r="R21" s="1416">
        <v>-13.921314310419369</v>
      </c>
      <c r="S21" s="1414">
        <v>-3.7714634358929664</v>
      </c>
      <c r="T21" s="1414">
        <v>-4.9129260001743225</v>
      </c>
      <c r="U21" s="1414">
        <v>-4.0643249368081582</v>
      </c>
      <c r="V21" s="1414">
        <v>0.88904384206397635</v>
      </c>
      <c r="W21" s="1416">
        <v>-4.2495714576251489</v>
      </c>
    </row>
    <row r="22" spans="1:23" ht="15.6">
      <c r="A22" s="1411">
        <v>10</v>
      </c>
      <c r="B22" s="1414">
        <v>-1.54</v>
      </c>
      <c r="C22" s="1414">
        <v>-30.88</v>
      </c>
      <c r="D22" s="1321">
        <v>-7.99</v>
      </c>
      <c r="E22" s="1414">
        <v>4.6100000000000003</v>
      </c>
      <c r="F22" s="1321">
        <v>4.09</v>
      </c>
      <c r="G22" s="1416">
        <v>3.69</v>
      </c>
      <c r="H22" s="1414">
        <v>18.36</v>
      </c>
      <c r="I22" s="1414">
        <v>-29.3</v>
      </c>
      <c r="J22" s="1414">
        <v>17.2</v>
      </c>
      <c r="K22" s="1414">
        <v>0</v>
      </c>
      <c r="L22" s="1414">
        <v>20.3</v>
      </c>
      <c r="M22" s="1416">
        <v>-6.6</v>
      </c>
      <c r="N22" s="1414">
        <v>-69.868995633187765</v>
      </c>
      <c r="O22" s="1414">
        <v>9.8895453377857692</v>
      </c>
      <c r="P22" s="1414">
        <v>22.784484973028519</v>
      </c>
      <c r="Q22" s="1414">
        <v>-8.2198818391985622</v>
      </c>
      <c r="R22" s="1416">
        <v>-18.991351999315011</v>
      </c>
      <c r="S22" s="1414">
        <v>-6.5041430440470993</v>
      </c>
      <c r="T22" s="1414">
        <v>-7.6464020933275183</v>
      </c>
      <c r="U22" s="1414">
        <v>-4.4334932402965554</v>
      </c>
      <c r="V22" s="1414">
        <v>0.87221979938944605</v>
      </c>
      <c r="W22" s="1416">
        <v>-6.1946794592237255</v>
      </c>
    </row>
    <row r="23" spans="1:23" ht="15.6">
      <c r="A23" s="1411">
        <v>11</v>
      </c>
      <c r="B23" s="1414">
        <v>8.92</v>
      </c>
      <c r="C23" s="1414">
        <v>-29.61</v>
      </c>
      <c r="D23" s="1321">
        <v>-8.7200000000000006</v>
      </c>
      <c r="E23" s="1414">
        <v>-8.44</v>
      </c>
      <c r="F23" s="1321">
        <v>2.39</v>
      </c>
      <c r="G23" s="1416">
        <v>3.07</v>
      </c>
      <c r="H23" s="1414">
        <v>15.51</v>
      </c>
      <c r="I23" s="1414">
        <v>-34.880000000000003</v>
      </c>
      <c r="J23" s="1414">
        <v>16.899999999999999</v>
      </c>
      <c r="K23" s="1414">
        <v>0</v>
      </c>
      <c r="L23" s="1414">
        <v>18.7</v>
      </c>
      <c r="M23" s="1416">
        <v>-9</v>
      </c>
      <c r="N23" s="1414">
        <v>-13.375959079283891</v>
      </c>
      <c r="O23" s="1414">
        <v>10.383631713554987</v>
      </c>
      <c r="P23" s="1414">
        <v>-40.89514066496163</v>
      </c>
      <c r="Q23" s="1414">
        <v>-8.7468030690537084</v>
      </c>
      <c r="R23" s="1416">
        <v>-21.551577152600174</v>
      </c>
      <c r="S23" s="1414">
        <v>-20.872533612711717</v>
      </c>
      <c r="T23" s="1414">
        <v>-11.854286712065655</v>
      </c>
      <c r="U23" s="1414">
        <v>-13.316396018858041</v>
      </c>
      <c r="V23" s="1414">
        <v>1.0302077876724292</v>
      </c>
      <c r="W23" s="1416">
        <v>-15.347738781211804</v>
      </c>
    </row>
    <row r="24" spans="1:23" ht="15.6">
      <c r="A24" s="1411">
        <v>12</v>
      </c>
      <c r="B24" s="1414">
        <v>6.11</v>
      </c>
      <c r="C24" s="1414">
        <v>-31.65</v>
      </c>
      <c r="D24" s="1321">
        <v>-11.87</v>
      </c>
      <c r="E24" s="1414">
        <v>-4.2699999999999996</v>
      </c>
      <c r="F24" s="1321">
        <v>-5.29</v>
      </c>
      <c r="G24" s="1416">
        <v>4.57</v>
      </c>
      <c r="H24" s="1414">
        <v>17.309999999999999</v>
      </c>
      <c r="I24" s="1414">
        <v>-35.39</v>
      </c>
      <c r="J24" s="1414">
        <v>19</v>
      </c>
      <c r="K24" s="1414">
        <v>1.73</v>
      </c>
      <c r="L24" s="1414">
        <v>18.8</v>
      </c>
      <c r="M24" s="1416">
        <v>-8.1999999999999993</v>
      </c>
      <c r="N24" s="1414">
        <v>-48.264553156600165</v>
      </c>
      <c r="O24" s="1414">
        <v>4.1814703470893715</v>
      </c>
      <c r="P24" s="1414">
        <v>-50.778901339163703</v>
      </c>
      <c r="Q24" s="1414">
        <v>-6.7504782727521224</v>
      </c>
      <c r="R24" s="1416">
        <v>-34.408308280951076</v>
      </c>
      <c r="S24" s="1414">
        <v>-25.829474971608274</v>
      </c>
      <c r="T24" s="1414">
        <v>-15.547654407268279</v>
      </c>
      <c r="U24" s="1414">
        <v>-17.652660085611949</v>
      </c>
      <c r="V24" s="1414">
        <v>-5.8006464575871401</v>
      </c>
      <c r="W24" s="1416">
        <v>-19.676596488162833</v>
      </c>
    </row>
    <row r="25" spans="1:23" ht="15.6">
      <c r="A25" s="1411">
        <v>2016</v>
      </c>
      <c r="B25" s="1414"/>
      <c r="C25" s="1414"/>
      <c r="D25" s="1321"/>
      <c r="E25" s="1414"/>
      <c r="F25" s="1321"/>
      <c r="G25" s="1416"/>
      <c r="H25" s="1414"/>
      <c r="I25" s="1414"/>
      <c r="J25" s="1414"/>
      <c r="K25" s="1414"/>
      <c r="L25" s="1414"/>
      <c r="M25" s="1416"/>
      <c r="N25" s="1414"/>
      <c r="O25" s="1414"/>
      <c r="P25" s="1414"/>
      <c r="Q25" s="1414"/>
      <c r="R25" s="1416"/>
      <c r="S25" s="1414"/>
      <c r="T25" s="1414"/>
      <c r="U25" s="1414"/>
      <c r="V25" s="1414"/>
      <c r="W25" s="1416"/>
    </row>
    <row r="26" spans="1:23" ht="15.6">
      <c r="A26" s="1411">
        <v>1</v>
      </c>
      <c r="B26" s="1414">
        <v>-12.09</v>
      </c>
      <c r="C26" s="1414">
        <v>-47.7</v>
      </c>
      <c r="D26" s="1321">
        <v>-18.96</v>
      </c>
      <c r="E26" s="1414">
        <v>3.85</v>
      </c>
      <c r="F26" s="1321">
        <v>17.239999999999998</v>
      </c>
      <c r="G26" s="1416">
        <v>3.57</v>
      </c>
      <c r="H26" s="1414">
        <v>-35.1</v>
      </c>
      <c r="I26" s="1414">
        <v>-36.86</v>
      </c>
      <c r="J26" s="1414">
        <v>-32.6</v>
      </c>
      <c r="K26" s="1414">
        <v>7.45</v>
      </c>
      <c r="L26" s="1414">
        <v>18</v>
      </c>
      <c r="M26" s="1416">
        <v>-34.75</v>
      </c>
      <c r="N26" s="1414">
        <v>-81.856651679449868</v>
      </c>
      <c r="O26" s="1414">
        <v>-9.2303623380058184</v>
      </c>
      <c r="P26" s="1414">
        <v>-44.009521290663848</v>
      </c>
      <c r="Q26" s="1414">
        <v>15.154720973287491</v>
      </c>
      <c r="R26" s="1416">
        <v>-38.878603544035968</v>
      </c>
      <c r="S26" s="1414">
        <v>-95.02669039145907</v>
      </c>
      <c r="T26" s="1414">
        <v>-92.411032028469734</v>
      </c>
      <c r="U26" s="1414">
        <v>-24.952846975088967</v>
      </c>
      <c r="V26" s="1414">
        <v>-1.7704626334519573</v>
      </c>
      <c r="W26" s="1416">
        <v>-70.796856465005931</v>
      </c>
    </row>
    <row r="27" spans="1:23" ht="15.6">
      <c r="A27" s="1411">
        <v>2</v>
      </c>
      <c r="B27" s="1414">
        <v>-25.77</v>
      </c>
      <c r="C27" s="1414">
        <v>-44.79</v>
      </c>
      <c r="D27" s="1321">
        <v>-12.35</v>
      </c>
      <c r="E27" s="1414">
        <v>27.66</v>
      </c>
      <c r="F27" s="1321">
        <v>2.56</v>
      </c>
      <c r="G27" s="1416">
        <v>4.75</v>
      </c>
      <c r="H27" s="1414">
        <v>-30.7</v>
      </c>
      <c r="I27" s="1414">
        <v>-33.630000000000003</v>
      </c>
      <c r="J27" s="1414">
        <v>-32.590000000000003</v>
      </c>
      <c r="K27" s="1414">
        <v>4.7</v>
      </c>
      <c r="L27" s="1414">
        <v>17.03</v>
      </c>
      <c r="M27" s="1416">
        <v>-32.81</v>
      </c>
      <c r="N27" s="1414">
        <v>-82.393119150012637</v>
      </c>
      <c r="O27" s="1414">
        <v>-4.351125727295722</v>
      </c>
      <c r="P27" s="1414">
        <v>7.5891727801671749E-2</v>
      </c>
      <c r="Q27" s="1414">
        <v>-22.666329370098659</v>
      </c>
      <c r="R27" s="1416">
        <v>-25.988700564971751</v>
      </c>
      <c r="S27" s="1414">
        <v>-38.603988603988604</v>
      </c>
      <c r="T27" s="1414">
        <v>-34.152421652421651</v>
      </c>
      <c r="U27" s="1414">
        <v>-25.917022792022792</v>
      </c>
      <c r="V27" s="1414">
        <v>-0.84579772079772075</v>
      </c>
      <c r="W27" s="1416">
        <v>-32.891144349477685</v>
      </c>
    </row>
    <row r="28" spans="1:23" ht="15.6">
      <c r="A28" s="1411">
        <v>3</v>
      </c>
      <c r="B28" s="1414">
        <v>-20.059999999999999</v>
      </c>
      <c r="C28" s="1414">
        <v>-39</v>
      </c>
      <c r="D28" s="1321">
        <v>-13.33</v>
      </c>
      <c r="E28" s="1414">
        <v>28.41</v>
      </c>
      <c r="F28" s="1321">
        <v>14.15</v>
      </c>
      <c r="G28" s="1416">
        <v>7.23</v>
      </c>
      <c r="H28" s="1414">
        <v>-31.03</v>
      </c>
      <c r="I28" s="1414">
        <v>-32.83</v>
      </c>
      <c r="J28" s="1414">
        <v>-82.68</v>
      </c>
      <c r="K28" s="1414">
        <v>4.68</v>
      </c>
      <c r="L28" s="1414">
        <v>16.57</v>
      </c>
      <c r="M28" s="1416">
        <v>-57.76</v>
      </c>
      <c r="N28" s="1414">
        <v>-73.506891271056659</v>
      </c>
      <c r="O28" s="1414">
        <v>-1.6334864726901475</v>
      </c>
      <c r="P28" s="1414">
        <v>14.395099540581924</v>
      </c>
      <c r="Q28" s="1414">
        <v>2.2970903522205215</v>
      </c>
      <c r="R28" s="1416">
        <v>-19.159435085928195</v>
      </c>
      <c r="S28" s="1414">
        <v>-32.693338096088588</v>
      </c>
      <c r="T28" s="1414">
        <v>-31.469905340239325</v>
      </c>
      <c r="U28" s="1414">
        <v>-22.754063225576001</v>
      </c>
      <c r="V28" s="1414">
        <v>-0.69655295588497934</v>
      </c>
      <c r="W28" s="1416">
        <v>-28.972435553968001</v>
      </c>
    </row>
    <row r="29" spans="1:23" ht="15.6">
      <c r="A29" s="1411">
        <v>4</v>
      </c>
      <c r="B29" s="1414">
        <v>-12.28</v>
      </c>
      <c r="C29" s="1414">
        <v>-38.159999999999997</v>
      </c>
      <c r="D29" s="1321">
        <v>-19.149999999999999</v>
      </c>
      <c r="E29" s="1414">
        <v>21.74</v>
      </c>
      <c r="F29" s="1321">
        <v>7.8</v>
      </c>
      <c r="G29" s="1416">
        <v>9.5399999999999991</v>
      </c>
      <c r="H29" s="1414">
        <v>-30.74</v>
      </c>
      <c r="I29" s="1414">
        <v>-32.520000000000003</v>
      </c>
      <c r="J29" s="1414">
        <v>-82.9</v>
      </c>
      <c r="K29" s="1414">
        <v>4.7</v>
      </c>
      <c r="L29" s="1414">
        <v>15.52</v>
      </c>
      <c r="M29" s="1416">
        <v>-57.72</v>
      </c>
      <c r="N29" s="1414">
        <v>-67.927421415793503</v>
      </c>
      <c r="O29" s="1414">
        <v>5.7245080500894465</v>
      </c>
      <c r="P29" s="1414">
        <v>5.0856120623562475</v>
      </c>
      <c r="Q29" s="1414">
        <v>2.5555839509328271E-2</v>
      </c>
      <c r="R29" s="1416">
        <v>-22.855439134508902</v>
      </c>
      <c r="S29" s="1414">
        <v>-31.198070222460466</v>
      </c>
      <c r="T29" s="1414">
        <v>-11.891360671848476</v>
      </c>
      <c r="U29" s="1414">
        <v>-22.791030108103275</v>
      </c>
      <c r="V29" s="1414">
        <v>-0.22335388189046723</v>
      </c>
      <c r="W29" s="1416">
        <v>-21.960153667470742</v>
      </c>
    </row>
    <row r="30" spans="1:23" ht="15.6">
      <c r="A30" s="1411">
        <v>5</v>
      </c>
      <c r="B30" s="1414">
        <v>16.7</v>
      </c>
      <c r="C30" s="1414">
        <v>-34.79</v>
      </c>
      <c r="D30" s="1321">
        <v>-21.75</v>
      </c>
      <c r="E30" s="1414">
        <v>23.17</v>
      </c>
      <c r="F30" s="1321">
        <v>5.69</v>
      </c>
      <c r="G30" s="1416">
        <v>20.54</v>
      </c>
      <c r="H30" s="1414">
        <v>-30.7</v>
      </c>
      <c r="I30" s="1414">
        <v>-31.36</v>
      </c>
      <c r="J30" s="1414">
        <v>-78.599999999999994</v>
      </c>
      <c r="K30" s="1414">
        <v>7.85</v>
      </c>
      <c r="L30" s="1414">
        <v>15.02</v>
      </c>
      <c r="M30" s="1416">
        <v>-54.96</v>
      </c>
      <c r="N30" s="1414">
        <v>-61.102680829539707</v>
      </c>
      <c r="O30" s="1414">
        <v>0.6069802731411218</v>
      </c>
      <c r="P30" s="1414">
        <v>6.6262013151239181</v>
      </c>
      <c r="Q30" s="1414">
        <v>0.93576125442589753</v>
      </c>
      <c r="R30" s="1416">
        <v>-18.361153262518972</v>
      </c>
      <c r="S30" s="1414">
        <v>-11.047602036259713</v>
      </c>
      <c r="T30" s="1414">
        <v>-13.164240421541486</v>
      </c>
      <c r="U30" s="1414">
        <v>-11.556666964365457</v>
      </c>
      <c r="V30" s="1414">
        <v>0.70554612842725728</v>
      </c>
      <c r="W30" s="1416">
        <v>-11.922836474055549</v>
      </c>
    </row>
    <row r="31" spans="1:23" ht="15.6">
      <c r="A31" s="1411">
        <v>6</v>
      </c>
      <c r="B31" s="1414">
        <v>20.399999999999999</v>
      </c>
      <c r="C31" s="1414">
        <v>-28.99</v>
      </c>
      <c r="D31" s="1321">
        <v>-12.04</v>
      </c>
      <c r="E31" s="1414">
        <v>14.67</v>
      </c>
      <c r="F31" s="1321">
        <v>0.06</v>
      </c>
      <c r="G31" s="1416">
        <v>15.79</v>
      </c>
      <c r="H31" s="1414">
        <v>-29.369240108161797</v>
      </c>
      <c r="I31" s="1414">
        <v>-30.522598090613101</v>
      </c>
      <c r="J31" s="1414">
        <v>-77.633684675238683</v>
      </c>
      <c r="K31" s="1414">
        <v>5.871640637933889</v>
      </c>
      <c r="L31" s="1414">
        <v>14.766017327962034</v>
      </c>
      <c r="M31" s="1416">
        <v>-54.078141382925892</v>
      </c>
      <c r="N31" s="1414">
        <v>-60.366640846888721</v>
      </c>
      <c r="O31" s="1414">
        <v>-1.7041053446940351</v>
      </c>
      <c r="P31" s="1414">
        <v>6.2742060418280445</v>
      </c>
      <c r="Q31" s="1414">
        <v>3.2274722437387036</v>
      </c>
      <c r="R31" s="1416">
        <v>-17.462776486788883</v>
      </c>
      <c r="S31" s="1414">
        <v>-1.170165252344797</v>
      </c>
      <c r="T31" s="1414">
        <v>0.14292094685127271</v>
      </c>
      <c r="U31" s="1414">
        <v>-7.4493970522554722</v>
      </c>
      <c r="V31" s="1414">
        <v>-0.1518535060294775</v>
      </c>
      <c r="W31" s="1416">
        <v>-2.8255471192496651</v>
      </c>
    </row>
    <row r="32" spans="1:23" ht="15.6">
      <c r="A32" s="1411">
        <v>7</v>
      </c>
      <c r="B32" s="1414">
        <v>9.5399999999999991</v>
      </c>
      <c r="C32" s="1414">
        <v>-27.92</v>
      </c>
      <c r="D32" s="1321">
        <v>-16.13</v>
      </c>
      <c r="E32" s="1414">
        <v>18.510000000000002</v>
      </c>
      <c r="F32" s="1321">
        <v>-0.09</v>
      </c>
      <c r="G32" s="1416">
        <v>14.73</v>
      </c>
      <c r="H32" s="1414">
        <v>-28.747257451704396</v>
      </c>
      <c r="I32" s="1414">
        <v>-29.111146786536096</v>
      </c>
      <c r="J32" s="1414">
        <v>-26.285653127842888</v>
      </c>
      <c r="K32" s="1414">
        <v>5.5011505324557177</v>
      </c>
      <c r="L32" s="1414">
        <v>14.337400331781453</v>
      </c>
      <c r="M32" s="1416">
        <v>-27.698399957189494</v>
      </c>
      <c r="N32" s="1414">
        <v>-32.086223984142713</v>
      </c>
      <c r="O32" s="1414">
        <v>-1.9326065411298303</v>
      </c>
      <c r="P32" s="1414">
        <v>19.995044598612488</v>
      </c>
      <c r="Q32" s="1414">
        <v>2.9732408325074333</v>
      </c>
      <c r="R32" s="1416">
        <v>-3.3861909481334642</v>
      </c>
      <c r="S32" s="1414">
        <v>-11.207435874519616</v>
      </c>
      <c r="T32" s="1414">
        <v>-2.5828939136652065</v>
      </c>
      <c r="U32" s="1414">
        <v>3.6289212619537072</v>
      </c>
      <c r="V32" s="1414">
        <v>1.0546072035034408</v>
      </c>
      <c r="W32" s="1416">
        <v>-3.3871361754103719</v>
      </c>
    </row>
    <row r="33" spans="1:23" ht="15.6">
      <c r="A33" s="1411">
        <v>8</v>
      </c>
      <c r="B33" s="1414">
        <v>14.37</v>
      </c>
      <c r="C33" s="1414">
        <v>-26.27</v>
      </c>
      <c r="D33" s="1321">
        <v>-13.79</v>
      </c>
      <c r="E33" s="1414">
        <v>8.5299999999999994</v>
      </c>
      <c r="F33" s="1321">
        <v>0.31</v>
      </c>
      <c r="G33" s="1416">
        <v>12.23</v>
      </c>
      <c r="H33" s="1414">
        <v>-28.25</v>
      </c>
      <c r="I33" s="1414">
        <v>-29.05</v>
      </c>
      <c r="J33" s="1414">
        <v>-28.6</v>
      </c>
      <c r="K33" s="1414">
        <v>4.1900000000000004</v>
      </c>
      <c r="L33" s="1414">
        <v>13.9</v>
      </c>
      <c r="M33" s="1416">
        <v>-28.83</v>
      </c>
      <c r="N33" s="1414">
        <v>-15.923249439322202</v>
      </c>
      <c r="O33" s="1414">
        <v>3.2643907301270856</v>
      </c>
      <c r="P33" s="1414">
        <v>-46.274607525541981</v>
      </c>
      <c r="Q33" s="1414">
        <v>3.1647146772987789</v>
      </c>
      <c r="R33" s="1416">
        <v>-21.820749231663758</v>
      </c>
      <c r="S33" s="1414">
        <v>-8.3191850594227503</v>
      </c>
      <c r="T33" s="1414">
        <v>-4.3427754445536593</v>
      </c>
      <c r="U33" s="1414">
        <v>-2.4305245286390837</v>
      </c>
      <c r="V33" s="1414">
        <v>-8.935751943526471E-3</v>
      </c>
      <c r="W33" s="1416">
        <v>-5.0308283442051636</v>
      </c>
    </row>
    <row r="34" spans="1:23" ht="15.6">
      <c r="A34" s="1411">
        <v>9</v>
      </c>
      <c r="B34" s="1414">
        <v>12.91</v>
      </c>
      <c r="C34" s="1414">
        <v>-32.700000000000003</v>
      </c>
      <c r="D34" s="1321">
        <v>-15.59</v>
      </c>
      <c r="E34" s="1414">
        <v>-2.11</v>
      </c>
      <c r="F34" s="1321">
        <v>-8.1300000000000008</v>
      </c>
      <c r="G34" s="1416">
        <v>8.8000000000000007</v>
      </c>
      <c r="H34" s="1414">
        <v>-28.39</v>
      </c>
      <c r="I34" s="1414">
        <v>-29.03</v>
      </c>
      <c r="J34" s="1414">
        <v>-28.6</v>
      </c>
      <c r="K34" s="1414">
        <v>3.28</v>
      </c>
      <c r="L34" s="1414">
        <v>13.94</v>
      </c>
      <c r="M34" s="1416">
        <v>-28.81</v>
      </c>
      <c r="N34" s="1414">
        <v>-41.681217261162388</v>
      </c>
      <c r="O34" s="1414">
        <v>2.4195559990022448</v>
      </c>
      <c r="P34" s="1414">
        <v>-36.991768520828138</v>
      </c>
      <c r="Q34" s="1414">
        <v>-27.138937390870545</v>
      </c>
      <c r="R34" s="1416">
        <v>-27.030847260330926</v>
      </c>
      <c r="S34" s="1414">
        <v>-17.878408582923559</v>
      </c>
      <c r="T34" s="1414">
        <v>-8.0974519445686166</v>
      </c>
      <c r="U34" s="1414">
        <v>-2.062583817612873</v>
      </c>
      <c r="V34" s="1414">
        <v>2.297720160929817</v>
      </c>
      <c r="W34" s="1416">
        <v>-9.3461481150350156</v>
      </c>
    </row>
    <row r="35" spans="1:23" ht="15.6">
      <c r="A35" s="1411">
        <v>10</v>
      </c>
      <c r="B35" s="1414">
        <v>16.47</v>
      </c>
      <c r="C35" s="1414">
        <v>-23.47</v>
      </c>
      <c r="D35" s="1321">
        <v>-25.76</v>
      </c>
      <c r="E35" s="1414">
        <v>8.01</v>
      </c>
      <c r="F35" s="1321">
        <v>-3.03</v>
      </c>
      <c r="G35" s="1416">
        <v>16.75</v>
      </c>
      <c r="H35" s="1414">
        <v>-82.83</v>
      </c>
      <c r="I35" s="1414">
        <v>-29.71</v>
      </c>
      <c r="J35" s="1414">
        <v>-83</v>
      </c>
      <c r="K35" s="1414">
        <v>1.0900000000000001</v>
      </c>
      <c r="L35" s="1414">
        <v>13.37</v>
      </c>
      <c r="M35" s="1416">
        <v>-56.4</v>
      </c>
      <c r="N35" s="1414">
        <v>-17.406659939455096</v>
      </c>
      <c r="O35" s="1414">
        <v>2.8254288597376407</v>
      </c>
      <c r="P35" s="1414">
        <v>-9.8133198789101925</v>
      </c>
      <c r="Q35" s="1414">
        <v>2.5479313824419783</v>
      </c>
      <c r="R35" s="1416">
        <v>-10.01513622603431</v>
      </c>
      <c r="S35" s="1414">
        <v>-22.9475943480594</v>
      </c>
      <c r="T35" s="1414">
        <v>-11.3217671257378</v>
      </c>
      <c r="U35" s="1414">
        <v>-3.4072616705419398</v>
      </c>
      <c r="V35" s="1414">
        <v>13.396530137721339</v>
      </c>
      <c r="W35" s="1416">
        <v>-12.558874381446373</v>
      </c>
    </row>
    <row r="36" spans="1:23" ht="15.6">
      <c r="A36" s="1411">
        <v>11</v>
      </c>
      <c r="B36" s="1414">
        <v>15.03</v>
      </c>
      <c r="C36" s="1414">
        <v>-15.86</v>
      </c>
      <c r="D36" s="1321">
        <v>-4.74</v>
      </c>
      <c r="E36" s="1414">
        <v>11.55</v>
      </c>
      <c r="F36" s="1321">
        <v>4.38</v>
      </c>
      <c r="G36" s="1416">
        <v>10.44</v>
      </c>
      <c r="H36" s="1414">
        <v>-81.099999999999994</v>
      </c>
      <c r="I36" s="1414">
        <v>-30.63</v>
      </c>
      <c r="J36" s="1414">
        <v>-81.3</v>
      </c>
      <c r="K36" s="1414">
        <v>1.3</v>
      </c>
      <c r="L36" s="1414">
        <v>12.85</v>
      </c>
      <c r="M36" s="1416">
        <v>-55.97</v>
      </c>
      <c r="N36" s="1414">
        <v>-17.647058823529409</v>
      </c>
      <c r="O36" s="1414">
        <v>0.50709939148072936</v>
      </c>
      <c r="P36" s="1414">
        <v>-18.458417849898581</v>
      </c>
      <c r="Q36" s="1414">
        <v>2.7383367139959436</v>
      </c>
      <c r="R36" s="1416">
        <v>-12.204192021636239</v>
      </c>
      <c r="S36" s="1414">
        <v>-17.807481833677222</v>
      </c>
      <c r="T36" s="1414">
        <v>-13.016955234592301</v>
      </c>
      <c r="U36" s="1414">
        <v>-7.2127029694088103</v>
      </c>
      <c r="V36" s="1414">
        <v>22.849197093388401</v>
      </c>
      <c r="W36" s="1416">
        <v>-12.679046679226101</v>
      </c>
    </row>
    <row r="37" spans="1:23" ht="15.6">
      <c r="A37" s="1411">
        <v>12</v>
      </c>
      <c r="B37" s="1414">
        <v>-5.49</v>
      </c>
      <c r="C37" s="1414">
        <v>-22.42</v>
      </c>
      <c r="D37" s="1321">
        <v>2.54</v>
      </c>
      <c r="E37" s="1414">
        <v>-8.92</v>
      </c>
      <c r="F37" s="1321">
        <v>9.94</v>
      </c>
      <c r="G37" s="1416">
        <v>-5.62</v>
      </c>
      <c r="H37" s="1414">
        <v>-79.849999999999994</v>
      </c>
      <c r="I37" s="1414">
        <v>-31.49</v>
      </c>
      <c r="J37" s="1414">
        <v>-80.099999999999994</v>
      </c>
      <c r="K37" s="1414">
        <v>2.54</v>
      </c>
      <c r="L37" s="1414">
        <v>11.67</v>
      </c>
      <c r="M37" s="1416">
        <v>-55.77</v>
      </c>
      <c r="N37" s="1414">
        <v>-49.026676279740443</v>
      </c>
      <c r="O37" s="1414">
        <v>-5.7197788993030532</v>
      </c>
      <c r="P37" s="1414">
        <v>-21.605383321316992</v>
      </c>
      <c r="Q37" s="1414">
        <v>-1.6101898582071619</v>
      </c>
      <c r="R37" s="1416">
        <v>-21.637426900584789</v>
      </c>
      <c r="S37" s="1414">
        <v>-7.5955056179775298</v>
      </c>
      <c r="T37" s="1414">
        <v>-16.395505617977499</v>
      </c>
      <c r="U37" s="1414">
        <v>-10.867415730337079</v>
      </c>
      <c r="V37" s="1414">
        <v>13.033707865168539</v>
      </c>
      <c r="W37" s="1416">
        <v>-11.619475655430699</v>
      </c>
    </row>
    <row r="38" spans="1:23" ht="15.6">
      <c r="A38" s="1411">
        <v>2017</v>
      </c>
      <c r="B38" s="1414"/>
      <c r="C38" s="1414"/>
      <c r="D38" s="1321"/>
      <c r="E38" s="1414"/>
      <c r="F38" s="1321"/>
      <c r="G38" s="1416"/>
      <c r="H38" s="1414"/>
      <c r="I38" s="1414"/>
      <c r="J38" s="1414"/>
      <c r="K38" s="1414"/>
      <c r="L38" s="1414"/>
      <c r="M38" s="1416"/>
      <c r="N38" s="1414"/>
      <c r="O38" s="1414"/>
      <c r="P38" s="1414"/>
      <c r="Q38" s="1414"/>
      <c r="R38" s="1416"/>
      <c r="S38" s="1414"/>
      <c r="T38" s="1414"/>
      <c r="U38" s="1414"/>
      <c r="V38" s="1414"/>
      <c r="W38" s="1416"/>
    </row>
    <row r="39" spans="1:23" ht="15.6">
      <c r="A39" s="1411">
        <v>1</v>
      </c>
      <c r="B39" s="1414">
        <v>5.27</v>
      </c>
      <c r="C39" s="1414">
        <v>-18.68</v>
      </c>
      <c r="D39" s="1321">
        <v>-3.91</v>
      </c>
      <c r="E39" s="1414">
        <v>-8.92</v>
      </c>
      <c r="F39" s="1321">
        <v>8.4499999999999993</v>
      </c>
      <c r="G39" s="1416">
        <v>0.09</v>
      </c>
      <c r="H39" s="1414">
        <v>-79.84</v>
      </c>
      <c r="I39" s="1414">
        <v>-31.47</v>
      </c>
      <c r="J39" s="1414">
        <v>-79.599999999999994</v>
      </c>
      <c r="K39" s="1414">
        <v>2.5499999999999998</v>
      </c>
      <c r="L39" s="1414">
        <v>12.3</v>
      </c>
      <c r="M39" s="1416">
        <v>-55.53</v>
      </c>
      <c r="N39" s="1414">
        <v>-56.248500839529861</v>
      </c>
      <c r="O39" s="1414">
        <v>-3.4300791556728236</v>
      </c>
      <c r="P39" s="1414">
        <v>-49.796114176061408</v>
      </c>
      <c r="Q39" s="1414">
        <v>4.749340369393142</v>
      </c>
      <c r="R39" s="1416">
        <v>-34.204845286639483</v>
      </c>
      <c r="S39" s="1414">
        <v>-19.800053083252234</v>
      </c>
      <c r="T39" s="1414">
        <v>-17.296293019552333</v>
      </c>
      <c r="U39" s="1414">
        <v>-8.9976112536494721</v>
      </c>
      <c r="V39" s="1414">
        <v>10.908608334070601</v>
      </c>
      <c r="W39" s="1416">
        <v>-15.364652452151345</v>
      </c>
    </row>
    <row r="40" spans="1:23" ht="15.6">
      <c r="A40" s="1411">
        <v>2</v>
      </c>
      <c r="B40" s="1414">
        <v>-2.89</v>
      </c>
      <c r="C40" s="1414">
        <v>-11.19</v>
      </c>
      <c r="D40" s="1321">
        <v>-3.04</v>
      </c>
      <c r="E40" s="1414">
        <v>14.41</v>
      </c>
      <c r="F40" s="1321">
        <v>5.57</v>
      </c>
      <c r="G40" s="1416">
        <v>4.8600000000000003</v>
      </c>
      <c r="H40" s="1414">
        <v>-79.75</v>
      </c>
      <c r="I40" s="1414">
        <v>-36.54</v>
      </c>
      <c r="J40" s="1414">
        <v>-74.099999999999994</v>
      </c>
      <c r="K40" s="1414">
        <v>2.5499999999999998</v>
      </c>
      <c r="L40" s="1414">
        <v>12.31</v>
      </c>
      <c r="M40" s="1416">
        <v>-55.3</v>
      </c>
      <c r="N40" s="1414">
        <v>-38.236680810938239</v>
      </c>
      <c r="O40" s="1414">
        <v>-4.1018387553041036</v>
      </c>
      <c r="P40" s="1414">
        <v>-12.140499764262142</v>
      </c>
      <c r="Q40" s="1414">
        <v>5.2569542668552574</v>
      </c>
      <c r="R40" s="1416">
        <v>-15.425113939965428</v>
      </c>
      <c r="S40" s="1414">
        <v>-20.984478935698448</v>
      </c>
      <c r="T40" s="1414">
        <v>-8.913525498891353</v>
      </c>
      <c r="U40" s="1414">
        <v>-18.802660753880264</v>
      </c>
      <c r="V40" s="1414">
        <v>15.831485587583147</v>
      </c>
      <c r="W40" s="1416">
        <v>-16.233555062823356</v>
      </c>
    </row>
    <row r="41" spans="1:23" ht="15.6">
      <c r="A41" s="1411">
        <v>3</v>
      </c>
      <c r="B41" s="1414">
        <v>5.38</v>
      </c>
      <c r="C41" s="1414">
        <v>-24.71</v>
      </c>
      <c r="D41" s="1321">
        <v>-6.99</v>
      </c>
      <c r="E41" s="1414">
        <v>19.38</v>
      </c>
      <c r="F41" s="1321">
        <v>6.06</v>
      </c>
      <c r="G41" s="1416">
        <v>10.58</v>
      </c>
      <c r="H41" s="1414">
        <v>-78.569999999999993</v>
      </c>
      <c r="I41" s="1414">
        <v>-35.369999999999997</v>
      </c>
      <c r="J41" s="1414">
        <v>-71.599999999999994</v>
      </c>
      <c r="K41" s="1414">
        <v>6.19</v>
      </c>
      <c r="L41" s="1414">
        <v>12.31</v>
      </c>
      <c r="M41" s="1416">
        <v>-53.51</v>
      </c>
      <c r="N41" s="1414">
        <v>-61.907032181168056</v>
      </c>
      <c r="O41" s="1414">
        <v>0.71513706793802179</v>
      </c>
      <c r="P41" s="1414">
        <v>18.831942789034564</v>
      </c>
      <c r="Q41" s="1414">
        <v>-5.0536352800953521</v>
      </c>
      <c r="R41" s="1416">
        <v>-14.596742153357171</v>
      </c>
      <c r="S41" s="1414">
        <v>-14.007803493837015</v>
      </c>
      <c r="T41" s="1414">
        <v>-8.3085927108273481</v>
      </c>
      <c r="U41" s="1414">
        <v>-12.432384499423607</v>
      </c>
      <c r="V41" s="1414">
        <v>16.514498536844908</v>
      </c>
      <c r="W41" s="1416">
        <v>-11.582926901362654</v>
      </c>
    </row>
    <row r="42" spans="1:23" ht="15.6">
      <c r="A42" s="1411">
        <v>4</v>
      </c>
      <c r="B42" s="1414">
        <v>-7.22</v>
      </c>
      <c r="C42" s="1414">
        <v>-22.64</v>
      </c>
      <c r="D42" s="1321">
        <v>-5.87</v>
      </c>
      <c r="E42" s="1414">
        <v>22.16</v>
      </c>
      <c r="F42" s="1321">
        <v>3.41</v>
      </c>
      <c r="G42" s="1416">
        <v>6.94</v>
      </c>
      <c r="H42" s="1414">
        <v>-78.569999999999993</v>
      </c>
      <c r="I42" s="1414">
        <v>-35.36</v>
      </c>
      <c r="J42" s="1414">
        <v>-71.900000000000006</v>
      </c>
      <c r="K42" s="1414">
        <v>6.19</v>
      </c>
      <c r="L42" s="1414">
        <v>12.31</v>
      </c>
      <c r="M42" s="1416">
        <v>-53.61</v>
      </c>
      <c r="N42" s="1414">
        <v>-48.685796961659037</v>
      </c>
      <c r="O42" s="1414">
        <v>0.72341451651796418</v>
      </c>
      <c r="P42" s="1414">
        <v>7.8852182300458153</v>
      </c>
      <c r="Q42" s="1414">
        <v>-1.7361948396431157</v>
      </c>
      <c r="R42" s="1416">
        <v>-13.841331082710393</v>
      </c>
      <c r="S42" s="1414">
        <v>-12.4293695131684</v>
      </c>
      <c r="T42" s="1414">
        <v>-4.7526824510064731</v>
      </c>
      <c r="U42" s="1414">
        <v>-5.9678992639886497</v>
      </c>
      <c r="V42" s="1414">
        <v>13.002926310188878</v>
      </c>
      <c r="W42" s="1416">
        <v>-7.7166504093878396</v>
      </c>
    </row>
    <row r="43" spans="1:23" ht="15.6">
      <c r="A43" s="1411">
        <v>5</v>
      </c>
      <c r="B43" s="1414">
        <v>-0.05</v>
      </c>
      <c r="C43" s="1414">
        <v>-17.760000000000002</v>
      </c>
      <c r="D43" s="1321">
        <v>-7.72</v>
      </c>
      <c r="E43" s="1414">
        <v>23.6</v>
      </c>
      <c r="F43" s="1321">
        <v>4</v>
      </c>
      <c r="G43" s="1416">
        <v>10.42</v>
      </c>
      <c r="H43" s="1414">
        <v>-76.7</v>
      </c>
      <c r="I43" s="1414">
        <v>-38.409999999999997</v>
      </c>
      <c r="J43" s="1414">
        <v>-69.400000000000006</v>
      </c>
      <c r="K43" s="1414">
        <v>6.5</v>
      </c>
      <c r="L43" s="1414">
        <v>13.14</v>
      </c>
      <c r="M43" s="1416">
        <v>-53.9</v>
      </c>
      <c r="N43" s="1414">
        <v>-51.249399327246515</v>
      </c>
      <c r="O43" s="1414">
        <v>0</v>
      </c>
      <c r="P43" s="1414">
        <v>7.8567996155694368</v>
      </c>
      <c r="Q43" s="1414">
        <v>-4.6131667467563684</v>
      </c>
      <c r="R43" s="1416">
        <v>-14.464199903892361</v>
      </c>
      <c r="S43" s="1414">
        <v>-7.5344506517690899</v>
      </c>
      <c r="T43" s="1414">
        <v>0.24864768998847206</v>
      </c>
      <c r="U43" s="1414">
        <v>2.944045402145961</v>
      </c>
      <c r="V43" s="1414">
        <v>3.6830717389376604</v>
      </c>
      <c r="W43" s="1416">
        <v>-1.4472525198782176</v>
      </c>
    </row>
    <row r="44" spans="1:23" ht="15.6">
      <c r="A44" s="1411">
        <v>6</v>
      </c>
      <c r="B44" s="1414">
        <v>23.8</v>
      </c>
      <c r="C44" s="1414">
        <v>-20.99</v>
      </c>
      <c r="D44" s="1321">
        <v>-8.3000000000000007</v>
      </c>
      <c r="E44" s="1414">
        <v>22.91</v>
      </c>
      <c r="F44" s="1321">
        <v>6.27</v>
      </c>
      <c r="G44" s="1416">
        <v>18.329999999999998</v>
      </c>
      <c r="H44" s="1414">
        <v>-76.42</v>
      </c>
      <c r="I44" s="1414">
        <v>-38.880000000000003</v>
      </c>
      <c r="J44" s="1414">
        <v>-69</v>
      </c>
      <c r="K44" s="1414">
        <v>6.58</v>
      </c>
      <c r="L44" s="1414">
        <v>12.68</v>
      </c>
      <c r="M44" s="1416">
        <v>-53.95</v>
      </c>
      <c r="N44" s="1414">
        <v>-51.249399327246515</v>
      </c>
      <c r="O44" s="1414">
        <v>0</v>
      </c>
      <c r="P44" s="1414">
        <v>7.8567996155694368</v>
      </c>
      <c r="Q44" s="1414">
        <v>-4.6131667467563684</v>
      </c>
      <c r="R44" s="1416">
        <v>-14.464199903892361</v>
      </c>
      <c r="S44" s="1414">
        <v>1.8919829726853494</v>
      </c>
      <c r="T44" s="1414">
        <v>9.8974813763746017</v>
      </c>
      <c r="U44" s="1414">
        <v>2.7580702376729338</v>
      </c>
      <c r="V44" s="1414">
        <v>3.754345512593118</v>
      </c>
      <c r="W44" s="1416">
        <v>4.849178195577629</v>
      </c>
    </row>
    <row r="45" spans="1:23" ht="15.6">
      <c r="A45" s="1411">
        <v>7</v>
      </c>
      <c r="B45" s="1414">
        <v>27.29</v>
      </c>
      <c r="C45" s="1414">
        <v>-14.31</v>
      </c>
      <c r="D45" s="1321">
        <v>-8.75</v>
      </c>
      <c r="E45" s="1414">
        <v>25.99</v>
      </c>
      <c r="F45" s="1321">
        <v>6.74</v>
      </c>
      <c r="G45" s="1416">
        <v>20.68</v>
      </c>
      <c r="H45" s="1414">
        <v>-75.77</v>
      </c>
      <c r="I45" s="1414">
        <v>-39.93</v>
      </c>
      <c r="J45" s="1414">
        <v>-68.2</v>
      </c>
      <c r="K45" s="1414">
        <v>6.53</v>
      </c>
      <c r="L45" s="1414">
        <v>12.22</v>
      </c>
      <c r="M45" s="1416">
        <v>-54.05</v>
      </c>
      <c r="N45" s="1414">
        <v>-37.681504403713404</v>
      </c>
      <c r="O45" s="1414">
        <v>-4.4037134015710553</v>
      </c>
      <c r="P45" s="1414">
        <v>6.4746488931206887</v>
      </c>
      <c r="Q45" s="1414">
        <v>-3.9514401333015949</v>
      </c>
      <c r="R45" s="1416">
        <v>-8.9343807030072213</v>
      </c>
      <c r="S45" s="1414">
        <v>10.519996452957347</v>
      </c>
      <c r="T45" s="1414">
        <v>1.6497295379976942</v>
      </c>
      <c r="U45" s="1414">
        <v>2.4740622505985637</v>
      </c>
      <c r="V45" s="1414">
        <v>3.8338210516981466</v>
      </c>
      <c r="W45" s="1416">
        <v>4.8812627471845351</v>
      </c>
    </row>
    <row r="46" spans="1:23" ht="15.6">
      <c r="A46" s="1411">
        <v>8</v>
      </c>
      <c r="B46" s="1414">
        <v>25.99</v>
      </c>
      <c r="C46" s="1414">
        <v>-17.41</v>
      </c>
      <c r="D46" s="1321">
        <v>1.56</v>
      </c>
      <c r="E46" s="1414">
        <v>21.46</v>
      </c>
      <c r="F46" s="1321">
        <v>0.48</v>
      </c>
      <c r="G46" s="1416">
        <v>15.29</v>
      </c>
      <c r="H46" s="1414">
        <v>-75.069999999999993</v>
      </c>
      <c r="I46" s="1414">
        <v>-41.01</v>
      </c>
      <c r="J46" s="1414">
        <v>-67.3</v>
      </c>
      <c r="K46" s="1414">
        <v>7.2</v>
      </c>
      <c r="L46" s="1414">
        <v>12.2</v>
      </c>
      <c r="M46" s="1416">
        <v>-54.16</v>
      </c>
      <c r="N46" s="1414">
        <v>-34.388386482627318</v>
      </c>
      <c r="O46" s="1414">
        <v>-3.2841504045692522</v>
      </c>
      <c r="P46" s="1414">
        <v>7.5678248453117503</v>
      </c>
      <c r="Q46" s="1414">
        <v>-4.5216563541170869</v>
      </c>
      <c r="R46" s="1416">
        <v>-7.8454704109154374</v>
      </c>
      <c r="S46" s="1414">
        <v>10.519996452957347</v>
      </c>
      <c r="T46" s="1414">
        <v>4.3543495610534713</v>
      </c>
      <c r="U46" s="1414">
        <v>3.0947947149064472</v>
      </c>
      <c r="V46" s="1414">
        <v>3.8338210516981466</v>
      </c>
      <c r="W46" s="1416">
        <v>5.9897135763057552</v>
      </c>
    </row>
    <row r="47" spans="1:23" ht="15.6">
      <c r="A47" s="1411">
        <v>9</v>
      </c>
      <c r="B47" s="1414">
        <v>15.32</v>
      </c>
      <c r="C47" s="1414">
        <v>-16.36</v>
      </c>
      <c r="D47" s="1321">
        <v>0.17</v>
      </c>
      <c r="E47" s="1414">
        <v>-3.47</v>
      </c>
      <c r="F47" s="1321">
        <v>0.62</v>
      </c>
      <c r="G47" s="1416">
        <v>3.89</v>
      </c>
      <c r="H47" s="1414">
        <v>-74.47</v>
      </c>
      <c r="I47" s="1414">
        <v>-41.88</v>
      </c>
      <c r="J47" s="1414">
        <v>-68</v>
      </c>
      <c r="K47" s="1414">
        <v>7.36</v>
      </c>
      <c r="L47" s="1414">
        <v>11.36</v>
      </c>
      <c r="M47" s="1416">
        <v>-54.92</v>
      </c>
      <c r="N47" s="1414">
        <v>-22.822465492622555</v>
      </c>
      <c r="O47" s="1414">
        <v>27.772489290813901</v>
      </c>
      <c r="P47" s="1414">
        <v>-36.934792955735368</v>
      </c>
      <c r="Q47" s="1414">
        <v>-3.9504997620180875</v>
      </c>
      <c r="R47" s="1416">
        <v>-29.176582579723938</v>
      </c>
      <c r="S47" s="1414">
        <v>3.0921344329165548</v>
      </c>
      <c r="T47" s="1414">
        <v>2.3383878691141256</v>
      </c>
      <c r="U47" s="1414">
        <v>-6.4082646093819271</v>
      </c>
      <c r="V47" s="1414">
        <v>10.865478407377847</v>
      </c>
      <c r="W47" s="1416">
        <v>-0.32591410245041558</v>
      </c>
    </row>
    <row r="48" spans="1:23" ht="15.6">
      <c r="A48" s="1411">
        <v>10</v>
      </c>
      <c r="B48" s="1414">
        <v>0.65</v>
      </c>
      <c r="C48" s="1414">
        <v>-21</v>
      </c>
      <c r="D48" s="1321">
        <v>-4.75</v>
      </c>
      <c r="E48" s="1414">
        <v>-2.1</v>
      </c>
      <c r="F48" s="1321">
        <v>0.32</v>
      </c>
      <c r="G48" s="1416">
        <v>1.1000000000000001</v>
      </c>
      <c r="H48" s="1414">
        <v>-73.53</v>
      </c>
      <c r="I48" s="1414">
        <v>-80.239999999999995</v>
      </c>
      <c r="J48" s="1414">
        <v>-66.8</v>
      </c>
      <c r="K48" s="1414">
        <v>7.11</v>
      </c>
      <c r="L48" s="1414">
        <v>11</v>
      </c>
      <c r="M48" s="1416">
        <v>-73.510000000000005</v>
      </c>
      <c r="N48" s="1414">
        <v>-2.9595765158806557</v>
      </c>
      <c r="O48" s="1414">
        <v>2.0692974013474488</v>
      </c>
      <c r="P48" s="1414">
        <v>16.626564003849854</v>
      </c>
      <c r="Q48" s="1414">
        <v>-4.5717035611164585</v>
      </c>
      <c r="R48" s="1416">
        <v>3.8658966955405809</v>
      </c>
      <c r="S48" s="1414">
        <v>-6.9163784694510948</v>
      </c>
      <c r="T48" s="1414">
        <v>0.34619136295113878</v>
      </c>
      <c r="U48" s="1414">
        <v>10.496585971446303</v>
      </c>
      <c r="V48" s="1414">
        <v>12.902722355236323</v>
      </c>
      <c r="W48" s="1416">
        <v>1.3087996216487834</v>
      </c>
    </row>
    <row r="49" spans="1:23" ht="15.6">
      <c r="A49" s="1411">
        <v>11</v>
      </c>
      <c r="B49" s="1414">
        <v>11.12</v>
      </c>
      <c r="C49" s="1414">
        <v>-21.34</v>
      </c>
      <c r="D49" s="1321">
        <v>-2.79</v>
      </c>
      <c r="E49" s="1414">
        <v>5.89</v>
      </c>
      <c r="F49" s="1321">
        <v>0.06</v>
      </c>
      <c r="G49" s="1416">
        <v>6.6</v>
      </c>
      <c r="H49" s="1414">
        <v>-72.650000000000006</v>
      </c>
      <c r="I49" s="1414">
        <v>-79.58</v>
      </c>
      <c r="J49" s="1414">
        <v>-65.400000000000006</v>
      </c>
      <c r="K49" s="1414">
        <v>7.88</v>
      </c>
      <c r="L49" s="1414">
        <v>10.69</v>
      </c>
      <c r="M49" s="1416">
        <v>-72.489999999999995</v>
      </c>
      <c r="N49" s="1414">
        <v>-34.275362318840578</v>
      </c>
      <c r="O49" s="1414">
        <v>2.0772946859903381</v>
      </c>
      <c r="P49" s="1414">
        <v>-15.410628019323671</v>
      </c>
      <c r="Q49" s="1414">
        <v>-7.6328502415458939</v>
      </c>
      <c r="R49" s="1416">
        <v>-17.254428341384862</v>
      </c>
      <c r="S49" s="1414">
        <v>-7.785403919482131</v>
      </c>
      <c r="T49" s="1414">
        <v>-6.1005586592178771</v>
      </c>
      <c r="U49" s="1414">
        <v>12.979515828677838</v>
      </c>
      <c r="V49" s="1414">
        <v>5.054890485058082</v>
      </c>
      <c r="W49" s="1416">
        <v>-0.30214891667405636</v>
      </c>
    </row>
    <row r="50" spans="1:23" ht="15.6">
      <c r="A50" s="1411">
        <v>12</v>
      </c>
      <c r="B50" s="1414">
        <v>15.53</v>
      </c>
      <c r="C50" s="1414">
        <v>-23.93</v>
      </c>
      <c r="D50" s="1321">
        <v>-3.16</v>
      </c>
      <c r="E50" s="1414">
        <v>-0.94</v>
      </c>
      <c r="F50" s="1321">
        <v>0.82</v>
      </c>
      <c r="G50" s="1416">
        <v>5.92</v>
      </c>
      <c r="H50" s="1414">
        <v>-72.64</v>
      </c>
      <c r="I50" s="1414">
        <v>-79.58</v>
      </c>
      <c r="J50" s="1414">
        <v>-65.400000000000006</v>
      </c>
      <c r="K50" s="1414">
        <v>7.88</v>
      </c>
      <c r="L50" s="1414">
        <v>10.69</v>
      </c>
      <c r="M50" s="1416">
        <v>-72.489999999999995</v>
      </c>
      <c r="N50" s="1414">
        <v>-18.065296251511491</v>
      </c>
      <c r="O50" s="1414">
        <v>1.7412333736396615</v>
      </c>
      <c r="P50" s="1414">
        <v>-4.9576783555018142</v>
      </c>
      <c r="Q50" s="1414">
        <v>4.8367593712211665E-2</v>
      </c>
      <c r="R50" s="1416">
        <v>-8.2547359935509874</v>
      </c>
      <c r="S50" s="1414">
        <v>5.3205639797818366E-2</v>
      </c>
      <c r="T50" s="1414">
        <v>-6.3341314179303003</v>
      </c>
      <c r="U50" s="1414">
        <v>3.7628801986343881</v>
      </c>
      <c r="V50" s="1414">
        <v>3.8689367739647071</v>
      </c>
      <c r="W50" s="1416">
        <v>-0.83934852649936476</v>
      </c>
    </row>
    <row r="51" spans="1:23" ht="15.6">
      <c r="A51" s="1411">
        <v>2018</v>
      </c>
      <c r="B51" s="1414"/>
      <c r="C51" s="1414"/>
      <c r="D51" s="1321"/>
      <c r="E51" s="1414"/>
      <c r="F51" s="1321"/>
      <c r="G51" s="1416"/>
      <c r="H51" s="1414"/>
      <c r="I51" s="1414"/>
      <c r="J51" s="1414"/>
      <c r="K51" s="1414"/>
      <c r="L51" s="1414"/>
      <c r="M51" s="1416"/>
      <c r="N51" s="1414"/>
      <c r="O51" s="1414"/>
      <c r="P51" s="1414"/>
      <c r="Q51" s="1414"/>
      <c r="R51" s="1416"/>
      <c r="S51" s="1414"/>
      <c r="T51" s="1414"/>
      <c r="U51" s="1414"/>
      <c r="V51" s="1414"/>
      <c r="W51" s="1416"/>
    </row>
    <row r="52" spans="1:23" ht="15.6">
      <c r="A52" s="1411">
        <v>1</v>
      </c>
      <c r="B52" s="1414">
        <v>8.92</v>
      </c>
      <c r="C52" s="1414">
        <v>-24.05</v>
      </c>
      <c r="D52" s="1321">
        <v>-4.42</v>
      </c>
      <c r="E52" s="1414">
        <v>16.62</v>
      </c>
      <c r="F52" s="1321">
        <v>14.55</v>
      </c>
      <c r="G52" s="1416">
        <v>9.99</v>
      </c>
      <c r="H52" s="1414">
        <v>-74.05</v>
      </c>
      <c r="I52" s="1414">
        <v>-81.03</v>
      </c>
      <c r="J52" s="1414">
        <v>-65.2</v>
      </c>
      <c r="K52" s="1414">
        <v>6.43</v>
      </c>
      <c r="L52" s="1414">
        <v>11.74</v>
      </c>
      <c r="M52" s="1416">
        <v>-73.14</v>
      </c>
      <c r="N52" s="1414">
        <v>-24.034131310737141</v>
      </c>
      <c r="O52" s="1414">
        <v>2.0621000237022993</v>
      </c>
      <c r="P52" s="1414">
        <v>9.8838587342972311</v>
      </c>
      <c r="Q52" s="1414">
        <v>1.9672908272102392</v>
      </c>
      <c r="R52" s="1416">
        <v>-5.4041242000474039</v>
      </c>
      <c r="S52" s="1414">
        <v>6.805063739376771</v>
      </c>
      <c r="T52" s="1414">
        <v>3.503009915014164</v>
      </c>
      <c r="U52" s="1414">
        <v>4.314536118980171</v>
      </c>
      <c r="V52" s="1414">
        <v>8.9002301699716728</v>
      </c>
      <c r="W52" s="1416">
        <v>4.8742032577903682</v>
      </c>
    </row>
    <row r="53" spans="1:23" ht="15.6">
      <c r="A53" s="1411">
        <v>2</v>
      </c>
      <c r="B53" s="1414">
        <v>10.39</v>
      </c>
      <c r="C53" s="1414">
        <v>-22.58</v>
      </c>
      <c r="D53" s="1321">
        <v>-6.7</v>
      </c>
      <c r="E53" s="1414">
        <v>33.270000000000003</v>
      </c>
      <c r="F53" s="1321">
        <v>5.43</v>
      </c>
      <c r="G53" s="1416">
        <v>16.78</v>
      </c>
      <c r="H53" s="1414">
        <v>-73.42</v>
      </c>
      <c r="I53" s="1414">
        <v>-80.569999999999993</v>
      </c>
      <c r="J53" s="1414">
        <v>-64.7</v>
      </c>
      <c r="K53" s="1414">
        <v>6.31</v>
      </c>
      <c r="L53" s="1414">
        <v>11.4</v>
      </c>
      <c r="M53" s="1416">
        <v>-72.63</v>
      </c>
      <c r="N53" s="1414">
        <v>-36.84834123222749</v>
      </c>
      <c r="O53" s="1414">
        <v>1.5402843601895733</v>
      </c>
      <c r="P53" s="1414">
        <v>41.018957345971572</v>
      </c>
      <c r="Q53" s="1414">
        <v>-5.5450236966824651</v>
      </c>
      <c r="R53" s="1416">
        <v>0.87677725118483529</v>
      </c>
      <c r="S53" s="1414">
        <v>3.7862960339943337</v>
      </c>
      <c r="T53" s="1414">
        <v>-4.0040722379603402</v>
      </c>
      <c r="U53" s="1414">
        <v>7.0323123229461775</v>
      </c>
      <c r="V53" s="1414">
        <v>2.9689270538243635</v>
      </c>
      <c r="W53" s="1416">
        <v>2.2715120396600565</v>
      </c>
    </row>
    <row r="54" spans="1:23" ht="15.6">
      <c r="A54" s="1411">
        <v>3</v>
      </c>
      <c r="B54" s="1414">
        <v>15.34</v>
      </c>
      <c r="C54" s="1414">
        <v>-23.15</v>
      </c>
      <c r="D54" s="1321">
        <v>-4.1399999999999997</v>
      </c>
      <c r="E54" s="1414">
        <v>33.67</v>
      </c>
      <c r="F54" s="1321">
        <v>6.1</v>
      </c>
      <c r="G54" s="1416">
        <v>17.72</v>
      </c>
      <c r="H54" s="1414">
        <v>-73.37</v>
      </c>
      <c r="I54" s="1414">
        <v>-80.53</v>
      </c>
      <c r="J54" s="1414">
        <v>-64.599999999999994</v>
      </c>
      <c r="K54" s="1414">
        <v>6.6</v>
      </c>
      <c r="L54" s="1414">
        <v>11.07</v>
      </c>
      <c r="M54" s="1416">
        <v>-72.569999999999993</v>
      </c>
      <c r="N54" s="1414">
        <v>-37.039693926351035</v>
      </c>
      <c r="O54" s="1414">
        <v>1.5542802486848406</v>
      </c>
      <c r="P54" s="1414">
        <v>41.176470588235297</v>
      </c>
      <c r="Q54" s="1414">
        <v>6.1453849832615965</v>
      </c>
      <c r="R54" s="1416">
        <v>0.86083213773314293</v>
      </c>
      <c r="S54" s="1414">
        <v>2.4760977337110477</v>
      </c>
      <c r="T54" s="1414">
        <v>5.9375000000000009</v>
      </c>
      <c r="U54" s="1414">
        <v>-0.87314093484419375</v>
      </c>
      <c r="V54" s="1414">
        <v>1.402000708215297</v>
      </c>
      <c r="W54" s="1416">
        <v>2.5134855996222849</v>
      </c>
    </row>
    <row r="55" spans="1:23" ht="15.6">
      <c r="A55" s="1411">
        <v>4</v>
      </c>
      <c r="B55" s="1414">
        <v>18.18</v>
      </c>
      <c r="C55" s="1414">
        <v>-21.33</v>
      </c>
      <c r="D55" s="1321">
        <v>-3.43</v>
      </c>
      <c r="E55" s="1414">
        <v>31.81</v>
      </c>
      <c r="F55" s="1321">
        <v>11.96</v>
      </c>
      <c r="G55" s="1416">
        <v>17.809999999999999</v>
      </c>
      <c r="H55" s="1414">
        <v>-72.27</v>
      </c>
      <c r="I55" s="1414">
        <v>-79.73</v>
      </c>
      <c r="J55" s="1414">
        <v>-63.2</v>
      </c>
      <c r="K55" s="1414">
        <v>6.58</v>
      </c>
      <c r="L55" s="1414">
        <v>11.12</v>
      </c>
      <c r="M55" s="1416">
        <v>-71.44</v>
      </c>
      <c r="N55" s="1414">
        <v>-33.539339196577131</v>
      </c>
      <c r="O55" s="1414">
        <v>1.68766341811267</v>
      </c>
      <c r="P55" s="1414">
        <v>30.449251247920134</v>
      </c>
      <c r="Q55" s="1414">
        <v>0.73686712621820849</v>
      </c>
      <c r="R55" s="1416">
        <v>-1.5925837889232239</v>
      </c>
      <c r="S55" s="1414">
        <v>2.7328257790368276</v>
      </c>
      <c r="T55" s="1414">
        <v>3.2020184135977332</v>
      </c>
      <c r="U55" s="1414">
        <v>3.774521954674221</v>
      </c>
      <c r="V55" s="1414">
        <v>2.676788243626063</v>
      </c>
      <c r="W55" s="1416">
        <v>3.2364553824362603</v>
      </c>
    </row>
    <row r="56" spans="1:23" ht="15.6">
      <c r="A56" s="1411">
        <v>5</v>
      </c>
      <c r="B56" s="1414">
        <v>32.270000000000003</v>
      </c>
      <c r="C56" s="1414">
        <v>-20.61</v>
      </c>
      <c r="D56" s="1321">
        <v>-5.45</v>
      </c>
      <c r="E56" s="1414">
        <v>39.020000000000003</v>
      </c>
      <c r="F56" s="1321">
        <v>2.85</v>
      </c>
      <c r="G56" s="1416">
        <v>25.58</v>
      </c>
      <c r="H56" s="1414">
        <v>-69.62</v>
      </c>
      <c r="I56" s="1414">
        <v>-77.790000000000006</v>
      </c>
      <c r="J56" s="1414">
        <v>-28.2</v>
      </c>
      <c r="K56" s="1414">
        <v>7.21</v>
      </c>
      <c r="L56" s="1414">
        <v>10.45</v>
      </c>
      <c r="M56" s="1416">
        <v>-52.97</v>
      </c>
      <c r="N56" s="1414">
        <v>-17.118437118437114</v>
      </c>
      <c r="O56" s="1414">
        <v>1.7826617826617821</v>
      </c>
      <c r="P56" s="1414">
        <v>27.399267399267394</v>
      </c>
      <c r="Q56" s="1414">
        <v>-10.476190476190476</v>
      </c>
      <c r="R56" s="1416">
        <v>2.8327228327228355</v>
      </c>
      <c r="S56" s="1414">
        <v>6.7307011331444757</v>
      </c>
      <c r="T56" s="1414">
        <v>2.5462995750708219</v>
      </c>
      <c r="U56" s="1414">
        <v>8.9772485835694056</v>
      </c>
      <c r="V56" s="1414">
        <v>2.5174398016997168</v>
      </c>
      <c r="W56" s="1416">
        <v>6.084749763928234</v>
      </c>
    </row>
    <row r="57" spans="1:23" ht="15.6">
      <c r="A57" s="1411">
        <v>6</v>
      </c>
      <c r="B57" s="1414">
        <v>24.71</v>
      </c>
      <c r="C57" s="1414">
        <v>-19.57</v>
      </c>
      <c r="D57" s="1321">
        <v>-2.8</v>
      </c>
      <c r="E57" s="1414">
        <v>22.48</v>
      </c>
      <c r="F57" s="1321">
        <v>2</v>
      </c>
      <c r="G57" s="1416">
        <v>16.670000000000002</v>
      </c>
      <c r="H57" s="1414">
        <v>-69.599999999999994</v>
      </c>
      <c r="I57" s="1414">
        <v>-77.78</v>
      </c>
      <c r="J57" s="1414">
        <v>-28.1</v>
      </c>
      <c r="K57" s="1414">
        <v>7.21</v>
      </c>
      <c r="L57" s="1414">
        <v>10.45</v>
      </c>
      <c r="M57" s="1416">
        <v>-52.95</v>
      </c>
      <c r="N57" s="1414">
        <v>-13.035294117647066</v>
      </c>
      <c r="O57" s="1414">
        <v>0.61176470588235266</v>
      </c>
      <c r="P57" s="1414">
        <v>35.129411764705885</v>
      </c>
      <c r="Q57" s="1414">
        <v>-10.094117647058823</v>
      </c>
      <c r="R57" s="1416">
        <v>7.1607843137254896</v>
      </c>
      <c r="S57" s="1414">
        <v>7.6159702549575083</v>
      </c>
      <c r="T57" s="1414">
        <v>16.560109773371106</v>
      </c>
      <c r="U57" s="1414">
        <v>16.652531869688385</v>
      </c>
      <c r="V57" s="1414">
        <v>6.9969015580736542</v>
      </c>
      <c r="W57" s="1416">
        <v>13.609537299339003</v>
      </c>
    </row>
    <row r="58" spans="1:23" ht="15.6">
      <c r="A58" s="1411">
        <v>7</v>
      </c>
      <c r="B58" s="1414">
        <v>23.83</v>
      </c>
      <c r="C58" s="1414">
        <v>-21.74</v>
      </c>
      <c r="D58" s="1321">
        <v>-2.54</v>
      </c>
      <c r="E58" s="1414">
        <v>18</v>
      </c>
      <c r="F58" s="1321">
        <v>-0.04</v>
      </c>
      <c r="G58" s="1416">
        <v>14.79</v>
      </c>
      <c r="H58" s="1414">
        <v>-69.599999999999994</v>
      </c>
      <c r="I58" s="1414">
        <v>-77.78</v>
      </c>
      <c r="J58" s="1414">
        <v>-28.1</v>
      </c>
      <c r="K58" s="1414">
        <v>7.22</v>
      </c>
      <c r="L58" s="1414">
        <v>10.45</v>
      </c>
      <c r="M58" s="1416">
        <v>-52.95</v>
      </c>
      <c r="N58" s="1414">
        <v>-27.325990157018982</v>
      </c>
      <c r="O58" s="1414">
        <v>1.1249121162409186</v>
      </c>
      <c r="P58" s="1414">
        <v>35.856573705179287</v>
      </c>
      <c r="Q58" s="1414">
        <v>-9.9835950316381528</v>
      </c>
      <c r="R58" s="1416">
        <v>2.4685571439731264</v>
      </c>
      <c r="S58" s="1414">
        <v>11.34295325779037</v>
      </c>
      <c r="T58" s="1414">
        <v>19.207064447592071</v>
      </c>
      <c r="U58" s="1414">
        <v>17.670591359773368</v>
      </c>
      <c r="V58" s="1414">
        <v>7.7228222379603402</v>
      </c>
      <c r="W58" s="1416">
        <v>16.073536355051935</v>
      </c>
    </row>
    <row r="59" spans="1:23" ht="15.6">
      <c r="A59" s="1411">
        <v>8</v>
      </c>
      <c r="B59" s="1414">
        <v>22.77</v>
      </c>
      <c r="C59" s="1414">
        <v>-20.95</v>
      </c>
      <c r="D59" s="1321">
        <v>-1.19</v>
      </c>
      <c r="E59" s="1414">
        <v>16.89</v>
      </c>
      <c r="F59" s="1321">
        <v>4.46</v>
      </c>
      <c r="G59" s="1416">
        <v>13.62</v>
      </c>
      <c r="H59" s="1414">
        <v>-69.599999999999994</v>
      </c>
      <c r="I59" s="1414">
        <v>-77.78</v>
      </c>
      <c r="J59" s="1414">
        <v>-33.5</v>
      </c>
      <c r="K59" s="1414">
        <v>8.98</v>
      </c>
      <c r="L59" s="1414">
        <v>10.45</v>
      </c>
      <c r="M59" s="1416">
        <v>-55.63</v>
      </c>
      <c r="N59" s="1414">
        <v>-26.150969852769343</v>
      </c>
      <c r="O59" s="1414">
        <v>1.1217574199579339</v>
      </c>
      <c r="P59" s="1414">
        <v>12.619770974526759</v>
      </c>
      <c r="Q59" s="1414">
        <v>-9.9088572096284189</v>
      </c>
      <c r="R59" s="1416">
        <v>-4.8843187660668406</v>
      </c>
      <c r="S59" s="1414">
        <v>9.9238668555240803</v>
      </c>
      <c r="T59" s="1414">
        <v>5.8666784702549588</v>
      </c>
      <c r="U59" s="1414">
        <v>17.670591359773368</v>
      </c>
      <c r="V59" s="1414">
        <v>10.121901558073654</v>
      </c>
      <c r="W59" s="1416">
        <v>11.153712228517469</v>
      </c>
    </row>
    <row r="60" spans="1:23" ht="15.6">
      <c r="A60" s="1411">
        <v>9</v>
      </c>
      <c r="B60" s="1414">
        <v>22.77</v>
      </c>
      <c r="C60" s="1414">
        <v>-19.920000000000002</v>
      </c>
      <c r="D60" s="1321">
        <v>2.63</v>
      </c>
      <c r="E60" s="1414">
        <v>7.16</v>
      </c>
      <c r="F60" s="1321">
        <v>1.43</v>
      </c>
      <c r="G60" s="1416">
        <v>9.1</v>
      </c>
      <c r="H60" s="1414">
        <v>-67.78</v>
      </c>
      <c r="I60" s="1414">
        <v>-76.45</v>
      </c>
      <c r="J60" s="1414">
        <v>-29.5</v>
      </c>
      <c r="K60" s="1414">
        <v>9.52</v>
      </c>
      <c r="L60" s="1414">
        <v>19.190000000000001</v>
      </c>
      <c r="M60" s="1416">
        <v>-52.99</v>
      </c>
      <c r="N60" s="1414">
        <v>-18.851320055581287</v>
      </c>
      <c r="O60" s="1414">
        <v>0.16211208893006002</v>
      </c>
      <c r="P60" s="1414">
        <v>0.11579434923575693</v>
      </c>
      <c r="Q60" s="1414">
        <v>-10.46780917091246</v>
      </c>
      <c r="R60" s="1416">
        <v>-6.2992125984251963</v>
      </c>
      <c r="S60" s="1414">
        <v>6.9582152974504252</v>
      </c>
      <c r="T60" s="1414">
        <v>7.4955736543909355</v>
      </c>
      <c r="U60" s="1414">
        <v>7.2775318696883859</v>
      </c>
      <c r="V60" s="1414">
        <v>5.5362075070821533</v>
      </c>
      <c r="W60" s="1416">
        <v>7.2437736071765819</v>
      </c>
    </row>
    <row r="61" spans="1:23" ht="15.6">
      <c r="A61" s="1411">
        <v>10</v>
      </c>
      <c r="B61" s="1414">
        <v>16.97</v>
      </c>
      <c r="C61" s="1414">
        <v>-15.65</v>
      </c>
      <c r="D61" s="1321">
        <v>10.86</v>
      </c>
      <c r="E61" s="1414">
        <v>6.95</v>
      </c>
      <c r="F61" s="1321">
        <v>5.93</v>
      </c>
      <c r="G61" s="1416">
        <v>4.3499999999999996</v>
      </c>
      <c r="H61" s="1414">
        <v>-67.62</v>
      </c>
      <c r="I61" s="1414">
        <v>-76.33</v>
      </c>
      <c r="J61" s="1414">
        <v>-29.2</v>
      </c>
      <c r="K61" s="1414">
        <v>9.57</v>
      </c>
      <c r="L61" s="1414">
        <v>18.829999999999998</v>
      </c>
      <c r="M61" s="1416">
        <v>-52.74</v>
      </c>
      <c r="N61" s="1414">
        <v>4.1184636742248975</v>
      </c>
      <c r="O61" s="1414">
        <v>23.692734844979178</v>
      </c>
      <c r="P61" s="1414">
        <v>-22.813512262841286</v>
      </c>
      <c r="Q61" s="1414">
        <v>-10.527533549282738</v>
      </c>
      <c r="R61" s="1416">
        <v>-14.129261144531853</v>
      </c>
      <c r="S61" s="1414">
        <v>5.4627301699716719</v>
      </c>
      <c r="T61" s="1414">
        <v>16.398459631728048</v>
      </c>
      <c r="U61" s="1414">
        <v>11.367475212464589</v>
      </c>
      <c r="V61" s="1414">
        <v>9.1631550991501438</v>
      </c>
      <c r="W61" s="1416">
        <v>11.076221671388103</v>
      </c>
    </row>
    <row r="62" spans="1:23" ht="15.6">
      <c r="A62" s="1411">
        <v>11</v>
      </c>
      <c r="B62" s="1414">
        <v>14.73</v>
      </c>
      <c r="C62" s="1414">
        <v>-25.77</v>
      </c>
      <c r="D62" s="1321">
        <v>7.71</v>
      </c>
      <c r="E62" s="1414">
        <v>15.91</v>
      </c>
      <c r="F62" s="1321">
        <v>4.97</v>
      </c>
      <c r="G62" s="1416">
        <v>7.64</v>
      </c>
      <c r="H62" s="1414">
        <v>-67.3</v>
      </c>
      <c r="I62" s="1414">
        <v>-76.099999999999994</v>
      </c>
      <c r="J62" s="1414">
        <v>-29.2</v>
      </c>
      <c r="K62" s="1414">
        <v>9.66</v>
      </c>
      <c r="L62" s="1414">
        <v>18.38</v>
      </c>
      <c r="M62" s="1416">
        <v>-52.28</v>
      </c>
      <c r="N62" s="1414">
        <v>-9.9175446633073729</v>
      </c>
      <c r="O62" s="1414">
        <v>-0.57260650480989483</v>
      </c>
      <c r="P62" s="1414">
        <v>0.52679798442510251</v>
      </c>
      <c r="Q62" s="1414">
        <v>-3.7104901511681163</v>
      </c>
      <c r="R62" s="1416">
        <v>-2.9393800580241245</v>
      </c>
      <c r="S62" s="1414">
        <v>1.5471848441926346</v>
      </c>
      <c r="T62" s="1414">
        <v>4.6060552407932009</v>
      </c>
      <c r="U62" s="1414">
        <v>14.492475212464591</v>
      </c>
      <c r="V62" s="1414">
        <v>7.4722910764872523</v>
      </c>
      <c r="W62" s="1416">
        <v>6.8819050991501411</v>
      </c>
    </row>
    <row r="63" spans="1:23" ht="15.6">
      <c r="A63" s="1411">
        <v>12</v>
      </c>
      <c r="B63" s="1414">
        <v>8.67</v>
      </c>
      <c r="C63" s="1414">
        <v>-23.99</v>
      </c>
      <c r="D63" s="1321">
        <v>3.62</v>
      </c>
      <c r="E63" s="1414">
        <v>13.42</v>
      </c>
      <c r="F63" s="1321">
        <v>4.76</v>
      </c>
      <c r="G63" s="1416">
        <v>6.16</v>
      </c>
      <c r="H63" s="1414">
        <v>-67.3</v>
      </c>
      <c r="I63" s="1414">
        <v>-76.099999999999994</v>
      </c>
      <c r="J63" s="1414">
        <v>-28.5</v>
      </c>
      <c r="K63" s="1414">
        <v>9.66</v>
      </c>
      <c r="L63" s="1414">
        <v>18.38</v>
      </c>
      <c r="M63" s="1416">
        <v>-52.28</v>
      </c>
      <c r="N63" s="1414">
        <v>-9.0743274053807532</v>
      </c>
      <c r="O63" s="1414">
        <v>-0.41039671682626533</v>
      </c>
      <c r="P63" s="1414">
        <v>-14.432284541723668</v>
      </c>
      <c r="Q63" s="1414">
        <v>-3.6935704514363881</v>
      </c>
      <c r="R63" s="1416">
        <v>-7.6987384100927176</v>
      </c>
      <c r="S63" s="1414">
        <v>2.7693325103606381</v>
      </c>
      <c r="T63" s="1414">
        <v>15.406313376245478</v>
      </c>
      <c r="U63" s="1414">
        <v>7.2574728859888902</v>
      </c>
      <c r="V63" s="1414">
        <v>11.973635481879905</v>
      </c>
      <c r="W63" s="1416">
        <v>8.4777062575316702</v>
      </c>
    </row>
    <row r="64" spans="1:23" ht="15.6">
      <c r="A64" s="1411">
        <v>2019</v>
      </c>
      <c r="B64" s="1414"/>
      <c r="C64" s="1414"/>
      <c r="D64" s="1321"/>
      <c r="E64" s="1414"/>
      <c r="F64" s="1321"/>
      <c r="G64" s="1416"/>
      <c r="H64" s="1414"/>
      <c r="I64" s="1414"/>
      <c r="J64" s="1414"/>
      <c r="K64" s="1414"/>
      <c r="L64" s="1414"/>
      <c r="M64" s="1416"/>
      <c r="N64" s="1414"/>
      <c r="O64" s="1414"/>
      <c r="P64" s="1414"/>
      <c r="Q64" s="1414"/>
      <c r="R64" s="1416"/>
      <c r="S64" s="1414"/>
      <c r="T64" s="1414"/>
      <c r="U64" s="1414"/>
      <c r="V64" s="1414"/>
      <c r="W64" s="1416"/>
    </row>
    <row r="65" spans="1:23" ht="15.6">
      <c r="A65" s="1411">
        <v>1</v>
      </c>
      <c r="B65" s="1414">
        <v>11.95</v>
      </c>
      <c r="C65" s="1414">
        <v>-14.29</v>
      </c>
      <c r="D65" s="1321">
        <v>4.5999999999999996</v>
      </c>
      <c r="E65" s="1414">
        <v>12.93</v>
      </c>
      <c r="F65" s="1321">
        <v>-0.22</v>
      </c>
      <c r="G65" s="1416">
        <v>6.76</v>
      </c>
      <c r="H65" s="1414">
        <v>-64.349999999999994</v>
      </c>
      <c r="I65" s="1414">
        <v>-65.55</v>
      </c>
      <c r="J65" s="1414">
        <v>-36.5</v>
      </c>
      <c r="K65" s="1414">
        <v>20.5</v>
      </c>
      <c r="L65" s="1414">
        <v>17.7</v>
      </c>
      <c r="M65" s="1416">
        <v>-51.02</v>
      </c>
      <c r="N65" s="1414">
        <v>14.753363228699552</v>
      </c>
      <c r="O65" s="1414">
        <v>-2.5784753363228705</v>
      </c>
      <c r="P65" s="1414">
        <v>-46.434977578475326</v>
      </c>
      <c r="Q65" s="1414">
        <v>4.2825112107623333</v>
      </c>
      <c r="R65" s="1416">
        <v>-9.7010463378176368</v>
      </c>
      <c r="S65" s="1414">
        <v>2.4726438404518176</v>
      </c>
      <c r="T65" s="1414">
        <v>4.464789975291211</v>
      </c>
      <c r="U65" s="1414">
        <v>2.7801800211789622</v>
      </c>
      <c r="V65" s="1414">
        <v>1.7918284504059301</v>
      </c>
      <c r="W65" s="1416">
        <v>3.2392046123073301</v>
      </c>
    </row>
    <row r="66" spans="1:23" ht="15.6">
      <c r="A66" s="1411">
        <v>2</v>
      </c>
      <c r="B66" s="1414">
        <v>7.87</v>
      </c>
      <c r="C66" s="1414">
        <v>-11.02</v>
      </c>
      <c r="D66" s="1321">
        <v>6.05</v>
      </c>
      <c r="E66" s="1414">
        <v>29.53</v>
      </c>
      <c r="F66" s="1321">
        <v>1.3</v>
      </c>
      <c r="G66" s="1416">
        <v>10.45</v>
      </c>
      <c r="H66" s="1414">
        <v>-62.28</v>
      </c>
      <c r="I66" s="1414">
        <v>-76.150000000000006</v>
      </c>
      <c r="J66" s="1414">
        <v>-33.1</v>
      </c>
      <c r="K66" s="1414">
        <v>9.25</v>
      </c>
      <c r="L66" s="1414">
        <v>16.07</v>
      </c>
      <c r="M66" s="1416">
        <v>-54.63</v>
      </c>
      <c r="N66" s="1414">
        <v>8.6067415730337071</v>
      </c>
      <c r="O66" s="1414">
        <v>0.38202247191011207</v>
      </c>
      <c r="P66" s="1414">
        <v>27.168539325842701</v>
      </c>
      <c r="Q66" s="1414">
        <v>0.20224719101123445</v>
      </c>
      <c r="R66" s="1416">
        <v>11.797752808988765</v>
      </c>
      <c r="S66" s="1414">
        <v>5.2923429781227949</v>
      </c>
      <c r="T66" s="1414">
        <v>2.2671136203246296</v>
      </c>
      <c r="U66" s="1414">
        <v>1.8809103740296398</v>
      </c>
      <c r="V66" s="1414">
        <v>12.879851799576571</v>
      </c>
      <c r="W66" s="1416">
        <v>3.1467889908256881</v>
      </c>
    </row>
    <row r="67" spans="1:23" ht="15.6">
      <c r="A67" s="1411">
        <v>3</v>
      </c>
      <c r="B67" s="1414">
        <v>-4.38</v>
      </c>
      <c r="C67" s="1414">
        <v>-15.84</v>
      </c>
      <c r="D67" s="1321">
        <v>6.76</v>
      </c>
      <c r="E67" s="1414">
        <v>31.87</v>
      </c>
      <c r="F67" s="1321">
        <v>-0.4</v>
      </c>
      <c r="G67" s="1416">
        <v>6.91</v>
      </c>
      <c r="H67" s="1414">
        <v>-61.44</v>
      </c>
      <c r="I67" s="1414">
        <v>-62.69</v>
      </c>
      <c r="J67" s="1414">
        <v>-32.299999999999997</v>
      </c>
      <c r="K67" s="1414">
        <v>9.24</v>
      </c>
      <c r="L67" s="1414">
        <v>15.71</v>
      </c>
      <c r="M67" s="1416">
        <v>-47.5</v>
      </c>
      <c r="N67" s="1414">
        <v>-7.3305365422830668</v>
      </c>
      <c r="O67" s="1414">
        <v>0.37535879885184364</v>
      </c>
      <c r="P67" s="1414">
        <v>45.595054095826896</v>
      </c>
      <c r="Q67" s="1414">
        <v>4.01854714064915</v>
      </c>
      <c r="R67" s="1416">
        <v>12.629719584897328</v>
      </c>
      <c r="S67" s="1414">
        <v>2.6635497529992942</v>
      </c>
      <c r="T67" s="1414">
        <v>1.4800635144671845</v>
      </c>
      <c r="U67" s="1414">
        <v>1.0169371912491179</v>
      </c>
      <c r="V67" s="1414">
        <v>15.014643613267467</v>
      </c>
      <c r="W67" s="1416">
        <v>1.7201834862385321</v>
      </c>
    </row>
    <row r="68" spans="1:23" ht="15.6">
      <c r="A68" s="1411">
        <v>4</v>
      </c>
      <c r="B68" s="1414">
        <v>1.99</v>
      </c>
      <c r="C68" s="1414">
        <v>-14.98</v>
      </c>
      <c r="D68" s="1321">
        <v>6.21</v>
      </c>
      <c r="E68" s="1414">
        <v>30.88</v>
      </c>
      <c r="F68" s="1321">
        <v>0.02</v>
      </c>
      <c r="G68" s="1416">
        <v>8.89</v>
      </c>
      <c r="H68" s="1414">
        <v>-61.21</v>
      </c>
      <c r="I68" s="1414">
        <v>-62.47</v>
      </c>
      <c r="J68" s="1414">
        <v>-31.9</v>
      </c>
      <c r="K68" s="1414">
        <v>5.6</v>
      </c>
      <c r="L68" s="1414">
        <v>15.42</v>
      </c>
      <c r="M68" s="1416">
        <v>-47.2</v>
      </c>
      <c r="N68" s="1414">
        <v>-26.693227091633467</v>
      </c>
      <c r="O68" s="1414">
        <v>3.9397963700752547</v>
      </c>
      <c r="P68" s="1414">
        <v>40.836653386454188</v>
      </c>
      <c r="Q68" s="1414">
        <v>1.4608233731739713</v>
      </c>
      <c r="R68" s="1416">
        <v>3.4012099749151536</v>
      </c>
      <c r="S68" s="1414">
        <v>4.5078358865997536</v>
      </c>
      <c r="T68" s="1414">
        <v>9.0665610142630726</v>
      </c>
      <c r="U68" s="1414">
        <v>13.514175030815286</v>
      </c>
      <c r="V68" s="1414">
        <v>2.4456770558196865</v>
      </c>
      <c r="W68" s="1416">
        <v>9.0295239772260363</v>
      </c>
    </row>
    <row r="69" spans="1:23" ht="15.6">
      <c r="A69" s="1411">
        <v>5</v>
      </c>
      <c r="B69" s="1414">
        <v>19.260000000000002</v>
      </c>
      <c r="C69" s="1414">
        <v>-16.149999999999999</v>
      </c>
      <c r="D69" s="1321">
        <v>-1.67</v>
      </c>
      <c r="E69" s="1414">
        <v>24.11</v>
      </c>
      <c r="F69" s="1321">
        <v>0.02</v>
      </c>
      <c r="G69" s="1416">
        <v>15.01</v>
      </c>
      <c r="H69" s="1414">
        <v>-61.21</v>
      </c>
      <c r="I69" s="1414">
        <v>-62.47</v>
      </c>
      <c r="J69" s="1414">
        <v>-31.9</v>
      </c>
      <c r="K69" s="1414">
        <v>5.6</v>
      </c>
      <c r="L69" s="1414">
        <v>15.42</v>
      </c>
      <c r="M69" s="1416">
        <v>-47.2</v>
      </c>
      <c r="N69" s="1414">
        <v>-26.161056668086921</v>
      </c>
      <c r="O69" s="1414">
        <v>3.7920749893481029</v>
      </c>
      <c r="P69" s="1414">
        <v>39.859394972305061</v>
      </c>
      <c r="Q69" s="1414">
        <v>2.045164039198978</v>
      </c>
      <c r="R69" s="1416">
        <v>3.3020877716233477</v>
      </c>
      <c r="S69" s="1414">
        <v>4.4391701828410683</v>
      </c>
      <c r="T69" s="1414">
        <v>13.078410689170182</v>
      </c>
      <c r="U69" s="1414">
        <v>19.137482419127991</v>
      </c>
      <c r="V69" s="1414">
        <v>1.2137834036568209</v>
      </c>
      <c r="W69" s="1416">
        <v>12.218354430379746</v>
      </c>
    </row>
    <row r="70" spans="1:23" ht="15.6">
      <c r="A70" s="1411">
        <v>6</v>
      </c>
      <c r="B70" s="1414">
        <v>21.93</v>
      </c>
      <c r="C70" s="1414">
        <v>-12.69</v>
      </c>
      <c r="D70" s="1321">
        <v>4.7</v>
      </c>
      <c r="E70" s="1414">
        <v>15.56</v>
      </c>
      <c r="F70" s="1321">
        <v>4.16</v>
      </c>
      <c r="G70" s="1416">
        <v>10.93</v>
      </c>
      <c r="H70" s="1414">
        <v>-61.6</v>
      </c>
      <c r="I70" s="1414">
        <v>-62.84</v>
      </c>
      <c r="J70" s="1414">
        <v>-32.6</v>
      </c>
      <c r="K70" s="1414">
        <v>5.54</v>
      </c>
      <c r="L70" s="1414">
        <v>15.21</v>
      </c>
      <c r="M70" s="1416">
        <v>-47.72</v>
      </c>
      <c r="N70" s="1414">
        <v>16.634758562008084</v>
      </c>
      <c r="O70" s="1414">
        <v>6.5092533503509902</v>
      </c>
      <c r="P70" s="1414">
        <v>28.440757285683894</v>
      </c>
      <c r="Q70" s="1414">
        <v>-1.4677728142948308</v>
      </c>
      <c r="R70" s="1416">
        <v>12.855420832446997</v>
      </c>
      <c r="S70" s="1414">
        <v>6.1450549450549445</v>
      </c>
      <c r="T70" s="1414">
        <v>12.622417582417581</v>
      </c>
      <c r="U70" s="1414">
        <v>13.011692307692307</v>
      </c>
      <c r="V70" s="1414">
        <v>2.7523516483516484</v>
      </c>
      <c r="W70" s="1416">
        <v>10.593054945054945</v>
      </c>
    </row>
    <row r="71" spans="1:23" ht="15.6">
      <c r="A71" s="1411">
        <v>7</v>
      </c>
      <c r="B71" s="1414">
        <v>20.67</v>
      </c>
      <c r="C71" s="1414">
        <v>-8.26</v>
      </c>
      <c r="D71" s="1321">
        <v>5.12</v>
      </c>
      <c r="E71" s="1414">
        <v>19.8</v>
      </c>
      <c r="F71" s="1321">
        <v>-0.94</v>
      </c>
      <c r="G71" s="1416">
        <v>11.54</v>
      </c>
      <c r="H71" s="1414">
        <v>-63.388614970865085</v>
      </c>
      <c r="I71" s="1414">
        <v>-62.949350067234413</v>
      </c>
      <c r="J71" s="1414">
        <v>-32.604213357238912</v>
      </c>
      <c r="K71" s="1414">
        <v>3.6396234872254589</v>
      </c>
      <c r="L71" s="1414">
        <v>15.25</v>
      </c>
      <c r="M71" s="1416">
        <v>-47.776781712236662</v>
      </c>
      <c r="N71" s="1414">
        <v>22.846519314191283</v>
      </c>
      <c r="O71" s="1414">
        <v>4.2966329270811814</v>
      </c>
      <c r="P71" s="1414">
        <v>45.093988845279895</v>
      </c>
      <c r="Q71" s="1414">
        <v>-1.4253253460028921</v>
      </c>
      <c r="R71" s="1416">
        <v>21.214625077463335</v>
      </c>
      <c r="S71" s="1414">
        <v>15.245040119918878</v>
      </c>
      <c r="T71" s="1414">
        <v>8.7186315139758399</v>
      </c>
      <c r="U71" s="1414">
        <v>8.801869323692797</v>
      </c>
      <c r="V71" s="1414">
        <v>6.2609999118243529</v>
      </c>
      <c r="W71" s="1416">
        <v>10.921846985862503</v>
      </c>
    </row>
    <row r="72" spans="1:23" ht="15.6">
      <c r="A72" s="1411">
        <v>8</v>
      </c>
      <c r="B72" s="1414">
        <v>24.14</v>
      </c>
      <c r="C72" s="1414">
        <v>-20.9</v>
      </c>
      <c r="D72" s="1321">
        <v>0.59</v>
      </c>
      <c r="E72" s="1414">
        <v>17.07</v>
      </c>
      <c r="F72" s="1321">
        <v>0.95</v>
      </c>
      <c r="G72" s="1416">
        <v>13.54</v>
      </c>
      <c r="H72" s="1414">
        <v>-63.38</v>
      </c>
      <c r="I72" s="1414">
        <v>-64.739999999999995</v>
      </c>
      <c r="J72" s="1414">
        <v>-30.7</v>
      </c>
      <c r="K72" s="1414">
        <v>0.05</v>
      </c>
      <c r="L72" s="1414">
        <v>15.3</v>
      </c>
      <c r="M72" s="1416">
        <v>-47.71</v>
      </c>
      <c r="N72" s="1414">
        <v>10.897566959721937</v>
      </c>
      <c r="O72" s="1414">
        <v>0.77693723164996908</v>
      </c>
      <c r="P72" s="1414">
        <v>45.634839501124517</v>
      </c>
      <c r="Q72" s="1414">
        <v>-1.3494172970762621</v>
      </c>
      <c r="R72" s="1416">
        <v>18.585156409732161</v>
      </c>
      <c r="S72" s="1414">
        <v>15.066031913955745</v>
      </c>
      <c r="T72" s="1414">
        <v>9.4929031120514864</v>
      </c>
      <c r="U72" s="1414">
        <v>9.0471656528255302</v>
      </c>
      <c r="V72" s="1414">
        <v>5.7397513885215536</v>
      </c>
      <c r="W72" s="1416">
        <v>11.20203355961092</v>
      </c>
    </row>
    <row r="73" spans="1:23" ht="15.6">
      <c r="A73" s="1411">
        <v>9</v>
      </c>
      <c r="B73" s="1414">
        <v>7.65</v>
      </c>
      <c r="C73" s="1414">
        <v>-13.62</v>
      </c>
      <c r="D73" s="1321">
        <v>7.11</v>
      </c>
      <c r="E73" s="1414">
        <v>1.72</v>
      </c>
      <c r="F73" s="1321">
        <v>5.81</v>
      </c>
      <c r="G73" s="1416">
        <v>0.75</v>
      </c>
      <c r="H73" s="1414">
        <v>-42.02</v>
      </c>
      <c r="I73" s="1414">
        <v>-66.36</v>
      </c>
      <c r="J73" s="1414">
        <v>12.2</v>
      </c>
      <c r="K73" s="1414">
        <v>0.05</v>
      </c>
      <c r="L73" s="1414">
        <v>15.34</v>
      </c>
      <c r="M73" s="1416">
        <v>-27.07</v>
      </c>
      <c r="N73" s="1414">
        <v>26.176410674271743</v>
      </c>
      <c r="O73" s="1414">
        <v>0.77408840904461196</v>
      </c>
      <c r="P73" s="1414">
        <v>45.834182114483603</v>
      </c>
      <c r="Q73" s="1414">
        <v>-1.5889183133020981</v>
      </c>
      <c r="R73" s="1416">
        <v>23.745501459903576</v>
      </c>
      <c r="S73" s="1414">
        <v>14.7126213592233</v>
      </c>
      <c r="T73" s="1414">
        <v>8.8242718446601938</v>
      </c>
      <c r="U73" s="1414">
        <v>3.9006178287731683</v>
      </c>
      <c r="V73" s="1414">
        <v>0.72188879082082957</v>
      </c>
      <c r="W73" s="1416">
        <v>9.145837010885554</v>
      </c>
    </row>
    <row r="74" spans="1:23" ht="15.6">
      <c r="A74" s="1411">
        <v>10</v>
      </c>
      <c r="B74" s="1414">
        <v>11.94</v>
      </c>
      <c r="C74" s="1414">
        <v>-9.3000000000000007</v>
      </c>
      <c r="D74" s="1321">
        <v>7.39</v>
      </c>
      <c r="E74" s="1414">
        <v>17.36</v>
      </c>
      <c r="F74" s="1321">
        <v>-2.9</v>
      </c>
      <c r="G74" s="1416">
        <v>7.3</v>
      </c>
      <c r="H74" s="1414">
        <v>-16.72</v>
      </c>
      <c r="I74" s="1414">
        <v>-67</v>
      </c>
      <c r="J74" s="1414">
        <v>13.9</v>
      </c>
      <c r="K74" s="1414">
        <v>0.05</v>
      </c>
      <c r="L74" s="1414">
        <v>15.33</v>
      </c>
      <c r="M74" s="1416">
        <v>-26.56</v>
      </c>
      <c r="N74" s="1414">
        <v>18.7111021883156</v>
      </c>
      <c r="O74" s="1414">
        <v>2.3288496285886375</v>
      </c>
      <c r="P74" s="1414">
        <v>27.102991367195344</v>
      </c>
      <c r="Q74" s="1414">
        <v>-1.8068660911463565</v>
      </c>
      <c r="R74" s="1416">
        <v>14.4950813089741</v>
      </c>
      <c r="S74" s="1414">
        <v>15.142428521002472</v>
      </c>
      <c r="T74" s="1414">
        <v>11.099452876809039</v>
      </c>
      <c r="U74" s="1414">
        <v>4.052859159901165</v>
      </c>
      <c r="V74" s="1414">
        <v>1.136516060713026</v>
      </c>
      <c r="W74" s="1416">
        <v>10.098246852570892</v>
      </c>
    </row>
    <row r="75" spans="1:23" ht="15.6">
      <c r="A75" s="1411">
        <v>11</v>
      </c>
      <c r="B75" s="1414">
        <v>24.03</v>
      </c>
      <c r="C75" s="1414">
        <v>-9.48</v>
      </c>
      <c r="D75" s="1321">
        <v>6.63</v>
      </c>
      <c r="E75" s="1414">
        <v>7.77</v>
      </c>
      <c r="F75" s="1321">
        <v>-1.31</v>
      </c>
      <c r="G75" s="1416">
        <v>8.39</v>
      </c>
      <c r="H75" s="1414">
        <v>-13.59</v>
      </c>
      <c r="I75" s="1414">
        <v>-67.38</v>
      </c>
      <c r="J75" s="1414">
        <v>19.100000000000001</v>
      </c>
      <c r="K75" s="1414">
        <v>3.43</v>
      </c>
      <c r="L75" s="1414">
        <v>15.35</v>
      </c>
      <c r="M75" s="1416">
        <v>-24.12</v>
      </c>
      <c r="N75" s="1414">
        <v>19.798994974874372</v>
      </c>
      <c r="O75" s="1414">
        <v>6.2110552763819094</v>
      </c>
      <c r="P75" s="1414">
        <v>28.301507537688444</v>
      </c>
      <c r="Q75" s="1414">
        <v>0.72361809045226133</v>
      </c>
      <c r="R75" s="1416">
        <v>13.963149078726971</v>
      </c>
      <c r="S75" s="1414">
        <v>14.66354727641918</v>
      </c>
      <c r="T75" s="1414">
        <v>10.036108413525209</v>
      </c>
      <c r="U75" s="1414">
        <v>4.0546481857508612</v>
      </c>
      <c r="V75" s="1414">
        <v>0.65145228215767681</v>
      </c>
      <c r="W75" s="1416">
        <v>9.5847679585650827</v>
      </c>
    </row>
    <row r="76" spans="1:23" ht="15.6">
      <c r="A76" s="1411">
        <v>12</v>
      </c>
      <c r="B76" s="1414">
        <v>30.95</v>
      </c>
      <c r="C76" s="1414">
        <v>-13.3</v>
      </c>
      <c r="D76" s="1321">
        <v>3.19</v>
      </c>
      <c r="E76" s="1414">
        <v>13.93</v>
      </c>
      <c r="F76" s="1321">
        <v>9.5500000000000007</v>
      </c>
      <c r="G76" s="1416">
        <v>13.9</v>
      </c>
      <c r="H76" s="1414">
        <v>-13.68</v>
      </c>
      <c r="I76" s="1414">
        <v>-65.62</v>
      </c>
      <c r="J76" s="1414">
        <v>19.100000000000001</v>
      </c>
      <c r="K76" s="1414">
        <v>8.51</v>
      </c>
      <c r="L76" s="1414">
        <v>15.35</v>
      </c>
      <c r="M76" s="1416">
        <v>-23.28</v>
      </c>
      <c r="N76" s="1414">
        <v>20.316887284396309</v>
      </c>
      <c r="O76" s="1414">
        <v>6.1973525872442838</v>
      </c>
      <c r="P76" s="1414">
        <v>2.2663457681508192</v>
      </c>
      <c r="Q76" s="1414">
        <v>0.74207781789009264</v>
      </c>
      <c r="R76" s="1416">
        <v>5.4619601551009476</v>
      </c>
      <c r="S76" s="1414">
        <v>18.500299162345431</v>
      </c>
      <c r="T76" s="1414">
        <v>13.222975668129239</v>
      </c>
      <c r="U76" s="1414">
        <v>6.1355205424810535</v>
      </c>
      <c r="V76" s="1414">
        <v>1.1247506980454731</v>
      </c>
      <c r="W76" s="1416">
        <v>12.619598457651909</v>
      </c>
    </row>
    <row r="77" spans="1:23" ht="15.6">
      <c r="A77" s="1411">
        <v>2020</v>
      </c>
      <c r="B77" s="1414"/>
      <c r="C77" s="1414"/>
      <c r="D77" s="1321"/>
      <c r="E77" s="1414"/>
      <c r="F77" s="1321"/>
      <c r="G77" s="1416"/>
      <c r="H77" s="1414"/>
      <c r="I77" s="1414"/>
      <c r="J77" s="1414"/>
      <c r="K77" s="1414"/>
      <c r="L77" s="1414"/>
      <c r="M77" s="1416"/>
      <c r="N77" s="1414"/>
      <c r="O77" s="1414"/>
      <c r="P77" s="1414"/>
      <c r="Q77" s="1414"/>
      <c r="R77" s="1416"/>
      <c r="S77" s="1414"/>
      <c r="T77" s="1414"/>
      <c r="U77" s="1414"/>
      <c r="V77" s="1414"/>
      <c r="W77" s="1416"/>
    </row>
    <row r="78" spans="1:23" ht="15.6">
      <c r="A78" s="1411">
        <v>1</v>
      </c>
      <c r="B78" s="1414">
        <v>33.090000000000003</v>
      </c>
      <c r="C78" s="1414">
        <v>-7.49</v>
      </c>
      <c r="D78" s="1321">
        <v>-8.9700000000000006</v>
      </c>
      <c r="E78" s="1414">
        <v>15.24</v>
      </c>
      <c r="F78" s="1321">
        <v>5.23</v>
      </c>
      <c r="G78" s="1416">
        <v>19.100000000000001</v>
      </c>
      <c r="H78" s="1414">
        <v>-10.33</v>
      </c>
      <c r="I78" s="1414">
        <v>-68.34</v>
      </c>
      <c r="J78" s="1414">
        <v>24.8</v>
      </c>
      <c r="K78" s="1414">
        <v>6.65</v>
      </c>
      <c r="L78" s="1414">
        <v>15.67</v>
      </c>
      <c r="M78" s="1416">
        <v>-21.79</v>
      </c>
      <c r="N78" s="1414">
        <v>61.91251271617498</v>
      </c>
      <c r="O78" s="1414">
        <v>7.0396744659206503</v>
      </c>
      <c r="P78" s="1414">
        <v>-6.246185147507628</v>
      </c>
      <c r="Q78" s="1414">
        <v>0.75279755849440555</v>
      </c>
      <c r="R78" s="1416">
        <v>16.208884367582232</v>
      </c>
      <c r="S78" s="1414">
        <v>18.54611746156878</v>
      </c>
      <c r="T78" s="1414">
        <v>12.133129680725268</v>
      </c>
      <c r="U78" s="1414">
        <v>7.7065431612140323</v>
      </c>
      <c r="V78" s="1414">
        <v>1.0773551438707147</v>
      </c>
      <c r="W78" s="1416">
        <v>12.795263434502695</v>
      </c>
    </row>
    <row r="79" spans="1:23" ht="15.6">
      <c r="A79" s="1411">
        <v>2</v>
      </c>
      <c r="B79" s="1414">
        <v>16.350000000000001</v>
      </c>
      <c r="C79" s="1414">
        <v>-8.11</v>
      </c>
      <c r="D79" s="1321">
        <v>-9.4600000000000009</v>
      </c>
      <c r="E79" s="1414">
        <v>8.98</v>
      </c>
      <c r="F79" s="1321">
        <v>5.04</v>
      </c>
      <c r="G79" s="1416">
        <v>11.6</v>
      </c>
      <c r="H79" s="1414">
        <v>-1.33</v>
      </c>
      <c r="I79" s="1414">
        <v>-63.95</v>
      </c>
      <c r="J79" s="1414">
        <v>28.28</v>
      </c>
      <c r="K79" s="1414">
        <v>16.829999999999998</v>
      </c>
      <c r="L79" s="1414">
        <v>14.73</v>
      </c>
      <c r="M79" s="1416">
        <v>-17.84</v>
      </c>
      <c r="N79" s="1414">
        <v>3.46</v>
      </c>
      <c r="O79" s="1414">
        <v>5.19</v>
      </c>
      <c r="P79" s="1414">
        <v>51.19</v>
      </c>
      <c r="Q79" s="1414">
        <v>0.81350416920886781</v>
      </c>
      <c r="R79" s="1416">
        <v>16.489999999999998</v>
      </c>
      <c r="S79" s="1414">
        <v>13.48</v>
      </c>
      <c r="T79" s="1414">
        <v>12.09</v>
      </c>
      <c r="U79" s="1414">
        <v>22.53</v>
      </c>
      <c r="V79" s="1414">
        <v>-1.95</v>
      </c>
      <c r="W79" s="1416">
        <v>16.03</v>
      </c>
    </row>
    <row r="80" spans="1:23" ht="15.6">
      <c r="A80" s="1411">
        <v>3</v>
      </c>
      <c r="B80" s="1414">
        <v>-3.79</v>
      </c>
      <c r="C80" s="1414">
        <v>-17.670000000000002</v>
      </c>
      <c r="D80" s="1321">
        <v>6.63</v>
      </c>
      <c r="E80" s="1414">
        <v>11.62</v>
      </c>
      <c r="F80" s="1321">
        <v>-5</v>
      </c>
      <c r="G80" s="1416">
        <v>0.4</v>
      </c>
      <c r="H80" s="1414">
        <v>-4.47</v>
      </c>
      <c r="I80" s="1414">
        <v>-63.89</v>
      </c>
      <c r="J80" s="1414">
        <v>14.13</v>
      </c>
      <c r="K80" s="1414">
        <v>16.809999999999999</v>
      </c>
      <c r="L80" s="1414">
        <v>14.72</v>
      </c>
      <c r="M80" s="1416">
        <v>-24.88</v>
      </c>
      <c r="N80" s="1414">
        <v>-50.03</v>
      </c>
      <c r="O80" s="1414">
        <v>48.71</v>
      </c>
      <c r="P80" s="1414">
        <v>-21.13</v>
      </c>
      <c r="Q80" s="1414">
        <v>-3.27435428106569</v>
      </c>
      <c r="R80" s="1416">
        <v>-39.96</v>
      </c>
      <c r="S80" s="1414">
        <v>4.6399999999999997</v>
      </c>
      <c r="T80" s="1414">
        <v>8.85</v>
      </c>
      <c r="U80" s="1414">
        <v>14.66</v>
      </c>
      <c r="V80" s="1414">
        <v>-1.19</v>
      </c>
      <c r="W80" s="1416">
        <v>9.39</v>
      </c>
    </row>
    <row r="81" spans="1:23" ht="15.6">
      <c r="A81" s="1411">
        <v>4</v>
      </c>
      <c r="B81" s="1414">
        <v>-9.51</v>
      </c>
      <c r="C81" s="1414">
        <v>-40.43</v>
      </c>
      <c r="D81" s="1321">
        <v>19.61</v>
      </c>
      <c r="E81" s="1414">
        <v>8.1999999999999993</v>
      </c>
      <c r="F81" s="1321">
        <v>-1.1200000000000001</v>
      </c>
      <c r="G81" s="1416">
        <v>-6.98</v>
      </c>
      <c r="H81" s="1414">
        <v>-1.87</v>
      </c>
      <c r="I81" s="1414">
        <v>-61.09</v>
      </c>
      <c r="J81" s="1414">
        <v>39.299999999999997</v>
      </c>
      <c r="K81" s="1414">
        <v>15.61</v>
      </c>
      <c r="L81" s="1414">
        <v>14.19</v>
      </c>
      <c r="M81" s="1416">
        <v>-10.91</v>
      </c>
      <c r="N81" s="1414">
        <v>-53.65</v>
      </c>
      <c r="O81" s="1414">
        <v>26.15</v>
      </c>
      <c r="P81" s="1414">
        <v>-7.75</v>
      </c>
      <c r="Q81" s="1414">
        <v>-3.1967213114754101</v>
      </c>
      <c r="R81" s="1416">
        <v>-29.18</v>
      </c>
      <c r="S81" s="1414">
        <v>2.75</v>
      </c>
      <c r="T81" s="1414">
        <v>7.57</v>
      </c>
      <c r="U81" s="1414">
        <v>13.75</v>
      </c>
      <c r="V81" s="1414">
        <v>-0.64</v>
      </c>
      <c r="W81" s="1416">
        <v>8.02</v>
      </c>
    </row>
    <row r="82" spans="1:23" ht="15.6">
      <c r="A82" s="1411">
        <v>5</v>
      </c>
      <c r="B82" s="1414">
        <v>-31.22</v>
      </c>
      <c r="C82" s="1414">
        <v>-46.56</v>
      </c>
      <c r="D82" s="1321">
        <v>-0.83</v>
      </c>
      <c r="E82" s="1414">
        <v>2.83</v>
      </c>
      <c r="F82" s="1321">
        <v>-2.57</v>
      </c>
      <c r="G82" s="1416">
        <v>-9.18</v>
      </c>
      <c r="H82" s="1414">
        <v>-3.54</v>
      </c>
      <c r="I82" s="1414">
        <v>-64.319999999999993</v>
      </c>
      <c r="J82" s="1414">
        <v>40.4</v>
      </c>
      <c r="K82" s="1414">
        <v>12.66</v>
      </c>
      <c r="L82" s="1414">
        <v>13.88</v>
      </c>
      <c r="M82" s="1416">
        <v>-11.95</v>
      </c>
      <c r="N82" s="1414">
        <v>-55.7</v>
      </c>
      <c r="O82" s="1414">
        <v>-5.46</v>
      </c>
      <c r="P82" s="1414">
        <v>-25.31</v>
      </c>
      <c r="Q82" s="1414">
        <v>-25.853071055800886</v>
      </c>
      <c r="R82" s="1416">
        <v>-25.18</v>
      </c>
      <c r="S82" s="1414">
        <v>-8.35</v>
      </c>
      <c r="T82" s="1414">
        <v>-6.93</v>
      </c>
      <c r="U82" s="1414">
        <v>13.17</v>
      </c>
      <c r="V82" s="1414">
        <v>-2.34</v>
      </c>
      <c r="W82" s="1416">
        <v>-0.7</v>
      </c>
    </row>
    <row r="83" spans="1:23" ht="15.6">
      <c r="A83" s="1411">
        <v>6</v>
      </c>
      <c r="B83" s="1414">
        <v>-24.367415791478479</v>
      </c>
      <c r="C83" s="1414">
        <v>-45.706589758937803</v>
      </c>
      <c r="D83" s="1321">
        <v>-7.2917233498394722</v>
      </c>
      <c r="E83" s="1414">
        <v>13.280187190509878</v>
      </c>
      <c r="F83" s="1321">
        <v>6.07824998639604</v>
      </c>
      <c r="G83" s="1416">
        <v>-1.2651684170430413</v>
      </c>
      <c r="H83" s="1414">
        <v>-4.62</v>
      </c>
      <c r="I83" s="1414">
        <v>-61.49</v>
      </c>
      <c r="J83" s="1414">
        <v>40.6</v>
      </c>
      <c r="K83" s="1414">
        <v>11.1</v>
      </c>
      <c r="L83" s="1414">
        <v>13.61</v>
      </c>
      <c r="M83" s="1416">
        <v>-10.43</v>
      </c>
      <c r="N83" s="1414">
        <v>-58.209243859988391</v>
      </c>
      <c r="O83" s="1414">
        <v>6.5751305356797527</v>
      </c>
      <c r="P83" s="1414">
        <v>-11.738541868110625</v>
      </c>
      <c r="Q83" s="1414">
        <v>-25.15954360858635</v>
      </c>
      <c r="R83" s="1416">
        <v>-25.507638754592925</v>
      </c>
      <c r="S83" s="1414">
        <v>-10.266683062797179</v>
      </c>
      <c r="T83" s="1414">
        <v>-11.147155271355956</v>
      </c>
      <c r="U83" s="1414">
        <v>7.3705525495982975</v>
      </c>
      <c r="V83" s="1414">
        <v>-6.5256599442531549</v>
      </c>
      <c r="W83" s="1416">
        <v>-4.6810952615182773</v>
      </c>
    </row>
    <row r="84" spans="1:23" ht="15.6">
      <c r="A84" s="1411">
        <v>7</v>
      </c>
      <c r="B84" s="1414">
        <v>-27.35</v>
      </c>
      <c r="C84" s="1414">
        <v>-39.75</v>
      </c>
      <c r="D84" s="1321">
        <v>-2.68</v>
      </c>
      <c r="E84" s="1414">
        <v>15.92</v>
      </c>
      <c r="F84" s="1321">
        <v>9.07</v>
      </c>
      <c r="G84" s="1416">
        <v>-2.91</v>
      </c>
      <c r="H84" s="1414">
        <v>-4.2300000000000004</v>
      </c>
      <c r="I84" s="1414">
        <v>-61.87</v>
      </c>
      <c r="J84" s="1414">
        <v>41</v>
      </c>
      <c r="K84" s="1414">
        <v>11.1</v>
      </c>
      <c r="L84" s="1414">
        <v>13.37</v>
      </c>
      <c r="M84" s="1416">
        <v>-10.43</v>
      </c>
      <c r="N84" s="1414">
        <v>-64.235569422776905</v>
      </c>
      <c r="O84" s="1414">
        <v>12.714508580343214</v>
      </c>
      <c r="P84" s="1414">
        <v>-49.239469578783144</v>
      </c>
      <c r="Q84" s="1414">
        <v>-25.370514820592824</v>
      </c>
      <c r="R84" s="1416">
        <v>-42.063182527301088</v>
      </c>
      <c r="S84" s="1414">
        <v>-13.627041669986454</v>
      </c>
      <c r="T84" s="1414">
        <v>-18.29121185562903</v>
      </c>
      <c r="U84" s="1414">
        <v>0.84503226834515088</v>
      </c>
      <c r="V84" s="1414">
        <v>-4.1510636602661153</v>
      </c>
      <c r="W84" s="1416">
        <v>-10.357740419090112</v>
      </c>
    </row>
    <row r="85" spans="1:23" ht="15.6">
      <c r="A85" s="1411">
        <v>8</v>
      </c>
      <c r="B85" s="1414">
        <v>-24.42</v>
      </c>
      <c r="C85" s="1414">
        <v>-47.48</v>
      </c>
      <c r="D85" s="1321">
        <v>9.98</v>
      </c>
      <c r="E85" s="1414">
        <v>19.440000000000001</v>
      </c>
      <c r="F85" s="1321">
        <v>7.2</v>
      </c>
      <c r="G85" s="1416">
        <v>-4.99</v>
      </c>
      <c r="H85" s="1414">
        <v>-0.98</v>
      </c>
      <c r="I85" s="1414">
        <v>-30.78</v>
      </c>
      <c r="J85" s="1414">
        <v>42.3</v>
      </c>
      <c r="K85" s="1414">
        <v>10.62</v>
      </c>
      <c r="L85" s="1414">
        <v>13.18</v>
      </c>
      <c r="M85" s="1416">
        <v>5.77</v>
      </c>
      <c r="N85" s="1414">
        <v>-62.115644942951079</v>
      </c>
      <c r="O85" s="1414">
        <v>-0.77354476890349999</v>
      </c>
      <c r="P85" s="1414">
        <v>-12.105975633339781</v>
      </c>
      <c r="Q85" s="1414">
        <v>-23.51576097466641</v>
      </c>
      <c r="R85" s="1416">
        <v>-24.482691935795788</v>
      </c>
      <c r="S85" s="1414">
        <v>-11.764705882352942</v>
      </c>
      <c r="T85" s="1414">
        <v>-14.618441971383151</v>
      </c>
      <c r="U85" s="1414">
        <v>11.804451510333863</v>
      </c>
      <c r="V85" s="1414">
        <v>-4.8648648648648649</v>
      </c>
      <c r="W85" s="1416">
        <v>-4.8595654478007422</v>
      </c>
    </row>
    <row r="86" spans="1:23" ht="15.6">
      <c r="A86" s="1411">
        <v>9</v>
      </c>
      <c r="B86" s="1414">
        <v>-13.19</v>
      </c>
      <c r="C86" s="1414">
        <v>-43.95</v>
      </c>
      <c r="D86" s="1321">
        <v>11.74</v>
      </c>
      <c r="E86" s="1414">
        <v>25.3</v>
      </c>
      <c r="F86" s="1321">
        <v>11.49</v>
      </c>
      <c r="G86" s="1416">
        <v>0.12</v>
      </c>
      <c r="H86" s="1414">
        <v>-32.85</v>
      </c>
      <c r="I86" s="1414">
        <v>-31.1</v>
      </c>
      <c r="J86" s="1414">
        <v>41.7</v>
      </c>
      <c r="K86" s="1414">
        <v>10.74</v>
      </c>
      <c r="L86" s="1414">
        <v>12.83</v>
      </c>
      <c r="M86" s="1416">
        <v>5.3</v>
      </c>
      <c r="N86" s="1414">
        <v>-57.093919497573509</v>
      </c>
      <c r="O86" s="1414">
        <v>3.5683699685983448</v>
      </c>
      <c r="P86" s="1414">
        <v>21.453040251213245</v>
      </c>
      <c r="Q86" s="1414">
        <v>-0.42820439623180134</v>
      </c>
      <c r="R86" s="1416">
        <v>-13.069749738319537</v>
      </c>
      <c r="S86" s="1414">
        <v>-8.8707762918414179</v>
      </c>
      <c r="T86" s="1414">
        <v>-9.3851388778982336</v>
      </c>
      <c r="U86" s="1414">
        <v>5.5630291999683461</v>
      </c>
      <c r="V86" s="1414">
        <v>-7.0428107937010367</v>
      </c>
      <c r="W86" s="1416">
        <v>-4.2309619899237694</v>
      </c>
    </row>
    <row r="87" spans="1:23" ht="15.6">
      <c r="A87" s="1411">
        <v>10</v>
      </c>
      <c r="B87" s="1414">
        <v>-4.91</v>
      </c>
      <c r="C87" s="1414">
        <v>-30.18</v>
      </c>
      <c r="D87" s="1321">
        <v>5.88</v>
      </c>
      <c r="E87" s="1414">
        <v>24.22</v>
      </c>
      <c r="F87" s="1321">
        <v>17.600000000000001</v>
      </c>
      <c r="G87" s="1416">
        <v>4.4800000000000004</v>
      </c>
      <c r="H87" s="1414">
        <v>-39.24</v>
      </c>
      <c r="I87" s="1414">
        <v>-37.49</v>
      </c>
      <c r="J87" s="1414">
        <v>41.6</v>
      </c>
      <c r="K87" s="1414">
        <v>10.78</v>
      </c>
      <c r="L87" s="1414">
        <v>12.14</v>
      </c>
      <c r="M87" s="1416">
        <v>2.06</v>
      </c>
      <c r="N87" s="1414">
        <v>-19.522015846213794</v>
      </c>
      <c r="O87" s="1414">
        <v>-1.0780620859851928</v>
      </c>
      <c r="P87" s="1414">
        <v>16.48266008572541</v>
      </c>
      <c r="Q87" s="1414">
        <v>-2.324977269775296</v>
      </c>
      <c r="R87" s="1416">
        <v>-0.65376455816773127</v>
      </c>
      <c r="S87" s="1414">
        <v>-9.9635094399492328</v>
      </c>
      <c r="T87" s="1414">
        <v>-7.8772013326987196</v>
      </c>
      <c r="U87" s="1414">
        <v>10.098365857528156</v>
      </c>
      <c r="V87" s="1414">
        <v>-5.3625257813739502</v>
      </c>
      <c r="W87" s="1416">
        <v>-2.5807816383732622</v>
      </c>
    </row>
    <row r="88" spans="1:23" ht="15.6">
      <c r="A88" s="1411">
        <v>11</v>
      </c>
      <c r="B88" s="1414">
        <v>11.14</v>
      </c>
      <c r="C88" s="1414">
        <v>-15.12</v>
      </c>
      <c r="D88" s="1321">
        <v>1.92</v>
      </c>
      <c r="E88" s="1414">
        <v>25.56</v>
      </c>
      <c r="F88" s="1321">
        <v>1</v>
      </c>
      <c r="G88" s="1416">
        <v>11.59</v>
      </c>
      <c r="H88" s="1414">
        <v>-36.07</v>
      </c>
      <c r="I88" s="1414">
        <v>-35.78</v>
      </c>
      <c r="J88" s="1414">
        <v>41.9</v>
      </c>
      <c r="K88" s="1414">
        <v>11.07</v>
      </c>
      <c r="L88" s="1414">
        <v>12.11</v>
      </c>
      <c r="M88" s="1416">
        <v>3.07</v>
      </c>
      <c r="N88" s="1414">
        <v>-6.5998223124762063</v>
      </c>
      <c r="O88" s="1414">
        <v>-2.5764690950628264</v>
      </c>
      <c r="P88" s="1414">
        <v>24.406650590176419</v>
      </c>
      <c r="Q88" s="1414">
        <v>-11.422769386978043</v>
      </c>
      <c r="R88" s="1416">
        <v>6.7944324575876802</v>
      </c>
      <c r="S88" s="1414">
        <v>-5.7938718662952651</v>
      </c>
      <c r="T88" s="1414">
        <v>-3.8917628332670144</v>
      </c>
      <c r="U88" s="1414">
        <v>8.2212495025865486</v>
      </c>
      <c r="V88" s="1414">
        <v>-2.1408674890569031</v>
      </c>
      <c r="W88" s="1416">
        <v>-0.48812839899191013</v>
      </c>
    </row>
    <row r="89" spans="1:23" ht="15.6">
      <c r="A89" s="1411">
        <v>12</v>
      </c>
      <c r="B89" s="1414">
        <v>5.36</v>
      </c>
      <c r="C89" s="1414">
        <v>-23.68</v>
      </c>
      <c r="D89" s="1321">
        <v>2.1</v>
      </c>
      <c r="E89" s="1414">
        <v>22.64</v>
      </c>
      <c r="F89" s="1321">
        <v>1.25</v>
      </c>
      <c r="G89" s="1416">
        <v>8.6300000000000008</v>
      </c>
      <c r="H89" s="1414">
        <v>-36.07</v>
      </c>
      <c r="I89" s="1414">
        <v>-35.78</v>
      </c>
      <c r="J89" s="1414">
        <v>41.9</v>
      </c>
      <c r="K89" s="1414">
        <v>11.07</v>
      </c>
      <c r="L89" s="1414">
        <v>12.17</v>
      </c>
      <c r="M89" s="1416">
        <v>3.07</v>
      </c>
      <c r="N89" s="1414">
        <v>-16.489764973464744</v>
      </c>
      <c r="O89" s="1414">
        <v>10.550922415971698</v>
      </c>
      <c r="P89" s="1414">
        <v>26.661612332575178</v>
      </c>
      <c r="Q89" s="1414">
        <v>-14.69547637098812</v>
      </c>
      <c r="R89" s="1416">
        <v>-0.12635835228708658</v>
      </c>
      <c r="S89" s="1414">
        <v>-4.381798682396199</v>
      </c>
      <c r="T89" s="1414">
        <v>-2.4819978550635797</v>
      </c>
      <c r="U89" s="1414">
        <v>3.3246514478320828</v>
      </c>
      <c r="V89" s="1414">
        <v>7.1931974873601954</v>
      </c>
      <c r="W89" s="1416">
        <v>-1.1797150298758998</v>
      </c>
    </row>
    <row r="90" spans="1:23" ht="15.6">
      <c r="A90" s="1411">
        <v>2021</v>
      </c>
      <c r="B90" s="1414"/>
      <c r="C90" s="1414"/>
      <c r="D90" s="1321"/>
      <c r="E90" s="1414"/>
      <c r="F90" s="1321"/>
      <c r="G90" s="1416"/>
      <c r="H90" s="1414"/>
      <c r="I90" s="1414"/>
      <c r="J90" s="1414"/>
      <c r="K90" s="1414"/>
      <c r="L90" s="1414"/>
      <c r="M90" s="1416"/>
      <c r="N90" s="1414"/>
      <c r="O90" s="1414"/>
      <c r="P90" s="1414"/>
      <c r="Q90" s="1414"/>
      <c r="R90" s="1416"/>
      <c r="S90" s="1414"/>
      <c r="T90" s="1414"/>
      <c r="U90" s="1414"/>
      <c r="V90" s="1414"/>
      <c r="W90" s="1416"/>
    </row>
    <row r="91" spans="1:23" ht="15.6">
      <c r="A91" s="1411">
        <v>1</v>
      </c>
      <c r="B91" s="1414">
        <v>6.68</v>
      </c>
      <c r="C91" s="1414">
        <v>-29.17</v>
      </c>
      <c r="D91" s="1321">
        <v>-3.77</v>
      </c>
      <c r="E91" s="1414">
        <v>15.81</v>
      </c>
      <c r="F91" s="1321">
        <v>9.35</v>
      </c>
      <c r="G91" s="1416">
        <v>8.75</v>
      </c>
      <c r="H91" s="1414">
        <v>-33.520000000000003</v>
      </c>
      <c r="I91" s="1414">
        <v>-33.25</v>
      </c>
      <c r="J91" s="1414">
        <v>45.6</v>
      </c>
      <c r="K91" s="1414">
        <v>10.39</v>
      </c>
      <c r="L91" s="1414">
        <v>11.29</v>
      </c>
      <c r="M91" s="1416">
        <v>6.17</v>
      </c>
      <c r="N91" s="1414">
        <v>-23.040616072537571</v>
      </c>
      <c r="O91" s="1414">
        <v>14.110048441187423</v>
      </c>
      <c r="P91" s="1414">
        <v>31.859396348279713</v>
      </c>
      <c r="Q91" s="1414">
        <v>-14.644143584647869</v>
      </c>
      <c r="R91" s="1416">
        <v>-1.763756055148427</v>
      </c>
      <c r="S91" s="1414">
        <v>-5.8603586417397961</v>
      </c>
      <c r="T91" s="1414">
        <v>-4.6394505913773383</v>
      </c>
      <c r="U91" s="1414">
        <v>6.3792445631438381</v>
      </c>
      <c r="V91" s="1414">
        <v>7.371232354063336</v>
      </c>
      <c r="W91" s="1416">
        <v>-1.3735215566577639</v>
      </c>
    </row>
    <row r="92" spans="1:23" ht="15.6">
      <c r="A92" s="1411">
        <v>2</v>
      </c>
      <c r="B92" s="1414">
        <v>-3.81</v>
      </c>
      <c r="C92" s="1414">
        <v>-23.52</v>
      </c>
      <c r="D92" s="1321">
        <v>4.26</v>
      </c>
      <c r="E92" s="1414">
        <v>8.39</v>
      </c>
      <c r="F92" s="1321">
        <v>3.77</v>
      </c>
      <c r="G92" s="1416">
        <v>0.11</v>
      </c>
      <c r="H92" s="1414">
        <v>-10.11</v>
      </c>
      <c r="I92" s="1414">
        <v>-46.6</v>
      </c>
      <c r="J92" s="1414">
        <v>16.899999999999999</v>
      </c>
      <c r="K92" s="1414">
        <v>1.1399999999999999</v>
      </c>
      <c r="L92" s="1414">
        <v>10.89</v>
      </c>
      <c r="M92" s="1416">
        <v>-14.87</v>
      </c>
      <c r="N92" s="1414">
        <v>-26.02</v>
      </c>
      <c r="O92" s="1414">
        <v>-0.98</v>
      </c>
      <c r="P92" s="1414">
        <v>38.4</v>
      </c>
      <c r="Q92" s="1414">
        <v>-14.18</v>
      </c>
      <c r="R92" s="1416">
        <v>4.45</v>
      </c>
      <c r="S92" s="1414">
        <v>6.2341844950540599</v>
      </c>
      <c r="T92" s="1414">
        <v>4.8385859980062902</v>
      </c>
      <c r="U92" s="1414">
        <v>11.272141706924314</v>
      </c>
      <c r="V92" s="1414">
        <v>7.0470055977302355</v>
      </c>
      <c r="W92" s="1416">
        <v>7.4483040666615556</v>
      </c>
    </row>
    <row r="93" spans="1:23" ht="15.6">
      <c r="A93" s="1411">
        <v>3</v>
      </c>
      <c r="B93" s="1414">
        <v>-5.2</v>
      </c>
      <c r="C93" s="1414">
        <v>-24.16</v>
      </c>
      <c r="D93" s="1321">
        <v>6.22</v>
      </c>
      <c r="E93" s="1414">
        <v>16.93</v>
      </c>
      <c r="F93" s="1321">
        <v>10.99</v>
      </c>
      <c r="G93" s="1416">
        <v>1.84</v>
      </c>
      <c r="H93" s="1414">
        <v>-13.67</v>
      </c>
      <c r="I93" s="1414">
        <v>-53.41</v>
      </c>
      <c r="J93" s="1414">
        <v>19</v>
      </c>
      <c r="K93" s="1414">
        <v>2.2599999999999998</v>
      </c>
      <c r="L93" s="1414">
        <v>10.38</v>
      </c>
      <c r="M93" s="1416">
        <v>-17.21</v>
      </c>
      <c r="N93" s="1414">
        <v>9.9700000000000006</v>
      </c>
      <c r="O93" s="1414">
        <v>-0.56000000000000005</v>
      </c>
      <c r="P93" s="1414">
        <v>46.44</v>
      </c>
      <c r="Q93" s="1414">
        <v>3.07</v>
      </c>
      <c r="R93" s="1416">
        <v>18.989999999999998</v>
      </c>
      <c r="S93" s="1414">
        <v>6.6676329902884506</v>
      </c>
      <c r="T93" s="1414">
        <v>7.0010146398028699</v>
      </c>
      <c r="U93" s="1414">
        <v>14.400637773590377</v>
      </c>
      <c r="V93" s="1414">
        <v>1.2248151906073346</v>
      </c>
      <c r="W93" s="1416">
        <v>9.3564284678939007</v>
      </c>
    </row>
    <row r="94" spans="1:23" ht="15.6">
      <c r="A94" s="1411">
        <v>4</v>
      </c>
      <c r="B94" s="1414">
        <v>12.139419881423976</v>
      </c>
      <c r="C94" s="1414">
        <v>-16.632547257597107</v>
      </c>
      <c r="D94" s="1321">
        <v>7.579826123946507</v>
      </c>
      <c r="E94" s="1414">
        <v>15.768484300640736</v>
      </c>
      <c r="F94" s="1321">
        <v>9.7811926727461245</v>
      </c>
      <c r="G94" s="1416">
        <v>6.7760260193727362</v>
      </c>
      <c r="H94" s="1414">
        <v>3.5008469791078514</v>
      </c>
      <c r="I94" s="1414">
        <v>-39.250423489553924</v>
      </c>
      <c r="J94" s="1414">
        <v>38.608130999435339</v>
      </c>
      <c r="K94" s="1414">
        <v>17.412478825522307</v>
      </c>
      <c r="L94" s="1414">
        <v>18.321993224167141</v>
      </c>
      <c r="M94" s="1416">
        <v>-0.32114624505929257</v>
      </c>
      <c r="N94" s="1414">
        <v>26.035946080878677</v>
      </c>
      <c r="O94" s="1414">
        <v>0.3744383424862705</v>
      </c>
      <c r="P94" s="1414">
        <v>20.718921617573638</v>
      </c>
      <c r="Q94" s="1414">
        <v>5.2546180728906648</v>
      </c>
      <c r="R94" s="1416">
        <v>15.460143118655347</v>
      </c>
      <c r="S94" s="1414">
        <v>4.0046684659712604</v>
      </c>
      <c r="T94" s="1414">
        <v>-3.9025457728499524</v>
      </c>
      <c r="U94" s="1414">
        <v>9.8256619738857669</v>
      </c>
      <c r="V94" s="1414">
        <v>-0.44496316288569493</v>
      </c>
      <c r="W94" s="1416">
        <v>3.3092615556690257</v>
      </c>
    </row>
    <row r="95" spans="1:23" ht="15.6">
      <c r="A95" s="1411">
        <v>5</v>
      </c>
      <c r="B95" s="1414">
        <v>-2.0526063574889521</v>
      </c>
      <c r="C95" s="1414">
        <v>-25.661572866194554</v>
      </c>
      <c r="D95" s="1321">
        <v>11.293328363771897</v>
      </c>
      <c r="E95" s="1414">
        <v>24.466215856450667</v>
      </c>
      <c r="F95" s="1321">
        <v>9.4829881262978581</v>
      </c>
      <c r="G95" s="1416">
        <v>3.706760378396607</v>
      </c>
      <c r="H95" s="1414">
        <v>4.2226618459649385</v>
      </c>
      <c r="I95" s="1414">
        <v>-38.890783818814384</v>
      </c>
      <c r="J95" s="1414">
        <v>66.014052800327434</v>
      </c>
      <c r="K95" s="1414">
        <v>30.124837983491364</v>
      </c>
      <c r="L95" s="1414">
        <v>16.546763080701275</v>
      </c>
      <c r="M95" s="1416">
        <v>13.561634490756525</v>
      </c>
      <c r="N95" s="1414">
        <v>2.0486714675937394</v>
      </c>
      <c r="O95" s="1414">
        <v>-1.303700024832382</v>
      </c>
      <c r="P95" s="1414">
        <v>41.196920784703259</v>
      </c>
      <c r="Q95" s="1414">
        <v>3.6379438788179788</v>
      </c>
      <c r="R95" s="1416">
        <v>14.849764092376459</v>
      </c>
      <c r="S95" s="1414">
        <v>2.8116147308781878</v>
      </c>
      <c r="T95" s="1414">
        <v>2.4150141643059495</v>
      </c>
      <c r="U95" s="1414">
        <v>9.7379603399433439</v>
      </c>
      <c r="V95" s="1414">
        <v>-1.0552407932011327</v>
      </c>
      <c r="W95" s="1416">
        <v>4.9881964117091586</v>
      </c>
    </row>
    <row r="96" spans="1:23" ht="15.6">
      <c r="A96" s="1411">
        <v>6</v>
      </c>
      <c r="B96" s="1414">
        <v>22.317952976592096</v>
      </c>
      <c r="C96" s="1414">
        <v>-26.669953807027557</v>
      </c>
      <c r="D96" s="1321">
        <v>12.350132350651373</v>
      </c>
      <c r="E96" s="1414">
        <v>22.836975138838429</v>
      </c>
      <c r="F96" s="1321">
        <v>11.460009342398923</v>
      </c>
      <c r="G96" s="1416">
        <v>10.934931921593053</v>
      </c>
      <c r="H96" s="1414">
        <v>5.5592856183698123</v>
      </c>
      <c r="I96" s="1414">
        <v>-38.236873908956625</v>
      </c>
      <c r="J96" s="1414">
        <v>65.261178998254337</v>
      </c>
      <c r="K96" s="1414">
        <v>28.816973277829995</v>
      </c>
      <c r="L96" s="1414">
        <v>16.161541560359876</v>
      </c>
      <c r="M96" s="1416">
        <v>13.512152544648856</v>
      </c>
      <c r="N96" s="1414">
        <v>39.95849102673666</v>
      </c>
      <c r="O96" s="1414">
        <v>-7.3373214503723601</v>
      </c>
      <c r="P96" s="1414">
        <v>43.047246978390923</v>
      </c>
      <c r="Q96" s="1414">
        <v>3.9799780246612135</v>
      </c>
      <c r="R96" s="1416">
        <v>30.114353151833317</v>
      </c>
      <c r="S96" s="1414">
        <v>0.63327576280944364</v>
      </c>
      <c r="T96" s="1414">
        <v>1.5040299366724219</v>
      </c>
      <c r="U96" s="1414">
        <v>11.442141623488775</v>
      </c>
      <c r="V96" s="1414">
        <v>-1.6479562464018409</v>
      </c>
      <c r="W96" s="1416">
        <v>4.526482440990212</v>
      </c>
    </row>
    <row r="97" spans="1:23" ht="15.6">
      <c r="A97" s="1411">
        <v>7</v>
      </c>
      <c r="B97" s="1414">
        <v>22.7653595276768</v>
      </c>
      <c r="C97" s="1414">
        <v>-24.291644107561808</v>
      </c>
      <c r="D97" s="1321">
        <v>11.568308969500091</v>
      </c>
      <c r="E97" s="1414">
        <v>11.975661948591025</v>
      </c>
      <c r="F97" s="1321">
        <v>11.91636373011576</v>
      </c>
      <c r="G97" s="1416">
        <v>7.7242375022559084</v>
      </c>
      <c r="H97" s="1414">
        <v>-8.7701680390975394</v>
      </c>
      <c r="I97" s="1414">
        <v>-19.963848162281582</v>
      </c>
      <c r="J97" s="1414">
        <v>27.328111401218454</v>
      </c>
      <c r="K97" s="1414">
        <v>28.466224810872333</v>
      </c>
      <c r="L97" s="1414">
        <v>15.812211287407109</v>
      </c>
      <c r="M97" s="1416">
        <v>3.6821316194684357</v>
      </c>
      <c r="N97" s="1414">
        <v>14.597478176527643</v>
      </c>
      <c r="O97" s="1414">
        <v>4.4010669253152281</v>
      </c>
      <c r="P97" s="1414">
        <v>19.544131910766247</v>
      </c>
      <c r="Q97" s="1414">
        <v>2.5945683802133845</v>
      </c>
      <c r="R97" s="1416">
        <v>9.9135143873262219</v>
      </c>
      <c r="S97" s="1414">
        <v>8.9249784420810592</v>
      </c>
      <c r="T97" s="1414">
        <v>6.3092842770911206</v>
      </c>
      <c r="U97" s="1414">
        <v>7.4015521701638409</v>
      </c>
      <c r="V97" s="1414">
        <v>-0.50301810865191166</v>
      </c>
      <c r="W97" s="1416">
        <v>7.5452716297786742</v>
      </c>
    </row>
    <row r="98" spans="1:23" ht="15.6">
      <c r="A98" s="1411">
        <v>8</v>
      </c>
      <c r="B98" s="1414">
        <v>15.269345045859701</v>
      </c>
      <c r="C98" s="1414">
        <v>-23.131378374886967</v>
      </c>
      <c r="D98" s="1321">
        <v>6.4410282909184868</v>
      </c>
      <c r="E98" s="1414">
        <v>8.9704172587521001</v>
      </c>
      <c r="F98" s="1321">
        <v>10.288076475907506</v>
      </c>
      <c r="G98" s="1416">
        <v>5.9329113378977727</v>
      </c>
      <c r="H98" s="1414">
        <v>18.752477864411262</v>
      </c>
      <c r="I98" s="1414">
        <v>-13.096339368309767</v>
      </c>
      <c r="J98" s="1414">
        <v>28.412845249107967</v>
      </c>
      <c r="K98" s="1414">
        <v>35.588740584115243</v>
      </c>
      <c r="L98" s="1414">
        <v>17.149927315977269</v>
      </c>
      <c r="M98" s="1416">
        <v>7.6582529403991</v>
      </c>
      <c r="N98" s="1414">
        <v>18.416273156556485</v>
      </c>
      <c r="O98" s="1414">
        <v>1.5256084271703596</v>
      </c>
      <c r="P98" s="1414">
        <v>-2.3368446543165042</v>
      </c>
      <c r="Q98" s="1414">
        <v>2.7969487831456594</v>
      </c>
      <c r="R98" s="1416">
        <v>4.8512733583565391</v>
      </c>
      <c r="S98" s="1414">
        <v>8.4178717893373634</v>
      </c>
      <c r="T98" s="1414">
        <v>6.410533131879995</v>
      </c>
      <c r="U98" s="1414">
        <v>1.3094467227858146</v>
      </c>
      <c r="V98" s="1414">
        <v>-1.0936038563925465</v>
      </c>
      <c r="W98" s="1416">
        <v>5.3792838813343904</v>
      </c>
    </row>
    <row r="99" spans="1:23" ht="15.6">
      <c r="A99" s="1411">
        <v>9</v>
      </c>
      <c r="B99" s="1414">
        <v>14.112674604401834</v>
      </c>
      <c r="C99" s="1414">
        <v>-24.16112571516932</v>
      </c>
      <c r="D99" s="1321">
        <v>4.0358744394618826</v>
      </c>
      <c r="E99" s="1414">
        <v>18.993866295551776</v>
      </c>
      <c r="F99" s="1321">
        <v>3.3864233802381332</v>
      </c>
      <c r="G99" s="1416">
        <v>9.6902221534972401</v>
      </c>
      <c r="H99" s="1414">
        <v>11.994742030890569</v>
      </c>
      <c r="I99" s="1414">
        <v>-6.625041077883667</v>
      </c>
      <c r="J99" s="1414">
        <v>71.278343739730531</v>
      </c>
      <c r="K99" s="1414">
        <v>29.155438711797565</v>
      </c>
      <c r="L99" s="1414">
        <v>16.689779822543542</v>
      </c>
      <c r="M99" s="1416">
        <v>32.326651330923397</v>
      </c>
      <c r="N99" s="1414">
        <v>17.828794724630598</v>
      </c>
      <c r="O99" s="1414">
        <v>-8.1328611552082073</v>
      </c>
      <c r="P99" s="1414">
        <v>-23.922334839418731</v>
      </c>
      <c r="Q99" s="1414">
        <v>3.0040297960678957</v>
      </c>
      <c r="R99" s="1416">
        <v>0.6797736801400267</v>
      </c>
      <c r="S99" s="1414">
        <v>10.172537742631199</v>
      </c>
      <c r="T99" s="1414">
        <v>5.5643421998562177</v>
      </c>
      <c r="U99" s="1414">
        <v>3.3429187634795143</v>
      </c>
      <c r="V99" s="1414">
        <v>-6.7145938173975566</v>
      </c>
      <c r="W99" s="1416">
        <v>6.3599329019889757</v>
      </c>
    </row>
    <row r="100" spans="1:23" ht="15.6">
      <c r="A100" s="1411">
        <v>10</v>
      </c>
      <c r="B100" s="1414">
        <v>23.842674038703198</v>
      </c>
      <c r="C100" s="1414">
        <v>-7.4415682332244275</v>
      </c>
      <c r="D100" s="1321">
        <v>4.2372455390801704</v>
      </c>
      <c r="E100" s="1414">
        <v>21.203820055290276</v>
      </c>
      <c r="F100" s="1321">
        <v>8.4418195526514204</v>
      </c>
      <c r="G100" s="1416">
        <v>13.603082851637765</v>
      </c>
      <c r="H100" s="1414">
        <v>12.288826560563566</v>
      </c>
      <c r="I100" s="1414">
        <v>-12.941099732567999</v>
      </c>
      <c r="J100" s="1414">
        <v>44.719848672624096</v>
      </c>
      <c r="K100" s="1414">
        <v>15.315374078664146</v>
      </c>
      <c r="L100" s="1414">
        <v>13.8232339703868</v>
      </c>
      <c r="M100" s="1416">
        <v>15.889374470028049</v>
      </c>
      <c r="N100" s="1414">
        <v>3.0448543053585091</v>
      </c>
      <c r="O100" s="1414">
        <v>-1.2768743861180827</v>
      </c>
      <c r="P100" s="1414">
        <v>4.9874495252646538</v>
      </c>
      <c r="Q100" s="1414">
        <v>5.5003819709702055</v>
      </c>
      <c r="R100" s="1416">
        <v>3.1030594055804155</v>
      </c>
      <c r="S100" s="1414">
        <v>10.683281993839261</v>
      </c>
      <c r="T100" s="1414">
        <v>7.5049005880705693</v>
      </c>
      <c r="U100" s="1414">
        <v>4.0464855782693929</v>
      </c>
      <c r="V100" s="1414">
        <v>-1.3581629795575456</v>
      </c>
      <c r="W100" s="1416">
        <v>7.411556053393074</v>
      </c>
    </row>
    <row r="101" spans="1:23" ht="15.6">
      <c r="A101" s="1411">
        <v>11</v>
      </c>
      <c r="B101" s="1414">
        <v>27.813686778501545</v>
      </c>
      <c r="C101" s="1414">
        <v>-22.064334398028222</v>
      </c>
      <c r="D101" s="1321">
        <v>3.6719398405472714</v>
      </c>
      <c r="E101" s="1414">
        <v>6.5893714946807194</v>
      </c>
      <c r="F101" s="1321">
        <v>9.2703905837378358</v>
      </c>
      <c r="G101" s="1416">
        <v>10.243706144211664</v>
      </c>
      <c r="H101" s="1414">
        <v>-8.6278109224414852</v>
      </c>
      <c r="I101" s="1414">
        <v>-40.516619681374159</v>
      </c>
      <c r="J101" s="1414">
        <v>10.220940142922704</v>
      </c>
      <c r="K101" s="1414">
        <v>1.553792696518721</v>
      </c>
      <c r="L101" s="1414">
        <v>13.089949518127582</v>
      </c>
      <c r="M101" s="1416">
        <v>-15.147839769225728</v>
      </c>
      <c r="N101" s="1414">
        <v>-16.706599869309517</v>
      </c>
      <c r="O101" s="1414">
        <v>0.9910694837725994</v>
      </c>
      <c r="P101" s="1414">
        <v>-4.8573295578305409</v>
      </c>
      <c r="Q101" s="1414">
        <v>5.3909823567850141</v>
      </c>
      <c r="R101" s="1416">
        <v>-7.518332970304221</v>
      </c>
      <c r="S101" s="1414">
        <v>2.5823199890695454</v>
      </c>
      <c r="T101" s="1414">
        <v>5.9502664298401413</v>
      </c>
      <c r="U101" s="1414">
        <v>7.4463724552534485</v>
      </c>
      <c r="V101" s="1414">
        <v>8.8809946714032195E-2</v>
      </c>
      <c r="W101" s="1416">
        <v>5.3263196247210454</v>
      </c>
    </row>
    <row r="102" spans="1:23" ht="15.6">
      <c r="A102" s="1411">
        <v>12</v>
      </c>
      <c r="B102" s="1414">
        <v>21.003650573294255</v>
      </c>
      <c r="C102" s="1414">
        <v>-21.728623579618489</v>
      </c>
      <c r="D102" s="1321">
        <v>5.0928068281145578</v>
      </c>
      <c r="E102" s="1414">
        <v>3.3883490153735414</v>
      </c>
      <c r="F102" s="1321">
        <v>8.619980461720397</v>
      </c>
      <c r="G102" s="1416">
        <v>6.4330642535177454</v>
      </c>
      <c r="H102" s="1414">
        <v>-28.395061728395067</v>
      </c>
      <c r="I102" s="1414">
        <v>-25.648643295702119</v>
      </c>
      <c r="J102" s="1414">
        <v>26.658744305803129</v>
      </c>
      <c r="K102" s="1414">
        <v>15.224136792764241</v>
      </c>
      <c r="L102" s="1414">
        <v>13.620320855614974</v>
      </c>
      <c r="M102" s="1416">
        <v>0.50505050505050519</v>
      </c>
      <c r="N102" s="1414">
        <v>15.899627438088979</v>
      </c>
      <c r="O102" s="1414">
        <v>-1.6984440061363137</v>
      </c>
      <c r="P102" s="1414">
        <v>-25.126013587552052</v>
      </c>
      <c r="Q102" s="1414">
        <v>5.5007670392285775</v>
      </c>
      <c r="R102" s="1416">
        <v>-2.5093140477755855</v>
      </c>
      <c r="S102" s="1414">
        <v>9.718875502008034</v>
      </c>
      <c r="T102" s="1414">
        <v>4.6452476572958528</v>
      </c>
      <c r="U102" s="1414">
        <v>4.4979919678714868</v>
      </c>
      <c r="V102" s="1414">
        <v>2.8848728246318611</v>
      </c>
      <c r="W102" s="1416">
        <v>6.2873717090584558</v>
      </c>
    </row>
    <row r="103" spans="1:23" ht="15.6">
      <c r="A103" s="1411">
        <v>2022</v>
      </c>
      <c r="B103" s="1414"/>
      <c r="C103" s="1414"/>
      <c r="D103" s="1321"/>
      <c r="E103" s="1414"/>
      <c r="F103" s="1321"/>
      <c r="G103" s="1416"/>
      <c r="H103" s="1414"/>
      <c r="I103" s="1414"/>
      <c r="J103" s="1414"/>
      <c r="K103" s="1414"/>
      <c r="L103" s="1414"/>
      <c r="M103" s="1416"/>
      <c r="N103" s="1414"/>
      <c r="O103" s="1414"/>
      <c r="P103" s="1414"/>
      <c r="Q103" s="1414"/>
      <c r="R103" s="1416"/>
      <c r="S103" s="1414"/>
      <c r="T103" s="1414"/>
      <c r="U103" s="1414"/>
      <c r="V103" s="1414"/>
      <c r="W103" s="1416"/>
    </row>
    <row r="104" spans="1:23" ht="15.6">
      <c r="A104" s="1411">
        <v>1</v>
      </c>
      <c r="B104" s="1414">
        <v>17.664135196080977</v>
      </c>
      <c r="C104" s="1414">
        <v>-18.514294600969393</v>
      </c>
      <c r="D104" s="1321">
        <v>8.1801923226458619</v>
      </c>
      <c r="E104" s="1414">
        <v>3.9838262357118803</v>
      </c>
      <c r="F104" s="1321">
        <v>12.075892278582725</v>
      </c>
      <c r="G104" s="1416">
        <v>4.4892563697156644</v>
      </c>
      <c r="H104" s="1414">
        <v>-72.157944302435084</v>
      </c>
      <c r="I104" s="1414">
        <v>-39.903134669716131</v>
      </c>
      <c r="J104" s="1414">
        <v>-49.650208529530474</v>
      </c>
      <c r="K104" s="1414">
        <v>-28.460917529934083</v>
      </c>
      <c r="L104" s="1414">
        <v>13.128346562626126</v>
      </c>
      <c r="M104" s="1416">
        <v>-44.776671599623299</v>
      </c>
      <c r="N104" s="1414">
        <v>8.9133484407035724</v>
      </c>
      <c r="O104" s="1414">
        <v>-0.52875795834682227</v>
      </c>
      <c r="P104" s="1414">
        <v>-22.822920038847524</v>
      </c>
      <c r="Q104" s="1414">
        <v>8.7946476745440787</v>
      </c>
      <c r="R104" s="1416">
        <v>-4.4602712132657123</v>
      </c>
      <c r="S104" s="1414">
        <v>9.6497689680573231</v>
      </c>
      <c r="T104" s="1414">
        <v>5.1764548315810641</v>
      </c>
      <c r="U104" s="1414">
        <v>6.1474586486305505</v>
      </c>
      <c r="V104" s="1414">
        <v>2.5848791267662223</v>
      </c>
      <c r="W104" s="1416">
        <v>6.9912274827563117</v>
      </c>
    </row>
    <row r="105" spans="1:23" ht="15.6">
      <c r="A105" s="1411">
        <v>2</v>
      </c>
      <c r="B105" s="1414">
        <v>10.046126182472051</v>
      </c>
      <c r="C105" s="1414">
        <v>-19.122820733328119</v>
      </c>
      <c r="D105" s="1321">
        <v>5.2380580095379559</v>
      </c>
      <c r="E105" s="1414">
        <v>5.425689938237821</v>
      </c>
      <c r="F105" s="1321">
        <v>13.363562921846089</v>
      </c>
      <c r="G105" s="1416">
        <v>3.4112527037239726</v>
      </c>
      <c r="H105" s="1414">
        <v>-71.752450980392169</v>
      </c>
      <c r="I105" s="1414">
        <v>-39.773965141612202</v>
      </c>
      <c r="J105" s="1414">
        <v>-34.184368191721134</v>
      </c>
      <c r="K105" s="1414">
        <v>-26.695261437908492</v>
      </c>
      <c r="L105" s="1414">
        <v>12.710171568627452</v>
      </c>
      <c r="M105" s="1416">
        <v>-36.979166666666671</v>
      </c>
      <c r="N105" s="1414">
        <v>-9.1943127962085303</v>
      </c>
      <c r="O105" s="1414">
        <v>15.113217482885728</v>
      </c>
      <c r="P105" s="1414">
        <v>17.672459189046869</v>
      </c>
      <c r="Q105" s="1414">
        <v>8.7098472880463387</v>
      </c>
      <c r="R105" s="1416">
        <v>-2.2116903633491298</v>
      </c>
      <c r="S105" s="1414">
        <v>7.2975828820499276</v>
      </c>
      <c r="T105" s="1414">
        <v>1.7038700303790806</v>
      </c>
      <c r="U105" s="1414">
        <v>9.9128252542596726</v>
      </c>
      <c r="V105" s="1414">
        <v>3.2162197860256243</v>
      </c>
      <c r="W105" s="1416">
        <v>6.3047593888962252</v>
      </c>
    </row>
    <row r="106" spans="1:23" ht="15.6">
      <c r="A106" s="1411">
        <v>3</v>
      </c>
      <c r="B106" s="1414">
        <v>-9.410801963993455</v>
      </c>
      <c r="C106" s="1414">
        <v>-24.757228587015817</v>
      </c>
      <c r="D106" s="1321">
        <v>3.7179487179487172</v>
      </c>
      <c r="E106" s="1414">
        <v>29.937261320240044</v>
      </c>
      <c r="F106" s="1321">
        <v>12.176759410801964</v>
      </c>
      <c r="G106" s="1416">
        <v>5.6028368794326227</v>
      </c>
      <c r="H106" s="1414">
        <v>-70.411933762145893</v>
      </c>
      <c r="I106" s="1414">
        <v>-67.565348296154383</v>
      </c>
      <c r="J106" s="1414">
        <v>-33.146298070343505</v>
      </c>
      <c r="K106" s="1414">
        <v>18.441220747228684</v>
      </c>
      <c r="L106" s="1414">
        <v>12.282674148077188</v>
      </c>
      <c r="M106" s="1416">
        <v>-50.355823183248944</v>
      </c>
      <c r="N106" s="1414">
        <v>-26.712187047382578</v>
      </c>
      <c r="O106" s="1414">
        <v>6.8797848127457089</v>
      </c>
      <c r="P106" s="1414">
        <v>53.527829505483147</v>
      </c>
      <c r="Q106" s="1414">
        <v>13.294020277260501</v>
      </c>
      <c r="R106" s="1416">
        <v>6.6452858817849512</v>
      </c>
      <c r="S106" s="1414">
        <v>33.512786002691783</v>
      </c>
      <c r="T106" s="1414">
        <v>29.30846632057937</v>
      </c>
      <c r="U106" s="1414">
        <v>51.925911683650568</v>
      </c>
      <c r="V106" s="1414">
        <v>5.6912132282253411</v>
      </c>
      <c r="W106" s="1416">
        <v>38.249054668973919</v>
      </c>
    </row>
    <row r="107" spans="1:23" ht="15.6">
      <c r="A107" s="1411">
        <v>4</v>
      </c>
      <c r="B107" s="1414">
        <v>-9.9892053475047753</v>
      </c>
      <c r="C107" s="1414">
        <v>-31.805474826316807</v>
      </c>
      <c r="D107" s="1321">
        <v>10.401616430014666</v>
      </c>
      <c r="E107" s="1414">
        <v>18.921088322400287</v>
      </c>
      <c r="F107" s="1321">
        <v>8.6717041711644374</v>
      </c>
      <c r="G107" s="1416">
        <v>-0.48991115170638677</v>
      </c>
      <c r="H107" s="1414">
        <v>-43.097222222222221</v>
      </c>
      <c r="I107" s="1414">
        <v>-53.638888888888893</v>
      </c>
      <c r="J107" s="1414">
        <v>-32.722222222222207</v>
      </c>
      <c r="K107" s="1414">
        <v>16.993055555555554</v>
      </c>
      <c r="L107" s="1414">
        <v>11.991319444444441</v>
      </c>
      <c r="M107" s="1416">
        <v>-43.18055555555555</v>
      </c>
      <c r="N107" s="1414">
        <v>-36.584096586178177</v>
      </c>
      <c r="O107" s="1414">
        <v>-7.8268109908409649</v>
      </c>
      <c r="P107" s="1414">
        <v>54.308909242298085</v>
      </c>
      <c r="Q107" s="1414">
        <v>11.5736885928393</v>
      </c>
      <c r="R107" s="1416">
        <v>8.5172078823202888</v>
      </c>
      <c r="S107" s="1414">
        <v>45.313735829158972</v>
      </c>
      <c r="T107" s="1414">
        <v>40.047455839704718</v>
      </c>
      <c r="U107" s="1414">
        <v>55.239915634062733</v>
      </c>
      <c r="V107" s="1414">
        <v>8.3245452148694969</v>
      </c>
      <c r="W107" s="1416">
        <v>46.867035767642136</v>
      </c>
    </row>
    <row r="108" spans="1:23" ht="15.6">
      <c r="A108" s="1411">
        <v>5</v>
      </c>
      <c r="B108" s="1414">
        <v>12.47686872651825</v>
      </c>
      <c r="C108" s="1414">
        <v>-26.650030841697976</v>
      </c>
      <c r="D108" s="1321">
        <v>2.3187349296248523</v>
      </c>
      <c r="E108" s="1414">
        <v>25.214489990467115</v>
      </c>
      <c r="F108" s="1321">
        <v>8.809510458139405</v>
      </c>
      <c r="G108" s="1416">
        <v>11.790874595786837</v>
      </c>
      <c r="H108" s="1414">
        <v>-34.87093856536562</v>
      </c>
      <c r="I108" s="1414">
        <v>-66.569261810338816</v>
      </c>
      <c r="J108" s="1414">
        <v>-28.372643150351351</v>
      </c>
      <c r="K108" s="1414">
        <v>4.1188339247199615</v>
      </c>
      <c r="L108" s="1414">
        <v>11.461420719404437</v>
      </c>
      <c r="M108" s="1416">
        <v>-47.470952480345083</v>
      </c>
      <c r="N108" s="1414">
        <v>5.1194539249146702</v>
      </c>
      <c r="O108" s="1414">
        <v>0.14479263626021355</v>
      </c>
      <c r="P108" s="1414">
        <v>49.94311717861207</v>
      </c>
      <c r="Q108" s="1414">
        <v>14.313786327438203</v>
      </c>
      <c r="R108" s="1416">
        <v>18.305926155755508</v>
      </c>
      <c r="S108" s="1414">
        <v>50.421274354923639</v>
      </c>
      <c r="T108" s="1414">
        <v>46.142706687730374</v>
      </c>
      <c r="U108" s="1414">
        <v>56.154555028962598</v>
      </c>
      <c r="V108" s="1414">
        <v>11.61795681937862</v>
      </c>
      <c r="W108" s="1416">
        <v>50.90617869053888</v>
      </c>
    </row>
    <row r="109" spans="1:23" ht="15.6">
      <c r="A109" s="1411">
        <v>6</v>
      </c>
      <c r="B109" s="1414">
        <v>16.521641497782522</v>
      </c>
      <c r="C109" s="1414">
        <v>-25.89400999270196</v>
      </c>
      <c r="D109" s="1321">
        <v>3.7977881322629536</v>
      </c>
      <c r="E109" s="1414">
        <v>26.559254477067306</v>
      </c>
      <c r="F109" s="1321">
        <v>7.1324313703474989</v>
      </c>
      <c r="G109" s="1416">
        <v>13.094369280862292</v>
      </c>
      <c r="H109" s="1414">
        <v>-35.771664178573971</v>
      </c>
      <c r="I109" s="1414">
        <v>-65.031634321461581</v>
      </c>
      <c r="J109" s="1414">
        <v>-27.823985213620528</v>
      </c>
      <c r="K109" s="1414">
        <v>4.2084310798322315</v>
      </c>
      <c r="L109" s="1414">
        <v>11.076562166773297</v>
      </c>
      <c r="M109" s="1416">
        <v>-46.427809767541056</v>
      </c>
      <c r="N109" s="1414">
        <v>18.643892339544522</v>
      </c>
      <c r="O109" s="1414">
        <v>-5.6832298136645978</v>
      </c>
      <c r="P109" s="1414">
        <v>30.734989648033121</v>
      </c>
      <c r="Q109" s="1414">
        <v>17.443064182194615</v>
      </c>
      <c r="R109" s="1416">
        <v>18.354037267080741</v>
      </c>
      <c r="S109" s="1414">
        <v>47.162730507926227</v>
      </c>
      <c r="T109" s="1414">
        <v>48.59915884826917</v>
      </c>
      <c r="U109" s="1414">
        <v>62.174053704302814</v>
      </c>
      <c r="V109" s="1414">
        <v>12.196700097055972</v>
      </c>
      <c r="W109" s="1416">
        <v>52.645314353499408</v>
      </c>
    </row>
    <row r="110" spans="1:23" ht="15.6">
      <c r="A110" s="1411">
        <v>7</v>
      </c>
      <c r="B110" s="1414">
        <v>17.657318834655111</v>
      </c>
      <c r="C110" s="1414">
        <v>-26.536396587905049</v>
      </c>
      <c r="D110" s="1321">
        <v>6.7996620608835459</v>
      </c>
      <c r="E110" s="1414">
        <v>41.956231433788453</v>
      </c>
      <c r="F110" s="1321">
        <v>5.8621535442727488</v>
      </c>
      <c r="G110" s="1416">
        <v>17.604629402520004</v>
      </c>
      <c r="H110" s="1414">
        <v>-25.022195915951468</v>
      </c>
      <c r="I110" s="1414">
        <v>-63.606096478247999</v>
      </c>
      <c r="J110" s="1414">
        <v>-25.110979579757327</v>
      </c>
      <c r="K110" s="1414">
        <v>22.514057413435928</v>
      </c>
      <c r="L110" s="1414">
        <v>10.473290914471736</v>
      </c>
      <c r="M110" s="1416">
        <v>-44.358538029002659</v>
      </c>
      <c r="N110" s="1414">
        <v>10.093101988997043</v>
      </c>
      <c r="O110" s="1414">
        <v>0.81464240372407948</v>
      </c>
      <c r="P110" s="1414">
        <v>36.07702073635209</v>
      </c>
      <c r="Q110" s="1414">
        <v>14.420228523063903</v>
      </c>
      <c r="R110" s="1416">
        <v>15.118493440541689</v>
      </c>
      <c r="S110" s="1414">
        <v>50.419177364422325</v>
      </c>
      <c r="T110" s="1414">
        <v>55.783337699764211</v>
      </c>
      <c r="U110" s="1414">
        <v>53.242074927953894</v>
      </c>
      <c r="V110" s="1414">
        <v>7.9774692166623016</v>
      </c>
      <c r="W110" s="1416">
        <v>53.1481966640468</v>
      </c>
    </row>
    <row r="111" spans="1:23" ht="15.6">
      <c r="A111" s="1411">
        <v>8</v>
      </c>
      <c r="B111" s="1414">
        <v>14.125760649087219</v>
      </c>
      <c r="C111" s="1414">
        <v>-26.82082488167681</v>
      </c>
      <c r="D111" s="1321">
        <v>8.2488167680865452</v>
      </c>
      <c r="E111" s="1414">
        <v>43.867478025693039</v>
      </c>
      <c r="F111" s="1321">
        <v>6.9939148073022315</v>
      </c>
      <c r="G111" s="1416">
        <v>16.579999999999998</v>
      </c>
      <c r="H111" s="1414">
        <v>-45.704829246276518</v>
      </c>
      <c r="I111" s="1414">
        <v>-66.608996539792386</v>
      </c>
      <c r="J111" s="1414">
        <v>-41.582668873175869</v>
      </c>
      <c r="K111" s="1414">
        <v>4.8668572288250358</v>
      </c>
      <c r="L111" s="1414">
        <v>10.228825033849857</v>
      </c>
      <c r="M111" s="1416">
        <v>-54.095832706484131</v>
      </c>
      <c r="N111" s="1414">
        <v>25.987858131856424</v>
      </c>
      <c r="O111" s="1414">
        <v>-0.63904569176696147</v>
      </c>
      <c r="P111" s="1414">
        <v>25.199701778677181</v>
      </c>
      <c r="Q111" s="1414">
        <v>15.731174778996699</v>
      </c>
      <c r="R111" s="1416">
        <v>17.27553520076685</v>
      </c>
      <c r="S111" s="1414">
        <v>50.583480018254122</v>
      </c>
      <c r="T111" s="1414">
        <v>53.041267357715626</v>
      </c>
      <c r="U111" s="1414">
        <v>49.455635960623241</v>
      </c>
      <c r="V111" s="1414">
        <v>8.1230849468674613</v>
      </c>
      <c r="W111" s="1416">
        <v>51.026794445530989</v>
      </c>
    </row>
    <row r="112" spans="1:23" ht="15.6">
      <c r="A112" s="1411">
        <v>9</v>
      </c>
      <c r="B112" s="1414">
        <v>32.250967502518151</v>
      </c>
      <c r="C112" s="1414">
        <v>-24.871441446217464</v>
      </c>
      <c r="D112" s="1321">
        <v>-4.3709908286062644</v>
      </c>
      <c r="E112" s="1414">
        <v>33.589566876954891</v>
      </c>
      <c r="F112" s="1321">
        <v>-6.8626411493399786</v>
      </c>
      <c r="G112" s="1416">
        <v>23.403841736026436</v>
      </c>
      <c r="H112" s="1414">
        <v>-68.578143360752051</v>
      </c>
      <c r="I112" s="1414">
        <v>-70.990990990990994</v>
      </c>
      <c r="J112" s="1414">
        <v>-42.028985507246375</v>
      </c>
      <c r="K112" s="1414">
        <v>-5.1233842538190375</v>
      </c>
      <c r="L112" s="1414">
        <v>8.667685076380728</v>
      </c>
      <c r="M112" s="1416">
        <v>-56.509988249118685</v>
      </c>
      <c r="N112" s="1414">
        <v>16.494845360824744</v>
      </c>
      <c r="O112" s="1414">
        <v>-11.202040599426082</v>
      </c>
      <c r="P112" s="1414">
        <v>53.0555850781167</v>
      </c>
      <c r="Q112" s="1414">
        <v>-2.9546179190137067</v>
      </c>
      <c r="R112" s="1416">
        <v>26.917490346122509</v>
      </c>
      <c r="S112" s="1414">
        <v>50.906853219328923</v>
      </c>
      <c r="T112" s="1414">
        <v>51.936779375566793</v>
      </c>
      <c r="U112" s="1414">
        <v>53.148076175670425</v>
      </c>
      <c r="V112" s="1414">
        <v>8.3883922787925904</v>
      </c>
      <c r="W112" s="1416">
        <v>51.997236256855373</v>
      </c>
    </row>
    <row r="113" spans="1:23" ht="15.6">
      <c r="A113" s="1411">
        <v>10</v>
      </c>
      <c r="B113" s="1414">
        <v>35.781222071853541</v>
      </c>
      <c r="C113" s="1414">
        <v>-22.230166228327757</v>
      </c>
      <c r="D113" s="1321">
        <v>1.1541506013328902</v>
      </c>
      <c r="E113" s="1414">
        <v>37.034956464009397</v>
      </c>
      <c r="F113" s="1321">
        <v>-3.319459694099022</v>
      </c>
      <c r="G113" s="1416">
        <v>23.887342644843351</v>
      </c>
      <c r="H113" s="1414">
        <v>-73.239198444237758</v>
      </c>
      <c r="I113" s="1414">
        <v>-70.973196922296438</v>
      </c>
      <c r="J113" s="1414">
        <v>-61.215862010653602</v>
      </c>
      <c r="K113" s="1414">
        <v>-10.425298046841972</v>
      </c>
      <c r="L113" s="1414">
        <v>9.4871903272173856</v>
      </c>
      <c r="M113" s="1416">
        <v>-66.094529466475024</v>
      </c>
      <c r="N113" s="1414">
        <v>35.094142259414234</v>
      </c>
      <c r="O113" s="1414">
        <v>-0.89958158995815896</v>
      </c>
      <c r="P113" s="1414">
        <v>41.903765690376567</v>
      </c>
      <c r="Q113" s="1414">
        <v>-1.6841004184100417</v>
      </c>
      <c r="R113" s="1416">
        <v>25.965829846582984</v>
      </c>
      <c r="S113" s="1414">
        <v>50.90045022511255</v>
      </c>
      <c r="T113" s="1414">
        <v>52.24487243621811</v>
      </c>
      <c r="U113" s="1414">
        <v>54.7648824412206</v>
      </c>
      <c r="V113" s="1414">
        <v>9.7986493246623301</v>
      </c>
      <c r="W113" s="1416">
        <v>52.636735034183758</v>
      </c>
    </row>
    <row r="114" spans="1:23" ht="15.6">
      <c r="A114" s="1411">
        <v>11</v>
      </c>
      <c r="B114" s="1414">
        <v>38.102324626674182</v>
      </c>
      <c r="C114" s="1414">
        <v>-20.965258890542412</v>
      </c>
      <c r="D114" s="1321">
        <v>1.5086981064299274</v>
      </c>
      <c r="E114" s="1414">
        <v>22.184020115974747</v>
      </c>
      <c r="F114" s="1321">
        <v>-3.835890593729153</v>
      </c>
      <c r="G114" s="1416">
        <v>19.59254887873967</v>
      </c>
      <c r="H114" s="1414">
        <v>-74.88867545621234</v>
      </c>
      <c r="I114" s="1414">
        <v>-76.268226665502496</v>
      </c>
      <c r="J114" s="1414">
        <v>-70.994499257836381</v>
      </c>
      <c r="K114" s="1414">
        <v>-17.008644023399981</v>
      </c>
      <c r="L114" s="1414">
        <v>9.0954335108705155</v>
      </c>
      <c r="M114" s="1416">
        <v>-73.631362961669439</v>
      </c>
      <c r="N114" s="1414">
        <v>24.451521585279551</v>
      </c>
      <c r="O114" s="1414">
        <v>-1.7338995046001422</v>
      </c>
      <c r="P114" s="1414">
        <v>31.210191082802552</v>
      </c>
      <c r="Q114" s="1414">
        <v>0.81387119603680191</v>
      </c>
      <c r="R114" s="1416">
        <v>19.131870724227412</v>
      </c>
      <c r="S114" s="1414">
        <v>48.29062519675125</v>
      </c>
      <c r="T114" s="1414">
        <v>52.401939180255624</v>
      </c>
      <c r="U114" s="1414">
        <v>58.024302713593151</v>
      </c>
      <c r="V114" s="1414">
        <v>19.328842158282441</v>
      </c>
      <c r="W114" s="1416">
        <v>52.90562236353334</v>
      </c>
    </row>
    <row r="115" spans="1:23" ht="15.6">
      <c r="A115" s="1411">
        <v>12</v>
      </c>
      <c r="B115" s="1414">
        <v>38.419843584647545</v>
      </c>
      <c r="C115" s="1414">
        <v>-34.052603050873699</v>
      </c>
      <c r="D115" s="1321">
        <v>10.143767906460521</v>
      </c>
      <c r="E115" s="1414">
        <v>19.944247993185868</v>
      </c>
      <c r="F115" s="1321">
        <v>-6.868337506130139</v>
      </c>
      <c r="G115" s="1416">
        <v>16.073441223790965</v>
      </c>
      <c r="H115" s="1414">
        <v>-73.828964331757632</v>
      </c>
      <c r="I115" s="1414">
        <v>-75.71981091534164</v>
      </c>
      <c r="J115" s="1414">
        <v>-71.061452513966501</v>
      </c>
      <c r="K115" s="1414">
        <v>-19.243661366566396</v>
      </c>
      <c r="L115" s="1414">
        <v>8.9015040825096694</v>
      </c>
      <c r="M115" s="1416">
        <v>-73.390631714654063</v>
      </c>
      <c r="N115" s="1414">
        <v>21.46799765120376</v>
      </c>
      <c r="O115" s="1414">
        <v>5.7075748678802105</v>
      </c>
      <c r="P115" s="1414">
        <v>-1.1156782149148567</v>
      </c>
      <c r="Q115" s="1414">
        <v>-9.3599530240751605</v>
      </c>
      <c r="R115" s="1416">
        <v>4.8815815228028976</v>
      </c>
      <c r="S115" s="1414">
        <v>39.796303281780467</v>
      </c>
      <c r="T115" s="1414">
        <v>46.762228090028927</v>
      </c>
      <c r="U115" s="1414">
        <v>57.531749025524967</v>
      </c>
      <c r="V115" s="1414">
        <v>17.270212498428268</v>
      </c>
      <c r="W115" s="1416">
        <v>48.03009346577813</v>
      </c>
    </row>
    <row r="116" spans="1:23" ht="15.6">
      <c r="A116" s="1411">
        <v>2023</v>
      </c>
      <c r="B116" s="1414"/>
      <c r="C116" s="1414"/>
      <c r="D116" s="1321"/>
      <c r="E116" s="1414"/>
      <c r="F116" s="1321"/>
      <c r="G116" s="1416"/>
      <c r="H116" s="1414"/>
      <c r="I116" s="1414"/>
      <c r="J116" s="1414"/>
      <c r="K116" s="1414"/>
      <c r="L116" s="1414"/>
      <c r="M116" s="1416"/>
      <c r="N116" s="1414"/>
      <c r="O116" s="1414"/>
      <c r="P116" s="1414"/>
      <c r="Q116" s="1414"/>
      <c r="R116" s="1416"/>
      <c r="S116" s="1414"/>
      <c r="T116" s="1414"/>
      <c r="U116" s="1414"/>
      <c r="V116" s="1414"/>
      <c r="W116" s="1416"/>
    </row>
    <row r="117" spans="1:23" ht="15.6">
      <c r="A117" s="1411">
        <v>1</v>
      </c>
      <c r="B117" s="1414">
        <v>24.252235993524245</v>
      </c>
      <c r="C117" s="1414">
        <v>-23.535656466466733</v>
      </c>
      <c r="D117" s="1321">
        <v>-1.8684147668462543</v>
      </c>
      <c r="E117" s="1414">
        <v>22.954430850075639</v>
      </c>
      <c r="F117" s="1321">
        <v>-7.3595371427054852</v>
      </c>
      <c r="G117" s="1416">
        <v>16.358360536815379</v>
      </c>
      <c r="H117" s="1414">
        <v>-72.610096670247032</v>
      </c>
      <c r="I117" s="1414">
        <v>-74.579305406373081</v>
      </c>
      <c r="J117" s="1414">
        <v>-69.72789115646259</v>
      </c>
      <c r="K117" s="1414">
        <v>-20.041174364482636</v>
      </c>
      <c r="L117" s="1414">
        <v>8.7771213748657342</v>
      </c>
      <c r="M117" s="1416">
        <v>-72.153598281417828</v>
      </c>
      <c r="N117" s="1414">
        <v>12.43226012113484</v>
      </c>
      <c r="O117" s="1414">
        <v>-2.9114865582828613</v>
      </c>
      <c r="P117" s="1414">
        <v>3.7190521729890542</v>
      </c>
      <c r="Q117" s="1414">
        <v>-5.950483476782491</v>
      </c>
      <c r="R117" s="1416">
        <v>6.3542662841355853</v>
      </c>
      <c r="S117" s="1414">
        <v>44.15199141576722</v>
      </c>
      <c r="T117" s="1414">
        <v>45.881461844347669</v>
      </c>
      <c r="U117" s="1414">
        <v>57.325001577983961</v>
      </c>
      <c r="V117" s="1414">
        <v>17.67342043804835</v>
      </c>
      <c r="W117" s="1416">
        <v>49.119484946032955</v>
      </c>
    </row>
    <row r="118" spans="1:23" ht="15.6">
      <c r="A118" s="1411">
        <v>2</v>
      </c>
      <c r="B118" s="1414">
        <v>10.460647538826008</v>
      </c>
      <c r="C118" s="1414">
        <v>-25.996314819689395</v>
      </c>
      <c r="D118" s="1321">
        <v>-2.6375361937351935</v>
      </c>
      <c r="E118" s="1414">
        <v>18.815477757304553</v>
      </c>
      <c r="F118" s="1321">
        <v>-6.6306922874440657</v>
      </c>
      <c r="G118" s="1416">
        <v>10.637887163288585</v>
      </c>
      <c r="H118" s="1414">
        <v>-43.876574121805731</v>
      </c>
      <c r="I118" s="1414">
        <v>-62.486191913984825</v>
      </c>
      <c r="J118" s="1414">
        <v>-19.37550629648722</v>
      </c>
      <c r="K118" s="1414">
        <v>-1.4507695706605788</v>
      </c>
      <c r="L118" s="1414">
        <v>8.8845275793504683</v>
      </c>
      <c r="M118" s="1416">
        <v>-40.930849105236021</v>
      </c>
      <c r="N118" s="1414">
        <v>-17.595781317262162</v>
      </c>
      <c r="O118" s="1414">
        <v>4.2617305208781753</v>
      </c>
      <c r="P118" s="1414">
        <v>24.698665518725786</v>
      </c>
      <c r="Q118" s="1414">
        <v>-7.82393456736978</v>
      </c>
      <c r="R118" s="1416">
        <v>0.94705122686181564</v>
      </c>
      <c r="S118" s="1414">
        <v>45.323741007194258</v>
      </c>
      <c r="T118" s="1414">
        <v>44.387852549818554</v>
      </c>
      <c r="U118" s="1414">
        <v>60.654485261348448</v>
      </c>
      <c r="V118" s="1414">
        <v>15.948303304259248</v>
      </c>
      <c r="W118" s="1416">
        <v>50.122026272787068</v>
      </c>
    </row>
    <row r="119" spans="1:23" ht="15.6">
      <c r="A119" s="1411">
        <v>3</v>
      </c>
      <c r="B119" s="1414">
        <v>-4.93</v>
      </c>
      <c r="C119" s="1414">
        <v>-26.64</v>
      </c>
      <c r="D119" s="1321">
        <v>8.64</v>
      </c>
      <c r="E119" s="1414">
        <v>22.12</v>
      </c>
      <c r="F119" s="1321">
        <v>-9.3000000000000007</v>
      </c>
      <c r="G119" s="1416">
        <v>2.85</v>
      </c>
      <c r="H119" s="1414">
        <v>-3.74</v>
      </c>
      <c r="I119" s="1414">
        <v>-19.850000000000001</v>
      </c>
      <c r="J119" s="1414">
        <v>1.1000000000000001</v>
      </c>
      <c r="K119" s="1414">
        <v>2.35</v>
      </c>
      <c r="L119" s="1414">
        <v>12.16</v>
      </c>
      <c r="M119" s="1416">
        <v>-9.3699999999999992</v>
      </c>
      <c r="N119" s="1414">
        <v>-20.83</v>
      </c>
      <c r="O119" s="1414">
        <v>-7.07</v>
      </c>
      <c r="P119" s="1414">
        <v>34.229999999999997</v>
      </c>
      <c r="Q119" s="1414">
        <v>-6.5</v>
      </c>
      <c r="R119" s="1416">
        <v>6.82</v>
      </c>
      <c r="S119" s="1414">
        <v>44.89</v>
      </c>
      <c r="T119" s="1414">
        <v>44.06</v>
      </c>
      <c r="U119" s="1414">
        <v>63.12</v>
      </c>
      <c r="V119" s="1414">
        <v>14.27</v>
      </c>
      <c r="W119" s="1416">
        <v>50.69</v>
      </c>
    </row>
    <row r="120" spans="1:23" ht="15.6">
      <c r="A120" s="1411">
        <v>4</v>
      </c>
      <c r="B120" s="1414">
        <v>-5.7867010697199373</v>
      </c>
      <c r="C120" s="1414">
        <v>-40.754179433424724</v>
      </c>
      <c r="D120" s="1321">
        <v>10.511745417405795</v>
      </c>
      <c r="E120" s="1414">
        <v>27.568134171907758</v>
      </c>
      <c r="F120" s="1321">
        <v>-11.269687684782024</v>
      </c>
      <c r="G120" s="1416">
        <v>3.7565625615940084</v>
      </c>
      <c r="H120" s="1414">
        <v>-5.4198740377886638</v>
      </c>
      <c r="I120" s="1414">
        <v>-14.52414275717285</v>
      </c>
      <c r="J120" s="1414">
        <v>6.1266620013995805</v>
      </c>
      <c r="K120" s="1414">
        <v>2.3372988103568928</v>
      </c>
      <c r="L120" s="1414">
        <v>12.07193841847446</v>
      </c>
      <c r="M120" s="1416">
        <v>-4.1987403778866348</v>
      </c>
      <c r="N120" s="1414">
        <v>-2.4353448275862077</v>
      </c>
      <c r="O120" s="1414">
        <v>4.1702586206896548</v>
      </c>
      <c r="P120" s="1414">
        <v>61.46551724137931</v>
      </c>
      <c r="Q120" s="1414">
        <v>-7.586206896551726</v>
      </c>
      <c r="R120" s="1416">
        <v>18.286637931034484</v>
      </c>
      <c r="S120" s="1414">
        <v>50.006083465141742</v>
      </c>
      <c r="T120" s="1414">
        <v>48.771140041367566</v>
      </c>
      <c r="U120" s="1414">
        <v>55.535953278987698</v>
      </c>
      <c r="V120" s="1414">
        <v>15.634505414283977</v>
      </c>
      <c r="W120" s="1416">
        <v>51.437725595165674</v>
      </c>
    </row>
    <row r="121" spans="1:23" ht="15.6">
      <c r="A121" s="1411">
        <v>5</v>
      </c>
      <c r="B121" s="1414">
        <v>18.458896758961149</v>
      </c>
      <c r="C121" s="1414">
        <v>-27.186628031766475</v>
      </c>
      <c r="D121" s="1321">
        <v>15.083708950418547</v>
      </c>
      <c r="E121" s="1414">
        <v>30.977677613221722</v>
      </c>
      <c r="F121" s="1321">
        <v>-11.354367890105173</v>
      </c>
      <c r="G121" s="1416">
        <v>11.450955140588107</v>
      </c>
      <c r="H121" s="1414">
        <v>-12.247723889638937</v>
      </c>
      <c r="I121" s="1414">
        <v>-14.158618063488767</v>
      </c>
      <c r="J121" s="1414">
        <v>6.6881296084744006</v>
      </c>
      <c r="K121" s="1414">
        <v>2.3124588915429087</v>
      </c>
      <c r="L121" s="1414">
        <v>11.998269117596152</v>
      </c>
      <c r="M121" s="1416">
        <v>-3.7352442275071831</v>
      </c>
      <c r="N121" s="1414">
        <v>12.858672376873663</v>
      </c>
      <c r="O121" s="1414">
        <v>4.3361884368308363</v>
      </c>
      <c r="P121" s="1414">
        <v>61.295503211991438</v>
      </c>
      <c r="Q121" s="1414">
        <v>-6.34903640256959</v>
      </c>
      <c r="R121" s="1416">
        <v>23.272662384011422</v>
      </c>
      <c r="S121" s="1414">
        <v>60.031614785992225</v>
      </c>
      <c r="T121" s="1414">
        <v>52.620379377431924</v>
      </c>
      <c r="U121" s="1414">
        <v>58.025291828793776</v>
      </c>
      <c r="V121" s="1414">
        <v>14.05034046692607</v>
      </c>
      <c r="W121" s="1416">
        <v>56.892428664072639</v>
      </c>
    </row>
    <row r="122" spans="1:23" ht="15.6">
      <c r="A122" s="1411">
        <v>6</v>
      </c>
      <c r="B122" s="1414">
        <v>13.422958137603489</v>
      </c>
      <c r="C122" s="1414">
        <v>-36.630245776128312</v>
      </c>
      <c r="D122" s="1321">
        <v>11.77493446835016</v>
      </c>
      <c r="E122" s="1414">
        <v>30.19386987101295</v>
      </c>
      <c r="F122" s="1321">
        <v>-12.403000181671903</v>
      </c>
      <c r="G122" s="1416">
        <v>10.61396451342209</v>
      </c>
      <c r="H122" s="1414">
        <v>-7.4532016301719972</v>
      </c>
      <c r="I122" s="1414">
        <v>-11.863645782966083</v>
      </c>
      <c r="J122" s="1414">
        <v>7.0387511224701242</v>
      </c>
      <c r="K122" s="1414">
        <v>2.93</v>
      </c>
      <c r="L122" s="1414">
        <v>15.87</v>
      </c>
      <c r="M122" s="1416">
        <v>-2.4124473302479794</v>
      </c>
      <c r="N122" s="1414">
        <v>28.245745477897891</v>
      </c>
      <c r="O122" s="1414">
        <v>5.1910521245852497</v>
      </c>
      <c r="P122" s="1414">
        <v>42.127796211067107</v>
      </c>
      <c r="Q122" s="1414">
        <v>-2.0871240500909778</v>
      </c>
      <c r="R122" s="1416">
        <v>21.727496521459919</v>
      </c>
      <c r="S122" s="1414">
        <v>55.554208100897405</v>
      </c>
      <c r="T122" s="1414">
        <v>48.490177055542084</v>
      </c>
      <c r="U122" s="1414">
        <v>58.913412563667222</v>
      </c>
      <c r="V122" s="1414">
        <v>14.061363085132186</v>
      </c>
      <c r="W122" s="1416">
        <v>54.319265906702242</v>
      </c>
    </row>
    <row r="123" spans="1:23" ht="15.6">
      <c r="A123" s="1411">
        <v>7</v>
      </c>
      <c r="B123" s="1414">
        <v>21.041677506634063</v>
      </c>
      <c r="C123" s="1414">
        <v>-35.769290805973256</v>
      </c>
      <c r="D123" s="1321">
        <v>11.358551433477288</v>
      </c>
      <c r="E123" s="1414">
        <v>35.753681252926796</v>
      </c>
      <c r="F123" s="1321">
        <v>-8.9885009625891037</v>
      </c>
      <c r="G123" s="1416">
        <v>15.145602442027855</v>
      </c>
      <c r="H123" s="1414">
        <v>-10.404504473384227</v>
      </c>
      <c r="I123" s="1414">
        <v>-9.7309060762029773</v>
      </c>
      <c r="J123" s="1414">
        <v>4.0899512936543569</v>
      </c>
      <c r="K123" s="1414">
        <v>4.0277729800683959</v>
      </c>
      <c r="L123" s="1414">
        <v>8.5656844796020586</v>
      </c>
      <c r="M123" s="1416">
        <v>-2.8204773912743102</v>
      </c>
      <c r="N123" s="1414">
        <v>35.662315429060563</v>
      </c>
      <c r="O123" s="1414">
        <v>-3.0387331478707464</v>
      </c>
      <c r="P123" s="1414">
        <v>37.267280119837359</v>
      </c>
      <c r="Q123" s="1414">
        <v>-3.5416220843141448</v>
      </c>
      <c r="R123" s="1416">
        <v>25.322776232256224</v>
      </c>
      <c r="S123" s="1414">
        <v>55.638062159410744</v>
      </c>
      <c r="T123" s="1414">
        <v>45.236241691119226</v>
      </c>
      <c r="U123" s="1414">
        <v>64.087669920354514</v>
      </c>
      <c r="V123" s="1414">
        <v>22.252829510749141</v>
      </c>
      <c r="W123" s="1416">
        <v>54.987324590294826</v>
      </c>
    </row>
    <row r="124" spans="1:23" ht="15.6">
      <c r="A124" s="1411">
        <v>8</v>
      </c>
      <c r="B124" s="1414">
        <v>16.882308709518501</v>
      </c>
      <c r="C124" s="1414">
        <v>-35.227007545310755</v>
      </c>
      <c r="D124" s="1321">
        <v>10.892732128503646</v>
      </c>
      <c r="E124" s="1414">
        <v>35.302201363860298</v>
      </c>
      <c r="F124" s="1321">
        <v>-4.9887209272175692</v>
      </c>
      <c r="G124" s="1416">
        <v>13.763925981625052</v>
      </c>
      <c r="H124" s="1414">
        <v>-6.524379663369773</v>
      </c>
      <c r="I124" s="1414">
        <v>-12.573312510845048</v>
      </c>
      <c r="J124" s="1414">
        <v>9.0404303314246057</v>
      </c>
      <c r="K124" s="1414">
        <v>5.3583203192781532</v>
      </c>
      <c r="L124" s="1414">
        <v>8.5003643935450288</v>
      </c>
      <c r="M124" s="1416">
        <v>-1.766441089710221</v>
      </c>
      <c r="N124" s="1414">
        <v>36.229860365198711</v>
      </c>
      <c r="O124" s="1414">
        <v>-1.6863587540279268</v>
      </c>
      <c r="P124" s="1414">
        <v>24.103114930182603</v>
      </c>
      <c r="Q124" s="1414">
        <v>-13.276047261009662</v>
      </c>
      <c r="R124" s="1416">
        <v>20.673111349803079</v>
      </c>
      <c r="S124" s="1414">
        <v>63.399940351923654</v>
      </c>
      <c r="T124" s="1414">
        <v>55.466746197435135</v>
      </c>
      <c r="U124" s="1414">
        <v>59.958246346555335</v>
      </c>
      <c r="V124" s="1414">
        <v>16.594094840441397</v>
      </c>
      <c r="W124" s="1416">
        <v>59.608310965304703</v>
      </c>
    </row>
    <row r="125" spans="1:23" ht="15.6">
      <c r="A125" s="1411">
        <v>9</v>
      </c>
      <c r="B125" s="1414">
        <v>16.39116686804288</v>
      </c>
      <c r="C125" s="1414">
        <v>-42.736317128975038</v>
      </c>
      <c r="D125" s="1321">
        <v>12.835805547700458</v>
      </c>
      <c r="E125" s="1414">
        <v>29.872233219362968</v>
      </c>
      <c r="F125" s="1321">
        <v>3.8792771022391346</v>
      </c>
      <c r="G125" s="1416">
        <v>11.142531513235131</v>
      </c>
      <c r="H125" s="1414">
        <v>-9.5034815773819936</v>
      </c>
      <c r="I125" s="1414">
        <v>-11.466461387732252</v>
      </c>
      <c r="J125" s="1414">
        <v>8.0513663879072048</v>
      </c>
      <c r="K125" s="1414">
        <v>5.4025683193953595</v>
      </c>
      <c r="L125" s="1414">
        <v>8.4319955211868844</v>
      </c>
      <c r="M125" s="1416">
        <v>-1.7075474999125237</v>
      </c>
      <c r="N125" s="1414">
        <v>43.262260127931768</v>
      </c>
      <c r="O125" s="1414">
        <v>-3.1023454157782515</v>
      </c>
      <c r="P125" s="1414">
        <v>42.96375266524521</v>
      </c>
      <c r="Q125" s="1414">
        <v>-2.3454157782516005</v>
      </c>
      <c r="R125" s="1416">
        <v>29.776119402985074</v>
      </c>
      <c r="S125" s="1414">
        <v>55.665259025753869</v>
      </c>
      <c r="T125" s="1414">
        <v>51.17468625468387</v>
      </c>
      <c r="U125" s="1414">
        <v>53.898768809849514</v>
      </c>
      <c r="V125" s="1414">
        <v>22.791887230119546</v>
      </c>
      <c r="W125" s="1416">
        <v>53.579571363429075</v>
      </c>
    </row>
    <row r="126" spans="1:23" ht="15.6">
      <c r="A126" s="1411">
        <v>10</v>
      </c>
      <c r="B126" s="1414">
        <v>14.47940908630982</v>
      </c>
      <c r="C126" s="1414">
        <v>-37.577152686431255</v>
      </c>
      <c r="D126" s="1321">
        <v>21.600222604472329</v>
      </c>
      <c r="E126" s="1414">
        <v>18.617828594556311</v>
      </c>
      <c r="F126" s="1321">
        <v>-3.6957401598704851</v>
      </c>
      <c r="G126" s="1416">
        <v>3.8323383587979349</v>
      </c>
      <c r="H126" s="1414">
        <v>-10.56313531480694</v>
      </c>
      <c r="I126" s="1414">
        <v>-12.731418853631199</v>
      </c>
      <c r="J126" s="1414">
        <v>11.649209600742086</v>
      </c>
      <c r="K126" s="1414">
        <v>5.9676110230742472</v>
      </c>
      <c r="L126" s="1414">
        <v>12.416495961040468</v>
      </c>
      <c r="M126" s="1416">
        <v>-0.54110462644455648</v>
      </c>
      <c r="N126" s="1414">
        <v>26.295867942382504</v>
      </c>
      <c r="O126" s="1414">
        <v>-3.5537798338765638</v>
      </c>
      <c r="P126" s="1414">
        <v>57.344127851960884</v>
      </c>
      <c r="Q126" s="1414">
        <v>-17.684786037220057</v>
      </c>
      <c r="R126" s="1416">
        <v>29.064591876073312</v>
      </c>
      <c r="S126" s="1414">
        <v>56.310275032741991</v>
      </c>
      <c r="T126" s="1414">
        <v>50.214311227527091</v>
      </c>
      <c r="U126" s="1414">
        <v>54.250506012620562</v>
      </c>
      <c r="V126" s="1414">
        <v>21.431122752708657</v>
      </c>
      <c r="W126" s="1416">
        <v>53.591697424296541</v>
      </c>
    </row>
    <row r="127" spans="1:23" ht="15.6">
      <c r="A127" s="1411">
        <v>11</v>
      </c>
      <c r="B127" s="1414">
        <v>10.316395966820643</v>
      </c>
      <c r="C127" s="1414">
        <v>-40.411265087170314</v>
      </c>
      <c r="D127" s="1321">
        <v>18.787562707991853</v>
      </c>
      <c r="E127" s="1414">
        <v>1.9470521035116484</v>
      </c>
      <c r="F127" s="1321">
        <v>-8.5531217404261657</v>
      </c>
      <c r="G127" s="1416">
        <v>-2.1747048792198544</v>
      </c>
      <c r="H127" s="1414">
        <v>-8.9368045204007345</v>
      </c>
      <c r="I127" s="1414">
        <v>-10.881547474607412</v>
      </c>
      <c r="J127" s="1414">
        <v>5.8862273373314382</v>
      </c>
      <c r="K127" s="1414">
        <v>5.3523763302943115</v>
      </c>
      <c r="L127" s="1414">
        <v>12.340520678060111</v>
      </c>
      <c r="M127" s="1416">
        <v>-2.4976600686379871</v>
      </c>
      <c r="N127" s="1414">
        <v>48.833315894109035</v>
      </c>
      <c r="O127" s="1414">
        <v>-8.255728785183635</v>
      </c>
      <c r="P127" s="1414">
        <v>31.003452966412056</v>
      </c>
      <c r="Q127" s="1414">
        <v>-24.997384116354503</v>
      </c>
      <c r="R127" s="1416">
        <v>29.364165881901574</v>
      </c>
      <c r="S127" s="1414">
        <v>53.446935724962628</v>
      </c>
      <c r="T127" s="1414">
        <v>53.608370702541109</v>
      </c>
      <c r="U127" s="1414">
        <v>50.714499252615838</v>
      </c>
      <c r="V127" s="1414">
        <v>23.946188340807176</v>
      </c>
      <c r="W127" s="1416">
        <v>52.58993522670653</v>
      </c>
    </row>
    <row r="128" spans="1:23" ht="15.6">
      <c r="A128" s="1411">
        <v>12</v>
      </c>
      <c r="B128" s="1414">
        <v>12.67481193517443</v>
      </c>
      <c r="C128" s="1414">
        <v>-40.768415206745097</v>
      </c>
      <c r="D128" s="1321">
        <v>20.684606452264347</v>
      </c>
      <c r="E128" s="1414">
        <v>-1.8655020952188615</v>
      </c>
      <c r="F128" s="1321">
        <v>-5.2885343565406178</v>
      </c>
      <c r="G128" s="1416">
        <v>-3.2917655374362607</v>
      </c>
      <c r="H128" s="1414">
        <v>-9.0563781521471522</v>
      </c>
      <c r="I128" s="1414">
        <v>-11.029437625294552</v>
      </c>
      <c r="J128" s="1414">
        <v>5.9473147399148871</v>
      </c>
      <c r="K128" s="1414">
        <v>4.7972426405936766</v>
      </c>
      <c r="L128" s="1414">
        <v>11.672844933703795</v>
      </c>
      <c r="M128" s="1416">
        <v>-2.5410614426898324</v>
      </c>
      <c r="N128" s="1414">
        <v>48.638011393060594</v>
      </c>
      <c r="O128" s="1414">
        <v>-6.6701191092698107</v>
      </c>
      <c r="P128" s="1414">
        <v>-10.046607975142415</v>
      </c>
      <c r="Q128" s="1414">
        <v>-28.254790264111861</v>
      </c>
      <c r="R128" s="1416">
        <v>15.087174175729329</v>
      </c>
      <c r="S128" s="1414">
        <v>17.679819883872497</v>
      </c>
      <c r="T128" s="1414">
        <v>48.720227515108412</v>
      </c>
      <c r="U128" s="1414">
        <v>52.257376466405979</v>
      </c>
      <c r="V128" s="1414">
        <v>21.205119089939565</v>
      </c>
      <c r="W128" s="1416">
        <v>39.552474621795625</v>
      </c>
    </row>
    <row r="129" spans="1:34" ht="15.6">
      <c r="A129" s="1411">
        <v>2024</v>
      </c>
      <c r="B129" s="1414"/>
      <c r="C129" s="1414"/>
      <c r="D129" s="1321"/>
      <c r="E129" s="1414"/>
      <c r="F129" s="1321"/>
      <c r="G129" s="1416"/>
      <c r="H129" s="1414"/>
      <c r="I129" s="1414"/>
      <c r="J129" s="1414"/>
      <c r="K129" s="1414"/>
      <c r="L129" s="1414"/>
      <c r="M129" s="1416"/>
      <c r="N129" s="1414"/>
      <c r="O129" s="1414"/>
      <c r="P129" s="1414"/>
      <c r="Q129" s="1414"/>
      <c r="R129" s="1416"/>
      <c r="S129" s="1414"/>
      <c r="T129" s="1414"/>
      <c r="U129" s="1414"/>
      <c r="V129" s="1414"/>
      <c r="W129" s="1416"/>
    </row>
    <row r="130" spans="1:34" ht="15.6">
      <c r="A130" s="1411">
        <v>1</v>
      </c>
      <c r="B130" s="1414">
        <v>-5.5776690414015562E-2</v>
      </c>
      <c r="C130" s="1414">
        <v>-35.200162259463021</v>
      </c>
      <c r="D130" s="1321">
        <v>15.609867403595064</v>
      </c>
      <c r="E130" s="1414">
        <v>6.8757447455822325</v>
      </c>
      <c r="F130" s="1321">
        <v>-4.9286311893111581</v>
      </c>
      <c r="G130" s="1416">
        <v>-2.9299664494756179</v>
      </c>
      <c r="H130" s="1414">
        <v>-8.3842546539718636</v>
      </c>
      <c r="I130" s="1414">
        <v>-10.377291459428733</v>
      </c>
      <c r="J130" s="1414">
        <v>6.27398038937047</v>
      </c>
      <c r="K130" s="1414">
        <v>4.8458149779735686</v>
      </c>
      <c r="L130" s="1414">
        <v>11.873667756146085</v>
      </c>
      <c r="M130" s="1416">
        <v>-2.0516555350291314</v>
      </c>
      <c r="N130" s="1414">
        <v>53.071278825995812</v>
      </c>
      <c r="O130" s="1414">
        <v>-3.6687631027253667</v>
      </c>
      <c r="P130" s="1414">
        <v>-1.0796645702306087</v>
      </c>
      <c r="Q130" s="1414">
        <v>-27.473794549266252</v>
      </c>
      <c r="R130" s="1416">
        <v>18.553459119496857</v>
      </c>
      <c r="S130" s="1414">
        <v>20.4611963010652</v>
      </c>
      <c r="T130" s="1414">
        <v>51.439775254594394</v>
      </c>
      <c r="U130" s="1414">
        <v>51.515860938780293</v>
      </c>
      <c r="V130" s="1414">
        <v>19.2847945686527</v>
      </c>
      <c r="W130" s="1416">
        <v>41.138944164813296</v>
      </c>
    </row>
    <row r="131" spans="1:34" ht="15.6">
      <c r="A131" s="1677">
        <v>2</v>
      </c>
      <c r="B131" s="1415">
        <v>-4.8167268972638073</v>
      </c>
      <c r="C131" s="1415">
        <v>-36.551368094992256</v>
      </c>
      <c r="D131" s="1323">
        <v>18.252452245740844</v>
      </c>
      <c r="E131" s="1415">
        <v>9.8941662364481182</v>
      </c>
      <c r="F131" s="1323">
        <v>2.4238513164687658</v>
      </c>
      <c r="G131" s="1417">
        <v>-4.3916709688521758</v>
      </c>
      <c r="H131" s="1415">
        <v>-5.4201411161000639</v>
      </c>
      <c r="I131" s="1415">
        <v>-7.4192858670087665</v>
      </c>
      <c r="J131" s="1415">
        <v>6.574727389352149</v>
      </c>
      <c r="K131" s="1415">
        <v>4.8606656688760603</v>
      </c>
      <c r="L131" s="1415">
        <v>11.848122015537026</v>
      </c>
      <c r="M131" s="1417">
        <v>-0.42227923882830876</v>
      </c>
      <c r="N131" s="1415">
        <v>34.294099151032384</v>
      </c>
      <c r="O131" s="1415">
        <v>-3.6369353317262325</v>
      </c>
      <c r="P131" s="1415">
        <v>4.737448904726973</v>
      </c>
      <c r="Q131" s="1415">
        <v>-26.894455507808409</v>
      </c>
      <c r="R131" s="1417">
        <v>14.222827795828531</v>
      </c>
      <c r="S131" s="1415">
        <v>19.38294866</v>
      </c>
      <c r="T131" s="1415">
        <v>50.894959960000001</v>
      </c>
      <c r="U131" s="1415">
        <v>57.978097030000001</v>
      </c>
      <c r="V131" s="1415">
        <v>17.604804519999998</v>
      </c>
      <c r="W131" s="1417">
        <v>42.752001880000002</v>
      </c>
    </row>
    <row r="132" spans="1:34" ht="15.75" hidden="1" customHeight="1">
      <c r="A132" s="1324"/>
      <c r="G132" s="1322">
        <f>(B131-D131+E131)/3</f>
        <v>-4.3916709688521784</v>
      </c>
      <c r="H132" s="1321"/>
      <c r="I132" s="1321"/>
      <c r="J132" s="1321"/>
      <c r="K132" s="1321"/>
      <c r="L132" s="1321"/>
      <c r="M132" s="1322">
        <f>(I131+J131)/2</f>
        <v>-0.42227923882830876</v>
      </c>
      <c r="N132" s="1321"/>
      <c r="O132" s="1321"/>
      <c r="P132" s="1321"/>
      <c r="Q132" s="1321"/>
      <c r="R132" s="1322">
        <f>(N131-O131+P131)/3</f>
        <v>14.222827795828531</v>
      </c>
      <c r="S132" s="1321"/>
      <c r="T132" s="1321"/>
      <c r="U132" s="1321"/>
      <c r="V132" s="1321"/>
      <c r="W132" s="1322">
        <f>(S131+T131+U131)/3</f>
        <v>42.752001883333342</v>
      </c>
    </row>
    <row r="133" spans="1:34" ht="9" customHeight="1">
      <c r="A133" s="1324"/>
      <c r="G133" s="1325"/>
    </row>
    <row r="134" spans="1:34" ht="14.25" customHeight="1">
      <c r="A134" s="2269" t="s">
        <v>3190</v>
      </c>
      <c r="B134" s="2269"/>
      <c r="C134" s="2269"/>
      <c r="D134" s="2269"/>
      <c r="E134" s="2269"/>
      <c r="F134" s="2269"/>
      <c r="G134" s="2269"/>
      <c r="H134" s="2269"/>
      <c r="I134" s="2269"/>
      <c r="J134" s="2269"/>
      <c r="K134" s="2269"/>
      <c r="L134" s="2269"/>
      <c r="M134" s="2269"/>
      <c r="N134" s="2269"/>
      <c r="O134" s="2269"/>
      <c r="P134" s="2269"/>
      <c r="Q134" s="2269"/>
      <c r="R134" s="2269"/>
      <c r="S134" s="2269"/>
      <c r="T134" s="2269"/>
      <c r="U134" s="2269"/>
      <c r="V134" s="2269"/>
      <c r="W134" s="2269"/>
    </row>
    <row r="135" spans="1:34" ht="14.25" customHeight="1">
      <c r="A135" s="2269" t="s">
        <v>3191</v>
      </c>
      <c r="B135" s="2269"/>
      <c r="C135" s="2269"/>
      <c r="D135" s="2269"/>
      <c r="E135" s="2269"/>
      <c r="F135" s="2269"/>
      <c r="G135" s="2269"/>
      <c r="H135" s="2269"/>
      <c r="I135" s="2269"/>
      <c r="J135" s="2269"/>
      <c r="K135" s="2269"/>
      <c r="L135" s="2269"/>
      <c r="M135" s="2269"/>
      <c r="N135" s="2269"/>
      <c r="O135" s="2269"/>
      <c r="P135" s="2269"/>
      <c r="Q135" s="2269"/>
      <c r="R135" s="2269"/>
      <c r="S135" s="2269"/>
      <c r="T135" s="2269"/>
      <c r="U135" s="2269"/>
      <c r="V135" s="2269"/>
      <c r="W135" s="2269"/>
    </row>
    <row r="136" spans="1:34" ht="14.25" customHeight="1">
      <c r="A136" s="2269" t="s">
        <v>3192</v>
      </c>
      <c r="B136" s="2269"/>
      <c r="C136" s="2269"/>
      <c r="D136" s="2269"/>
      <c r="E136" s="2269"/>
      <c r="F136" s="2269"/>
      <c r="G136" s="2269"/>
      <c r="H136" s="2269"/>
      <c r="I136" s="2269"/>
      <c r="J136" s="2269"/>
      <c r="K136" s="2269"/>
      <c r="L136" s="2269"/>
      <c r="M136" s="2269"/>
      <c r="N136" s="2269"/>
      <c r="O136" s="2269"/>
      <c r="P136" s="2269"/>
      <c r="Q136" s="2269"/>
      <c r="R136" s="2269"/>
      <c r="S136" s="2269"/>
      <c r="T136" s="2269"/>
      <c r="U136" s="2269"/>
      <c r="V136" s="2269"/>
      <c r="W136" s="2269"/>
    </row>
    <row r="137" spans="1:34" ht="14.25" customHeight="1">
      <c r="A137" s="2269" t="s">
        <v>3193</v>
      </c>
      <c r="B137" s="2269"/>
      <c r="C137" s="2269"/>
      <c r="D137" s="2269"/>
      <c r="E137" s="2269"/>
      <c r="F137" s="2269"/>
      <c r="G137" s="2269"/>
      <c r="H137" s="2269"/>
      <c r="I137" s="2269"/>
      <c r="J137" s="2269"/>
      <c r="K137" s="2269"/>
      <c r="L137" s="2269"/>
      <c r="M137" s="2269"/>
      <c r="N137" s="2269"/>
      <c r="O137" s="2269"/>
      <c r="P137" s="2269"/>
      <c r="Q137" s="2269"/>
      <c r="R137" s="2269"/>
      <c r="S137" s="2269"/>
      <c r="T137" s="2269"/>
      <c r="U137" s="2269"/>
      <c r="V137" s="2269"/>
      <c r="W137" s="2269"/>
    </row>
    <row r="138" spans="1:34" s="1062" customFormat="1" ht="14.25" customHeight="1">
      <c r="A138" s="1467" t="s">
        <v>3350</v>
      </c>
      <c r="B138" s="1467"/>
      <c r="C138" s="1467"/>
      <c r="D138" s="1467"/>
      <c r="E138" s="1467"/>
      <c r="F138" s="1467"/>
      <c r="G138" s="1467"/>
      <c r="H138" s="1467"/>
      <c r="I138" s="1467"/>
      <c r="J138" s="1467"/>
      <c r="K138" s="1467"/>
      <c r="L138" s="1467"/>
      <c r="M138" s="1467"/>
      <c r="N138" s="1467"/>
      <c r="O138" s="1467"/>
      <c r="P138" s="1467"/>
      <c r="Q138" s="1467"/>
      <c r="R138" s="1467"/>
      <c r="S138" s="1467"/>
      <c r="T138" s="1467"/>
      <c r="U138" s="1467"/>
      <c r="V138" s="1467"/>
      <c r="W138" s="1467"/>
      <c r="X138" s="1467"/>
      <c r="Y138" s="1467"/>
      <c r="Z138" s="1467"/>
      <c r="AA138" s="1467"/>
      <c r="AB138" s="1467"/>
      <c r="AC138" s="1467"/>
      <c r="AD138" s="1467"/>
      <c r="AE138" s="1467"/>
      <c r="AF138" s="1467"/>
      <c r="AG138" s="1467"/>
      <c r="AH138" s="1467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37:P137"/>
    <mergeCell ref="Q137:W137"/>
    <mergeCell ref="A134:P134"/>
    <mergeCell ref="Q134:W134"/>
    <mergeCell ref="A135:P135"/>
    <mergeCell ref="Q135:W135"/>
    <mergeCell ref="A136:P136"/>
    <mergeCell ref="Q136:W136"/>
  </mergeCells>
  <pageMargins left="0.7" right="0.7" top="0.75" bottom="0.75" header="0.3" footer="0.3"/>
  <pageSetup scale="27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topLeftCell="A3" zoomScale="115" zoomScaleNormal="100" zoomScaleSheetLayoutView="115" workbookViewId="0">
      <selection activeCell="N26" sqref="N26"/>
    </sheetView>
  </sheetViews>
  <sheetFormatPr defaultColWidth="9.109375" defaultRowHeight="13.8"/>
  <cols>
    <col min="1" max="1" width="13.44140625" style="1301" customWidth="1"/>
    <col min="2" max="2" width="18.109375" style="1301" hidden="1" customWidth="1"/>
    <col min="3" max="6" width="18.109375" style="1301" customWidth="1"/>
    <col min="7" max="7" width="18.109375" style="1301" hidden="1" customWidth="1"/>
    <col min="8" max="11" width="18.109375" style="1301" customWidth="1"/>
    <col min="12" max="12" width="5.109375" style="1301" customWidth="1"/>
    <col min="13" max="16384" width="9.109375" style="1301"/>
  </cols>
  <sheetData>
    <row r="1" spans="1:11" ht="11.25" customHeight="1"/>
    <row r="2" spans="1:11" ht="17.25" customHeight="1">
      <c r="A2" s="2871" t="s">
        <v>3326</v>
      </c>
      <c r="B2" s="2871"/>
      <c r="C2" s="2871"/>
      <c r="D2" s="2871"/>
      <c r="E2" s="2871"/>
      <c r="F2" s="2871"/>
      <c r="G2" s="2871"/>
      <c r="H2" s="2871"/>
      <c r="I2" s="2871"/>
      <c r="J2" s="2871"/>
      <c r="K2" s="2871"/>
    </row>
    <row r="3" spans="1:11" ht="17.25" customHeight="1">
      <c r="A3" s="2872" t="s">
        <v>3327</v>
      </c>
      <c r="B3" s="2872"/>
      <c r="C3" s="2872"/>
      <c r="D3" s="2872"/>
      <c r="E3" s="2872"/>
      <c r="F3" s="2872"/>
      <c r="G3" s="2872"/>
      <c r="H3" s="2872"/>
      <c r="I3" s="2872"/>
      <c r="J3" s="2872"/>
      <c r="K3" s="2872"/>
    </row>
    <row r="4" spans="1:11" ht="9" customHeight="1">
      <c r="A4" s="1302"/>
    </row>
    <row r="5" spans="1:11" ht="12" customHeight="1">
      <c r="A5" s="1303"/>
      <c r="B5" s="1303"/>
      <c r="C5" s="1303"/>
      <c r="D5" s="1303"/>
      <c r="E5" s="1303"/>
      <c r="F5" s="1303"/>
      <c r="G5" s="1303"/>
      <c r="H5" s="1303"/>
      <c r="I5" s="1303"/>
      <c r="J5" s="1303"/>
      <c r="K5" s="1303"/>
    </row>
    <row r="6" spans="1:11" ht="12" customHeight="1">
      <c r="A6" s="1304"/>
      <c r="B6" s="1304"/>
      <c r="C6" s="1304"/>
      <c r="D6" s="1304"/>
      <c r="E6" s="1304"/>
      <c r="F6" s="1304"/>
      <c r="G6" s="1304"/>
      <c r="H6" s="1304"/>
      <c r="I6" s="1304"/>
      <c r="J6" s="1304"/>
      <c r="K6" s="1304"/>
    </row>
    <row r="7" spans="1:11" ht="25.5" customHeight="1">
      <c r="A7" s="2873" t="s">
        <v>3087</v>
      </c>
      <c r="B7" s="2876" t="s">
        <v>3088</v>
      </c>
      <c r="C7" s="2876"/>
      <c r="D7" s="2876"/>
      <c r="E7" s="2876"/>
      <c r="F7" s="2876"/>
      <c r="G7" s="2876" t="s">
        <v>3089</v>
      </c>
      <c r="H7" s="2876"/>
      <c r="I7" s="2876"/>
      <c r="J7" s="2876"/>
      <c r="K7" s="2876"/>
    </row>
    <row r="8" spans="1:11" ht="25.5" customHeight="1">
      <c r="A8" s="2874"/>
      <c r="B8" s="2877" t="s">
        <v>3090</v>
      </c>
      <c r="C8" s="2878"/>
      <c r="D8" s="2878"/>
      <c r="E8" s="2878"/>
      <c r="F8" s="2879"/>
      <c r="G8" s="2877" t="s">
        <v>3091</v>
      </c>
      <c r="H8" s="2878"/>
      <c r="I8" s="2878"/>
      <c r="J8" s="2878"/>
      <c r="K8" s="2879"/>
    </row>
    <row r="9" spans="1:11" ht="23.25" customHeight="1">
      <c r="A9" s="2875"/>
      <c r="B9" s="1305">
        <v>2020</v>
      </c>
      <c r="C9" s="1305">
        <v>2021</v>
      </c>
      <c r="D9" s="1305">
        <v>2022</v>
      </c>
      <c r="E9" s="1305">
        <v>2023</v>
      </c>
      <c r="F9" s="1305">
        <v>2024</v>
      </c>
      <c r="G9" s="1305">
        <v>2020</v>
      </c>
      <c r="H9" s="1305">
        <v>2021</v>
      </c>
      <c r="I9" s="1305">
        <v>2022</v>
      </c>
      <c r="J9" s="1305">
        <v>2023</v>
      </c>
      <c r="K9" s="1305">
        <v>2024</v>
      </c>
    </row>
    <row r="10" spans="1:11" ht="15.6">
      <c r="A10" s="1306" t="s">
        <v>18</v>
      </c>
      <c r="B10" s="1307">
        <v>314</v>
      </c>
      <c r="C10" s="1308">
        <v>1384</v>
      </c>
      <c r="D10" s="1308">
        <v>2452</v>
      </c>
      <c r="E10" s="2094">
        <v>4083</v>
      </c>
      <c r="F10" s="1309">
        <v>7287</v>
      </c>
      <c r="G10" s="1310">
        <v>377</v>
      </c>
      <c r="H10" s="1308">
        <v>1010</v>
      </c>
      <c r="I10" s="1308">
        <v>1165</v>
      </c>
      <c r="J10" s="2094">
        <v>2024</v>
      </c>
      <c r="K10" s="1309">
        <v>3130</v>
      </c>
    </row>
    <row r="11" spans="1:11" ht="15.6">
      <c r="A11" s="1311" t="s">
        <v>19</v>
      </c>
      <c r="B11" s="1310">
        <v>700</v>
      </c>
      <c r="C11" s="1312">
        <v>1422</v>
      </c>
      <c r="D11" s="1312">
        <v>2916</v>
      </c>
      <c r="E11" s="1312">
        <v>4438</v>
      </c>
      <c r="F11" s="1313">
        <v>7925</v>
      </c>
      <c r="G11" s="1310">
        <v>808</v>
      </c>
      <c r="H11" s="1312">
        <v>1255</v>
      </c>
      <c r="I11" s="1312">
        <v>1495</v>
      </c>
      <c r="J11" s="1312">
        <v>1973</v>
      </c>
      <c r="K11" s="1313">
        <v>2956</v>
      </c>
    </row>
    <row r="12" spans="1:11" ht="15.6">
      <c r="A12" s="1311" t="s">
        <v>20</v>
      </c>
      <c r="B12" s="1310">
        <v>352</v>
      </c>
      <c r="C12" s="1312">
        <v>2100</v>
      </c>
      <c r="D12" s="1312">
        <v>3001</v>
      </c>
      <c r="E12" s="1312">
        <v>4284</v>
      </c>
      <c r="F12" s="1313"/>
      <c r="G12" s="1310">
        <v>610</v>
      </c>
      <c r="H12" s="1312">
        <v>1548</v>
      </c>
      <c r="I12" s="1312">
        <v>1628</v>
      </c>
      <c r="J12" s="1312">
        <v>2540</v>
      </c>
      <c r="K12" s="1313"/>
    </row>
    <row r="13" spans="1:11" ht="15.6">
      <c r="A13" s="1311" t="s">
        <v>21</v>
      </c>
      <c r="B13" s="1310">
        <v>193</v>
      </c>
      <c r="C13" s="1312">
        <v>2813</v>
      </c>
      <c r="D13" s="1312">
        <v>3404</v>
      </c>
      <c r="E13" s="1312">
        <v>5176</v>
      </c>
      <c r="F13" s="1313"/>
      <c r="G13" s="1310">
        <v>324</v>
      </c>
      <c r="H13" s="1312">
        <v>1835</v>
      </c>
      <c r="I13" s="1312">
        <v>1935</v>
      </c>
      <c r="J13" s="1312">
        <v>2312</v>
      </c>
      <c r="K13" s="1313"/>
    </row>
    <row r="14" spans="1:11" ht="15.6">
      <c r="A14" s="1311" t="s">
        <v>22</v>
      </c>
      <c r="B14" s="1310">
        <v>319</v>
      </c>
      <c r="C14" s="1312">
        <v>2466</v>
      </c>
      <c r="D14" s="1312">
        <v>3033</v>
      </c>
      <c r="E14" s="1312">
        <v>5805</v>
      </c>
      <c r="F14" s="1313"/>
      <c r="G14" s="1310">
        <v>372</v>
      </c>
      <c r="H14" s="1312">
        <v>1609</v>
      </c>
      <c r="I14" s="1312">
        <v>1716</v>
      </c>
      <c r="J14" s="1312">
        <v>2286</v>
      </c>
      <c r="K14" s="1313"/>
    </row>
    <row r="15" spans="1:11" ht="15.6">
      <c r="A15" s="1311" t="s">
        <v>23</v>
      </c>
      <c r="B15" s="1310">
        <v>429</v>
      </c>
      <c r="C15" s="1312">
        <v>2596</v>
      </c>
      <c r="D15" s="1312">
        <v>3126</v>
      </c>
      <c r="E15" s="1312">
        <v>5997</v>
      </c>
      <c r="F15" s="1313"/>
      <c r="G15" s="1310">
        <v>407</v>
      </c>
      <c r="H15" s="1312">
        <v>1668</v>
      </c>
      <c r="I15" s="1312">
        <v>1737</v>
      </c>
      <c r="J15" s="1312">
        <v>3597</v>
      </c>
      <c r="K15" s="1313"/>
    </row>
    <row r="16" spans="1:11" ht="15.6">
      <c r="A16" s="1311" t="s">
        <v>24</v>
      </c>
      <c r="B16" s="1310">
        <v>682</v>
      </c>
      <c r="C16" s="1312">
        <v>2482</v>
      </c>
      <c r="D16" s="1312">
        <v>2750</v>
      </c>
      <c r="E16" s="1312">
        <v>9829</v>
      </c>
      <c r="F16" s="1313"/>
      <c r="G16" s="1310">
        <v>854</v>
      </c>
      <c r="H16" s="1312">
        <v>1618</v>
      </c>
      <c r="I16" s="1312">
        <v>2133</v>
      </c>
      <c r="J16" s="1312">
        <v>8965</v>
      </c>
      <c r="K16" s="1313"/>
    </row>
    <row r="17" spans="1:11" ht="15.6">
      <c r="A17" s="1311" t="s">
        <v>25</v>
      </c>
      <c r="B17" s="1310">
        <v>1051</v>
      </c>
      <c r="C17" s="1312">
        <v>3178</v>
      </c>
      <c r="D17" s="1312">
        <v>3476</v>
      </c>
      <c r="E17" s="1312">
        <v>8803</v>
      </c>
      <c r="F17" s="1313"/>
      <c r="G17" s="1310">
        <v>993</v>
      </c>
      <c r="H17" s="1312">
        <v>1639</v>
      </c>
      <c r="I17" s="1312">
        <v>2292</v>
      </c>
      <c r="J17" s="1312">
        <v>3293</v>
      </c>
      <c r="K17" s="1313"/>
    </row>
    <row r="18" spans="1:11" ht="15.6">
      <c r="A18" s="1311" t="s">
        <v>26</v>
      </c>
      <c r="B18" s="1310">
        <v>1782</v>
      </c>
      <c r="C18" s="1312">
        <v>2919</v>
      </c>
      <c r="D18" s="1312">
        <v>4136</v>
      </c>
      <c r="E18" s="1312">
        <v>7214</v>
      </c>
      <c r="F18" s="1313"/>
      <c r="G18" s="1310">
        <v>1238</v>
      </c>
      <c r="H18" s="1312">
        <v>1722</v>
      </c>
      <c r="I18" s="1312">
        <v>2699</v>
      </c>
      <c r="J18" s="1312">
        <v>2302</v>
      </c>
      <c r="K18" s="1313"/>
    </row>
    <row r="19" spans="1:11" ht="15.6">
      <c r="A19" s="1311" t="s">
        <v>27</v>
      </c>
      <c r="B19" s="1310">
        <v>1660</v>
      </c>
      <c r="C19" s="1312">
        <v>2981</v>
      </c>
      <c r="D19" s="1312">
        <v>6097</v>
      </c>
      <c r="E19" s="1312">
        <v>6493</v>
      </c>
      <c r="F19" s="1313"/>
      <c r="G19" s="1310">
        <v>1285</v>
      </c>
      <c r="H19" s="1312">
        <v>1636</v>
      </c>
      <c r="I19" s="1312">
        <v>2867</v>
      </c>
      <c r="J19" s="1312">
        <v>2603</v>
      </c>
      <c r="K19" s="1313"/>
    </row>
    <row r="20" spans="1:11" ht="15.6">
      <c r="A20" s="1311" t="s">
        <v>28</v>
      </c>
      <c r="B20" s="1310">
        <v>1327</v>
      </c>
      <c r="C20" s="1312">
        <v>2882</v>
      </c>
      <c r="D20" s="1312">
        <v>5562</v>
      </c>
      <c r="E20" s="1312">
        <v>15525</v>
      </c>
      <c r="F20" s="1314"/>
      <c r="G20" s="1310">
        <v>1162</v>
      </c>
      <c r="H20" s="1312">
        <v>1486</v>
      </c>
      <c r="I20" s="1312">
        <v>2179</v>
      </c>
      <c r="J20" s="1312">
        <v>2521</v>
      </c>
      <c r="K20" s="1314"/>
    </row>
    <row r="21" spans="1:11" ht="15.6">
      <c r="A21" s="1311" t="s">
        <v>29</v>
      </c>
      <c r="B21" s="1310">
        <v>1772</v>
      </c>
      <c r="C21" s="1312">
        <v>2924</v>
      </c>
      <c r="D21" s="1312">
        <v>7470</v>
      </c>
      <c r="E21" s="1312">
        <v>12936</v>
      </c>
      <c r="F21" s="1314"/>
      <c r="G21" s="1310">
        <v>1451</v>
      </c>
      <c r="H21" s="1312">
        <v>1773</v>
      </c>
      <c r="I21" s="1312">
        <v>3762</v>
      </c>
      <c r="J21" s="1312">
        <v>3252</v>
      </c>
      <c r="K21" s="1314"/>
    </row>
    <row r="22" spans="1:11" ht="21" customHeight="1">
      <c r="A22" s="1315" t="s">
        <v>3092</v>
      </c>
      <c r="B22" s="1316">
        <f>SUM(B10:B21)</f>
        <v>10581</v>
      </c>
      <c r="C22" s="1317">
        <f>SUM(C10:C21)</f>
        <v>30147</v>
      </c>
      <c r="D22" s="1317">
        <f>SUM(D10:D21)</f>
        <v>47423</v>
      </c>
      <c r="E22" s="1317">
        <f>SUM(E10:E21)</f>
        <v>90583</v>
      </c>
      <c r="F22" s="1318">
        <f>SUM(F10:F21)</f>
        <v>15212</v>
      </c>
      <c r="G22" s="1316">
        <f t="shared" ref="G22:I22" si="0">SUM(G10:G21)</f>
        <v>9881</v>
      </c>
      <c r="H22" s="1317">
        <f t="shared" si="0"/>
        <v>18799</v>
      </c>
      <c r="I22" s="1317">
        <f t="shared" si="0"/>
        <v>25608</v>
      </c>
      <c r="J22" s="1317">
        <f>SUM(J10:J21)</f>
        <v>37668</v>
      </c>
      <c r="K22" s="1318">
        <f>SUM(K10:K21)</f>
        <v>6086</v>
      </c>
    </row>
    <row r="23" spans="1:11" ht="42" customHeight="1">
      <c r="A23" s="2880" t="s">
        <v>3093</v>
      </c>
      <c r="B23" s="2880"/>
      <c r="C23" s="2880"/>
      <c r="D23" s="2880"/>
      <c r="E23" s="2880"/>
      <c r="F23" s="2880"/>
      <c r="G23" s="2880"/>
      <c r="H23" s="2880"/>
      <c r="I23" s="2880"/>
      <c r="J23" s="2880"/>
      <c r="K23" s="2880"/>
    </row>
    <row r="24" spans="1:11" s="1319" customFormat="1" ht="15.75" customHeight="1">
      <c r="A24" s="2880" t="s">
        <v>3094</v>
      </c>
      <c r="B24" s="2880"/>
      <c r="C24" s="2880"/>
      <c r="D24" s="2880"/>
      <c r="E24" s="2880"/>
      <c r="F24" s="2880"/>
      <c r="G24" s="2880"/>
      <c r="H24" s="2880"/>
      <c r="I24" s="2880"/>
      <c r="J24" s="2880"/>
      <c r="K24" s="2880"/>
    </row>
    <row r="25" spans="1:11" s="1319" customFormat="1">
      <c r="A25" s="2870"/>
      <c r="B25" s="2870"/>
      <c r="C25" s="2870"/>
      <c r="D25" s="2870"/>
      <c r="E25" s="2870"/>
      <c r="F25" s="2870"/>
      <c r="G25" s="2870"/>
      <c r="H25" s="2870"/>
      <c r="I25" s="2870"/>
      <c r="J25" s="2870"/>
      <c r="K25" s="2870"/>
    </row>
    <row r="26" spans="1:11">
      <c r="A26" s="2870"/>
      <c r="B26" s="2870"/>
      <c r="C26" s="2870"/>
      <c r="D26" s="2870"/>
      <c r="E26" s="2870"/>
      <c r="F26" s="2870"/>
      <c r="G26" s="2870"/>
      <c r="H26" s="2870"/>
      <c r="I26" s="2870"/>
      <c r="J26" s="2870"/>
      <c r="K26" s="2870"/>
    </row>
    <row r="27" spans="1:11">
      <c r="A27" s="2870"/>
      <c r="B27" s="2870"/>
      <c r="C27" s="2870"/>
      <c r="D27" s="2870"/>
      <c r="E27" s="2870"/>
      <c r="F27" s="2870"/>
      <c r="G27" s="2870"/>
      <c r="H27" s="2870"/>
      <c r="I27" s="2870"/>
      <c r="J27" s="2870"/>
      <c r="K27" s="2870"/>
    </row>
    <row r="28" spans="1:11" s="1319" customFormat="1">
      <c r="A28" s="2870"/>
      <c r="B28" s="2870"/>
      <c r="C28" s="2870"/>
      <c r="D28" s="2870"/>
      <c r="E28" s="2870"/>
      <c r="F28" s="2870"/>
      <c r="G28" s="2870"/>
      <c r="H28" s="2870"/>
      <c r="I28" s="2870"/>
      <c r="J28" s="2870"/>
      <c r="K28" s="2870"/>
    </row>
    <row r="29" spans="1:11">
      <c r="A29" s="2870"/>
      <c r="B29" s="2870"/>
      <c r="C29" s="2870"/>
      <c r="D29" s="2870"/>
      <c r="E29" s="2870"/>
      <c r="F29" s="2870"/>
      <c r="G29" s="2870"/>
      <c r="H29" s="2870"/>
      <c r="I29" s="2870"/>
      <c r="J29" s="2870"/>
      <c r="K29" s="2870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3"/>
  <sheetViews>
    <sheetView showGridLines="0" view="pageBreakPreview" zoomScale="85" zoomScaleNormal="100" zoomScaleSheetLayoutView="85" workbookViewId="0">
      <pane ySplit="17" topLeftCell="A156" activePane="bottomLeft" state="frozen"/>
      <selection activeCell="G291" sqref="G291"/>
      <selection pane="bottomLeft" activeCell="M190" sqref="M190"/>
    </sheetView>
  </sheetViews>
  <sheetFormatPr defaultColWidth="8.88671875" defaultRowHeight="13.2"/>
  <cols>
    <col min="1" max="1" width="10.6640625" style="386" customWidth="1"/>
    <col min="2" max="2" width="12.44140625" style="378" customWidth="1"/>
    <col min="3" max="3" width="16" style="383" customWidth="1"/>
    <col min="4" max="4" width="15.44140625" style="378" customWidth="1"/>
    <col min="5" max="5" width="16" style="383" customWidth="1"/>
    <col min="6" max="6" width="14.44140625" style="378" customWidth="1"/>
    <col min="7" max="7" width="16" style="383" customWidth="1"/>
    <col min="8" max="8" width="12.44140625" style="378" customWidth="1"/>
    <col min="9" max="9" width="16" style="383" customWidth="1"/>
    <col min="10" max="10" width="15.44140625" style="378" customWidth="1"/>
    <col min="11" max="11" width="16" style="383" customWidth="1"/>
    <col min="12" max="12" width="14.44140625" style="378" customWidth="1"/>
    <col min="13" max="13" width="16" style="383" customWidth="1"/>
    <col min="14" max="14" width="12.44140625" style="378" customWidth="1"/>
    <col min="15" max="15" width="15.44140625" style="378" customWidth="1"/>
    <col min="16" max="16" width="14.44140625" style="378" customWidth="1"/>
    <col min="17" max="79" width="8.88671875" style="378" customWidth="1"/>
    <col min="80" max="80" width="8.88671875" style="378" hidden="1" customWidth="1"/>
    <col min="81" max="16384" width="8.88671875" style="378"/>
  </cols>
  <sheetData>
    <row r="1" spans="1:85" ht="12.75" customHeight="1">
      <c r="A1" s="385"/>
      <c r="B1" s="377"/>
      <c r="C1" s="382"/>
      <c r="D1" s="377"/>
      <c r="E1" s="382"/>
      <c r="F1" s="377"/>
      <c r="G1" s="382"/>
      <c r="H1" s="377"/>
      <c r="I1" s="382"/>
      <c r="J1" s="377"/>
      <c r="K1" s="382"/>
      <c r="L1" s="377"/>
      <c r="M1" s="382"/>
      <c r="N1" s="2181"/>
      <c r="O1" s="2181"/>
      <c r="P1" s="2181"/>
    </row>
    <row r="2" spans="1:85" s="396" customFormat="1" ht="20.25" customHeight="1">
      <c r="A2" s="2182" t="s">
        <v>2788</v>
      </c>
      <c r="B2" s="2182"/>
      <c r="C2" s="2182"/>
      <c r="D2" s="2182"/>
      <c r="E2" s="2182"/>
      <c r="F2" s="2182"/>
      <c r="G2" s="2182"/>
      <c r="H2" s="2182"/>
      <c r="I2" s="2182"/>
      <c r="J2" s="2182"/>
      <c r="K2" s="2182"/>
      <c r="L2" s="2182"/>
      <c r="M2" s="2182"/>
      <c r="N2" s="2182"/>
      <c r="O2" s="2182"/>
      <c r="P2" s="2182"/>
    </row>
    <row r="3" spans="1:85" s="396" customFormat="1" ht="25.5" customHeight="1">
      <c r="A3" s="2183" t="s">
        <v>2789</v>
      </c>
      <c r="B3" s="2183"/>
      <c r="C3" s="2183"/>
      <c r="D3" s="2183"/>
      <c r="E3" s="2183"/>
      <c r="F3" s="2183"/>
      <c r="G3" s="2183"/>
      <c r="H3" s="2183"/>
      <c r="I3" s="2183"/>
      <c r="J3" s="2183"/>
      <c r="K3" s="2183"/>
      <c r="L3" s="2183"/>
      <c r="M3" s="2183"/>
      <c r="N3" s="2183"/>
      <c r="O3" s="2183"/>
      <c r="P3" s="2183"/>
    </row>
    <row r="4" spans="1:85" s="396" customFormat="1" ht="16.5" customHeight="1">
      <c r="A4" s="604"/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</row>
    <row r="5" spans="1:85" ht="16.5" customHeight="1">
      <c r="A5" s="2184"/>
      <c r="B5" s="2184"/>
      <c r="C5" s="2184"/>
      <c r="D5" s="2184"/>
      <c r="E5" s="2184"/>
      <c r="F5" s="2184"/>
      <c r="G5" s="2184"/>
      <c r="H5" s="2184"/>
      <c r="I5" s="2184"/>
      <c r="J5" s="2184"/>
      <c r="K5" s="2184"/>
      <c r="L5" s="2184"/>
      <c r="M5" s="2184"/>
      <c r="N5" s="2185" t="s">
        <v>2746</v>
      </c>
      <c r="O5" s="2185"/>
      <c r="P5" s="2185"/>
      <c r="CC5" s="379"/>
      <c r="CD5" s="379"/>
      <c r="CE5" s="379"/>
      <c r="CF5" s="379"/>
      <c r="CG5" s="379"/>
    </row>
    <row r="6" spans="1:85" s="379" customFormat="1" ht="18.75" customHeight="1">
      <c r="A6" s="2186" t="s">
        <v>182</v>
      </c>
      <c r="B6" s="2189" t="s">
        <v>1094</v>
      </c>
      <c r="C6" s="2190"/>
      <c r="D6" s="2190"/>
      <c r="E6" s="2190"/>
      <c r="F6" s="2190"/>
      <c r="G6" s="2191"/>
      <c r="H6" s="2189" t="s">
        <v>1095</v>
      </c>
      <c r="I6" s="2190"/>
      <c r="J6" s="2190"/>
      <c r="K6" s="2190"/>
      <c r="L6" s="2190"/>
      <c r="M6" s="2191"/>
      <c r="N6" s="2189" t="s">
        <v>96</v>
      </c>
      <c r="O6" s="2190"/>
      <c r="P6" s="2191"/>
      <c r="BY6" s="379">
        <f>BY8+BY18+BY28+BY36</f>
        <v>0</v>
      </c>
    </row>
    <row r="7" spans="1:85" s="379" customFormat="1" ht="13.2" customHeight="1">
      <c r="A7" s="2187"/>
      <c r="B7" s="2192" t="s">
        <v>155</v>
      </c>
      <c r="C7" s="2195" t="s">
        <v>2118</v>
      </c>
      <c r="D7" s="2189" t="s">
        <v>122</v>
      </c>
      <c r="E7" s="2190"/>
      <c r="F7" s="2190"/>
      <c r="G7" s="2191"/>
      <c r="H7" s="2192" t="s">
        <v>155</v>
      </c>
      <c r="I7" s="2195" t="s">
        <v>2118</v>
      </c>
      <c r="J7" s="2189" t="s">
        <v>122</v>
      </c>
      <c r="K7" s="2190"/>
      <c r="L7" s="2190"/>
      <c r="M7" s="2191"/>
      <c r="N7" s="2192" t="s">
        <v>155</v>
      </c>
      <c r="O7" s="2189" t="s">
        <v>122</v>
      </c>
      <c r="P7" s="2191"/>
    </row>
    <row r="8" spans="1:85" s="379" customFormat="1" ht="13.2" customHeight="1">
      <c r="A8" s="2187"/>
      <c r="B8" s="2193"/>
      <c r="C8" s="2196"/>
      <c r="D8" s="2198" t="s">
        <v>97</v>
      </c>
      <c r="E8" s="2195" t="s">
        <v>2118</v>
      </c>
      <c r="F8" s="2198" t="s">
        <v>98</v>
      </c>
      <c r="G8" s="2195" t="s">
        <v>2118</v>
      </c>
      <c r="H8" s="2193"/>
      <c r="I8" s="2196"/>
      <c r="J8" s="2198" t="s">
        <v>99</v>
      </c>
      <c r="K8" s="2195" t="s">
        <v>2118</v>
      </c>
      <c r="L8" s="2198" t="s">
        <v>1227</v>
      </c>
      <c r="M8" s="2195" t="s">
        <v>2118</v>
      </c>
      <c r="N8" s="2193"/>
      <c r="O8" s="2198" t="s">
        <v>100</v>
      </c>
      <c r="P8" s="2198" t="s">
        <v>101</v>
      </c>
    </row>
    <row r="9" spans="1:85" s="379" customFormat="1">
      <c r="A9" s="2187"/>
      <c r="B9" s="2193"/>
      <c r="C9" s="2196"/>
      <c r="D9" s="2199"/>
      <c r="E9" s="2196"/>
      <c r="F9" s="2199"/>
      <c r="G9" s="2196"/>
      <c r="H9" s="2193"/>
      <c r="I9" s="2196"/>
      <c r="J9" s="2199"/>
      <c r="K9" s="2196"/>
      <c r="L9" s="2199"/>
      <c r="M9" s="2196"/>
      <c r="N9" s="2193"/>
      <c r="O9" s="2199"/>
      <c r="P9" s="2199"/>
    </row>
    <row r="10" spans="1:85" s="379" customFormat="1">
      <c r="A10" s="2187"/>
      <c r="B10" s="2193"/>
      <c r="C10" s="2196"/>
      <c r="D10" s="2199"/>
      <c r="E10" s="2196"/>
      <c r="F10" s="2199"/>
      <c r="G10" s="2196"/>
      <c r="H10" s="2193"/>
      <c r="I10" s="2196"/>
      <c r="J10" s="2199"/>
      <c r="K10" s="2196"/>
      <c r="L10" s="2199"/>
      <c r="M10" s="2196"/>
      <c r="N10" s="2193"/>
      <c r="O10" s="2199"/>
      <c r="P10" s="2199"/>
    </row>
    <row r="11" spans="1:85" s="379" customFormat="1">
      <c r="A11" s="2187"/>
      <c r="B11" s="2193"/>
      <c r="C11" s="2196"/>
      <c r="D11" s="2199"/>
      <c r="E11" s="2196"/>
      <c r="F11" s="2199"/>
      <c r="G11" s="2196"/>
      <c r="H11" s="2193"/>
      <c r="I11" s="2196"/>
      <c r="J11" s="2199"/>
      <c r="K11" s="2196"/>
      <c r="L11" s="2199"/>
      <c r="M11" s="2196"/>
      <c r="N11" s="2193"/>
      <c r="O11" s="2199"/>
      <c r="P11" s="2199"/>
      <c r="CC11" s="378"/>
      <c r="CD11" s="378"/>
      <c r="CE11" s="378"/>
      <c r="CF11" s="378"/>
      <c r="CG11" s="378"/>
    </row>
    <row r="12" spans="1:85" s="379" customFormat="1" ht="12" customHeight="1">
      <c r="A12" s="2188"/>
      <c r="B12" s="2194"/>
      <c r="C12" s="2197"/>
      <c r="D12" s="2200"/>
      <c r="E12" s="2197"/>
      <c r="F12" s="2200"/>
      <c r="G12" s="2197"/>
      <c r="H12" s="2194"/>
      <c r="I12" s="2197"/>
      <c r="J12" s="2200"/>
      <c r="K12" s="2197"/>
      <c r="L12" s="2200"/>
      <c r="M12" s="2197"/>
      <c r="N12" s="2194"/>
      <c r="O12" s="2200"/>
      <c r="P12" s="2200"/>
      <c r="CC12" s="378"/>
      <c r="CD12" s="378"/>
      <c r="CE12" s="378"/>
      <c r="CF12" s="378"/>
      <c r="CG12" s="378"/>
    </row>
    <row r="13" spans="1:85">
      <c r="A13" s="2201" t="s">
        <v>304</v>
      </c>
      <c r="B13" s="2203" t="s">
        <v>102</v>
      </c>
      <c r="C13" s="2203"/>
      <c r="D13" s="2203"/>
      <c r="E13" s="2203"/>
      <c r="F13" s="2203"/>
      <c r="G13" s="2204"/>
      <c r="H13" s="2205" t="s">
        <v>103</v>
      </c>
      <c r="I13" s="2203"/>
      <c r="J13" s="2203"/>
      <c r="K13" s="2203"/>
      <c r="L13" s="2203"/>
      <c r="M13" s="2204"/>
      <c r="N13" s="2203" t="s">
        <v>104</v>
      </c>
      <c r="O13" s="2203"/>
      <c r="P13" s="2204"/>
    </row>
    <row r="14" spans="1:85" ht="13.2" customHeight="1">
      <c r="A14" s="2202"/>
      <c r="B14" s="2206" t="s">
        <v>105</v>
      </c>
      <c r="C14" s="2208" t="s">
        <v>2119</v>
      </c>
      <c r="D14" s="2205" t="s">
        <v>106</v>
      </c>
      <c r="E14" s="2203"/>
      <c r="F14" s="2203"/>
      <c r="G14" s="2204"/>
      <c r="H14" s="2206" t="s">
        <v>105</v>
      </c>
      <c r="I14" s="2208" t="s">
        <v>2119</v>
      </c>
      <c r="J14" s="2205" t="s">
        <v>106</v>
      </c>
      <c r="K14" s="2203"/>
      <c r="L14" s="2203"/>
      <c r="M14" s="2204"/>
      <c r="N14" s="2212" t="s">
        <v>105</v>
      </c>
      <c r="O14" s="2205" t="s">
        <v>106</v>
      </c>
      <c r="P14" s="2204"/>
    </row>
    <row r="15" spans="1:85" ht="13.2" customHeight="1">
      <c r="A15" s="2202"/>
      <c r="B15" s="2207"/>
      <c r="C15" s="2209"/>
      <c r="D15" s="2210" t="s">
        <v>107</v>
      </c>
      <c r="E15" s="2208" t="s">
        <v>2119</v>
      </c>
      <c r="F15" s="2210" t="s">
        <v>108</v>
      </c>
      <c r="G15" s="2208" t="s">
        <v>2119</v>
      </c>
      <c r="H15" s="2207"/>
      <c r="I15" s="2209"/>
      <c r="J15" s="2210" t="s">
        <v>109</v>
      </c>
      <c r="K15" s="2208" t="s">
        <v>2119</v>
      </c>
      <c r="L15" s="2210" t="s">
        <v>110</v>
      </c>
      <c r="M15" s="2208" t="s">
        <v>2119</v>
      </c>
      <c r="N15" s="2213"/>
      <c r="O15" s="2210" t="s">
        <v>111</v>
      </c>
      <c r="P15" s="2210" t="s">
        <v>112</v>
      </c>
    </row>
    <row r="16" spans="1:85">
      <c r="A16" s="2202"/>
      <c r="B16" s="2207"/>
      <c r="C16" s="2209"/>
      <c r="D16" s="2211"/>
      <c r="E16" s="2209"/>
      <c r="F16" s="2211"/>
      <c r="G16" s="2209"/>
      <c r="H16" s="2207"/>
      <c r="I16" s="2209"/>
      <c r="J16" s="2211"/>
      <c r="K16" s="2209"/>
      <c r="L16" s="2211"/>
      <c r="M16" s="2209"/>
      <c r="N16" s="2213"/>
      <c r="O16" s="2211"/>
      <c r="P16" s="2211"/>
    </row>
    <row r="17" spans="1:85">
      <c r="A17" s="2202"/>
      <c r="B17" s="2207"/>
      <c r="C17" s="2209"/>
      <c r="D17" s="2211"/>
      <c r="E17" s="2209"/>
      <c r="F17" s="2211"/>
      <c r="G17" s="2209"/>
      <c r="H17" s="2207"/>
      <c r="I17" s="2209"/>
      <c r="J17" s="2211"/>
      <c r="K17" s="2209"/>
      <c r="L17" s="2211"/>
      <c r="M17" s="2209"/>
      <c r="N17" s="2213"/>
      <c r="O17" s="2211"/>
      <c r="P17" s="2211"/>
    </row>
    <row r="18" spans="1:85">
      <c r="A18" s="607"/>
      <c r="B18" s="608"/>
      <c r="C18" s="609"/>
      <c r="D18" s="608"/>
      <c r="E18" s="609"/>
      <c r="F18" s="608"/>
      <c r="G18" s="609"/>
      <c r="H18" s="608"/>
      <c r="I18" s="609"/>
      <c r="J18" s="608"/>
      <c r="K18" s="609"/>
      <c r="L18" s="608"/>
      <c r="M18" s="609"/>
      <c r="N18" s="608"/>
      <c r="O18" s="608"/>
      <c r="P18" s="608"/>
    </row>
    <row r="19" spans="1:85">
      <c r="A19" s="384">
        <v>1995</v>
      </c>
      <c r="B19" s="610">
        <v>612343</v>
      </c>
      <c r="C19" s="611">
        <v>89.8</v>
      </c>
      <c r="D19" s="610">
        <v>339297</v>
      </c>
      <c r="E19" s="611">
        <v>93.6</v>
      </c>
      <c r="F19" s="610">
        <v>273046</v>
      </c>
      <c r="G19" s="611">
        <v>85.6</v>
      </c>
      <c r="H19" s="610">
        <v>985432</v>
      </c>
      <c r="I19" s="611">
        <v>115.8</v>
      </c>
      <c r="J19" s="610">
        <v>755527</v>
      </c>
      <c r="K19" s="611">
        <v>185.6</v>
      </c>
      <c r="L19" s="610">
        <v>229905</v>
      </c>
      <c r="M19" s="611">
        <v>51.8</v>
      </c>
      <c r="N19" s="610">
        <f t="shared" ref="N19:N26" si="0">B19-H19</f>
        <v>-373089</v>
      </c>
      <c r="O19" s="610">
        <f t="shared" ref="O19:O26" si="1">D19-J19</f>
        <v>-416230</v>
      </c>
      <c r="P19" s="610">
        <f t="shared" ref="P19:P26" si="2">F19-L19</f>
        <v>43141</v>
      </c>
    </row>
    <row r="20" spans="1:85">
      <c r="A20" s="384">
        <v>1996</v>
      </c>
      <c r="B20" s="610">
        <v>643669</v>
      </c>
      <c r="C20" s="611">
        <v>105.1</v>
      </c>
      <c r="D20" s="610">
        <v>343717</v>
      </c>
      <c r="E20" s="611">
        <v>101.3</v>
      </c>
      <c r="F20" s="610">
        <v>299952</v>
      </c>
      <c r="G20" s="611">
        <v>109.9</v>
      </c>
      <c r="H20" s="610">
        <v>1337583</v>
      </c>
      <c r="I20" s="611">
        <v>135.69999999999999</v>
      </c>
      <c r="J20" s="610">
        <v>1012005</v>
      </c>
      <c r="K20" s="611">
        <v>133.9</v>
      </c>
      <c r="L20" s="610">
        <v>325578</v>
      </c>
      <c r="M20" s="611">
        <f>L20/L19*100</f>
        <v>141.61414497292358</v>
      </c>
      <c r="N20" s="610">
        <f t="shared" si="0"/>
        <v>-693914</v>
      </c>
      <c r="O20" s="610">
        <f t="shared" si="1"/>
        <v>-668288</v>
      </c>
      <c r="P20" s="610">
        <f t="shared" si="2"/>
        <v>-25626</v>
      </c>
      <c r="CC20" s="379"/>
      <c r="CD20" s="379"/>
      <c r="CE20" s="379"/>
      <c r="CF20" s="379"/>
      <c r="CG20" s="379"/>
    </row>
    <row r="21" spans="1:85">
      <c r="A21" s="384">
        <v>1997</v>
      </c>
      <c r="B21" s="610">
        <v>808257</v>
      </c>
      <c r="C21" s="611">
        <f>B21/B20*100</f>
        <v>125.57028534852542</v>
      </c>
      <c r="D21" s="610">
        <v>427920</v>
      </c>
      <c r="E21" s="611">
        <f>D21/D20*100</f>
        <v>124.4977699677351</v>
      </c>
      <c r="F21" s="610">
        <v>380337</v>
      </c>
      <c r="G21" s="611">
        <f>F21/F20*100</f>
        <v>126.79928788606176</v>
      </c>
      <c r="H21" s="610">
        <v>1375164</v>
      </c>
      <c r="I21" s="611">
        <f>H21/H20*100</f>
        <v>102.80962003853217</v>
      </c>
      <c r="J21" s="610">
        <v>977641</v>
      </c>
      <c r="K21" s="611">
        <f>J21/J20*100</f>
        <v>96.604364602941686</v>
      </c>
      <c r="L21" s="610">
        <v>397523</v>
      </c>
      <c r="M21" s="611">
        <f>L21/L20*100</f>
        <v>122.09762330378588</v>
      </c>
      <c r="N21" s="610">
        <f t="shared" si="0"/>
        <v>-566907</v>
      </c>
      <c r="O21" s="610">
        <f t="shared" si="1"/>
        <v>-549721</v>
      </c>
      <c r="P21" s="610">
        <f t="shared" si="2"/>
        <v>-17186</v>
      </c>
    </row>
    <row r="22" spans="1:85" s="379" customFormat="1">
      <c r="A22" s="384">
        <v>1998</v>
      </c>
      <c r="B22" s="610">
        <f>SUM(B23:B26)</f>
        <v>677751</v>
      </c>
      <c r="C22" s="611">
        <f>B22/B21*100</f>
        <v>83.853403063629514</v>
      </c>
      <c r="D22" s="610">
        <f>SUM(D23:D26)</f>
        <v>434332</v>
      </c>
      <c r="E22" s="611">
        <f>D22/D21*100</f>
        <v>101.4984109179286</v>
      </c>
      <c r="F22" s="610">
        <f>SUM(F23:F26)</f>
        <v>243419</v>
      </c>
      <c r="G22" s="611">
        <f>F22/F21*100</f>
        <v>64.000872910077106</v>
      </c>
      <c r="H22" s="610">
        <f>SUM(H23:H26)</f>
        <v>1723903</v>
      </c>
      <c r="I22" s="611">
        <f>H22/H21*100</f>
        <v>125.35981162974016</v>
      </c>
      <c r="J22" s="610">
        <f>SUM(J23:J26)</f>
        <v>1266389</v>
      </c>
      <c r="K22" s="611">
        <f>J22/J21*100</f>
        <v>129.53517702305857</v>
      </c>
      <c r="L22" s="610">
        <f>SUM(L23:L26)</f>
        <v>457514</v>
      </c>
      <c r="M22" s="611">
        <f>L22/L21*100</f>
        <v>115.09120227005734</v>
      </c>
      <c r="N22" s="610">
        <f t="shared" si="0"/>
        <v>-1046152</v>
      </c>
      <c r="O22" s="610">
        <f t="shared" si="1"/>
        <v>-832057</v>
      </c>
      <c r="P22" s="610">
        <f t="shared" si="2"/>
        <v>-214095</v>
      </c>
      <c r="CC22" s="378"/>
      <c r="CD22" s="378"/>
      <c r="CE22" s="378"/>
      <c r="CF22" s="378"/>
      <c r="CG22" s="378"/>
    </row>
    <row r="23" spans="1:85">
      <c r="A23" s="387" t="s">
        <v>1091</v>
      </c>
      <c r="B23" s="317">
        <v>129728</v>
      </c>
      <c r="C23" s="612">
        <v>73</v>
      </c>
      <c r="D23" s="317">
        <v>58676</v>
      </c>
      <c r="E23" s="612">
        <v>53.3</v>
      </c>
      <c r="F23" s="317">
        <v>71052</v>
      </c>
      <c r="G23" s="612">
        <v>104.9</v>
      </c>
      <c r="H23" s="317">
        <v>368405</v>
      </c>
      <c r="I23" s="612">
        <v>121.4</v>
      </c>
      <c r="J23" s="317">
        <v>274912</v>
      </c>
      <c r="K23" s="612">
        <v>123.1</v>
      </c>
      <c r="L23" s="317">
        <v>93493</v>
      </c>
      <c r="M23" s="612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7" t="s">
        <v>1092</v>
      </c>
      <c r="B24" s="317">
        <v>181156</v>
      </c>
      <c r="C24" s="612">
        <v>78.2</v>
      </c>
      <c r="D24" s="317">
        <v>75560</v>
      </c>
      <c r="E24" s="612">
        <v>52.8</v>
      </c>
      <c r="F24" s="317">
        <v>105596</v>
      </c>
      <c r="G24" s="612">
        <v>119.1</v>
      </c>
      <c r="H24" s="317">
        <v>433970</v>
      </c>
      <c r="I24" s="612">
        <v>119.7</v>
      </c>
      <c r="J24" s="317">
        <v>321424</v>
      </c>
      <c r="K24" s="612">
        <v>126.3</v>
      </c>
      <c r="L24" s="317">
        <v>112546</v>
      </c>
      <c r="M24" s="612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7" t="s">
        <v>1000</v>
      </c>
      <c r="B25" s="317">
        <v>200803</v>
      </c>
      <c r="C25" s="612">
        <v>119.4</v>
      </c>
      <c r="D25" s="317">
        <v>74621</v>
      </c>
      <c r="E25" s="612">
        <v>89.6</v>
      </c>
      <c r="F25" s="317">
        <v>126182</v>
      </c>
      <c r="G25" s="612">
        <v>148.69999999999999</v>
      </c>
      <c r="H25" s="317">
        <v>448913</v>
      </c>
      <c r="I25" s="612">
        <v>124.8</v>
      </c>
      <c r="J25" s="317">
        <v>322099</v>
      </c>
      <c r="K25" s="612">
        <v>127.1</v>
      </c>
      <c r="L25" s="317">
        <v>126814</v>
      </c>
      <c r="M25" s="612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9"/>
      <c r="CD25" s="379"/>
      <c r="CE25" s="379"/>
      <c r="CF25" s="379"/>
      <c r="CG25" s="379"/>
    </row>
    <row r="26" spans="1:85">
      <c r="A26" s="387" t="s">
        <v>1093</v>
      </c>
      <c r="B26" s="317">
        <v>166064</v>
      </c>
      <c r="C26" s="612">
        <v>71.900000000000006</v>
      </c>
      <c r="D26" s="317">
        <v>225475</v>
      </c>
      <c r="E26" s="612">
        <v>245.7</v>
      </c>
      <c r="F26" s="317">
        <v>-59411</v>
      </c>
      <c r="G26" s="612">
        <v>42.7</v>
      </c>
      <c r="H26" s="317">
        <v>472615</v>
      </c>
      <c r="I26" s="612">
        <v>135.30000000000001</v>
      </c>
      <c r="J26" s="317">
        <v>347954</v>
      </c>
      <c r="K26" s="612">
        <v>141.30000000000001</v>
      </c>
      <c r="L26" s="317">
        <v>124661</v>
      </c>
      <c r="M26" s="612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9" customFormat="1">
      <c r="A27" s="384">
        <v>1999</v>
      </c>
      <c r="B27" s="610">
        <f>SUM(B28:B31)</f>
        <v>1025231</v>
      </c>
      <c r="C27" s="611">
        <f>B27/B22*100</f>
        <v>151.26956655172771</v>
      </c>
      <c r="D27" s="610">
        <f>SUM(D28:D31)</f>
        <v>803837</v>
      </c>
      <c r="E27" s="611">
        <f>D27/D22*100</f>
        <v>185.07432102631168</v>
      </c>
      <c r="F27" s="610">
        <f>SUM(F28:F31)</f>
        <v>221394</v>
      </c>
      <c r="G27" s="611">
        <f>F27/F22*100</f>
        <v>90.951815593688252</v>
      </c>
      <c r="H27" s="610">
        <f>SUM(H28:H31)</f>
        <v>1433392</v>
      </c>
      <c r="I27" s="611">
        <f>H27/H22*100</f>
        <v>83.148065755439831</v>
      </c>
      <c r="J27" s="610">
        <f>SUM(J28:J31)</f>
        <v>1050311</v>
      </c>
      <c r="K27" s="611">
        <f>J27/J22*100</f>
        <v>82.937470240186855</v>
      </c>
      <c r="L27" s="610">
        <f>SUM(L28:L31)</f>
        <v>383081</v>
      </c>
      <c r="M27" s="611">
        <f>L27/L22*100</f>
        <v>83.730989652775662</v>
      </c>
      <c r="N27" s="610">
        <f>B27-H27</f>
        <v>-408161</v>
      </c>
      <c r="O27" s="610">
        <f>D27-J27</f>
        <v>-246474</v>
      </c>
      <c r="P27" s="610">
        <f>F27-L27</f>
        <v>-161687</v>
      </c>
      <c r="CC27" s="378"/>
      <c r="CD27" s="378"/>
      <c r="CE27" s="378"/>
      <c r="CF27" s="378"/>
      <c r="CG27" s="378"/>
    </row>
    <row r="28" spans="1:85">
      <c r="A28" s="387" t="s">
        <v>1091</v>
      </c>
      <c r="B28" s="317">
        <v>148060</v>
      </c>
      <c r="C28" s="612">
        <f>B28/B23*100</f>
        <v>114.1311050814011</v>
      </c>
      <c r="D28" s="317">
        <v>112429</v>
      </c>
      <c r="E28" s="612">
        <f>D28/D23*100</f>
        <v>191.60985752266683</v>
      </c>
      <c r="F28" s="317">
        <v>35631</v>
      </c>
      <c r="G28" s="612">
        <f>F28/F23*100</f>
        <v>50.147779091369706</v>
      </c>
      <c r="H28" s="317">
        <v>312012</v>
      </c>
      <c r="I28" s="612">
        <f>H28/H23*100</f>
        <v>84.692661608827251</v>
      </c>
      <c r="J28" s="317">
        <v>224296</v>
      </c>
      <c r="K28" s="612">
        <f>J28/J23*100</f>
        <v>81.588290071004536</v>
      </c>
      <c r="L28" s="317">
        <v>87716</v>
      </c>
      <c r="M28" s="612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7" t="s">
        <v>1092</v>
      </c>
      <c r="B29" s="317">
        <v>166076</v>
      </c>
      <c r="C29" s="612">
        <f>B29/B24*100</f>
        <v>91.675682836891951</v>
      </c>
      <c r="D29" s="317">
        <v>119275</v>
      </c>
      <c r="E29" s="612">
        <f>D29/D24*100</f>
        <v>157.85468501852833</v>
      </c>
      <c r="F29" s="317">
        <v>46801</v>
      </c>
      <c r="G29" s="612">
        <f>F29/F24*100</f>
        <v>44.32080760634873</v>
      </c>
      <c r="H29" s="317">
        <v>331461</v>
      </c>
      <c r="I29" s="612">
        <f>H29/H24*100</f>
        <v>76.37878194345231</v>
      </c>
      <c r="J29" s="317">
        <v>245023</v>
      </c>
      <c r="K29" s="612">
        <f>J29/J24*100</f>
        <v>76.230461944347653</v>
      </c>
      <c r="L29" s="317">
        <v>86438</v>
      </c>
      <c r="M29" s="612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7" t="s">
        <v>1000</v>
      </c>
      <c r="B30" s="317">
        <v>253582</v>
      </c>
      <c r="C30" s="612">
        <f>B30/B25*100</f>
        <v>126.28396986100805</v>
      </c>
      <c r="D30" s="317">
        <v>189190</v>
      </c>
      <c r="E30" s="612">
        <f>D30/D25*100</f>
        <v>253.53452781388617</v>
      </c>
      <c r="F30" s="317">
        <v>64392</v>
      </c>
      <c r="G30" s="612">
        <f>F30/F25*100</f>
        <v>51.031050387535458</v>
      </c>
      <c r="H30" s="317">
        <v>416663</v>
      </c>
      <c r="I30" s="612">
        <f>H30/H25*100</f>
        <v>92.81597993375108</v>
      </c>
      <c r="J30" s="317">
        <v>313653</v>
      </c>
      <c r="K30" s="612">
        <f>J30/J25*100</f>
        <v>97.377824830254056</v>
      </c>
      <c r="L30" s="317">
        <v>103010</v>
      </c>
      <c r="M30" s="612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7" t="s">
        <v>1093</v>
      </c>
      <c r="B31" s="317">
        <v>457513</v>
      </c>
      <c r="C31" s="612">
        <f>B31/B26*100</f>
        <v>275.50402254552461</v>
      </c>
      <c r="D31" s="317">
        <v>382943</v>
      </c>
      <c r="E31" s="612">
        <f>D31/D26*100</f>
        <v>169.83834127952102</v>
      </c>
      <c r="F31" s="317">
        <v>74570</v>
      </c>
      <c r="G31" s="612">
        <f>F31/F26*100</f>
        <v>-125.5154769318813</v>
      </c>
      <c r="H31" s="317">
        <v>373256</v>
      </c>
      <c r="I31" s="612">
        <f>H31/H26*100</f>
        <v>78.976756979782706</v>
      </c>
      <c r="J31" s="317">
        <v>267339</v>
      </c>
      <c r="K31" s="612">
        <f>J31/J26*100</f>
        <v>76.831707639515571</v>
      </c>
      <c r="L31" s="317">
        <v>105917</v>
      </c>
      <c r="M31" s="612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9"/>
      <c r="CD31" s="379"/>
      <c r="CE31" s="379"/>
      <c r="CF31" s="379"/>
      <c r="CG31" s="379"/>
    </row>
    <row r="32" spans="1:85">
      <c r="A32" s="387"/>
      <c r="B32" s="317"/>
      <c r="C32" s="612"/>
      <c r="D32" s="317"/>
      <c r="E32" s="612"/>
      <c r="F32" s="317"/>
      <c r="G32" s="612"/>
      <c r="H32" s="317"/>
      <c r="I32" s="612"/>
      <c r="J32" s="317"/>
      <c r="K32" s="612"/>
      <c r="L32" s="317"/>
      <c r="M32" s="612"/>
      <c r="N32" s="317"/>
      <c r="O32" s="317"/>
      <c r="P32" s="317"/>
    </row>
    <row r="33" spans="1:85" s="379" customFormat="1">
      <c r="A33" s="384">
        <v>2000</v>
      </c>
      <c r="B33" s="610">
        <f>SUM(B34:B37)</f>
        <v>1858335</v>
      </c>
      <c r="C33" s="611">
        <f>B33/B27*100</f>
        <v>181.2601257667784</v>
      </c>
      <c r="D33" s="610">
        <f>SUM(D34:D37)</f>
        <v>1594131</v>
      </c>
      <c r="E33" s="611">
        <f>D33/D27*100</f>
        <v>198.31520569468685</v>
      </c>
      <c r="F33" s="610">
        <f>SUM(F34:F37)</f>
        <v>264204</v>
      </c>
      <c r="G33" s="611">
        <f>F33/F27*100</f>
        <v>119.33656738665005</v>
      </c>
      <c r="H33" s="610">
        <f>SUM(H34:H37)</f>
        <v>1539005</v>
      </c>
      <c r="I33" s="611">
        <f>H33/H27*100</f>
        <v>107.36804726132138</v>
      </c>
      <c r="J33" s="610">
        <f>SUM(J34:J37)</f>
        <v>1163552</v>
      </c>
      <c r="K33" s="611">
        <f>J33/J27*100</f>
        <v>110.78166371674676</v>
      </c>
      <c r="L33" s="610">
        <f>SUM(L34:L37)</f>
        <v>375453</v>
      </c>
      <c r="M33" s="611">
        <f>L33/L27*100</f>
        <v>98.008776211819438</v>
      </c>
      <c r="N33" s="610">
        <f>B33-H33</f>
        <v>319330</v>
      </c>
      <c r="O33" s="610">
        <f>D33-J33</f>
        <v>430579</v>
      </c>
      <c r="P33" s="610">
        <f>F33-L33</f>
        <v>-111249</v>
      </c>
      <c r="CC33" s="378"/>
      <c r="CD33" s="378"/>
      <c r="CE33" s="378"/>
      <c r="CF33" s="378"/>
      <c r="CG33" s="378"/>
    </row>
    <row r="34" spans="1:85">
      <c r="A34" s="387" t="s">
        <v>1091</v>
      </c>
      <c r="B34" s="317">
        <v>393245</v>
      </c>
      <c r="C34" s="612">
        <v>265.60000000000002</v>
      </c>
      <c r="D34" s="317">
        <v>325162</v>
      </c>
      <c r="E34" s="612">
        <v>289.2</v>
      </c>
      <c r="F34" s="317">
        <v>68083</v>
      </c>
      <c r="G34" s="612">
        <v>191.1</v>
      </c>
      <c r="H34" s="317">
        <v>384263</v>
      </c>
      <c r="I34" s="612">
        <v>123.2</v>
      </c>
      <c r="J34" s="317">
        <v>284176</v>
      </c>
      <c r="K34" s="612">
        <v>126.7</v>
      </c>
      <c r="L34" s="317">
        <v>100087</v>
      </c>
      <c r="M34" s="612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7" t="s">
        <v>1092</v>
      </c>
      <c r="B35" s="317">
        <v>522448</v>
      </c>
      <c r="C35" s="612">
        <f>B35/B29*100</f>
        <v>314.58368457814493</v>
      </c>
      <c r="D35" s="317">
        <v>450387</v>
      </c>
      <c r="E35" s="612">
        <f>D35/D29*100</f>
        <v>377.60385663382937</v>
      </c>
      <c r="F35" s="317">
        <v>72061</v>
      </c>
      <c r="G35" s="612">
        <f>F35/F29*100</f>
        <v>153.9732057007329</v>
      </c>
      <c r="H35" s="317">
        <v>363736</v>
      </c>
      <c r="I35" s="612">
        <f>H35/H29*100</f>
        <v>109.73719381767388</v>
      </c>
      <c r="J35" s="317">
        <v>262757</v>
      </c>
      <c r="K35" s="612">
        <f>J35/J29*100</f>
        <v>107.23768789052457</v>
      </c>
      <c r="L35" s="317">
        <v>100979</v>
      </c>
      <c r="M35" s="612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7" t="s">
        <v>1000</v>
      </c>
      <c r="B36" s="317">
        <v>594058</v>
      </c>
      <c r="C36" s="612">
        <f>B36/B30*100</f>
        <v>234.26662775749065</v>
      </c>
      <c r="D36" s="317">
        <v>546998</v>
      </c>
      <c r="E36" s="612">
        <f>D36/D30*100</f>
        <v>289.12627517310636</v>
      </c>
      <c r="F36" s="317">
        <v>47060</v>
      </c>
      <c r="G36" s="612">
        <f>F36/F30*100</f>
        <v>73.083612871164121</v>
      </c>
      <c r="H36" s="317">
        <v>327785</v>
      </c>
      <c r="I36" s="612">
        <f>H36/H30*100</f>
        <v>78.669092288012138</v>
      </c>
      <c r="J36" s="317">
        <v>251119</v>
      </c>
      <c r="K36" s="612">
        <f>J36/J30*100</f>
        <v>80.0626807331669</v>
      </c>
      <c r="L36" s="317">
        <v>76666</v>
      </c>
      <c r="M36" s="612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7" t="s">
        <v>1093</v>
      </c>
      <c r="B37" s="317">
        <v>348584</v>
      </c>
      <c r="C37" s="612">
        <f>B37/B31*100</f>
        <v>76.191059051873935</v>
      </c>
      <c r="D37" s="317">
        <v>271584</v>
      </c>
      <c r="E37" s="612">
        <f>D37/D31*100</f>
        <v>70.920215280080839</v>
      </c>
      <c r="F37" s="317">
        <v>77000</v>
      </c>
      <c r="G37" s="612">
        <f>F37/F31*100</f>
        <v>103.25868311653478</v>
      </c>
      <c r="H37" s="317">
        <v>463221</v>
      </c>
      <c r="I37" s="612">
        <f>H37/H31*100</f>
        <v>124.10276057183273</v>
      </c>
      <c r="J37" s="317">
        <v>365500</v>
      </c>
      <c r="K37" s="612">
        <f>J37/J31*100</f>
        <v>136.71780024612946</v>
      </c>
      <c r="L37" s="317">
        <v>97721</v>
      </c>
      <c r="M37" s="612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9"/>
      <c r="CD37" s="379"/>
      <c r="CE37" s="379"/>
      <c r="CF37" s="379"/>
      <c r="CG37" s="379"/>
    </row>
    <row r="38" spans="1:85">
      <c r="A38" s="387"/>
      <c r="B38" s="317"/>
      <c r="C38" s="612"/>
      <c r="D38" s="317"/>
      <c r="E38" s="612"/>
      <c r="F38" s="317"/>
      <c r="G38" s="612"/>
      <c r="H38" s="317"/>
      <c r="I38" s="612"/>
      <c r="J38" s="317"/>
      <c r="K38" s="612"/>
      <c r="L38" s="317"/>
      <c r="M38" s="612"/>
      <c r="N38" s="317"/>
      <c r="O38" s="317"/>
      <c r="P38" s="317"/>
    </row>
    <row r="39" spans="1:85" s="379" customFormat="1">
      <c r="A39" s="384">
        <v>2001</v>
      </c>
      <c r="B39" s="610">
        <f>SUM(B40:B43)</f>
        <v>2078931</v>
      </c>
      <c r="C39" s="611">
        <f>B39/B33*100</f>
        <v>111.87062612499898</v>
      </c>
      <c r="D39" s="610">
        <f>SUM(D40:D43)</f>
        <v>1855148</v>
      </c>
      <c r="E39" s="611">
        <f>D39/D33*100</f>
        <v>116.37362299585166</v>
      </c>
      <c r="F39" s="610">
        <f>SUM(F40:F43)</f>
        <v>223783</v>
      </c>
      <c r="G39" s="611">
        <f>F39/F33*100</f>
        <v>84.700837231836005</v>
      </c>
      <c r="H39" s="610">
        <f>SUM(H40:H43)</f>
        <v>1465064</v>
      </c>
      <c r="I39" s="611">
        <f>H39/H33*100</f>
        <v>95.195532178258034</v>
      </c>
      <c r="J39" s="610">
        <f>SUM(J40:J43)</f>
        <v>1022194</v>
      </c>
      <c r="K39" s="611">
        <f>J39/J33*100</f>
        <v>87.851166084541134</v>
      </c>
      <c r="L39" s="610">
        <f>SUM(L40:L43)</f>
        <v>442870</v>
      </c>
      <c r="M39" s="611">
        <f>L39/L33*100</f>
        <v>117.95617560653398</v>
      </c>
      <c r="N39" s="610">
        <f>B39-H39</f>
        <v>613867</v>
      </c>
      <c r="O39" s="610">
        <f>D39-J39</f>
        <v>832954</v>
      </c>
      <c r="P39" s="610">
        <f>F39-L39</f>
        <v>-219087</v>
      </c>
      <c r="CC39" s="378"/>
      <c r="CD39" s="378"/>
      <c r="CE39" s="378"/>
      <c r="CF39" s="378"/>
      <c r="CG39" s="378"/>
    </row>
    <row r="40" spans="1:85">
      <c r="A40" s="387" t="s">
        <v>1091</v>
      </c>
      <c r="B40" s="317">
        <v>526737</v>
      </c>
      <c r="C40" s="612">
        <f>B40/B34*100</f>
        <v>133.94626759399358</v>
      </c>
      <c r="D40" s="317">
        <v>484118</v>
      </c>
      <c r="E40" s="612">
        <f>D40/D34*100</f>
        <v>148.885171083952</v>
      </c>
      <c r="F40" s="317">
        <v>42619</v>
      </c>
      <c r="G40" s="612">
        <f>F40/F34*100</f>
        <v>62.598592893967655</v>
      </c>
      <c r="H40" s="317">
        <v>316857</v>
      </c>
      <c r="I40" s="612">
        <f>H40/H34*100</f>
        <v>82.458368357088759</v>
      </c>
      <c r="J40" s="317">
        <v>223031</v>
      </c>
      <c r="K40" s="612">
        <f>J40/J34*100</f>
        <v>78.483404650639045</v>
      </c>
      <c r="L40" s="317">
        <v>93826</v>
      </c>
      <c r="M40" s="612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7" t="s">
        <v>1092</v>
      </c>
      <c r="B41" s="317">
        <f>1057964-B40</f>
        <v>531227</v>
      </c>
      <c r="C41" s="612">
        <f>B41/B35*100</f>
        <v>101.68035861942242</v>
      </c>
      <c r="D41" s="317">
        <f>968189-D40</f>
        <v>484071</v>
      </c>
      <c r="E41" s="612">
        <f>D41/D35*100</f>
        <v>107.4789014780622</v>
      </c>
      <c r="F41" s="317">
        <f>89775-F40</f>
        <v>47156</v>
      </c>
      <c r="G41" s="612">
        <f>F41/F35*100</f>
        <v>65.439003066846141</v>
      </c>
      <c r="H41" s="317">
        <f>650165-H40</f>
        <v>333308</v>
      </c>
      <c r="I41" s="612">
        <f>H41/H35*100</f>
        <v>91.634592121758644</v>
      </c>
      <c r="J41" s="317">
        <f>438187-J40</f>
        <v>215156</v>
      </c>
      <c r="K41" s="612">
        <f>J41/J35*100</f>
        <v>81.884022119296546</v>
      </c>
      <c r="L41" s="317">
        <f>211978-L40</f>
        <v>118152</v>
      </c>
      <c r="M41" s="612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7" t="s">
        <v>1000</v>
      </c>
      <c r="B42" s="317">
        <f>1598367-B40-B41</f>
        <v>540403</v>
      </c>
      <c r="C42" s="612">
        <f>B42/B36*100</f>
        <v>90.968053624393576</v>
      </c>
      <c r="D42" s="317">
        <f>1416328-D41-D40</f>
        <v>448139</v>
      </c>
      <c r="E42" s="612">
        <f>D42/D36*100</f>
        <v>81.926990592287353</v>
      </c>
      <c r="F42" s="317">
        <f>182039-F41-F40</f>
        <v>92264</v>
      </c>
      <c r="G42" s="612">
        <f>F42/F36*100</f>
        <v>196.05609859753505</v>
      </c>
      <c r="H42" s="317">
        <f>1064478-H41-H40</f>
        <v>414313</v>
      </c>
      <c r="I42" s="612">
        <f>H42/H36*100</f>
        <v>126.39779123510837</v>
      </c>
      <c r="J42" s="317">
        <f>742102-J41-J40</f>
        <v>303915</v>
      </c>
      <c r="K42" s="612">
        <f>J42/J36*100</f>
        <v>121.02429525444111</v>
      </c>
      <c r="L42" s="317">
        <f>322376-L41-L40</f>
        <v>110398</v>
      </c>
      <c r="M42" s="612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7" t="s">
        <v>1093</v>
      </c>
      <c r="B43" s="317">
        <v>480564</v>
      </c>
      <c r="C43" s="612">
        <f>B43/B37*100</f>
        <v>137.86174924838775</v>
      </c>
      <c r="D43" s="317">
        <v>438820</v>
      </c>
      <c r="E43" s="612">
        <f>D43/D37*100</f>
        <v>161.57800164958172</v>
      </c>
      <c r="F43" s="317">
        <v>41744</v>
      </c>
      <c r="G43" s="612">
        <f>F43/F37*100</f>
        <v>54.212987012987014</v>
      </c>
      <c r="H43" s="317">
        <v>400586</v>
      </c>
      <c r="I43" s="612">
        <f>H43/H37*100</f>
        <v>86.478376412122941</v>
      </c>
      <c r="J43" s="317">
        <v>280092</v>
      </c>
      <c r="K43" s="612">
        <f>J43/J37*100</f>
        <v>76.632558139534879</v>
      </c>
      <c r="L43" s="317">
        <v>120494</v>
      </c>
      <c r="M43" s="612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7"/>
      <c r="B44" s="317"/>
      <c r="C44" s="612"/>
      <c r="D44" s="317"/>
      <c r="E44" s="612"/>
      <c r="F44" s="317"/>
      <c r="G44" s="612"/>
      <c r="H44" s="317"/>
      <c r="I44" s="612"/>
      <c r="J44" s="317"/>
      <c r="K44" s="612"/>
      <c r="L44" s="317"/>
      <c r="M44" s="612"/>
      <c r="N44" s="317"/>
      <c r="O44" s="317"/>
      <c r="P44" s="317"/>
    </row>
    <row r="45" spans="1:85">
      <c r="A45" s="384">
        <v>2002</v>
      </c>
      <c r="B45" s="610">
        <f>SUM(B46:B49)</f>
        <v>2304893</v>
      </c>
      <c r="C45" s="611">
        <f>B45/B39*100</f>
        <v>110.86914380515755</v>
      </c>
      <c r="D45" s="610">
        <f>SUM(D46:D49)</f>
        <v>2061150</v>
      </c>
      <c r="E45" s="611">
        <f>D45/D39*100</f>
        <v>111.10434315752707</v>
      </c>
      <c r="F45" s="610">
        <f>SUM(F46:F49)</f>
        <v>243743</v>
      </c>
      <c r="G45" s="611">
        <f>F45/F39*100</f>
        <v>108.91935491078411</v>
      </c>
      <c r="H45" s="610">
        <f>SUM(H46:H49)</f>
        <v>1823341</v>
      </c>
      <c r="I45" s="611">
        <f>H45/H39*100</f>
        <v>124.45469958991553</v>
      </c>
      <c r="J45" s="610">
        <f>SUM(J46:J49)</f>
        <v>1149250</v>
      </c>
      <c r="K45" s="611">
        <f>J45/J39*100</f>
        <v>112.42973447310393</v>
      </c>
      <c r="L45" s="610">
        <f>SUM(L46:L49)</f>
        <v>674091</v>
      </c>
      <c r="M45" s="611">
        <f>L45/L39*100</f>
        <v>152.20967778354822</v>
      </c>
      <c r="N45" s="610">
        <f>SUM(N46:N49)</f>
        <v>481552</v>
      </c>
      <c r="O45" s="610">
        <f>SUM(O46:O49)</f>
        <v>911900</v>
      </c>
      <c r="P45" s="610">
        <f>F45-L45</f>
        <v>-430348</v>
      </c>
    </row>
    <row r="46" spans="1:85">
      <c r="A46" s="387" t="s">
        <v>1091</v>
      </c>
      <c r="B46" s="317">
        <v>450164</v>
      </c>
      <c r="C46" s="612">
        <f>B46/B40*100</f>
        <v>85.462764149850884</v>
      </c>
      <c r="D46" s="317">
        <v>401156</v>
      </c>
      <c r="E46" s="612">
        <f>D46/D40*100</f>
        <v>82.863268872464985</v>
      </c>
      <c r="F46" s="317">
        <v>49008</v>
      </c>
      <c r="G46" s="612">
        <f>F46/F40*100</f>
        <v>114.99096647035361</v>
      </c>
      <c r="H46" s="317">
        <v>388536</v>
      </c>
      <c r="I46" s="612">
        <f>H46/H40*100</f>
        <v>122.6218767456613</v>
      </c>
      <c r="J46" s="317">
        <v>235658</v>
      </c>
      <c r="K46" s="612">
        <f>J46/J40*100</f>
        <v>105.66154480767247</v>
      </c>
      <c r="L46" s="317">
        <v>152878</v>
      </c>
      <c r="M46" s="612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7" t="s">
        <v>1092</v>
      </c>
      <c r="B47" s="317">
        <v>488972</v>
      </c>
      <c r="C47" s="612">
        <f>B47/B41*100</f>
        <v>92.045773275831237</v>
      </c>
      <c r="D47" s="317">
        <v>441582</v>
      </c>
      <c r="E47" s="612">
        <f>D47/D41*100</f>
        <v>91.222568590144832</v>
      </c>
      <c r="F47" s="317">
        <v>47390</v>
      </c>
      <c r="G47" s="612">
        <f>F47/F41*100</f>
        <v>100.49622529476632</v>
      </c>
      <c r="H47" s="317">
        <v>404729</v>
      </c>
      <c r="I47" s="612">
        <f>H47/H41*100</f>
        <v>121.42792852256773</v>
      </c>
      <c r="J47" s="317">
        <v>235732</v>
      </c>
      <c r="K47" s="612">
        <f>J47/J41*100</f>
        <v>109.5632936102177</v>
      </c>
      <c r="L47" s="317">
        <v>168997</v>
      </c>
      <c r="M47" s="612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7" t="s">
        <v>1000</v>
      </c>
      <c r="B48" s="317">
        <v>631127</v>
      </c>
      <c r="C48" s="612">
        <f>B48/B42*100</f>
        <v>116.78821176048247</v>
      </c>
      <c r="D48" s="317">
        <v>566623</v>
      </c>
      <c r="E48" s="612">
        <f>D48/D42*100</f>
        <v>126.43911822001657</v>
      </c>
      <c r="F48" s="317">
        <v>64504</v>
      </c>
      <c r="G48" s="612">
        <f>F48/F42*100</f>
        <v>69.912425214601583</v>
      </c>
      <c r="H48" s="317">
        <v>466823</v>
      </c>
      <c r="I48" s="612">
        <f>H48/H42*100</f>
        <v>112.67399285081569</v>
      </c>
      <c r="J48" s="317">
        <v>316432</v>
      </c>
      <c r="K48" s="612">
        <f>J48/J42*100</f>
        <v>104.11858578878963</v>
      </c>
      <c r="L48" s="317">
        <v>150391</v>
      </c>
      <c r="M48" s="612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7" t="s">
        <v>1093</v>
      </c>
      <c r="B49" s="317">
        <v>734630</v>
      </c>
      <c r="C49" s="612">
        <f>B49/B43*100</f>
        <v>152.86829641837508</v>
      </c>
      <c r="D49" s="317">
        <v>651789</v>
      </c>
      <c r="E49" s="612">
        <f>D49/D43*100</f>
        <v>148.53219999088466</v>
      </c>
      <c r="F49" s="317">
        <v>82841</v>
      </c>
      <c r="G49" s="612">
        <f>F49/F43*100</f>
        <v>198.45007665772329</v>
      </c>
      <c r="H49" s="317">
        <v>563253</v>
      </c>
      <c r="I49" s="612">
        <f>H49/H43*100</f>
        <v>140.60726036356738</v>
      </c>
      <c r="J49" s="317">
        <v>361428</v>
      </c>
      <c r="K49" s="612">
        <f>J49/J43*100</f>
        <v>129.03903003298916</v>
      </c>
      <c r="L49" s="317">
        <v>201825</v>
      </c>
      <c r="M49" s="612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8"/>
      <c r="B50" s="317"/>
      <c r="C50" s="612"/>
      <c r="D50" s="317"/>
      <c r="E50" s="612"/>
      <c r="F50" s="317"/>
      <c r="G50" s="612"/>
      <c r="H50" s="317"/>
      <c r="I50" s="612"/>
      <c r="J50" s="317"/>
      <c r="K50" s="612"/>
      <c r="L50" s="317"/>
      <c r="M50" s="612"/>
      <c r="N50" s="317"/>
      <c r="O50" s="317"/>
      <c r="P50" s="317"/>
    </row>
    <row r="51" spans="1:85">
      <c r="A51" s="384">
        <v>2003</v>
      </c>
      <c r="B51" s="610">
        <f>SUM(B52:B55)</f>
        <v>2624513</v>
      </c>
      <c r="C51" s="611">
        <f>B51/B45*100</f>
        <v>113.86702115889979</v>
      </c>
      <c r="D51" s="610">
        <f>SUM(D52:D55)</f>
        <v>2290613</v>
      </c>
      <c r="E51" s="611">
        <f>D51/D45*100</f>
        <v>111.13276568905708</v>
      </c>
      <c r="F51" s="610">
        <f>SUM(F52:F55)</f>
        <v>333900</v>
      </c>
      <c r="G51" s="611">
        <f>F51/F45*100</f>
        <v>136.98854941475241</v>
      </c>
      <c r="H51" s="610">
        <f>SUM(H52:H55)</f>
        <v>2722704</v>
      </c>
      <c r="I51" s="611">
        <f>H51/H45*100</f>
        <v>149.32500283819647</v>
      </c>
      <c r="J51" s="610">
        <f>SUM(J52:J55)</f>
        <v>1855710</v>
      </c>
      <c r="K51" s="611">
        <f>J51/J45*100</f>
        <v>161.4713943876441</v>
      </c>
      <c r="L51" s="610">
        <f>SUM(L52:L55)</f>
        <v>866994</v>
      </c>
      <c r="M51" s="611">
        <f>L51/L45*100</f>
        <v>128.61675945829271</v>
      </c>
      <c r="N51" s="610">
        <f>B51-H51</f>
        <v>-98191</v>
      </c>
      <c r="O51" s="610">
        <f>D51-J51</f>
        <v>434903</v>
      </c>
      <c r="P51" s="610">
        <f>F51-L51</f>
        <v>-533094</v>
      </c>
    </row>
    <row r="52" spans="1:85">
      <c r="A52" s="387" t="s">
        <v>1091</v>
      </c>
      <c r="B52" s="317">
        <v>674859</v>
      </c>
      <c r="C52" s="612">
        <f>B52/B46*100</f>
        <v>149.91403133080388</v>
      </c>
      <c r="D52" s="317">
        <v>616581</v>
      </c>
      <c r="E52" s="612">
        <f>D52/D46*100</f>
        <v>153.70105395407273</v>
      </c>
      <c r="F52" s="317">
        <v>58278</v>
      </c>
      <c r="G52" s="612">
        <f>F52/F46*100</f>
        <v>118.91527913809989</v>
      </c>
      <c r="H52" s="317">
        <v>486576</v>
      </c>
      <c r="I52" s="612">
        <f>H52/H46*100</f>
        <v>125.23318302551114</v>
      </c>
      <c r="J52" s="317">
        <v>300283</v>
      </c>
      <c r="K52" s="612">
        <f>J52/J46*100</f>
        <v>127.42321499800558</v>
      </c>
      <c r="L52" s="317">
        <v>186293</v>
      </c>
      <c r="M52" s="612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7" t="s">
        <v>1092</v>
      </c>
      <c r="B53" s="317">
        <v>681183</v>
      </c>
      <c r="C53" s="612">
        <f>B53/B47*100</f>
        <v>139.30920379899055</v>
      </c>
      <c r="D53" s="317">
        <v>610772</v>
      </c>
      <c r="E53" s="612">
        <f>D53/D47*100</f>
        <v>138.31451463148409</v>
      </c>
      <c r="F53" s="317">
        <v>70411</v>
      </c>
      <c r="G53" s="612">
        <f>F53/F47*100</f>
        <v>148.57775902089048</v>
      </c>
      <c r="H53" s="317">
        <v>677680</v>
      </c>
      <c r="I53" s="612">
        <f>H53/H47*100</f>
        <v>167.44043545187026</v>
      </c>
      <c r="J53" s="317">
        <v>484528</v>
      </c>
      <c r="K53" s="612">
        <f>J53/J47*100</f>
        <v>205.54188654913207</v>
      </c>
      <c r="L53" s="317">
        <v>193152</v>
      </c>
      <c r="M53" s="612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7" t="s">
        <v>1000</v>
      </c>
      <c r="B54" s="317">
        <v>536939</v>
      </c>
      <c r="C54" s="612">
        <f>B54/B48*100</f>
        <v>85.076220792328641</v>
      </c>
      <c r="D54" s="317">
        <v>460104</v>
      </c>
      <c r="E54" s="612">
        <f>D54/D48*100</f>
        <v>81.201080789166696</v>
      </c>
      <c r="F54" s="317">
        <v>76835</v>
      </c>
      <c r="G54" s="612">
        <f>F54/F48*100</f>
        <v>119.11664392905865</v>
      </c>
      <c r="H54" s="317">
        <v>681253</v>
      </c>
      <c r="I54" s="612">
        <f>H54/H48*100</f>
        <v>145.93389785850312</v>
      </c>
      <c r="J54" s="317">
        <v>472875</v>
      </c>
      <c r="K54" s="612">
        <f>J54/J48*100</f>
        <v>149.43969004399048</v>
      </c>
      <c r="L54" s="317">
        <v>208378</v>
      </c>
      <c r="M54" s="612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7" t="s">
        <v>1093</v>
      </c>
      <c r="B55" s="317">
        <v>731532</v>
      </c>
      <c r="C55" s="612">
        <f>B55/B49*100</f>
        <v>99.578291112532838</v>
      </c>
      <c r="D55" s="317">
        <v>603156</v>
      </c>
      <c r="E55" s="612">
        <f>D55/D49*100</f>
        <v>92.538536244091262</v>
      </c>
      <c r="F55" s="317">
        <v>128376</v>
      </c>
      <c r="G55" s="612">
        <f>F55/F49*100</f>
        <v>154.96674352072043</v>
      </c>
      <c r="H55" s="317">
        <v>877195</v>
      </c>
      <c r="I55" s="612">
        <f>H55/H49*100</f>
        <v>155.73729744892614</v>
      </c>
      <c r="J55" s="317">
        <v>598024</v>
      </c>
      <c r="K55" s="612">
        <f>J55/J49*100</f>
        <v>165.46144736987728</v>
      </c>
      <c r="L55" s="317">
        <v>279171</v>
      </c>
      <c r="M55" s="612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9"/>
      <c r="B56" s="317"/>
      <c r="C56" s="612"/>
      <c r="D56" s="317"/>
      <c r="E56" s="612"/>
      <c r="F56" s="317"/>
      <c r="G56" s="612"/>
      <c r="H56" s="317"/>
      <c r="I56" s="612"/>
      <c r="J56" s="317"/>
      <c r="K56" s="612"/>
      <c r="L56" s="317"/>
      <c r="M56" s="612"/>
      <c r="N56" s="317"/>
      <c r="O56" s="317"/>
      <c r="P56" s="317"/>
    </row>
    <row r="57" spans="1:85">
      <c r="A57" s="384">
        <v>2004</v>
      </c>
      <c r="B57" s="610">
        <f>SUM(B58:B61)</f>
        <v>3742982</v>
      </c>
      <c r="C57" s="611">
        <f>B57/B51*100</f>
        <v>142.61624918603945</v>
      </c>
      <c r="D57" s="610">
        <f>SUM(D58:D61)</f>
        <v>3128727</v>
      </c>
      <c r="E57" s="611">
        <f>D57/D51*100</f>
        <v>136.58907026197789</v>
      </c>
      <c r="F57" s="610">
        <f>SUM(F58:F61)</f>
        <v>614183</v>
      </c>
      <c r="G57" s="611">
        <f>F57/F51*100</f>
        <v>183.94219826295299</v>
      </c>
      <c r="H57" s="610">
        <f>SUM(H58:H61)</f>
        <v>3581685</v>
      </c>
      <c r="I57" s="611">
        <f>H57/H51*100</f>
        <v>131.54882058424272</v>
      </c>
      <c r="J57" s="610">
        <f>SUM(J58:J61)</f>
        <v>2390433</v>
      </c>
      <c r="K57" s="611">
        <f>J57/J51*100</f>
        <v>128.81500881064389</v>
      </c>
      <c r="L57" s="610">
        <f>SUM(L58:L61)</f>
        <v>1191252</v>
      </c>
      <c r="M57" s="611">
        <f>L57/L51*100</f>
        <v>137.40025882532058</v>
      </c>
      <c r="N57" s="610">
        <f>B57-H57</f>
        <v>161297</v>
      </c>
      <c r="O57" s="610">
        <f>D57-J57</f>
        <v>738294</v>
      </c>
      <c r="P57" s="610">
        <f>F57-L57</f>
        <v>-577069</v>
      </c>
    </row>
    <row r="58" spans="1:85">
      <c r="A58" s="387" t="s">
        <v>1091</v>
      </c>
      <c r="B58" s="317">
        <v>732228</v>
      </c>
      <c r="C58" s="612">
        <f>B58/B52*100</f>
        <v>108.50088685192019</v>
      </c>
      <c r="D58" s="317">
        <v>644575</v>
      </c>
      <c r="E58" s="612">
        <f>D58/D52*100</f>
        <v>104.54019828700527</v>
      </c>
      <c r="F58" s="317">
        <v>87653</v>
      </c>
      <c r="G58" s="612">
        <f>F58/F52*100</f>
        <v>150.40495555784344</v>
      </c>
      <c r="H58" s="317">
        <v>712084</v>
      </c>
      <c r="I58" s="612">
        <f>H58/H52*100</f>
        <v>146.34589457761996</v>
      </c>
      <c r="J58" s="317">
        <v>446165</v>
      </c>
      <c r="K58" s="612">
        <f>J58/J52*100</f>
        <v>148.58150478049041</v>
      </c>
      <c r="L58" s="317">
        <v>265919</v>
      </c>
      <c r="M58" s="612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7" t="s">
        <v>1092</v>
      </c>
      <c r="B59" s="317">
        <v>946314</v>
      </c>
      <c r="C59" s="612">
        <f>B59/B53*100</f>
        <v>138.92213986549871</v>
      </c>
      <c r="D59" s="317">
        <v>686126</v>
      </c>
      <c r="E59" s="612">
        <f>D59/D53*100</f>
        <v>112.33750073677248</v>
      </c>
      <c r="F59" s="317">
        <v>260188</v>
      </c>
      <c r="G59" s="612">
        <f>F59/F53*100</f>
        <v>369.52748860263307</v>
      </c>
      <c r="H59" s="317">
        <v>840427</v>
      </c>
      <c r="I59" s="612">
        <f>H59/H53*100</f>
        <v>124.01531696375872</v>
      </c>
      <c r="J59" s="317">
        <v>547101</v>
      </c>
      <c r="K59" s="612">
        <f>J59/J53*100</f>
        <v>112.91421754779908</v>
      </c>
      <c r="L59" s="317">
        <v>293326</v>
      </c>
      <c r="M59" s="612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7" t="s">
        <v>1000</v>
      </c>
      <c r="B60" s="317">
        <v>910453</v>
      </c>
      <c r="C60" s="612">
        <f>B60/B54*100</f>
        <v>169.56358171039915</v>
      </c>
      <c r="D60" s="317">
        <v>808630</v>
      </c>
      <c r="E60" s="612">
        <f>D60/D54*100</f>
        <v>175.7493957887782</v>
      </c>
      <c r="F60" s="317">
        <v>101823</v>
      </c>
      <c r="G60" s="612">
        <f>F60/F54*100</f>
        <v>132.52163727467951</v>
      </c>
      <c r="H60" s="317">
        <v>1003832</v>
      </c>
      <c r="I60" s="612">
        <f>H60/H54*100</f>
        <v>147.35083735411075</v>
      </c>
      <c r="J60" s="317">
        <v>740024</v>
      </c>
      <c r="K60" s="612">
        <f>J60/J54*100</f>
        <v>156.49463388844833</v>
      </c>
      <c r="L60" s="317">
        <v>263808</v>
      </c>
      <c r="M60" s="612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7" t="s">
        <v>1093</v>
      </c>
      <c r="B61" s="317">
        <v>1153987</v>
      </c>
      <c r="C61" s="612">
        <f>B61/B55*100</f>
        <v>157.74935341174412</v>
      </c>
      <c r="D61" s="317">
        <v>989396</v>
      </c>
      <c r="E61" s="612">
        <f>D61/D55*100</f>
        <v>164.03650133630435</v>
      </c>
      <c r="F61" s="317">
        <v>164519</v>
      </c>
      <c r="G61" s="612">
        <f>F61/F55*100</f>
        <v>128.15401632703933</v>
      </c>
      <c r="H61" s="317">
        <v>1025342</v>
      </c>
      <c r="I61" s="612">
        <f>H61/H55*100</f>
        <v>116.88871915594594</v>
      </c>
      <c r="J61" s="317">
        <v>657143</v>
      </c>
      <c r="K61" s="612">
        <f>J61/J55*100</f>
        <v>109.88572364988696</v>
      </c>
      <c r="L61" s="317">
        <v>368199</v>
      </c>
      <c r="M61" s="612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81"/>
      <c r="CD61" s="381"/>
      <c r="CE61" s="381"/>
      <c r="CF61" s="381"/>
      <c r="CG61" s="381"/>
    </row>
    <row r="62" spans="1:85">
      <c r="A62" s="389"/>
      <c r="B62" s="317"/>
      <c r="C62" s="612"/>
      <c r="D62" s="317"/>
      <c r="E62" s="612"/>
      <c r="F62" s="317"/>
      <c r="G62" s="612"/>
      <c r="H62" s="317"/>
      <c r="I62" s="612"/>
      <c r="J62" s="317"/>
      <c r="K62" s="612"/>
      <c r="L62" s="317"/>
      <c r="M62" s="612"/>
      <c r="N62" s="317"/>
      <c r="O62" s="317"/>
      <c r="P62" s="317"/>
    </row>
    <row r="63" spans="1:85" s="381" customFormat="1">
      <c r="A63" s="40">
        <v>2005</v>
      </c>
      <c r="B63" s="613">
        <v>7648962</v>
      </c>
      <c r="C63" s="614">
        <v>204.35476312736745</v>
      </c>
      <c r="D63" s="613">
        <v>6737131</v>
      </c>
      <c r="E63" s="614">
        <v>215.33137918393007</v>
      </c>
      <c r="F63" s="613">
        <v>911831</v>
      </c>
      <c r="G63" s="614">
        <v>148.46242895032913</v>
      </c>
      <c r="H63" s="613">
        <v>4349857</v>
      </c>
      <c r="I63" s="614">
        <v>121.44722386251163</v>
      </c>
      <c r="J63" s="613">
        <v>2967262</v>
      </c>
      <c r="K63" s="614">
        <v>124.13073280029184</v>
      </c>
      <c r="L63" s="613">
        <v>1382595</v>
      </c>
      <c r="M63" s="614">
        <v>116.06234449134188</v>
      </c>
      <c r="N63" s="613">
        <v>3299105</v>
      </c>
      <c r="O63" s="613">
        <v>3769869</v>
      </c>
      <c r="P63" s="613">
        <v>-470764</v>
      </c>
      <c r="CC63" s="378"/>
      <c r="CD63" s="378"/>
      <c r="CE63" s="378"/>
      <c r="CF63" s="378"/>
      <c r="CG63" s="378"/>
    </row>
    <row r="64" spans="1:85">
      <c r="A64" s="40" t="s">
        <v>1091</v>
      </c>
      <c r="B64" s="615">
        <v>1124329</v>
      </c>
      <c r="C64" s="616">
        <v>153.54903117608177</v>
      </c>
      <c r="D64" s="615">
        <v>1029430</v>
      </c>
      <c r="E64" s="616">
        <v>159.70678353954156</v>
      </c>
      <c r="F64" s="615">
        <v>94899</v>
      </c>
      <c r="G64" s="616">
        <v>108.26668796276226</v>
      </c>
      <c r="H64" s="615">
        <v>1117109</v>
      </c>
      <c r="I64" s="616">
        <v>156.87882328489334</v>
      </c>
      <c r="J64" s="615">
        <v>823337</v>
      </c>
      <c r="K64" s="616">
        <v>184.5364383131801</v>
      </c>
      <c r="L64" s="615">
        <v>293772</v>
      </c>
      <c r="M64" s="616">
        <v>110.47424215644614</v>
      </c>
      <c r="N64" s="615">
        <v>7220</v>
      </c>
      <c r="O64" s="615">
        <v>206093</v>
      </c>
      <c r="P64" s="615">
        <v>-198873</v>
      </c>
    </row>
    <row r="65" spans="1:85">
      <c r="A65" s="40" t="s">
        <v>1092</v>
      </c>
      <c r="B65" s="615">
        <v>1696976</v>
      </c>
      <c r="C65" s="616">
        <v>179.32483298355515</v>
      </c>
      <c r="D65" s="615">
        <v>1527473</v>
      </c>
      <c r="E65" s="616">
        <v>222.62281271952963</v>
      </c>
      <c r="F65" s="615">
        <v>169503</v>
      </c>
      <c r="G65" s="616">
        <v>65.14635571202362</v>
      </c>
      <c r="H65" s="615">
        <v>1009210</v>
      </c>
      <c r="I65" s="616">
        <v>120.08300542462345</v>
      </c>
      <c r="J65" s="615">
        <v>627638</v>
      </c>
      <c r="K65" s="616">
        <v>114.7206822871828</v>
      </c>
      <c r="L65" s="615">
        <v>381572</v>
      </c>
      <c r="M65" s="616">
        <v>130.08461575175744</v>
      </c>
      <c r="N65" s="615">
        <v>687766</v>
      </c>
      <c r="O65" s="615">
        <v>899835</v>
      </c>
      <c r="P65" s="615">
        <v>-212069</v>
      </c>
    </row>
    <row r="66" spans="1:85">
      <c r="A66" s="40" t="s">
        <v>1000</v>
      </c>
      <c r="B66" s="615">
        <v>2204873</v>
      </c>
      <c r="C66" s="616">
        <v>242.17318192152698</v>
      </c>
      <c r="D66" s="615">
        <v>1788751</v>
      </c>
      <c r="E66" s="616">
        <v>221.20759803618463</v>
      </c>
      <c r="F66" s="615">
        <v>416122</v>
      </c>
      <c r="G66" s="616">
        <v>408.67191106135152</v>
      </c>
      <c r="H66" s="615">
        <v>1215516</v>
      </c>
      <c r="I66" s="616">
        <v>121.08759234612963</v>
      </c>
      <c r="J66" s="615">
        <v>870559</v>
      </c>
      <c r="K66" s="616">
        <v>117.63929277969363</v>
      </c>
      <c r="L66" s="615">
        <v>344957</v>
      </c>
      <c r="M66" s="616">
        <v>130.76062894226104</v>
      </c>
      <c r="N66" s="615">
        <v>989357</v>
      </c>
      <c r="O66" s="615">
        <v>918192</v>
      </c>
      <c r="P66" s="615">
        <v>71165</v>
      </c>
    </row>
    <row r="67" spans="1:85">
      <c r="A67" s="40" t="s">
        <v>1093</v>
      </c>
      <c r="B67" s="615">
        <v>2622784</v>
      </c>
      <c r="C67" s="616">
        <v>227.2802033298469</v>
      </c>
      <c r="D67" s="615">
        <v>2391477</v>
      </c>
      <c r="E67" s="616">
        <v>241.71080133738161</v>
      </c>
      <c r="F67" s="615">
        <v>231307</v>
      </c>
      <c r="G67" s="616">
        <v>140.59591901239369</v>
      </c>
      <c r="H67" s="615">
        <v>1008022</v>
      </c>
      <c r="I67" s="616">
        <v>98.310807515931259</v>
      </c>
      <c r="J67" s="615">
        <v>645728</v>
      </c>
      <c r="K67" s="616">
        <v>98.262935160231493</v>
      </c>
      <c r="L67" s="615">
        <v>362294</v>
      </c>
      <c r="M67" s="616">
        <v>98.396247681281039</v>
      </c>
      <c r="N67" s="615">
        <v>1614762</v>
      </c>
      <c r="O67" s="615">
        <v>1745749</v>
      </c>
      <c r="P67" s="615">
        <v>-130987</v>
      </c>
      <c r="Q67" s="295"/>
      <c r="CC67" s="381"/>
      <c r="CD67" s="381"/>
      <c r="CE67" s="381"/>
      <c r="CF67" s="381"/>
      <c r="CG67" s="381"/>
    </row>
    <row r="68" spans="1:85">
      <c r="A68" s="40"/>
      <c r="B68" s="615"/>
      <c r="C68" s="616"/>
      <c r="D68" s="615"/>
      <c r="E68" s="616"/>
      <c r="F68" s="615"/>
      <c r="G68" s="616"/>
      <c r="H68" s="615"/>
      <c r="I68" s="616"/>
      <c r="J68" s="615"/>
      <c r="K68" s="616"/>
      <c r="L68" s="615"/>
      <c r="M68" s="616"/>
      <c r="N68" s="615"/>
      <c r="O68" s="615"/>
      <c r="P68" s="615"/>
      <c r="Q68" s="295"/>
    </row>
    <row r="69" spans="1:85" s="381" customFormat="1">
      <c r="A69" s="40">
        <v>2006</v>
      </c>
      <c r="B69" s="613">
        <v>13014633</v>
      </c>
      <c r="C69" s="614">
        <v>170.14900845369607</v>
      </c>
      <c r="D69" s="613">
        <v>12067616</v>
      </c>
      <c r="E69" s="614">
        <v>179.12099378800858</v>
      </c>
      <c r="F69" s="613">
        <v>947017</v>
      </c>
      <c r="G69" s="614">
        <v>103.85882910320004</v>
      </c>
      <c r="H69" s="613">
        <v>5269338</v>
      </c>
      <c r="I69" s="614">
        <v>121.13818914047059</v>
      </c>
      <c r="J69" s="613">
        <v>3504432</v>
      </c>
      <c r="K69" s="614">
        <v>118.10322108394877</v>
      </c>
      <c r="L69" s="613">
        <v>1764906</v>
      </c>
      <c r="M69" s="614">
        <v>127.65169843663546</v>
      </c>
      <c r="N69" s="613">
        <v>7745295</v>
      </c>
      <c r="O69" s="613">
        <v>8563184</v>
      </c>
      <c r="P69" s="613">
        <v>-817889</v>
      </c>
      <c r="Q69" s="380"/>
    </row>
    <row r="70" spans="1:85">
      <c r="A70" s="40" t="s">
        <v>1091</v>
      </c>
      <c r="B70" s="615">
        <v>2463706</v>
      </c>
      <c r="C70" s="616">
        <v>219.12678584293386</v>
      </c>
      <c r="D70" s="615">
        <v>2308638</v>
      </c>
      <c r="E70" s="616">
        <v>224.26371875698203</v>
      </c>
      <c r="F70" s="615">
        <v>155068</v>
      </c>
      <c r="G70" s="616">
        <v>163.40319708321479</v>
      </c>
      <c r="H70" s="615">
        <v>958143</v>
      </c>
      <c r="I70" s="616">
        <v>85.769875634338277</v>
      </c>
      <c r="J70" s="615">
        <v>586856</v>
      </c>
      <c r="K70" s="616">
        <v>71.277739248934523</v>
      </c>
      <c r="L70" s="615">
        <v>371287</v>
      </c>
      <c r="M70" s="616">
        <v>126.3861089552442</v>
      </c>
      <c r="N70" s="615">
        <v>1505563</v>
      </c>
      <c r="O70" s="615">
        <v>1721782</v>
      </c>
      <c r="P70" s="615">
        <v>-216219</v>
      </c>
    </row>
    <row r="71" spans="1:85">
      <c r="A71" s="40" t="s">
        <v>1092</v>
      </c>
      <c r="B71" s="615">
        <v>2950207</v>
      </c>
      <c r="C71" s="616">
        <v>173.85083819688668</v>
      </c>
      <c r="D71" s="615">
        <v>2684422</v>
      </c>
      <c r="E71" s="616">
        <v>175.74268088535771</v>
      </c>
      <c r="F71" s="615">
        <v>265785</v>
      </c>
      <c r="G71" s="616">
        <v>156.8025344684165</v>
      </c>
      <c r="H71" s="615">
        <v>1263014</v>
      </c>
      <c r="I71" s="616">
        <v>125.14877973860743</v>
      </c>
      <c r="J71" s="615">
        <v>878175</v>
      </c>
      <c r="K71" s="616">
        <v>139.91743648408797</v>
      </c>
      <c r="L71" s="615">
        <v>384839</v>
      </c>
      <c r="M71" s="616">
        <v>100.85619489899678</v>
      </c>
      <c r="N71" s="615">
        <v>1687193</v>
      </c>
      <c r="O71" s="615">
        <v>1806247</v>
      </c>
      <c r="P71" s="615">
        <v>-119054</v>
      </c>
    </row>
    <row r="72" spans="1:85">
      <c r="A72" s="40" t="s">
        <v>1000</v>
      </c>
      <c r="B72" s="615">
        <v>3642944</v>
      </c>
      <c r="C72" s="616">
        <v>165.22239602915906</v>
      </c>
      <c r="D72" s="615">
        <v>3419035</v>
      </c>
      <c r="E72" s="616">
        <v>191.14091340829441</v>
      </c>
      <c r="F72" s="615">
        <v>223909</v>
      </c>
      <c r="G72" s="616">
        <v>53.808498469198938</v>
      </c>
      <c r="H72" s="615">
        <v>1457857</v>
      </c>
      <c r="I72" s="616">
        <v>119.93729412035712</v>
      </c>
      <c r="J72" s="615">
        <v>1022926</v>
      </c>
      <c r="K72" s="616">
        <v>117.50220260774972</v>
      </c>
      <c r="L72" s="615">
        <v>434931</v>
      </c>
      <c r="M72" s="616">
        <v>126.08267117350857</v>
      </c>
      <c r="N72" s="615">
        <v>2185087</v>
      </c>
      <c r="O72" s="615">
        <v>2396109</v>
      </c>
      <c r="P72" s="615">
        <v>-211022</v>
      </c>
    </row>
    <row r="73" spans="1:85" s="295" customFormat="1">
      <c r="A73" s="40" t="s">
        <v>1093</v>
      </c>
      <c r="B73" s="615">
        <v>3957776</v>
      </c>
      <c r="C73" s="616">
        <v>150.89980722773967</v>
      </c>
      <c r="D73" s="615">
        <v>3655521</v>
      </c>
      <c r="E73" s="616">
        <v>152.85620560013749</v>
      </c>
      <c r="F73" s="615">
        <v>302255</v>
      </c>
      <c r="G73" s="616">
        <v>130.67265582105168</v>
      </c>
      <c r="H73" s="615">
        <v>1590324</v>
      </c>
      <c r="I73" s="616">
        <v>157.76679477233634</v>
      </c>
      <c r="J73" s="615">
        <v>1016475</v>
      </c>
      <c r="K73" s="616">
        <v>157.41535135536944</v>
      </c>
      <c r="L73" s="615">
        <v>573849</v>
      </c>
      <c r="M73" s="616">
        <v>158.39318343665641</v>
      </c>
      <c r="N73" s="615">
        <v>2367452</v>
      </c>
      <c r="O73" s="615">
        <v>2639046</v>
      </c>
      <c r="P73" s="615">
        <v>-271594</v>
      </c>
    </row>
    <row r="74" spans="1:85" s="295" customFormat="1">
      <c r="A74" s="40"/>
      <c r="B74" s="615"/>
      <c r="C74" s="616"/>
      <c r="D74" s="615"/>
      <c r="E74" s="616"/>
      <c r="F74" s="615"/>
      <c r="G74" s="616"/>
      <c r="H74" s="615"/>
      <c r="I74" s="616"/>
      <c r="J74" s="615"/>
      <c r="K74" s="616"/>
      <c r="L74" s="615"/>
      <c r="M74" s="616"/>
      <c r="N74" s="615"/>
      <c r="O74" s="615"/>
      <c r="P74" s="615"/>
    </row>
    <row r="75" spans="1:85" s="381" customFormat="1">
      <c r="A75" s="40">
        <v>2007</v>
      </c>
      <c r="B75" s="613">
        <v>21269317</v>
      </c>
      <c r="C75" s="614">
        <v>163.42617575155595</v>
      </c>
      <c r="D75" s="613">
        <v>20087289</v>
      </c>
      <c r="E75" s="614">
        <v>166.45615007968433</v>
      </c>
      <c r="F75" s="613">
        <v>1182028</v>
      </c>
      <c r="G75" s="614">
        <v>124.8159219950645</v>
      </c>
      <c r="H75" s="613">
        <v>6045019</v>
      </c>
      <c r="I75" s="614">
        <v>114.72065371399596</v>
      </c>
      <c r="J75" s="613">
        <v>4287396</v>
      </c>
      <c r="K75" s="614">
        <v>122.34210850717035</v>
      </c>
      <c r="L75" s="613">
        <v>1757623</v>
      </c>
      <c r="M75" s="614">
        <v>99.587343461918081</v>
      </c>
      <c r="N75" s="613">
        <v>15224298</v>
      </c>
      <c r="O75" s="613">
        <v>15799893</v>
      </c>
      <c r="P75" s="613">
        <v>-575595</v>
      </c>
      <c r="Q75" s="380"/>
    </row>
    <row r="76" spans="1:85">
      <c r="A76" s="40" t="s">
        <v>1091</v>
      </c>
      <c r="B76" s="615">
        <v>4036285</v>
      </c>
      <c r="C76" s="616">
        <v>163.8298157328837</v>
      </c>
      <c r="D76" s="615">
        <v>3809410</v>
      </c>
      <c r="E76" s="616">
        <v>165.00681354114417</v>
      </c>
      <c r="F76" s="615">
        <v>226875</v>
      </c>
      <c r="G76" s="616">
        <v>146.30678154100136</v>
      </c>
      <c r="H76" s="615">
        <v>1186041</v>
      </c>
      <c r="I76" s="616">
        <v>123.78538485382661</v>
      </c>
      <c r="J76" s="615">
        <v>807478</v>
      </c>
      <c r="K76" s="616">
        <v>137.59389015363223</v>
      </c>
      <c r="L76" s="615">
        <v>378563</v>
      </c>
      <c r="M76" s="616">
        <v>101.95967001268559</v>
      </c>
      <c r="N76" s="615">
        <v>2850244</v>
      </c>
      <c r="O76" s="615">
        <v>3001932</v>
      </c>
      <c r="P76" s="615">
        <v>-151688</v>
      </c>
    </row>
    <row r="77" spans="1:85">
      <c r="A77" s="40" t="s">
        <v>1092</v>
      </c>
      <c r="B77" s="615">
        <v>5215560</v>
      </c>
      <c r="C77" s="616">
        <v>176.78623906729257</v>
      </c>
      <c r="D77" s="615">
        <v>4913104</v>
      </c>
      <c r="E77" s="616">
        <v>183.02278851834771</v>
      </c>
      <c r="F77" s="615">
        <v>302456</v>
      </c>
      <c r="G77" s="616">
        <v>113.79724213179824</v>
      </c>
      <c r="H77" s="615">
        <v>1417480</v>
      </c>
      <c r="I77" s="616">
        <v>112.22995152864496</v>
      </c>
      <c r="J77" s="615">
        <v>955113</v>
      </c>
      <c r="K77" s="616">
        <v>108.76112392176958</v>
      </c>
      <c r="L77" s="615">
        <v>462367</v>
      </c>
      <c r="M77" s="616">
        <v>120.14556736713276</v>
      </c>
      <c r="N77" s="615">
        <v>3798080</v>
      </c>
      <c r="O77" s="615">
        <v>3957991</v>
      </c>
      <c r="P77" s="615">
        <v>-159911</v>
      </c>
    </row>
    <row r="78" spans="1:85">
      <c r="A78" s="40" t="s">
        <v>1000</v>
      </c>
      <c r="B78" s="615">
        <v>5062744</v>
      </c>
      <c r="C78" s="616">
        <v>138.97397269900389</v>
      </c>
      <c r="D78" s="615">
        <v>4712334</v>
      </c>
      <c r="E78" s="616">
        <v>137.82643348196203</v>
      </c>
      <c r="F78" s="615">
        <v>350410</v>
      </c>
      <c r="G78" s="616">
        <v>156.49661246309884</v>
      </c>
      <c r="H78" s="615">
        <v>1555665</v>
      </c>
      <c r="I78" s="616">
        <v>106.70902564517644</v>
      </c>
      <c r="J78" s="615">
        <v>1181596</v>
      </c>
      <c r="K78" s="616">
        <v>115.51138596535819</v>
      </c>
      <c r="L78" s="615">
        <v>374069</v>
      </c>
      <c r="M78" s="616">
        <v>86.006515976097347</v>
      </c>
      <c r="N78" s="615">
        <v>3507079</v>
      </c>
      <c r="O78" s="615">
        <v>3530738</v>
      </c>
      <c r="P78" s="615">
        <v>-23659</v>
      </c>
    </row>
    <row r="79" spans="1:85" s="295" customFormat="1">
      <c r="A79" s="40" t="s">
        <v>1093</v>
      </c>
      <c r="B79" s="615">
        <v>6954728</v>
      </c>
      <c r="C79" s="616">
        <v>175.72313339612955</v>
      </c>
      <c r="D79" s="615">
        <v>6652441</v>
      </c>
      <c r="E79" s="616">
        <v>181.98338896151876</v>
      </c>
      <c r="F79" s="615">
        <v>302287</v>
      </c>
      <c r="G79" s="616">
        <v>100.01058708706225</v>
      </c>
      <c r="H79" s="615">
        <v>1885833</v>
      </c>
      <c r="I79" s="616">
        <v>118.58168524149796</v>
      </c>
      <c r="J79" s="615">
        <v>1343209</v>
      </c>
      <c r="K79" s="616">
        <v>132.14383039425465</v>
      </c>
      <c r="L79" s="615">
        <v>542624</v>
      </c>
      <c r="M79" s="616">
        <v>94.558673100414907</v>
      </c>
      <c r="N79" s="615">
        <v>5068895</v>
      </c>
      <c r="O79" s="615">
        <v>5309232</v>
      </c>
      <c r="P79" s="615">
        <v>-240337</v>
      </c>
    </row>
    <row r="80" spans="1:85" s="295" customFormat="1">
      <c r="A80" s="40"/>
      <c r="B80" s="615"/>
      <c r="C80" s="616"/>
      <c r="D80" s="615"/>
      <c r="E80" s="616"/>
      <c r="F80" s="615"/>
      <c r="G80" s="616"/>
      <c r="H80" s="615"/>
      <c r="I80" s="616"/>
      <c r="J80" s="615"/>
      <c r="K80" s="616"/>
      <c r="L80" s="615"/>
      <c r="M80" s="616"/>
      <c r="N80" s="615"/>
      <c r="O80" s="615"/>
      <c r="P80" s="615"/>
    </row>
    <row r="81" spans="1:38" s="380" customFormat="1">
      <c r="A81" s="40">
        <v>2008</v>
      </c>
      <c r="B81" s="613">
        <v>30586343</v>
      </c>
      <c r="C81" s="614">
        <v>143.80500793702026</v>
      </c>
      <c r="D81" s="613">
        <v>28904059</v>
      </c>
      <c r="E81" s="614">
        <v>143.89228431970088</v>
      </c>
      <c r="F81" s="613">
        <v>1682284</v>
      </c>
      <c r="G81" s="614">
        <v>142.32184009177448</v>
      </c>
      <c r="H81" s="613">
        <v>7574679</v>
      </c>
      <c r="I81" s="614">
        <v>125.30446967991334</v>
      </c>
      <c r="J81" s="613">
        <v>5438709</v>
      </c>
      <c r="K81" s="614">
        <v>126.85343271300343</v>
      </c>
      <c r="L81" s="613">
        <v>2135970</v>
      </c>
      <c r="M81" s="614">
        <v>121.52606104949697</v>
      </c>
      <c r="N81" s="613">
        <v>23011664</v>
      </c>
      <c r="O81" s="613">
        <v>23465350</v>
      </c>
      <c r="P81" s="613">
        <v>-453686</v>
      </c>
    </row>
    <row r="82" spans="1:38" s="295" customFormat="1">
      <c r="A82" s="40" t="s">
        <v>1091</v>
      </c>
      <c r="B82" s="615">
        <v>7237027</v>
      </c>
      <c r="C82" s="616">
        <v>179.29920706788545</v>
      </c>
      <c r="D82" s="615">
        <v>6927480</v>
      </c>
      <c r="E82" s="616">
        <v>181.85178282201178</v>
      </c>
      <c r="F82" s="615">
        <v>309547</v>
      </c>
      <c r="G82" s="616">
        <v>136.43944903581266</v>
      </c>
      <c r="H82" s="615">
        <v>1420943</v>
      </c>
      <c r="I82" s="616">
        <v>119.80555478267614</v>
      </c>
      <c r="J82" s="615">
        <v>1021862</v>
      </c>
      <c r="K82" s="616">
        <v>126.54982550608189</v>
      </c>
      <c r="L82" s="615">
        <v>399081</v>
      </c>
      <c r="M82" s="616">
        <v>105.4199697276279</v>
      </c>
      <c r="N82" s="615">
        <v>5816084</v>
      </c>
      <c r="O82" s="615">
        <v>5905618</v>
      </c>
      <c r="P82" s="615">
        <v>-89534</v>
      </c>
    </row>
    <row r="83" spans="1:38" s="295" customFormat="1">
      <c r="A83" s="40" t="s">
        <v>1092</v>
      </c>
      <c r="B83" s="615">
        <v>9996038</v>
      </c>
      <c r="C83" s="616">
        <v>191.65800029143563</v>
      </c>
      <c r="D83" s="615">
        <v>9526529</v>
      </c>
      <c r="E83" s="616">
        <v>193.90041407631509</v>
      </c>
      <c r="F83" s="615">
        <v>469509</v>
      </c>
      <c r="G83" s="616">
        <v>155.23216600100511</v>
      </c>
      <c r="H83" s="615">
        <v>1794274</v>
      </c>
      <c r="I83" s="616">
        <v>126.5819623557299</v>
      </c>
      <c r="J83" s="615">
        <v>1323894</v>
      </c>
      <c r="K83" s="616">
        <v>138.6112428581749</v>
      </c>
      <c r="L83" s="615">
        <v>470380</v>
      </c>
      <c r="M83" s="616">
        <v>101.73303890632333</v>
      </c>
      <c r="N83" s="615">
        <v>8201764</v>
      </c>
      <c r="O83" s="615">
        <v>8202635</v>
      </c>
      <c r="P83" s="615">
        <v>-871</v>
      </c>
    </row>
    <row r="84" spans="1:38" s="295" customFormat="1">
      <c r="A84" s="40" t="s">
        <v>1000</v>
      </c>
      <c r="B84" s="615">
        <v>9010345</v>
      </c>
      <c r="C84" s="616">
        <v>177.97354557133445</v>
      </c>
      <c r="D84" s="615">
        <v>8545689</v>
      </c>
      <c r="E84" s="616">
        <v>181.34726867832373</v>
      </c>
      <c r="F84" s="615">
        <v>464656</v>
      </c>
      <c r="G84" s="616">
        <v>132.60352158899576</v>
      </c>
      <c r="H84" s="615">
        <v>2280618</v>
      </c>
      <c r="I84" s="616">
        <v>146.60084272642246</v>
      </c>
      <c r="J84" s="615">
        <v>1584822</v>
      </c>
      <c r="K84" s="616">
        <v>134.12553867819457</v>
      </c>
      <c r="L84" s="615">
        <v>695796</v>
      </c>
      <c r="M84" s="616">
        <v>186.00739435772545</v>
      </c>
      <c r="N84" s="615">
        <v>6729727</v>
      </c>
      <c r="O84" s="615">
        <v>6960867</v>
      </c>
      <c r="P84" s="615">
        <v>-231140</v>
      </c>
    </row>
    <row r="85" spans="1:38" s="295" customFormat="1">
      <c r="A85" s="40" t="s">
        <v>1093</v>
      </c>
      <c r="B85" s="615">
        <v>4342933</v>
      </c>
      <c r="C85" s="616">
        <v>62.44576351512238</v>
      </c>
      <c r="D85" s="615">
        <v>3904361</v>
      </c>
      <c r="E85" s="616">
        <v>58.690652047872348</v>
      </c>
      <c r="F85" s="615">
        <v>438572</v>
      </c>
      <c r="G85" s="616">
        <v>145.0846381088171</v>
      </c>
      <c r="H85" s="615">
        <v>2078844</v>
      </c>
      <c r="I85" s="616">
        <v>110.23478749178746</v>
      </c>
      <c r="J85" s="615">
        <v>1508131</v>
      </c>
      <c r="K85" s="616">
        <v>112.27820838008084</v>
      </c>
      <c r="L85" s="615">
        <v>570713</v>
      </c>
      <c r="M85" s="616">
        <v>105.1765126496432</v>
      </c>
      <c r="N85" s="615">
        <v>2264089</v>
      </c>
      <c r="O85" s="615">
        <v>2396230</v>
      </c>
      <c r="P85" s="615">
        <v>-132141</v>
      </c>
    </row>
    <row r="86" spans="1:38" s="295" customFormat="1">
      <c r="A86" s="40"/>
      <c r="B86" s="615"/>
      <c r="C86" s="616"/>
      <c r="D86" s="615"/>
      <c r="E86" s="616"/>
      <c r="F86" s="615"/>
      <c r="G86" s="616"/>
      <c r="H86" s="615"/>
      <c r="I86" s="616"/>
      <c r="J86" s="615"/>
      <c r="K86" s="616"/>
      <c r="L86" s="615"/>
      <c r="M86" s="616"/>
      <c r="N86" s="615"/>
      <c r="O86" s="615"/>
      <c r="P86" s="615"/>
    </row>
    <row r="87" spans="1:38" s="380" customFormat="1">
      <c r="A87" s="40">
        <v>2009</v>
      </c>
      <c r="B87" s="613">
        <v>21096820</v>
      </c>
      <c r="C87" s="614">
        <v>68.974640086917233</v>
      </c>
      <c r="D87" s="613">
        <v>20001681</v>
      </c>
      <c r="E87" s="614">
        <v>69.200249695034174</v>
      </c>
      <c r="F87" s="613">
        <v>1095139</v>
      </c>
      <c r="G87" s="614">
        <v>65.098342491517485</v>
      </c>
      <c r="H87" s="613">
        <v>6513875</v>
      </c>
      <c r="I87" s="614">
        <v>85.995393336140054</v>
      </c>
      <c r="J87" s="613">
        <v>4735929</v>
      </c>
      <c r="K87" s="614">
        <v>87.078183443901864</v>
      </c>
      <c r="L87" s="613">
        <v>1777946</v>
      </c>
      <c r="M87" s="614">
        <v>83.238341362472326</v>
      </c>
      <c r="N87" s="613">
        <v>14582945</v>
      </c>
      <c r="O87" s="613">
        <v>15265752</v>
      </c>
      <c r="P87" s="613">
        <v>-682807</v>
      </c>
    </row>
    <row r="88" spans="1:38" s="295" customFormat="1">
      <c r="A88" s="40" t="s">
        <v>1091</v>
      </c>
      <c r="B88" s="615">
        <v>3587634</v>
      </c>
      <c r="C88" s="616">
        <v>49.573312356026861</v>
      </c>
      <c r="D88" s="615">
        <v>3310785</v>
      </c>
      <c r="E88" s="616">
        <v>47.792054253494776</v>
      </c>
      <c r="F88" s="615">
        <v>276849</v>
      </c>
      <c r="G88" s="616">
        <v>89.436822195014003</v>
      </c>
      <c r="H88" s="615">
        <v>1476982</v>
      </c>
      <c r="I88" s="616">
        <v>103.94378944123726</v>
      </c>
      <c r="J88" s="615">
        <v>1079532</v>
      </c>
      <c r="K88" s="616">
        <v>105.64361919711271</v>
      </c>
      <c r="L88" s="615">
        <v>397450</v>
      </c>
      <c r="M88" s="616">
        <v>99.591311037107758</v>
      </c>
      <c r="N88" s="615">
        <v>2110652</v>
      </c>
      <c r="O88" s="615">
        <v>2231253</v>
      </c>
      <c r="P88" s="615">
        <v>-120601</v>
      </c>
    </row>
    <row r="89" spans="1:38" s="295" customFormat="1">
      <c r="A89" s="40" t="s">
        <v>1092</v>
      </c>
      <c r="B89" s="615">
        <v>5255911</v>
      </c>
      <c r="C89" s="616">
        <v>52.57994217308898</v>
      </c>
      <c r="D89" s="615">
        <v>4952493</v>
      </c>
      <c r="E89" s="616">
        <v>51.986332062811123</v>
      </c>
      <c r="F89" s="615">
        <v>303418</v>
      </c>
      <c r="G89" s="616">
        <v>64.624533289031731</v>
      </c>
      <c r="H89" s="615">
        <v>1451664</v>
      </c>
      <c r="I89" s="616">
        <v>80.905368968173192</v>
      </c>
      <c r="J89" s="615">
        <v>1062036</v>
      </c>
      <c r="K89" s="616">
        <v>80.220621892689294</v>
      </c>
      <c r="L89" s="615">
        <v>389628</v>
      </c>
      <c r="M89" s="616">
        <v>82.832603427016466</v>
      </c>
      <c r="N89" s="615">
        <v>3804247</v>
      </c>
      <c r="O89" s="615">
        <v>3890457</v>
      </c>
      <c r="P89" s="615">
        <v>-86210</v>
      </c>
    </row>
    <row r="90" spans="1:38" s="295" customFormat="1">
      <c r="A90" s="40" t="s">
        <v>1000</v>
      </c>
      <c r="B90" s="615">
        <v>5946514</v>
      </c>
      <c r="C90" s="616">
        <v>65.996518446297003</v>
      </c>
      <c r="D90" s="615">
        <v>5896082</v>
      </c>
      <c r="E90" s="616">
        <v>68.994811301932472</v>
      </c>
      <c r="F90" s="615">
        <v>50432</v>
      </c>
      <c r="G90" s="616">
        <v>10.85362074308736</v>
      </c>
      <c r="H90" s="615">
        <v>1792929</v>
      </c>
      <c r="I90" s="616">
        <v>78.615927787994309</v>
      </c>
      <c r="J90" s="615">
        <v>1344491</v>
      </c>
      <c r="K90" s="616">
        <v>84.835457862144764</v>
      </c>
      <c r="L90" s="615">
        <v>448438</v>
      </c>
      <c r="M90" s="616">
        <v>64.449637537439131</v>
      </c>
      <c r="N90" s="615">
        <v>4153585</v>
      </c>
      <c r="O90" s="615">
        <v>4551591</v>
      </c>
      <c r="P90" s="615">
        <v>-398006</v>
      </c>
    </row>
    <row r="91" spans="1:38" s="295" customFormat="1">
      <c r="A91" s="40" t="s">
        <v>1093</v>
      </c>
      <c r="B91" s="615">
        <v>6306761</v>
      </c>
      <c r="C91" s="616">
        <v>145.21893384033325</v>
      </c>
      <c r="D91" s="615">
        <v>5842321</v>
      </c>
      <c r="E91" s="616">
        <v>149.63577906858509</v>
      </c>
      <c r="F91" s="615">
        <v>464440</v>
      </c>
      <c r="G91" s="616">
        <v>105.89823335735066</v>
      </c>
      <c r="H91" s="615">
        <v>1792300</v>
      </c>
      <c r="I91" s="616">
        <v>86.216185533883248</v>
      </c>
      <c r="J91" s="615">
        <v>1249870</v>
      </c>
      <c r="K91" s="616">
        <v>82.875426604187567</v>
      </c>
      <c r="L91" s="615">
        <v>542430</v>
      </c>
      <c r="M91" s="616">
        <v>95.044269186088286</v>
      </c>
      <c r="N91" s="615">
        <v>4514461</v>
      </c>
      <c r="O91" s="615">
        <v>4592451</v>
      </c>
      <c r="P91" s="615">
        <v>-77990</v>
      </c>
    </row>
    <row r="92" spans="1:38" s="295" customFormat="1">
      <c r="A92" s="40"/>
      <c r="B92" s="615"/>
      <c r="C92" s="616"/>
      <c r="D92" s="615"/>
      <c r="E92" s="616"/>
      <c r="F92" s="615"/>
      <c r="G92" s="616"/>
      <c r="H92" s="615"/>
      <c r="I92" s="616"/>
      <c r="J92" s="615"/>
      <c r="K92" s="616"/>
      <c r="L92" s="615"/>
      <c r="M92" s="616"/>
      <c r="N92" s="615"/>
      <c r="O92" s="615"/>
      <c r="P92" s="615"/>
    </row>
    <row r="93" spans="1:38" s="380" customFormat="1">
      <c r="A93" s="40">
        <v>2010</v>
      </c>
      <c r="B93" s="613">
        <v>26476026</v>
      </c>
      <c r="C93" s="614">
        <v>125.49771008142459</v>
      </c>
      <c r="D93" s="613">
        <v>24311243</v>
      </c>
      <c r="E93" s="614">
        <v>121.54599905877912</v>
      </c>
      <c r="F93" s="613">
        <v>2164783</v>
      </c>
      <c r="G93" s="614">
        <v>197.67198501742703</v>
      </c>
      <c r="H93" s="613">
        <v>6745603</v>
      </c>
      <c r="I93" s="614">
        <v>103.55745236130566</v>
      </c>
      <c r="J93" s="613">
        <v>4794083</v>
      </c>
      <c r="K93" s="614">
        <v>101.22793225996421</v>
      </c>
      <c r="L93" s="613">
        <v>1951520</v>
      </c>
      <c r="M93" s="614">
        <v>109.76261371267744</v>
      </c>
      <c r="N93" s="613">
        <v>19730423</v>
      </c>
      <c r="O93" s="613">
        <v>19517160</v>
      </c>
      <c r="P93" s="613">
        <v>213263</v>
      </c>
    </row>
    <row r="94" spans="1:38" s="295" customFormat="1">
      <c r="A94" s="40" t="s">
        <v>1091</v>
      </c>
      <c r="B94" s="615">
        <v>6258425</v>
      </c>
      <c r="C94" s="616">
        <v>174.4443552491698</v>
      </c>
      <c r="D94" s="615">
        <v>5760856</v>
      </c>
      <c r="E94" s="616">
        <v>174.00272140897098</v>
      </c>
      <c r="F94" s="615">
        <v>497569</v>
      </c>
      <c r="G94" s="616">
        <v>179.72577108821056</v>
      </c>
      <c r="H94" s="615">
        <v>1217837</v>
      </c>
      <c r="I94" s="616">
        <v>82.454423953711014</v>
      </c>
      <c r="J94" s="615">
        <v>855983</v>
      </c>
      <c r="K94" s="616">
        <v>79.292045071382788</v>
      </c>
      <c r="L94" s="615">
        <v>361854</v>
      </c>
      <c r="M94" s="616">
        <v>91.043904893697331</v>
      </c>
      <c r="N94" s="615">
        <v>5040588</v>
      </c>
      <c r="O94" s="615">
        <v>4904873</v>
      </c>
      <c r="P94" s="615">
        <v>135715</v>
      </c>
    </row>
    <row r="95" spans="1:38" s="295" customFormat="1">
      <c r="A95" s="40" t="s">
        <v>1092</v>
      </c>
      <c r="B95" s="615">
        <v>6933621</v>
      </c>
      <c r="C95" s="616">
        <v>131.92044157520934</v>
      </c>
      <c r="D95" s="615">
        <v>6305395</v>
      </c>
      <c r="E95" s="616">
        <v>127.31759540094252</v>
      </c>
      <c r="F95" s="615">
        <v>628226</v>
      </c>
      <c r="G95" s="616">
        <v>207.04968063859098</v>
      </c>
      <c r="H95" s="615">
        <v>1737831</v>
      </c>
      <c r="I95" s="616">
        <v>119.71303276791323</v>
      </c>
      <c r="J95" s="615">
        <v>1245142</v>
      </c>
      <c r="K95" s="616">
        <v>117.2410351438181</v>
      </c>
      <c r="L95" s="615">
        <v>492689</v>
      </c>
      <c r="M95" s="616">
        <v>126.45112774235938</v>
      </c>
      <c r="N95" s="615">
        <v>5195790</v>
      </c>
      <c r="O95" s="615">
        <v>5060253</v>
      </c>
      <c r="P95" s="615">
        <v>135537</v>
      </c>
    </row>
    <row r="96" spans="1:38" s="295" customFormat="1">
      <c r="A96" s="40" t="s">
        <v>1000</v>
      </c>
      <c r="B96" s="615">
        <v>6888150</v>
      </c>
      <c r="C96" s="616">
        <v>115.83509262737799</v>
      </c>
      <c r="D96" s="615">
        <v>6400978</v>
      </c>
      <c r="E96" s="616">
        <v>108.56324589786912</v>
      </c>
      <c r="F96" s="615">
        <v>487172</v>
      </c>
      <c r="G96" s="616">
        <v>965.99777918781729</v>
      </c>
      <c r="H96" s="615">
        <v>1706833</v>
      </c>
      <c r="I96" s="616">
        <v>95.198025130944956</v>
      </c>
      <c r="J96" s="615">
        <v>1212269</v>
      </c>
      <c r="K96" s="616">
        <v>90.165646330098156</v>
      </c>
      <c r="L96" s="615">
        <v>494564</v>
      </c>
      <c r="M96" s="616">
        <v>110.28592581360188</v>
      </c>
      <c r="N96" s="615">
        <v>5181317</v>
      </c>
      <c r="O96" s="615">
        <v>5188709</v>
      </c>
      <c r="P96" s="615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15">
        <v>6395830</v>
      </c>
      <c r="C97" s="616">
        <v>101.41227802987936</v>
      </c>
      <c r="D97" s="615">
        <v>5844014</v>
      </c>
      <c r="E97" s="616">
        <v>100.02897820917407</v>
      </c>
      <c r="F97" s="615">
        <v>551816</v>
      </c>
      <c r="G97" s="616">
        <v>118.81319438463527</v>
      </c>
      <c r="H97" s="615">
        <v>2083102</v>
      </c>
      <c r="I97" s="616">
        <v>116.22507392735591</v>
      </c>
      <c r="J97" s="615">
        <v>1480689</v>
      </c>
      <c r="K97" s="616">
        <v>118.46744061382384</v>
      </c>
      <c r="L97" s="615">
        <v>602413</v>
      </c>
      <c r="M97" s="616">
        <v>111.05820105820105</v>
      </c>
      <c r="N97" s="615">
        <v>4312728</v>
      </c>
      <c r="O97" s="615">
        <v>4363325</v>
      </c>
      <c r="P97" s="615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15"/>
      <c r="C98" s="616"/>
      <c r="D98" s="615"/>
      <c r="E98" s="616"/>
      <c r="F98" s="615"/>
      <c r="G98" s="616"/>
      <c r="H98" s="615"/>
      <c r="I98" s="616"/>
      <c r="J98" s="615"/>
      <c r="K98" s="616"/>
      <c r="L98" s="615"/>
      <c r="M98" s="616"/>
      <c r="N98" s="615"/>
      <c r="O98" s="615"/>
      <c r="P98" s="61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81" customFormat="1">
      <c r="A99" s="40">
        <v>2011</v>
      </c>
      <c r="B99" s="613">
        <v>34494880</v>
      </c>
      <c r="C99" s="614">
        <v>130.28722664043312</v>
      </c>
      <c r="D99" s="613">
        <v>31419546</v>
      </c>
      <c r="E99" s="614">
        <v>129.23874768558727</v>
      </c>
      <c r="F99" s="613">
        <v>3075334</v>
      </c>
      <c r="G99" s="614">
        <v>142.06199882390061</v>
      </c>
      <c r="H99" s="613">
        <v>10166471</v>
      </c>
      <c r="I99" s="614">
        <v>150.71256046346042</v>
      </c>
      <c r="J99" s="613">
        <v>7665979</v>
      </c>
      <c r="K99" s="614">
        <v>159.90501207425905</v>
      </c>
      <c r="L99" s="613">
        <v>2500492</v>
      </c>
      <c r="M99" s="614">
        <v>128.13048290563253</v>
      </c>
      <c r="N99" s="613">
        <v>24328409</v>
      </c>
      <c r="O99" s="613">
        <v>23753567</v>
      </c>
      <c r="P99" s="613">
        <v>574842</v>
      </c>
    </row>
    <row r="100" spans="1:256">
      <c r="A100" s="40" t="s">
        <v>1091</v>
      </c>
      <c r="B100" s="615">
        <v>8546135</v>
      </c>
      <c r="C100" s="616">
        <v>136.55408509329422</v>
      </c>
      <c r="D100" s="615">
        <v>7627342</v>
      </c>
      <c r="E100" s="616">
        <v>132.39945591419053</v>
      </c>
      <c r="F100" s="615">
        <v>918793</v>
      </c>
      <c r="G100" s="616">
        <v>184.65639941395062</v>
      </c>
      <c r="H100" s="615">
        <v>1991926</v>
      </c>
      <c r="I100" s="616">
        <v>163.5626114167988</v>
      </c>
      <c r="J100" s="615">
        <v>1377351</v>
      </c>
      <c r="K100" s="616">
        <v>160.90868627063855</v>
      </c>
      <c r="L100" s="615">
        <v>614575</v>
      </c>
      <c r="M100" s="616">
        <v>169.8405986945011</v>
      </c>
      <c r="N100" s="615">
        <v>6554209</v>
      </c>
      <c r="O100" s="615">
        <v>6249991</v>
      </c>
      <c r="P100" s="615">
        <v>304218</v>
      </c>
    </row>
    <row r="101" spans="1:256">
      <c r="A101" s="40" t="s">
        <v>1092</v>
      </c>
      <c r="B101" s="615">
        <v>9705438</v>
      </c>
      <c r="C101" s="616">
        <v>139.97647116852795</v>
      </c>
      <c r="D101" s="615">
        <v>8839266</v>
      </c>
      <c r="E101" s="616">
        <v>140.18576155815774</v>
      </c>
      <c r="F101" s="615">
        <v>866172</v>
      </c>
      <c r="G101" s="616">
        <v>137.87585996122417</v>
      </c>
      <c r="H101" s="615">
        <v>2581827</v>
      </c>
      <c r="I101" s="616">
        <v>148.56605734389592</v>
      </c>
      <c r="J101" s="615">
        <v>1963507</v>
      </c>
      <c r="K101" s="616">
        <v>157.69341970634673</v>
      </c>
      <c r="L101" s="615">
        <v>618320</v>
      </c>
      <c r="M101" s="616">
        <v>125.49904706620201</v>
      </c>
      <c r="N101" s="615">
        <v>7123611</v>
      </c>
      <c r="O101" s="615">
        <v>6875759</v>
      </c>
      <c r="P101" s="615">
        <v>247852</v>
      </c>
    </row>
    <row r="102" spans="1:256">
      <c r="A102" s="40" t="s">
        <v>1303</v>
      </c>
      <c r="B102" s="615">
        <v>8580340</v>
      </c>
      <c r="C102" s="616">
        <v>124.56668336200576</v>
      </c>
      <c r="D102" s="615">
        <v>7788066</v>
      </c>
      <c r="E102" s="616">
        <v>121.66993856251342</v>
      </c>
      <c r="F102" s="615">
        <v>792274</v>
      </c>
      <c r="G102" s="616">
        <v>162.62716248060235</v>
      </c>
      <c r="H102" s="615">
        <v>2653956</v>
      </c>
      <c r="I102" s="616">
        <v>155.49008016601508</v>
      </c>
      <c r="J102" s="615">
        <v>2038878</v>
      </c>
      <c r="K102" s="616">
        <v>168.18692880870501</v>
      </c>
      <c r="L102" s="615">
        <v>615078</v>
      </c>
      <c r="M102" s="616">
        <v>124.3677259161605</v>
      </c>
      <c r="N102" s="615">
        <v>5926384</v>
      </c>
      <c r="O102" s="615">
        <v>5749188</v>
      </c>
      <c r="P102" s="615">
        <v>177196</v>
      </c>
    </row>
    <row r="103" spans="1:256">
      <c r="A103" s="40" t="s">
        <v>1093</v>
      </c>
      <c r="B103" s="615">
        <v>7662967</v>
      </c>
      <c r="C103" s="616">
        <v>119.81192433194754</v>
      </c>
      <c r="D103" s="615">
        <v>7164872</v>
      </c>
      <c r="E103" s="616">
        <v>122.60189657314304</v>
      </c>
      <c r="F103" s="615">
        <v>498095</v>
      </c>
      <c r="G103" s="616">
        <v>90.264689679168413</v>
      </c>
      <c r="H103" s="615">
        <v>2938762</v>
      </c>
      <c r="I103" s="616">
        <v>141.07624110581239</v>
      </c>
      <c r="J103" s="615">
        <v>2286243</v>
      </c>
      <c r="K103" s="616">
        <v>154.40399705812632</v>
      </c>
      <c r="L103" s="615">
        <v>652519</v>
      </c>
      <c r="M103" s="616">
        <v>108.31754958807329</v>
      </c>
      <c r="N103" s="615">
        <v>4724205</v>
      </c>
      <c r="O103" s="615">
        <v>4878629</v>
      </c>
      <c r="P103" s="615">
        <v>-154424</v>
      </c>
    </row>
    <row r="104" spans="1:256">
      <c r="A104" s="40"/>
      <c r="B104" s="615"/>
      <c r="C104" s="616"/>
      <c r="D104" s="615"/>
      <c r="E104" s="616"/>
      <c r="F104" s="615"/>
      <c r="G104" s="616"/>
      <c r="H104" s="615"/>
      <c r="I104" s="616"/>
      <c r="J104" s="615"/>
      <c r="K104" s="616"/>
      <c r="L104" s="615"/>
      <c r="M104" s="616"/>
      <c r="N104" s="615"/>
      <c r="O104" s="615"/>
      <c r="P104" s="61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81" customFormat="1">
      <c r="A105" s="40">
        <v>2012</v>
      </c>
      <c r="B105" s="613">
        <v>32634038</v>
      </c>
      <c r="C105" s="614">
        <v>94.605454490637456</v>
      </c>
      <c r="D105" s="613">
        <v>31019406</v>
      </c>
      <c r="E105" s="614">
        <v>98.726461547216502</v>
      </c>
      <c r="F105" s="613">
        <v>1614632</v>
      </c>
      <c r="G105" s="614">
        <v>52.502654996172772</v>
      </c>
      <c r="H105" s="613">
        <v>10417471</v>
      </c>
      <c r="I105" s="614">
        <v>102.46889997522248</v>
      </c>
      <c r="J105" s="613">
        <v>7838856</v>
      </c>
      <c r="K105" s="614">
        <v>102.2551196657335</v>
      </c>
      <c r="L105" s="613">
        <v>2578615</v>
      </c>
      <c r="M105" s="614">
        <v>103.12430513674909</v>
      </c>
      <c r="N105" s="613">
        <v>22216567</v>
      </c>
      <c r="O105" s="613">
        <v>23180550</v>
      </c>
      <c r="P105" s="613">
        <v>-963983</v>
      </c>
    </row>
    <row r="106" spans="1:256">
      <c r="A106" s="40" t="s">
        <v>1091</v>
      </c>
      <c r="B106" s="615">
        <v>8969981</v>
      </c>
      <c r="C106" s="616">
        <v>104.95950508621735</v>
      </c>
      <c r="D106" s="615">
        <v>8678318</v>
      </c>
      <c r="E106" s="616">
        <v>113.77905959900578</v>
      </c>
      <c r="F106" s="615">
        <v>291663</v>
      </c>
      <c r="G106" s="616">
        <v>31.744146940605773</v>
      </c>
      <c r="H106" s="615">
        <v>2153519</v>
      </c>
      <c r="I106" s="616">
        <v>108.11239975782232</v>
      </c>
      <c r="J106" s="615">
        <v>1635052</v>
      </c>
      <c r="K106" s="616">
        <v>118.70990038123905</v>
      </c>
      <c r="L106" s="615">
        <v>518467</v>
      </c>
      <c r="M106" s="616">
        <v>84.361876093235168</v>
      </c>
      <c r="N106" s="615">
        <v>6816462</v>
      </c>
      <c r="O106" s="615">
        <v>7043266</v>
      </c>
      <c r="P106" s="615">
        <v>-226804</v>
      </c>
    </row>
    <row r="107" spans="1:256">
      <c r="A107" s="40" t="s">
        <v>1092</v>
      </c>
      <c r="B107" s="615">
        <v>8255228</v>
      </c>
      <c r="C107" s="616">
        <v>85.057758341251571</v>
      </c>
      <c r="D107" s="615">
        <v>7718399</v>
      </c>
      <c r="E107" s="616">
        <v>87.319456162989098</v>
      </c>
      <c r="F107" s="615">
        <v>536829</v>
      </c>
      <c r="G107" s="616">
        <v>61.977182361009127</v>
      </c>
      <c r="H107" s="615">
        <v>2668174</v>
      </c>
      <c r="I107" s="616">
        <v>103.34441463351341</v>
      </c>
      <c r="J107" s="615">
        <v>1929511</v>
      </c>
      <c r="K107" s="616">
        <v>98.268608158768984</v>
      </c>
      <c r="L107" s="615">
        <v>738663</v>
      </c>
      <c r="M107" s="616">
        <v>119.46289946953034</v>
      </c>
      <c r="N107" s="615">
        <v>5587054</v>
      </c>
      <c r="O107" s="615">
        <v>5788888</v>
      </c>
      <c r="P107" s="615">
        <v>-201834</v>
      </c>
    </row>
    <row r="108" spans="1:256">
      <c r="A108" s="40" t="s">
        <v>1000</v>
      </c>
      <c r="B108" s="615">
        <v>7577848</v>
      </c>
      <c r="C108" s="616">
        <v>88.316407042145187</v>
      </c>
      <c r="D108" s="615">
        <v>7282901</v>
      </c>
      <c r="E108" s="616">
        <v>93.513601451246046</v>
      </c>
      <c r="F108" s="615">
        <v>294947</v>
      </c>
      <c r="G108" s="616">
        <v>37.227903477837216</v>
      </c>
      <c r="H108" s="615">
        <v>2475288</v>
      </c>
      <c r="I108" s="616">
        <v>93.267861260699121</v>
      </c>
      <c r="J108" s="615">
        <v>1936149</v>
      </c>
      <c r="K108" s="616">
        <v>94.961493527322389</v>
      </c>
      <c r="L108" s="615">
        <v>539139</v>
      </c>
      <c r="M108" s="616">
        <v>87.653760986411484</v>
      </c>
      <c r="N108" s="615">
        <v>5102560</v>
      </c>
      <c r="O108" s="615">
        <v>5346752</v>
      </c>
      <c r="P108" s="615">
        <v>-244192</v>
      </c>
    </row>
    <row r="109" spans="1:256">
      <c r="A109" s="40" t="s">
        <v>1093</v>
      </c>
      <c r="B109" s="615">
        <v>7830981</v>
      </c>
      <c r="C109" s="616">
        <v>102.1925450024775</v>
      </c>
      <c r="D109" s="317">
        <v>7339788</v>
      </c>
      <c r="E109" s="616">
        <v>102.44129971896218</v>
      </c>
      <c r="F109" s="317">
        <v>491193</v>
      </c>
      <c r="G109" s="616">
        <v>98.614320561338701</v>
      </c>
      <c r="H109" s="615">
        <v>3120490</v>
      </c>
      <c r="I109" s="616">
        <v>106.18382842843349</v>
      </c>
      <c r="J109" s="317">
        <v>2338144</v>
      </c>
      <c r="K109" s="616">
        <v>102.27014363739988</v>
      </c>
      <c r="L109" s="317">
        <v>782346</v>
      </c>
      <c r="M109" s="616">
        <v>119.89627888230075</v>
      </c>
      <c r="N109" s="615">
        <v>4710491</v>
      </c>
      <c r="O109" s="317">
        <v>5001644</v>
      </c>
      <c r="P109" s="317">
        <v>-291153</v>
      </c>
    </row>
    <row r="110" spans="1:256" s="381" customFormat="1">
      <c r="A110" s="40"/>
      <c r="B110" s="613"/>
      <c r="C110" s="614"/>
      <c r="D110" s="613"/>
      <c r="E110" s="614"/>
      <c r="F110" s="613"/>
      <c r="G110" s="614"/>
      <c r="H110" s="613"/>
      <c r="I110" s="614"/>
      <c r="J110" s="613"/>
      <c r="K110" s="614"/>
      <c r="L110" s="613"/>
      <c r="M110" s="614"/>
      <c r="N110" s="613"/>
      <c r="O110" s="613"/>
      <c r="P110" s="613"/>
    </row>
    <row r="111" spans="1:256" s="381" customFormat="1">
      <c r="A111" s="40">
        <v>2013</v>
      </c>
      <c r="B111" s="613">
        <v>31702945</v>
      </c>
      <c r="C111" s="614">
        <v>97.146865490565403</v>
      </c>
      <c r="D111" s="613">
        <v>30053947</v>
      </c>
      <c r="E111" s="614">
        <v>96.887564513646723</v>
      </c>
      <c r="F111" s="613">
        <v>1648998</v>
      </c>
      <c r="G111" s="614">
        <v>102.12841068429215</v>
      </c>
      <c r="H111" s="613">
        <v>10320593</v>
      </c>
      <c r="I111" s="614">
        <v>99.070043007559121</v>
      </c>
      <c r="J111" s="613">
        <v>7702277</v>
      </c>
      <c r="K111" s="614">
        <v>98.257666679933905</v>
      </c>
      <c r="L111" s="613">
        <v>2618316</v>
      </c>
      <c r="M111" s="614">
        <v>101.53962495370577</v>
      </c>
      <c r="N111" s="613">
        <v>21382352</v>
      </c>
      <c r="O111" s="613">
        <v>22351670</v>
      </c>
      <c r="P111" s="613">
        <v>-969318</v>
      </c>
    </row>
    <row r="112" spans="1:256">
      <c r="A112" s="40" t="s">
        <v>1091</v>
      </c>
      <c r="B112" s="615">
        <v>8273177</v>
      </c>
      <c r="C112" s="616">
        <v>92.231823010550414</v>
      </c>
      <c r="D112" s="615">
        <v>7864164</v>
      </c>
      <c r="E112" s="616">
        <v>90.618527691656382</v>
      </c>
      <c r="F112" s="615">
        <v>409013</v>
      </c>
      <c r="G112" s="616">
        <v>140.23479152309343</v>
      </c>
      <c r="H112" s="615">
        <v>2235816</v>
      </c>
      <c r="I112" s="616">
        <v>103.82151260332506</v>
      </c>
      <c r="J112" s="615">
        <v>1652430</v>
      </c>
      <c r="K112" s="616">
        <v>101.06284081484871</v>
      </c>
      <c r="L112" s="615">
        <v>583386</v>
      </c>
      <c r="M112" s="616">
        <v>112.52133694140612</v>
      </c>
      <c r="N112" s="615">
        <v>6037361</v>
      </c>
      <c r="O112" s="317">
        <v>6211734</v>
      </c>
      <c r="P112" s="615">
        <v>-174373</v>
      </c>
    </row>
    <row r="113" spans="1:16">
      <c r="A113" s="40" t="s">
        <v>1092</v>
      </c>
      <c r="B113" s="615">
        <v>7558422</v>
      </c>
      <c r="C113" s="616">
        <v>91.559215566184236</v>
      </c>
      <c r="D113" s="615">
        <v>7163104</v>
      </c>
      <c r="E113" s="616">
        <v>92.805567579494138</v>
      </c>
      <c r="F113" s="615">
        <v>395318</v>
      </c>
      <c r="G113" s="616">
        <v>73.639464335943103</v>
      </c>
      <c r="H113" s="615">
        <v>2860024</v>
      </c>
      <c r="I113" s="616">
        <v>107.19031067688989</v>
      </c>
      <c r="J113" s="615">
        <v>2167395</v>
      </c>
      <c r="K113" s="616">
        <v>112.32871955640573</v>
      </c>
      <c r="L113" s="615">
        <v>692629</v>
      </c>
      <c r="M113" s="616">
        <v>93.767929353439925</v>
      </c>
      <c r="N113" s="615">
        <v>4698398</v>
      </c>
      <c r="O113" s="317">
        <v>4995709</v>
      </c>
      <c r="P113" s="615">
        <v>-297311</v>
      </c>
    </row>
    <row r="114" spans="1:16">
      <c r="A114" s="40" t="s">
        <v>1303</v>
      </c>
      <c r="B114" s="615">
        <v>7923963</v>
      </c>
      <c r="C114" s="616">
        <v>104.56745767399926</v>
      </c>
      <c r="D114" s="615">
        <v>7669407</v>
      </c>
      <c r="E114" s="616">
        <v>105.3070335570949</v>
      </c>
      <c r="F114" s="615">
        <v>254556</v>
      </c>
      <c r="G114" s="616">
        <v>86.305675256910561</v>
      </c>
      <c r="H114" s="615">
        <v>2704978</v>
      </c>
      <c r="I114" s="616">
        <v>109.27932426448963</v>
      </c>
      <c r="J114" s="615">
        <v>1989530</v>
      </c>
      <c r="K114" s="616">
        <v>102.75707086593027</v>
      </c>
      <c r="L114" s="615">
        <v>715448</v>
      </c>
      <c r="M114" s="616">
        <v>132.70195626730771</v>
      </c>
      <c r="N114" s="615">
        <v>5218985</v>
      </c>
      <c r="O114" s="317">
        <v>5679877</v>
      </c>
      <c r="P114" s="615">
        <v>-460892</v>
      </c>
    </row>
    <row r="115" spans="1:16">
      <c r="A115" s="40" t="s">
        <v>1093</v>
      </c>
      <c r="B115" s="615">
        <v>7947383</v>
      </c>
      <c r="C115" s="616">
        <v>101.48642935029469</v>
      </c>
      <c r="D115" s="615">
        <v>7357272</v>
      </c>
      <c r="E115" s="616">
        <v>100.23820851501432</v>
      </c>
      <c r="F115" s="615">
        <v>590111</v>
      </c>
      <c r="G115" s="616">
        <v>120.1383163033675</v>
      </c>
      <c r="H115" s="615">
        <v>2519775</v>
      </c>
      <c r="I115" s="616">
        <v>80.749337443798879</v>
      </c>
      <c r="J115" s="615">
        <v>1892922</v>
      </c>
      <c r="K115" s="616">
        <v>80.958315655494275</v>
      </c>
      <c r="L115" s="615">
        <v>626853</v>
      </c>
      <c r="M115" s="616">
        <v>80.124778550666846</v>
      </c>
      <c r="N115" s="615">
        <v>5427608</v>
      </c>
      <c r="O115" s="317">
        <v>5464350</v>
      </c>
      <c r="P115" s="615">
        <v>-36742</v>
      </c>
    </row>
    <row r="116" spans="1:16">
      <c r="A116" s="387"/>
      <c r="B116" s="317"/>
      <c r="C116" s="612"/>
      <c r="D116" s="317"/>
      <c r="E116" s="612"/>
      <c r="F116" s="317"/>
      <c r="G116" s="612"/>
      <c r="H116" s="317"/>
      <c r="I116" s="612"/>
      <c r="J116" s="317"/>
      <c r="K116" s="612"/>
      <c r="L116" s="317"/>
      <c r="M116" s="612"/>
      <c r="N116" s="317"/>
      <c r="O116" s="317"/>
      <c r="P116" s="317"/>
    </row>
    <row r="117" spans="1:16" s="381" customFormat="1">
      <c r="A117" s="40">
        <v>2014</v>
      </c>
      <c r="B117" s="613">
        <v>28259629</v>
      </c>
      <c r="C117" s="614">
        <v>89.138813444618464</v>
      </c>
      <c r="D117" s="613">
        <v>27321965</v>
      </c>
      <c r="E117" s="614">
        <v>90.909739742337337</v>
      </c>
      <c r="F117" s="613">
        <v>937664</v>
      </c>
      <c r="G117" s="614">
        <v>56.862652350093811</v>
      </c>
      <c r="H117" s="613">
        <v>9332001</v>
      </c>
      <c r="I117" s="614">
        <v>90.421170566458699</v>
      </c>
      <c r="J117" s="613">
        <v>7154344</v>
      </c>
      <c r="K117" s="614">
        <v>92.886090697595009</v>
      </c>
      <c r="L117" s="613">
        <v>2177657</v>
      </c>
      <c r="M117" s="614">
        <v>83.170136836042701</v>
      </c>
      <c r="N117" s="613">
        <v>18927628</v>
      </c>
      <c r="O117" s="613">
        <v>20167621</v>
      </c>
      <c r="P117" s="613">
        <v>-1239993</v>
      </c>
    </row>
    <row r="118" spans="1:16">
      <c r="A118" s="40" t="s">
        <v>1091</v>
      </c>
      <c r="B118" s="615">
        <v>7503648</v>
      </c>
      <c r="C118" s="616">
        <v>90.698506752605439</v>
      </c>
      <c r="D118" s="615">
        <v>7279897</v>
      </c>
      <c r="E118" s="616">
        <v>92.570513534560064</v>
      </c>
      <c r="F118" s="615">
        <v>223751</v>
      </c>
      <c r="G118" s="616">
        <v>54.705107172632651</v>
      </c>
      <c r="H118" s="615">
        <v>1959858</v>
      </c>
      <c r="I118" s="616">
        <v>87.657392200431516</v>
      </c>
      <c r="J118" s="615">
        <v>1457305</v>
      </c>
      <c r="K118" s="616">
        <v>88.191632928475045</v>
      </c>
      <c r="L118" s="615">
        <v>502553</v>
      </c>
      <c r="M118" s="616">
        <v>86.144165269649946</v>
      </c>
      <c r="N118" s="615">
        <v>5543790</v>
      </c>
      <c r="O118" s="317">
        <v>5822592</v>
      </c>
      <c r="P118" s="615">
        <v>-278802</v>
      </c>
    </row>
    <row r="119" spans="1:16">
      <c r="A119" s="40" t="s">
        <v>1092</v>
      </c>
      <c r="B119" s="615">
        <v>8090156</v>
      </c>
      <c r="C119" s="616">
        <v>107.03498693245758</v>
      </c>
      <c r="D119" s="615">
        <v>7824676</v>
      </c>
      <c r="E119" s="616">
        <v>109.2358284899954</v>
      </c>
      <c r="F119" s="615">
        <v>265480</v>
      </c>
      <c r="G119" s="616">
        <v>67.156061702224534</v>
      </c>
      <c r="H119" s="615">
        <v>2506058</v>
      </c>
      <c r="I119" s="616">
        <v>87.623670290878678</v>
      </c>
      <c r="J119" s="615">
        <v>1956212</v>
      </c>
      <c r="K119" s="616">
        <v>90.256367667176491</v>
      </c>
      <c r="L119" s="615">
        <v>549846</v>
      </c>
      <c r="M119" s="616">
        <v>79.385356374047291</v>
      </c>
      <c r="N119" s="615">
        <v>5584098</v>
      </c>
      <c r="O119" s="317">
        <v>5868464</v>
      </c>
      <c r="P119" s="615">
        <v>-284366</v>
      </c>
    </row>
    <row r="120" spans="1:16">
      <c r="A120" s="40" t="s">
        <v>1303</v>
      </c>
      <c r="B120" s="615">
        <v>7338205</v>
      </c>
      <c r="C120" s="616">
        <v>92.60776457436765</v>
      </c>
      <c r="D120" s="615">
        <v>7125400</v>
      </c>
      <c r="E120" s="616">
        <v>92.90679188104113</v>
      </c>
      <c r="F120" s="615">
        <v>212805</v>
      </c>
      <c r="G120" s="616">
        <v>83.598500919247627</v>
      </c>
      <c r="H120" s="615">
        <v>2257734</v>
      </c>
      <c r="I120" s="616">
        <v>83.465891404662074</v>
      </c>
      <c r="J120" s="615">
        <v>1757354</v>
      </c>
      <c r="K120" s="616">
        <v>88.330108115987187</v>
      </c>
      <c r="L120" s="615">
        <v>500380</v>
      </c>
      <c r="M120" s="616">
        <v>69.939394617079088</v>
      </c>
      <c r="N120" s="615">
        <v>5080471</v>
      </c>
      <c r="O120" s="317">
        <v>5368046</v>
      </c>
      <c r="P120" s="615">
        <v>-287575</v>
      </c>
    </row>
    <row r="121" spans="1:16">
      <c r="A121" s="40" t="s">
        <v>1093</v>
      </c>
      <c r="B121" s="615">
        <v>5327620</v>
      </c>
      <c r="C121" s="616">
        <v>67.036155172086211</v>
      </c>
      <c r="D121" s="615">
        <v>5091992</v>
      </c>
      <c r="E121" s="616">
        <v>69.210326871155502</v>
      </c>
      <c r="F121" s="615">
        <v>235628</v>
      </c>
      <c r="G121" s="616">
        <v>39.929437004224624</v>
      </c>
      <c r="H121" s="615">
        <v>2608351</v>
      </c>
      <c r="I121" s="616">
        <v>103.51523449514342</v>
      </c>
      <c r="J121" s="615">
        <v>1983473</v>
      </c>
      <c r="K121" s="616">
        <v>104.78366250696014</v>
      </c>
      <c r="L121" s="615">
        <v>624878</v>
      </c>
      <c r="M121" s="616">
        <v>99.684934107358501</v>
      </c>
      <c r="N121" s="615">
        <v>2719269</v>
      </c>
      <c r="O121" s="317">
        <v>3108519</v>
      </c>
      <c r="P121" s="615">
        <v>-389250</v>
      </c>
    </row>
    <row r="122" spans="1:16">
      <c r="A122" s="40"/>
      <c r="B122" s="615"/>
      <c r="C122" s="616"/>
      <c r="D122" s="615"/>
      <c r="E122" s="616" t="s">
        <v>1873</v>
      </c>
      <c r="F122" s="615"/>
      <c r="G122" s="616"/>
      <c r="H122" s="615"/>
      <c r="I122" s="616"/>
      <c r="J122" s="615"/>
      <c r="K122" s="616"/>
      <c r="L122" s="615"/>
      <c r="M122" s="616"/>
      <c r="N122" s="615"/>
      <c r="O122" s="317"/>
      <c r="P122" s="615"/>
    </row>
    <row r="123" spans="1:16">
      <c r="A123" s="40">
        <v>2015</v>
      </c>
      <c r="B123" s="613">
        <f>SUM(B124:B127)</f>
        <v>15586052</v>
      </c>
      <c r="C123" s="614">
        <f>(B124+B125+B126+B127)/(B118+B119+B120+B121)*100</f>
        <v>55.153066588383027</v>
      </c>
      <c r="D123" s="613">
        <f>SUM(D124:D127)</f>
        <v>15012423</v>
      </c>
      <c r="E123" s="614">
        <f>(D124+D125+D126+D127)/(D118+D119+D120+D121)*100</f>
        <v>54.946351772282853</v>
      </c>
      <c r="F123" s="613">
        <f>SUM(F124:F127)</f>
        <v>573629</v>
      </c>
      <c r="G123" s="614">
        <f>(F124+F125+F126+F127)/(F118+F119+F120+F121)*100</f>
        <v>61.176391543239376</v>
      </c>
      <c r="H123" s="613">
        <f>SUM(H124:H127)</f>
        <v>9773629</v>
      </c>
      <c r="I123" s="614">
        <f>(H124+H125+H126+H127)/(H118+H119+H120+H121)*100</f>
        <v>104.73240412211699</v>
      </c>
      <c r="J123" s="613">
        <f>SUM(J124:J127)</f>
        <v>7645888</v>
      </c>
      <c r="K123" s="614">
        <f>(J124+J125+J126+J127)/(J118+J119+J120+J121)*100</f>
        <v>106.87056702892677</v>
      </c>
      <c r="L123" s="613">
        <f>SUM(L124:L127)</f>
        <v>2127741</v>
      </c>
      <c r="M123" s="614">
        <f>(L124+L125+L126+L127)/(L118+L119+L120+L121)*100</f>
        <v>97.707811652615632</v>
      </c>
      <c r="N123" s="613">
        <f>SUM(N124:N127)</f>
        <v>5812423</v>
      </c>
      <c r="O123" s="613">
        <f>SUM(O124:O127)</f>
        <v>7366535</v>
      </c>
      <c r="P123" s="613">
        <f>SUM(P124:P127)</f>
        <v>-1554112</v>
      </c>
    </row>
    <row r="124" spans="1:16">
      <c r="A124" s="40" t="s">
        <v>1091</v>
      </c>
      <c r="B124" s="615">
        <v>4249512</v>
      </c>
      <c r="C124" s="616">
        <f>B124/B118*100</f>
        <v>56.632613896600695</v>
      </c>
      <c r="D124" s="615">
        <v>4156148</v>
      </c>
      <c r="E124" s="616">
        <f>D124/D118*100</f>
        <v>57.090752794991474</v>
      </c>
      <c r="F124" s="615">
        <v>93364</v>
      </c>
      <c r="G124" s="616">
        <f>F124/F118*100</f>
        <v>41.726740886074253</v>
      </c>
      <c r="H124" s="615">
        <v>2491530</v>
      </c>
      <c r="I124" s="616">
        <f>H124/H118*100</f>
        <v>127.12808785126268</v>
      </c>
      <c r="J124" s="615">
        <v>2017251</v>
      </c>
      <c r="K124" s="616">
        <f>J124/J118*100</f>
        <v>138.42339112265449</v>
      </c>
      <c r="L124" s="615">
        <v>474279</v>
      </c>
      <c r="M124" s="616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4" t="s">
        <v>1092</v>
      </c>
      <c r="B125" s="317">
        <f>D125+F125</f>
        <v>4427615</v>
      </c>
      <c r="C125" s="612">
        <f>B125/B119*100</f>
        <v>54.728425508729373</v>
      </c>
      <c r="D125" s="317">
        <v>4245173</v>
      </c>
      <c r="E125" s="612">
        <f>D125/D119*100</f>
        <v>54.253658554041081</v>
      </c>
      <c r="F125" s="317">
        <v>182442</v>
      </c>
      <c r="G125" s="612">
        <f>F125/F119*100</f>
        <v>68.72156094621063</v>
      </c>
      <c r="H125" s="317">
        <f>J125+L125</f>
        <v>2427502</v>
      </c>
      <c r="I125" s="612">
        <f>H125/H119*100</f>
        <v>96.865355869656639</v>
      </c>
      <c r="J125" s="317">
        <v>1863683</v>
      </c>
      <c r="K125" s="612">
        <f>J125/J119*100</f>
        <v>95.269991187049257</v>
      </c>
      <c r="L125" s="317">
        <v>563819</v>
      </c>
      <c r="M125" s="612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4" t="s">
        <v>1303</v>
      </c>
      <c r="B126" s="317">
        <f>D126+F126</f>
        <v>3646206</v>
      </c>
      <c r="C126" s="612">
        <f>B126/B120*100</f>
        <v>49.68798227904508</v>
      </c>
      <c r="D126" s="317">
        <v>3530491</v>
      </c>
      <c r="E126" s="612">
        <f>D126/D120*100</f>
        <v>49.547969236814779</v>
      </c>
      <c r="F126" s="317">
        <v>115715</v>
      </c>
      <c r="G126" s="612">
        <f>F126/F120*100</f>
        <v>54.37607199078969</v>
      </c>
      <c r="H126" s="317">
        <f>J126+L126</f>
        <v>2101727</v>
      </c>
      <c r="I126" s="612">
        <f>H126/H120*100</f>
        <v>93.090107160542374</v>
      </c>
      <c r="J126" s="317">
        <v>1639238</v>
      </c>
      <c r="K126" s="612">
        <f>J126/J120*100</f>
        <v>93.278758861333571</v>
      </c>
      <c r="L126" s="317">
        <v>462489</v>
      </c>
      <c r="M126" s="612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4" t="s">
        <v>1093</v>
      </c>
      <c r="B127" s="317">
        <f>D127+F127</f>
        <v>3262719</v>
      </c>
      <c r="C127" s="612">
        <f>B127/B121*100</f>
        <v>61.241586299323146</v>
      </c>
      <c r="D127" s="317">
        <v>3080611</v>
      </c>
      <c r="E127" s="612">
        <f>D127/D121*100</f>
        <v>60.499132755903787</v>
      </c>
      <c r="F127" s="317">
        <v>182108</v>
      </c>
      <c r="G127" s="612">
        <f>F127/F121*100</f>
        <v>77.286230838440247</v>
      </c>
      <c r="H127" s="317">
        <f>J127+L127</f>
        <v>2752870</v>
      </c>
      <c r="I127" s="612">
        <f>H127/H121*100</f>
        <v>105.5406270091717</v>
      </c>
      <c r="J127" s="317">
        <v>2125716</v>
      </c>
      <c r="K127" s="612">
        <f>J127/J121*100</f>
        <v>107.17141095442186</v>
      </c>
      <c r="L127" s="317">
        <v>627154</v>
      </c>
      <c r="M127" s="612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7"/>
      <c r="B128" s="317"/>
      <c r="C128" s="612"/>
      <c r="D128" s="317"/>
      <c r="E128" s="612"/>
      <c r="F128" s="317"/>
      <c r="G128" s="612"/>
      <c r="H128" s="317"/>
      <c r="I128" s="612"/>
      <c r="J128" s="317"/>
      <c r="K128" s="612"/>
      <c r="L128" s="317"/>
      <c r="M128" s="612"/>
      <c r="N128" s="317"/>
      <c r="O128" s="317"/>
      <c r="P128" s="317"/>
    </row>
    <row r="129" spans="1:16">
      <c r="A129" s="40">
        <v>2016</v>
      </c>
      <c r="B129" s="613">
        <f>SUM(B130:B133)</f>
        <v>13210511</v>
      </c>
      <c r="C129" s="614">
        <f>(B130+B131+B132+B133)/(B124+B125+B126+B127)*100</f>
        <v>84.758545653511234</v>
      </c>
      <c r="D129" s="613">
        <f>SUM(D130:D133)</f>
        <v>12537126</v>
      </c>
      <c r="E129" s="614">
        <f>(D130+D131+D132+D133)/(D124+D125+D126+D127)*100</f>
        <v>83.511675630243033</v>
      </c>
      <c r="F129" s="613">
        <f>SUM(F130:F133)</f>
        <v>673385</v>
      </c>
      <c r="G129" s="614">
        <f>(F130+F131+F132+F133)/(F124+F125+F126+F127)*100</f>
        <v>117.3903341706922</v>
      </c>
      <c r="H129" s="613">
        <f>SUM(H130:H133)</f>
        <v>9004176</v>
      </c>
      <c r="I129" s="614">
        <f>(H130+H131+H132+H133)/(H124+H125+H126+H127)*100</f>
        <v>92.127253858316081</v>
      </c>
      <c r="J129" s="613">
        <f>SUM(J130:J133)</f>
        <v>6649095</v>
      </c>
      <c r="K129" s="614">
        <f>(J130+J131+J132+J133)/(J124+J125+J126+J127)*100</f>
        <v>86.963018553240644</v>
      </c>
      <c r="L129" s="613">
        <f>SUM(L130:L133)</f>
        <v>2355081</v>
      </c>
      <c r="M129" s="614">
        <f>(L130+L131+L132+L133)/(L124+L125+L126+L127)*100</f>
        <v>110.68457110146394</v>
      </c>
      <c r="N129" s="613">
        <f>SUM(N130:N133)</f>
        <v>4206335</v>
      </c>
      <c r="O129" s="613">
        <f>SUM(O130:O133)</f>
        <v>5888031</v>
      </c>
      <c r="P129" s="613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16">
        <f>B130/B124*100</f>
        <v>60.053648513052792</v>
      </c>
      <c r="D130" s="317">
        <v>2428049</v>
      </c>
      <c r="E130" s="616">
        <f>D130/D124*100</f>
        <v>58.420657782157903</v>
      </c>
      <c r="F130" s="317">
        <v>123938</v>
      </c>
      <c r="G130" s="616">
        <f>F130/F124*100</f>
        <v>132.74709738228867</v>
      </c>
      <c r="H130" s="317">
        <f>J130+L130</f>
        <v>1930281</v>
      </c>
      <c r="I130" s="616">
        <f>H130/H124*100</f>
        <v>77.473720966634957</v>
      </c>
      <c r="J130" s="317">
        <v>1561476</v>
      </c>
      <c r="K130" s="616">
        <f>J130/J124*100</f>
        <v>77.406133396389436</v>
      </c>
      <c r="L130" s="317">
        <v>368805</v>
      </c>
      <c r="M130" s="616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4" t="s">
        <v>1092</v>
      </c>
      <c r="B131" s="317">
        <f>D131+F131</f>
        <v>3708890</v>
      </c>
      <c r="C131" s="616">
        <f>B131/B125*100</f>
        <v>83.767220049620391</v>
      </c>
      <c r="D131" s="317">
        <v>3507178</v>
      </c>
      <c r="E131" s="616">
        <f>D131/D125*100</f>
        <v>82.615667253136678</v>
      </c>
      <c r="F131" s="317">
        <v>201712</v>
      </c>
      <c r="G131" s="616">
        <f>F131/F125*100</f>
        <v>110.56226088291072</v>
      </c>
      <c r="H131" s="317">
        <f>J131+L131</f>
        <v>2396996</v>
      </c>
      <c r="I131" s="616">
        <f>H131/H125*100</f>
        <v>98.74331720427007</v>
      </c>
      <c r="J131" s="317">
        <v>1656231</v>
      </c>
      <c r="K131" s="616">
        <f>J131/J125*100</f>
        <v>88.868707822092063</v>
      </c>
      <c r="L131" s="317">
        <v>740765</v>
      </c>
      <c r="M131" s="616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4" t="s">
        <v>1303</v>
      </c>
      <c r="B132" s="317">
        <f>D132+F132</f>
        <v>3273975</v>
      </c>
      <c r="C132" s="616">
        <f>B132/B126*100</f>
        <v>89.791278934870931</v>
      </c>
      <c r="D132" s="317">
        <v>3152344</v>
      </c>
      <c r="E132" s="616">
        <f>D132/D126*100</f>
        <v>89.289110211582468</v>
      </c>
      <c r="F132" s="317">
        <v>121631</v>
      </c>
      <c r="G132" s="616">
        <f>F132/F126*100</f>
        <v>105.11256103357387</v>
      </c>
      <c r="H132" s="317">
        <f>J132+L132</f>
        <v>2292622</v>
      </c>
      <c r="I132" s="616">
        <f>H132/H126*100</f>
        <v>109.08276859934712</v>
      </c>
      <c r="J132" s="317">
        <v>1757327</v>
      </c>
      <c r="K132" s="616">
        <f>J132/J126*100</f>
        <v>107.2038959565359</v>
      </c>
      <c r="L132" s="317">
        <v>535295</v>
      </c>
      <c r="M132" s="616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4" t="s">
        <v>1093</v>
      </c>
      <c r="B133" s="317">
        <f>D133+F133</f>
        <v>3675659</v>
      </c>
      <c r="C133" s="612">
        <f>B133/B127*100</f>
        <v>112.6563151776172</v>
      </c>
      <c r="D133" s="317">
        <v>3449555</v>
      </c>
      <c r="E133" s="612">
        <f>D133/D127*100</f>
        <v>111.97632547569296</v>
      </c>
      <c r="F133" s="317">
        <v>226104</v>
      </c>
      <c r="G133" s="612">
        <f>F133/F127*100</f>
        <v>124.15929009159402</v>
      </c>
      <c r="H133" s="317">
        <f>J133+L133</f>
        <v>2384277</v>
      </c>
      <c r="I133" s="612">
        <f>H133/H127*100</f>
        <v>86.610591855045826</v>
      </c>
      <c r="J133" s="317">
        <v>1674061</v>
      </c>
      <c r="K133" s="612">
        <f>J133/J127*100</f>
        <v>78.752806113328404</v>
      </c>
      <c r="L133" s="317">
        <v>710216</v>
      </c>
      <c r="M133" s="612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7"/>
      <c r="B134" s="317"/>
      <c r="C134" s="612"/>
      <c r="D134" s="317"/>
      <c r="E134" s="612"/>
      <c r="F134" s="317"/>
      <c r="G134" s="612"/>
      <c r="H134" s="317"/>
      <c r="I134" s="612"/>
      <c r="J134" s="317"/>
      <c r="K134" s="612"/>
      <c r="L134" s="317"/>
      <c r="M134" s="612"/>
      <c r="N134" s="317"/>
      <c r="O134" s="317"/>
      <c r="P134" s="317"/>
    </row>
    <row r="135" spans="1:16">
      <c r="A135" s="40">
        <v>2017</v>
      </c>
      <c r="B135" s="613">
        <f>SUM(B136:B139)</f>
        <v>15152058.61737035</v>
      </c>
      <c r="C135" s="614">
        <f>((B136+B137+B138+B139)/(B130+B131+B132+B133))*100</f>
        <v>114.69699103517155</v>
      </c>
      <c r="D135" s="613">
        <f>SUM(D136:D139)</f>
        <v>14089781.933162</v>
      </c>
      <c r="E135" s="614">
        <f>((D136+D137+D138+D139)/(D130+D131+D132+D133))*100</f>
        <v>112.38446461463336</v>
      </c>
      <c r="F135" s="613">
        <f>SUM(F136:F139)</f>
        <v>1062276.68420835</v>
      </c>
      <c r="G135" s="614">
        <f>((F136+F137+F138+F139)/(F130+F131+F132+F133))*100</f>
        <v>157.75175927713715</v>
      </c>
      <c r="H135" s="613">
        <f>SUM(H136:H139)</f>
        <v>9037315.9741737004</v>
      </c>
      <c r="I135" s="614">
        <f>((H136+H137+H138+H139)/(H130+H131+H132+H133))*100</f>
        <v>100.36805115952532</v>
      </c>
      <c r="J135" s="613">
        <f>SUM(J136:J139)</f>
        <v>6577309.4551737001</v>
      </c>
      <c r="K135" s="614">
        <f>((J136+J137+J138+J139)/(J130+J131+J132+J133))*100</f>
        <v>98.920371195985325</v>
      </c>
      <c r="L135" s="613">
        <f>SUM(L136:L139)</f>
        <v>2460006.5189999999</v>
      </c>
      <c r="M135" s="614">
        <f>((L136+L137+L138+L139)/(L130+L131+L132+L133))*100</f>
        <v>104.45528281192875</v>
      </c>
      <c r="N135" s="613">
        <f>SUM(N136:N139)</f>
        <v>6114742.6431966498</v>
      </c>
      <c r="O135" s="613">
        <f>SUM(O136:O139)</f>
        <v>7512472.4779882999</v>
      </c>
      <c r="P135" s="613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16">
        <f>B136/B130*100</f>
        <v>139.33256713298306</v>
      </c>
      <c r="D136" s="317">
        <v>3378950</v>
      </c>
      <c r="E136" s="616">
        <f>D136/D130*100</f>
        <v>139.16317174818136</v>
      </c>
      <c r="F136" s="317">
        <v>176799</v>
      </c>
      <c r="G136" s="616">
        <f>F136/F130*100</f>
        <v>142.65116429182333</v>
      </c>
      <c r="H136" s="317">
        <f>J136+L136</f>
        <v>1665876</v>
      </c>
      <c r="I136" s="616">
        <f>H136/H130*100</f>
        <v>86.302253402483885</v>
      </c>
      <c r="J136" s="317">
        <v>1192142</v>
      </c>
      <c r="K136" s="616">
        <f>J136/J130*100</f>
        <v>76.347122850431262</v>
      </c>
      <c r="L136" s="317">
        <v>473734</v>
      </c>
      <c r="M136" s="616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4" t="s">
        <v>1092</v>
      </c>
      <c r="B137" s="317">
        <f>D137+F137</f>
        <v>3555275</v>
      </c>
      <c r="C137" s="616">
        <f>B137/B131*100</f>
        <v>95.858194769863758</v>
      </c>
      <c r="D137" s="317">
        <v>3260533</v>
      </c>
      <c r="E137" s="616">
        <f>D137/D131*100</f>
        <v>92.967422811160432</v>
      </c>
      <c r="F137" s="317">
        <v>294742</v>
      </c>
      <c r="G137" s="616">
        <f>F137/F131*100</f>
        <v>146.12021099389227</v>
      </c>
      <c r="H137" s="317">
        <f>J137+L137</f>
        <v>1966044</v>
      </c>
      <c r="I137" s="616">
        <f>H137/H131*100</f>
        <v>82.021163155883443</v>
      </c>
      <c r="J137" s="317">
        <v>1402666</v>
      </c>
      <c r="K137" s="616">
        <f>J137/J131*100</f>
        <v>84.690239465388586</v>
      </c>
      <c r="L137" s="317">
        <v>563378</v>
      </c>
      <c r="M137" s="616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4" t="s">
        <v>1303</v>
      </c>
      <c r="B138" s="317">
        <f>D138+F138</f>
        <v>3680432</v>
      </c>
      <c r="C138" s="616">
        <f>B138/B132*100</f>
        <v>112.41478630716483</v>
      </c>
      <c r="D138" s="317">
        <f>10156043-D136-D137</f>
        <v>3516560</v>
      </c>
      <c r="E138" s="616">
        <f>D138/D132*100</f>
        <v>111.55381519275815</v>
      </c>
      <c r="F138" s="317">
        <f>635413-F136-F137</f>
        <v>163872</v>
      </c>
      <c r="G138" s="612">
        <f>+F138/F132*100</f>
        <v>134.72881091169191</v>
      </c>
      <c r="H138" s="317">
        <f>J138+L138</f>
        <v>2757893</v>
      </c>
      <c r="I138" s="616">
        <f>H138/H132*100</f>
        <v>120.29427441593074</v>
      </c>
      <c r="J138" s="317">
        <f>4735724-J136-J137</f>
        <v>2140916</v>
      </c>
      <c r="K138" s="616">
        <f>J138/J132*100</f>
        <v>121.82798079128131</v>
      </c>
      <c r="L138" s="317">
        <f>1654089-L136-L137</f>
        <v>616977</v>
      </c>
      <c r="M138" s="616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4" t="s">
        <v>1093</v>
      </c>
      <c r="B139" s="317">
        <f>D139+F139</f>
        <v>4360602.6173703503</v>
      </c>
      <c r="C139" s="612">
        <f>B139/B133*100</f>
        <v>118.63458001328063</v>
      </c>
      <c r="D139" s="317">
        <f>14089781.933162-D136-D137-D138</f>
        <v>3933738.933162</v>
      </c>
      <c r="E139" s="612">
        <f>D139/D133*100</f>
        <v>114.03612736025373</v>
      </c>
      <c r="F139" s="317">
        <f>1062276.68420835-F136-F137-F138</f>
        <v>426863.68420835002</v>
      </c>
      <c r="G139" s="612">
        <f>+F139/F133*100</f>
        <v>188.79085916584847</v>
      </c>
      <c r="H139" s="317">
        <f>J139+L139</f>
        <v>2647502.9741737</v>
      </c>
      <c r="I139" s="612">
        <f>H139/H133*100</f>
        <v>111.04007521666736</v>
      </c>
      <c r="J139" s="317">
        <f>6577309.4551737-J136-J137-J138</f>
        <v>1841585.4551737001</v>
      </c>
      <c r="K139" s="612">
        <f>J139/J133*100</f>
        <v>110.00706994390885</v>
      </c>
      <c r="L139" s="317">
        <f>2460006.519-L136-L137-L138</f>
        <v>805917.51899999985</v>
      </c>
      <c r="M139" s="612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7"/>
      <c r="B140" s="317"/>
      <c r="C140" s="612"/>
      <c r="D140" s="317"/>
      <c r="E140" s="612"/>
      <c r="F140" s="317"/>
      <c r="G140" s="612"/>
      <c r="H140" s="317"/>
      <c r="I140" s="612"/>
      <c r="J140" s="317"/>
      <c r="K140" s="612"/>
      <c r="L140" s="317"/>
      <c r="M140" s="612"/>
      <c r="N140" s="317"/>
      <c r="O140" s="317"/>
      <c r="P140" s="317"/>
    </row>
    <row r="141" spans="1:16">
      <c r="A141" s="40" t="s">
        <v>2078</v>
      </c>
      <c r="B141" s="613">
        <f>SUM(B142:B145)</f>
        <v>20793769</v>
      </c>
      <c r="C141" s="614">
        <f>((B142+B143+B144+B145)/(IF(B142=0,0,B136)+IF(B143=0,0,B137)+IF(B144=0,0,B138)+IF(B145=0,0,B139)))*100</f>
        <v>137.2339529901368</v>
      </c>
      <c r="D141" s="613">
        <f>SUM(D142:D145)</f>
        <v>19660046</v>
      </c>
      <c r="E141" s="614">
        <f>((D142+D143+D144+D145)/(IF(D142=0,0,D136)+IF(D143=0,0,D137)+IF(D144=0,0,D138)+IF(D145=0,0,D139)))*100</f>
        <v>139.53406868368711</v>
      </c>
      <c r="F141" s="613">
        <f>SUM(F142:F145)</f>
        <v>1133723</v>
      </c>
      <c r="G141" s="614">
        <f>((F142+F143+F144+F145)/(IF(F142=0,0,F136)+IF(F143=0,0,F137)+IF(F144=0,0,F138)+IF(F145=0,0,F139)))*100</f>
        <v>106.72577275334764</v>
      </c>
      <c r="H141" s="613">
        <f>SUM(H142:H145)</f>
        <v>10952441</v>
      </c>
      <c r="I141" s="614">
        <f>((H142+H143+H144+H145)/(IF(H142=0,0,H136)+IF(H143=0,0,H137)+IF(H144=0,0,H138)+IF(H145=0,0,H139)))*100</f>
        <v>121.19130316234632</v>
      </c>
      <c r="J141" s="613">
        <f>SUM(J142:J145)</f>
        <v>8146109</v>
      </c>
      <c r="K141" s="614">
        <f>((J142+J143+J144+J145)/(IF(J142=0,0,J136)+IF(J143=0,0,J137)+IF(J144=0,0,J138)+IF(J145=0,0,J139)))*100</f>
        <v>123.85169126552628</v>
      </c>
      <c r="L141" s="613">
        <f>SUM(L142:L145)</f>
        <v>2806332</v>
      </c>
      <c r="M141" s="614">
        <f>((L142+L143+L144+L145)/(IF(L142=0,0,L136)+IF(L143=0,0,L137)+IF(L144=0,0,L138)+IF(L145=0,0,L139)))*100</f>
        <v>114.07823427804502</v>
      </c>
      <c r="N141" s="613">
        <f>SUM(N142:N145)</f>
        <v>9841328</v>
      </c>
      <c r="O141" s="613">
        <f>SUM(O142:O145)</f>
        <v>11513937</v>
      </c>
      <c r="P141" s="613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16">
        <f>B142/B136*100</f>
        <v>128.79615518418203</v>
      </c>
      <c r="D142" s="317">
        <v>4401270</v>
      </c>
      <c r="E142" s="616">
        <f>D142/D136*100</f>
        <v>130.25555276047294</v>
      </c>
      <c r="F142" s="317">
        <v>178398</v>
      </c>
      <c r="G142" s="616">
        <f>F142/F136*100</f>
        <v>100.90441688018596</v>
      </c>
      <c r="H142" s="317">
        <f>J142+L142</f>
        <v>2165789</v>
      </c>
      <c r="I142" s="616">
        <f>H142/H136*100</f>
        <v>130.00901627732196</v>
      </c>
      <c r="J142" s="317">
        <v>1548964</v>
      </c>
      <c r="K142" s="616">
        <f>J142/J136*100</f>
        <v>129.93116591815402</v>
      </c>
      <c r="L142" s="317">
        <v>616825</v>
      </c>
      <c r="M142" s="616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4" t="s">
        <v>1092</v>
      </c>
      <c r="B143" s="317">
        <f>D143+F143</f>
        <v>5338065</v>
      </c>
      <c r="C143" s="616">
        <f>B143/B137*100</f>
        <v>150.14492549802759</v>
      </c>
      <c r="D143" s="317">
        <v>4975984</v>
      </c>
      <c r="E143" s="616">
        <f>D143/D137*100</f>
        <v>152.61259432123521</v>
      </c>
      <c r="F143" s="317">
        <v>362081</v>
      </c>
      <c r="G143" s="616">
        <f>F143/F137*100</f>
        <v>122.84676089597004</v>
      </c>
      <c r="H143" s="317">
        <f>J143+L143</f>
        <v>2733003</v>
      </c>
      <c r="I143" s="616">
        <f>H143/H137*100</f>
        <v>139.01026630126282</v>
      </c>
      <c r="J143" s="317">
        <v>1985906</v>
      </c>
      <c r="K143" s="616">
        <f>J143/J137*100</f>
        <v>141.58081824183378</v>
      </c>
      <c r="L143" s="317">
        <v>747097</v>
      </c>
      <c r="M143" s="616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4" t="s">
        <v>1303</v>
      </c>
      <c r="B144" s="317">
        <f>D144+F144</f>
        <v>5310991</v>
      </c>
      <c r="C144" s="616">
        <f>B144/B138*100</f>
        <v>144.3034676364079</v>
      </c>
      <c r="D144" s="317">
        <v>5129451</v>
      </c>
      <c r="E144" s="616">
        <f>D144/D138*100</f>
        <v>145.86559023591238</v>
      </c>
      <c r="F144" s="317">
        <v>181540</v>
      </c>
      <c r="G144" s="612">
        <f>F144/F138*100</f>
        <v>110.78158562780706</v>
      </c>
      <c r="H144" s="317">
        <f>J144+L144</f>
        <v>2994870</v>
      </c>
      <c r="I144" s="616">
        <f>H144/H138*100</f>
        <v>108.59268289233846</v>
      </c>
      <c r="J144" s="317">
        <v>2375364</v>
      </c>
      <c r="K144" s="616">
        <f>J144/J138*100</f>
        <v>110.95082665550633</v>
      </c>
      <c r="L144" s="317">
        <v>619506</v>
      </c>
      <c r="M144" s="616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4" t="s">
        <v>1093</v>
      </c>
      <c r="B145" s="317">
        <f>D145+F145</f>
        <v>5565045</v>
      </c>
      <c r="C145" s="612">
        <f>B145/B139*100</f>
        <v>127.62100765228604</v>
      </c>
      <c r="D145" s="317">
        <v>5153341</v>
      </c>
      <c r="E145" s="612">
        <f>D145/D139*100</f>
        <v>131.00363515627777</v>
      </c>
      <c r="F145" s="317">
        <v>411704</v>
      </c>
      <c r="G145" s="612">
        <f>F145/F139*100</f>
        <v>96.448588912766198</v>
      </c>
      <c r="H145" s="317">
        <f>J145+L145</f>
        <v>3058779</v>
      </c>
      <c r="I145" s="612">
        <f>H145/H139*100</f>
        <v>115.53448777350899</v>
      </c>
      <c r="J145" s="317">
        <v>2235875</v>
      </c>
      <c r="K145" s="612">
        <f>J145/J139*100</f>
        <v>121.4103311751618</v>
      </c>
      <c r="L145" s="317">
        <v>822904</v>
      </c>
      <c r="M145" s="612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7"/>
      <c r="B146" s="317"/>
      <c r="C146" s="612"/>
      <c r="D146" s="317"/>
      <c r="E146" s="612"/>
      <c r="F146" s="317"/>
      <c r="G146" s="612"/>
      <c r="H146" s="317"/>
      <c r="I146" s="612"/>
      <c r="J146" s="317"/>
      <c r="K146" s="612"/>
      <c r="L146" s="317"/>
      <c r="M146" s="612"/>
      <c r="N146" s="317"/>
      <c r="O146" s="317"/>
      <c r="P146" s="317"/>
    </row>
    <row r="147" spans="1:16">
      <c r="A147" s="40" t="s">
        <v>2171</v>
      </c>
      <c r="B147" s="613">
        <f>SUM(B148:B151)</f>
        <v>19868260.82786759</v>
      </c>
      <c r="C147" s="614">
        <f>((B148+B149+B150+B151)/(IF(B148=0,0,B142)+IF(B149=0,0,B143)+IF(B150=0,0,B144)+IF(B151=0,0,B145)))*100</f>
        <v>95.549108138440843</v>
      </c>
      <c r="D147" s="613">
        <f>SUM(D148:D151)</f>
        <v>18640073.994547591</v>
      </c>
      <c r="E147" s="614">
        <f>((D148+D149+D150+D151)/(IF(D148=0,0,D142)+IF(D149=0,0,D143)+IF(D150=0,0,D144)+IF(D151=0,0,D145)))*100</f>
        <v>94.811955142666463</v>
      </c>
      <c r="F147" s="613">
        <f>SUM(F148:F151)</f>
        <v>1228186.8333199997</v>
      </c>
      <c r="G147" s="614">
        <f>((F148+F149+F150+F151)/(IF(F148=0,0,F142)+IF(F149=0,0,F143)+IF(F150=0,0,F144)+IF(F151=0,0,F145)))*100</f>
        <v>108.33217931717004</v>
      </c>
      <c r="H147" s="613">
        <f>SUM(H148:H151)</f>
        <v>11335316.035188857</v>
      </c>
      <c r="I147" s="614">
        <f>((H148+H149+H150+H151)/(IF(H148=0,0,H142)+IF(H149=0,0,H143)+IF(H150=0,0,H144)+IF(H151=0,0,H145)))*100</f>
        <v>103.4957963725973</v>
      </c>
      <c r="J147" s="613">
        <f>SUM(J148:J151)</f>
        <v>8094574.7430575844</v>
      </c>
      <c r="K147" s="614">
        <f>((J148+J149+J150+J151)/(IF(J148=0,0,J142)+IF(J149=0,0,J143)+IF(J150=0,0,J144)+IF(J151=0,0,J145)))*100</f>
        <v>99.367375799385755</v>
      </c>
      <c r="L147" s="613">
        <f>SUM(L148:L151)</f>
        <v>3240741.2921312745</v>
      </c>
      <c r="M147" s="614">
        <f>((L148+L149+L150+L151)/(IF(L148=0,0,L142)+IF(L149=0,0,L143)+IF(L150=0,0,L144)+IF(L151=0,0,L145)))*100</f>
        <v>115.47961154030509</v>
      </c>
      <c r="N147" s="613">
        <f>SUM(N148:N151)</f>
        <v>8532944.7926787324</v>
      </c>
      <c r="O147" s="613">
        <f>SUM(O148:O151)</f>
        <v>10545499.251490008</v>
      </c>
      <c r="P147" s="613">
        <f>SUM(P148:P151)</f>
        <v>-2012554.4588112747</v>
      </c>
    </row>
    <row r="148" spans="1:16">
      <c r="A148" s="40" t="s">
        <v>1091</v>
      </c>
      <c r="B148" s="317">
        <v>4746834</v>
      </c>
      <c r="C148" s="616">
        <v>103.65017726175785</v>
      </c>
      <c r="D148" s="317">
        <v>4560394</v>
      </c>
      <c r="E148" s="616">
        <v>103.61541100636862</v>
      </c>
      <c r="F148" s="317">
        <v>186440</v>
      </c>
      <c r="G148" s="616">
        <v>104.50789807060616</v>
      </c>
      <c r="H148" s="317">
        <v>2260685</v>
      </c>
      <c r="I148" s="616">
        <v>104.3815902657184</v>
      </c>
      <c r="J148" s="317">
        <v>1666613</v>
      </c>
      <c r="K148" s="616">
        <v>107.59533468821742</v>
      </c>
      <c r="L148" s="317">
        <v>594072</v>
      </c>
      <c r="M148" s="616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4" t="s">
        <v>1092</v>
      </c>
      <c r="B149" s="317">
        <v>5187689</v>
      </c>
      <c r="C149" s="616">
        <v>97.182949252210307</v>
      </c>
      <c r="D149" s="317">
        <v>4765736</v>
      </c>
      <c r="E149" s="616">
        <v>95.774745256415613</v>
      </c>
      <c r="F149" s="317">
        <v>421953</v>
      </c>
      <c r="G149" s="616">
        <v>116.53552658106886</v>
      </c>
      <c r="H149" s="317">
        <v>2785320</v>
      </c>
      <c r="I149" s="616">
        <v>101.91426793164882</v>
      </c>
      <c r="J149" s="317">
        <v>1986777</v>
      </c>
      <c r="K149" s="616">
        <v>100.04385907490084</v>
      </c>
      <c r="L149" s="317">
        <v>798543</v>
      </c>
      <c r="M149" s="616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4" t="s">
        <v>1303</v>
      </c>
      <c r="B150" s="317">
        <v>5085411.2909975499</v>
      </c>
      <c r="C150" s="616">
        <v>95.752587247795191</v>
      </c>
      <c r="D150" s="317">
        <v>4838911.4105575504</v>
      </c>
      <c r="E150" s="616">
        <v>94.335854081802324</v>
      </c>
      <c r="F150" s="317">
        <v>246499.88043999986</v>
      </c>
      <c r="G150" s="616">
        <v>135.78268174506988</v>
      </c>
      <c r="H150" s="317">
        <v>3077246.5529703242</v>
      </c>
      <c r="I150" s="616">
        <v>102.75058860552626</v>
      </c>
      <c r="J150" s="317">
        <v>2188256.1923896642</v>
      </c>
      <c r="K150" s="616">
        <v>92.122983778051037</v>
      </c>
      <c r="L150" s="317">
        <v>888990.36058065994</v>
      </c>
      <c r="M150" s="616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4" t="s">
        <v>1093</v>
      </c>
      <c r="B151" s="317">
        <v>4848326.5368700409</v>
      </c>
      <c r="C151" s="616">
        <v>87.121066170534846</v>
      </c>
      <c r="D151" s="317">
        <v>4475032.5839900412</v>
      </c>
      <c r="E151" s="612">
        <v>86.837501806886848</v>
      </c>
      <c r="F151" s="317">
        <v>373293.95287999988</v>
      </c>
      <c r="G151" s="612">
        <v>90.670470260186903</v>
      </c>
      <c r="H151" s="317">
        <v>3212064.4822185347</v>
      </c>
      <c r="I151" s="612">
        <v>105.01132910283924</v>
      </c>
      <c r="J151" s="317">
        <v>2252928.5506679201</v>
      </c>
      <c r="K151" s="612">
        <v>100.76272379573635</v>
      </c>
      <c r="L151" s="317">
        <v>959135.93155061454</v>
      </c>
      <c r="M151" s="612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4"/>
      <c r="B152" s="317"/>
      <c r="C152" s="616"/>
      <c r="D152" s="317"/>
      <c r="E152" s="616"/>
      <c r="F152" s="317"/>
      <c r="G152" s="616"/>
      <c r="H152" s="317"/>
      <c r="I152" s="616"/>
      <c r="J152" s="317"/>
      <c r="K152" s="616"/>
      <c r="L152" s="317"/>
      <c r="M152" s="616"/>
      <c r="N152" s="317"/>
      <c r="O152" s="317"/>
      <c r="P152" s="317"/>
    </row>
    <row r="153" spans="1:16">
      <c r="A153" s="40" t="s">
        <v>2407</v>
      </c>
      <c r="B153" s="613">
        <f>SUM(B154:B157)</f>
        <v>12588158.035708018</v>
      </c>
      <c r="C153" s="614">
        <f>((B154+B155+B156+B157)/(IF(B154=0,0,B148)+IF(B155=0,0,B149)+IF(B156=0,0,B150)+IF(B157=0,0,B151)))*100</f>
        <v>63.358127542052564</v>
      </c>
      <c r="D153" s="613">
        <f>SUM(D154:D157)</f>
        <v>11361019.2327592</v>
      </c>
      <c r="E153" s="614">
        <f>((D154+D155+D156+D157)/(IF(D154=0,0,D148)+IF(D155=0,0,D149)+IF(D156=0,0,D150)+IF(D157=0,0,D151)))*100</f>
        <v>60.949432046688287</v>
      </c>
      <c r="F153" s="613">
        <f>SUM(F154:F157)</f>
        <v>1227138.8029488199</v>
      </c>
      <c r="G153" s="614">
        <f>((F154+F155+F156+F157)/(IF(F154=0,0,F148)+IF(F155=0,0,F149)+IF(F156=0,0,F150)+IF(F157=0,0,F151)))*100</f>
        <v>99.914668489944091</v>
      </c>
      <c r="H153" s="613">
        <f>SUM(H154:H157)</f>
        <v>10076563.924735539</v>
      </c>
      <c r="I153" s="614">
        <f>((H154+H155+H156+H157)/(IF(H154=0,0,H148)+IF(H155=0,0,H149)+IF(H156=0,0,H150)+IF(H157=0,0,H151)))*100</f>
        <v>88.895306433929989</v>
      </c>
      <c r="J153" s="613">
        <f>SUM(J154:J157)</f>
        <v>7503563.5902759498</v>
      </c>
      <c r="K153" s="614">
        <f>((J154+J155+J156+J157)/(IF(J154=0,0,J148)+IF(J155=0,0,J149)+IF(J156=0,0,J150)+IF(J157=0,0,J151)))*100</f>
        <v>92.698675698948577</v>
      </c>
      <c r="L153" s="613">
        <f>SUM(L154:L157)</f>
        <v>2573000.3344595898</v>
      </c>
      <c r="M153" s="614">
        <f>((L154+L155+L156+L157)/(IF(L154=0,0,L148)+IF(L155=0,0,L149)+IF(L156=0,0,L150)+IF(L157=0,0,L151)))*100</f>
        <v>79.395425383291098</v>
      </c>
      <c r="N153" s="613">
        <f>SUM(N154:N157)</f>
        <v>2511594.1109724799</v>
      </c>
      <c r="O153" s="613">
        <f>SUM(O154:O157)</f>
        <v>3857455.6424832502</v>
      </c>
      <c r="P153" s="613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16">
        <f>B154/B148*100</f>
        <v>94.024122183333148</v>
      </c>
      <c r="D154" s="317">
        <v>4181813</v>
      </c>
      <c r="E154" s="616">
        <f>D154/D148*100</f>
        <v>91.69850236624292</v>
      </c>
      <c r="F154" s="317">
        <v>281356</v>
      </c>
      <c r="G154" s="616">
        <f>F154/F148*100</f>
        <v>150.90967603518558</v>
      </c>
      <c r="H154" s="317">
        <f>J154+L154</f>
        <v>2590101</v>
      </c>
      <c r="I154" s="616">
        <f>H154/H148*100</f>
        <v>114.57151261675111</v>
      </c>
      <c r="J154" s="317">
        <v>1963326</v>
      </c>
      <c r="K154" s="616">
        <f>J154/J148*100</f>
        <v>117.80335326797523</v>
      </c>
      <c r="L154" s="317">
        <v>626775</v>
      </c>
      <c r="M154" s="616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16">
        <f>B155/B149*100</f>
        <v>50.378993075983182</v>
      </c>
      <c r="D155" s="317">
        <f>6406321.35471707-D154</f>
        <v>2224508.3547170702</v>
      </c>
      <c r="E155" s="616">
        <f t="shared" ref="E155:E157" si="3">D155/D149*100</f>
        <v>46.677120904663418</v>
      </c>
      <c r="F155" s="317">
        <f>670353.127396471-F154</f>
        <v>388997.12739647098</v>
      </c>
      <c r="G155" s="616">
        <f>F155/F149*100</f>
        <v>92.189681646171735</v>
      </c>
      <c r="H155" s="317">
        <f>J155+L155</f>
        <v>2199479.6892571002</v>
      </c>
      <c r="I155" s="616">
        <f>H155/H149*100</f>
        <v>78.966858000412884</v>
      </c>
      <c r="J155" s="317">
        <f>3566100.8411871-J154</f>
        <v>1602774.8411870999</v>
      </c>
      <c r="K155" s="616">
        <f>J155/J149*100</f>
        <v>80.672105686098632</v>
      </c>
      <c r="L155" s="317">
        <f>1223479.84807-L154</f>
        <v>596704.84807000007</v>
      </c>
      <c r="M155" s="616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16">
        <f>B156/B150*100</f>
        <v>52.826682055735766</v>
      </c>
      <c r="D156" s="317">
        <v>2477492.400206469</v>
      </c>
      <c r="E156" s="616">
        <f t="shared" si="3"/>
        <v>51.199375024743567</v>
      </c>
      <c r="F156" s="317">
        <v>208961.65371529397</v>
      </c>
      <c r="G156" s="616">
        <v>84.771503070224412</v>
      </c>
      <c r="H156" s="317">
        <v>2629910.5730516296</v>
      </c>
      <c r="I156" s="616">
        <v>85.463108911864666</v>
      </c>
      <c r="J156" s="317">
        <v>2007594.1866916297</v>
      </c>
      <c r="K156" s="616">
        <v>91.744019446793189</v>
      </c>
      <c r="L156" s="317">
        <v>622316.38635999989</v>
      </c>
      <c r="M156" s="616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4" t="s">
        <v>1093</v>
      </c>
      <c r="B157" s="317">
        <f>D157+F157</f>
        <v>2825029.4996727156</v>
      </c>
      <c r="C157" s="616">
        <f>B157/B151*100</f>
        <v>58.268135988556665</v>
      </c>
      <c r="D157" s="317">
        <f>11361019.2327592-D154-D155-D156</f>
        <v>2477205.4778356608</v>
      </c>
      <c r="E157" s="616">
        <f t="shared" si="3"/>
        <v>55.356143923915923</v>
      </c>
      <c r="F157" s="317">
        <f>1227138.80294882-F154-F155-F156</f>
        <v>347824.02183705498</v>
      </c>
      <c r="G157" s="616">
        <f>F157/F151*100</f>
        <v>93.176977326730892</v>
      </c>
      <c r="H157" s="317">
        <f>J157+L157</f>
        <v>2657072.6624268098</v>
      </c>
      <c r="I157" s="616">
        <f>H157/H151*100</f>
        <v>82.721647623699056</v>
      </c>
      <c r="J157" s="317">
        <f>7503563.59027595-J154-J155-J156</f>
        <v>1929868.5623972202</v>
      </c>
      <c r="K157" s="616">
        <f>J157/J151*100</f>
        <v>85.660442352913364</v>
      </c>
      <c r="L157" s="317">
        <f>2573000.33445959-L154-L155-L156</f>
        <v>727204.10002958984</v>
      </c>
      <c r="M157" s="616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4"/>
      <c r="B158" s="317"/>
      <c r="C158" s="616"/>
      <c r="D158" s="317"/>
      <c r="E158" s="616"/>
      <c r="F158" s="317"/>
      <c r="G158" s="616"/>
      <c r="H158" s="317"/>
      <c r="I158" s="616"/>
      <c r="J158" s="317"/>
      <c r="K158" s="616"/>
      <c r="L158" s="317"/>
      <c r="M158" s="616"/>
      <c r="N158" s="317"/>
      <c r="O158" s="317"/>
      <c r="P158" s="317"/>
    </row>
    <row r="159" spans="1:16">
      <c r="A159" s="40" t="s">
        <v>2583</v>
      </c>
      <c r="B159" s="613">
        <f>SUM(B160:B163)</f>
        <v>21692281.000000007</v>
      </c>
      <c r="C159" s="614">
        <f>((B160+B161+B162+B163)/(IF(B160=0,0,B154)+IF(B161=0,0,B155)+IF(B162=0,0,B156)+IF(B163=0,0,B157)))*100</f>
        <v>172.32291601731492</v>
      </c>
      <c r="D159" s="613">
        <f>SUM(D160:D163)</f>
        <v>19889468.834310226</v>
      </c>
      <c r="E159" s="614">
        <f>((D160+D161+D162+D163)/(IF(D160=0,0,D154)+IF(D161=0,0,D155)+IF(D162=0,0,D156)+IF(D163=0,0,D157)))*100</f>
        <v>175.06764513662179</v>
      </c>
      <c r="F159" s="613">
        <f>SUM(F160:F163)</f>
        <v>1802812.1656897794</v>
      </c>
      <c r="G159" s="614">
        <f>((F160+F161+F162+F163)/(IF(F160=0,0,F154)+IF(F161=0,0,F155)+IF(F162=0,0,F156)+IF(F163=0,0,F157)))*100</f>
        <v>146.91183763056094</v>
      </c>
      <c r="H159" s="613">
        <f>SUM(H160:H163)</f>
        <v>10418668</v>
      </c>
      <c r="I159" s="614">
        <f>((H160+H161+H162+H163)/(IF(H160=0,0,H154)+IF(H161=0,0,H155)+IF(H162=0,0,H156)+IF(H163=0,0,H157)))*100</f>
        <v>103.3950469407997</v>
      </c>
      <c r="J159" s="613">
        <f>SUM(J160:J163)</f>
        <v>7818125.4841546798</v>
      </c>
      <c r="K159" s="614">
        <f>((J160+J161+J162+J163)/(IF(J160=0,0,J154)+IF(J161=0,0,J155)+IF(J162=0,0,J156)+IF(J163=0,0,J157)))*100</f>
        <v>104.19216669645313</v>
      </c>
      <c r="L159" s="613">
        <f>SUM(L160:L163)</f>
        <v>2600542.5158453202</v>
      </c>
      <c r="M159" s="614">
        <f>((L160+L161+L162+L163)/(IF(L160=0,0,L154)+IF(L161=0,0,L155)+IF(L162=0,0,L156)+IF(L163=0,0,L157)))*100</f>
        <v>101.070430540442</v>
      </c>
      <c r="N159" s="613">
        <f>SUM(N160:N163)</f>
        <v>11273613.000000006</v>
      </c>
      <c r="O159" s="613">
        <f>SUM(O160:O163)</f>
        <v>12071343.350155547</v>
      </c>
      <c r="P159" s="613">
        <f>SUM(P160:P163)</f>
        <v>-797730.35015554074</v>
      </c>
    </row>
    <row r="160" spans="1:16">
      <c r="A160" s="40" t="s">
        <v>1091</v>
      </c>
      <c r="B160" s="317">
        <v>3840624</v>
      </c>
      <c r="C160" s="612">
        <v>86.051502867133195</v>
      </c>
      <c r="D160" s="317">
        <v>3592681</v>
      </c>
      <c r="E160" s="616">
        <f t="shared" ref="E160:E161" si="4">D160/D154*100</f>
        <v>85.912043412749455</v>
      </c>
      <c r="F160" s="317">
        <v>247943</v>
      </c>
      <c r="G160" s="612">
        <v>88.124298042337827</v>
      </c>
      <c r="H160" s="317">
        <v>2291785</v>
      </c>
      <c r="I160" s="612">
        <v>88.482456861720834</v>
      </c>
      <c r="J160" s="317">
        <v>1760142</v>
      </c>
      <c r="K160" s="612">
        <v>89.651030954614768</v>
      </c>
      <c r="L160" s="317">
        <v>531643</v>
      </c>
      <c r="M160" s="612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16">
        <f>B161/B155*100</f>
        <v>172.64773427416037</v>
      </c>
      <c r="D161" s="317">
        <v>4101338</v>
      </c>
      <c r="E161" s="616">
        <f t="shared" si="4"/>
        <v>184.37053703588535</v>
      </c>
      <c r="F161" s="317">
        <v>410820</v>
      </c>
      <c r="G161" s="612">
        <v>105.61003438498065</v>
      </c>
      <c r="H161" s="317">
        <v>2542099</v>
      </c>
      <c r="I161" s="612">
        <v>115.5772891387155</v>
      </c>
      <c r="J161" s="317">
        <v>1934661</v>
      </c>
      <c r="K161" s="612">
        <v>120.70697332428099</v>
      </c>
      <c r="L161" s="317">
        <v>607438</v>
      </c>
      <c r="M161" s="612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90">
        <v>5540097</v>
      </c>
      <c r="C162" s="616">
        <v>206.22340411563741</v>
      </c>
      <c r="D162" s="990">
        <v>5000813</v>
      </c>
      <c r="E162" s="616">
        <v>201.84978164143885</v>
      </c>
      <c r="F162" s="990">
        <v>539284</v>
      </c>
      <c r="G162" s="612">
        <v>258.07797287762833</v>
      </c>
      <c r="H162" s="990">
        <v>2652770</v>
      </c>
      <c r="I162" s="612">
        <v>100.86920928728939</v>
      </c>
      <c r="J162" s="990">
        <v>2037553</v>
      </c>
      <c r="K162" s="612">
        <v>101.49227436037461</v>
      </c>
      <c r="L162" s="990">
        <v>615217</v>
      </c>
      <c r="M162" s="612">
        <v>98.859199835388395</v>
      </c>
      <c r="N162" s="990">
        <v>2887327</v>
      </c>
      <c r="O162" s="990">
        <v>2963260</v>
      </c>
      <c r="P162" s="990">
        <v>-75933</v>
      </c>
    </row>
    <row r="163" spans="1:16">
      <c r="A163" s="40" t="s">
        <v>1093</v>
      </c>
      <c r="B163" s="990">
        <v>7799402.0000000056</v>
      </c>
      <c r="C163" s="616">
        <v>276.08214359898119</v>
      </c>
      <c r="D163" s="990">
        <v>7194636.8343102261</v>
      </c>
      <c r="E163" s="616">
        <v>290.43359134649558</v>
      </c>
      <c r="F163" s="990">
        <v>604765.16568977945</v>
      </c>
      <c r="G163" s="612">
        <v>173.871017446027</v>
      </c>
      <c r="H163" s="990">
        <v>2932014</v>
      </c>
      <c r="I163" s="612">
        <v>110.34752799428811</v>
      </c>
      <c r="J163" s="990">
        <v>2085769.4841546798</v>
      </c>
      <c r="K163" s="612">
        <v>108.07831811943736</v>
      </c>
      <c r="L163" s="990">
        <v>846244.51584532019</v>
      </c>
      <c r="M163" s="612">
        <v>116.36960185055155</v>
      </c>
      <c r="N163" s="990">
        <v>4867388.0000000056</v>
      </c>
      <c r="O163" s="990">
        <v>5108867.3501555463</v>
      </c>
      <c r="P163" s="990">
        <v>-241479.35015554074</v>
      </c>
    </row>
    <row r="164" spans="1:16">
      <c r="A164" s="40"/>
      <c r="B164" s="990"/>
      <c r="C164" s="616"/>
      <c r="D164" s="990"/>
      <c r="E164" s="616"/>
      <c r="F164" s="990"/>
      <c r="G164" s="612"/>
      <c r="H164" s="990"/>
      <c r="I164" s="612"/>
      <c r="J164" s="990"/>
      <c r="K164" s="612"/>
      <c r="L164" s="990"/>
      <c r="M164" s="612"/>
      <c r="N164" s="990"/>
      <c r="O164" s="990"/>
      <c r="P164" s="990"/>
    </row>
    <row r="165" spans="1:16">
      <c r="A165" s="40" t="s">
        <v>2892</v>
      </c>
      <c r="B165" s="613">
        <f>SUM(B166:B169)</f>
        <v>42206696.141908742</v>
      </c>
      <c r="C165" s="614">
        <f>((B166+B167+B168+B169)/(IF(B166=0,0,B160)+IF(B167=0,0,B161)+IF(B168=0,0,B162)+IF(B169=0,0,B163)))*100</f>
        <v>194.570115249331</v>
      </c>
      <c r="D165" s="613">
        <f>SUM(D166:D169)</f>
        <v>40706447.497027099</v>
      </c>
      <c r="E165" s="614">
        <f>((D166+D167+D168+D169)/(IF(D166=0,0,D160)+IF(D167=0,0,D161)+IF(D168=0,0,D162)+IF(D169=0,0,D163)))*100</f>
        <v>204.66332125876914</v>
      </c>
      <c r="F165" s="613">
        <f>SUM(F166:F169)</f>
        <v>1500248.6448816422</v>
      </c>
      <c r="G165" s="614">
        <f>((F166+F167+F168+F169)/(IF(F166=0,0,F160)+IF(F167=0,0,F161)+IF(F168=0,0,F162)+IF(F169=0,0,F163)))*100</f>
        <v>83.217135619207866</v>
      </c>
      <c r="H165" s="613">
        <f>SUM(H166:H169)</f>
        <v>13509216.421858551</v>
      </c>
      <c r="I165" s="614">
        <f>((H166+H167+H168+H169)/(IF(H166=0,0,H160)+IF(H167=0,0,H161)+IF(H168=0,0,H162)+IF(H169=0,0,H163)))*100</f>
        <v>129.66356564830122</v>
      </c>
      <c r="J165" s="613">
        <f>SUM(J166:J169)</f>
        <v>9394522.4003469087</v>
      </c>
      <c r="K165" s="614">
        <f>((J166+J167+J168+J169)/(IF(J166=0,0,J160)+IF(J167=0,0,J161)+IF(J168=0,0,J162)+IF(J169=0,0,J163)))*100</f>
        <v>120.16336165730748</v>
      </c>
      <c r="L165" s="613">
        <f>SUM(L166:L169)</f>
        <v>4114694.0215116423</v>
      </c>
      <c r="M165" s="614">
        <f>((L166+L167+L168+L169)/(IF(L166=0,0,L160)+IF(L167=0,0,L161)+IF(L168=0,0,L162)+IF(L169=0,0,L163)))*100</f>
        <v>158.22444726207982</v>
      </c>
      <c r="N165" s="613">
        <f>SUM(N166:N169)</f>
        <v>28697479.72005019</v>
      </c>
      <c r="O165" s="613">
        <f>SUM(O166:O169)</f>
        <v>31311925.096680187</v>
      </c>
      <c r="P165" s="613">
        <f>SUM(P166:P169)</f>
        <v>-2614445.3766299998</v>
      </c>
    </row>
    <row r="166" spans="1:16">
      <c r="A166" s="40" t="s">
        <v>1091</v>
      </c>
      <c r="B166" s="990">
        <f>D166+F166</f>
        <v>8124292.2643750664</v>
      </c>
      <c r="C166" s="612">
        <f>B166/B160*100</f>
        <v>211.53573649425371</v>
      </c>
      <c r="D166" s="990">
        <v>7696880.979750949</v>
      </c>
      <c r="E166" s="612">
        <f>D166/D160*100</f>
        <v>214.23780680085289</v>
      </c>
      <c r="F166" s="990">
        <v>427411.28462411754</v>
      </c>
      <c r="G166" s="612">
        <f>F166/F160*100</f>
        <v>172.38288018783251</v>
      </c>
      <c r="H166" s="990">
        <f>J166+L166</f>
        <v>2677229.4012737232</v>
      </c>
      <c r="I166" s="612">
        <f>H166/H160*100</f>
        <v>116.81852360817979</v>
      </c>
      <c r="J166" s="990">
        <v>1960665.5076304048</v>
      </c>
      <c r="K166" s="612">
        <f>J166/J160*100</f>
        <v>111.39246195082015</v>
      </c>
      <c r="L166" s="990">
        <v>716563.89364331844</v>
      </c>
      <c r="M166" s="612">
        <f>L166/L160*100</f>
        <v>134.78290763601109</v>
      </c>
      <c r="N166" s="990">
        <f>B166-H166</f>
        <v>5447062.8631013427</v>
      </c>
      <c r="O166" s="990">
        <f>D166-J166</f>
        <v>5736215.4721205439</v>
      </c>
      <c r="P166" s="990">
        <f>F166-L166</f>
        <v>-289152.6090192009</v>
      </c>
    </row>
    <row r="167" spans="1:16">
      <c r="A167" s="40" t="s">
        <v>1092</v>
      </c>
      <c r="B167" s="990">
        <f>D167+F167</f>
        <v>10777523.638336884</v>
      </c>
      <c r="C167" s="616">
        <f>B167/B161*100</f>
        <v>238.85519164747521</v>
      </c>
      <c r="D167" s="990">
        <v>10481057.57075806</v>
      </c>
      <c r="E167" s="616">
        <f t="shared" ref="E167:E168" si="5">D167/D161*100</f>
        <v>255.55215324262619</v>
      </c>
      <c r="F167" s="990">
        <v>296466.06757882365</v>
      </c>
      <c r="G167" s="612">
        <f t="shared" ref="G167:G168" si="6">F167/F161*100</f>
        <v>72.164468034376043</v>
      </c>
      <c r="H167" s="990">
        <f t="shared" ref="H167:H169" si="7">J167+L167</f>
        <v>3202213.6162698241</v>
      </c>
      <c r="I167" s="612">
        <f t="shared" ref="I167:I168" si="8">H167/H161*100</f>
        <v>125.96730561122223</v>
      </c>
      <c r="J167" s="990">
        <v>2191232.069420727</v>
      </c>
      <c r="K167" s="612">
        <f t="shared" ref="K167:K168" si="9">J167/J161*100</f>
        <v>113.26181017866837</v>
      </c>
      <c r="L167" s="990">
        <v>1010981.5468490974</v>
      </c>
      <c r="M167" s="612">
        <f t="shared" ref="M167:M168" si="10">L167/L161*100</f>
        <v>166.43370135702696</v>
      </c>
      <c r="N167" s="990">
        <f t="shared" ref="N167:N169" si="11">B167-H167</f>
        <v>7575310.0220670598</v>
      </c>
      <c r="O167" s="990">
        <f t="shared" ref="O167:O168" si="12">D167-J167</f>
        <v>8289825.5013373327</v>
      </c>
      <c r="P167" s="990">
        <f t="shared" ref="P167:P168" si="13">F167-L167</f>
        <v>-714515.4792702737</v>
      </c>
    </row>
    <row r="168" spans="1:16">
      <c r="A168" s="40" t="s">
        <v>1303</v>
      </c>
      <c r="B168" s="990">
        <f>D168+F168</f>
        <v>12325090</v>
      </c>
      <c r="C168" s="616">
        <f>B168/B162*100</f>
        <v>222.47065349216811</v>
      </c>
      <c r="D168" s="990">
        <v>12012348.4</v>
      </c>
      <c r="E168" s="616">
        <f t="shared" si="5"/>
        <v>240.20791019380249</v>
      </c>
      <c r="F168" s="990">
        <v>312741.59999999998</v>
      </c>
      <c r="G168" s="612">
        <f t="shared" si="6"/>
        <v>57.992004212993521</v>
      </c>
      <c r="H168" s="990">
        <f t="shared" si="7"/>
        <v>3655101</v>
      </c>
      <c r="I168" s="612">
        <f t="shared" si="8"/>
        <v>137.78431601684278</v>
      </c>
      <c r="J168" s="990">
        <v>2578357.4</v>
      </c>
      <c r="K168" s="612">
        <f t="shared" si="9"/>
        <v>126.54185682531937</v>
      </c>
      <c r="L168" s="990">
        <v>1076743.6000000001</v>
      </c>
      <c r="M168" s="612">
        <f t="shared" si="10"/>
        <v>175.01850566548066</v>
      </c>
      <c r="N168" s="990">
        <f t="shared" si="11"/>
        <v>8669989</v>
      </c>
      <c r="O168" s="990">
        <f t="shared" si="12"/>
        <v>9433991</v>
      </c>
      <c r="P168" s="990">
        <f t="shared" si="13"/>
        <v>-764002.00000000012</v>
      </c>
    </row>
    <row r="169" spans="1:16">
      <c r="A169" s="40" t="s">
        <v>1093</v>
      </c>
      <c r="B169" s="990">
        <f>D169+F169</f>
        <v>10979790.23919679</v>
      </c>
      <c r="C169" s="616">
        <f>B169/B163*100</f>
        <v>140.77733445713895</v>
      </c>
      <c r="D169" s="990">
        <v>10516160.546518089</v>
      </c>
      <c r="E169" s="616">
        <f>D169/D163*100</f>
        <v>146.16666259467019</v>
      </c>
      <c r="F169" s="990">
        <v>463629.69267870102</v>
      </c>
      <c r="G169" s="612">
        <f>F169/F163*100</f>
        <v>76.662764157372891</v>
      </c>
      <c r="H169" s="990">
        <f t="shared" si="7"/>
        <v>3974672.4043150037</v>
      </c>
      <c r="I169" s="612">
        <f>H169/H163*100</f>
        <v>135.56116731758456</v>
      </c>
      <c r="J169" s="990">
        <v>2664267.4232957773</v>
      </c>
      <c r="K169" s="612">
        <f>J169/J163*100</f>
        <v>127.73546854222728</v>
      </c>
      <c r="L169" s="990">
        <v>1310404.9810192264</v>
      </c>
      <c r="M169" s="612">
        <f>L169/L163*100</f>
        <v>154.84945030459107</v>
      </c>
      <c r="N169" s="990">
        <f t="shared" si="11"/>
        <v>7005117.8348817863</v>
      </c>
      <c r="O169" s="990">
        <f>D169-J169</f>
        <v>7851893.123222312</v>
      </c>
      <c r="P169" s="990">
        <f>F169-L169</f>
        <v>-846775.28834052535</v>
      </c>
    </row>
    <row r="170" spans="1:16">
      <c r="A170" s="40"/>
      <c r="B170" s="990"/>
      <c r="C170" s="616"/>
      <c r="D170" s="990"/>
      <c r="E170" s="616"/>
      <c r="F170" s="990"/>
      <c r="G170" s="612"/>
      <c r="H170" s="990"/>
      <c r="I170" s="612"/>
      <c r="J170" s="990"/>
      <c r="K170" s="612"/>
      <c r="L170" s="990"/>
      <c r="M170" s="612"/>
      <c r="N170" s="990"/>
      <c r="O170" s="990"/>
      <c r="P170" s="990"/>
    </row>
    <row r="171" spans="1:16">
      <c r="A171" s="40" t="s">
        <v>3605</v>
      </c>
      <c r="B171" s="613">
        <f>SUM(B172:B175)</f>
        <v>29202113.999999963</v>
      </c>
      <c r="C171" s="614">
        <f>((B172+B173+B174+B175)/(IF(B172=0,0,B166)+IF(B173=0,0,B167)+IF(B174=0,0,B168)+IF(B175=0,0,B169)))*100</f>
        <v>69.188343721137642</v>
      </c>
      <c r="D171" s="613">
        <f>SUM(D172:D175)</f>
        <v>27586296.546869501</v>
      </c>
      <c r="E171" s="614">
        <f>((D172+D173+D174+D175)/(IF(D172=0,0,D166)+IF(D173=0,0,D167)+IF(D174=0,0,D168)+IF(D175=0,0,D169)))*100</f>
        <v>67.768862779991309</v>
      </c>
      <c r="F171" s="613">
        <f>SUM(F172:F175)</f>
        <v>1615817.4531304601</v>
      </c>
      <c r="G171" s="614">
        <f>((F172+F173+F174+F175)/(IF(F172=0,0,F166)+IF(F173=0,0,F167)+IF(F174=0,0,F168)+IF(F175=0,0,F169)))*100</f>
        <v>107.70331029080418</v>
      </c>
      <c r="H171" s="613">
        <f>SUM(H172:H175)</f>
        <v>16396550.999999953</v>
      </c>
      <c r="I171" s="614">
        <f>((H172+H173+H174+H175)/(IF(H172=0,0,H166)+IF(H173=0,0,H167)+IF(H174=0,0,H168)+IF(H175=0,0,H169)))*100</f>
        <v>121.37307218995737</v>
      </c>
      <c r="J171" s="613">
        <f>SUM(J172:J175)</f>
        <v>11911319.282069199</v>
      </c>
      <c r="K171" s="614">
        <f>((J172+J173+J174+J175)/(IF(J172=0,0,J166)+IF(J173=0,0,J167)+IF(J174=0,0,J168)+IF(J175=0,0,J169)))*100</f>
        <v>126.79004609781283</v>
      </c>
      <c r="L171" s="613">
        <f>SUM(L172:L175)</f>
        <v>4485231.7179307546</v>
      </c>
      <c r="M171" s="614">
        <f>((L172+L173+L174+L175)/(IF(L172=0,0,L166)+IF(L173=0,0,L167)+IF(L174=0,0,L168)+IF(L175=0,0,L169)))*100</f>
        <v>109.00523087456659</v>
      </c>
      <c r="N171" s="613">
        <f>SUM(N172:N175)</f>
        <v>12805563.000000009</v>
      </c>
      <c r="O171" s="613">
        <f>SUM(O172:O175)</f>
        <v>15674977.264800303</v>
      </c>
      <c r="P171" s="613">
        <f>SUM(P172:P175)</f>
        <v>-2869414.2648002948</v>
      </c>
    </row>
    <row r="172" spans="1:16">
      <c r="A172" s="40" t="s">
        <v>1091</v>
      </c>
      <c r="B172" s="990">
        <f>D172+F172</f>
        <v>8483779.8959766719</v>
      </c>
      <c r="C172" s="612">
        <f>B172/B166*100</f>
        <v>104.42484858869436</v>
      </c>
      <c r="D172" s="990">
        <v>8161693.78813258</v>
      </c>
      <c r="E172" s="612">
        <f>D172/D166*100</f>
        <v>106.03897617235431</v>
      </c>
      <c r="F172" s="990">
        <v>322086.10784409154</v>
      </c>
      <c r="G172" s="612">
        <f>F172/F166*100</f>
        <v>75.357417885526075</v>
      </c>
      <c r="H172" s="990">
        <f>J172+L172</f>
        <v>3763123.3505233326</v>
      </c>
      <c r="I172" s="612">
        <f>H172/H166*100</f>
        <v>140.56036246774306</v>
      </c>
      <c r="J172" s="990">
        <v>2607074.4095138805</v>
      </c>
      <c r="K172" s="612">
        <f>J172/J166*100</f>
        <v>132.96885161532239</v>
      </c>
      <c r="L172" s="990">
        <v>1156048.9410094521</v>
      </c>
      <c r="M172" s="612">
        <f>L172/L166*100</f>
        <v>161.33229029048658</v>
      </c>
      <c r="N172" s="990">
        <f>B172-H172</f>
        <v>4720656.5454533398</v>
      </c>
      <c r="O172" s="990">
        <f>D172-J172</f>
        <v>5554619.3786186995</v>
      </c>
      <c r="P172" s="990">
        <f>F172-L172</f>
        <v>-833962.83316536061</v>
      </c>
    </row>
    <row r="173" spans="1:16">
      <c r="A173" s="40" t="s">
        <v>1092</v>
      </c>
      <c r="B173" s="990">
        <f>D173+F173</f>
        <v>6673532.1040233281</v>
      </c>
      <c r="C173" s="612">
        <f>B173/B167*100</f>
        <v>61.920830127292056</v>
      </c>
      <c r="D173" s="990">
        <v>6209518.21186742</v>
      </c>
      <c r="E173" s="612">
        <f t="shared" ref="E173:E175" si="14">D173/D167*100</f>
        <v>59.245149355842209</v>
      </c>
      <c r="F173" s="990">
        <v>464013.89215590846</v>
      </c>
      <c r="G173" s="612">
        <f t="shared" ref="G173:G174" si="15">F173/F167*100</f>
        <v>156.51500893353929</v>
      </c>
      <c r="H173" s="990">
        <f t="shared" ref="H173:H175" si="16">J173+L173</f>
        <v>3905253.5792861194</v>
      </c>
      <c r="I173" s="612">
        <f t="shared" ref="I173:I175" si="17">H173/H167*100</f>
        <v>121.95481149178451</v>
      </c>
      <c r="J173" s="990">
        <v>2768918.5904861195</v>
      </c>
      <c r="K173" s="612">
        <f t="shared" ref="K173:K175" si="18">J173/J167*100</f>
        <v>126.36354812103994</v>
      </c>
      <c r="L173" s="990">
        <v>1136334.9887999999</v>
      </c>
      <c r="M173" s="612">
        <f t="shared" ref="M173:M174" si="19">L173/L167*100</f>
        <v>112.39918199709864</v>
      </c>
      <c r="N173" s="990">
        <f t="shared" ref="N173:N175" si="20">B173-H173</f>
        <v>2768278.5247372086</v>
      </c>
      <c r="O173" s="990">
        <f t="shared" ref="O173:O175" si="21">D173-J173</f>
        <v>3440599.6213813005</v>
      </c>
      <c r="P173" s="990">
        <f t="shared" ref="P173:P175" si="22">F173-L173</f>
        <v>-672321.09664409142</v>
      </c>
    </row>
    <row r="174" spans="1:16">
      <c r="A174" s="40" t="s">
        <v>1303</v>
      </c>
      <c r="B174" s="990">
        <f>D174+F174</f>
        <v>6669105.9284742801</v>
      </c>
      <c r="C174" s="612">
        <f>B174/B168*100</f>
        <v>54.109997805081179</v>
      </c>
      <c r="D174" s="990">
        <v>6311780.704334598</v>
      </c>
      <c r="E174" s="612">
        <f t="shared" si="14"/>
        <v>52.544102902764614</v>
      </c>
      <c r="F174" s="990">
        <v>357325.22413968231</v>
      </c>
      <c r="G174" s="612">
        <f t="shared" si="15"/>
        <v>114.25573832828198</v>
      </c>
      <c r="H174" s="990">
        <f t="shared" si="16"/>
        <v>4181578.9290296817</v>
      </c>
      <c r="I174" s="612">
        <f t="shared" si="17"/>
        <v>114.40392287462595</v>
      </c>
      <c r="J174" s="990">
        <v>3149856.425324779</v>
      </c>
      <c r="K174" s="612">
        <f t="shared" si="18"/>
        <v>122.16523688006863</v>
      </c>
      <c r="L174" s="990">
        <v>1031722.5037049027</v>
      </c>
      <c r="M174" s="612">
        <f t="shared" si="19"/>
        <v>95.818772798361891</v>
      </c>
      <c r="N174" s="990">
        <f t="shared" si="20"/>
        <v>2487526.9994445983</v>
      </c>
      <c r="O174" s="990">
        <f t="shared" si="21"/>
        <v>3161924.279009819</v>
      </c>
      <c r="P174" s="990">
        <f t="shared" si="22"/>
        <v>-674397.27956522047</v>
      </c>
    </row>
    <row r="175" spans="1:16">
      <c r="A175" s="711" t="s">
        <v>1093</v>
      </c>
      <c r="B175" s="1504">
        <f>D175+F175</f>
        <v>7375696.0715256818</v>
      </c>
      <c r="C175" s="1505">
        <f>B175/B169*100</f>
        <v>67.175200170902713</v>
      </c>
      <c r="D175" s="1504">
        <v>6903303.8425349034</v>
      </c>
      <c r="E175" s="1505">
        <f t="shared" si="14"/>
        <v>65.644717118935532</v>
      </c>
      <c r="F175" s="1504">
        <v>472392.22899077786</v>
      </c>
      <c r="G175" s="1506">
        <f>F175/F169*100</f>
        <v>101.88998600617009</v>
      </c>
      <c r="H175" s="1504">
        <f t="shared" si="16"/>
        <v>4546595.1411608197</v>
      </c>
      <c r="I175" s="1506">
        <f t="shared" si="17"/>
        <v>114.38917924971432</v>
      </c>
      <c r="J175" s="1504">
        <v>3385469.8567444198</v>
      </c>
      <c r="K175" s="1506">
        <f t="shared" si="18"/>
        <v>127.06944607521771</v>
      </c>
      <c r="L175" s="1504">
        <v>1161125.2844163999</v>
      </c>
      <c r="M175" s="1506">
        <f>L175/L169*100</f>
        <v>88.608125063236756</v>
      </c>
      <c r="N175" s="1504">
        <f t="shared" si="20"/>
        <v>2829100.9303648621</v>
      </c>
      <c r="O175" s="1504">
        <f t="shared" si="21"/>
        <v>3517833.9857904837</v>
      </c>
      <c r="P175" s="1504">
        <f t="shared" si="22"/>
        <v>-688733.05542562203</v>
      </c>
    </row>
    <row r="176" spans="1:16" hidden="1">
      <c r="B176" s="378">
        <v>0</v>
      </c>
      <c r="C176" s="378"/>
      <c r="E176" s="378"/>
      <c r="G176" s="378"/>
      <c r="I176" s="378"/>
      <c r="K176" s="378"/>
      <c r="M176" s="378"/>
    </row>
    <row r="177" spans="1:16" hidden="1">
      <c r="B177" s="378">
        <v>0</v>
      </c>
    </row>
    <row r="178" spans="1:16" hidden="1">
      <c r="B178" s="378">
        <v>0</v>
      </c>
    </row>
    <row r="179" spans="1:16" ht="9" customHeight="1">
      <c r="A179" s="2177" t="s">
        <v>2757</v>
      </c>
      <c r="B179" s="2177"/>
      <c r="C179" s="2177"/>
      <c r="D179" s="2177"/>
      <c r="E179" s="2177"/>
      <c r="F179" s="2177"/>
      <c r="G179" s="2177"/>
      <c r="H179" s="2177"/>
      <c r="I179" s="2177"/>
      <c r="J179" s="2177"/>
      <c r="K179" s="2177"/>
      <c r="L179" s="2177"/>
      <c r="M179" s="2177"/>
      <c r="N179" s="2177"/>
      <c r="O179" s="2177"/>
      <c r="P179" s="2177"/>
    </row>
    <row r="180" spans="1:16" ht="12" customHeight="1">
      <c r="A180" s="2177"/>
      <c r="B180" s="2177"/>
      <c r="C180" s="2177"/>
      <c r="D180" s="2177"/>
      <c r="E180" s="2177"/>
      <c r="F180" s="2177"/>
      <c r="G180" s="2177"/>
      <c r="H180" s="2177"/>
      <c r="I180" s="2177"/>
      <c r="J180" s="2177"/>
      <c r="K180" s="2177"/>
      <c r="L180" s="2177"/>
      <c r="M180" s="2177"/>
      <c r="N180" s="2177"/>
      <c r="O180" s="2177"/>
      <c r="P180" s="2177"/>
    </row>
    <row r="181" spans="1:16">
      <c r="A181" s="378"/>
    </row>
    <row r="183" spans="1:16">
      <c r="B183" s="1500"/>
      <c r="C183" s="1500"/>
      <c r="D183" s="1500"/>
      <c r="E183" s="1500"/>
      <c r="F183" s="1500"/>
      <c r="G183" s="1500"/>
      <c r="H183" s="1500"/>
      <c r="I183" s="1500"/>
      <c r="J183" s="1500"/>
      <c r="K183" s="1500"/>
      <c r="L183" s="1500"/>
      <c r="M183" s="1500"/>
      <c r="N183" s="1500"/>
      <c r="O183" s="1500"/>
      <c r="P183" s="1500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9:P180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5"/>
  <sheetViews>
    <sheetView showGridLines="0" view="pageBreakPreview" zoomScale="115" zoomScaleSheetLayoutView="115" workbookViewId="0">
      <pane ySplit="10" topLeftCell="A242" activePane="bottomLeft" state="frozen"/>
      <selection activeCell="G291" sqref="G291"/>
      <selection pane="bottomLeft" activeCell="E271" sqref="E271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85" customFormat="1" ht="18.75" customHeight="1">
      <c r="A2" s="2217" t="s">
        <v>3528</v>
      </c>
      <c r="B2" s="2217"/>
      <c r="C2" s="2217"/>
      <c r="D2" s="2217"/>
      <c r="E2" s="2217"/>
    </row>
    <row r="3" spans="1:31" s="585" customFormat="1" ht="18.75" customHeight="1">
      <c r="A3" s="2218" t="s">
        <v>3529</v>
      </c>
      <c r="B3" s="2218"/>
      <c r="C3" s="2218"/>
      <c r="D3" s="2218"/>
      <c r="E3" s="2218"/>
    </row>
    <row r="4" spans="1:31" s="585" customFormat="1" ht="11.25" customHeight="1">
      <c r="A4" s="605"/>
      <c r="B4" s="605"/>
      <c r="C4" s="605"/>
      <c r="D4" s="605"/>
      <c r="E4" s="605"/>
    </row>
    <row r="5" spans="1:31" ht="11.25" customHeight="1">
      <c r="A5" s="586"/>
      <c r="B5" s="587"/>
      <c r="C5" s="587"/>
      <c r="D5" s="587"/>
      <c r="E5" s="587"/>
    </row>
    <row r="6" spans="1:31" s="88" customFormat="1">
      <c r="A6" s="2219" t="s">
        <v>182</v>
      </c>
      <c r="B6" s="2221" t="s">
        <v>3530</v>
      </c>
      <c r="C6" s="2222"/>
      <c r="D6" s="2222" t="s">
        <v>3531</v>
      </c>
      <c r="E6" s="2222"/>
    </row>
    <row r="7" spans="1:31" s="88" customFormat="1">
      <c r="A7" s="2220"/>
      <c r="B7" s="1508" t="s">
        <v>3532</v>
      </c>
      <c r="C7" s="1508" t="s">
        <v>3533</v>
      </c>
      <c r="D7" s="1508" t="s">
        <v>3532</v>
      </c>
      <c r="E7" s="1517" t="s">
        <v>3533</v>
      </c>
    </row>
    <row r="8" spans="1:31">
      <c r="A8" s="1518"/>
      <c r="B8" s="1519"/>
      <c r="C8" s="1519"/>
      <c r="D8" s="1519"/>
      <c r="E8" s="1520"/>
    </row>
    <row r="9" spans="1:31">
      <c r="A9" s="2223" t="s">
        <v>304</v>
      </c>
      <c r="B9" s="2225" t="s">
        <v>3534</v>
      </c>
      <c r="C9" s="2226"/>
      <c r="D9" s="2226" t="s">
        <v>3535</v>
      </c>
      <c r="E9" s="2226"/>
    </row>
    <row r="10" spans="1:31">
      <c r="A10" s="2224"/>
      <c r="B10" s="1507" t="s">
        <v>105</v>
      </c>
      <c r="C10" s="1507" t="s">
        <v>3536</v>
      </c>
      <c r="D10" s="1507" t="s">
        <v>105</v>
      </c>
      <c r="E10" s="1507" t="s">
        <v>3536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21">
        <v>103.1</v>
      </c>
      <c r="C57" s="1521">
        <v>123</v>
      </c>
      <c r="D57" s="1521">
        <v>124.19752118793643</v>
      </c>
      <c r="E57" s="152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21">
        <v>108.07148345424234</v>
      </c>
      <c r="C58" s="1521">
        <v>131.30612814950445</v>
      </c>
      <c r="D58" s="1521">
        <v>128.51864565388277</v>
      </c>
      <c r="E58" s="152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21">
        <v>108.05000216054745</v>
      </c>
      <c r="C59" s="1521">
        <v>130.83553961133705</v>
      </c>
      <c r="D59" s="1521">
        <v>126.94928196153209</v>
      </c>
      <c r="E59" s="152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21">
        <v>106.2</v>
      </c>
      <c r="C60" s="1521">
        <v>128</v>
      </c>
      <c r="D60" s="1521">
        <v>123.99426974227519</v>
      </c>
      <c r="E60" s="152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21">
        <v>103.1</v>
      </c>
      <c r="C61" s="1521">
        <v>124</v>
      </c>
      <c r="D61" s="1521">
        <v>119.57249586313594</v>
      </c>
      <c r="E61" s="152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21">
        <v>100.68004174117964</v>
      </c>
      <c r="C62" s="1521">
        <v>121.51617266669739</v>
      </c>
      <c r="D62" s="1521">
        <v>115.74597442651607</v>
      </c>
      <c r="E62" s="152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21">
        <v>100.56840277824344</v>
      </c>
      <c r="C63" s="1521">
        <v>121.88099443223825</v>
      </c>
      <c r="D63" s="1521">
        <v>116.80516673483064</v>
      </c>
      <c r="E63" s="152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21">
        <v>99.992776775283929</v>
      </c>
      <c r="C64" s="1521">
        <v>122.01394620535584</v>
      </c>
      <c r="D64" s="1521">
        <v>115.97338366500441</v>
      </c>
      <c r="E64" s="152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21">
        <v>98.95375073383822</v>
      </c>
      <c r="C65" s="1521">
        <v>120.80314399996075</v>
      </c>
      <c r="D65" s="1521">
        <v>114.93804792277264</v>
      </c>
      <c r="E65" s="152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21">
        <v>97.300748609997385</v>
      </c>
      <c r="C66" s="1521">
        <v>117.98002375469721</v>
      </c>
      <c r="D66" s="1521">
        <v>112.84857667642464</v>
      </c>
      <c r="E66" s="152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21">
        <v>96.76557945178854</v>
      </c>
      <c r="C67" s="1521">
        <v>116.98753565056322</v>
      </c>
      <c r="D67" s="1521">
        <v>113.29680809447919</v>
      </c>
      <c r="E67" s="152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21">
        <v>98.33791169486986</v>
      </c>
      <c r="C68" s="1521">
        <v>119.09333464520459</v>
      </c>
      <c r="D68" s="1521">
        <v>115.53161429725617</v>
      </c>
      <c r="E68" s="152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521"/>
      <c r="C69" s="1521"/>
      <c r="D69" s="1521"/>
      <c r="E69" s="152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21">
        <v>99.242214915068402</v>
      </c>
      <c r="C70" s="1521">
        <v>119.18864474043227</v>
      </c>
      <c r="D70" s="1521">
        <v>117.36218959846798</v>
      </c>
      <c r="E70" s="152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21">
        <v>102.41250997766213</v>
      </c>
      <c r="C71" s="1521">
        <v>121.21029534529802</v>
      </c>
      <c r="D71" s="1521">
        <v>121.89703147807731</v>
      </c>
      <c r="E71" s="152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21">
        <v>102.16862987905446</v>
      </c>
      <c r="C72" s="1521">
        <v>120.55000605025569</v>
      </c>
      <c r="D72" s="1521">
        <v>122.39551240924369</v>
      </c>
      <c r="E72" s="152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21">
        <v>102.64418606064629</v>
      </c>
      <c r="C73" s="1521">
        <v>120.12061780044628</v>
      </c>
      <c r="D73" s="1521">
        <v>122.56273417904904</v>
      </c>
      <c r="E73" s="152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21">
        <v>107.060118652734</v>
      </c>
      <c r="C74" s="1521">
        <v>124.00008632039288</v>
      </c>
      <c r="D74" s="1521">
        <v>127.51249400695693</v>
      </c>
      <c r="E74" s="152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21">
        <v>109.27050514211085</v>
      </c>
      <c r="C75" s="1521">
        <v>126.07859383911403</v>
      </c>
      <c r="D75" s="1521">
        <v>129.3605823857294</v>
      </c>
      <c r="E75" s="152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21">
        <v>106.27187091832498</v>
      </c>
      <c r="C76" s="1521">
        <v>123.55176811749457</v>
      </c>
      <c r="D76" s="1521">
        <v>125.72622397073962</v>
      </c>
      <c r="E76" s="152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21">
        <v>105.18608248012794</v>
      </c>
      <c r="C77" s="1521">
        <v>122.42277410923421</v>
      </c>
      <c r="D77" s="1521">
        <v>124.82154452672677</v>
      </c>
      <c r="E77" s="152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21">
        <v>104.67313718987634</v>
      </c>
      <c r="C78" s="1521">
        <v>122.65379358097431</v>
      </c>
      <c r="D78" s="1521">
        <v>124.80825847175078</v>
      </c>
      <c r="E78" s="152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21">
        <v>100.66931139435128</v>
      </c>
      <c r="C79" s="1521">
        <v>119.83743592983802</v>
      </c>
      <c r="D79" s="1521">
        <v>120.54769126858373</v>
      </c>
      <c r="E79" s="152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21">
        <v>101.81569108152895</v>
      </c>
      <c r="C80" s="1521">
        <v>121.30107839902388</v>
      </c>
      <c r="D80" s="1521">
        <v>123.75984428356971</v>
      </c>
      <c r="E80" s="152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21">
        <v>104.24373198736943</v>
      </c>
      <c r="C81" s="1521">
        <v>123.19885301577337</v>
      </c>
      <c r="D81" s="1521">
        <v>127.68472379390381</v>
      </c>
      <c r="E81" s="152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521"/>
      <c r="C82" s="1521"/>
      <c r="D82" s="1522"/>
      <c r="E82" s="1522"/>
    </row>
    <row r="83" spans="1:31">
      <c r="A83" s="40" t="s">
        <v>18</v>
      </c>
      <c r="B83" s="1521">
        <v>103.77806153103111</v>
      </c>
      <c r="C83" s="1521">
        <v>122.78169156158205</v>
      </c>
      <c r="D83" s="1521">
        <v>128.05955460202622</v>
      </c>
      <c r="E83" s="1521">
        <v>114.72433770673038</v>
      </c>
    </row>
    <row r="84" spans="1:31">
      <c r="A84" s="40" t="s">
        <v>19</v>
      </c>
      <c r="B84" s="1521">
        <v>102.75753236478488</v>
      </c>
      <c r="C84" s="1521">
        <v>121.81294746910102</v>
      </c>
      <c r="D84" s="1521">
        <v>128.85735595348828</v>
      </c>
      <c r="E84" s="1521">
        <v>115.40152838783933</v>
      </c>
    </row>
    <row r="85" spans="1:31">
      <c r="A85" s="40" t="s">
        <v>20</v>
      </c>
      <c r="B85" s="1521">
        <v>101.32491762370059</v>
      </c>
      <c r="C85" s="1521">
        <v>120.44794046549116</v>
      </c>
      <c r="D85" s="1521">
        <v>127.28073664177801</v>
      </c>
      <c r="E85" s="1521">
        <v>114.41942133459121</v>
      </c>
    </row>
    <row r="86" spans="1:31">
      <c r="A86" s="40" t="s">
        <v>21</v>
      </c>
      <c r="B86" s="1521">
        <v>99.066905083372134</v>
      </c>
      <c r="C86" s="1521">
        <v>118.58972368240293</v>
      </c>
      <c r="D86" s="1523">
        <v>123.26394617777781</v>
      </c>
      <c r="E86" s="1523">
        <v>111.56588203946657</v>
      </c>
    </row>
    <row r="87" spans="1:31">
      <c r="A87" s="40" t="s">
        <v>22</v>
      </c>
      <c r="B87" s="1521">
        <v>99.768998732305874</v>
      </c>
      <c r="C87" s="1521">
        <v>119.46018957402917</v>
      </c>
      <c r="D87" s="1523">
        <v>123.20688205172416</v>
      </c>
      <c r="E87" s="1523">
        <v>110.91629611083748</v>
      </c>
    </row>
    <row r="88" spans="1:31">
      <c r="A88" s="40" t="s">
        <v>23</v>
      </c>
      <c r="B88" s="1521">
        <v>100.22001912812082</v>
      </c>
      <c r="C88" s="1521">
        <v>121.15251982531957</v>
      </c>
      <c r="D88" s="1523">
        <v>122.78049204391444</v>
      </c>
      <c r="E88" s="1523">
        <v>111.5863348630828</v>
      </c>
    </row>
    <row r="89" spans="1:31">
      <c r="A89" s="40" t="s">
        <v>24</v>
      </c>
      <c r="B89" s="1521">
        <v>101.0853120237993</v>
      </c>
      <c r="C89" s="1521">
        <v>123.60943069392583</v>
      </c>
      <c r="D89" s="1523">
        <v>123.30085360487563</v>
      </c>
      <c r="E89" s="1523">
        <v>113.13216990883178</v>
      </c>
    </row>
    <row r="90" spans="1:31">
      <c r="A90" s="40" t="s">
        <v>25</v>
      </c>
      <c r="B90" s="1521">
        <v>101.55470462948762</v>
      </c>
      <c r="C90" s="1521">
        <v>123.91931857888233</v>
      </c>
      <c r="D90" s="1523">
        <v>124.22632652665851</v>
      </c>
      <c r="E90" s="1523">
        <v>113.64473767131943</v>
      </c>
    </row>
    <row r="91" spans="1:31">
      <c r="A91" s="40" t="s">
        <v>26</v>
      </c>
      <c r="B91" s="1521">
        <v>104.45609985414954</v>
      </c>
      <c r="C91" s="1521">
        <v>127.36549305110935</v>
      </c>
      <c r="D91" s="1523">
        <v>128.34315625698892</v>
      </c>
      <c r="E91" s="1523">
        <v>117.31566512050034</v>
      </c>
    </row>
    <row r="92" spans="1:31">
      <c r="A92" s="40" t="s">
        <v>27</v>
      </c>
      <c r="B92" s="1521">
        <v>105.09628489346473</v>
      </c>
      <c r="C92" s="1521">
        <v>128.4159980377988</v>
      </c>
      <c r="D92" s="1523">
        <v>128.60645387047629</v>
      </c>
      <c r="E92" s="1523">
        <v>117.20656679623119</v>
      </c>
    </row>
    <row r="93" spans="1:31">
      <c r="A93" s="40" t="s">
        <v>28</v>
      </c>
      <c r="B93" s="1521">
        <v>105.7017300609789</v>
      </c>
      <c r="C93" s="1521">
        <v>128.55936898379102</v>
      </c>
      <c r="D93" s="1523">
        <v>130.36120965253542</v>
      </c>
      <c r="E93" s="1523">
        <v>117.78748048293416</v>
      </c>
    </row>
    <row r="94" spans="1:31">
      <c r="A94" s="40" t="s">
        <v>29</v>
      </c>
      <c r="B94" s="1521">
        <v>108.10109777506931</v>
      </c>
      <c r="C94" s="1521">
        <v>131.92468053351632</v>
      </c>
      <c r="D94" s="1523">
        <v>134.2224664075863</v>
      </c>
      <c r="E94" s="1523">
        <v>121.56828849287928</v>
      </c>
    </row>
    <row r="95" spans="1:31">
      <c r="A95" s="40" t="s">
        <v>1327</v>
      </c>
      <c r="B95" s="1521"/>
      <c r="C95" s="1521"/>
      <c r="D95" s="1522"/>
      <c r="E95" s="1522"/>
    </row>
    <row r="96" spans="1:31">
      <c r="A96" s="40" t="s">
        <v>18</v>
      </c>
      <c r="B96" s="1524">
        <v>109.34894037530316</v>
      </c>
      <c r="C96" s="1524">
        <v>132.33116604187796</v>
      </c>
      <c r="D96" s="1524">
        <v>136.24267017004152</v>
      </c>
      <c r="E96" s="1524">
        <v>121.73372272784898</v>
      </c>
    </row>
    <row r="97" spans="1:5">
      <c r="A97" s="40" t="s">
        <v>19</v>
      </c>
      <c r="B97" s="1524">
        <v>107.09390238148615</v>
      </c>
      <c r="C97" s="1524">
        <v>129.1517918681748</v>
      </c>
      <c r="D97" s="1524">
        <v>133.05758805046892</v>
      </c>
      <c r="E97" s="1524">
        <v>118.4332377530318</v>
      </c>
    </row>
    <row r="98" spans="1:5">
      <c r="A98" s="40" t="s">
        <v>20</v>
      </c>
      <c r="B98" s="1524">
        <v>107.27025289955442</v>
      </c>
      <c r="C98" s="1524">
        <v>129.14402321471778</v>
      </c>
      <c r="D98" s="1524">
        <v>132.54553336923982</v>
      </c>
      <c r="E98" s="1524">
        <v>117.94528792166842</v>
      </c>
    </row>
    <row r="99" spans="1:5">
      <c r="A99" s="40" t="s">
        <v>21</v>
      </c>
      <c r="B99" s="1524">
        <v>107.42461923330725</v>
      </c>
      <c r="C99" s="1524">
        <v>129.37353259979773</v>
      </c>
      <c r="D99" s="1524">
        <v>131.48884072856697</v>
      </c>
      <c r="E99" s="1524">
        <v>116.94392579151665</v>
      </c>
    </row>
    <row r="100" spans="1:5">
      <c r="A100" s="40" t="s">
        <v>22</v>
      </c>
      <c r="B100" s="1524">
        <v>109.61664573143401</v>
      </c>
      <c r="C100" s="1524">
        <v>131.89095485581325</v>
      </c>
      <c r="D100" s="1524">
        <v>133.00841072291274</v>
      </c>
      <c r="E100" s="1524">
        <v>117.96311127387746</v>
      </c>
    </row>
    <row r="101" spans="1:5">
      <c r="A101" s="40" t="s">
        <v>23</v>
      </c>
      <c r="B101" s="1524">
        <v>111.95648336035296</v>
      </c>
      <c r="C101" s="1524">
        <v>135.42761524157407</v>
      </c>
      <c r="D101" s="1524">
        <v>134.13345808968126</v>
      </c>
      <c r="E101" s="1524">
        <v>119.44263262742672</v>
      </c>
    </row>
    <row r="102" spans="1:5">
      <c r="A102" s="40" t="s">
        <v>24</v>
      </c>
      <c r="B102" s="1524">
        <v>113.03844528492385</v>
      </c>
      <c r="C102" s="1524">
        <v>135.47328396137888</v>
      </c>
      <c r="D102" s="1524">
        <v>134.70686439925467</v>
      </c>
      <c r="E102" s="1524">
        <v>118.40361452534009</v>
      </c>
    </row>
    <row r="103" spans="1:5">
      <c r="A103" s="40" t="s">
        <v>25</v>
      </c>
      <c r="B103" s="1524">
        <v>112.48813982177936</v>
      </c>
      <c r="C103" s="1524">
        <v>134.48956828687693</v>
      </c>
      <c r="D103" s="1524">
        <v>132.89488395342678</v>
      </c>
      <c r="E103" s="1524">
        <v>116.578302364168</v>
      </c>
    </row>
    <row r="104" spans="1:5">
      <c r="A104" s="40" t="s">
        <v>26</v>
      </c>
      <c r="B104" s="1524">
        <v>110.07992984950377</v>
      </c>
      <c r="C104" s="1524">
        <v>132.90574729762375</v>
      </c>
      <c r="D104" s="1524">
        <v>130.02897225997719</v>
      </c>
      <c r="E104" s="1524">
        <v>115.12927868228155</v>
      </c>
    </row>
    <row r="105" spans="1:5">
      <c r="A105" s="40" t="s">
        <v>27</v>
      </c>
      <c r="B105" s="1524">
        <v>109.26421172034792</v>
      </c>
      <c r="C105" s="1524">
        <v>132.21631462043905</v>
      </c>
      <c r="D105" s="1524">
        <v>129.619944204261</v>
      </c>
      <c r="E105" s="1524">
        <v>114.65337626314972</v>
      </c>
    </row>
    <row r="106" spans="1:5">
      <c r="A106" s="40" t="s">
        <v>28</v>
      </c>
      <c r="B106" s="1524">
        <v>110.03921059331229</v>
      </c>
      <c r="C106" s="1524">
        <v>132.78246820580696</v>
      </c>
      <c r="D106" s="1524">
        <v>131.98332166580053</v>
      </c>
      <c r="E106" s="1524">
        <v>116.09780107835856</v>
      </c>
    </row>
    <row r="107" spans="1:5">
      <c r="A107" s="40" t="s">
        <v>29</v>
      </c>
      <c r="B107" s="1524">
        <v>108.3361829325449</v>
      </c>
      <c r="C107" s="1524">
        <v>131.28645806861752</v>
      </c>
      <c r="D107" s="1524">
        <v>130.26760591307001</v>
      </c>
      <c r="E107" s="1524">
        <v>114.84720079754572</v>
      </c>
    </row>
    <row r="108" spans="1:5">
      <c r="A108" s="40" t="s">
        <v>1449</v>
      </c>
      <c r="B108" s="1521"/>
      <c r="C108" s="1521"/>
      <c r="D108" s="1522"/>
      <c r="E108" s="1522"/>
    </row>
    <row r="109" spans="1:5">
      <c r="A109" s="40" t="s">
        <v>18</v>
      </c>
      <c r="B109" s="1524">
        <v>107.29886348741235</v>
      </c>
      <c r="C109" s="1524">
        <v>130.32286046167911</v>
      </c>
      <c r="D109" s="1524">
        <v>130.83636223616267</v>
      </c>
      <c r="E109" s="1524">
        <v>114.68361838132077</v>
      </c>
    </row>
    <row r="110" spans="1:5">
      <c r="A110" s="40" t="s">
        <v>19</v>
      </c>
      <c r="B110" s="1524">
        <v>107.06731101905527</v>
      </c>
      <c r="C110" s="1524">
        <v>130.40092864507082</v>
      </c>
      <c r="D110" s="1524">
        <v>130.65090615221266</v>
      </c>
      <c r="E110" s="1524">
        <v>114.63559587157464</v>
      </c>
    </row>
    <row r="111" spans="1:5">
      <c r="A111" s="40" t="s">
        <v>20</v>
      </c>
      <c r="B111" s="1524">
        <v>109.17743252775075</v>
      </c>
      <c r="C111" s="1524">
        <v>132.39475209511755</v>
      </c>
      <c r="D111" s="1524">
        <v>133.10041029821073</v>
      </c>
      <c r="E111" s="1524">
        <v>116.57078451637352</v>
      </c>
    </row>
    <row r="112" spans="1:5">
      <c r="A112" s="40" t="s">
        <v>21</v>
      </c>
      <c r="B112" s="1524">
        <v>109.03021788117931</v>
      </c>
      <c r="C112" s="1524">
        <v>132.8442653602518</v>
      </c>
      <c r="D112" s="1524">
        <v>133.38216201211802</v>
      </c>
      <c r="E112" s="1524">
        <v>117.06032629393285</v>
      </c>
    </row>
    <row r="113" spans="1:5">
      <c r="A113" s="40" t="s">
        <v>22</v>
      </c>
      <c r="B113" s="1524">
        <v>109.26845270359166</v>
      </c>
      <c r="C113" s="1524">
        <v>133.20630029034027</v>
      </c>
      <c r="D113" s="1524">
        <v>132.96194622859309</v>
      </c>
      <c r="E113" s="1524">
        <v>116.62357119288816</v>
      </c>
    </row>
    <row r="114" spans="1:5">
      <c r="A114" s="40" t="s">
        <v>23</v>
      </c>
      <c r="B114" s="1524">
        <v>108.92315960947158</v>
      </c>
      <c r="C114" s="1524">
        <v>134.66932758257821</v>
      </c>
      <c r="D114" s="1524">
        <v>130.71896111405252</v>
      </c>
      <c r="E114" s="1524">
        <v>116.12021184474605</v>
      </c>
    </row>
    <row r="115" spans="1:5">
      <c r="A115" s="40" t="s">
        <v>24</v>
      </c>
      <c r="B115" s="1524">
        <v>109.68141533160806</v>
      </c>
      <c r="C115" s="1524">
        <v>135.94200455767958</v>
      </c>
      <c r="D115" s="1524">
        <v>130.81724378293535</v>
      </c>
      <c r="E115" s="1524">
        <v>116.07559986727814</v>
      </c>
    </row>
    <row r="116" spans="1:5">
      <c r="A116" s="40" t="s">
        <v>25</v>
      </c>
      <c r="B116" s="1524">
        <v>108.81886324599392</v>
      </c>
      <c r="C116" s="1524">
        <v>136.09969334540511</v>
      </c>
      <c r="D116" s="1524">
        <v>129.26812955811857</v>
      </c>
      <c r="E116" s="1524">
        <v>115.76539174625955</v>
      </c>
    </row>
    <row r="117" spans="1:5">
      <c r="A117" s="40" t="s">
        <v>26</v>
      </c>
      <c r="B117" s="1524">
        <v>109.3538321675311</v>
      </c>
      <c r="C117" s="1524">
        <v>138.81286503939558</v>
      </c>
      <c r="D117" s="1524">
        <v>129.51451511212463</v>
      </c>
      <c r="E117" s="1524">
        <v>117.67295628300748</v>
      </c>
    </row>
    <row r="118" spans="1:5">
      <c r="A118" s="40" t="s">
        <v>27</v>
      </c>
      <c r="B118" s="1524">
        <v>107.74067204193626</v>
      </c>
      <c r="C118" s="1524">
        <v>137.15124488248793</v>
      </c>
      <c r="D118" s="1524">
        <v>128.25762274607004</v>
      </c>
      <c r="E118" s="1524">
        <v>116.48879155596147</v>
      </c>
    </row>
    <row r="119" spans="1:5">
      <c r="A119" s="40" t="s">
        <v>28</v>
      </c>
      <c r="B119" s="1524">
        <v>108.714387944329</v>
      </c>
      <c r="C119" s="1524">
        <v>138.64787570408222</v>
      </c>
      <c r="D119" s="1524">
        <v>130.28449065843756</v>
      </c>
      <c r="E119" s="1524">
        <v>118.31813418390053</v>
      </c>
    </row>
    <row r="120" spans="1:5">
      <c r="A120" s="40" t="s">
        <v>29</v>
      </c>
      <c r="B120" s="1524">
        <v>108.05980070048319</v>
      </c>
      <c r="C120" s="1524">
        <v>138.95442781658662</v>
      </c>
      <c r="D120" s="1524">
        <v>131.46664271023602</v>
      </c>
      <c r="E120" s="1524">
        <v>120.25060522269098</v>
      </c>
    </row>
    <row r="121" spans="1:5">
      <c r="A121" s="40" t="s">
        <v>1660</v>
      </c>
      <c r="B121" s="1521"/>
      <c r="C121" s="1521"/>
      <c r="D121" s="1522"/>
      <c r="E121" s="1522"/>
    </row>
    <row r="122" spans="1:5">
      <c r="A122" s="40" t="s">
        <v>18</v>
      </c>
      <c r="B122" s="1524">
        <v>108.96942572728176</v>
      </c>
      <c r="C122" s="1524">
        <v>141.46553074034321</v>
      </c>
      <c r="D122" s="1524">
        <v>132.81280258492654</v>
      </c>
      <c r="E122" s="1524">
        <v>121.70483695461215</v>
      </c>
    </row>
    <row r="123" spans="1:5">
      <c r="A123" s="40" t="s">
        <v>19</v>
      </c>
      <c r="B123" s="1524">
        <v>110.1</v>
      </c>
      <c r="C123" s="1524">
        <v>144.69999999999999</v>
      </c>
      <c r="D123" s="1524">
        <v>134.1</v>
      </c>
      <c r="E123" s="1524">
        <v>124.3</v>
      </c>
    </row>
    <row r="124" spans="1:5">
      <c r="A124" s="40" t="s">
        <v>20</v>
      </c>
      <c r="B124" s="1524">
        <v>109.8</v>
      </c>
      <c r="C124" s="1524">
        <v>145.5</v>
      </c>
      <c r="D124" s="1524">
        <v>133.1</v>
      </c>
      <c r="E124" s="1524">
        <v>124.3</v>
      </c>
    </row>
    <row r="125" spans="1:5">
      <c r="A125" s="40" t="s">
        <v>21</v>
      </c>
      <c r="B125" s="1524">
        <v>110.1</v>
      </c>
      <c r="C125" s="1524">
        <v>146.69999999999999</v>
      </c>
      <c r="D125" s="1524">
        <v>133.1</v>
      </c>
      <c r="E125" s="1524">
        <v>124.6</v>
      </c>
    </row>
    <row r="126" spans="1:5">
      <c r="A126" s="40" t="s">
        <v>22</v>
      </c>
      <c r="B126" s="1524">
        <v>109.8</v>
      </c>
      <c r="C126" s="1524">
        <v>145.69999999999999</v>
      </c>
      <c r="D126" s="1524">
        <v>131.19999999999999</v>
      </c>
      <c r="E126" s="1524">
        <v>122.1</v>
      </c>
    </row>
    <row r="127" spans="1:5">
      <c r="A127" s="40" t="s">
        <v>23</v>
      </c>
      <c r="B127" s="1524">
        <v>110.26399254153948</v>
      </c>
      <c r="C127" s="1524">
        <v>146.0763107891525</v>
      </c>
      <c r="D127" s="1524">
        <v>129.81063592028516</v>
      </c>
      <c r="E127" s="1524">
        <v>120.44540408065649</v>
      </c>
    </row>
    <row r="128" spans="1:5">
      <c r="A128" s="40" t="s">
        <v>24</v>
      </c>
      <c r="B128" s="1524">
        <v>110.23409733088096</v>
      </c>
      <c r="C128" s="1524">
        <v>146.133452592097</v>
      </c>
      <c r="D128" s="1524">
        <v>128.93143024048649</v>
      </c>
      <c r="E128" s="1524">
        <v>119.42896848158294</v>
      </c>
    </row>
    <row r="129" spans="1:5">
      <c r="A129" s="40" t="s">
        <v>25</v>
      </c>
      <c r="B129" s="1524">
        <v>112.32693332684018</v>
      </c>
      <c r="C129" s="1524">
        <v>149.61995114651481</v>
      </c>
      <c r="D129" s="1524">
        <v>131.14508739368327</v>
      </c>
      <c r="E129" s="1524">
        <v>121.96319613306594</v>
      </c>
    </row>
    <row r="130" spans="1:5">
      <c r="A130" s="40" t="s">
        <v>26</v>
      </c>
      <c r="B130" s="1524">
        <v>115.3</v>
      </c>
      <c r="C130" s="1524">
        <v>153.5</v>
      </c>
      <c r="D130" s="1524">
        <v>135.4</v>
      </c>
      <c r="E130" s="1524">
        <v>125.8</v>
      </c>
    </row>
    <row r="131" spans="1:5">
      <c r="A131" s="40" t="s">
        <v>27</v>
      </c>
      <c r="B131" s="1524">
        <v>117.40711471302103</v>
      </c>
      <c r="C131" s="1524">
        <v>157.33265086993464</v>
      </c>
      <c r="D131" s="1524">
        <v>137.76602088790082</v>
      </c>
      <c r="E131" s="1524">
        <v>128.33480308429068</v>
      </c>
    </row>
    <row r="132" spans="1:5">
      <c r="A132" s="40" t="s">
        <v>28</v>
      </c>
      <c r="B132" s="1524">
        <v>120.58031452174892</v>
      </c>
      <c r="C132" s="1524">
        <v>163.69344678856345</v>
      </c>
      <c r="D132" s="1524">
        <v>141.58865067234493</v>
      </c>
      <c r="E132" s="1524">
        <v>133.18223695461768</v>
      </c>
    </row>
    <row r="133" spans="1:5">
      <c r="A133" s="40" t="s">
        <v>29</v>
      </c>
      <c r="B133" s="1524">
        <v>124.45036511566099</v>
      </c>
      <c r="C133" s="1524">
        <v>173.13953951454235</v>
      </c>
      <c r="D133" s="1524">
        <v>146.58996836445559</v>
      </c>
      <c r="E133" s="1524">
        <v>140.65933926882397</v>
      </c>
    </row>
    <row r="134" spans="1:5">
      <c r="A134" s="40" t="s">
        <v>1855</v>
      </c>
      <c r="B134" s="1524"/>
      <c r="C134" s="1524"/>
      <c r="D134" s="1524"/>
      <c r="E134" s="1524"/>
    </row>
    <row r="135" spans="1:5">
      <c r="A135" s="40" t="s">
        <v>18</v>
      </c>
      <c r="B135" s="1524">
        <v>129.34973852562538</v>
      </c>
      <c r="C135" s="1524">
        <v>181.3030733572956</v>
      </c>
      <c r="D135" s="1524">
        <v>153.12426289273861</v>
      </c>
      <c r="E135" s="1524">
        <v>146.47520559787034</v>
      </c>
    </row>
    <row r="136" spans="1:5">
      <c r="A136" s="40" t="s">
        <v>19</v>
      </c>
      <c r="B136" s="1524">
        <v>121.3778067394198</v>
      </c>
      <c r="C136" s="1524">
        <v>173.14575511993098</v>
      </c>
      <c r="D136" s="1524">
        <v>148.39932526693653</v>
      </c>
      <c r="E136" s="1524">
        <v>143.810983694828</v>
      </c>
    </row>
    <row r="137" spans="1:5">
      <c r="A137" s="40" t="s">
        <v>20</v>
      </c>
      <c r="B137" s="1524">
        <v>101.90193952812392</v>
      </c>
      <c r="C137" s="1524">
        <v>143.1655216767486</v>
      </c>
      <c r="D137" s="1524">
        <v>124.35693280455649</v>
      </c>
      <c r="E137" s="1524">
        <v>118.3538403311197</v>
      </c>
    </row>
    <row r="138" spans="1:5">
      <c r="A138" s="40" t="s">
        <v>21</v>
      </c>
      <c r="B138" s="1524">
        <v>101.09198461325389</v>
      </c>
      <c r="C138" s="1524">
        <v>139.02498935666924</v>
      </c>
      <c r="D138" s="1524">
        <v>122.37760827813327</v>
      </c>
      <c r="E138" s="1524">
        <v>113.26640560929921</v>
      </c>
    </row>
    <row r="139" spans="1:5">
      <c r="A139" s="40" t="s">
        <v>22</v>
      </c>
      <c r="B139" s="1524">
        <v>98.979939934743427</v>
      </c>
      <c r="C139" s="1524">
        <v>136.33751554559188</v>
      </c>
      <c r="D139" s="1524">
        <v>118.74840117223168</v>
      </c>
      <c r="E139" s="1524">
        <v>109.96976966409083</v>
      </c>
    </row>
    <row r="140" spans="1:5">
      <c r="A140" s="40" t="s">
        <v>23</v>
      </c>
      <c r="B140" s="1524">
        <v>99.6</v>
      </c>
      <c r="C140" s="1524">
        <v>139.5</v>
      </c>
      <c r="D140" s="1524">
        <v>118.1</v>
      </c>
      <c r="E140" s="1524">
        <v>111.2</v>
      </c>
    </row>
    <row r="141" spans="1:5">
      <c r="A141" s="40" t="s">
        <v>24</v>
      </c>
      <c r="B141" s="1524">
        <v>100.73111331036351</v>
      </c>
      <c r="C141" s="1524">
        <v>141.77357885893932</v>
      </c>
      <c r="D141" s="1524">
        <v>118.77862851505648</v>
      </c>
      <c r="E141" s="1524">
        <v>112.1757945371825</v>
      </c>
    </row>
    <row r="142" spans="1:5">
      <c r="A142" s="40" t="s">
        <v>25</v>
      </c>
      <c r="B142" s="1524">
        <v>102.33118006097402</v>
      </c>
      <c r="C142" s="1524">
        <v>148.38638640288332</v>
      </c>
      <c r="D142" s="1524">
        <v>120.37190493746722</v>
      </c>
      <c r="E142" s="1524">
        <v>117.00120566143731</v>
      </c>
    </row>
    <row r="143" spans="1:5">
      <c r="A143" s="40" t="s">
        <v>26</v>
      </c>
      <c r="B143" s="1524">
        <v>103.32918675444049</v>
      </c>
      <c r="C143" s="1524">
        <v>152.1046253384861</v>
      </c>
      <c r="D143" s="1524">
        <v>121.63167747018917</v>
      </c>
      <c r="E143" s="1524">
        <v>119.67073174934562</v>
      </c>
    </row>
    <row r="144" spans="1:5">
      <c r="A144" s="40" t="s">
        <v>27</v>
      </c>
      <c r="B144" s="1524">
        <v>102.58055014644231</v>
      </c>
      <c r="C144" s="1524">
        <v>149.55530426191089</v>
      </c>
      <c r="D144" s="1524">
        <v>120.45310687548863</v>
      </c>
      <c r="E144" s="1524">
        <v>117.08864645848028</v>
      </c>
    </row>
    <row r="145" spans="1:5">
      <c r="A145" s="40" t="s">
        <v>28</v>
      </c>
      <c r="B145" s="1524">
        <v>104.58035660969699</v>
      </c>
      <c r="C145" s="1524">
        <v>152.15281673331936</v>
      </c>
      <c r="D145" s="1524">
        <v>123.13902110754232</v>
      </c>
      <c r="E145" s="1524">
        <v>119.02988966257654</v>
      </c>
    </row>
    <row r="146" spans="1:5">
      <c r="A146" s="40" t="s">
        <v>29</v>
      </c>
      <c r="B146" s="1524">
        <v>89.746968389619084</v>
      </c>
      <c r="C146" s="1524">
        <v>132.8678343740894</v>
      </c>
      <c r="D146" s="1524">
        <v>110.00810598870943</v>
      </c>
      <c r="E146" s="1524">
        <v>107.59916736110999</v>
      </c>
    </row>
    <row r="147" spans="1:5">
      <c r="A147" s="40" t="s">
        <v>1879</v>
      </c>
      <c r="B147" s="1524"/>
      <c r="C147" s="1524"/>
      <c r="D147" s="1524"/>
      <c r="E147" s="1524"/>
    </row>
    <row r="148" spans="1:5">
      <c r="A148" s="40" t="s">
        <v>18</v>
      </c>
      <c r="B148" s="1524">
        <v>70.976955391184816</v>
      </c>
      <c r="C148" s="1524">
        <v>107.07802891630004</v>
      </c>
      <c r="D148" s="1524">
        <v>92.343941488455499</v>
      </c>
      <c r="E148" s="1524">
        <v>91.305300269348777</v>
      </c>
    </row>
    <row r="149" spans="1:5">
      <c r="A149" s="40" t="s">
        <v>19</v>
      </c>
      <c r="B149" s="1524">
        <v>70.655731099679215</v>
      </c>
      <c r="C149" s="1524">
        <v>107.39991156575893</v>
      </c>
      <c r="D149" s="1524">
        <v>92.174877487427167</v>
      </c>
      <c r="E149" s="1524">
        <v>91.719003239683076</v>
      </c>
    </row>
    <row r="150" spans="1:5">
      <c r="A150" s="40" t="s">
        <v>20</v>
      </c>
      <c r="B150" s="1524">
        <v>68.235269792438288</v>
      </c>
      <c r="C150" s="1524">
        <v>102.14533536791082</v>
      </c>
      <c r="D150" s="1524">
        <v>88.928719464023288</v>
      </c>
      <c r="E150" s="1524">
        <v>87.226756736416561</v>
      </c>
    </row>
    <row r="151" spans="1:5">
      <c r="A151" s="40" t="s">
        <v>21</v>
      </c>
      <c r="B151" s="1524">
        <v>70.843222554985616</v>
      </c>
      <c r="C151" s="1524">
        <v>105.51043854511089</v>
      </c>
      <c r="D151" s="1524">
        <v>92.183131708427794</v>
      </c>
      <c r="E151" s="1524">
        <v>89.822257123188322</v>
      </c>
    </row>
    <row r="152" spans="1:5">
      <c r="A152" s="40" t="s">
        <v>22</v>
      </c>
      <c r="B152" s="1524">
        <v>71.654834504688864</v>
      </c>
      <c r="C152" s="1524">
        <v>106.77957908003063</v>
      </c>
      <c r="D152" s="1524">
        <v>92.83962049241444</v>
      </c>
      <c r="E152" s="1524">
        <v>90.524605063968053</v>
      </c>
    </row>
    <row r="153" spans="1:5">
      <c r="A153" s="40" t="s">
        <v>23</v>
      </c>
      <c r="B153" s="1524">
        <v>71.287080198745031</v>
      </c>
      <c r="C153" s="1524">
        <v>105.8582476457124</v>
      </c>
      <c r="D153" s="1524">
        <v>91.724550951580895</v>
      </c>
      <c r="E153" s="1524">
        <v>89.110910607216283</v>
      </c>
    </row>
    <row r="154" spans="1:5">
      <c r="A154" s="40" t="s">
        <v>24</v>
      </c>
      <c r="B154" s="1524">
        <v>70.153992382983617</v>
      </c>
      <c r="C154" s="1524">
        <v>103.23176325287183</v>
      </c>
      <c r="D154" s="1524">
        <v>89.977237528949132</v>
      </c>
      <c r="E154" s="1524">
        <v>86.44816308819442</v>
      </c>
    </row>
    <row r="155" spans="1:5">
      <c r="A155" s="40" t="s">
        <v>25</v>
      </c>
      <c r="B155" s="1524">
        <v>67.55677668578241</v>
      </c>
      <c r="C155" s="1524">
        <v>99.783478735180239</v>
      </c>
      <c r="D155" s="1524">
        <v>87</v>
      </c>
      <c r="E155" s="1524">
        <v>83.98035502945541</v>
      </c>
    </row>
    <row r="156" spans="1:5">
      <c r="A156" s="40" t="s">
        <v>26</v>
      </c>
      <c r="B156" s="1524">
        <v>66.759106723651641</v>
      </c>
      <c r="C156" s="1524">
        <v>98.626527648451798</v>
      </c>
      <c r="D156" s="1524">
        <v>87.692910547364832</v>
      </c>
      <c r="E156" s="1524">
        <v>84.573048223050506</v>
      </c>
    </row>
    <row r="157" spans="1:5">
      <c r="A157" s="40" t="s">
        <v>27</v>
      </c>
      <c r="B157" s="1524">
        <v>68.839748731109353</v>
      </c>
      <c r="C157" s="1524">
        <v>100.50899526321939</v>
      </c>
      <c r="D157" s="1524">
        <v>91.202388827883752</v>
      </c>
      <c r="E157" s="1524">
        <v>86.808049621952136</v>
      </c>
    </row>
    <row r="158" spans="1:5">
      <c r="A158" s="40" t="s">
        <v>28</v>
      </c>
      <c r="B158" s="1524">
        <v>67.181088410062586</v>
      </c>
      <c r="C158" s="1524">
        <v>98.378077707345184</v>
      </c>
      <c r="D158" s="1524">
        <v>90.305412347700837</v>
      </c>
      <c r="E158" s="1524">
        <v>86.10100786193226</v>
      </c>
    </row>
    <row r="159" spans="1:5">
      <c r="A159" s="40" t="s">
        <v>29</v>
      </c>
      <c r="B159" s="1524">
        <v>66.293556981337389</v>
      </c>
      <c r="C159" s="1524">
        <v>96.32939815335574</v>
      </c>
      <c r="D159" s="1524">
        <v>91.286694268256099</v>
      </c>
      <c r="E159" s="1524">
        <v>86.31534359863943</v>
      </c>
    </row>
    <row r="160" spans="1:5">
      <c r="A160" s="40" t="s">
        <v>1942</v>
      </c>
      <c r="B160" s="1524"/>
      <c r="C160" s="1524"/>
      <c r="D160" s="1524"/>
      <c r="E160" s="1524"/>
    </row>
    <row r="161" spans="1:5">
      <c r="A161" s="40" t="s">
        <v>18</v>
      </c>
      <c r="B161" s="1524">
        <v>64.15821114736184</v>
      </c>
      <c r="C161" s="1524">
        <v>92.99906087229229</v>
      </c>
      <c r="D161" s="1524">
        <v>90.173361716642546</v>
      </c>
      <c r="E161" s="1524">
        <v>84.677912295315721</v>
      </c>
    </row>
    <row r="162" spans="1:5">
      <c r="A162" s="40" t="s">
        <v>19</v>
      </c>
      <c r="B162" s="1524">
        <v>64.611887042900349</v>
      </c>
      <c r="C162" s="1524">
        <v>93.481414959017187</v>
      </c>
      <c r="D162" s="1524">
        <v>91.877841348727486</v>
      </c>
      <c r="E162" s="1524">
        <v>86.139713314220572</v>
      </c>
    </row>
    <row r="163" spans="1:5">
      <c r="A163" s="40" t="s">
        <v>20</v>
      </c>
      <c r="B163" s="1524">
        <v>66.405437692565016</v>
      </c>
      <c r="C163" s="1524">
        <v>95.954759850478908</v>
      </c>
      <c r="D163" s="1524">
        <v>95.491070843088252</v>
      </c>
      <c r="E163" s="1524">
        <v>89.407385479836435</v>
      </c>
    </row>
    <row r="164" spans="1:5">
      <c r="A164" s="40" t="s">
        <v>21</v>
      </c>
      <c r="B164" s="1524">
        <v>66.699975285041788</v>
      </c>
      <c r="C164" s="1524">
        <v>96.229274530120662</v>
      </c>
      <c r="D164" s="1524">
        <v>95.626464930490201</v>
      </c>
      <c r="E164" s="1524">
        <v>89.343947989332392</v>
      </c>
    </row>
    <row r="165" spans="1:5">
      <c r="A165" s="40" t="s">
        <v>22</v>
      </c>
      <c r="B165" s="1524">
        <v>66</v>
      </c>
      <c r="C165" s="1524">
        <v>95.8</v>
      </c>
      <c r="D165" s="1524">
        <v>94.6</v>
      </c>
      <c r="E165" s="1524">
        <v>88.9</v>
      </c>
    </row>
    <row r="166" spans="1:5">
      <c r="A166" s="40" t="s">
        <v>23</v>
      </c>
      <c r="B166" s="1524">
        <v>65.664981260947755</v>
      </c>
      <c r="C166" s="1524">
        <v>95.515149290789722</v>
      </c>
      <c r="D166" s="1524">
        <v>93.138587280284995</v>
      </c>
      <c r="E166" s="1524">
        <v>87.536157894683271</v>
      </c>
    </row>
    <row r="167" spans="1:5">
      <c r="A167" s="40" t="s">
        <v>24</v>
      </c>
      <c r="B167" s="1524">
        <v>65.482513740176984</v>
      </c>
      <c r="C167" s="1524">
        <v>96.068358977538196</v>
      </c>
      <c r="D167" s="1524">
        <v>93.087199003490028</v>
      </c>
      <c r="E167" s="1524">
        <v>88.166834543095732</v>
      </c>
    </row>
    <row r="168" spans="1:5">
      <c r="A168" s="40" t="s">
        <v>25</v>
      </c>
      <c r="B168" s="1524">
        <v>64.892412426409351</v>
      </c>
      <c r="C168" s="1524">
        <v>95.337150623291194</v>
      </c>
      <c r="D168" s="1524">
        <v>92.242990606746503</v>
      </c>
      <c r="E168" s="1524">
        <v>87.624541208328907</v>
      </c>
    </row>
    <row r="169" spans="1:5">
      <c r="A169" s="40" t="s">
        <v>26</v>
      </c>
      <c r="B169" s="1524">
        <v>64.137324253006398</v>
      </c>
      <c r="C169" s="1524">
        <v>94.002527393918683</v>
      </c>
      <c r="D169" s="1524">
        <v>91.461730613429808</v>
      </c>
      <c r="E169" s="1524">
        <v>86.706783909485026</v>
      </c>
    </row>
    <row r="170" spans="1:5">
      <c r="A170" s="40" t="s">
        <v>27</v>
      </c>
      <c r="B170" s="1524">
        <v>65.262043310417582</v>
      </c>
      <c r="C170" s="1524">
        <v>95.683991615728686</v>
      </c>
      <c r="D170" s="1524">
        <v>93.599239096945098</v>
      </c>
      <c r="E170" s="1524">
        <v>88.667616599432392</v>
      </c>
    </row>
    <row r="171" spans="1:5">
      <c r="A171" s="40" t="s">
        <v>28</v>
      </c>
      <c r="B171" s="1524">
        <v>66.316990787547482</v>
      </c>
      <c r="C171" s="1524">
        <v>97.684081671665936</v>
      </c>
      <c r="D171" s="1524">
        <v>94.866620666860257</v>
      </c>
      <c r="E171" s="1524">
        <v>90.24414300194853</v>
      </c>
    </row>
    <row r="172" spans="1:5">
      <c r="A172" s="40" t="s">
        <v>29</v>
      </c>
      <c r="B172" s="1524">
        <v>65.916910305943404</v>
      </c>
      <c r="C172" s="1524">
        <v>97.292350001760425</v>
      </c>
      <c r="D172" s="1524">
        <v>94.259343783929708</v>
      </c>
      <c r="E172" s="1524">
        <v>89.815704031154723</v>
      </c>
    </row>
    <row r="173" spans="1:5">
      <c r="A173" s="40" t="s">
        <v>2078</v>
      </c>
      <c r="B173" s="1524"/>
      <c r="C173" s="1524"/>
      <c r="D173" s="1524"/>
      <c r="E173" s="1524"/>
    </row>
    <row r="174" spans="1:5">
      <c r="A174" s="40" t="s">
        <v>18</v>
      </c>
      <c r="B174" s="1524">
        <v>64.520349235782462</v>
      </c>
      <c r="C174" s="1524">
        <v>95.206581266447756</v>
      </c>
      <c r="D174" s="1524">
        <v>92.177070301986873</v>
      </c>
      <c r="E174" s="1524">
        <v>87.581646261652693</v>
      </c>
    </row>
    <row r="175" spans="1:5">
      <c r="A175" s="40" t="s">
        <v>19</v>
      </c>
      <c r="B175" s="1524">
        <v>64.091080158337405</v>
      </c>
      <c r="C175" s="1524">
        <v>94.766531627834212</v>
      </c>
      <c r="D175" s="1524">
        <v>91.337409060559537</v>
      </c>
      <c r="E175" s="1524">
        <v>86.874611954772902</v>
      </c>
    </row>
    <row r="176" spans="1:5">
      <c r="A176" s="40" t="s">
        <v>20</v>
      </c>
      <c r="B176" s="1524">
        <v>64.398488644068593</v>
      </c>
      <c r="C176" s="1524">
        <v>95.260894921301968</v>
      </c>
      <c r="D176" s="1524">
        <v>91.428826446230545</v>
      </c>
      <c r="E176" s="1524">
        <v>87.132096196303152</v>
      </c>
    </row>
    <row r="177" spans="1:5">
      <c r="A177" s="40" t="s">
        <v>21</v>
      </c>
      <c r="B177" s="1524">
        <v>65.407260287349033</v>
      </c>
      <c r="C177" s="1524">
        <v>97.498015558084305</v>
      </c>
      <c r="D177" s="1524">
        <v>92.200654177980027</v>
      </c>
      <c r="E177" s="1524">
        <v>88.488755846763212</v>
      </c>
    </row>
    <row r="178" spans="1:5">
      <c r="A178" s="40" t="s">
        <v>22</v>
      </c>
      <c r="B178" s="1524">
        <v>67.618230225689203</v>
      </c>
      <c r="C178" s="1524">
        <v>100.53111958524637</v>
      </c>
      <c r="D178" s="1524">
        <v>94.776453742610556</v>
      </c>
      <c r="E178" s="1524">
        <v>90.749795477563396</v>
      </c>
    </row>
    <row r="179" spans="1:5">
      <c r="A179" s="40" t="s">
        <v>23</v>
      </c>
      <c r="B179" s="1524">
        <v>68.60798473901788</v>
      </c>
      <c r="C179" s="1524">
        <v>102.02221543094221</v>
      </c>
      <c r="D179" s="1524">
        <v>94.98164543833019</v>
      </c>
      <c r="E179" s="1524">
        <v>90.855450407155715</v>
      </c>
    </row>
    <row r="180" spans="1:5">
      <c r="A180" s="40" t="s">
        <v>24</v>
      </c>
      <c r="B180" s="1524">
        <v>69.393243624273808</v>
      </c>
      <c r="C180" s="1524">
        <v>103.42415605449003</v>
      </c>
      <c r="D180" s="1524">
        <v>95.38948179767354</v>
      </c>
      <c r="E180" s="1524">
        <v>91.299147256168723</v>
      </c>
    </row>
    <row r="181" spans="1:5">
      <c r="A181" s="40" t="s">
        <v>25</v>
      </c>
      <c r="B181" s="1524">
        <v>72.753228353972915</v>
      </c>
      <c r="C181" s="1524">
        <v>109.59431076267211</v>
      </c>
      <c r="D181" s="1524">
        <v>100.2333417085119</v>
      </c>
      <c r="E181" s="1524">
        <v>96.945171080866984</v>
      </c>
    </row>
    <row r="182" spans="1:5">
      <c r="A182" s="40" t="s">
        <v>26</v>
      </c>
      <c r="B182" s="1524">
        <v>73.714920466064612</v>
      </c>
      <c r="C182" s="1524">
        <v>112.06419756318492</v>
      </c>
      <c r="D182" s="1524">
        <v>100.33033594008577</v>
      </c>
      <c r="E182" s="1524">
        <v>97.682755028922529</v>
      </c>
    </row>
    <row r="183" spans="1:5">
      <c r="A183" s="40" t="s">
        <v>27</v>
      </c>
      <c r="B183" s="1524">
        <v>73.126891998202922</v>
      </c>
      <c r="C183" s="1524">
        <v>110.17830329397664</v>
      </c>
      <c r="D183" s="1524">
        <v>98.898207676349742</v>
      </c>
      <c r="E183" s="1524">
        <v>95.280591105855834</v>
      </c>
    </row>
    <row r="184" spans="1:5">
      <c r="A184" s="40" t="s">
        <v>28</v>
      </c>
      <c r="B184" s="1524">
        <v>72.595167326312762</v>
      </c>
      <c r="C184" s="1524">
        <v>108.88270804573811</v>
      </c>
      <c r="D184" s="1524">
        <v>98.864685226407801</v>
      </c>
      <c r="E184" s="1524">
        <v>94.770240765665108</v>
      </c>
    </row>
    <row r="185" spans="1:5">
      <c r="A185" s="40" t="s">
        <v>29</v>
      </c>
      <c r="B185" s="1524">
        <v>72.556445053831936</v>
      </c>
      <c r="C185" s="1524">
        <v>108.90472689526757</v>
      </c>
      <c r="D185" s="1524">
        <v>99.580624400788707</v>
      </c>
      <c r="E185" s="1524">
        <v>95.378631606892981</v>
      </c>
    </row>
    <row r="186" spans="1:5">
      <c r="A186" s="40" t="s">
        <v>2171</v>
      </c>
      <c r="B186" s="1524"/>
      <c r="C186" s="1524"/>
      <c r="D186" s="1524"/>
      <c r="E186" s="1524"/>
    </row>
    <row r="187" spans="1:5">
      <c r="A187" s="40" t="s">
        <v>18</v>
      </c>
      <c r="B187" s="1525">
        <v>72.373847308812799</v>
      </c>
      <c r="C187" s="1524">
        <v>108.73355003050384</v>
      </c>
      <c r="D187" s="1524">
        <v>99.545782759756875</v>
      </c>
      <c r="E187" s="1524">
        <v>95.02240780447994</v>
      </c>
    </row>
    <row r="188" spans="1:5">
      <c r="A188" s="40" t="s">
        <v>19</v>
      </c>
      <c r="B188" s="1525">
        <v>72.039831922177925</v>
      </c>
      <c r="C188" s="1524">
        <v>107.82922723913136</v>
      </c>
      <c r="D188" s="1524">
        <v>99.254205603875221</v>
      </c>
      <c r="E188" s="1524">
        <v>94.328216551131604</v>
      </c>
    </row>
    <row r="189" spans="1:5">
      <c r="A189" s="40" t="s">
        <v>20</v>
      </c>
      <c r="B189" s="1525">
        <v>72.406654488516253</v>
      </c>
      <c r="C189" s="1524">
        <v>108.24404166006452</v>
      </c>
      <c r="D189" s="1524">
        <v>99.555132487881195</v>
      </c>
      <c r="E189" s="1524">
        <v>94.659038655386297</v>
      </c>
    </row>
    <row r="190" spans="1:5">
      <c r="A190" s="40" t="s">
        <v>21</v>
      </c>
      <c r="B190" s="1525">
        <v>73.272179051176778</v>
      </c>
      <c r="C190" s="1524">
        <v>109.42321137590775</v>
      </c>
      <c r="D190" s="1524">
        <v>100.34572626223851</v>
      </c>
      <c r="E190" s="1524">
        <v>95.373107984965543</v>
      </c>
    </row>
    <row r="191" spans="1:5">
      <c r="A191" s="40" t="s">
        <v>22</v>
      </c>
      <c r="B191" s="1525">
        <v>74.156051436136508</v>
      </c>
      <c r="C191" s="1524">
        <v>110.97641089600958</v>
      </c>
      <c r="D191" s="1524">
        <v>100.68596606113775</v>
      </c>
      <c r="E191" s="1524">
        <v>95.871890069372952</v>
      </c>
    </row>
    <row r="192" spans="1:5">
      <c r="A192" s="40" t="s">
        <v>23</v>
      </c>
      <c r="B192" s="1525">
        <v>73.356889336239036</v>
      </c>
      <c r="C192" s="1524">
        <v>109.63041477787823</v>
      </c>
      <c r="D192" s="1524">
        <v>99.126898423056431</v>
      </c>
      <c r="E192" s="1524">
        <v>94.273829162210589</v>
      </c>
    </row>
    <row r="193" spans="1:5">
      <c r="A193" s="40" t="s">
        <v>24</v>
      </c>
      <c r="B193" s="1525">
        <v>73.016319657572808</v>
      </c>
      <c r="C193" s="1524">
        <v>108.72636194864469</v>
      </c>
      <c r="D193" s="1524">
        <v>98.606639807467587</v>
      </c>
      <c r="E193" s="1524">
        <v>93.282824813129494</v>
      </c>
    </row>
    <row r="194" spans="1:5">
      <c r="A194" s="40" t="s">
        <v>25</v>
      </c>
      <c r="B194" s="1525">
        <v>73.62899384184729</v>
      </c>
      <c r="C194" s="1524">
        <v>109.99024312209032</v>
      </c>
      <c r="D194" s="1524">
        <v>98.871781862307259</v>
      </c>
      <c r="E194" s="1524">
        <v>93.834977130692948</v>
      </c>
    </row>
    <row r="195" spans="1:5">
      <c r="A195" s="40" t="s">
        <v>26</v>
      </c>
      <c r="B195" s="1525">
        <v>74.043557629454739</v>
      </c>
      <c r="C195" s="1524">
        <v>110.38273435701771</v>
      </c>
      <c r="D195" s="1524">
        <v>99.410936522941938</v>
      </c>
      <c r="E195" s="1524">
        <v>94.128792163962686</v>
      </c>
    </row>
    <row r="196" spans="1:5">
      <c r="A196" s="40" t="s">
        <v>27</v>
      </c>
      <c r="B196" s="1525">
        <v>73.97508534770013</v>
      </c>
      <c r="C196" s="1524">
        <v>110.28126363808715</v>
      </c>
      <c r="D196" s="1524">
        <v>99.164556140148193</v>
      </c>
      <c r="E196" s="1524">
        <v>93.823727225084397</v>
      </c>
    </row>
    <row r="197" spans="1:5">
      <c r="A197" s="40" t="s">
        <v>28</v>
      </c>
      <c r="B197" s="1525">
        <v>73.615583355642272</v>
      </c>
      <c r="C197" s="1524">
        <v>109.61109874000789</v>
      </c>
      <c r="D197" s="1524">
        <v>99.096090879740643</v>
      </c>
      <c r="E197" s="1524">
        <v>93.514470450479863</v>
      </c>
    </row>
    <row r="198" spans="1:5">
      <c r="A198" s="40" t="s">
        <v>29</v>
      </c>
      <c r="B198" s="1525">
        <v>73.418800101753476</v>
      </c>
      <c r="C198" s="1524">
        <v>109.29691710373346</v>
      </c>
      <c r="D198" s="1524">
        <v>98.982290195602815</v>
      </c>
      <c r="E198" s="1524">
        <v>93.377205381870766</v>
      </c>
    </row>
    <row r="199" spans="1:5">
      <c r="A199" s="40" t="s">
        <v>2407</v>
      </c>
      <c r="B199" s="1525"/>
      <c r="C199" s="1524"/>
      <c r="D199" s="1524"/>
      <c r="E199" s="1524"/>
    </row>
    <row r="200" spans="1:5">
      <c r="A200" s="40" t="s">
        <v>18</v>
      </c>
      <c r="B200" s="1525">
        <v>73.405790003903164</v>
      </c>
      <c r="C200" s="1524">
        <v>108.96615897506815</v>
      </c>
      <c r="D200" s="1524">
        <v>99.590332072384669</v>
      </c>
      <c r="E200" s="1524">
        <v>93.278073352533923</v>
      </c>
    </row>
    <row r="201" spans="1:5">
      <c r="A201" s="40" t="s">
        <v>19</v>
      </c>
      <c r="B201" s="1525">
        <v>74.611428394774222</v>
      </c>
      <c r="C201" s="1524">
        <v>110.987914963799</v>
      </c>
      <c r="D201" s="1524">
        <v>101.68197795185604</v>
      </c>
      <c r="E201" s="1524">
        <v>95.371051488441736</v>
      </c>
    </row>
    <row r="202" spans="1:5">
      <c r="A202" s="40" t="s">
        <v>20</v>
      </c>
      <c r="B202" s="1525">
        <v>76.562010847145771</v>
      </c>
      <c r="C202" s="1524">
        <v>115.93734585115818</v>
      </c>
      <c r="D202" s="1524">
        <v>104.9282712486041</v>
      </c>
      <c r="E202" s="1524">
        <v>100.30632692621839</v>
      </c>
    </row>
    <row r="203" spans="1:5">
      <c r="A203" s="40" t="s">
        <v>21</v>
      </c>
      <c r="B203" s="1525">
        <v>78.58524749013911</v>
      </c>
      <c r="C203" s="1524">
        <v>118.8690841339259</v>
      </c>
      <c r="D203" s="1524">
        <v>107.43414879552761</v>
      </c>
      <c r="E203" s="1524">
        <v>102.66366951624859</v>
      </c>
    </row>
    <row r="204" spans="1:5">
      <c r="A204" s="40" t="s">
        <v>22</v>
      </c>
      <c r="B204" s="1525">
        <v>78.363553362612464</v>
      </c>
      <c r="C204" s="1524">
        <v>118.25711637724045</v>
      </c>
      <c r="D204" s="1524">
        <v>106.29880229350726</v>
      </c>
      <c r="E204" s="1524">
        <v>101.34060121841881</v>
      </c>
    </row>
    <row r="205" spans="1:5">
      <c r="A205" s="40" t="s">
        <v>23</v>
      </c>
      <c r="B205" s="1525">
        <v>76.335999630180581</v>
      </c>
      <c r="C205" s="1524">
        <v>115.51626765379694</v>
      </c>
      <c r="D205" s="1524">
        <v>102.8075692103565</v>
      </c>
      <c r="E205" s="1524">
        <v>98.29797988784189</v>
      </c>
    </row>
    <row r="206" spans="1:5">
      <c r="A206" s="40" t="s">
        <v>24</v>
      </c>
      <c r="B206" s="1525">
        <v>76.191194979084173</v>
      </c>
      <c r="C206" s="1524">
        <v>115.79063798865717</v>
      </c>
      <c r="D206" s="1524">
        <v>102.07509090412221</v>
      </c>
      <c r="E206" s="1524">
        <v>97.914334296022133</v>
      </c>
    </row>
    <row r="207" spans="1:5">
      <c r="A207" s="40" t="s">
        <v>25</v>
      </c>
      <c r="B207" s="1525">
        <v>75.986208301409746</v>
      </c>
      <c r="C207" s="1524">
        <v>116.42371624358678</v>
      </c>
      <c r="D207" s="1524">
        <v>101.5324804887392</v>
      </c>
      <c r="E207" s="1524">
        <v>98.061697554230491</v>
      </c>
    </row>
    <row r="208" spans="1:5">
      <c r="A208" s="40" t="s">
        <v>26</v>
      </c>
      <c r="B208" s="1524">
        <v>76.909550966366254</v>
      </c>
      <c r="C208" s="1524">
        <v>117.97680826037106</v>
      </c>
      <c r="D208" s="1524">
        <v>102.54502246203045</v>
      </c>
      <c r="E208" s="1524">
        <v>99.140989716085897</v>
      </c>
    </row>
    <row r="209" spans="1:9">
      <c r="A209" s="40" t="s">
        <v>27</v>
      </c>
      <c r="B209" s="1524">
        <v>77.853554381174277</v>
      </c>
      <c r="C209" s="1524">
        <v>119.44650950256229</v>
      </c>
      <c r="D209" s="1524">
        <v>103.09272461502393</v>
      </c>
      <c r="E209" s="1524">
        <v>99.853242977449014</v>
      </c>
    </row>
    <row r="210" spans="1:9">
      <c r="A210" s="504" t="s">
        <v>28</v>
      </c>
      <c r="B210" s="1524">
        <v>77.552670877761344</v>
      </c>
      <c r="C210" s="1524">
        <v>118.92007968094401</v>
      </c>
      <c r="D210" s="1524">
        <v>102.70392206298102</v>
      </c>
      <c r="E210" s="1524">
        <v>99.310878371464753</v>
      </c>
    </row>
    <row r="211" spans="1:9">
      <c r="A211" s="504" t="s">
        <v>29</v>
      </c>
      <c r="B211" s="1524">
        <v>75.5998849811225</v>
      </c>
      <c r="C211" s="1524">
        <v>116.15970457603315</v>
      </c>
      <c r="D211" s="1524">
        <v>100.34383835439583</v>
      </c>
      <c r="E211" s="1524">
        <v>97.149568232456915</v>
      </c>
    </row>
    <row r="212" spans="1:9">
      <c r="A212" s="504" t="s">
        <v>2583</v>
      </c>
      <c r="B212" s="1524"/>
      <c r="C212" s="1524"/>
      <c r="D212" s="1524"/>
      <c r="E212" s="1524"/>
    </row>
    <row r="213" spans="1:9">
      <c r="A213" s="504" t="s">
        <v>18</v>
      </c>
      <c r="B213" s="1524">
        <v>74.928368030901524</v>
      </c>
      <c r="C213" s="1524">
        <v>115.21250503778602</v>
      </c>
      <c r="D213" s="1524">
        <v>99.932567282289725</v>
      </c>
      <c r="E213" s="1524">
        <v>96.770825142705746</v>
      </c>
      <c r="G213" s="1526"/>
    </row>
    <row r="214" spans="1:9">
      <c r="A214" s="504" t="s">
        <v>19</v>
      </c>
      <c r="B214" s="1524">
        <v>74.682259630522452</v>
      </c>
      <c r="C214" s="1524">
        <v>114.77334369907574</v>
      </c>
      <c r="D214" s="1524">
        <v>100.62529985229386</v>
      </c>
      <c r="E214" s="1524">
        <v>97.336181780432938</v>
      </c>
      <c r="G214" s="1526"/>
    </row>
    <row r="215" spans="1:9">
      <c r="A215" s="504" t="s">
        <v>20</v>
      </c>
      <c r="B215" s="1524">
        <v>75.914376619713437</v>
      </c>
      <c r="C215" s="1524">
        <v>116.48410716760374</v>
      </c>
      <c r="D215" s="1524">
        <v>102.19690597086374</v>
      </c>
      <c r="E215" s="1524">
        <v>98.905558457886343</v>
      </c>
      <c r="G215" s="1526"/>
    </row>
    <row r="216" spans="1:9">
      <c r="A216" s="504" t="s">
        <v>21</v>
      </c>
      <c r="B216" s="1524">
        <v>77.599999999999994</v>
      </c>
      <c r="C216" s="1524">
        <v>119.22981914055144</v>
      </c>
      <c r="D216" s="1524">
        <v>103.95511128306929</v>
      </c>
      <c r="E216" s="1524">
        <v>100.81608530226308</v>
      </c>
      <c r="G216" s="1526"/>
    </row>
    <row r="217" spans="1:9">
      <c r="A217" s="504" t="s">
        <v>22</v>
      </c>
      <c r="B217" s="1524">
        <v>76.816672486907351</v>
      </c>
      <c r="C217" s="1524">
        <v>117.94421404400231</v>
      </c>
      <c r="D217" s="1524">
        <v>102.44686091569032</v>
      </c>
      <c r="E217" s="1524">
        <v>99.226812067627648</v>
      </c>
      <c r="G217" s="1526"/>
    </row>
    <row r="218" spans="1:9">
      <c r="A218" s="504" t="s">
        <v>23</v>
      </c>
      <c r="B218" s="1524">
        <v>76.976254992774855</v>
      </c>
      <c r="C218" s="1524">
        <v>118.1269039268594</v>
      </c>
      <c r="D218" s="1524">
        <v>101.47993982256092</v>
      </c>
      <c r="E218" s="1524">
        <v>98.210267437279484</v>
      </c>
      <c r="G218" s="1526"/>
    </row>
    <row r="219" spans="1:9">
      <c r="A219" s="504" t="s">
        <v>24</v>
      </c>
      <c r="B219" s="1524">
        <v>77.662471993032639</v>
      </c>
      <c r="C219" s="1524">
        <v>119.21714391882186</v>
      </c>
      <c r="D219" s="1524">
        <v>102.70676274128409</v>
      </c>
      <c r="E219" s="1524">
        <v>99.40769355815037</v>
      </c>
      <c r="G219" s="1526"/>
    </row>
    <row r="220" spans="1:9">
      <c r="A220" s="504" t="s">
        <v>25</v>
      </c>
      <c r="B220" s="1524">
        <v>77.444931136299374</v>
      </c>
      <c r="C220" s="1524">
        <v>118.82319389230082</v>
      </c>
      <c r="D220" s="1524">
        <v>102.39280585716307</v>
      </c>
      <c r="E220" s="1524">
        <v>99.079101896060635</v>
      </c>
      <c r="G220" s="1526"/>
    </row>
    <row r="221" spans="1:9">
      <c r="A221" s="504" t="s">
        <v>26</v>
      </c>
      <c r="B221" s="1524">
        <v>77.363613766624795</v>
      </c>
      <c r="C221" s="1524">
        <v>118.59671775881935</v>
      </c>
      <c r="D221" s="1524">
        <v>103.4489988202567</v>
      </c>
      <c r="E221" s="1524">
        <v>99.978130615854127</v>
      </c>
      <c r="G221" s="1526"/>
    </row>
    <row r="222" spans="1:9">
      <c r="A222" s="1527" t="s">
        <v>27</v>
      </c>
      <c r="B222" s="1524">
        <v>78.626095312939213</v>
      </c>
      <c r="C222" s="1524">
        <v>119.93283624212407</v>
      </c>
      <c r="D222" s="1524">
        <v>105.50431315367858</v>
      </c>
      <c r="E222" s="1524">
        <v>101.43927595742862</v>
      </c>
      <c r="G222" s="1526"/>
    </row>
    <row r="223" spans="1:9">
      <c r="A223" s="1527" t="s">
        <v>28</v>
      </c>
      <c r="B223" s="1524">
        <v>81.342673840519012</v>
      </c>
      <c r="C223" s="1524">
        <v>124.04370007572032</v>
      </c>
      <c r="D223" s="1524">
        <v>109.48995259804423</v>
      </c>
      <c r="E223" s="1524">
        <v>105.18485351019797</v>
      </c>
      <c r="G223" s="1526"/>
    </row>
    <row r="224" spans="1:9">
      <c r="A224" s="1527" t="s">
        <v>29</v>
      </c>
      <c r="B224" s="1524">
        <v>85.427350455303653</v>
      </c>
      <c r="C224" s="1524">
        <v>130.26472362339197</v>
      </c>
      <c r="D224" s="1524">
        <v>113.62061243160647</v>
      </c>
      <c r="E224" s="1524">
        <v>109.17187687172401</v>
      </c>
      <c r="G224" s="1526"/>
      <c r="I224" s="1528"/>
    </row>
    <row r="225" spans="1:13">
      <c r="A225" s="1527" t="s">
        <v>2892</v>
      </c>
      <c r="B225" s="1524"/>
      <c r="C225" s="1524"/>
      <c r="D225" s="1524"/>
      <c r="E225" s="1524"/>
      <c r="G225" s="1526"/>
    </row>
    <row r="226" spans="1:13">
      <c r="A226" s="1527" t="s">
        <v>18</v>
      </c>
      <c r="B226" s="1524">
        <v>85.97586331349126</v>
      </c>
      <c r="C226" s="1524">
        <v>131.69321063696682</v>
      </c>
      <c r="D226" s="1524">
        <v>113.33620553086236</v>
      </c>
      <c r="E226" s="1524">
        <v>109.35381882438774</v>
      </c>
      <c r="F226" s="1526"/>
      <c r="G226" s="1529"/>
      <c r="H226" s="1526"/>
      <c r="I226" s="1526"/>
      <c r="K226" s="1526"/>
      <c r="L226" s="1526"/>
      <c r="M226" s="1526"/>
    </row>
    <row r="227" spans="1:13">
      <c r="A227" s="1527" t="s">
        <v>19</v>
      </c>
      <c r="B227" s="1524">
        <v>86.392691834118239</v>
      </c>
      <c r="C227" s="1524">
        <v>132.780425814686</v>
      </c>
      <c r="D227" s="1524">
        <v>113.25405846390015</v>
      </c>
      <c r="E227" s="1524">
        <v>109.61952964601005</v>
      </c>
      <c r="F227" s="1526"/>
      <c r="G227" s="1529"/>
      <c r="H227" s="1526"/>
      <c r="I227" s="1526"/>
      <c r="K227" s="1526"/>
      <c r="L227" s="1526"/>
      <c r="M227" s="1526"/>
    </row>
    <row r="228" spans="1:13">
      <c r="A228" s="1527" t="s">
        <v>20</v>
      </c>
      <c r="B228" s="1524">
        <v>93.191096348599345</v>
      </c>
      <c r="C228" s="1524">
        <v>147.50403011382303</v>
      </c>
      <c r="D228" s="1524">
        <v>119.53259074678007</v>
      </c>
      <c r="E228" s="1524">
        <v>118.63489369174503</v>
      </c>
      <c r="F228" s="1526"/>
      <c r="G228" s="1529"/>
      <c r="H228" s="1526"/>
      <c r="I228" s="1526"/>
      <c r="K228" s="1526"/>
      <c r="L228" s="1526"/>
      <c r="M228" s="1526"/>
    </row>
    <row r="229" spans="1:13">
      <c r="A229" s="1527" t="s">
        <v>21</v>
      </c>
      <c r="B229" s="1524">
        <v>91.232259830363915</v>
      </c>
      <c r="C229" s="1524">
        <v>137.8022093301818</v>
      </c>
      <c r="D229" s="1524">
        <v>115.86811131489486</v>
      </c>
      <c r="E229" s="1524">
        <v>109.3301237842667</v>
      </c>
      <c r="F229" s="1526"/>
      <c r="G229" s="1529"/>
      <c r="H229" s="1526"/>
      <c r="I229" s="1526"/>
      <c r="K229" s="1526"/>
      <c r="L229" s="1526"/>
      <c r="M229" s="1526"/>
    </row>
    <row r="230" spans="1:13">
      <c r="A230" s="1527" t="s">
        <v>22</v>
      </c>
      <c r="B230" s="1524">
        <v>91.569680933678427</v>
      </c>
      <c r="C230" s="1524">
        <v>133.88662095178995</v>
      </c>
      <c r="D230" s="1524">
        <v>115.76240737527185</v>
      </c>
      <c r="E230" s="1524">
        <v>105.79172873550102</v>
      </c>
      <c r="F230" s="1526"/>
      <c r="G230" s="1529"/>
      <c r="H230" s="1526"/>
      <c r="I230" s="1526"/>
      <c r="K230" s="1526"/>
      <c r="L230" s="1526"/>
      <c r="M230" s="1526"/>
    </row>
    <row r="231" spans="1:13">
      <c r="A231" s="1527" t="s">
        <v>23</v>
      </c>
      <c r="B231" s="1524">
        <v>91.875744476041291</v>
      </c>
      <c r="C231" s="1524">
        <v>132.72033434021603</v>
      </c>
      <c r="D231" s="1524">
        <v>114.26714109751161</v>
      </c>
      <c r="E231" s="1524">
        <v>102.98934790785195</v>
      </c>
      <c r="F231" s="1526"/>
      <c r="G231" s="1529"/>
      <c r="H231" s="1526"/>
      <c r="I231" s="1526"/>
      <c r="K231" s="1526"/>
      <c r="L231" s="1526"/>
      <c r="M231" s="1526"/>
    </row>
    <row r="232" spans="1:13">
      <c r="A232" s="1527" t="s">
        <v>24</v>
      </c>
      <c r="B232" s="1524">
        <v>94.35643314194904</v>
      </c>
      <c r="C232" s="1524">
        <v>135.54157557736883</v>
      </c>
      <c r="D232" s="1524">
        <v>117.16688870505256</v>
      </c>
      <c r="E232" s="1524">
        <v>104.92096686827043</v>
      </c>
      <c r="F232" s="1526"/>
      <c r="G232" s="1529"/>
      <c r="H232" s="1526"/>
      <c r="I232" s="1526"/>
      <c r="K232" s="1526"/>
      <c r="L232" s="1526"/>
      <c r="M232" s="1526"/>
    </row>
    <row r="233" spans="1:13">
      <c r="A233" s="1527" t="s">
        <v>25</v>
      </c>
      <c r="B233" s="1524">
        <v>95.617046092659109</v>
      </c>
      <c r="C233" s="1524">
        <v>138.26196730393767</v>
      </c>
      <c r="D233" s="1524">
        <v>119.09116462267188</v>
      </c>
      <c r="E233" s="1524">
        <v>107.51509422856428</v>
      </c>
      <c r="F233" s="1526"/>
      <c r="G233" s="1529"/>
      <c r="H233" s="1526"/>
      <c r="I233" s="1526"/>
      <c r="K233" s="1526"/>
      <c r="L233" s="1526"/>
      <c r="M233" s="1526"/>
    </row>
    <row r="234" spans="1:13">
      <c r="A234" s="1527" t="s">
        <v>26</v>
      </c>
      <c r="B234" s="1524">
        <v>97.418262330725327</v>
      </c>
      <c r="C234" s="1524">
        <v>140.07397379632556</v>
      </c>
      <c r="D234" s="1524">
        <v>123.56217832842516</v>
      </c>
      <c r="E234" s="1524">
        <v>111.05722762620766</v>
      </c>
      <c r="F234" s="1526"/>
      <c r="G234" s="1529"/>
      <c r="H234" s="1526"/>
      <c r="I234" s="1526"/>
      <c r="K234" s="1526"/>
      <c r="L234" s="1526"/>
      <c r="M234" s="1526"/>
    </row>
    <row r="235" spans="1:13">
      <c r="A235" s="1527" t="s">
        <v>27</v>
      </c>
      <c r="B235" s="1524">
        <v>98.61720537895475</v>
      </c>
      <c r="C235" s="1524">
        <v>142.28817622028564</v>
      </c>
      <c r="D235" s="1524">
        <v>125.25289781485489</v>
      </c>
      <c r="E235" s="1524">
        <v>113.13310638714475</v>
      </c>
      <c r="F235" s="1526"/>
      <c r="G235" s="1529"/>
      <c r="H235" s="1526"/>
      <c r="I235" s="1526"/>
      <c r="K235" s="1526"/>
      <c r="L235" s="1526"/>
      <c r="M235" s="1526"/>
    </row>
    <row r="236" spans="1:13">
      <c r="A236" s="1527" t="s">
        <v>28</v>
      </c>
      <c r="B236" s="1524">
        <v>96.561957074026154</v>
      </c>
      <c r="C236" s="1524">
        <v>140.58361811227141</v>
      </c>
      <c r="D236" s="1524">
        <v>123.17841291974055</v>
      </c>
      <c r="E236" s="1524">
        <v>112.08343225249077</v>
      </c>
      <c r="F236" s="1526"/>
      <c r="G236" s="1529"/>
      <c r="H236" s="1526"/>
      <c r="I236" s="1526"/>
      <c r="K236" s="1526"/>
      <c r="L236" s="1526"/>
      <c r="M236" s="1526"/>
    </row>
    <row r="237" spans="1:13">
      <c r="A237" s="1527" t="s">
        <v>29</v>
      </c>
      <c r="B237" s="1524">
        <v>95.211331351964589</v>
      </c>
      <c r="C237" s="1524">
        <v>141.19185287656876</v>
      </c>
      <c r="D237" s="1524">
        <v>122.3095839083818</v>
      </c>
      <c r="E237" s="1524">
        <v>113.08499808185351</v>
      </c>
      <c r="F237" s="1526"/>
      <c r="G237" s="1529"/>
      <c r="H237" s="1526"/>
      <c r="I237" s="1526"/>
      <c r="K237" s="1526"/>
      <c r="L237" s="1526"/>
      <c r="M237" s="1526"/>
    </row>
    <row r="238" spans="1:13">
      <c r="A238" s="1527" t="s">
        <v>3605</v>
      </c>
      <c r="B238" s="1524"/>
      <c r="C238" s="1524"/>
      <c r="D238" s="1524"/>
      <c r="E238" s="1524"/>
      <c r="F238" s="1526"/>
      <c r="G238" s="1529"/>
      <c r="H238" s="1526"/>
      <c r="I238" s="1526"/>
      <c r="K238" s="1526"/>
      <c r="L238" s="1526"/>
      <c r="M238" s="1526"/>
    </row>
    <row r="239" spans="1:13">
      <c r="A239" s="1527" t="s">
        <v>18</v>
      </c>
      <c r="B239" s="1524">
        <v>94.930165399092644</v>
      </c>
      <c r="C239" s="1524">
        <v>142.42056132739199</v>
      </c>
      <c r="D239" s="1524">
        <v>121.41964411202244</v>
      </c>
      <c r="E239" s="1524">
        <v>112.9842177228207</v>
      </c>
      <c r="F239" s="1526"/>
      <c r="G239" s="1529"/>
      <c r="H239" s="1526"/>
      <c r="I239" s="1526"/>
      <c r="K239" s="1526"/>
      <c r="L239" s="1526"/>
      <c r="M239" s="1526"/>
    </row>
    <row r="240" spans="1:13">
      <c r="A240" s="1527" t="s">
        <v>19</v>
      </c>
      <c r="B240" s="1524">
        <v>95.77602700389447</v>
      </c>
      <c r="C240" s="1524">
        <v>144.32698210705402</v>
      </c>
      <c r="D240" s="1524">
        <v>123.03418891165592</v>
      </c>
      <c r="E240" s="1524">
        <v>114.99442959166093</v>
      </c>
      <c r="F240" s="1526"/>
      <c r="G240" s="1529"/>
      <c r="H240" s="1526"/>
      <c r="I240" s="1526"/>
      <c r="K240" s="1526"/>
      <c r="L240" s="1526"/>
      <c r="M240" s="1526"/>
    </row>
    <row r="241" spans="1:13">
      <c r="A241" s="1527" t="s">
        <v>20</v>
      </c>
      <c r="B241" s="1524">
        <v>96.503262387587981</v>
      </c>
      <c r="C241" s="1524">
        <v>146.12460573106344</v>
      </c>
      <c r="D241" s="1524">
        <v>123.66006102888815</v>
      </c>
      <c r="E241" s="1524">
        <v>116.14417051653243</v>
      </c>
      <c r="F241" s="1526"/>
      <c r="G241" s="1529"/>
      <c r="H241" s="1526"/>
      <c r="I241" s="1526"/>
      <c r="K241" s="1526"/>
      <c r="L241" s="1526"/>
      <c r="M241" s="1526"/>
    </row>
    <row r="242" spans="1:13">
      <c r="A242" s="1527" t="s">
        <v>21</v>
      </c>
      <c r="B242" s="1524">
        <v>95.523477442910291</v>
      </c>
      <c r="C242" s="1524">
        <v>147.96689745384222</v>
      </c>
      <c r="D242" s="1524">
        <v>121.83340177241438</v>
      </c>
      <c r="E242" s="1524">
        <v>116.95443952107175</v>
      </c>
      <c r="F242" s="1526"/>
      <c r="G242" s="1529"/>
      <c r="H242" s="1526"/>
      <c r="I242" s="1526"/>
      <c r="K242" s="1526"/>
      <c r="L242" s="1526"/>
      <c r="M242" s="1526"/>
    </row>
    <row r="243" spans="1:13">
      <c r="A243" s="1527" t="s">
        <v>22</v>
      </c>
      <c r="B243" s="1524">
        <v>96.129488700663373</v>
      </c>
      <c r="C243" s="1524">
        <v>148.43257208834515</v>
      </c>
      <c r="D243" s="1524">
        <v>122.02968670249875</v>
      </c>
      <c r="E243" s="1524">
        <v>116.62989178281487</v>
      </c>
      <c r="F243" s="1526"/>
      <c r="G243" s="1529"/>
      <c r="H243" s="1526"/>
      <c r="I243" s="1526"/>
      <c r="K243" s="1526"/>
      <c r="L243" s="1526"/>
      <c r="M243" s="1526"/>
    </row>
    <row r="244" spans="1:13">
      <c r="A244" s="1527" t="s">
        <v>23</v>
      </c>
      <c r="B244" s="1524">
        <v>98.720135652933379</v>
      </c>
      <c r="C244" s="1524">
        <v>155.71180858767138</v>
      </c>
      <c r="D244" s="1524">
        <v>123.32500803880106</v>
      </c>
      <c r="E244" s="1524">
        <v>119.99872586711595</v>
      </c>
      <c r="F244" s="1526"/>
      <c r="G244" s="1529"/>
      <c r="H244" s="1526"/>
      <c r="I244" s="1526"/>
      <c r="K244" s="1526"/>
      <c r="L244" s="1526"/>
      <c r="M244" s="1526"/>
    </row>
    <row r="245" spans="1:13">
      <c r="A245" s="1527" t="s">
        <v>24</v>
      </c>
      <c r="B245" s="1524">
        <v>99.758350683758621</v>
      </c>
      <c r="C245" s="1524">
        <v>162.95151103322115</v>
      </c>
      <c r="D245" s="1524">
        <v>122.41352185756898</v>
      </c>
      <c r="E245" s="1524">
        <v>122.0460432433424</v>
      </c>
      <c r="F245" s="1526"/>
      <c r="G245" s="1529"/>
      <c r="H245" s="1526"/>
      <c r="I245" s="1526"/>
      <c r="K245" s="1526"/>
      <c r="L245" s="1526"/>
      <c r="M245" s="1526"/>
    </row>
    <row r="246" spans="1:13">
      <c r="A246" s="1527" t="s">
        <v>25</v>
      </c>
      <c r="B246" s="1524">
        <v>101.39212154213185</v>
      </c>
      <c r="C246" s="1524">
        <v>166.56423722318573</v>
      </c>
      <c r="D246" s="1524">
        <v>122.04384819079458</v>
      </c>
      <c r="E246" s="1524">
        <v>121.54792951348455</v>
      </c>
      <c r="F246" s="1526"/>
      <c r="G246" s="1529"/>
      <c r="H246" s="1526"/>
      <c r="I246" s="1526"/>
      <c r="K246" s="1526"/>
      <c r="L246" s="1526"/>
      <c r="M246" s="1526"/>
    </row>
    <row r="247" spans="1:13">
      <c r="A247" s="1527" t="s">
        <v>26</v>
      </c>
      <c r="B247" s="1524">
        <v>103.06842751608531</v>
      </c>
      <c r="C247" s="1524">
        <v>168.45744021491498</v>
      </c>
      <c r="D247" s="1524">
        <v>123.34741945594483</v>
      </c>
      <c r="E247" s="1524">
        <v>121.55104079178741</v>
      </c>
      <c r="F247" s="1526"/>
      <c r="G247" s="1529"/>
      <c r="H247" s="1526"/>
      <c r="I247" s="1526"/>
      <c r="K247" s="1526"/>
      <c r="L247" s="1526"/>
      <c r="M247" s="1526"/>
    </row>
    <row r="248" spans="1:13">
      <c r="A248" s="1527" t="s">
        <v>27</v>
      </c>
      <c r="B248" s="2003">
        <v>104.75431181497537</v>
      </c>
      <c r="C248" s="2003">
        <v>171.67756211310433</v>
      </c>
      <c r="D248" s="2003">
        <v>125.10929435325129</v>
      </c>
      <c r="E248" s="2003">
        <v>123.02006313649019</v>
      </c>
      <c r="F248" s="1526"/>
      <c r="G248" s="1529"/>
      <c r="H248" s="1526"/>
      <c r="I248" s="1526"/>
      <c r="K248" s="1526"/>
      <c r="L248" s="1526"/>
      <c r="M248" s="1526"/>
    </row>
    <row r="249" spans="1:13">
      <c r="A249" s="1527" t="s">
        <v>28</v>
      </c>
      <c r="B249" s="2003">
        <v>102.7823833229313</v>
      </c>
      <c r="C249" s="2003">
        <v>168.69644477125647</v>
      </c>
      <c r="D249" s="2003">
        <v>122.38057799056958</v>
      </c>
      <c r="E249" s="2003">
        <v>119.57408429261397</v>
      </c>
      <c r="F249" s="1526"/>
      <c r="G249" s="1529"/>
      <c r="H249" s="1526"/>
      <c r="I249" s="1526"/>
      <c r="K249" s="1526"/>
      <c r="L249" s="1526"/>
      <c r="M249" s="1526"/>
    </row>
    <row r="250" spans="1:13">
      <c r="A250" s="1527" t="s">
        <v>29</v>
      </c>
      <c r="B250" s="2003">
        <v>102.03526549289836</v>
      </c>
      <c r="C250" s="2003">
        <v>168.4936094533783</v>
      </c>
      <c r="D250" s="2003">
        <v>121.37819246927887</v>
      </c>
      <c r="E250" s="2003">
        <v>118.82610618702236</v>
      </c>
      <c r="F250" s="1526"/>
      <c r="G250" s="1529"/>
      <c r="H250" s="1526"/>
      <c r="I250" s="1526"/>
      <c r="K250" s="1526"/>
      <c r="L250" s="1526"/>
      <c r="M250" s="1526"/>
    </row>
    <row r="251" spans="1:13">
      <c r="A251" s="1527" t="s">
        <v>4086</v>
      </c>
      <c r="B251" s="2003"/>
      <c r="C251" s="2003"/>
      <c r="D251" s="2003"/>
      <c r="E251" s="2003"/>
      <c r="F251" s="1526"/>
      <c r="G251" s="1529"/>
      <c r="H251" s="1526"/>
      <c r="I251" s="1526"/>
      <c r="K251" s="1526"/>
      <c r="L251" s="1526"/>
      <c r="M251" s="1526"/>
    </row>
    <row r="252" spans="1:13">
      <c r="A252" s="1527" t="s">
        <v>18</v>
      </c>
      <c r="B252" s="2003">
        <v>102.29607834748636</v>
      </c>
      <c r="C252" s="2003">
        <v>169.01207337368098</v>
      </c>
      <c r="D252" s="2003">
        <v>121.51115099809917</v>
      </c>
      <c r="E252" s="2003">
        <v>117.77550603498509</v>
      </c>
      <c r="F252" s="1526"/>
      <c r="G252" s="1529"/>
      <c r="H252" s="1526"/>
      <c r="I252" s="1526"/>
      <c r="K252" s="1526"/>
      <c r="L252" s="1526"/>
      <c r="M252" s="1526"/>
    </row>
    <row r="253" spans="1:13">
      <c r="A253" s="1527" t="s">
        <v>19</v>
      </c>
      <c r="B253" s="2003">
        <v>103.56706165915817</v>
      </c>
      <c r="C253" s="2003">
        <v>171.51271716347495</v>
      </c>
      <c r="D253" s="2003">
        <v>122.47293811549488</v>
      </c>
      <c r="E253" s="2003">
        <v>118.47182190564939</v>
      </c>
      <c r="F253" s="1526"/>
      <c r="G253" s="1529"/>
      <c r="H253" s="1526"/>
      <c r="I253" s="1526"/>
      <c r="K253" s="1526"/>
      <c r="L253" s="1526"/>
      <c r="M253" s="1526"/>
    </row>
    <row r="254" spans="1:13" s="876" customFormat="1" ht="25.5" customHeight="1">
      <c r="A254" s="2214" t="s">
        <v>2751</v>
      </c>
      <c r="B254" s="2215"/>
      <c r="C254" s="2215"/>
      <c r="D254" s="2215"/>
      <c r="E254" s="2216"/>
      <c r="F254" s="1530"/>
    </row>
    <row r="255" spans="1:13">
      <c r="B255" s="14"/>
      <c r="C255" s="14"/>
      <c r="D255" s="14"/>
      <c r="F255" s="1530"/>
    </row>
    <row r="256" spans="1:13">
      <c r="B256" s="14"/>
      <c r="C256" s="14"/>
      <c r="D256" s="14"/>
      <c r="F256" s="1530"/>
    </row>
    <row r="257" spans="1:6">
      <c r="B257" s="14"/>
      <c r="C257" s="14"/>
      <c r="D257" s="14"/>
      <c r="F257" s="1530"/>
    </row>
    <row r="258" spans="1:6">
      <c r="B258" s="14"/>
      <c r="C258" s="14"/>
      <c r="D258" s="14"/>
      <c r="F258" s="1530"/>
    </row>
    <row r="259" spans="1:6">
      <c r="A259" s="126"/>
      <c r="B259" s="14"/>
      <c r="C259" s="14"/>
      <c r="D259" s="14"/>
      <c r="F259" s="1530"/>
    </row>
    <row r="260" spans="1:6">
      <c r="A260" s="126"/>
      <c r="B260" s="14"/>
      <c r="C260" s="14"/>
      <c r="D260" s="14"/>
      <c r="F260" s="1530"/>
    </row>
    <row r="261" spans="1:6">
      <c r="A261" s="126"/>
      <c r="B261" s="14"/>
      <c r="C261" s="14"/>
      <c r="D261" s="14"/>
      <c r="F261" s="1530"/>
    </row>
    <row r="262" spans="1:6">
      <c r="A262" s="126"/>
      <c r="B262" s="14"/>
      <c r="C262" s="14"/>
      <c r="D262" s="14"/>
    </row>
    <row r="263" spans="1:6">
      <c r="A263" s="126"/>
      <c r="B263" s="14"/>
      <c r="C263" s="14"/>
      <c r="D263" s="14"/>
    </row>
    <row r="264" spans="1:6">
      <c r="A264" s="126"/>
      <c r="B264" s="14"/>
      <c r="C264" s="14"/>
      <c r="D264" s="14"/>
    </row>
    <row r="265" spans="1:6">
      <c r="A265" s="126"/>
      <c r="B265" s="14"/>
      <c r="C265" s="14"/>
      <c r="D265" s="14"/>
    </row>
    <row r="266" spans="1:6">
      <c r="A266" s="126"/>
      <c r="B266" s="14"/>
      <c r="C266" s="14"/>
      <c r="D266" s="14"/>
    </row>
    <row r="267" spans="1:6">
      <c r="A267" s="126"/>
      <c r="B267" s="14"/>
      <c r="C267" s="14"/>
      <c r="D267" s="14"/>
    </row>
    <row r="268" spans="1:6">
      <c r="A268" s="126"/>
      <c r="B268" s="14"/>
      <c r="C268" s="14"/>
      <c r="D268" s="14"/>
    </row>
    <row r="269" spans="1:6">
      <c r="A269" s="126"/>
    </row>
    <row r="270" spans="1:6">
      <c r="A270" s="126"/>
    </row>
    <row r="271" spans="1:6">
      <c r="A271" s="126"/>
    </row>
    <row r="272" spans="1:6">
      <c r="A272" s="126"/>
    </row>
    <row r="273" spans="1:8">
      <c r="A273" s="126"/>
    </row>
    <row r="274" spans="1:8">
      <c r="A274" s="126"/>
    </row>
    <row r="275" spans="1:8">
      <c r="A275" s="126"/>
      <c r="G275" s="242"/>
      <c r="H275" s="242"/>
    </row>
  </sheetData>
  <mergeCells count="9">
    <mergeCell ref="A254:E25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73"/>
  <sheetViews>
    <sheetView showGridLines="0" view="pageBreakPreview" zoomScale="115" zoomScaleSheetLayoutView="115" workbookViewId="0">
      <pane ySplit="7" topLeftCell="A242" activePane="bottomLeft" state="frozen"/>
      <selection activeCell="G291" sqref="G291"/>
      <selection pane="bottomLeft" activeCell="H270" sqref="H270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85" customFormat="1" ht="18.75" customHeight="1">
      <c r="A2" s="2229" t="s">
        <v>3557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  <c r="P2" s="2229"/>
    </row>
    <row r="3" spans="1:41" s="585" customFormat="1" ht="25.5" customHeight="1">
      <c r="A3" s="2230" t="s">
        <v>3558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</row>
    <row r="4" spans="1:41" s="585" customFormat="1" ht="11.25" customHeight="1">
      <c r="A4" s="605"/>
      <c r="B4" s="605"/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</row>
    <row r="5" spans="1:41" ht="11.25" customHeight="1">
      <c r="A5" s="586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</row>
    <row r="6" spans="1:41" s="88" customFormat="1" ht="42.75" customHeight="1">
      <c r="A6" s="1546" t="s">
        <v>182</v>
      </c>
      <c r="B6" s="1508" t="s">
        <v>242</v>
      </c>
      <c r="C6" s="1508" t="s">
        <v>3559</v>
      </c>
      <c r="D6" s="1508" t="s">
        <v>3560</v>
      </c>
      <c r="E6" s="1508" t="s">
        <v>3561</v>
      </c>
      <c r="F6" s="1508" t="s">
        <v>269</v>
      </c>
      <c r="G6" s="1508" t="s">
        <v>272</v>
      </c>
      <c r="H6" s="1508" t="s">
        <v>3562</v>
      </c>
      <c r="I6" s="1508" t="s">
        <v>3563</v>
      </c>
      <c r="J6" s="1508" t="s">
        <v>3564</v>
      </c>
      <c r="K6" s="1508" t="s">
        <v>3565</v>
      </c>
      <c r="L6" s="1508" t="s">
        <v>3566</v>
      </c>
      <c r="M6" s="1508" t="s">
        <v>246</v>
      </c>
      <c r="N6" s="1508" t="s">
        <v>3567</v>
      </c>
      <c r="O6" s="1508" t="s">
        <v>3568</v>
      </c>
      <c r="P6" s="1508" t="s">
        <v>3569</v>
      </c>
    </row>
    <row r="7" spans="1:41" ht="36.75" customHeight="1">
      <c r="A7" s="1547" t="s">
        <v>304</v>
      </c>
      <c r="B7" s="1548" t="s">
        <v>3570</v>
      </c>
      <c r="C7" s="1548" t="s">
        <v>3571</v>
      </c>
      <c r="D7" s="1548" t="s">
        <v>3572</v>
      </c>
      <c r="E7" s="1548" t="s">
        <v>3573</v>
      </c>
      <c r="F7" s="1548" t="s">
        <v>3574</v>
      </c>
      <c r="G7" s="1548" t="s">
        <v>3575</v>
      </c>
      <c r="H7" s="1548" t="s">
        <v>3576</v>
      </c>
      <c r="I7" s="1548" t="s">
        <v>3577</v>
      </c>
      <c r="J7" s="1548" t="s">
        <v>3578</v>
      </c>
      <c r="K7" s="1548" t="s">
        <v>3579</v>
      </c>
      <c r="L7" s="1548" t="s">
        <v>3580</v>
      </c>
      <c r="M7" s="1548" t="s">
        <v>3581</v>
      </c>
      <c r="N7" s="1548" t="s">
        <v>3582</v>
      </c>
      <c r="O7" s="1548" t="s">
        <v>3583</v>
      </c>
      <c r="P7" s="1548" t="s">
        <v>3584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8">
        <v>109.12926718775277</v>
      </c>
      <c r="C15" s="568">
        <v>86.694384013437372</v>
      </c>
      <c r="D15" s="568">
        <v>98.056983175873683</v>
      </c>
      <c r="E15" s="568">
        <v>85.531158229476134</v>
      </c>
      <c r="F15" s="568">
        <v>65.870618176201845</v>
      </c>
      <c r="G15" s="568">
        <v>73.956040431891779</v>
      </c>
      <c r="H15" s="568">
        <v>87.394583809031161</v>
      </c>
      <c r="I15" s="568">
        <v>66.747214284501183</v>
      </c>
      <c r="J15" s="568">
        <v>78.470642740480756</v>
      </c>
      <c r="K15" s="568">
        <v>133.71095113180297</v>
      </c>
      <c r="L15" s="568">
        <v>133.27324623185174</v>
      </c>
      <c r="M15" s="568">
        <v>115.30690694593413</v>
      </c>
      <c r="N15" s="568" t="s">
        <v>93</v>
      </c>
      <c r="O15" s="568" t="s">
        <v>93</v>
      </c>
      <c r="P15" s="568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8">
        <v>111.52373268771808</v>
      </c>
      <c r="C16" s="568">
        <v>89.403002198794297</v>
      </c>
      <c r="D16" s="568">
        <v>100.69257047681118</v>
      </c>
      <c r="E16" s="568">
        <v>84.51459564726332</v>
      </c>
      <c r="F16" s="568">
        <v>65.790784361731767</v>
      </c>
      <c r="G16" s="568">
        <v>74.208807156125388</v>
      </c>
      <c r="H16" s="568">
        <v>89.988212731229481</v>
      </c>
      <c r="I16" s="568">
        <v>67.638868463894639</v>
      </c>
      <c r="J16" s="568">
        <v>77.990270214797064</v>
      </c>
      <c r="K16" s="568">
        <v>139.36690440201002</v>
      </c>
      <c r="L16" s="568">
        <v>138.0100939490014</v>
      </c>
      <c r="M16" s="568">
        <v>116.84842086046253</v>
      </c>
      <c r="N16" s="568" t="s">
        <v>93</v>
      </c>
      <c r="O16" s="568" t="s">
        <v>93</v>
      </c>
      <c r="P16" s="568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8">
        <v>112.87319422351615</v>
      </c>
      <c r="C17" s="568">
        <v>89.878688014862618</v>
      </c>
      <c r="D17" s="568">
        <v>102.41585045068634</v>
      </c>
      <c r="E17" s="568">
        <v>87.373813984131743</v>
      </c>
      <c r="F17" s="568">
        <v>65.575156645315417</v>
      </c>
      <c r="G17" s="568">
        <v>75.675733180336152</v>
      </c>
      <c r="H17" s="568">
        <v>92.013170292732724</v>
      </c>
      <c r="I17" s="568">
        <v>67.555822664170606</v>
      </c>
      <c r="J17" s="568">
        <v>77.069483561230612</v>
      </c>
      <c r="K17" s="568">
        <v>140.67613918610218</v>
      </c>
      <c r="L17" s="568">
        <v>139.12883256286875</v>
      </c>
      <c r="M17" s="568">
        <v>119.65301785931156</v>
      </c>
      <c r="N17" s="568" t="s">
        <v>93</v>
      </c>
      <c r="O17" s="568" t="s">
        <v>93</v>
      </c>
      <c r="P17" s="568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8">
        <v>113.61943677897852</v>
      </c>
      <c r="C18" s="568">
        <v>88.73289396231155</v>
      </c>
      <c r="D18" s="568">
        <v>102.00326864457882</v>
      </c>
      <c r="E18" s="568">
        <v>87.702291318219835</v>
      </c>
      <c r="F18" s="568">
        <v>65.412532398224911</v>
      </c>
      <c r="G18" s="568">
        <v>76.84846208050385</v>
      </c>
      <c r="H18" s="568">
        <v>91.25229320359449</v>
      </c>
      <c r="I18" s="568">
        <v>67.265820107944023</v>
      </c>
      <c r="J18" s="568">
        <v>76.427967107674505</v>
      </c>
      <c r="K18" s="568">
        <v>141.82822717422459</v>
      </c>
      <c r="L18" s="568">
        <v>136.86835631771604</v>
      </c>
      <c r="M18" s="568">
        <v>120.74230771802929</v>
      </c>
      <c r="N18" s="568" t="s">
        <v>93</v>
      </c>
      <c r="O18" s="568" t="s">
        <v>93</v>
      </c>
      <c r="P18" s="568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8">
        <v>114.13724134769672</v>
      </c>
      <c r="C19" s="568">
        <v>85.593173464757399</v>
      </c>
      <c r="D19" s="568">
        <v>97.006326808810485</v>
      </c>
      <c r="E19" s="568">
        <v>92.343654008259776</v>
      </c>
      <c r="F19" s="568">
        <v>64.418366293193117</v>
      </c>
      <c r="G19" s="568">
        <v>76.616046168932726</v>
      </c>
      <c r="H19" s="568">
        <v>89.123772695292828</v>
      </c>
      <c r="I19" s="568">
        <v>67.336282695777541</v>
      </c>
      <c r="J19" s="568">
        <v>73.965714165930692</v>
      </c>
      <c r="K19" s="568">
        <v>135.79895332386022</v>
      </c>
      <c r="L19" s="568">
        <v>134.6596037635338</v>
      </c>
      <c r="M19" s="568">
        <v>121.73457492862386</v>
      </c>
      <c r="N19" s="568" t="s">
        <v>93</v>
      </c>
      <c r="O19" s="568" t="s">
        <v>93</v>
      </c>
      <c r="P19" s="568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8">
        <v>114.35477564686167</v>
      </c>
      <c r="C20" s="568">
        <v>86.535118784609296</v>
      </c>
      <c r="D20" s="568">
        <v>98.333498915206334</v>
      </c>
      <c r="E20" s="568">
        <v>103.72435287644795</v>
      </c>
      <c r="F20" s="568">
        <v>64.370714069946075</v>
      </c>
      <c r="G20" s="568">
        <v>76.64748488759615</v>
      </c>
      <c r="H20" s="568">
        <v>88.522861819185607</v>
      </c>
      <c r="I20" s="568">
        <v>66.621515803186355</v>
      </c>
      <c r="J20" s="568">
        <v>72.384051409245984</v>
      </c>
      <c r="K20" s="568">
        <v>139.74829518002423</v>
      </c>
      <c r="L20" s="568">
        <v>135.13229440693291</v>
      </c>
      <c r="M20" s="568">
        <v>123.04905384688503</v>
      </c>
      <c r="N20" s="568" t="s">
        <v>93</v>
      </c>
      <c r="O20" s="568" t="s">
        <v>93</v>
      </c>
      <c r="P20" s="568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8">
        <v>114.27225496386977</v>
      </c>
      <c r="C21" s="568">
        <v>86.721696769347432</v>
      </c>
      <c r="D21" s="568">
        <v>98.841316871281634</v>
      </c>
      <c r="E21" s="568">
        <v>100.38381123029565</v>
      </c>
      <c r="F21" s="568">
        <v>63.904155391762117</v>
      </c>
      <c r="G21" s="568">
        <v>76.460418291915062</v>
      </c>
      <c r="H21" s="568">
        <v>87.388024306329427</v>
      </c>
      <c r="I21" s="568">
        <v>66.803501060061748</v>
      </c>
      <c r="J21" s="568">
        <v>71.462860620472767</v>
      </c>
      <c r="K21" s="568">
        <v>142.08532541916091</v>
      </c>
      <c r="L21" s="568">
        <v>134.57959560190156</v>
      </c>
      <c r="M21" s="568">
        <v>123.70352103872828</v>
      </c>
      <c r="N21" s="568" t="s">
        <v>93</v>
      </c>
      <c r="O21" s="568" t="s">
        <v>93</v>
      </c>
      <c r="P21" s="568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8">
        <v>114.77540719376938</v>
      </c>
      <c r="C22" s="568">
        <v>86.436832777434702</v>
      </c>
      <c r="D22" s="568">
        <v>96.593833334550993</v>
      </c>
      <c r="E22" s="568">
        <v>95.869237848890776</v>
      </c>
      <c r="F22" s="568">
        <v>63.82134984464922</v>
      </c>
      <c r="G22" s="568">
        <v>76.847063116017978</v>
      </c>
      <c r="H22" s="568">
        <v>87.595840215790673</v>
      </c>
      <c r="I22" s="568">
        <v>66.825979175690605</v>
      </c>
      <c r="J22" s="568">
        <v>74.61774406354013</v>
      </c>
      <c r="K22" s="568">
        <v>142.21375410992044</v>
      </c>
      <c r="L22" s="568">
        <v>133.49490283794802</v>
      </c>
      <c r="M22" s="568">
        <v>123.80632846230068</v>
      </c>
      <c r="N22" s="568" t="s">
        <v>93</v>
      </c>
      <c r="O22" s="568" t="s">
        <v>93</v>
      </c>
      <c r="P22" s="568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8">
        <v>117.33172622875927</v>
      </c>
      <c r="C23" s="568">
        <v>88.327613996759993</v>
      </c>
      <c r="D23" s="568">
        <v>98.008817604896436</v>
      </c>
      <c r="E23" s="568">
        <v>97.193237133022151</v>
      </c>
      <c r="F23" s="568">
        <v>64.812800581173519</v>
      </c>
      <c r="G23" s="568">
        <v>76.612665636188538</v>
      </c>
      <c r="H23" s="568">
        <v>88.399775303418835</v>
      </c>
      <c r="I23" s="568">
        <v>66.72972631277689</v>
      </c>
      <c r="J23" s="568">
        <v>77.640057874152859</v>
      </c>
      <c r="K23" s="568">
        <v>146.2103232490345</v>
      </c>
      <c r="L23" s="568">
        <v>136.10683471337541</v>
      </c>
      <c r="M23" s="568">
        <v>124.48675737738971</v>
      </c>
      <c r="N23" s="568" t="s">
        <v>93</v>
      </c>
      <c r="O23" s="568" t="s">
        <v>93</v>
      </c>
      <c r="P23" s="568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8">
        <v>120.04468675572596</v>
      </c>
      <c r="C24" s="568">
        <v>90.618485372882247</v>
      </c>
      <c r="D24" s="568">
        <v>100.27031404804814</v>
      </c>
      <c r="E24" s="568">
        <v>97.352168405175647</v>
      </c>
      <c r="F24" s="568">
        <v>66.04039222481714</v>
      </c>
      <c r="G24" s="568">
        <v>76.333524420455745</v>
      </c>
      <c r="H24" s="568">
        <v>89.273107404212027</v>
      </c>
      <c r="I24" s="568">
        <v>67.021637110612588</v>
      </c>
      <c r="J24" s="568">
        <v>79.405826081024841</v>
      </c>
      <c r="K24" s="568">
        <v>151.0298910517806</v>
      </c>
      <c r="L24" s="568">
        <v>136.89464328740584</v>
      </c>
      <c r="M24" s="568">
        <v>126.12378360885739</v>
      </c>
      <c r="N24" s="568" t="s">
        <v>93</v>
      </c>
      <c r="O24" s="568" t="s">
        <v>93</v>
      </c>
      <c r="P24" s="568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8">
        <v>121.88084647612601</v>
      </c>
      <c r="C25" s="568">
        <v>90.28940368322516</v>
      </c>
      <c r="D25" s="568">
        <v>99.674167735662508</v>
      </c>
      <c r="E25" s="568">
        <v>96.379479241583326</v>
      </c>
      <c r="F25" s="568">
        <v>66.055956148458733</v>
      </c>
      <c r="G25" s="568">
        <v>76.163096530486996</v>
      </c>
      <c r="H25" s="568">
        <v>89.466445214835986</v>
      </c>
      <c r="I25" s="568">
        <v>67.118408879601262</v>
      </c>
      <c r="J25" s="568">
        <v>80.140824868855347</v>
      </c>
      <c r="K25" s="568">
        <v>151.62458089248793</v>
      </c>
      <c r="L25" s="568">
        <v>140.28487438045016</v>
      </c>
      <c r="M25" s="568">
        <v>127.03259874879897</v>
      </c>
      <c r="N25" s="568" t="s">
        <v>93</v>
      </c>
      <c r="O25" s="568" t="s">
        <v>93</v>
      </c>
      <c r="P25" s="568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8">
        <v>123.98324131708074</v>
      </c>
      <c r="C26" s="568">
        <v>89.615566075798469</v>
      </c>
      <c r="D26" s="568">
        <v>98.497547199665647</v>
      </c>
      <c r="E26" s="568">
        <v>95.475923333427275</v>
      </c>
      <c r="F26" s="568">
        <v>66.196217291424546</v>
      </c>
      <c r="G26" s="568">
        <v>77.103618445205242</v>
      </c>
      <c r="H26" s="568">
        <v>90.041558117435955</v>
      </c>
      <c r="I26" s="568">
        <v>66.894595876933479</v>
      </c>
      <c r="J26" s="568">
        <v>81.126718328929883</v>
      </c>
      <c r="K26" s="568">
        <v>154.99620703073484</v>
      </c>
      <c r="L26" s="568">
        <v>139.99901662402124</v>
      </c>
      <c r="M26" s="568">
        <v>127.23702977236302</v>
      </c>
      <c r="N26" s="568" t="s">
        <v>93</v>
      </c>
      <c r="O26" s="568" t="s">
        <v>93</v>
      </c>
      <c r="P26" s="568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8">
        <v>131.77204522201384</v>
      </c>
      <c r="C28" s="568">
        <v>97.420319049022794</v>
      </c>
      <c r="D28" s="568">
        <v>105.87670751357007</v>
      </c>
      <c r="E28" s="568">
        <v>100.27302183322497</v>
      </c>
      <c r="F28" s="568">
        <v>69.834105844979732</v>
      </c>
      <c r="G28" s="568">
        <v>81.967757618442832</v>
      </c>
      <c r="H28" s="568">
        <v>94.212726980624325</v>
      </c>
      <c r="I28" s="568">
        <v>69.712915397884458</v>
      </c>
      <c r="J28" s="568">
        <v>84.158504918626534</v>
      </c>
      <c r="K28" s="568">
        <v>169.79045632560874</v>
      </c>
      <c r="L28" s="568">
        <v>150.16181412408207</v>
      </c>
      <c r="M28" s="568">
        <v>134.00682538692547</v>
      </c>
      <c r="N28" s="568" t="s">
        <v>93</v>
      </c>
      <c r="O28" s="568" t="s">
        <v>93</v>
      </c>
      <c r="P28" s="568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8">
        <v>133.42823133762454</v>
      </c>
      <c r="C29" s="568">
        <v>98.176345731051242</v>
      </c>
      <c r="D29" s="568">
        <v>107.31754731972802</v>
      </c>
      <c r="E29" s="568">
        <v>99.882514017947798</v>
      </c>
      <c r="F29" s="568">
        <v>69.761886811867868</v>
      </c>
      <c r="G29" s="568">
        <v>82.586572810681972</v>
      </c>
      <c r="H29" s="568">
        <v>94.99420179323603</v>
      </c>
      <c r="I29" s="568">
        <v>69.892103372073947</v>
      </c>
      <c r="J29" s="568">
        <v>84.022675177158177</v>
      </c>
      <c r="K29" s="568">
        <v>173.84247479932324</v>
      </c>
      <c r="L29" s="568">
        <v>152.97031446016894</v>
      </c>
      <c r="M29" s="568">
        <v>134.19315358486071</v>
      </c>
      <c r="N29" s="568" t="s">
        <v>93</v>
      </c>
      <c r="O29" s="568" t="s">
        <v>93</v>
      </c>
      <c r="P29" s="568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8">
        <v>134.48786925349904</v>
      </c>
      <c r="C30" s="568">
        <v>97.649573415402187</v>
      </c>
      <c r="D30" s="568">
        <v>109.1473284655202</v>
      </c>
      <c r="E30" s="568">
        <v>101.13980298768175</v>
      </c>
      <c r="F30" s="568">
        <v>69.778368481050578</v>
      </c>
      <c r="G30" s="568">
        <v>83.568896796851462</v>
      </c>
      <c r="H30" s="568">
        <v>97.004658569168967</v>
      </c>
      <c r="I30" s="568">
        <v>69.631898826974705</v>
      </c>
      <c r="J30" s="568">
        <v>84.209307953094978</v>
      </c>
      <c r="K30" s="568">
        <v>170.90429682382944</v>
      </c>
      <c r="L30" s="568">
        <v>154.44243095798319</v>
      </c>
      <c r="M30" s="568">
        <v>136.32095291472262</v>
      </c>
      <c r="N30" s="568" t="s">
        <v>93</v>
      </c>
      <c r="O30" s="568" t="s">
        <v>93</v>
      </c>
      <c r="P30" s="568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8">
        <v>134.81282069345411</v>
      </c>
      <c r="C31" s="568">
        <v>95.753649562895333</v>
      </c>
      <c r="D31" s="568">
        <v>107.17426266593255</v>
      </c>
      <c r="E31" s="568">
        <v>96.827648989074873</v>
      </c>
      <c r="F31" s="568">
        <v>69.038604777033527</v>
      </c>
      <c r="G31" s="568">
        <v>84.026338389583941</v>
      </c>
      <c r="H31" s="568">
        <v>96.624637862028635</v>
      </c>
      <c r="I31" s="568">
        <v>68.951142153335041</v>
      </c>
      <c r="J31" s="568">
        <v>82.903728238513921</v>
      </c>
      <c r="K31" s="568">
        <v>173.73871141960939</v>
      </c>
      <c r="L31" s="568">
        <v>150.31467038079015</v>
      </c>
      <c r="M31" s="568">
        <v>137.0497823892957</v>
      </c>
      <c r="N31" s="568" t="s">
        <v>93</v>
      </c>
      <c r="O31" s="568" t="s">
        <v>93</v>
      </c>
      <c r="P31" s="568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8">
        <v>134.08320903555173</v>
      </c>
      <c r="C32" s="568">
        <v>95.703528063971405</v>
      </c>
      <c r="D32" s="568">
        <v>107.12311811731169</v>
      </c>
      <c r="E32" s="568">
        <v>94.861259080185079</v>
      </c>
      <c r="F32" s="568">
        <v>68.748085991438771</v>
      </c>
      <c r="G32" s="568">
        <v>83.475581076303229</v>
      </c>
      <c r="H32" s="568">
        <v>94.749193032113197</v>
      </c>
      <c r="I32" s="568">
        <v>68.420989094392965</v>
      </c>
      <c r="J32" s="568">
        <v>81.200080378206309</v>
      </c>
      <c r="K32" s="568">
        <v>176.70051520058323</v>
      </c>
      <c r="L32" s="568">
        <v>147.43049380179963</v>
      </c>
      <c r="M32" s="568">
        <v>136.02249687042342</v>
      </c>
      <c r="N32" s="568" t="s">
        <v>93</v>
      </c>
      <c r="O32" s="568" t="s">
        <v>93</v>
      </c>
      <c r="P32" s="568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8">
        <v>133.92910076010952</v>
      </c>
      <c r="C33" s="568">
        <v>96.370522736931363</v>
      </c>
      <c r="D33" s="568">
        <v>106.93583757084266</v>
      </c>
      <c r="E33" s="568">
        <v>93.96888871908277</v>
      </c>
      <c r="F33" s="568">
        <v>68.366682904938259</v>
      </c>
      <c r="G33" s="568">
        <v>81.774881905522832</v>
      </c>
      <c r="H33" s="568">
        <v>94.466997512647396</v>
      </c>
      <c r="I33" s="568">
        <v>67.670180415528435</v>
      </c>
      <c r="J33" s="568">
        <v>81.882205084157235</v>
      </c>
      <c r="K33" s="568">
        <v>180.06570682961242</v>
      </c>
      <c r="L33" s="568">
        <v>152.77781090089792</v>
      </c>
      <c r="M33" s="568">
        <v>134.80871072715453</v>
      </c>
      <c r="N33" s="568" t="s">
        <v>93</v>
      </c>
      <c r="O33" s="568" t="s">
        <v>93</v>
      </c>
      <c r="P33" s="568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8">
        <v>134.25410877701765</v>
      </c>
      <c r="C34" s="568">
        <v>94.79530824883436</v>
      </c>
      <c r="D34" s="568">
        <v>105.41760635066765</v>
      </c>
      <c r="E34" s="568">
        <v>92.144849276997135</v>
      </c>
      <c r="F34" s="568">
        <v>66.996350716952833</v>
      </c>
      <c r="G34" s="568">
        <v>80.690624944208125</v>
      </c>
      <c r="H34" s="568">
        <v>94.160474635142677</v>
      </c>
      <c r="I34" s="568">
        <v>67.442670082868304</v>
      </c>
      <c r="J34" s="568">
        <v>81.525806210240091</v>
      </c>
      <c r="K34" s="568">
        <v>179.51733803580413</v>
      </c>
      <c r="L34" s="568">
        <v>155.97019912557735</v>
      </c>
      <c r="M34" s="568">
        <v>133.38967254922952</v>
      </c>
      <c r="N34" s="568" t="s">
        <v>93</v>
      </c>
      <c r="O34" s="568" t="s">
        <v>93</v>
      </c>
      <c r="P34" s="568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8">
        <v>135.70360831903565</v>
      </c>
      <c r="C35" s="568">
        <v>96.306199591700206</v>
      </c>
      <c r="D35" s="568">
        <v>107.3307882574683</v>
      </c>
      <c r="E35" s="568">
        <v>95.649896583280011</v>
      </c>
      <c r="F35" s="568">
        <v>67.808751805895469</v>
      </c>
      <c r="G35" s="568">
        <v>80.970157544434656</v>
      </c>
      <c r="H35" s="568">
        <v>94.333544803295496</v>
      </c>
      <c r="I35" s="568">
        <v>67.632193929464563</v>
      </c>
      <c r="J35" s="568">
        <v>83.770763063137878</v>
      </c>
      <c r="K35" s="568">
        <v>174.14998784691005</v>
      </c>
      <c r="L35" s="568">
        <v>155.70418701005843</v>
      </c>
      <c r="M35" s="568">
        <v>133.05824008286137</v>
      </c>
      <c r="N35" s="568" t="s">
        <v>93</v>
      </c>
      <c r="O35" s="568" t="s">
        <v>93</v>
      </c>
      <c r="P35" s="568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8">
        <v>137.01707171229674</v>
      </c>
      <c r="C36" s="568">
        <v>95.21850012044797</v>
      </c>
      <c r="D36" s="568">
        <v>108.21555324403145</v>
      </c>
      <c r="E36" s="568">
        <v>91.946245170396594</v>
      </c>
      <c r="F36" s="568">
        <v>67.325778097714505</v>
      </c>
      <c r="G36" s="568">
        <v>80.315700165944634</v>
      </c>
      <c r="H36" s="568">
        <v>94.245565486436277</v>
      </c>
      <c r="I36" s="568">
        <v>67.136759187601314</v>
      </c>
      <c r="J36" s="568">
        <v>81.167963052398576</v>
      </c>
      <c r="K36" s="568">
        <v>174.42705498146708</v>
      </c>
      <c r="L36" s="568">
        <v>150.19895716875652</v>
      </c>
      <c r="M36" s="568">
        <v>133.42732360562641</v>
      </c>
      <c r="N36" s="568" t="s">
        <v>93</v>
      </c>
      <c r="O36" s="568" t="s">
        <v>93</v>
      </c>
      <c r="P36" s="568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8">
        <v>139.42018824186172</v>
      </c>
      <c r="C37" s="568">
        <v>94.402515379046548</v>
      </c>
      <c r="D37" s="568">
        <v>108.43235904702441</v>
      </c>
      <c r="E37" s="568">
        <v>87.501738405531583</v>
      </c>
      <c r="F37" s="568">
        <v>66.454588964093887</v>
      </c>
      <c r="G37" s="568">
        <v>80.175964195382505</v>
      </c>
      <c r="H37" s="568">
        <v>92.511780115454044</v>
      </c>
      <c r="I37" s="568">
        <v>67.581562089072236</v>
      </c>
      <c r="J37" s="568">
        <v>78.431832642003883</v>
      </c>
      <c r="K37" s="568">
        <v>178.3988014214745</v>
      </c>
      <c r="L37" s="568">
        <v>150.48725378427639</v>
      </c>
      <c r="M37" s="568">
        <v>135.41390246355215</v>
      </c>
      <c r="N37" s="568" t="s">
        <v>93</v>
      </c>
      <c r="O37" s="568" t="s">
        <v>93</v>
      </c>
      <c r="P37" s="568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8">
        <v>143.04039106612089</v>
      </c>
      <c r="C38" s="568">
        <v>94.12695753380882</v>
      </c>
      <c r="D38" s="568">
        <v>110.22854084872075</v>
      </c>
      <c r="E38" s="568">
        <v>88.015026929619239</v>
      </c>
      <c r="F38" s="568">
        <v>66.765065173977405</v>
      </c>
      <c r="G38" s="568">
        <v>81.040410032166633</v>
      </c>
      <c r="H38" s="568">
        <v>93.188099878026136</v>
      </c>
      <c r="I38" s="568">
        <v>68.784727559015863</v>
      </c>
      <c r="J38" s="568">
        <v>78.841868330056926</v>
      </c>
      <c r="K38" s="568">
        <v>176.03393354575149</v>
      </c>
      <c r="L38" s="568">
        <v>151.2112289039116</v>
      </c>
      <c r="M38" s="568">
        <v>137.48920040900433</v>
      </c>
      <c r="N38" s="568" t="s">
        <v>93</v>
      </c>
      <c r="O38" s="568" t="s">
        <v>93</v>
      </c>
      <c r="P38" s="568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8">
        <v>146.58504696708189</v>
      </c>
      <c r="C39" s="568">
        <v>97.027145148297805</v>
      </c>
      <c r="D39" s="568">
        <v>115.45478023798627</v>
      </c>
      <c r="E39" s="568">
        <v>89.566541602004577</v>
      </c>
      <c r="F39" s="568">
        <v>68.127091621857346</v>
      </c>
      <c r="G39" s="568">
        <v>81.888627256961584</v>
      </c>
      <c r="H39" s="568">
        <v>94.314751078646708</v>
      </c>
      <c r="I39" s="568">
        <v>69.339217134518719</v>
      </c>
      <c r="J39" s="568">
        <v>79.566542598048542</v>
      </c>
      <c r="K39" s="568">
        <v>181.48369414650062</v>
      </c>
      <c r="L39" s="568">
        <v>153.82562797827615</v>
      </c>
      <c r="M39" s="568">
        <v>138.76837844934417</v>
      </c>
      <c r="N39" s="568" t="s">
        <v>93</v>
      </c>
      <c r="O39" s="568" t="s">
        <v>93</v>
      </c>
      <c r="P39" s="568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8">
        <v>149.82187439568722</v>
      </c>
      <c r="C41" s="568">
        <v>99.040234619480501</v>
      </c>
      <c r="D41" s="568">
        <v>122.33360546590414</v>
      </c>
      <c r="E41" s="568">
        <v>90.729188537862029</v>
      </c>
      <c r="F41" s="568">
        <v>68.087932201842861</v>
      </c>
      <c r="G41" s="568">
        <v>81.692630170228028</v>
      </c>
      <c r="H41" s="568">
        <v>93.951097999824512</v>
      </c>
      <c r="I41" s="568">
        <v>69.713732306681337</v>
      </c>
      <c r="J41" s="568">
        <v>80.527279205853858</v>
      </c>
      <c r="K41" s="568">
        <v>178.75474937499831</v>
      </c>
      <c r="L41" s="568">
        <v>152.04587569567065</v>
      </c>
      <c r="M41" s="568">
        <v>138.20150759476687</v>
      </c>
      <c r="N41" s="568" t="s">
        <v>93</v>
      </c>
      <c r="O41" s="568" t="s">
        <v>93</v>
      </c>
      <c r="P41" s="568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8">
        <v>153.25533292319275</v>
      </c>
      <c r="C42" s="568">
        <v>100.92550561989529</v>
      </c>
      <c r="D42" s="568">
        <v>124.64207981647819</v>
      </c>
      <c r="E42" s="568">
        <v>93.174640058980643</v>
      </c>
      <c r="F42" s="568">
        <v>69.001001540006214</v>
      </c>
      <c r="G42" s="568">
        <v>81.178422343875852</v>
      </c>
      <c r="H42" s="568">
        <v>93.62594285927193</v>
      </c>
      <c r="I42" s="568">
        <v>70.083510435718708</v>
      </c>
      <c r="J42" s="568">
        <v>81.690354589441185</v>
      </c>
      <c r="K42" s="568">
        <v>178.93897504936137</v>
      </c>
      <c r="L42" s="568">
        <v>149.64338182105669</v>
      </c>
      <c r="M42" s="568">
        <v>136.49703030502411</v>
      </c>
      <c r="N42" s="568" t="s">
        <v>93</v>
      </c>
      <c r="O42" s="568" t="s">
        <v>93</v>
      </c>
      <c r="P42" s="568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8">
        <v>158.39958416692289</v>
      </c>
      <c r="C43" s="568">
        <v>98.143171715647483</v>
      </c>
      <c r="D43" s="568">
        <v>126.06480608722237</v>
      </c>
      <c r="E43" s="568">
        <v>98.858337497284126</v>
      </c>
      <c r="F43" s="568">
        <v>68.281094590030946</v>
      </c>
      <c r="G43" s="568">
        <v>80.650069882672511</v>
      </c>
      <c r="H43" s="568">
        <v>93.664113559263441</v>
      </c>
      <c r="I43" s="568">
        <v>70.047958929893412</v>
      </c>
      <c r="J43" s="568">
        <v>84.401753140201834</v>
      </c>
      <c r="K43" s="568">
        <v>173.40475120190763</v>
      </c>
      <c r="L43" s="568">
        <v>149.847997192371</v>
      </c>
      <c r="M43" s="568">
        <v>140.75789010835013</v>
      </c>
      <c r="N43" s="568" t="s">
        <v>93</v>
      </c>
      <c r="O43" s="568" t="s">
        <v>93</v>
      </c>
      <c r="P43" s="568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8">
        <v>164.85868013987849</v>
      </c>
      <c r="C44" s="568">
        <v>100.6766090896929</v>
      </c>
      <c r="D44" s="568">
        <v>132.04840817487354</v>
      </c>
      <c r="E44" s="568">
        <v>107.0165774189739</v>
      </c>
      <c r="F44" s="568">
        <v>69.676971642631642</v>
      </c>
      <c r="G44" s="568">
        <v>80.219223786813899</v>
      </c>
      <c r="H44" s="568">
        <v>93.608277301861449</v>
      </c>
      <c r="I44" s="568">
        <v>71.733921575179238</v>
      </c>
      <c r="J44" s="568">
        <v>87.121232996485631</v>
      </c>
      <c r="K44" s="568">
        <v>184.40006698479829</v>
      </c>
      <c r="L44" s="568">
        <v>155.30113076029204</v>
      </c>
      <c r="M44" s="568">
        <v>144.95772196396433</v>
      </c>
      <c r="N44" s="568" t="s">
        <v>93</v>
      </c>
      <c r="O44" s="568" t="s">
        <v>93</v>
      </c>
      <c r="P44" s="568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8">
        <v>168.41264089561656</v>
      </c>
      <c r="C45" s="568">
        <v>104.29466463821559</v>
      </c>
      <c r="D45" s="568">
        <v>135.99452395699865</v>
      </c>
      <c r="E45" s="568">
        <v>103.93014218097777</v>
      </c>
      <c r="F45" s="568">
        <v>71.286248448802183</v>
      </c>
      <c r="G45" s="568">
        <v>78.731060646854033</v>
      </c>
      <c r="H45" s="568">
        <v>95.544498268287114</v>
      </c>
      <c r="I45" s="568">
        <v>74.37233198082032</v>
      </c>
      <c r="J45" s="568">
        <v>88.651906607262461</v>
      </c>
      <c r="K45" s="568">
        <v>192.6325996103138</v>
      </c>
      <c r="L45" s="568">
        <v>152.15627510600055</v>
      </c>
      <c r="M45" s="568">
        <v>148.99628937546444</v>
      </c>
      <c r="N45" s="568" t="s">
        <v>93</v>
      </c>
      <c r="O45" s="568" t="s">
        <v>93</v>
      </c>
      <c r="P45" s="568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8">
        <v>168.61158423539356</v>
      </c>
      <c r="C46" s="568">
        <v>105.03325427198395</v>
      </c>
      <c r="D46" s="568">
        <v>136.69468096045787</v>
      </c>
      <c r="E46" s="568">
        <v>104.43574826586689</v>
      </c>
      <c r="F46" s="568">
        <v>71.174216057543546</v>
      </c>
      <c r="G46" s="568">
        <v>78.964961903968415</v>
      </c>
      <c r="H46" s="568">
        <v>95.019658316362836</v>
      </c>
      <c r="I46" s="568">
        <v>74.053903936962257</v>
      </c>
      <c r="J46" s="568">
        <v>88.780655622407082</v>
      </c>
      <c r="K46" s="568">
        <v>200.07628676463744</v>
      </c>
      <c r="L46" s="568">
        <v>152.30647853153502</v>
      </c>
      <c r="M46" s="568">
        <v>149.51177396488174</v>
      </c>
      <c r="N46" s="568" t="s">
        <v>93</v>
      </c>
      <c r="O46" s="568" t="s">
        <v>93</v>
      </c>
      <c r="P46" s="568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8">
        <v>168.81624483375501</v>
      </c>
      <c r="C47" s="568">
        <v>104.68595954540206</v>
      </c>
      <c r="D47" s="568">
        <v>136.3842905873999</v>
      </c>
      <c r="E47" s="568">
        <v>103.07044457566289</v>
      </c>
      <c r="F47" s="568">
        <v>70.601328755723358</v>
      </c>
      <c r="G47" s="568">
        <v>77.466674893095416</v>
      </c>
      <c r="H47" s="568">
        <v>95.79568290708518</v>
      </c>
      <c r="I47" s="568">
        <v>73.738979698958346</v>
      </c>
      <c r="J47" s="568">
        <v>88.508906708871635</v>
      </c>
      <c r="K47" s="568">
        <v>196.88437876315302</v>
      </c>
      <c r="L47" s="568">
        <v>152.80738248273425</v>
      </c>
      <c r="M47" s="568">
        <v>149.67059911388387</v>
      </c>
      <c r="N47" s="568" t="s">
        <v>93</v>
      </c>
      <c r="O47" s="568" t="s">
        <v>93</v>
      </c>
      <c r="P47" s="568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8">
        <v>167.22269098191825</v>
      </c>
      <c r="C48" s="568">
        <v>109.51779906568379</v>
      </c>
      <c r="D48" s="568">
        <v>141.53954296532558</v>
      </c>
      <c r="E48" s="568">
        <v>99.560087327772266</v>
      </c>
      <c r="F48" s="568">
        <v>72.328569402618072</v>
      </c>
      <c r="G48" s="568">
        <v>77.364863072536167</v>
      </c>
      <c r="H48" s="568">
        <v>92.287302794902132</v>
      </c>
      <c r="I48" s="568">
        <v>74.084691049783373</v>
      </c>
      <c r="J48" s="568">
        <v>87.116726013959379</v>
      </c>
      <c r="K48" s="568">
        <v>199.76246854566529</v>
      </c>
      <c r="L48" s="568">
        <v>158.98805017848369</v>
      </c>
      <c r="M48" s="568">
        <v>149.29005254049898</v>
      </c>
      <c r="N48" s="568" t="s">
        <v>93</v>
      </c>
      <c r="O48" s="568" t="s">
        <v>93</v>
      </c>
      <c r="P48" s="568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8">
        <v>168.78178010293169</v>
      </c>
      <c r="C49" s="568">
        <v>115.03879426764011</v>
      </c>
      <c r="D49" s="568">
        <v>149.59312620322936</v>
      </c>
      <c r="E49" s="568">
        <v>105.560352089717</v>
      </c>
      <c r="F49" s="568">
        <v>75.887381207724047</v>
      </c>
      <c r="G49" s="568">
        <v>81.123572294998795</v>
      </c>
      <c r="H49" s="568">
        <v>93.545122272020222</v>
      </c>
      <c r="I49" s="568">
        <v>75.253418384835925</v>
      </c>
      <c r="J49" s="568">
        <v>87.181544308786215</v>
      </c>
      <c r="K49" s="568">
        <v>196.91108341851501</v>
      </c>
      <c r="L49" s="568">
        <v>159.5409171662065</v>
      </c>
      <c r="M49" s="568">
        <v>150.83277056875207</v>
      </c>
      <c r="N49" s="568" t="s">
        <v>93</v>
      </c>
      <c r="O49" s="568" t="s">
        <v>93</v>
      </c>
      <c r="P49" s="568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8">
        <v>172.07597184344635</v>
      </c>
      <c r="C50" s="568">
        <v>125.09388029312694</v>
      </c>
      <c r="D50" s="568">
        <v>160.51798213820658</v>
      </c>
      <c r="E50" s="568">
        <v>122.44073270575004</v>
      </c>
      <c r="F50" s="568">
        <v>79.30260000322329</v>
      </c>
      <c r="G50" s="568">
        <v>91.15333636767005</v>
      </c>
      <c r="H50" s="568">
        <v>95.340925337612376</v>
      </c>
      <c r="I50" s="568">
        <v>76.684372905702872</v>
      </c>
      <c r="J50" s="568">
        <v>87.780513809905401</v>
      </c>
      <c r="K50" s="568">
        <v>187.27171334430079</v>
      </c>
      <c r="L50" s="568">
        <v>166.74891437206259</v>
      </c>
      <c r="M50" s="568">
        <v>152.52958961563573</v>
      </c>
      <c r="N50" s="568" t="s">
        <v>93</v>
      </c>
      <c r="O50" s="568" t="s">
        <v>93</v>
      </c>
      <c r="P50" s="568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8">
        <v>175.50314086816309</v>
      </c>
      <c r="C51" s="568">
        <v>132.28372301481366</v>
      </c>
      <c r="D51" s="568">
        <v>178.34924783754323</v>
      </c>
      <c r="E51" s="568">
        <v>133.20078493278024</v>
      </c>
      <c r="F51" s="568">
        <v>81.540560739424379</v>
      </c>
      <c r="G51" s="568">
        <v>99.913618562975756</v>
      </c>
      <c r="H51" s="568">
        <v>105.68542644471037</v>
      </c>
      <c r="I51" s="568">
        <v>78.286491382320008</v>
      </c>
      <c r="J51" s="568">
        <v>87.818424162418921</v>
      </c>
      <c r="K51" s="568">
        <v>182.85785431745856</v>
      </c>
      <c r="L51" s="568">
        <v>178.72074136871848</v>
      </c>
      <c r="M51" s="568">
        <v>153.98744856495856</v>
      </c>
      <c r="N51" s="568" t="s">
        <v>93</v>
      </c>
      <c r="O51" s="568" t="s">
        <v>93</v>
      </c>
      <c r="P51" s="568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8">
        <v>177.08227735166591</v>
      </c>
      <c r="C52" s="568">
        <v>124.77237093825305</v>
      </c>
      <c r="D52" s="568">
        <v>184.55408945642844</v>
      </c>
      <c r="E52" s="568">
        <v>128.96874168773363</v>
      </c>
      <c r="F52" s="568">
        <v>83.31158985720829</v>
      </c>
      <c r="G52" s="568">
        <v>125.8038596796293</v>
      </c>
      <c r="H52" s="568">
        <v>111.97084357254978</v>
      </c>
      <c r="I52" s="568">
        <v>76.441806857474518</v>
      </c>
      <c r="J52" s="568">
        <v>88.094447707465747</v>
      </c>
      <c r="K52" s="568">
        <v>172.71334855104985</v>
      </c>
      <c r="L52" s="568">
        <v>178.68705405337269</v>
      </c>
      <c r="M52" s="568">
        <v>154.81722792096733</v>
      </c>
      <c r="N52" s="568" t="s">
        <v>93</v>
      </c>
      <c r="O52" s="568" t="s">
        <v>93</v>
      </c>
      <c r="P52" s="568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8">
        <v>175.68952309505482</v>
      </c>
      <c r="C54" s="568">
        <v>126.40401001233802</v>
      </c>
      <c r="D54" s="568">
        <v>190.21107411282802</v>
      </c>
      <c r="E54" s="568">
        <v>132.32569061021914</v>
      </c>
      <c r="F54" s="568">
        <v>90.450264546243559</v>
      </c>
      <c r="G54" s="568">
        <v>124.50618324548701</v>
      </c>
      <c r="H54" s="568">
        <v>110.64579726271489</v>
      </c>
      <c r="I54" s="568">
        <v>75.153899241803785</v>
      </c>
      <c r="J54" s="568">
        <v>87.895887077173271</v>
      </c>
      <c r="K54" s="568">
        <v>171.65997829438075</v>
      </c>
      <c r="L54" s="568">
        <v>179.98746651889806</v>
      </c>
      <c r="M54" s="568">
        <v>152.10669176015364</v>
      </c>
      <c r="N54" s="568" t="s">
        <v>93</v>
      </c>
      <c r="O54" s="568" t="s">
        <v>93</v>
      </c>
      <c r="P54" s="568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8">
        <v>173.00303479118887</v>
      </c>
      <c r="C55" s="568">
        <v>130.03417355007193</v>
      </c>
      <c r="D55" s="568">
        <v>187.6432465897625</v>
      </c>
      <c r="E55" s="568">
        <v>136.9365408182336</v>
      </c>
      <c r="F55" s="568">
        <v>100.39739563853735</v>
      </c>
      <c r="G55" s="568">
        <v>123.52639884704206</v>
      </c>
      <c r="H55" s="568">
        <v>111.26838648620618</v>
      </c>
      <c r="I55" s="568">
        <v>72.076525789405196</v>
      </c>
      <c r="J55" s="568">
        <v>103.01203477869616</v>
      </c>
      <c r="K55" s="568">
        <v>174.2872341613932</v>
      </c>
      <c r="L55" s="568">
        <v>186.95942025602758</v>
      </c>
      <c r="M55" s="568">
        <v>150.43822538097413</v>
      </c>
      <c r="N55" s="568" t="s">
        <v>93</v>
      </c>
      <c r="O55" s="568" t="s">
        <v>93</v>
      </c>
      <c r="P55" s="568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8">
        <v>172.60996972700138</v>
      </c>
      <c r="C56" s="568">
        <v>126.95536681392645</v>
      </c>
      <c r="D56" s="568">
        <v>190.2708683386472</v>
      </c>
      <c r="E56" s="568">
        <v>138.68038775886066</v>
      </c>
      <c r="F56" s="568">
        <v>96.124348720788163</v>
      </c>
      <c r="G56" s="568">
        <v>119.4640110077694</v>
      </c>
      <c r="H56" s="568">
        <v>111.5691896411498</v>
      </c>
      <c r="I56" s="568">
        <v>72.692074225378803</v>
      </c>
      <c r="J56" s="568">
        <v>105.98250601226324</v>
      </c>
      <c r="K56" s="568">
        <v>182.71089315187609</v>
      </c>
      <c r="L56" s="568">
        <v>188.30817741769818</v>
      </c>
      <c r="M56" s="568">
        <v>150.41253013034211</v>
      </c>
      <c r="N56" s="568" t="s">
        <v>93</v>
      </c>
      <c r="O56" s="568" t="s">
        <v>93</v>
      </c>
      <c r="P56" s="568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8">
        <v>172.43347723568743</v>
      </c>
      <c r="C57" s="568">
        <v>124.71013696166339</v>
      </c>
      <c r="D57" s="568">
        <v>182.27958272766023</v>
      </c>
      <c r="E57" s="568">
        <v>130.26211027030118</v>
      </c>
      <c r="F57" s="568">
        <v>91.915827373314301</v>
      </c>
      <c r="G57" s="568">
        <v>118.69548481174681</v>
      </c>
      <c r="H57" s="568">
        <v>110.00101577843208</v>
      </c>
      <c r="I57" s="568">
        <v>73.288810185982086</v>
      </c>
      <c r="J57" s="568">
        <v>104.97353695948244</v>
      </c>
      <c r="K57" s="568">
        <v>185.08658033411518</v>
      </c>
      <c r="L57" s="568">
        <v>187.54439216750521</v>
      </c>
      <c r="M57" s="568">
        <v>150.44916649544609</v>
      </c>
      <c r="N57" s="568" t="s">
        <v>93</v>
      </c>
      <c r="O57" s="568" t="s">
        <v>93</v>
      </c>
      <c r="P57" s="568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8">
        <v>171.42059435418236</v>
      </c>
      <c r="C58" s="568">
        <v>120.34506318725165</v>
      </c>
      <c r="D58" s="568">
        <v>172.77163213964289</v>
      </c>
      <c r="E58" s="568">
        <v>125.42131080273417</v>
      </c>
      <c r="F58" s="568">
        <v>86.990508374900671</v>
      </c>
      <c r="G58" s="568">
        <v>113.93011403422418</v>
      </c>
      <c r="H58" s="568">
        <v>107.42270905482155</v>
      </c>
      <c r="I58" s="568">
        <v>70.883323408020445</v>
      </c>
      <c r="J58" s="568">
        <v>103.74234181481366</v>
      </c>
      <c r="K58" s="568">
        <v>180.8327937010433</v>
      </c>
      <c r="L58" s="568">
        <v>181.21962192427378</v>
      </c>
      <c r="M58" s="568">
        <v>150.31897245838536</v>
      </c>
      <c r="N58" s="568" t="s">
        <v>93</v>
      </c>
      <c r="O58" s="568" t="s">
        <v>93</v>
      </c>
      <c r="P58" s="568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8">
        <v>169.22669126332272</v>
      </c>
      <c r="C59" s="568">
        <v>115.9029653478551</v>
      </c>
      <c r="D59" s="568">
        <v>160.8184437412896</v>
      </c>
      <c r="E59" s="568">
        <v>123.38773059515226</v>
      </c>
      <c r="F59" s="568">
        <v>83.467088054996779</v>
      </c>
      <c r="G59" s="568">
        <v>110.26690948031093</v>
      </c>
      <c r="H59" s="568">
        <v>106.95270191709947</v>
      </c>
      <c r="I59" s="568">
        <v>69.326912878942409</v>
      </c>
      <c r="J59" s="568">
        <v>102.68663718509399</v>
      </c>
      <c r="K59" s="568">
        <v>179.9937208577889</v>
      </c>
      <c r="L59" s="568">
        <v>172.78113136586714</v>
      </c>
      <c r="M59" s="568">
        <v>150.39980984441524</v>
      </c>
      <c r="N59" s="568" t="s">
        <v>93</v>
      </c>
      <c r="O59" s="568" t="s">
        <v>93</v>
      </c>
      <c r="P59" s="568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8">
        <v>170.55060244746909</v>
      </c>
      <c r="C60" s="568">
        <v>117.31487557713969</v>
      </c>
      <c r="D60" s="568">
        <v>162.05471719847756</v>
      </c>
      <c r="E60" s="568">
        <v>122.05614043044839</v>
      </c>
      <c r="F60" s="568">
        <v>84.838726038864749</v>
      </c>
      <c r="G60" s="568">
        <v>112.27189335271488</v>
      </c>
      <c r="H60" s="568">
        <v>112.70728941341126</v>
      </c>
      <c r="I60" s="568">
        <v>70.774183498396638</v>
      </c>
      <c r="J60" s="568">
        <v>103.36327451233099</v>
      </c>
      <c r="K60" s="568">
        <v>177.83038147307289</v>
      </c>
      <c r="L60" s="568">
        <v>169.95821540899033</v>
      </c>
      <c r="M60" s="568">
        <v>151.85203974123374</v>
      </c>
      <c r="N60" s="568" t="s">
        <v>93</v>
      </c>
      <c r="O60" s="568" t="s">
        <v>93</v>
      </c>
      <c r="P60" s="568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8">
        <v>170.0261016860741</v>
      </c>
      <c r="C61" s="568">
        <v>115.5054714112278</v>
      </c>
      <c r="D61" s="568">
        <v>159.9643236251307</v>
      </c>
      <c r="E61" s="568">
        <v>119.67444572125032</v>
      </c>
      <c r="F61" s="568">
        <v>85.268624335356762</v>
      </c>
      <c r="G61" s="568">
        <v>119.90860603928071</v>
      </c>
      <c r="H61" s="568">
        <v>113.45685854142656</v>
      </c>
      <c r="I61" s="568">
        <v>69.915323578538704</v>
      </c>
      <c r="J61" s="568">
        <v>103.35814375390453</v>
      </c>
      <c r="K61" s="568">
        <v>177.93000758704585</v>
      </c>
      <c r="L61" s="568">
        <v>166.55033902443768</v>
      </c>
      <c r="M61" s="568">
        <v>151.2336224168638</v>
      </c>
      <c r="N61" s="568" t="s">
        <v>93</v>
      </c>
      <c r="O61" s="568" t="s">
        <v>93</v>
      </c>
      <c r="P61" s="568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8">
        <v>170.48483960171288</v>
      </c>
      <c r="C62" s="568">
        <v>113.71379511561884</v>
      </c>
      <c r="D62" s="568">
        <v>162.6640077594231</v>
      </c>
      <c r="E62" s="568">
        <v>120.13217989972715</v>
      </c>
      <c r="F62" s="568">
        <v>83.412160184600125</v>
      </c>
      <c r="G62" s="568">
        <v>124.26056559999785</v>
      </c>
      <c r="H62" s="568">
        <v>111.27602880843646</v>
      </c>
      <c r="I62" s="568">
        <v>69.639764560960359</v>
      </c>
      <c r="J62" s="568">
        <v>103.48908979310281</v>
      </c>
      <c r="K62" s="568">
        <v>172.47896997615825</v>
      </c>
      <c r="L62" s="568">
        <v>165.09813793866257</v>
      </c>
      <c r="M62" s="568">
        <v>151.25591787618876</v>
      </c>
      <c r="N62" s="568" t="s">
        <v>93</v>
      </c>
      <c r="O62" s="568" t="s">
        <v>93</v>
      </c>
      <c r="P62" s="568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8">
        <v>170.63905488047737</v>
      </c>
      <c r="C63" s="568">
        <v>111.90214760475918</v>
      </c>
      <c r="D63" s="568">
        <v>164.24028127452456</v>
      </c>
      <c r="E63" s="568">
        <v>116.30915080062</v>
      </c>
      <c r="F63" s="568">
        <v>80.137324646891074</v>
      </c>
      <c r="G63" s="568">
        <v>119.32598806247775</v>
      </c>
      <c r="H63" s="568">
        <v>108.88588986360207</v>
      </c>
      <c r="I63" s="568">
        <v>69.804427341876419</v>
      </c>
      <c r="J63" s="568">
        <v>103.41544352934717</v>
      </c>
      <c r="K63" s="568">
        <v>170.22443210349965</v>
      </c>
      <c r="L63" s="568">
        <v>163.69407225227675</v>
      </c>
      <c r="M63" s="568">
        <v>151.80459407250808</v>
      </c>
      <c r="N63" s="568" t="s">
        <v>93</v>
      </c>
      <c r="O63" s="568" t="s">
        <v>93</v>
      </c>
      <c r="P63" s="568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8">
        <v>172.23852705127615</v>
      </c>
      <c r="C64" s="568">
        <v>112.41151164040276</v>
      </c>
      <c r="D64" s="568">
        <v>161.76735006690669</v>
      </c>
      <c r="E64" s="568">
        <v>117.67600591232474</v>
      </c>
      <c r="F64" s="568">
        <v>79.34405150775163</v>
      </c>
      <c r="G64" s="568">
        <v>117.9853909679769</v>
      </c>
      <c r="H64" s="568">
        <v>110.36854889633246</v>
      </c>
      <c r="I64" s="568">
        <v>70.504316864946446</v>
      </c>
      <c r="J64" s="568">
        <v>103.55998239054145</v>
      </c>
      <c r="K64" s="568">
        <v>170.79802999725004</v>
      </c>
      <c r="L64" s="568">
        <v>167.45637965751683</v>
      </c>
      <c r="M64" s="568">
        <v>153.38856565207382</v>
      </c>
      <c r="N64" s="568" t="s">
        <v>93</v>
      </c>
      <c r="O64" s="568" t="s">
        <v>93</v>
      </c>
      <c r="P64" s="568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8">
        <v>173.29021031697829</v>
      </c>
      <c r="C65" s="568">
        <v>115.49676247373048</v>
      </c>
      <c r="D65" s="568">
        <v>166.02372816853907</v>
      </c>
      <c r="E65" s="568">
        <v>119.60823634853982</v>
      </c>
      <c r="F65" s="568">
        <v>82.754883896832524</v>
      </c>
      <c r="G65" s="568">
        <v>115.92980617634367</v>
      </c>
      <c r="H65" s="568">
        <v>111.34547081955778</v>
      </c>
      <c r="I65" s="568">
        <v>70.109684156278774</v>
      </c>
      <c r="J65" s="568">
        <v>103.06762265688049</v>
      </c>
      <c r="K65" s="568">
        <v>173.47903488537338</v>
      </c>
      <c r="L65" s="568">
        <v>169.53706587770111</v>
      </c>
      <c r="M65" s="568">
        <v>152.83092816070933</v>
      </c>
      <c r="N65" s="568" t="s">
        <v>93</v>
      </c>
      <c r="O65" s="568" t="s">
        <v>93</v>
      </c>
      <c r="P65" s="568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8">
        <v>173.7278333748371</v>
      </c>
      <c r="C67" s="568">
        <v>119.59006298444659</v>
      </c>
      <c r="D67" s="568">
        <v>167.86294165448223</v>
      </c>
      <c r="E67" s="568">
        <v>115.15277092677309</v>
      </c>
      <c r="F67" s="568">
        <v>81.477848211979122</v>
      </c>
      <c r="G67" s="568">
        <v>115.373688186856</v>
      </c>
      <c r="H67" s="568">
        <v>112.7238957016578</v>
      </c>
      <c r="I67" s="568">
        <v>70.402134316730709</v>
      </c>
      <c r="J67" s="568">
        <v>101.68264230064264</v>
      </c>
      <c r="K67" s="568">
        <v>177.27579745016035</v>
      </c>
      <c r="L67" s="568">
        <v>168.0874359042742</v>
      </c>
      <c r="M67" s="568">
        <v>152.58587737664345</v>
      </c>
      <c r="N67" s="568">
        <v>100</v>
      </c>
      <c r="O67" s="568" t="s">
        <v>93</v>
      </c>
      <c r="P67" s="568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8">
        <v>175.55438920498193</v>
      </c>
      <c r="C68" s="568">
        <v>126.69769827032985</v>
      </c>
      <c r="D68" s="568">
        <v>178.76701359710609</v>
      </c>
      <c r="E68" s="568">
        <v>120.36005824486546</v>
      </c>
      <c r="F68" s="568">
        <v>81.885319131608568</v>
      </c>
      <c r="G68" s="568">
        <v>113.39353862604939</v>
      </c>
      <c r="H68" s="568">
        <v>113.62217968668364</v>
      </c>
      <c r="I68" s="568">
        <v>70.857885113566724</v>
      </c>
      <c r="J68" s="568">
        <v>100.43753738195774</v>
      </c>
      <c r="K68" s="568">
        <v>175.64228262502823</v>
      </c>
      <c r="L68" s="568">
        <v>171.92519770132742</v>
      </c>
      <c r="M68" s="568">
        <v>152.3568857792213</v>
      </c>
      <c r="N68" s="568">
        <v>103.17589413090907</v>
      </c>
      <c r="O68" s="568" t="s">
        <v>93</v>
      </c>
      <c r="P68" s="568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8">
        <v>177.76030409132008</v>
      </c>
      <c r="C69" s="568">
        <v>126.96504960142063</v>
      </c>
      <c r="D69" s="568">
        <v>182.00501436307152</v>
      </c>
      <c r="E69" s="568">
        <v>120.37216869447771</v>
      </c>
      <c r="F69" s="568">
        <v>81.23866499272097</v>
      </c>
      <c r="G69" s="568">
        <v>113.77556572380249</v>
      </c>
      <c r="H69" s="568">
        <v>115.05240450445413</v>
      </c>
      <c r="I69" s="568">
        <v>70.352391670687453</v>
      </c>
      <c r="J69" s="568">
        <v>101.79980067943201</v>
      </c>
      <c r="K69" s="568">
        <v>179.55922828035233</v>
      </c>
      <c r="L69" s="568">
        <v>173.91356667999392</v>
      </c>
      <c r="M69" s="568">
        <v>155.37323740082442</v>
      </c>
      <c r="N69" s="568">
        <v>104.27882912965666</v>
      </c>
      <c r="O69" s="568" t="s">
        <v>93</v>
      </c>
      <c r="P69" s="568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8">
        <v>177.92481485637737</v>
      </c>
      <c r="C70" s="568">
        <v>128.2152068108436</v>
      </c>
      <c r="D70" s="568">
        <v>180.94057106277293</v>
      </c>
      <c r="E70" s="568">
        <v>116.55996304637684</v>
      </c>
      <c r="F70" s="568">
        <v>80.147050282567164</v>
      </c>
      <c r="G70" s="568">
        <v>113.4054804343823</v>
      </c>
      <c r="H70" s="568">
        <v>116.5836526177242</v>
      </c>
      <c r="I70" s="568">
        <v>69.715541778463006</v>
      </c>
      <c r="J70" s="568">
        <v>100.8439655212992</v>
      </c>
      <c r="K70" s="568">
        <v>185.72485107805807</v>
      </c>
      <c r="L70" s="568">
        <v>170.71728425110868</v>
      </c>
      <c r="M70" s="568">
        <v>155.0375613679029</v>
      </c>
      <c r="N70" s="568">
        <v>104.10378783928645</v>
      </c>
      <c r="O70" s="568" t="s">
        <v>93</v>
      </c>
      <c r="P70" s="568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8">
        <v>177.99464275501137</v>
      </c>
      <c r="C71" s="568">
        <v>136.38791812458661</v>
      </c>
      <c r="D71" s="568">
        <v>185.50603204853212</v>
      </c>
      <c r="E71" s="568">
        <v>121.34479123653746</v>
      </c>
      <c r="F71" s="568">
        <v>83.076251058666145</v>
      </c>
      <c r="G71" s="568">
        <v>113.94897325465932</v>
      </c>
      <c r="H71" s="568">
        <v>118.57376079618304</v>
      </c>
      <c r="I71" s="568">
        <v>69.675522331740225</v>
      </c>
      <c r="J71" s="568">
        <v>100.05109978468725</v>
      </c>
      <c r="K71" s="568">
        <v>183.31980895071774</v>
      </c>
      <c r="L71" s="568">
        <v>173.44463872264524</v>
      </c>
      <c r="M71" s="568">
        <v>154.82975682828766</v>
      </c>
      <c r="N71" s="568">
        <v>103.64905073300133</v>
      </c>
      <c r="O71" s="568" t="s">
        <v>93</v>
      </c>
      <c r="P71" s="568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8">
        <v>177.0230064445233</v>
      </c>
      <c r="C72" s="568">
        <v>139.65995063248084</v>
      </c>
      <c r="D72" s="568">
        <v>183.59137609073758</v>
      </c>
      <c r="E72" s="568">
        <v>123.30314889282897</v>
      </c>
      <c r="F72" s="568">
        <v>84.250988008621377</v>
      </c>
      <c r="G72" s="568">
        <v>113.59502244676379</v>
      </c>
      <c r="H72" s="568">
        <v>122.92863296676664</v>
      </c>
      <c r="I72" s="568">
        <v>69.163676752323383</v>
      </c>
      <c r="J72" s="568">
        <v>99.456297275669584</v>
      </c>
      <c r="K72" s="568">
        <v>180.5441804015789</v>
      </c>
      <c r="L72" s="568">
        <v>174.73283683005931</v>
      </c>
      <c r="M72" s="568">
        <v>154.74981851795113</v>
      </c>
      <c r="N72" s="568">
        <v>103.73857543932817</v>
      </c>
      <c r="O72" s="568" t="s">
        <v>93</v>
      </c>
      <c r="P72" s="568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8">
        <v>176.21600463197569</v>
      </c>
      <c r="C73" s="568">
        <v>133.86973069528551</v>
      </c>
      <c r="D73" s="568">
        <v>177.11110387561465</v>
      </c>
      <c r="E73" s="568">
        <v>120.81812944237215</v>
      </c>
      <c r="F73" s="568">
        <v>82.177164301890755</v>
      </c>
      <c r="G73" s="568">
        <v>113.08078476615167</v>
      </c>
      <c r="H73" s="568">
        <v>122.18037763300691</v>
      </c>
      <c r="I73" s="568">
        <v>68.244096888809665</v>
      </c>
      <c r="J73" s="568">
        <v>99.408492553102079</v>
      </c>
      <c r="K73" s="568">
        <v>174.47106972768881</v>
      </c>
      <c r="L73" s="568">
        <v>173.90655297822613</v>
      </c>
      <c r="M73" s="568">
        <v>153.20945190120622</v>
      </c>
      <c r="N73" s="568">
        <v>102.74027320225775</v>
      </c>
      <c r="O73" s="568" t="s">
        <v>93</v>
      </c>
      <c r="P73" s="568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8">
        <v>176.92994748383535</v>
      </c>
      <c r="C74" s="568">
        <v>133.04943277519092</v>
      </c>
      <c r="D74" s="568">
        <v>173.13265164737911</v>
      </c>
      <c r="E74" s="568">
        <v>118.84240703291128</v>
      </c>
      <c r="F74" s="568">
        <v>81.543668810468247</v>
      </c>
      <c r="G74" s="568">
        <v>112.03491065279181</v>
      </c>
      <c r="H74" s="568">
        <v>120.01310979593552</v>
      </c>
      <c r="I74" s="568">
        <v>67.90464638626797</v>
      </c>
      <c r="J74" s="568">
        <v>99.993581746664717</v>
      </c>
      <c r="K74" s="568">
        <v>170.94786155106902</v>
      </c>
      <c r="L74" s="568">
        <v>171.2080320951203</v>
      </c>
      <c r="M74" s="568">
        <v>153.4579969868135</v>
      </c>
      <c r="N74" s="568">
        <v>102.55482176434415</v>
      </c>
      <c r="O74" s="568" t="s">
        <v>93</v>
      </c>
      <c r="P74" s="568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8">
        <v>178.48432620954895</v>
      </c>
      <c r="C75" s="568">
        <v>132.80635984551992</v>
      </c>
      <c r="D75" s="568">
        <v>176.04964257631488</v>
      </c>
      <c r="E75" s="568">
        <v>117.40013467861644</v>
      </c>
      <c r="F75" s="568">
        <v>82.990048081178841</v>
      </c>
      <c r="G75" s="568">
        <v>110.40592571629071</v>
      </c>
      <c r="H75" s="568">
        <v>117.14359722962668</v>
      </c>
      <c r="I75" s="568">
        <v>68.526728244507851</v>
      </c>
      <c r="J75" s="568">
        <v>100.39480793041777</v>
      </c>
      <c r="K75" s="568">
        <v>169.9155142537906</v>
      </c>
      <c r="L75" s="568">
        <v>170.08848101348616</v>
      </c>
      <c r="M75" s="568">
        <v>153.33103642965426</v>
      </c>
      <c r="N75" s="568">
        <v>103.01931304904144</v>
      </c>
      <c r="O75" s="568" t="s">
        <v>93</v>
      </c>
      <c r="P75" s="568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8">
        <v>180.18357238477779</v>
      </c>
      <c r="C76" s="568">
        <v>125.55837369107881</v>
      </c>
      <c r="D76" s="568">
        <v>174.21431215893733</v>
      </c>
      <c r="E76" s="568">
        <v>111.08598025946088</v>
      </c>
      <c r="F76" s="568">
        <v>82.064362576696809</v>
      </c>
      <c r="G76" s="568">
        <v>111.42668108749622</v>
      </c>
      <c r="H76" s="568">
        <v>113.73722889582903</v>
      </c>
      <c r="I76" s="568">
        <v>70.497094688767604</v>
      </c>
      <c r="J76" s="568">
        <v>100.78612229513152</v>
      </c>
      <c r="K76" s="568">
        <v>165.97430947666987</v>
      </c>
      <c r="L76" s="568">
        <v>165.70732200641044</v>
      </c>
      <c r="M76" s="568">
        <v>152.09434631421442</v>
      </c>
      <c r="N76" s="568">
        <v>102.34444468757164</v>
      </c>
      <c r="O76" s="568" t="s">
        <v>93</v>
      </c>
      <c r="P76" s="568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8">
        <v>183.55708357282711</v>
      </c>
      <c r="C77" s="568">
        <v>129.68399803140451</v>
      </c>
      <c r="D77" s="568">
        <v>175.27002769446688</v>
      </c>
      <c r="E77" s="568">
        <v>114.31520055313658</v>
      </c>
      <c r="F77" s="568">
        <v>84.803319370847589</v>
      </c>
      <c r="G77" s="568">
        <v>113.44019068951179</v>
      </c>
      <c r="H77" s="568">
        <v>112.79938923606981</v>
      </c>
      <c r="I77" s="568">
        <v>70.90481733993353</v>
      </c>
      <c r="J77" s="568">
        <v>101.9066031234527</v>
      </c>
      <c r="K77" s="568">
        <v>170.98160593133954</v>
      </c>
      <c r="L77" s="568">
        <v>170.08000401656062</v>
      </c>
      <c r="M77" s="568">
        <v>153.19961921084442</v>
      </c>
      <c r="N77" s="568">
        <v>104.32188972991592</v>
      </c>
      <c r="O77" s="568" t="s">
        <v>93</v>
      </c>
      <c r="P77" s="568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8">
        <v>185.37306737362005</v>
      </c>
      <c r="C78" s="568">
        <v>135.65302410506433</v>
      </c>
      <c r="D78" s="568">
        <v>180.59274523848558</v>
      </c>
      <c r="E78" s="568">
        <v>122.9193787348181</v>
      </c>
      <c r="F78" s="568">
        <v>84.759354636939463</v>
      </c>
      <c r="G78" s="568">
        <v>114.40594785045847</v>
      </c>
      <c r="H78" s="568">
        <v>113.91190675741419</v>
      </c>
      <c r="I78" s="568">
        <v>70.825949187942669</v>
      </c>
      <c r="J78" s="568">
        <v>102.64423303243089</v>
      </c>
      <c r="K78" s="568">
        <v>176.03544095042145</v>
      </c>
      <c r="L78" s="568">
        <v>170.28841989862653</v>
      </c>
      <c r="M78" s="568">
        <v>154.33612305717864</v>
      </c>
      <c r="N78" s="568">
        <v>104.51085715654476</v>
      </c>
      <c r="O78" s="568" t="s">
        <v>93</v>
      </c>
      <c r="P78" s="568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</row>
    <row r="80" spans="1:41">
      <c r="A80" s="40" t="s">
        <v>18</v>
      </c>
      <c r="B80" s="568">
        <v>186.5118458476129</v>
      </c>
      <c r="C80" s="568">
        <v>136.64843336206275</v>
      </c>
      <c r="D80" s="568">
        <v>180.58501243868403</v>
      </c>
      <c r="E80" s="568">
        <v>127.13251021204749</v>
      </c>
      <c r="F80" s="568">
        <v>81.730030497344487</v>
      </c>
      <c r="G80" s="568">
        <v>114.2131206066298</v>
      </c>
      <c r="H80" s="568">
        <v>114.85288549015154</v>
      </c>
      <c r="I80" s="568">
        <v>69.584164671761783</v>
      </c>
      <c r="J80" s="568">
        <v>101.7157409931923</v>
      </c>
      <c r="K80" s="568">
        <v>176.49222402503824</v>
      </c>
      <c r="L80" s="568">
        <v>170.54985333772532</v>
      </c>
      <c r="M80" s="568">
        <v>153.40856841806897</v>
      </c>
      <c r="N80" s="568">
        <v>104.06409984877999</v>
      </c>
      <c r="O80" s="568">
        <v>100</v>
      </c>
      <c r="P80" s="568" t="s">
        <v>93</v>
      </c>
    </row>
    <row r="81" spans="1:16">
      <c r="A81" s="40" t="s">
        <v>19</v>
      </c>
      <c r="B81" s="568">
        <v>190.25225703501005</v>
      </c>
      <c r="C81" s="568">
        <v>136.2854778231594</v>
      </c>
      <c r="D81" s="568">
        <v>179.46533813768011</v>
      </c>
      <c r="E81" s="568">
        <v>131.62556738595961</v>
      </c>
      <c r="F81" s="568">
        <v>80.749861890087175</v>
      </c>
      <c r="G81" s="568">
        <v>116.0104709398607</v>
      </c>
      <c r="H81" s="568">
        <v>113.01875787071056</v>
      </c>
      <c r="I81" s="568">
        <v>70.492753917564329</v>
      </c>
      <c r="J81" s="568">
        <v>102.25772162990258</v>
      </c>
      <c r="K81" s="568">
        <v>181.12752839836767</v>
      </c>
      <c r="L81" s="568">
        <v>178.11197825469446</v>
      </c>
      <c r="M81" s="568">
        <v>154.84672130335622</v>
      </c>
      <c r="N81" s="568">
        <v>104.04965179240305</v>
      </c>
      <c r="O81" s="568">
        <v>101.47922246502934</v>
      </c>
      <c r="P81" s="568" t="s">
        <v>93</v>
      </c>
    </row>
    <row r="82" spans="1:16">
      <c r="A82" s="40" t="s">
        <v>20</v>
      </c>
      <c r="B82" s="568">
        <v>191.88282636001242</v>
      </c>
      <c r="C82" s="568">
        <v>133.16551321181345</v>
      </c>
      <c r="D82" s="568">
        <v>181.1933938035676</v>
      </c>
      <c r="E82" s="568">
        <v>132.45543414088189</v>
      </c>
      <c r="F82" s="568">
        <v>79.203423054681323</v>
      </c>
      <c r="G82" s="568">
        <v>115.98455320556704</v>
      </c>
      <c r="H82" s="568">
        <v>110.59656379539916</v>
      </c>
      <c r="I82" s="568">
        <v>68.848758232538842</v>
      </c>
      <c r="J82" s="568">
        <v>102.67897980434476</v>
      </c>
      <c r="K82" s="568">
        <v>181.75145083913461</v>
      </c>
      <c r="L82" s="568">
        <v>175.73313760376786</v>
      </c>
      <c r="M82" s="568">
        <v>156.97447204976578</v>
      </c>
      <c r="N82" s="568">
        <v>103.75069510419645</v>
      </c>
      <c r="O82" s="568">
        <v>102.79044739564863</v>
      </c>
      <c r="P82" s="568" t="s">
        <v>93</v>
      </c>
    </row>
    <row r="83" spans="1:16">
      <c r="A83" s="40" t="s">
        <v>21</v>
      </c>
      <c r="B83" s="568">
        <v>190.84060186834529</v>
      </c>
      <c r="C83" s="568">
        <v>127.88671211679069</v>
      </c>
      <c r="D83" s="568">
        <v>176.84096916859522</v>
      </c>
      <c r="E83" s="568">
        <v>125.92630713261204</v>
      </c>
      <c r="F83" s="568">
        <v>77.652186271035404</v>
      </c>
      <c r="G83" s="568">
        <v>114.56056926190249</v>
      </c>
      <c r="H83" s="568">
        <v>107.35230962762866</v>
      </c>
      <c r="I83" s="568">
        <v>68.986315225208102</v>
      </c>
      <c r="J83" s="568">
        <v>101.81384044667972</v>
      </c>
      <c r="K83" s="568">
        <v>183.77019759768442</v>
      </c>
      <c r="L83" s="568">
        <v>167.65393163158214</v>
      </c>
      <c r="M83" s="568">
        <v>155.62643206125648</v>
      </c>
      <c r="N83" s="568">
        <v>99.948455680649971</v>
      </c>
      <c r="O83" s="568">
        <v>99.19568920754898</v>
      </c>
      <c r="P83" s="568" t="s">
        <v>93</v>
      </c>
    </row>
    <row r="84" spans="1:16">
      <c r="A84" s="40" t="s">
        <v>22</v>
      </c>
      <c r="B84" s="568">
        <v>189.96911919246722</v>
      </c>
      <c r="C84" s="568">
        <v>128.27770656847076</v>
      </c>
      <c r="D84" s="568">
        <v>176.07497087311765</v>
      </c>
      <c r="E84" s="568">
        <v>126.55822155487373</v>
      </c>
      <c r="F84" s="568">
        <v>76.541461116071972</v>
      </c>
      <c r="G84" s="568">
        <v>113.52571909303255</v>
      </c>
      <c r="H84" s="568">
        <v>108.02174439277626</v>
      </c>
      <c r="I84" s="568">
        <v>68.949545585381927</v>
      </c>
      <c r="J84" s="568">
        <v>101.12567755872188</v>
      </c>
      <c r="K84" s="568">
        <v>178.4108111040259</v>
      </c>
      <c r="L84" s="568">
        <v>167.90445402614915</v>
      </c>
      <c r="M84" s="568">
        <v>154.16675033706673</v>
      </c>
      <c r="N84" s="568">
        <v>96.936283956826699</v>
      </c>
      <c r="O84" s="568">
        <v>98.803059608385581</v>
      </c>
      <c r="P84" s="568" t="s">
        <v>93</v>
      </c>
    </row>
    <row r="85" spans="1:16">
      <c r="A85" s="40" t="s">
        <v>23</v>
      </c>
      <c r="B85" s="568">
        <v>189.22558708819273</v>
      </c>
      <c r="C85" s="568">
        <v>127.31316423721175</v>
      </c>
      <c r="D85" s="568">
        <v>176.55962742032122</v>
      </c>
      <c r="E85" s="568">
        <v>129.91295850074349</v>
      </c>
      <c r="F85" s="568">
        <v>76.156529317709541</v>
      </c>
      <c r="G85" s="568">
        <v>112.4953662727911</v>
      </c>
      <c r="H85" s="568">
        <v>109.97744021368875</v>
      </c>
      <c r="I85" s="568">
        <v>71.626547451869797</v>
      </c>
      <c r="J85" s="568">
        <v>100.38996567375051</v>
      </c>
      <c r="K85" s="568">
        <v>176.11022326347648</v>
      </c>
      <c r="L85" s="568">
        <v>163.93137397002465</v>
      </c>
      <c r="M85" s="568">
        <v>152.53368658415511</v>
      </c>
      <c r="N85" s="568">
        <v>131.78981159663437</v>
      </c>
      <c r="O85" s="568">
        <v>97.746516838809711</v>
      </c>
      <c r="P85" s="568" t="s">
        <v>93</v>
      </c>
    </row>
    <row r="86" spans="1:16">
      <c r="A86" s="40" t="s">
        <v>24</v>
      </c>
      <c r="B86" s="568">
        <v>187.19736543056271</v>
      </c>
      <c r="C86" s="568">
        <v>126.96372449384489</v>
      </c>
      <c r="D86" s="568">
        <v>174.03615432831205</v>
      </c>
      <c r="E86" s="568">
        <v>143.22631490091314</v>
      </c>
      <c r="F86" s="568">
        <v>77.5674947014124</v>
      </c>
      <c r="G86" s="568">
        <v>113.45895514184156</v>
      </c>
      <c r="H86" s="568">
        <v>111.07486475631005</v>
      </c>
      <c r="I86" s="568">
        <v>68.292779987030201</v>
      </c>
      <c r="J86" s="568">
        <v>100.29865237751224</v>
      </c>
      <c r="K86" s="568">
        <v>167.23483768619698</v>
      </c>
      <c r="L86" s="568">
        <v>168.8100505786839</v>
      </c>
      <c r="M86" s="568">
        <v>149.15351203580053</v>
      </c>
      <c r="N86" s="568">
        <v>127.87743519803431</v>
      </c>
      <c r="O86" s="568">
        <v>95.564269880447512</v>
      </c>
      <c r="P86" s="568" t="s">
        <v>93</v>
      </c>
    </row>
    <row r="87" spans="1:16">
      <c r="A87" s="40" t="s">
        <v>25</v>
      </c>
      <c r="B87" s="568">
        <v>187.66316547032221</v>
      </c>
      <c r="C87" s="568">
        <v>128.50891686629467</v>
      </c>
      <c r="D87" s="568">
        <v>174.27267629031078</v>
      </c>
      <c r="E87" s="568">
        <v>142.41761969443073</v>
      </c>
      <c r="F87" s="568">
        <v>78.693309579023648</v>
      </c>
      <c r="G87" s="568">
        <v>114.6216738442884</v>
      </c>
      <c r="H87" s="568">
        <v>110.50624940239889</v>
      </c>
      <c r="I87" s="568">
        <v>67.329428013735594</v>
      </c>
      <c r="J87" s="568">
        <v>100.22538175516642</v>
      </c>
      <c r="K87" s="568">
        <v>168.69378327177361</v>
      </c>
      <c r="L87" s="568">
        <v>170.05194812522546</v>
      </c>
      <c r="M87" s="568">
        <v>149.96664480840266</v>
      </c>
      <c r="N87" s="568">
        <v>117.87743096988937</v>
      </c>
      <c r="O87" s="568">
        <v>95.870520366033801</v>
      </c>
      <c r="P87" s="568" t="s">
        <v>93</v>
      </c>
    </row>
    <row r="88" spans="1:16">
      <c r="A88" s="40" t="s">
        <v>26</v>
      </c>
      <c r="B88" s="568">
        <v>189.07692632369418</v>
      </c>
      <c r="C88" s="568">
        <v>133.62175900783942</v>
      </c>
      <c r="D88" s="568">
        <v>181.13007127896165</v>
      </c>
      <c r="E88" s="568">
        <v>145.35909162816344</v>
      </c>
      <c r="F88" s="568">
        <v>84.127050900139892</v>
      </c>
      <c r="G88" s="568">
        <v>115.76475470531412</v>
      </c>
      <c r="H88" s="568">
        <v>111.92073960489573</v>
      </c>
      <c r="I88" s="568">
        <v>67.57929606243431</v>
      </c>
      <c r="J88" s="568">
        <v>101.40219788271541</v>
      </c>
      <c r="K88" s="568">
        <v>169.81035807641209</v>
      </c>
      <c r="L88" s="568">
        <v>178.50045007903199</v>
      </c>
      <c r="M88" s="568">
        <v>150.51112481842208</v>
      </c>
      <c r="N88" s="568">
        <v>110.13624124588594</v>
      </c>
      <c r="O88" s="568">
        <v>100.35340162625349</v>
      </c>
      <c r="P88" s="568" t="s">
        <v>93</v>
      </c>
    </row>
    <row r="89" spans="1:16">
      <c r="A89" s="40" t="s">
        <v>27</v>
      </c>
      <c r="B89" s="568">
        <v>189.29061645222299</v>
      </c>
      <c r="C89" s="568">
        <v>134.22509462773985</v>
      </c>
      <c r="D89" s="568">
        <v>181.77832054799489</v>
      </c>
      <c r="E89" s="568">
        <v>144.0618473800175</v>
      </c>
      <c r="F89" s="568">
        <v>85.957161002703344</v>
      </c>
      <c r="G89" s="568">
        <v>115.84545626292919</v>
      </c>
      <c r="H89" s="568">
        <v>111.88869970870232</v>
      </c>
      <c r="I89" s="568">
        <v>65.705792701051948</v>
      </c>
      <c r="J89" s="568">
        <v>101.73380784356578</v>
      </c>
      <c r="K89" s="568">
        <v>169.36737846847581</v>
      </c>
      <c r="L89" s="568">
        <v>177.87959905811013</v>
      </c>
      <c r="M89" s="568">
        <v>149.85723369980042</v>
      </c>
      <c r="N89" s="568">
        <v>80.464286468474242</v>
      </c>
      <c r="O89" s="568">
        <v>103.96379040552387</v>
      </c>
      <c r="P89" s="568" t="s">
        <v>93</v>
      </c>
    </row>
    <row r="90" spans="1:16">
      <c r="A90" s="40" t="s">
        <v>28</v>
      </c>
      <c r="B90" s="568">
        <v>191.3538535890151</v>
      </c>
      <c r="C90" s="568">
        <v>136.9496562666998</v>
      </c>
      <c r="D90" s="568">
        <v>182.66928259696635</v>
      </c>
      <c r="E90" s="568">
        <v>141.42703926481275</v>
      </c>
      <c r="F90" s="568">
        <v>85.206192951418032</v>
      </c>
      <c r="G90" s="568">
        <v>117.08380683532191</v>
      </c>
      <c r="H90" s="568">
        <v>112.22931240080088</v>
      </c>
      <c r="I90" s="568">
        <v>66.759648985667511</v>
      </c>
      <c r="J90" s="568">
        <v>102.12310258824347</v>
      </c>
      <c r="K90" s="568">
        <v>174.13525649434084</v>
      </c>
      <c r="L90" s="568">
        <v>182.63086390616766</v>
      </c>
      <c r="M90" s="568">
        <v>151.51461893634004</v>
      </c>
      <c r="N90" s="568">
        <v>94.405719973974811</v>
      </c>
      <c r="O90" s="568">
        <v>103.11585795443645</v>
      </c>
      <c r="P90" s="568" t="s">
        <v>93</v>
      </c>
    </row>
    <row r="91" spans="1:16">
      <c r="A91" s="40" t="s">
        <v>29</v>
      </c>
      <c r="B91" s="568">
        <v>193.18780683323726</v>
      </c>
      <c r="C91" s="568">
        <v>141.93454109497702</v>
      </c>
      <c r="D91" s="568">
        <v>187.9171351549964</v>
      </c>
      <c r="E91" s="568">
        <v>146.6424459112441</v>
      </c>
      <c r="F91" s="568">
        <v>87.419474738018337</v>
      </c>
      <c r="G91" s="568">
        <v>118.09956682600385</v>
      </c>
      <c r="H91" s="568">
        <v>112.86195295751349</v>
      </c>
      <c r="I91" s="568">
        <v>67.77318535909879</v>
      </c>
      <c r="J91" s="568">
        <v>102.88795181239979</v>
      </c>
      <c r="K91" s="568">
        <v>176.51882306085136</v>
      </c>
      <c r="L91" s="568">
        <v>187.05917333957044</v>
      </c>
      <c r="M91" s="568">
        <v>151.75720007675113</v>
      </c>
      <c r="N91" s="568">
        <v>151.09501516550475</v>
      </c>
      <c r="O91" s="568">
        <v>105.03782118484412</v>
      </c>
      <c r="P91" s="568" t="s">
        <v>93</v>
      </c>
    </row>
    <row r="92" spans="1:16">
      <c r="A92" s="40" t="s">
        <v>1327</v>
      </c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</row>
    <row r="93" spans="1:16">
      <c r="A93" s="40" t="s">
        <v>18</v>
      </c>
      <c r="B93" s="568">
        <v>192.96732532535327</v>
      </c>
      <c r="C93" s="568">
        <v>146.33824016818338</v>
      </c>
      <c r="D93" s="568">
        <v>190.35081624206825</v>
      </c>
      <c r="E93" s="568">
        <v>144.41573774500333</v>
      </c>
      <c r="F93" s="568">
        <v>86.921527462159943</v>
      </c>
      <c r="G93" s="568">
        <v>118.16606342291391</v>
      </c>
      <c r="H93" s="568">
        <v>113.20611066998416</v>
      </c>
      <c r="I93" s="568">
        <v>68.608027835113759</v>
      </c>
      <c r="J93" s="568">
        <v>102.93876345098059</v>
      </c>
      <c r="K93" s="568">
        <v>174.43135633629589</v>
      </c>
      <c r="L93" s="568">
        <v>188.91598686534414</v>
      </c>
      <c r="M93" s="568">
        <v>149.3560296957103</v>
      </c>
      <c r="N93" s="568">
        <v>147.01238290283834</v>
      </c>
      <c r="O93" s="568">
        <v>104.25234011722966</v>
      </c>
      <c r="P93" s="568" t="s">
        <v>93</v>
      </c>
    </row>
    <row r="94" spans="1:16">
      <c r="A94" s="40" t="s">
        <v>19</v>
      </c>
      <c r="B94" s="568">
        <v>192.4794959857002</v>
      </c>
      <c r="C94" s="568">
        <v>142.16764499420725</v>
      </c>
      <c r="D94" s="568">
        <v>185.80679200812713</v>
      </c>
      <c r="E94" s="568">
        <v>136.69659648052982</v>
      </c>
      <c r="F94" s="568">
        <v>82.392610071974389</v>
      </c>
      <c r="G94" s="568">
        <v>117.97095286206343</v>
      </c>
      <c r="H94" s="568">
        <v>112.39362888744115</v>
      </c>
      <c r="I94" s="568">
        <v>72.775148030281841</v>
      </c>
      <c r="J94" s="568">
        <v>102.57801346593362</v>
      </c>
      <c r="K94" s="568">
        <v>177.41716155646799</v>
      </c>
      <c r="L94" s="568">
        <v>185.54606278366865</v>
      </c>
      <c r="M94" s="568">
        <v>149.29842614087778</v>
      </c>
      <c r="N94" s="568">
        <v>143.39894023128306</v>
      </c>
      <c r="O94" s="568">
        <v>102.08332675718489</v>
      </c>
      <c r="P94" s="568" t="s">
        <v>93</v>
      </c>
    </row>
    <row r="95" spans="1:16">
      <c r="A95" s="40" t="s">
        <v>20</v>
      </c>
      <c r="B95" s="568">
        <v>192.53511970084327</v>
      </c>
      <c r="C95" s="568">
        <v>141.01179360401119</v>
      </c>
      <c r="D95" s="568">
        <v>185.42173476995572</v>
      </c>
      <c r="E95" s="568">
        <v>138.64059565797143</v>
      </c>
      <c r="F95" s="568">
        <v>80.72008437489518</v>
      </c>
      <c r="G95" s="568">
        <v>118.06135050180086</v>
      </c>
      <c r="H95" s="568">
        <v>112.55256239665908</v>
      </c>
      <c r="I95" s="568">
        <v>72.316361967774199</v>
      </c>
      <c r="J95" s="568">
        <v>102.32456747794043</v>
      </c>
      <c r="K95" s="568">
        <v>186.43141773707603</v>
      </c>
      <c r="L95" s="568">
        <v>186.79190941282204</v>
      </c>
      <c r="M95" s="568">
        <v>149.70321209027639</v>
      </c>
      <c r="N95" s="568">
        <v>138.6414389314001</v>
      </c>
      <c r="O95" s="568">
        <v>102.62254504150829</v>
      </c>
      <c r="P95" s="568" t="s">
        <v>93</v>
      </c>
    </row>
    <row r="96" spans="1:16">
      <c r="A96" s="40" t="s">
        <v>21</v>
      </c>
      <c r="B96" s="568">
        <v>191.75114775101628</v>
      </c>
      <c r="C96" s="568">
        <v>140.18610472942029</v>
      </c>
      <c r="D96" s="568">
        <v>181.65818038058489</v>
      </c>
      <c r="E96" s="568">
        <v>136.34206752835647</v>
      </c>
      <c r="F96" s="568">
        <v>80.552370017630423</v>
      </c>
      <c r="G96" s="568">
        <v>117.61757091790351</v>
      </c>
      <c r="H96" s="568">
        <v>110.94959220419437</v>
      </c>
      <c r="I96" s="568">
        <v>70.188844774188439</v>
      </c>
      <c r="J96" s="568">
        <v>101.21115890870095</v>
      </c>
      <c r="K96" s="568">
        <v>183.11957656633513</v>
      </c>
      <c r="L96" s="568">
        <v>183.54850039726952</v>
      </c>
      <c r="M96" s="568">
        <v>149.06510876541969</v>
      </c>
      <c r="N96" s="568">
        <v>134.74765414959765</v>
      </c>
      <c r="O96" s="568">
        <v>103.28894722500905</v>
      </c>
      <c r="P96" s="568">
        <v>100</v>
      </c>
    </row>
    <row r="97" spans="1:16">
      <c r="A97" s="40" t="s">
        <v>22</v>
      </c>
      <c r="B97" s="568">
        <v>190.63234114491215</v>
      </c>
      <c r="C97" s="568">
        <v>142.8448640281602</v>
      </c>
      <c r="D97" s="568">
        <v>180.95346054333001</v>
      </c>
      <c r="E97" s="568">
        <v>136.81815569689644</v>
      </c>
      <c r="F97" s="568">
        <v>82.787059008118121</v>
      </c>
      <c r="G97" s="568">
        <v>117.18871625628708</v>
      </c>
      <c r="H97" s="568">
        <v>110.20934418907026</v>
      </c>
      <c r="I97" s="568">
        <v>67.893742025007811</v>
      </c>
      <c r="J97" s="568">
        <v>99.653351295702521</v>
      </c>
      <c r="K97" s="568">
        <v>178.35918875949284</v>
      </c>
      <c r="L97" s="568">
        <v>185.56279470029432</v>
      </c>
      <c r="M97" s="568">
        <v>148.50898905491343</v>
      </c>
      <c r="N97" s="568">
        <v>133.22180081604762</v>
      </c>
      <c r="O97" s="568">
        <v>104.06503699505997</v>
      </c>
      <c r="P97" s="568">
        <v>101.71749293553896</v>
      </c>
    </row>
    <row r="98" spans="1:16">
      <c r="A98" s="40" t="s">
        <v>23</v>
      </c>
      <c r="B98" s="568">
        <v>188.13344920109802</v>
      </c>
      <c r="C98" s="568">
        <v>144.28093591626129</v>
      </c>
      <c r="D98" s="568">
        <v>183.85150484349614</v>
      </c>
      <c r="E98" s="568">
        <v>137.57064265414343</v>
      </c>
      <c r="F98" s="568">
        <v>86.674574208514571</v>
      </c>
      <c r="G98" s="568">
        <v>116.51791343688514</v>
      </c>
      <c r="H98" s="568">
        <v>110.36100982296915</v>
      </c>
      <c r="I98" s="568">
        <v>65.824199979772089</v>
      </c>
      <c r="J98" s="568">
        <v>98.707188281270149</v>
      </c>
      <c r="K98" s="568">
        <v>175.93934157005992</v>
      </c>
      <c r="L98" s="568">
        <v>186.88374652973536</v>
      </c>
      <c r="M98" s="568">
        <v>148.42247180156468</v>
      </c>
      <c r="N98" s="568">
        <v>131.39194636522441</v>
      </c>
      <c r="O98" s="568">
        <v>103.54876625885714</v>
      </c>
      <c r="P98" s="568">
        <v>102.93000799932817</v>
      </c>
    </row>
    <row r="99" spans="1:16">
      <c r="A99" s="40" t="s">
        <v>24</v>
      </c>
      <c r="B99" s="568">
        <v>186.85792849537199</v>
      </c>
      <c r="C99" s="568">
        <v>146.69291884558331</v>
      </c>
      <c r="D99" s="568">
        <v>181.69685491574623</v>
      </c>
      <c r="E99" s="568">
        <v>136.04211905282224</v>
      </c>
      <c r="F99" s="568">
        <v>84.0321564627763</v>
      </c>
      <c r="G99" s="568">
        <v>115.97255519651691</v>
      </c>
      <c r="H99" s="568">
        <v>111.89704647828805</v>
      </c>
      <c r="I99" s="568">
        <v>64.264554135497477</v>
      </c>
      <c r="J99" s="568">
        <v>98.341576196704068</v>
      </c>
      <c r="K99" s="568">
        <v>174.56086514955669</v>
      </c>
      <c r="L99" s="568">
        <v>190.07918032476925</v>
      </c>
      <c r="M99" s="568">
        <v>147.72344673197642</v>
      </c>
      <c r="N99" s="568">
        <v>129.20306296746503</v>
      </c>
      <c r="O99" s="568">
        <v>101.03901105395329</v>
      </c>
      <c r="P99" s="568">
        <v>104.6447950721613</v>
      </c>
    </row>
    <row r="100" spans="1:16">
      <c r="A100" s="40" t="s">
        <v>25</v>
      </c>
      <c r="B100" s="568">
        <v>184.91660663295485</v>
      </c>
      <c r="C100" s="568">
        <v>144.61581469092391</v>
      </c>
      <c r="D100" s="568">
        <v>178.80523168009427</v>
      </c>
      <c r="E100" s="568">
        <v>133.4867994153621</v>
      </c>
      <c r="F100" s="568">
        <v>82.190457470905699</v>
      </c>
      <c r="G100" s="568">
        <v>116.19961465453733</v>
      </c>
      <c r="H100" s="568">
        <v>110.9061870185308</v>
      </c>
      <c r="I100" s="568">
        <v>63.028688492914078</v>
      </c>
      <c r="J100" s="568">
        <v>97.459205862414194</v>
      </c>
      <c r="K100" s="568">
        <v>172.82003481456957</v>
      </c>
      <c r="L100" s="568">
        <v>188.82187803408434</v>
      </c>
      <c r="M100" s="568">
        <v>145.94322399696861</v>
      </c>
      <c r="N100" s="568">
        <v>125.80073331387158</v>
      </c>
      <c r="O100" s="568">
        <v>99.257594647305467</v>
      </c>
      <c r="P100" s="568">
        <v>103.57872663779769</v>
      </c>
    </row>
    <row r="101" spans="1:16">
      <c r="A101" s="40" t="s">
        <v>26</v>
      </c>
      <c r="B101" s="568">
        <v>184.97099724538188</v>
      </c>
      <c r="C101" s="568">
        <v>139.28851261587113</v>
      </c>
      <c r="D101" s="568">
        <v>174.76583635884342</v>
      </c>
      <c r="E101" s="568">
        <v>133.46064283303397</v>
      </c>
      <c r="F101" s="568">
        <v>81.002192922274759</v>
      </c>
      <c r="G101" s="568">
        <v>117.1638466292588</v>
      </c>
      <c r="H101" s="568">
        <v>111.15470656235621</v>
      </c>
      <c r="I101" s="568">
        <v>62.016901156275942</v>
      </c>
      <c r="J101" s="568">
        <v>97.658082571821694</v>
      </c>
      <c r="K101" s="568">
        <v>172.64049951840389</v>
      </c>
      <c r="L101" s="568">
        <v>186.92048307873173</v>
      </c>
      <c r="M101" s="568">
        <v>145.50122546193336</v>
      </c>
      <c r="N101" s="568">
        <v>126.42576814667274</v>
      </c>
      <c r="O101" s="568">
        <v>98.43619275809526</v>
      </c>
      <c r="P101" s="568">
        <v>100.78660037972833</v>
      </c>
    </row>
    <row r="102" spans="1:16">
      <c r="A102" s="40" t="s">
        <v>27</v>
      </c>
      <c r="B102" s="568">
        <v>186.2120938290895</v>
      </c>
      <c r="C102" s="568">
        <v>138.70228656459477</v>
      </c>
      <c r="D102" s="568">
        <v>175.67227086692671</v>
      </c>
      <c r="E102" s="568">
        <v>131.88794227379339</v>
      </c>
      <c r="F102" s="568">
        <v>80.32274797301757</v>
      </c>
      <c r="G102" s="568">
        <v>118.38501154626231</v>
      </c>
      <c r="H102" s="568">
        <v>112.37497164869937</v>
      </c>
      <c r="I102" s="568">
        <v>59.903373512789237</v>
      </c>
      <c r="J102" s="568">
        <v>98.126773629263312</v>
      </c>
      <c r="K102" s="568">
        <v>175.68358073017123</v>
      </c>
      <c r="L102" s="568">
        <v>184.31364550706994</v>
      </c>
      <c r="M102" s="568">
        <v>145.28844469280045</v>
      </c>
      <c r="N102" s="568">
        <v>126.6221339694406</v>
      </c>
      <c r="O102" s="568">
        <v>97.849991285302096</v>
      </c>
      <c r="P102" s="568">
        <v>100.57020898907534</v>
      </c>
    </row>
    <row r="103" spans="1:16">
      <c r="A103" s="40" t="s">
        <v>28</v>
      </c>
      <c r="B103" s="568">
        <v>188.74611032626532</v>
      </c>
      <c r="C103" s="568">
        <v>141.9617809146857</v>
      </c>
      <c r="D103" s="568">
        <v>178.12207762904299</v>
      </c>
      <c r="E103" s="568">
        <v>132.1596390953317</v>
      </c>
      <c r="F103" s="568">
        <v>81.660585922174903</v>
      </c>
      <c r="G103" s="568">
        <v>120.16727574100869</v>
      </c>
      <c r="H103" s="568">
        <v>113.50790928408783</v>
      </c>
      <c r="I103" s="568">
        <v>57.969523650591043</v>
      </c>
      <c r="J103" s="568">
        <v>98.539857282845333</v>
      </c>
      <c r="K103" s="568">
        <v>182.69903184962749</v>
      </c>
      <c r="L103" s="568">
        <v>189.35087882398886</v>
      </c>
      <c r="M103" s="568">
        <v>146.06583484508346</v>
      </c>
      <c r="N103" s="568">
        <v>126.01426022205482</v>
      </c>
      <c r="O103" s="568">
        <v>97.553984488329746</v>
      </c>
      <c r="P103" s="568">
        <v>102.66363103039136</v>
      </c>
    </row>
    <row r="104" spans="1:16">
      <c r="A104" s="40" t="s">
        <v>29</v>
      </c>
      <c r="B104" s="568">
        <v>190.01123503721917</v>
      </c>
      <c r="C104" s="568">
        <v>139.36091098291482</v>
      </c>
      <c r="D104" s="568">
        <v>176.64061964570334</v>
      </c>
      <c r="E104" s="568">
        <v>132.07724124236844</v>
      </c>
      <c r="F104" s="568">
        <v>80.06382546291465</v>
      </c>
      <c r="G104" s="568">
        <v>119.76812456100998</v>
      </c>
      <c r="H104" s="568">
        <v>114.48293017876405</v>
      </c>
      <c r="I104" s="568">
        <v>56.938829259232492</v>
      </c>
      <c r="J104" s="568">
        <v>98.557719450620084</v>
      </c>
      <c r="K104" s="568">
        <v>190.40155570655236</v>
      </c>
      <c r="L104" s="568">
        <v>184.43544333347961</v>
      </c>
      <c r="M104" s="568">
        <v>145.24609456899009</v>
      </c>
      <c r="N104" s="568">
        <v>125.44135713185999</v>
      </c>
      <c r="O104" s="568">
        <v>97.347986219785156</v>
      </c>
      <c r="P104" s="568">
        <v>101.20877993635858</v>
      </c>
    </row>
    <row r="105" spans="1:16">
      <c r="A105" s="40" t="s">
        <v>1449</v>
      </c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</row>
    <row r="106" spans="1:16">
      <c r="A106" s="40" t="s">
        <v>18</v>
      </c>
      <c r="B106" s="568">
        <v>192.20948087545469</v>
      </c>
      <c r="C106" s="568">
        <v>140.38334142496558</v>
      </c>
      <c r="D106" s="568">
        <v>181.21742999033341</v>
      </c>
      <c r="E106" s="568">
        <v>130.3779492262052</v>
      </c>
      <c r="F106" s="568">
        <v>78.928654936466216</v>
      </c>
      <c r="G106" s="568">
        <v>120.81603607886217</v>
      </c>
      <c r="H106" s="568">
        <v>115.31079724353992</v>
      </c>
      <c r="I106" s="568">
        <v>56.437042280993801</v>
      </c>
      <c r="J106" s="568">
        <v>98.991891903228819</v>
      </c>
      <c r="K106" s="568">
        <v>203.97010932856509</v>
      </c>
      <c r="L106" s="568">
        <v>184.65494664452413</v>
      </c>
      <c r="M106" s="568">
        <v>145.68012896426589</v>
      </c>
      <c r="N106" s="568">
        <v>123.90121278519247</v>
      </c>
      <c r="O106" s="568">
        <v>96.947831600945193</v>
      </c>
      <c r="P106" s="568">
        <v>102.92500659351344</v>
      </c>
    </row>
    <row r="107" spans="1:16">
      <c r="A107" s="40" t="s">
        <v>19</v>
      </c>
      <c r="B107" s="568">
        <v>191.83902226297124</v>
      </c>
      <c r="C107" s="568">
        <v>139.73260576515787</v>
      </c>
      <c r="D107" s="568">
        <v>186.1863514454696</v>
      </c>
      <c r="E107" s="568">
        <v>130.84746777471057</v>
      </c>
      <c r="F107" s="568">
        <v>78.717994888705221</v>
      </c>
      <c r="G107" s="568">
        <v>121.87880215676388</v>
      </c>
      <c r="H107" s="568">
        <v>116.11456060558632</v>
      </c>
      <c r="I107" s="568">
        <v>53.930238246486532</v>
      </c>
      <c r="J107" s="568">
        <v>98.552743686138982</v>
      </c>
      <c r="K107" s="568">
        <v>215.39857396203331</v>
      </c>
      <c r="L107" s="568">
        <v>183.5558817372598</v>
      </c>
      <c r="M107" s="568">
        <v>145.09944742147962</v>
      </c>
      <c r="N107" s="568">
        <v>123.15729072583636</v>
      </c>
      <c r="O107" s="568">
        <v>99.081659890396821</v>
      </c>
      <c r="P107" s="568">
        <v>102.74200744120414</v>
      </c>
    </row>
    <row r="108" spans="1:16">
      <c r="A108" s="40" t="s">
        <v>20</v>
      </c>
      <c r="B108" s="568">
        <v>193.4096569041223</v>
      </c>
      <c r="C108" s="568">
        <v>143.25517982891958</v>
      </c>
      <c r="D108" s="568">
        <v>192.32172950371466</v>
      </c>
      <c r="E108" s="568">
        <v>133.06223655375533</v>
      </c>
      <c r="F108" s="568">
        <v>80.517661084481475</v>
      </c>
      <c r="G108" s="568">
        <v>122.67299390094655</v>
      </c>
      <c r="H108" s="568">
        <v>117.23660778880148</v>
      </c>
      <c r="I108" s="568">
        <v>52.168896947777966</v>
      </c>
      <c r="J108" s="568">
        <v>99.137079649331241</v>
      </c>
      <c r="K108" s="568">
        <v>220.25459024095025</v>
      </c>
      <c r="L108" s="568">
        <v>184.30088700032584</v>
      </c>
      <c r="M108" s="568">
        <v>146.77713037077328</v>
      </c>
      <c r="N108" s="568">
        <v>122.12649381208681</v>
      </c>
      <c r="O108" s="568">
        <v>100.45053744224838</v>
      </c>
      <c r="P108" s="568">
        <v>106.0731460441223</v>
      </c>
    </row>
    <row r="109" spans="1:16">
      <c r="A109" s="40" t="s">
        <v>21</v>
      </c>
      <c r="B109" s="568">
        <v>195.06311177169778</v>
      </c>
      <c r="C109" s="568">
        <v>143.49095248407019</v>
      </c>
      <c r="D109" s="568">
        <v>189.93422858444137</v>
      </c>
      <c r="E109" s="568">
        <v>132.42233606517652</v>
      </c>
      <c r="F109" s="568">
        <v>81.879101370623516</v>
      </c>
      <c r="G109" s="568">
        <v>123.37421592328207</v>
      </c>
      <c r="H109" s="568">
        <v>116.9508953830624</v>
      </c>
      <c r="I109" s="568">
        <v>50.878085572871484</v>
      </c>
      <c r="J109" s="568">
        <v>99.487475554360131</v>
      </c>
      <c r="K109" s="568">
        <v>227.82194622237722</v>
      </c>
      <c r="L109" s="568">
        <v>180.92643947784143</v>
      </c>
      <c r="M109" s="568">
        <v>146.42690776613702</v>
      </c>
      <c r="N109" s="568">
        <v>122.70260345587626</v>
      </c>
      <c r="O109" s="568">
        <v>102.79002287501945</v>
      </c>
      <c r="P109" s="568">
        <v>105.52268571040766</v>
      </c>
    </row>
    <row r="110" spans="1:16">
      <c r="A110" s="40" t="s">
        <v>22</v>
      </c>
      <c r="B110" s="568">
        <v>194.17514463430015</v>
      </c>
      <c r="C110" s="568">
        <v>143.27384380163221</v>
      </c>
      <c r="D110" s="568">
        <v>188.96917551882387</v>
      </c>
      <c r="E110" s="568">
        <v>133.54198736381156</v>
      </c>
      <c r="F110" s="568">
        <v>81.041711799319302</v>
      </c>
      <c r="G110" s="568">
        <v>122.6713877715396</v>
      </c>
      <c r="H110" s="568">
        <v>115.05995496142248</v>
      </c>
      <c r="I110" s="568">
        <v>49.703063343887791</v>
      </c>
      <c r="J110" s="568">
        <v>98.927638226977777</v>
      </c>
      <c r="K110" s="568">
        <v>233.59254567696823</v>
      </c>
      <c r="L110" s="568">
        <v>180.26422808345788</v>
      </c>
      <c r="M110" s="568">
        <v>145.58461377781384</v>
      </c>
      <c r="N110" s="568">
        <v>121.75266308192644</v>
      </c>
      <c r="O110" s="568">
        <v>101.54050363486371</v>
      </c>
      <c r="P110" s="568">
        <v>107.06191280642388</v>
      </c>
    </row>
    <row r="111" spans="1:16">
      <c r="A111" s="40" t="s">
        <v>23</v>
      </c>
      <c r="B111" s="568">
        <v>190.98589859928654</v>
      </c>
      <c r="C111" s="568">
        <v>139.15048291901056</v>
      </c>
      <c r="D111" s="568">
        <v>185.01787327048802</v>
      </c>
      <c r="E111" s="568">
        <v>136.553524690373</v>
      </c>
      <c r="F111" s="568">
        <v>82.351881310433214</v>
      </c>
      <c r="G111" s="568">
        <v>121.57035587703189</v>
      </c>
      <c r="H111" s="568">
        <v>115.19881592495338</v>
      </c>
      <c r="I111" s="568">
        <v>47.515613873506261</v>
      </c>
      <c r="J111" s="568">
        <v>97.777241795341794</v>
      </c>
      <c r="K111" s="568">
        <v>223.31147635867441</v>
      </c>
      <c r="L111" s="568">
        <v>176.95809935522894</v>
      </c>
      <c r="M111" s="568">
        <v>143.83930989375386</v>
      </c>
      <c r="N111" s="568">
        <v>120.81253577045503</v>
      </c>
      <c r="O111" s="568">
        <v>102.58170279246613</v>
      </c>
      <c r="P111" s="568">
        <v>103.36108359555719</v>
      </c>
    </row>
    <row r="112" spans="1:16">
      <c r="A112" s="40" t="s">
        <v>24</v>
      </c>
      <c r="B112" s="568">
        <v>189.26541800318762</v>
      </c>
      <c r="C112" s="568">
        <v>140.02751375267493</v>
      </c>
      <c r="D112" s="568">
        <v>187.21330171719248</v>
      </c>
      <c r="E112" s="568">
        <v>137.54639314971101</v>
      </c>
      <c r="F112" s="568">
        <v>82.217416612258674</v>
      </c>
      <c r="G112" s="568">
        <v>120.76858493093252</v>
      </c>
      <c r="H112" s="568">
        <v>115.90110929373991</v>
      </c>
      <c r="I112" s="568">
        <v>46.728481710817483</v>
      </c>
      <c r="J112" s="568">
        <v>97.632318016718472</v>
      </c>
      <c r="K112" s="568">
        <v>226.26003168806488</v>
      </c>
      <c r="L112" s="568">
        <v>173.84293178113003</v>
      </c>
      <c r="M112" s="568">
        <v>142.65533214917502</v>
      </c>
      <c r="N112" s="568">
        <v>120.41266619302367</v>
      </c>
      <c r="O112" s="568">
        <v>100.82131092660852</v>
      </c>
      <c r="P112" s="568">
        <v>104.24059121776351</v>
      </c>
    </row>
    <row r="113" spans="1:16">
      <c r="A113" s="40" t="s">
        <v>25</v>
      </c>
      <c r="B113" s="568">
        <v>188.45160286797775</v>
      </c>
      <c r="C113" s="568">
        <v>137.10165765180491</v>
      </c>
      <c r="D113" s="568">
        <v>182.68622421003863</v>
      </c>
      <c r="E113" s="568">
        <v>139.05139164728266</v>
      </c>
      <c r="F113" s="568">
        <v>82.536620934701119</v>
      </c>
      <c r="G113" s="568">
        <v>120.90460728856529</v>
      </c>
      <c r="H113" s="568">
        <v>115.85447495025858</v>
      </c>
      <c r="I113" s="568">
        <v>48.599213363973831</v>
      </c>
      <c r="J113" s="568">
        <v>97.366799263150455</v>
      </c>
      <c r="K113" s="568">
        <v>221.10171983944917</v>
      </c>
      <c r="L113" s="568">
        <v>171.45622928340734</v>
      </c>
      <c r="M113" s="568">
        <v>141.17761458827897</v>
      </c>
      <c r="N113" s="568">
        <v>120.86973087268808</v>
      </c>
      <c r="O113" s="568">
        <v>99.427630590818822</v>
      </c>
      <c r="P113" s="568">
        <v>102.04879314992118</v>
      </c>
    </row>
    <row r="114" spans="1:16">
      <c r="A114" s="40" t="s">
        <v>26</v>
      </c>
      <c r="B114" s="568">
        <v>188.20786169518095</v>
      </c>
      <c r="C114" s="568">
        <v>136.13734154520034</v>
      </c>
      <c r="D114" s="568">
        <v>177.62217006067726</v>
      </c>
      <c r="E114" s="568">
        <v>142.23721444002808</v>
      </c>
      <c r="F114" s="568">
        <v>81.332483493833294</v>
      </c>
      <c r="G114" s="568">
        <v>122.34422133884578</v>
      </c>
      <c r="H114" s="568">
        <v>116.06970844507215</v>
      </c>
      <c r="I114" s="568">
        <v>91.062530929772365</v>
      </c>
      <c r="J114" s="568">
        <v>97.413499848410197</v>
      </c>
      <c r="K114" s="568">
        <v>223.42406841999539</v>
      </c>
      <c r="L114" s="568">
        <v>171.36697393315967</v>
      </c>
      <c r="M114" s="568">
        <v>140.11282729511356</v>
      </c>
      <c r="N114" s="568">
        <v>120.64057799413135</v>
      </c>
      <c r="O114" s="568">
        <v>96.394221276671161</v>
      </c>
      <c r="P114" s="568">
        <v>101.55624219298942</v>
      </c>
    </row>
    <row r="115" spans="1:16">
      <c r="A115" s="40" t="s">
        <v>27</v>
      </c>
      <c r="B115" s="568">
        <v>189.69394870899146</v>
      </c>
      <c r="C115" s="568">
        <v>134.22967898421007</v>
      </c>
      <c r="D115" s="568">
        <v>175.74498334243393</v>
      </c>
      <c r="E115" s="568">
        <v>138.4941561600466</v>
      </c>
      <c r="F115" s="568">
        <v>80.323056889339881</v>
      </c>
      <c r="G115" s="568">
        <v>122.94270382192977</v>
      </c>
      <c r="H115" s="568">
        <v>115.42700010487677</v>
      </c>
      <c r="I115" s="568">
        <v>90.629046770799889</v>
      </c>
      <c r="J115" s="568">
        <v>98.229379792324906</v>
      </c>
      <c r="K115" s="568">
        <v>221.51247443735875</v>
      </c>
      <c r="L115" s="568">
        <v>170.44890383106096</v>
      </c>
      <c r="M115" s="568">
        <v>140.58967206942651</v>
      </c>
      <c r="N115" s="568">
        <v>120.77694589309634</v>
      </c>
      <c r="O115" s="568">
        <v>95.79601182717559</v>
      </c>
      <c r="P115" s="568">
        <v>99.906435006611403</v>
      </c>
    </row>
    <row r="116" spans="1:16">
      <c r="A116" s="40" t="s">
        <v>28</v>
      </c>
      <c r="B116" s="568">
        <v>191.02280201577676</v>
      </c>
      <c r="C116" s="568">
        <v>136.80544098080503</v>
      </c>
      <c r="D116" s="568">
        <v>176.79383864874441</v>
      </c>
      <c r="E116" s="568">
        <v>142.06182032622164</v>
      </c>
      <c r="F116" s="568">
        <v>81.940638387662133</v>
      </c>
      <c r="G116" s="568">
        <v>123.83797274772515</v>
      </c>
      <c r="H116" s="568">
        <v>116.60622711890863</v>
      </c>
      <c r="I116" s="568">
        <v>90.638463817620575</v>
      </c>
      <c r="J116" s="568">
        <v>98.09331539190616</v>
      </c>
      <c r="K116" s="568">
        <v>227.66923266218953</v>
      </c>
      <c r="L116" s="568">
        <v>172.35809397159701</v>
      </c>
      <c r="M116" s="568">
        <v>141.43516121684746</v>
      </c>
      <c r="N116" s="568">
        <v>121.41768527078135</v>
      </c>
      <c r="O116" s="568">
        <v>96.172902116641467</v>
      </c>
      <c r="P116" s="568">
        <v>101.7919481097819</v>
      </c>
    </row>
    <row r="117" spans="1:16">
      <c r="A117" s="40" t="s">
        <v>29</v>
      </c>
      <c r="B117" s="568">
        <v>194.05443575032157</v>
      </c>
      <c r="C117" s="568">
        <v>136.9632716371832</v>
      </c>
      <c r="D117" s="568">
        <v>176.48870151350241</v>
      </c>
      <c r="E117" s="568">
        <v>147.05687672394259</v>
      </c>
      <c r="F117" s="568">
        <v>83.488794640841149</v>
      </c>
      <c r="G117" s="568">
        <v>126.13518451234363</v>
      </c>
      <c r="H117" s="568">
        <v>119.42881526096699</v>
      </c>
      <c r="I117" s="568">
        <v>91.537517597513528</v>
      </c>
      <c r="J117" s="568">
        <v>99.638834084491862</v>
      </c>
      <c r="K117" s="568">
        <v>240.47087461062981</v>
      </c>
      <c r="L117" s="568">
        <v>173.92578144797142</v>
      </c>
      <c r="M117" s="568">
        <v>143.28381048812241</v>
      </c>
      <c r="N117" s="568">
        <v>122.85967687829049</v>
      </c>
      <c r="O117" s="568">
        <v>97.354155783046735</v>
      </c>
      <c r="P117" s="568">
        <v>101.87422327780573</v>
      </c>
    </row>
    <row r="118" spans="1:16">
      <c r="A118" s="40" t="s">
        <v>1660</v>
      </c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</row>
    <row r="119" spans="1:16">
      <c r="A119" s="40" t="s">
        <v>18</v>
      </c>
      <c r="B119" s="568">
        <v>193.4752409676087</v>
      </c>
      <c r="C119" s="568">
        <v>138.72558688061906</v>
      </c>
      <c r="D119" s="568">
        <v>176.16363287002477</v>
      </c>
      <c r="E119" s="568">
        <v>153.89896625672534</v>
      </c>
      <c r="F119" s="568">
        <v>84.507910425998219</v>
      </c>
      <c r="G119" s="568">
        <v>127.06257989225163</v>
      </c>
      <c r="H119" s="568">
        <v>121.53455156035157</v>
      </c>
      <c r="I119" s="568">
        <v>90.402467792799357</v>
      </c>
      <c r="J119" s="568">
        <v>99.329043940327836</v>
      </c>
      <c r="K119" s="568">
        <v>241.91079025514296</v>
      </c>
      <c r="L119" s="568">
        <v>173.95828081796398</v>
      </c>
      <c r="M119" s="568">
        <v>141.06875095114657</v>
      </c>
      <c r="N119" s="568">
        <v>122.2885170458794</v>
      </c>
      <c r="O119" s="568">
        <v>97.437262773371572</v>
      </c>
      <c r="P119" s="568">
        <v>102.76595176403413</v>
      </c>
    </row>
    <row r="120" spans="1:16">
      <c r="A120" s="40" t="s">
        <v>19</v>
      </c>
      <c r="B120" s="568">
        <v>194.06038826851452</v>
      </c>
      <c r="C120" s="568">
        <v>138.71749326735619</v>
      </c>
      <c r="D120" s="568">
        <v>175.19510701290136</v>
      </c>
      <c r="E120" s="568">
        <v>154.26592135909226</v>
      </c>
      <c r="F120" s="568">
        <v>88.529854595129947</v>
      </c>
      <c r="G120" s="568">
        <v>135.43455359663008</v>
      </c>
      <c r="H120" s="568">
        <v>120.8475103752983</v>
      </c>
      <c r="I120" s="568">
        <v>90.623869415437753</v>
      </c>
      <c r="J120" s="568">
        <v>108.94579582788852</v>
      </c>
      <c r="K120" s="568">
        <v>238.00687626790153</v>
      </c>
      <c r="L120" s="568">
        <v>176.19326882563811</v>
      </c>
      <c r="M120" s="568">
        <v>141.47729858070917</v>
      </c>
      <c r="N120" s="568">
        <v>122.11206158338915</v>
      </c>
      <c r="O120" s="568">
        <v>98.136403342392825</v>
      </c>
      <c r="P120" s="568">
        <v>102.2957688602458</v>
      </c>
    </row>
    <row r="121" spans="1:16">
      <c r="A121" s="40" t="s">
        <v>20</v>
      </c>
      <c r="B121" s="568">
        <v>194.26313475268361</v>
      </c>
      <c r="C121" s="568">
        <v>135.86320756331364</v>
      </c>
      <c r="D121" s="568">
        <v>174.35741996199522</v>
      </c>
      <c r="E121" s="568">
        <v>152.98814754189615</v>
      </c>
      <c r="F121" s="568">
        <v>87.898875627514684</v>
      </c>
      <c r="G121" s="568">
        <v>147.92511486109504</v>
      </c>
      <c r="H121" s="568">
        <v>120.55244798987809</v>
      </c>
      <c r="I121" s="568">
        <v>90.415138623399883</v>
      </c>
      <c r="J121" s="568">
        <v>108.19072595581403</v>
      </c>
      <c r="K121" s="568">
        <v>237.91501624431342</v>
      </c>
      <c r="L121" s="568">
        <v>174.13227997930451</v>
      </c>
      <c r="M121" s="568">
        <v>144.76209251232419</v>
      </c>
      <c r="N121" s="568">
        <v>122.29640706062727</v>
      </c>
      <c r="O121" s="568">
        <v>97.990762197170454</v>
      </c>
      <c r="P121" s="568">
        <v>100.41276040333847</v>
      </c>
    </row>
    <row r="122" spans="1:16">
      <c r="A122" s="40" t="s">
        <v>21</v>
      </c>
      <c r="B122" s="568">
        <v>194.07075633456461</v>
      </c>
      <c r="C122" s="568">
        <v>136.17502137324385</v>
      </c>
      <c r="D122" s="568">
        <v>173.19517014055174</v>
      </c>
      <c r="E122" s="568">
        <v>145.5028921633687</v>
      </c>
      <c r="F122" s="568">
        <v>88.326948145744197</v>
      </c>
      <c r="G122" s="568">
        <v>168.60770984913358</v>
      </c>
      <c r="H122" s="568">
        <v>121.59579642261255</v>
      </c>
      <c r="I122" s="568">
        <v>90.789762990519407</v>
      </c>
      <c r="J122" s="568">
        <v>114.08417621701052</v>
      </c>
      <c r="K122" s="568">
        <v>234.62462848110223</v>
      </c>
      <c r="L122" s="568">
        <v>174.38158236861108</v>
      </c>
      <c r="M122" s="568">
        <v>146.80168401155271</v>
      </c>
      <c r="N122" s="568">
        <v>122.16989408803094</v>
      </c>
      <c r="O122" s="568">
        <v>95.687723565212806</v>
      </c>
      <c r="P122" s="568">
        <v>100.95630227521443</v>
      </c>
    </row>
    <row r="123" spans="1:16">
      <c r="A123" s="40" t="s">
        <v>22</v>
      </c>
      <c r="B123" s="568">
        <v>191.7428001321145</v>
      </c>
      <c r="C123" s="568">
        <v>135.73702376929583</v>
      </c>
      <c r="D123" s="568">
        <v>170.74516001169783</v>
      </c>
      <c r="E123" s="568">
        <v>141.27395007742791</v>
      </c>
      <c r="F123" s="568">
        <v>84.931310438593954</v>
      </c>
      <c r="G123" s="568">
        <v>163.25752162131744</v>
      </c>
      <c r="H123" s="568">
        <v>121.53495212912652</v>
      </c>
      <c r="I123" s="568">
        <v>89.79266521074149</v>
      </c>
      <c r="J123" s="568">
        <v>112.68663553101494</v>
      </c>
      <c r="K123" s="568">
        <v>230.16417480518064</v>
      </c>
      <c r="L123" s="568">
        <v>172.22769808576132</v>
      </c>
      <c r="M123" s="568">
        <v>145.82086673142231</v>
      </c>
      <c r="N123" s="568">
        <v>119.6064065734103</v>
      </c>
      <c r="O123" s="568">
        <v>93.138871606206905</v>
      </c>
      <c r="P123" s="568">
        <v>100.30274814477616</v>
      </c>
    </row>
    <row r="124" spans="1:16">
      <c r="A124" s="40" t="s">
        <v>23</v>
      </c>
      <c r="B124" s="568">
        <v>188.85243256357725</v>
      </c>
      <c r="C124" s="568">
        <v>135.45635050089425</v>
      </c>
      <c r="D124" s="568">
        <v>167.71707409376154</v>
      </c>
      <c r="E124" s="568">
        <v>140.96065283101379</v>
      </c>
      <c r="F124" s="568">
        <v>82.273723581206056</v>
      </c>
      <c r="G124" s="568">
        <v>160.26150192248576</v>
      </c>
      <c r="H124" s="568">
        <v>121.65468647274267</v>
      </c>
      <c r="I124" s="568">
        <v>87.446404245506329</v>
      </c>
      <c r="J124" s="568">
        <v>111.67573640787616</v>
      </c>
      <c r="K124" s="568">
        <v>227.97795575615498</v>
      </c>
      <c r="L124" s="568">
        <v>169.14139616701033</v>
      </c>
      <c r="M124" s="568">
        <v>144.00810521118885</v>
      </c>
      <c r="N124" s="568">
        <v>118.2984648971545</v>
      </c>
      <c r="O124" s="568">
        <v>91.521850716914372</v>
      </c>
      <c r="P124" s="568">
        <v>100.10219788559255</v>
      </c>
    </row>
    <row r="125" spans="1:16">
      <c r="A125" s="40" t="s">
        <v>24</v>
      </c>
      <c r="B125" s="568">
        <v>187.15805814993516</v>
      </c>
      <c r="C125" s="568">
        <v>135.73625303624141</v>
      </c>
      <c r="D125" s="568">
        <v>165.1789464115964</v>
      </c>
      <c r="E125" s="568">
        <v>139.2497602176752</v>
      </c>
      <c r="F125" s="568">
        <v>81.807639320842057</v>
      </c>
      <c r="G125" s="568">
        <v>157.29725214330981</v>
      </c>
      <c r="H125" s="568">
        <v>120.71018808217279</v>
      </c>
      <c r="I125" s="568">
        <v>85.177813867439411</v>
      </c>
      <c r="J125" s="568">
        <v>110.68598471221021</v>
      </c>
      <c r="K125" s="568">
        <v>225.44302298921787</v>
      </c>
      <c r="L125" s="568">
        <v>166.11584442602231</v>
      </c>
      <c r="M125" s="568">
        <v>142.05262173227277</v>
      </c>
      <c r="N125" s="568">
        <v>117.22820143689898</v>
      </c>
      <c r="O125" s="568">
        <v>90.861550109746901</v>
      </c>
      <c r="P125" s="568">
        <v>99.829929249266115</v>
      </c>
    </row>
    <row r="126" spans="1:16">
      <c r="A126" s="40" t="s">
        <v>25</v>
      </c>
      <c r="B126" s="568">
        <v>187.52130313238368</v>
      </c>
      <c r="C126" s="568">
        <v>137.97216431050546</v>
      </c>
      <c r="D126" s="568">
        <v>168.22824897226434</v>
      </c>
      <c r="E126" s="568">
        <v>141.8343790427343</v>
      </c>
      <c r="F126" s="568">
        <v>85.045161868614542</v>
      </c>
      <c r="G126" s="568">
        <v>171.69680829940299</v>
      </c>
      <c r="H126" s="568">
        <v>117.93972077320502</v>
      </c>
      <c r="I126" s="568">
        <v>84.826678508471161</v>
      </c>
      <c r="J126" s="568">
        <v>109.39869089813249</v>
      </c>
      <c r="K126" s="568">
        <v>227.79245263989236</v>
      </c>
      <c r="L126" s="568">
        <v>169.7148083178873</v>
      </c>
      <c r="M126" s="568">
        <v>140.71168882722364</v>
      </c>
      <c r="N126" s="568">
        <v>117.31057718848487</v>
      </c>
      <c r="O126" s="568">
        <v>90.996810925848365</v>
      </c>
      <c r="P126" s="568">
        <v>101.30481028890438</v>
      </c>
    </row>
    <row r="127" spans="1:16">
      <c r="A127" s="40" t="s">
        <v>26</v>
      </c>
      <c r="B127" s="568">
        <v>189.38329656779166</v>
      </c>
      <c r="C127" s="568">
        <v>143.38857586363653</v>
      </c>
      <c r="D127" s="568">
        <v>173.88862012965328</v>
      </c>
      <c r="E127" s="568">
        <v>146.48287513222229</v>
      </c>
      <c r="F127" s="568">
        <v>89.622195711730015</v>
      </c>
      <c r="G127" s="568">
        <v>168.38607426921121</v>
      </c>
      <c r="H127" s="568">
        <v>118.98111285880196</v>
      </c>
      <c r="I127" s="568">
        <v>87.012372945094612</v>
      </c>
      <c r="J127" s="568">
        <v>109.9387394364806</v>
      </c>
      <c r="K127" s="568">
        <v>239.58411174715275</v>
      </c>
      <c r="L127" s="568">
        <v>178.92340846434044</v>
      </c>
      <c r="M127" s="568">
        <v>141.14334142245315</v>
      </c>
      <c r="N127" s="568">
        <v>119.15261207198178</v>
      </c>
      <c r="O127" s="568">
        <v>93.061724662185426</v>
      </c>
      <c r="P127" s="568">
        <v>106.28700168470692</v>
      </c>
    </row>
    <row r="128" spans="1:16">
      <c r="A128" s="40" t="s">
        <v>27</v>
      </c>
      <c r="B128" s="568">
        <v>189.86421905081778</v>
      </c>
      <c r="C128" s="568">
        <v>146.29126138498287</v>
      </c>
      <c r="D128" s="568">
        <v>176.71437369393706</v>
      </c>
      <c r="E128" s="568">
        <v>147.04868415782371</v>
      </c>
      <c r="F128" s="568">
        <v>95.761792711338714</v>
      </c>
      <c r="G128" s="568">
        <v>165.38819352133694</v>
      </c>
      <c r="H128" s="568">
        <v>119.51353817519055</v>
      </c>
      <c r="I128" s="568">
        <v>86.264496182572344</v>
      </c>
      <c r="J128" s="568">
        <v>109.5286785927034</v>
      </c>
      <c r="K128" s="568">
        <v>242.13443926853438</v>
      </c>
      <c r="L128" s="568">
        <v>183.06459165927174</v>
      </c>
      <c r="M128" s="568">
        <v>141.22571685393245</v>
      </c>
      <c r="N128" s="568">
        <v>119.75140706257888</v>
      </c>
      <c r="O128" s="568">
        <v>95.882962313205695</v>
      </c>
      <c r="P128" s="568">
        <v>108.35280023617574</v>
      </c>
    </row>
    <row r="129" spans="1:16">
      <c r="A129" s="40" t="s">
        <v>28</v>
      </c>
      <c r="B129" s="568">
        <v>190.5998074217492</v>
      </c>
      <c r="C129" s="568">
        <v>149.25833085417867</v>
      </c>
      <c r="D129" s="568">
        <v>180.88838480889694</v>
      </c>
      <c r="E129" s="568">
        <v>145.461366081308</v>
      </c>
      <c r="F129" s="568">
        <v>106.83663462868861</v>
      </c>
      <c r="G129" s="568">
        <v>183.37182103668084</v>
      </c>
      <c r="H129" s="568">
        <v>121.30078919418249</v>
      </c>
      <c r="I129" s="568">
        <v>85.269052480729769</v>
      </c>
      <c r="J129" s="568">
        <v>108.97781934628105</v>
      </c>
      <c r="K129" s="568">
        <v>261.5079971280764</v>
      </c>
      <c r="L129" s="568">
        <v>188.95302514852082</v>
      </c>
      <c r="M129" s="568">
        <v>141.60019773305768</v>
      </c>
      <c r="N129" s="568">
        <v>120.81107740631543</v>
      </c>
      <c r="O129" s="568">
        <v>99.404436931880753</v>
      </c>
      <c r="P129" s="568">
        <v>109.88221480832981</v>
      </c>
    </row>
    <row r="130" spans="1:16">
      <c r="A130" s="40" t="s">
        <v>29</v>
      </c>
      <c r="B130" s="568">
        <v>192.37035062218192</v>
      </c>
      <c r="C130" s="568">
        <v>152.10106628423645</v>
      </c>
      <c r="D130" s="568">
        <v>183.57516885395032</v>
      </c>
      <c r="E130" s="568">
        <v>150.70244679587208</v>
      </c>
      <c r="F130" s="568">
        <v>127.6725497540619</v>
      </c>
      <c r="G130" s="568">
        <v>191.32244744572091</v>
      </c>
      <c r="H130" s="568">
        <v>127.91198711173978</v>
      </c>
      <c r="I130" s="568">
        <v>84.507952492440779</v>
      </c>
      <c r="J130" s="568">
        <v>109.32360936386482</v>
      </c>
      <c r="K130" s="568">
        <v>270.50920623005953</v>
      </c>
      <c r="L130" s="568">
        <v>195.19189237014155</v>
      </c>
      <c r="M130" s="568">
        <v>143.49299447173527</v>
      </c>
      <c r="N130" s="568">
        <v>122.35495721425997</v>
      </c>
      <c r="O130" s="568">
        <v>100.52182105087577</v>
      </c>
      <c r="P130" s="568">
        <v>112.37885637933201</v>
      </c>
    </row>
    <row r="131" spans="1:16">
      <c r="A131" s="40" t="s">
        <v>1855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</row>
    <row r="132" spans="1:16">
      <c r="A132" s="40" t="s">
        <v>18</v>
      </c>
      <c r="B132" s="568">
        <v>194.08603724186221</v>
      </c>
      <c r="C132" s="568">
        <v>163.44321140994339</v>
      </c>
      <c r="D132" s="568">
        <v>191.16735400521236</v>
      </c>
      <c r="E132" s="568">
        <v>151.86435625676077</v>
      </c>
      <c r="F132" s="568">
        <v>139.20330521608207</v>
      </c>
      <c r="G132" s="568">
        <v>188.25121205793869</v>
      </c>
      <c r="H132" s="568">
        <v>132.21038857068581</v>
      </c>
      <c r="I132" s="568">
        <v>85.650961414268551</v>
      </c>
      <c r="J132" s="568">
        <v>109.85192091032177</v>
      </c>
      <c r="K132" s="568">
        <v>269.41744195606373</v>
      </c>
      <c r="L132" s="568">
        <v>197.7751551527312</v>
      </c>
      <c r="M132" s="568">
        <v>143.9573165202647</v>
      </c>
      <c r="N132" s="568">
        <v>151.15758634622134</v>
      </c>
      <c r="O132" s="568">
        <v>98.822044241983718</v>
      </c>
      <c r="P132" s="568">
        <v>108.80961593055586</v>
      </c>
    </row>
    <row r="133" spans="1:16">
      <c r="A133" s="40" t="s">
        <v>19</v>
      </c>
      <c r="B133" s="568">
        <v>183.6220892789789</v>
      </c>
      <c r="C133" s="568">
        <v>158.10092060647577</v>
      </c>
      <c r="D133" s="568">
        <v>178.91403845510715</v>
      </c>
      <c r="E133" s="568">
        <v>150.98398546899361</v>
      </c>
      <c r="F133" s="568">
        <v>130.74161844634199</v>
      </c>
      <c r="G133" s="568">
        <v>263.46262893354617</v>
      </c>
      <c r="H133" s="568">
        <v>135.60107773925799</v>
      </c>
      <c r="I133" s="568">
        <v>81.774941449669029</v>
      </c>
      <c r="J133" s="568">
        <v>104.49784403820136</v>
      </c>
      <c r="K133" s="568">
        <v>256.12307234051013</v>
      </c>
      <c r="L133" s="568">
        <v>186.41765982890658</v>
      </c>
      <c r="M133" s="568">
        <v>135.52406111351712</v>
      </c>
      <c r="N133" s="568">
        <v>155.03027844726444</v>
      </c>
      <c r="O133" s="568">
        <v>94.70575013984049</v>
      </c>
      <c r="P133" s="568">
        <v>102.94358811609573</v>
      </c>
    </row>
    <row r="134" spans="1:16">
      <c r="A134" s="40" t="s">
        <v>20</v>
      </c>
      <c r="B134" s="568">
        <v>151.72810688243555</v>
      </c>
      <c r="C134" s="568">
        <v>135.89655530939868</v>
      </c>
      <c r="D134" s="568">
        <v>151.12702195505383</v>
      </c>
      <c r="E134" s="568">
        <v>129.93621044547771</v>
      </c>
      <c r="F134" s="568">
        <v>100.76522694639931</v>
      </c>
      <c r="G134" s="568">
        <v>185.29989979011771</v>
      </c>
      <c r="H134" s="568">
        <v>115.513167575401</v>
      </c>
      <c r="I134" s="568">
        <v>67.249819318237655</v>
      </c>
      <c r="J134" s="568">
        <v>86.607770884602346</v>
      </c>
      <c r="K134" s="568">
        <v>214.65089735855742</v>
      </c>
      <c r="L134" s="568">
        <v>157.8586490999169</v>
      </c>
      <c r="M134" s="568">
        <v>112.48941940771969</v>
      </c>
      <c r="N134" s="568">
        <v>125.43959074857739</v>
      </c>
      <c r="O134" s="568">
        <v>79.372815874563415</v>
      </c>
      <c r="P134" s="568">
        <v>89.518467703393029</v>
      </c>
    </row>
    <row r="135" spans="1:16">
      <c r="A135" s="40" t="s">
        <v>21</v>
      </c>
      <c r="B135" s="568">
        <v>151.05128448872168</v>
      </c>
      <c r="C135" s="568">
        <v>135.59107333760178</v>
      </c>
      <c r="D135" s="568">
        <v>151.05310363158924</v>
      </c>
      <c r="E135" s="568">
        <v>130.39539266656641</v>
      </c>
      <c r="F135" s="568">
        <v>87.139140152724025</v>
      </c>
      <c r="G135" s="568">
        <v>157.83807360857861</v>
      </c>
      <c r="H135" s="568">
        <v>118.75531439459297</v>
      </c>
      <c r="I135" s="568">
        <v>66.924889762292011</v>
      </c>
      <c r="J135" s="568">
        <v>86.374437772854094</v>
      </c>
      <c r="K135" s="568">
        <v>211.43495282923269</v>
      </c>
      <c r="L135" s="568">
        <v>154.15225055526849</v>
      </c>
      <c r="M135" s="568">
        <v>111.68635381610446</v>
      </c>
      <c r="N135" s="568">
        <v>119.36686848671545</v>
      </c>
      <c r="O135" s="568">
        <v>77.144967196955463</v>
      </c>
      <c r="P135" s="568">
        <v>87.24574681224054</v>
      </c>
    </row>
    <row r="136" spans="1:16">
      <c r="A136" s="40" t="s">
        <v>22</v>
      </c>
      <c r="B136" s="568">
        <v>149.8619268415068</v>
      </c>
      <c r="C136" s="568">
        <v>130.16526422224996</v>
      </c>
      <c r="D136" s="568">
        <v>144.6499053252505</v>
      </c>
      <c r="E136" s="568">
        <v>128.84145258204705</v>
      </c>
      <c r="F136" s="568">
        <v>83.07251635824818</v>
      </c>
      <c r="G136" s="568">
        <v>142.51285278663741</v>
      </c>
      <c r="H136" s="568">
        <v>120.82608475167046</v>
      </c>
      <c r="I136" s="568">
        <v>66.135473917318166</v>
      </c>
      <c r="J136" s="568">
        <v>85.809686822967777</v>
      </c>
      <c r="K136" s="568">
        <v>211.85927751357346</v>
      </c>
      <c r="L136" s="568">
        <v>150.30030324094707</v>
      </c>
      <c r="M136" s="568">
        <v>111.52733339174796</v>
      </c>
      <c r="N136" s="568">
        <v>117.22577144275807</v>
      </c>
      <c r="O136" s="568">
        <v>76.938872084744332</v>
      </c>
      <c r="P136" s="568">
        <v>83.925155452276229</v>
      </c>
    </row>
    <row r="137" spans="1:16">
      <c r="A137" s="40" t="s">
        <v>23</v>
      </c>
      <c r="B137" s="568">
        <v>147.74991249917824</v>
      </c>
      <c r="C137" s="568">
        <v>128.07156049558407</v>
      </c>
      <c r="D137" s="568">
        <v>142.23976483337353</v>
      </c>
      <c r="E137" s="568">
        <v>130.85514972795752</v>
      </c>
      <c r="F137" s="568">
        <v>88.282168627715549</v>
      </c>
      <c r="G137" s="568">
        <v>143.18969010170548</v>
      </c>
      <c r="H137" s="568">
        <v>116.39070917596868</v>
      </c>
      <c r="I137" s="568">
        <v>65.822640470301707</v>
      </c>
      <c r="J137" s="568">
        <v>85.041793286009451</v>
      </c>
      <c r="K137" s="568">
        <v>215.25232794781084</v>
      </c>
      <c r="L137" s="568">
        <v>146.46459309427016</v>
      </c>
      <c r="M137" s="568">
        <v>110.34007367228594</v>
      </c>
      <c r="N137" s="568">
        <v>122.99273327989245</v>
      </c>
      <c r="O137" s="568">
        <v>77.408917600025106</v>
      </c>
      <c r="P137" s="568">
        <v>82.953945345292084</v>
      </c>
    </row>
    <row r="138" spans="1:16">
      <c r="A138" s="40" t="s">
        <v>24</v>
      </c>
      <c r="B138" s="568">
        <v>146.38091571602189</v>
      </c>
      <c r="C138" s="568">
        <v>130.31619266432125</v>
      </c>
      <c r="D138" s="568">
        <v>141.50270232504519</v>
      </c>
      <c r="E138" s="568">
        <v>129.38982846892642</v>
      </c>
      <c r="F138" s="568">
        <v>91.072913498261926</v>
      </c>
      <c r="G138" s="568">
        <v>147.32197233888428</v>
      </c>
      <c r="H138" s="568">
        <v>115.81463098627124</v>
      </c>
      <c r="I138" s="568">
        <v>66.57087014899372</v>
      </c>
      <c r="J138" s="568">
        <v>84.551331629042409</v>
      </c>
      <c r="K138" s="568">
        <v>212.82782796860246</v>
      </c>
      <c r="L138" s="568">
        <v>143.96291623624776</v>
      </c>
      <c r="M138" s="568">
        <v>109.12985536699364</v>
      </c>
      <c r="N138" s="568">
        <v>121.61324644491307</v>
      </c>
      <c r="O138" s="568">
        <v>78.897942367312282</v>
      </c>
      <c r="P138" s="568">
        <v>84.59959966135186</v>
      </c>
    </row>
    <row r="139" spans="1:16">
      <c r="A139" s="40" t="s">
        <v>25</v>
      </c>
      <c r="B139" s="568">
        <v>146.4369025428104</v>
      </c>
      <c r="C139" s="568">
        <v>128.84656982652575</v>
      </c>
      <c r="D139" s="568">
        <v>140.84575035683707</v>
      </c>
      <c r="E139" s="568">
        <v>136.32885460562389</v>
      </c>
      <c r="F139" s="568">
        <v>103.2259867240478</v>
      </c>
      <c r="G139" s="568">
        <v>146.90706776549771</v>
      </c>
      <c r="H139" s="568">
        <v>117.68075413585986</v>
      </c>
      <c r="I139" s="568">
        <v>67.516448185883917</v>
      </c>
      <c r="J139" s="568">
        <v>92.222153171840588</v>
      </c>
      <c r="K139" s="568">
        <v>212.37353428752991</v>
      </c>
      <c r="L139" s="568">
        <v>145.8928860617637</v>
      </c>
      <c r="M139" s="568">
        <v>110.73929106144423</v>
      </c>
      <c r="N139" s="568">
        <v>128.72007240448923</v>
      </c>
      <c r="O139" s="568">
        <v>81.100671467266011</v>
      </c>
      <c r="P139" s="568">
        <v>86.175804390719478</v>
      </c>
    </row>
    <row r="140" spans="1:16">
      <c r="A140" s="40" t="s">
        <v>26</v>
      </c>
      <c r="B140" s="568">
        <v>147.24578446015158</v>
      </c>
      <c r="C140" s="568">
        <v>127.75559429127081</v>
      </c>
      <c r="D140" s="568">
        <v>143.50440983576601</v>
      </c>
      <c r="E140" s="568">
        <v>143.22326748701477</v>
      </c>
      <c r="F140" s="568">
        <v>105.40787083822532</v>
      </c>
      <c r="G140" s="568">
        <v>145.52211493749112</v>
      </c>
      <c r="H140" s="568">
        <v>119.90970769579815</v>
      </c>
      <c r="I140" s="568">
        <v>68.008223169087074</v>
      </c>
      <c r="J140" s="568">
        <v>116.17253932071871</v>
      </c>
      <c r="K140" s="568">
        <v>207.34449388388006</v>
      </c>
      <c r="L140" s="568">
        <v>149.9448110491148</v>
      </c>
      <c r="M140" s="568">
        <v>111.61378387123726</v>
      </c>
      <c r="N140" s="568">
        <v>138.56511844749005</v>
      </c>
      <c r="O140" s="568">
        <v>81.929331863887583</v>
      </c>
      <c r="P140" s="568">
        <v>86.60985429289282</v>
      </c>
    </row>
    <row r="141" spans="1:16">
      <c r="A141" s="40" t="s">
        <v>27</v>
      </c>
      <c r="B141" s="568">
        <v>147.14699357702111</v>
      </c>
      <c r="C141" s="568">
        <v>127.86593543924977</v>
      </c>
      <c r="D141" s="568">
        <v>143.88500275432571</v>
      </c>
      <c r="E141" s="568">
        <v>137.28261846243868</v>
      </c>
      <c r="F141" s="568">
        <v>99.275523842348122</v>
      </c>
      <c r="G141" s="568">
        <v>147.93231854190827</v>
      </c>
      <c r="H141" s="568">
        <v>118.87040853053416</v>
      </c>
      <c r="I141" s="568">
        <v>67.928994462692529</v>
      </c>
      <c r="J141" s="568">
        <v>117.56824526576355</v>
      </c>
      <c r="K141" s="568">
        <v>207.87661709609876</v>
      </c>
      <c r="L141" s="568">
        <v>148.35464361167536</v>
      </c>
      <c r="M141" s="568">
        <v>111.836328263868</v>
      </c>
      <c r="N141" s="568">
        <v>135.45135502691767</v>
      </c>
      <c r="O141" s="568">
        <v>79.354194437679993</v>
      </c>
      <c r="P141" s="568">
        <v>86.458533462601096</v>
      </c>
    </row>
    <row r="142" spans="1:16">
      <c r="A142" s="40" t="s">
        <v>28</v>
      </c>
      <c r="B142" s="568">
        <v>147.4012764204472</v>
      </c>
      <c r="C142" s="568">
        <v>133.8173908649303</v>
      </c>
      <c r="D142" s="568">
        <v>145.2509054769572</v>
      </c>
      <c r="E142" s="568">
        <v>134.06181832190703</v>
      </c>
      <c r="F142" s="568">
        <v>101.50402605694875</v>
      </c>
      <c r="G142" s="568">
        <v>154.48405746150596</v>
      </c>
      <c r="H142" s="568">
        <v>119.35015549222661</v>
      </c>
      <c r="I142" s="568">
        <v>67.563952253991957</v>
      </c>
      <c r="J142" s="568">
        <v>124.88434134757946</v>
      </c>
      <c r="K142" s="568">
        <v>212.8550834907015</v>
      </c>
      <c r="L142" s="568">
        <v>149.83866897967056</v>
      </c>
      <c r="M142" s="568">
        <v>112.35355079100816</v>
      </c>
      <c r="N142" s="568">
        <v>138.23753936758655</v>
      </c>
      <c r="O142" s="568">
        <v>79.954547025550056</v>
      </c>
      <c r="P142" s="568">
        <v>90.130747132063547</v>
      </c>
    </row>
    <row r="143" spans="1:16">
      <c r="A143" s="40" t="s">
        <v>29</v>
      </c>
      <c r="B143" s="568">
        <v>131.59658371589262</v>
      </c>
      <c r="C143" s="568">
        <v>117.85695349624335</v>
      </c>
      <c r="D143" s="568">
        <v>131.36294499968116</v>
      </c>
      <c r="E143" s="568">
        <v>121.15999585195038</v>
      </c>
      <c r="F143" s="568">
        <v>95.046461667172565</v>
      </c>
      <c r="G143" s="568">
        <v>136.76818156885668</v>
      </c>
      <c r="H143" s="568">
        <v>107.07368309795059</v>
      </c>
      <c r="I143" s="568">
        <v>59.554057062598297</v>
      </c>
      <c r="J143" s="568">
        <v>118.00410662195424</v>
      </c>
      <c r="K143" s="568">
        <v>188.73560921755848</v>
      </c>
      <c r="L143" s="568">
        <v>133.46862179120586</v>
      </c>
      <c r="M143" s="568">
        <v>101.03563825029545</v>
      </c>
      <c r="N143" s="568">
        <v>125.3447571977662</v>
      </c>
      <c r="O143" s="568">
        <v>72.45060060655814</v>
      </c>
      <c r="P143" s="568">
        <v>79.6010596899239</v>
      </c>
    </row>
    <row r="144" spans="1:16">
      <c r="A144" s="40" t="s">
        <v>1879</v>
      </c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8"/>
      <c r="O144" s="718"/>
      <c r="P144" s="718"/>
    </row>
    <row r="145" spans="1:16">
      <c r="A145" s="40" t="s">
        <v>18</v>
      </c>
      <c r="B145" s="568">
        <v>108.19711027464722</v>
      </c>
      <c r="C145" s="568">
        <v>98.509749723726387</v>
      </c>
      <c r="D145" s="568">
        <v>112.90402422863133</v>
      </c>
      <c r="E145" s="568">
        <v>100.51544920591355</v>
      </c>
      <c r="F145" s="568">
        <v>84.908459479813061</v>
      </c>
      <c r="G145" s="568">
        <v>116.02582533390586</v>
      </c>
      <c r="H145" s="568">
        <v>88.604242924717838</v>
      </c>
      <c r="I145" s="568">
        <v>48.969917929015402</v>
      </c>
      <c r="J145" s="568">
        <v>106.57381866848969</v>
      </c>
      <c r="K145" s="568">
        <v>151.89650541698151</v>
      </c>
      <c r="L145" s="568">
        <v>112.20950532352457</v>
      </c>
      <c r="M145" s="568">
        <v>84.077515463719337</v>
      </c>
      <c r="N145" s="568">
        <v>109.83578544420398</v>
      </c>
      <c r="O145" s="568">
        <v>60.961276702800149</v>
      </c>
      <c r="P145" s="568">
        <v>66.472343422519685</v>
      </c>
    </row>
    <row r="146" spans="1:16">
      <c r="A146" s="40" t="s">
        <v>19</v>
      </c>
      <c r="B146" s="568">
        <v>109.52063264397091</v>
      </c>
      <c r="C146" s="568">
        <v>97.157715296775038</v>
      </c>
      <c r="D146" s="568">
        <v>114.86085648459799</v>
      </c>
      <c r="E146" s="568">
        <v>99.675938200764861</v>
      </c>
      <c r="F146" s="568">
        <v>85.646331258707946</v>
      </c>
      <c r="G146" s="568">
        <v>127.84378090351356</v>
      </c>
      <c r="H146" s="568">
        <v>91.247678007952814</v>
      </c>
      <c r="I146" s="568">
        <v>49.474798202863632</v>
      </c>
      <c r="J146" s="568">
        <v>105.83880033109006</v>
      </c>
      <c r="K146" s="568">
        <v>148.16220429055255</v>
      </c>
      <c r="L146" s="568">
        <v>112.65063851380178</v>
      </c>
      <c r="M146" s="568">
        <v>83.196528940280317</v>
      </c>
      <c r="N146" s="568">
        <v>117.62562774914439</v>
      </c>
      <c r="O146" s="568">
        <v>62.212927216845003</v>
      </c>
      <c r="P146" s="568">
        <v>66.097273570606646</v>
      </c>
    </row>
    <row r="147" spans="1:16">
      <c r="A147" s="40" t="s">
        <v>20</v>
      </c>
      <c r="B147" s="568">
        <v>107.78861299493825</v>
      </c>
      <c r="C147" s="568">
        <v>94.347456309216085</v>
      </c>
      <c r="D147" s="568">
        <v>113.03455982274532</v>
      </c>
      <c r="E147" s="568">
        <v>96.136339289338764</v>
      </c>
      <c r="F147" s="568">
        <v>76.442419483947319</v>
      </c>
      <c r="G147" s="568">
        <v>124.31436024681229</v>
      </c>
      <c r="H147" s="568">
        <v>86.216906712378005</v>
      </c>
      <c r="I147" s="568">
        <v>48.397394629331927</v>
      </c>
      <c r="J147" s="568">
        <v>99.602673986443648</v>
      </c>
      <c r="K147" s="568">
        <v>143.50091442044351</v>
      </c>
      <c r="L147" s="568">
        <v>110.04688535347577</v>
      </c>
      <c r="M147" s="568">
        <v>81.622603061819376</v>
      </c>
      <c r="N147" s="568">
        <v>109.66698276727362</v>
      </c>
      <c r="O147" s="568">
        <v>59.694080597621749</v>
      </c>
      <c r="P147" s="568">
        <v>64.234872515671299</v>
      </c>
    </row>
    <row r="148" spans="1:16">
      <c r="A148" s="40" t="s">
        <v>21</v>
      </c>
      <c r="B148" s="568">
        <v>113.71615750110769</v>
      </c>
      <c r="C148" s="568">
        <v>98.222023768412839</v>
      </c>
      <c r="D148" s="568">
        <v>119.53393214499503</v>
      </c>
      <c r="E148" s="568">
        <v>99.511285665533435</v>
      </c>
      <c r="F148" s="568">
        <v>76.680180903633328</v>
      </c>
      <c r="G148" s="568">
        <v>123.88828363982671</v>
      </c>
      <c r="H148" s="568">
        <v>87.388701502309615</v>
      </c>
      <c r="I148" s="568">
        <v>51.10318573376663</v>
      </c>
      <c r="J148" s="568">
        <v>102.35470009793976</v>
      </c>
      <c r="K148" s="568">
        <v>147.61788953377425</v>
      </c>
      <c r="L148" s="568">
        <v>113.29061712336943</v>
      </c>
      <c r="M148" s="568">
        <v>86.398526548111221</v>
      </c>
      <c r="N148" s="568">
        <v>110.81683960388096</v>
      </c>
      <c r="O148" s="568">
        <v>61.215435503826235</v>
      </c>
      <c r="P148" s="568">
        <v>66.698813909885899</v>
      </c>
    </row>
    <row r="149" spans="1:16">
      <c r="A149" s="40" t="s">
        <v>22</v>
      </c>
      <c r="B149" s="568">
        <v>114.39784626082935</v>
      </c>
      <c r="C149" s="568">
        <v>98.860018127207681</v>
      </c>
      <c r="D149" s="568">
        <v>118.18331729945048</v>
      </c>
      <c r="E149" s="568">
        <v>103.32455007893415</v>
      </c>
      <c r="F149" s="568">
        <v>75.970444506156213</v>
      </c>
      <c r="G149" s="568">
        <v>122.73735927962271</v>
      </c>
      <c r="H149" s="568">
        <v>85.476573598063581</v>
      </c>
      <c r="I149" s="568">
        <v>51.13612393458515</v>
      </c>
      <c r="J149" s="568">
        <v>101.52570935260657</v>
      </c>
      <c r="K149" s="568">
        <v>147.41140665929862</v>
      </c>
      <c r="L149" s="568">
        <v>114.94693263041648</v>
      </c>
      <c r="M149" s="568">
        <v>88.182309676519722</v>
      </c>
      <c r="N149" s="568">
        <v>108.88594899280787</v>
      </c>
      <c r="O149" s="568">
        <v>63.078417461555119</v>
      </c>
      <c r="P149" s="568">
        <v>68.023794002685833</v>
      </c>
    </row>
    <row r="150" spans="1:16">
      <c r="A150" s="40" t="s">
        <v>23</v>
      </c>
      <c r="B150" s="568">
        <v>112.61262547422035</v>
      </c>
      <c r="C150" s="568">
        <v>98.226796548286245</v>
      </c>
      <c r="D150" s="568">
        <v>119.38382024828006</v>
      </c>
      <c r="E150" s="568">
        <v>100.95413913933152</v>
      </c>
      <c r="F150" s="568">
        <v>74.241278592562793</v>
      </c>
      <c r="G150" s="568">
        <v>120.14942739721214</v>
      </c>
      <c r="H150" s="568">
        <v>84.938172380399223</v>
      </c>
      <c r="I150" s="568">
        <v>50.073175264716859</v>
      </c>
      <c r="J150" s="568">
        <v>100.88944582264371</v>
      </c>
      <c r="K150" s="568">
        <v>140.95876528912274</v>
      </c>
      <c r="L150" s="568">
        <v>114.60726046258456</v>
      </c>
      <c r="M150" s="568">
        <v>87.911962696337781</v>
      </c>
      <c r="N150" s="568">
        <v>109.30828464198312</v>
      </c>
      <c r="O150" s="568">
        <v>62.03422223285024</v>
      </c>
      <c r="P150" s="568">
        <v>66.562883816197242</v>
      </c>
    </row>
    <row r="151" spans="1:16">
      <c r="A151" s="40" t="s">
        <v>24</v>
      </c>
      <c r="B151" s="568">
        <v>109.09696421281356</v>
      </c>
      <c r="C151" s="568">
        <v>96.866001181961707</v>
      </c>
      <c r="D151" s="568">
        <v>124.27930531806372</v>
      </c>
      <c r="E151" s="568">
        <v>97.826774332275903</v>
      </c>
      <c r="F151" s="568">
        <v>70.296295607311578</v>
      </c>
      <c r="G151" s="568">
        <v>115.84310674033844</v>
      </c>
      <c r="H151" s="568">
        <v>88.389086805190985</v>
      </c>
      <c r="I151" s="568">
        <v>48.418349554263266</v>
      </c>
      <c r="J151" s="568">
        <v>98.49445691482137</v>
      </c>
      <c r="K151" s="568">
        <v>135.10030365810562</v>
      </c>
      <c r="L151" s="568">
        <v>110.36099473222856</v>
      </c>
      <c r="M151" s="568">
        <v>86.081114009713644</v>
      </c>
      <c r="N151" s="568">
        <v>105.82635205829919</v>
      </c>
      <c r="O151" s="568">
        <v>58.484937647340146</v>
      </c>
      <c r="P151" s="568">
        <v>65.420844004114969</v>
      </c>
    </row>
    <row r="152" spans="1:16">
      <c r="A152" s="40" t="s">
        <v>25</v>
      </c>
      <c r="B152" s="568">
        <v>105.91544398042134</v>
      </c>
      <c r="C152" s="568">
        <v>92.987848335595075</v>
      </c>
      <c r="D152" s="568">
        <v>121.37248700923341</v>
      </c>
      <c r="E152" s="568">
        <v>95.517340546634273</v>
      </c>
      <c r="F152" s="568">
        <v>69.005529091109423</v>
      </c>
      <c r="G152" s="568">
        <v>114.28492213378229</v>
      </c>
      <c r="H152" s="568">
        <v>84.740128827845425</v>
      </c>
      <c r="I152" s="568">
        <v>47.280868951976466</v>
      </c>
      <c r="J152" s="568">
        <v>96.37526421853066</v>
      </c>
      <c r="K152" s="568">
        <v>128.04729040159495</v>
      </c>
      <c r="L152" s="568">
        <v>106.02595794960399</v>
      </c>
      <c r="M152" s="568">
        <v>83.348145180487151</v>
      </c>
      <c r="N152" s="568">
        <v>101.22477075525602</v>
      </c>
      <c r="O152" s="568">
        <v>55.505704625956199</v>
      </c>
      <c r="P152" s="568">
        <v>63.005686639845415</v>
      </c>
    </row>
    <row r="153" spans="1:16">
      <c r="A153" s="40" t="s">
        <v>26</v>
      </c>
      <c r="B153" s="568">
        <v>106.49789104880956</v>
      </c>
      <c r="C153" s="568">
        <v>93.372405312946924</v>
      </c>
      <c r="D153" s="568">
        <v>121.51646397952773</v>
      </c>
      <c r="E153" s="568">
        <v>96.20007647149869</v>
      </c>
      <c r="F153" s="568">
        <v>69.019497934649266</v>
      </c>
      <c r="G153" s="568">
        <v>118.54035459497084</v>
      </c>
      <c r="H153" s="568">
        <v>84.892769263369175</v>
      </c>
      <c r="I153" s="568">
        <v>53.854041403108937</v>
      </c>
      <c r="J153" s="568">
        <v>95.49801881763446</v>
      </c>
      <c r="K153" s="568">
        <v>129.87532375935334</v>
      </c>
      <c r="L153" s="568">
        <v>106.17711086523178</v>
      </c>
      <c r="M153" s="568">
        <v>83.767115022000667</v>
      </c>
      <c r="N153" s="568">
        <v>100.78361720122354</v>
      </c>
      <c r="O153" s="568">
        <v>55.498934465244147</v>
      </c>
      <c r="P153" s="568">
        <v>63.790269046574366</v>
      </c>
    </row>
    <row r="154" spans="1:16">
      <c r="A154" s="40" t="s">
        <v>27</v>
      </c>
      <c r="B154" s="568">
        <v>109.04188775054986</v>
      </c>
      <c r="C154" s="568">
        <v>97.362554871392291</v>
      </c>
      <c r="D154" s="568">
        <v>132.96608401903597</v>
      </c>
      <c r="E154" s="568">
        <v>101.01311061171708</v>
      </c>
      <c r="F154" s="568">
        <v>68.639248210867777</v>
      </c>
      <c r="G154" s="568">
        <v>116.17452629141162</v>
      </c>
      <c r="H154" s="568">
        <v>88.701797121998624</v>
      </c>
      <c r="I154" s="568">
        <v>55.253112224505394</v>
      </c>
      <c r="J154" s="568">
        <v>95.766997500610302</v>
      </c>
      <c r="K154" s="568">
        <v>134.92866749994278</v>
      </c>
      <c r="L154" s="568">
        <v>110.36673842654947</v>
      </c>
      <c r="M154" s="568">
        <v>86.878879174169271</v>
      </c>
      <c r="N154" s="568">
        <v>101.00721404049018</v>
      </c>
      <c r="O154" s="568">
        <v>57.937051476119471</v>
      </c>
      <c r="P154" s="568">
        <v>66.333125434820573</v>
      </c>
    </row>
    <row r="155" spans="1:16">
      <c r="A155" s="40" t="s">
        <v>28</v>
      </c>
      <c r="B155" s="568">
        <v>105.38255559253646</v>
      </c>
      <c r="C155" s="568">
        <v>96.404558100834294</v>
      </c>
      <c r="D155" s="568">
        <v>127.80846667026307</v>
      </c>
      <c r="E155" s="568">
        <v>104.15185986336741</v>
      </c>
      <c r="F155" s="568">
        <v>67.99400995344034</v>
      </c>
      <c r="G155" s="568">
        <v>110.3488347318106</v>
      </c>
      <c r="H155" s="568">
        <v>89.370697024368852</v>
      </c>
      <c r="I155" s="568">
        <v>53.053490428759204</v>
      </c>
      <c r="J155" s="568">
        <v>93.603179924075519</v>
      </c>
      <c r="K155" s="568">
        <v>136.25286447477328</v>
      </c>
      <c r="L155" s="568">
        <v>108.10100292174981</v>
      </c>
      <c r="M155" s="568">
        <v>85.504372958422422</v>
      </c>
      <c r="N155" s="568">
        <v>98.187074728694967</v>
      </c>
      <c r="O155" s="568">
        <v>57.979366750902592</v>
      </c>
      <c r="P155" s="568">
        <v>65.004157231860106</v>
      </c>
    </row>
    <row r="156" spans="1:16">
      <c r="A156" s="40" t="s">
        <v>29</v>
      </c>
      <c r="B156" s="568">
        <v>104.67811203499782</v>
      </c>
      <c r="C156" s="568">
        <v>97.841576538407651</v>
      </c>
      <c r="D156" s="568">
        <v>126.35048183626742</v>
      </c>
      <c r="E156" s="568">
        <v>108.72758433038318</v>
      </c>
      <c r="F156" s="568">
        <v>65.065126576192355</v>
      </c>
      <c r="G156" s="568">
        <v>111.03669857050758</v>
      </c>
      <c r="H156" s="568">
        <v>94.462394993045493</v>
      </c>
      <c r="I156" s="568">
        <v>53.579175024015321</v>
      </c>
      <c r="J156" s="568">
        <v>90.832503946983508</v>
      </c>
      <c r="K156" s="568">
        <v>145.90148409350743</v>
      </c>
      <c r="L156" s="568">
        <v>107.30851305752027</v>
      </c>
      <c r="M156" s="568">
        <v>86.020881501711756</v>
      </c>
      <c r="N156" s="568">
        <v>98.743528767075091</v>
      </c>
      <c r="O156" s="568">
        <v>58.754806724060387</v>
      </c>
      <c r="P156" s="568">
        <v>66.387877458941873</v>
      </c>
    </row>
    <row r="157" spans="1:16">
      <c r="A157" s="40" t="s">
        <v>1942</v>
      </c>
      <c r="B157" s="568"/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</row>
    <row r="158" spans="1:16">
      <c r="A158" s="40" t="s">
        <v>18</v>
      </c>
      <c r="B158" s="568">
        <v>102.4847617935728</v>
      </c>
      <c r="C158" s="568">
        <v>96.388438249612477</v>
      </c>
      <c r="D158" s="568">
        <v>126.459750541598</v>
      </c>
      <c r="E158" s="568">
        <v>111.51688378479903</v>
      </c>
      <c r="F158" s="568">
        <v>61.302228741485848</v>
      </c>
      <c r="G158" s="568">
        <v>112.20827888017472</v>
      </c>
      <c r="H158" s="568">
        <v>92.124282849486136</v>
      </c>
      <c r="I158" s="568">
        <v>56.757643434551639</v>
      </c>
      <c r="J158" s="568">
        <v>88.000128300103754</v>
      </c>
      <c r="K158" s="568">
        <v>142.2719875477776</v>
      </c>
      <c r="L158" s="568">
        <v>105.62508923596742</v>
      </c>
      <c r="M158" s="568">
        <v>83.501976405938478</v>
      </c>
      <c r="N158" s="568">
        <v>95.730406871322614</v>
      </c>
      <c r="O158" s="568">
        <v>57.236055507600206</v>
      </c>
      <c r="P158" s="568">
        <v>64.65006472650299</v>
      </c>
    </row>
    <row r="159" spans="1:16">
      <c r="A159" s="40" t="s">
        <v>19</v>
      </c>
      <c r="B159" s="568">
        <v>105.87006159055881</v>
      </c>
      <c r="C159" s="568">
        <v>99.032154228514841</v>
      </c>
      <c r="D159" s="568">
        <v>128.11965929715868</v>
      </c>
      <c r="E159" s="568">
        <v>112.46817051930891</v>
      </c>
      <c r="F159" s="568">
        <v>61.889723704696443</v>
      </c>
      <c r="G159" s="568">
        <v>114.33988107543914</v>
      </c>
      <c r="H159" s="568">
        <v>91.639975616374599</v>
      </c>
      <c r="I159" s="568">
        <v>56.804318995215255</v>
      </c>
      <c r="J159" s="568">
        <v>87.131807568387472</v>
      </c>
      <c r="K159" s="568">
        <v>144.86062750739771</v>
      </c>
      <c r="L159" s="568">
        <v>106.73407186452779</v>
      </c>
      <c r="M159" s="568">
        <v>86.217818085696393</v>
      </c>
      <c r="N159" s="568">
        <v>95.790426602724835</v>
      </c>
      <c r="O159" s="568">
        <v>57.076833128435545</v>
      </c>
      <c r="P159" s="568">
        <v>65.996347287220743</v>
      </c>
    </row>
    <row r="160" spans="1:16">
      <c r="A160" s="40" t="s">
        <v>20</v>
      </c>
      <c r="B160" s="568">
        <v>111.1095133178178</v>
      </c>
      <c r="C160" s="568">
        <v>102.58462285524348</v>
      </c>
      <c r="D160" s="568">
        <v>135.62553984036794</v>
      </c>
      <c r="E160" s="568">
        <v>116.68523046057649</v>
      </c>
      <c r="F160" s="568">
        <v>64.274978223949759</v>
      </c>
      <c r="G160" s="568">
        <v>117.29388577612411</v>
      </c>
      <c r="H160" s="568">
        <v>90.362669816482651</v>
      </c>
      <c r="I160" s="568">
        <v>57.094594817303133</v>
      </c>
      <c r="J160" s="568">
        <v>89.69450515431825</v>
      </c>
      <c r="K160" s="568">
        <v>152.30420035991372</v>
      </c>
      <c r="L160" s="568">
        <v>109.00792624436963</v>
      </c>
      <c r="M160" s="568">
        <v>90.74076929013431</v>
      </c>
      <c r="N160" s="568">
        <v>100.0935913852876</v>
      </c>
      <c r="O160" s="568">
        <v>59.500695349312572</v>
      </c>
      <c r="P160" s="568">
        <v>69.09911959273694</v>
      </c>
    </row>
    <row r="161" spans="1:16">
      <c r="A161" s="40" t="s">
        <v>21</v>
      </c>
      <c r="B161" s="568">
        <v>113.00444188718959</v>
      </c>
      <c r="C161" s="568">
        <v>103.84400278205671</v>
      </c>
      <c r="D161" s="568">
        <v>134.22155953306043</v>
      </c>
      <c r="E161" s="568">
        <v>116.59632159014895</v>
      </c>
      <c r="F161" s="568">
        <v>63.437892834781707</v>
      </c>
      <c r="G161" s="568">
        <v>117.79702404911887</v>
      </c>
      <c r="H161" s="568">
        <v>89.794125579531652</v>
      </c>
      <c r="I161" s="568">
        <v>55.548129308552035</v>
      </c>
      <c r="J161" s="568">
        <v>89.9110400542571</v>
      </c>
      <c r="K161" s="568">
        <v>150.45678242155375</v>
      </c>
      <c r="L161" s="568">
        <v>110.79543794488123</v>
      </c>
      <c r="M161" s="568">
        <v>92.341813069654904</v>
      </c>
      <c r="N161" s="568">
        <v>100.38044082794377</v>
      </c>
      <c r="O161" s="568">
        <v>60.392898499857573</v>
      </c>
      <c r="P161" s="568">
        <v>70.126627889305169</v>
      </c>
    </row>
    <row r="162" spans="1:16">
      <c r="A162" s="40" t="s">
        <v>22</v>
      </c>
      <c r="B162" s="568">
        <v>113.5718206293114</v>
      </c>
      <c r="C162" s="568">
        <v>101.22525226357713</v>
      </c>
      <c r="D162" s="568">
        <v>131.20468510759275</v>
      </c>
      <c r="E162" s="568">
        <v>113.87477771059345</v>
      </c>
      <c r="F162" s="568">
        <v>64.285212982799152</v>
      </c>
      <c r="G162" s="568">
        <v>114.9009621769859</v>
      </c>
      <c r="H162" s="568">
        <v>90.640152481035898</v>
      </c>
      <c r="I162" s="568">
        <v>56.850027757722067</v>
      </c>
      <c r="J162" s="568">
        <v>90.297712331772516</v>
      </c>
      <c r="K162" s="568">
        <v>153.85651037664604</v>
      </c>
      <c r="L162" s="568">
        <v>109.09708815745775</v>
      </c>
      <c r="M162" s="568">
        <v>92.761465464426379</v>
      </c>
      <c r="N162" s="568">
        <v>99.914459540048568</v>
      </c>
      <c r="O162" s="568">
        <v>60.201917822022949</v>
      </c>
      <c r="P162" s="568">
        <v>69.288510211295318</v>
      </c>
    </row>
    <row r="163" spans="1:16">
      <c r="A163" s="40" t="s">
        <v>23</v>
      </c>
      <c r="B163" s="568">
        <v>112.40587240126635</v>
      </c>
      <c r="C163" s="568">
        <v>98.674932772944146</v>
      </c>
      <c r="D163" s="568">
        <v>131.19210866140816</v>
      </c>
      <c r="E163" s="568">
        <v>111.48055530832008</v>
      </c>
      <c r="F163" s="568">
        <v>64.011341846231602</v>
      </c>
      <c r="G163" s="568">
        <v>110.74566341065611</v>
      </c>
      <c r="H163" s="568">
        <v>89.678033006987064</v>
      </c>
      <c r="I163" s="568">
        <v>55.950149862457117</v>
      </c>
      <c r="J163" s="568">
        <v>90.363103280810776</v>
      </c>
      <c r="K163" s="568">
        <v>150.52973963435943</v>
      </c>
      <c r="L163" s="568">
        <v>106.95871131024242</v>
      </c>
      <c r="M163" s="568">
        <v>90.983991239752754</v>
      </c>
      <c r="N163" s="568">
        <v>99.346383730529666</v>
      </c>
      <c r="O163" s="568">
        <v>59.858502986873553</v>
      </c>
      <c r="P163" s="568">
        <v>67.409025243960983</v>
      </c>
    </row>
    <row r="164" spans="1:16">
      <c r="A164" s="40" t="s">
        <v>24</v>
      </c>
      <c r="B164" s="568">
        <v>112.44871332304334</v>
      </c>
      <c r="C164" s="568">
        <v>96.689148552701411</v>
      </c>
      <c r="D164" s="568">
        <v>129.40559051410364</v>
      </c>
      <c r="E164" s="568">
        <v>112.63865385032315</v>
      </c>
      <c r="F164" s="568">
        <v>65.966763936792063</v>
      </c>
      <c r="G164" s="568">
        <v>110.10145520163991</v>
      </c>
      <c r="H164" s="568">
        <v>90.055422280785351</v>
      </c>
      <c r="I164" s="568">
        <v>54.886139918738557</v>
      </c>
      <c r="J164" s="568">
        <v>92.226329794013068</v>
      </c>
      <c r="K164" s="568">
        <v>152.78000113673642</v>
      </c>
      <c r="L164" s="568">
        <v>107.40470664983228</v>
      </c>
      <c r="M164" s="568">
        <v>90.671104079394041</v>
      </c>
      <c r="N164" s="568">
        <v>102.80951360805565</v>
      </c>
      <c r="O164" s="568">
        <v>59.992930243361776</v>
      </c>
      <c r="P164" s="568">
        <v>67.086501542356331</v>
      </c>
    </row>
    <row r="165" spans="1:16">
      <c r="A165" s="40" t="s">
        <v>25</v>
      </c>
      <c r="B165" s="568">
        <v>112.28449511520881</v>
      </c>
      <c r="C165" s="568">
        <v>94.255244430967153</v>
      </c>
      <c r="D165" s="568">
        <v>129.24625971646691</v>
      </c>
      <c r="E165" s="568">
        <v>110.94245449949349</v>
      </c>
      <c r="F165" s="568">
        <v>66.457344715645689</v>
      </c>
      <c r="G165" s="568">
        <v>109.02621463761328</v>
      </c>
      <c r="H165" s="568">
        <v>90.069857454800058</v>
      </c>
      <c r="I165" s="568">
        <v>56.47673972594783</v>
      </c>
      <c r="J165" s="568">
        <v>94.585614807137716</v>
      </c>
      <c r="K165" s="568">
        <v>149.24364911323335</v>
      </c>
      <c r="L165" s="568">
        <v>109.04761979741177</v>
      </c>
      <c r="M165" s="568">
        <v>89.155522218438193</v>
      </c>
      <c r="N165" s="568">
        <v>103.25078096932062</v>
      </c>
      <c r="O165" s="568">
        <v>59.709292600144529</v>
      </c>
      <c r="P165" s="568">
        <v>67.578276830070209</v>
      </c>
    </row>
    <row r="166" spans="1:16">
      <c r="A166" s="40" t="s">
        <v>26</v>
      </c>
      <c r="B166" s="568">
        <v>112.54496984943626</v>
      </c>
      <c r="C166" s="568">
        <v>93.681431437463473</v>
      </c>
      <c r="D166" s="568">
        <v>126.68229622954892</v>
      </c>
      <c r="E166" s="568">
        <v>109.57717093311221</v>
      </c>
      <c r="F166" s="568">
        <v>65.004347062612766</v>
      </c>
      <c r="G166" s="568">
        <v>109.45010612450049</v>
      </c>
      <c r="H166" s="568">
        <v>92.466371731844163</v>
      </c>
      <c r="I166" s="568">
        <v>56.46981489369157</v>
      </c>
      <c r="J166" s="568">
        <v>96.598607875981045</v>
      </c>
      <c r="K166" s="568">
        <v>151.5413671327253</v>
      </c>
      <c r="L166" s="568">
        <v>107.81615484467419</v>
      </c>
      <c r="M166" s="568">
        <v>87.856677201032184</v>
      </c>
      <c r="N166" s="568">
        <v>103.5371481502353</v>
      </c>
      <c r="O166" s="568">
        <v>60.105337530668358</v>
      </c>
      <c r="P166" s="568">
        <v>67.732001161059884</v>
      </c>
    </row>
    <row r="167" spans="1:16">
      <c r="A167" s="40" t="s">
        <v>27</v>
      </c>
      <c r="B167" s="568">
        <v>113.70965576242379</v>
      </c>
      <c r="C167" s="568">
        <v>95.951799777437188</v>
      </c>
      <c r="D167" s="568">
        <v>128.88371988833177</v>
      </c>
      <c r="E167" s="568">
        <v>114.94616769502423</v>
      </c>
      <c r="F167" s="568">
        <v>65.554684228397051</v>
      </c>
      <c r="G167" s="568">
        <v>111.76922952180493</v>
      </c>
      <c r="H167" s="568">
        <v>93.947961693336822</v>
      </c>
      <c r="I167" s="568">
        <v>57.803813358920955</v>
      </c>
      <c r="J167" s="568">
        <v>96.011169999940478</v>
      </c>
      <c r="K167" s="568">
        <v>156.50365731104904</v>
      </c>
      <c r="L167" s="568">
        <v>107.96065133559522</v>
      </c>
      <c r="M167" s="568">
        <v>89.563605706366445</v>
      </c>
      <c r="N167" s="568">
        <v>104.89178618316384</v>
      </c>
      <c r="O167" s="568">
        <v>60.989985986727795</v>
      </c>
      <c r="P167" s="568">
        <v>69.817480079074528</v>
      </c>
    </row>
    <row r="168" spans="1:16">
      <c r="A168" s="40" t="s">
        <v>28</v>
      </c>
      <c r="B168" s="568">
        <v>113.57377244862489</v>
      </c>
      <c r="C168" s="568">
        <v>96.237055983871684</v>
      </c>
      <c r="D168" s="568">
        <v>128.48195261197742</v>
      </c>
      <c r="E168" s="568">
        <v>119.92112924263763</v>
      </c>
      <c r="F168" s="568">
        <v>66.939324820566483</v>
      </c>
      <c r="G168" s="568">
        <v>111.24687525527641</v>
      </c>
      <c r="H168" s="568">
        <v>99.583110929470564</v>
      </c>
      <c r="I168" s="568">
        <v>59.81632329711578</v>
      </c>
      <c r="J168" s="568">
        <v>94.058649878495928</v>
      </c>
      <c r="K168" s="568">
        <v>155.52705375610313</v>
      </c>
      <c r="L168" s="568">
        <v>108.66037500761544</v>
      </c>
      <c r="M168" s="568">
        <v>89.650281438773959</v>
      </c>
      <c r="N168" s="568">
        <v>106.14445480479775</v>
      </c>
      <c r="O168" s="568">
        <v>59.850185192723373</v>
      </c>
      <c r="P168" s="568">
        <v>70.746745460325315</v>
      </c>
    </row>
    <row r="169" spans="1:16">
      <c r="A169" s="40" t="s">
        <v>29</v>
      </c>
      <c r="B169" s="568">
        <v>113.87743833467901</v>
      </c>
      <c r="C169" s="568">
        <v>95.491957890219012</v>
      </c>
      <c r="D169" s="568">
        <v>126.6974701060211</v>
      </c>
      <c r="E169" s="568">
        <v>118.59933180106827</v>
      </c>
      <c r="F169" s="568">
        <v>66.561080396470501</v>
      </c>
      <c r="G169" s="568">
        <v>114.01818095911493</v>
      </c>
      <c r="H169" s="568">
        <v>97.020719542964997</v>
      </c>
      <c r="I169" s="568">
        <v>60.66343412072343</v>
      </c>
      <c r="J169" s="568">
        <v>94.149020461111576</v>
      </c>
      <c r="K169" s="568">
        <v>156.0452441698371</v>
      </c>
      <c r="L169" s="568">
        <v>108.59532244724416</v>
      </c>
      <c r="M169" s="568">
        <v>89.400067706407555</v>
      </c>
      <c r="N169" s="568">
        <v>107.50292395181251</v>
      </c>
      <c r="O169" s="568">
        <v>58.899680718035306</v>
      </c>
      <c r="P169" s="568">
        <v>70.76025669667419</v>
      </c>
    </row>
    <row r="170" spans="1:16">
      <c r="A170" s="40" t="s">
        <v>2078</v>
      </c>
      <c r="B170" s="718"/>
      <c r="C170" s="718"/>
      <c r="D170" s="718"/>
      <c r="E170" s="718"/>
      <c r="F170" s="718"/>
      <c r="G170" s="718"/>
      <c r="H170" s="718"/>
      <c r="I170" s="718"/>
      <c r="J170" s="718"/>
      <c r="K170" s="718"/>
      <c r="L170" s="718"/>
      <c r="M170" s="718"/>
      <c r="N170" s="718"/>
      <c r="O170" s="718"/>
      <c r="P170" s="718"/>
    </row>
    <row r="171" spans="1:16">
      <c r="A171" s="40" t="s">
        <v>18</v>
      </c>
      <c r="B171" s="568">
        <v>113.32582532859135</v>
      </c>
      <c r="C171" s="568">
        <v>93.679481623519436</v>
      </c>
      <c r="D171" s="568">
        <v>123.97831813991407</v>
      </c>
      <c r="E171" s="568">
        <v>115.14973071860186</v>
      </c>
      <c r="F171" s="568">
        <v>64.173428345413427</v>
      </c>
      <c r="G171" s="568">
        <v>116.09670620056299</v>
      </c>
      <c r="H171" s="568">
        <v>94.065846325074403</v>
      </c>
      <c r="I171" s="568">
        <v>61.728219655731962</v>
      </c>
      <c r="J171" s="568">
        <v>91.68735826220842</v>
      </c>
      <c r="K171" s="568">
        <v>152.92878696728064</v>
      </c>
      <c r="L171" s="568">
        <v>106.7512407735767</v>
      </c>
      <c r="M171" s="568">
        <v>86.665871595702569</v>
      </c>
      <c r="N171" s="568">
        <v>105.53174854011337</v>
      </c>
      <c r="O171" s="568">
        <v>57.711368303339086</v>
      </c>
      <c r="P171" s="568">
        <v>69.085061163197594</v>
      </c>
    </row>
    <row r="172" spans="1:16">
      <c r="A172" s="40" t="s">
        <v>19</v>
      </c>
      <c r="B172" s="568">
        <v>113.27451089724421</v>
      </c>
      <c r="C172" s="568">
        <v>92.191814739015669</v>
      </c>
      <c r="D172" s="568">
        <v>121.59035405416969</v>
      </c>
      <c r="E172" s="568">
        <v>114.83215971642116</v>
      </c>
      <c r="F172" s="568">
        <v>64.302899141088787</v>
      </c>
      <c r="G172" s="568">
        <v>110.03320362651904</v>
      </c>
      <c r="H172" s="568">
        <v>90.883937955997339</v>
      </c>
      <c r="I172" s="568">
        <v>66.684163354912357</v>
      </c>
      <c r="J172" s="568">
        <v>89.806422382329416</v>
      </c>
      <c r="K172" s="568">
        <v>148.55368191362609</v>
      </c>
      <c r="L172" s="568">
        <v>108.95390336627665</v>
      </c>
      <c r="M172" s="568">
        <v>84.25966520140372</v>
      </c>
      <c r="N172" s="568">
        <v>104.07360421943623</v>
      </c>
      <c r="O172" s="568">
        <v>58.03356282758088</v>
      </c>
      <c r="P172" s="568">
        <v>66.762020598626066</v>
      </c>
    </row>
    <row r="173" spans="1:16">
      <c r="A173" s="40" t="s">
        <v>20</v>
      </c>
      <c r="B173" s="568">
        <v>113.62771293947434</v>
      </c>
      <c r="C173" s="568">
        <v>91.866470019727259</v>
      </c>
      <c r="D173" s="568">
        <v>122.5854791282584</v>
      </c>
      <c r="E173" s="568">
        <v>116.90336628354434</v>
      </c>
      <c r="F173" s="568">
        <v>64.640363393228284</v>
      </c>
      <c r="G173" s="568">
        <v>105.83292262719087</v>
      </c>
      <c r="H173" s="568">
        <v>90.79187754807694</v>
      </c>
      <c r="I173" s="568">
        <v>65.696358197310801</v>
      </c>
      <c r="J173" s="568">
        <v>89.303413428397164</v>
      </c>
      <c r="K173" s="568">
        <v>146.94882013374948</v>
      </c>
      <c r="L173" s="568">
        <v>107.91902775276965</v>
      </c>
      <c r="M173" s="568">
        <v>85.455496465560117</v>
      </c>
      <c r="N173" s="568">
        <v>102.54260594943472</v>
      </c>
      <c r="O173" s="568">
        <v>57.783445197720091</v>
      </c>
      <c r="P173" s="568">
        <v>67.739763352379725</v>
      </c>
    </row>
    <row r="174" spans="1:16">
      <c r="A174" s="40" t="s">
        <v>21</v>
      </c>
      <c r="B174" s="568">
        <v>113.17076441761074</v>
      </c>
      <c r="C174" s="568">
        <v>91.702456280546869</v>
      </c>
      <c r="D174" s="568">
        <v>120.46050296347197</v>
      </c>
      <c r="E174" s="568">
        <v>119.74231352745502</v>
      </c>
      <c r="F174" s="568">
        <v>67.930514745913655</v>
      </c>
      <c r="G174" s="568">
        <v>103.94639708607761</v>
      </c>
      <c r="H174" s="568">
        <v>90.086740449421143</v>
      </c>
      <c r="I174" s="568">
        <v>66.499823654209024</v>
      </c>
      <c r="J174" s="568">
        <v>89.865239688098413</v>
      </c>
      <c r="K174" s="568">
        <v>149.3913895123207</v>
      </c>
      <c r="L174" s="568">
        <v>109.47103866355718</v>
      </c>
      <c r="M174" s="568">
        <v>85.088034375111476</v>
      </c>
      <c r="N174" s="568">
        <v>104.15899013957349</v>
      </c>
      <c r="O174" s="568">
        <v>57.463522086193819</v>
      </c>
      <c r="P174" s="568">
        <v>68.865227139498245</v>
      </c>
    </row>
    <row r="175" spans="1:16">
      <c r="A175" s="40" t="s">
        <v>22</v>
      </c>
      <c r="B175" s="568">
        <v>112.90785834094011</v>
      </c>
      <c r="C175" s="568">
        <v>94.590003776483286</v>
      </c>
      <c r="D175" s="568">
        <v>125.18745101458633</v>
      </c>
      <c r="E175" s="568">
        <v>127.87976014327478</v>
      </c>
      <c r="F175" s="568">
        <v>69.727298760889283</v>
      </c>
      <c r="G175" s="568">
        <v>104.04589362431439</v>
      </c>
      <c r="H175" s="568">
        <v>91.159295967284294</v>
      </c>
      <c r="I175" s="568">
        <v>59.579569920214645</v>
      </c>
      <c r="J175" s="568">
        <v>90.560719518362035</v>
      </c>
      <c r="K175" s="568">
        <v>152.11332041813719</v>
      </c>
      <c r="L175" s="568">
        <v>110.58001369685604</v>
      </c>
      <c r="M175" s="568">
        <v>86.172066628882916</v>
      </c>
      <c r="N175" s="568">
        <v>104.821769631772</v>
      </c>
      <c r="O175" s="568">
        <v>57.810258349844723</v>
      </c>
      <c r="P175" s="568">
        <v>70.67432814735507</v>
      </c>
    </row>
    <row r="176" spans="1:16">
      <c r="A176" s="40" t="s">
        <v>23</v>
      </c>
      <c r="B176" s="568">
        <v>112.05265463079866</v>
      </c>
      <c r="C176" s="568">
        <v>94.901143655323551</v>
      </c>
      <c r="D176" s="568">
        <v>126.04909170030975</v>
      </c>
      <c r="E176" s="568">
        <v>129.64280935537954</v>
      </c>
      <c r="F176" s="568">
        <v>69.438853863397867</v>
      </c>
      <c r="G176" s="568">
        <v>103.47337808566594</v>
      </c>
      <c r="H176" s="568">
        <v>91.285071491597535</v>
      </c>
      <c r="I176" s="568">
        <v>57.162521135430687</v>
      </c>
      <c r="J176" s="568">
        <v>91.971471435249185</v>
      </c>
      <c r="K176" s="568">
        <v>151.34225340043207</v>
      </c>
      <c r="L176" s="568">
        <v>109.94911855428899</v>
      </c>
      <c r="M176" s="568">
        <v>86.843374107359153</v>
      </c>
      <c r="N176" s="568">
        <v>103.4769422929715</v>
      </c>
      <c r="O176" s="568">
        <v>58.25526953694196</v>
      </c>
      <c r="P176" s="568">
        <v>69.523959594832462</v>
      </c>
    </row>
    <row r="177" spans="1:16">
      <c r="A177" s="40" t="s">
        <v>24</v>
      </c>
      <c r="B177" s="568">
        <v>111.1680674736634</v>
      </c>
      <c r="C177" s="568">
        <v>94.903508804352001</v>
      </c>
      <c r="D177" s="568">
        <v>126.73944667956043</v>
      </c>
      <c r="E177" s="568">
        <v>132.35925355891305</v>
      </c>
      <c r="F177" s="568">
        <v>69.057388494083469</v>
      </c>
      <c r="G177" s="568">
        <v>104.37436814321759</v>
      </c>
      <c r="H177" s="568">
        <v>90.615005659889107</v>
      </c>
      <c r="I177" s="568">
        <v>56.38042657426675</v>
      </c>
      <c r="J177" s="568">
        <v>93.580866105771563</v>
      </c>
      <c r="K177" s="568">
        <v>151.99661367291702</v>
      </c>
      <c r="L177" s="568">
        <v>110.73871199046424</v>
      </c>
      <c r="M177" s="568">
        <v>89.551775895095602</v>
      </c>
      <c r="N177" s="568">
        <v>102.10239583502386</v>
      </c>
      <c r="O177" s="568">
        <v>59.565526876892065</v>
      </c>
      <c r="P177" s="568">
        <v>69.764207821409002</v>
      </c>
    </row>
    <row r="178" spans="1:16">
      <c r="A178" s="40" t="s">
        <v>25</v>
      </c>
      <c r="B178" s="568">
        <v>111.90421675821905</v>
      </c>
      <c r="C178" s="568">
        <v>96.728186849665235</v>
      </c>
      <c r="D178" s="568">
        <v>129.84175009073462</v>
      </c>
      <c r="E178" s="568">
        <v>158.77580347442273</v>
      </c>
      <c r="F178" s="568">
        <v>73.316167207613987</v>
      </c>
      <c r="G178" s="568">
        <v>109.58546713364447</v>
      </c>
      <c r="H178" s="568">
        <v>93.75062741519838</v>
      </c>
      <c r="I178" s="568">
        <v>52.733732274884211</v>
      </c>
      <c r="J178" s="568">
        <v>97.599016936697751</v>
      </c>
      <c r="K178" s="568">
        <v>152.02475094590056</v>
      </c>
      <c r="L178" s="568">
        <v>112.35597909604881</v>
      </c>
      <c r="M178" s="568">
        <v>91.580659186058583</v>
      </c>
      <c r="N178" s="568">
        <v>105.64401397153154</v>
      </c>
      <c r="O178" s="568">
        <v>59.737916260133964</v>
      </c>
      <c r="P178" s="568">
        <v>70.014490154450797</v>
      </c>
    </row>
    <row r="179" spans="1:16">
      <c r="A179" s="40" t="s">
        <v>26</v>
      </c>
      <c r="B179" s="568">
        <v>112.07021799986701</v>
      </c>
      <c r="C179" s="568">
        <v>95.433001516992832</v>
      </c>
      <c r="D179" s="568">
        <v>128.12349278828412</v>
      </c>
      <c r="E179" s="568">
        <v>163.55964425141946</v>
      </c>
      <c r="F179" s="568">
        <v>74.955782727672471</v>
      </c>
      <c r="G179" s="568">
        <v>110.56515502563934</v>
      </c>
      <c r="H179" s="568">
        <v>96.755210874896278</v>
      </c>
      <c r="I179" s="568">
        <v>49.364464741408781</v>
      </c>
      <c r="J179" s="568">
        <v>100.28096394500717</v>
      </c>
      <c r="K179" s="568">
        <v>153.59750751854509</v>
      </c>
      <c r="L179" s="568">
        <v>110.05598036992687</v>
      </c>
      <c r="M179" s="568">
        <v>91.201960302416751</v>
      </c>
      <c r="N179" s="568">
        <v>108.91906729894534</v>
      </c>
      <c r="O179" s="568">
        <v>59.296349126078468</v>
      </c>
      <c r="P179" s="568">
        <v>68.502031804524066</v>
      </c>
    </row>
    <row r="180" spans="1:16">
      <c r="A180" s="40" t="s">
        <v>27</v>
      </c>
      <c r="B180" s="568">
        <v>111.91770238881554</v>
      </c>
      <c r="C180" s="568">
        <v>96.845354315554019</v>
      </c>
      <c r="D180" s="568">
        <v>128.62767399384421</v>
      </c>
      <c r="E180" s="568">
        <v>146.91813067021246</v>
      </c>
      <c r="F180" s="568">
        <v>72.890120169892455</v>
      </c>
      <c r="G180" s="568">
        <v>108.62525675333831</v>
      </c>
      <c r="H180" s="568">
        <v>98.557948493271866</v>
      </c>
      <c r="I180" s="568">
        <v>47.270723543028808</v>
      </c>
      <c r="J180" s="568">
        <v>99.99481003510202</v>
      </c>
      <c r="K180" s="568">
        <v>154.75156633173606</v>
      </c>
      <c r="L180" s="568">
        <v>111.9846948847689</v>
      </c>
      <c r="M180" s="568">
        <v>92.04166798127757</v>
      </c>
      <c r="N180" s="568">
        <v>109.05329653287804</v>
      </c>
      <c r="O180" s="568">
        <v>60.234297478849925</v>
      </c>
      <c r="P180" s="568">
        <v>70.323315796199068</v>
      </c>
    </row>
    <row r="181" spans="1:16">
      <c r="A181" s="40" t="s">
        <v>28</v>
      </c>
      <c r="B181" s="568">
        <v>112.56849431520182</v>
      </c>
      <c r="C181" s="568">
        <v>98.551575487341722</v>
      </c>
      <c r="D181" s="568">
        <v>130.02898171444278</v>
      </c>
      <c r="E181" s="568">
        <v>138.21852213120457</v>
      </c>
      <c r="F181" s="568">
        <v>73.314479982587713</v>
      </c>
      <c r="G181" s="568">
        <v>106.99365124519589</v>
      </c>
      <c r="H181" s="568">
        <v>99.903813173663295</v>
      </c>
      <c r="I181" s="568">
        <v>45.937776601372001</v>
      </c>
      <c r="J181" s="568">
        <v>100.5012009006231</v>
      </c>
      <c r="K181" s="568">
        <v>156.65120035602672</v>
      </c>
      <c r="L181" s="568">
        <v>114.46087478123846</v>
      </c>
      <c r="M181" s="568">
        <v>93.183097019350384</v>
      </c>
      <c r="N181" s="568">
        <v>108.86278941686413</v>
      </c>
      <c r="O181" s="568">
        <v>60.704294785192161</v>
      </c>
      <c r="P181" s="568">
        <v>71.483650190947131</v>
      </c>
    </row>
    <row r="182" spans="1:16">
      <c r="A182" s="40" t="s">
        <v>29</v>
      </c>
      <c r="B182" s="568">
        <v>113.45292460013883</v>
      </c>
      <c r="C182" s="568">
        <v>99.277098860665234</v>
      </c>
      <c r="D182" s="568">
        <v>133.42260830335013</v>
      </c>
      <c r="E182" s="568">
        <v>138.13369285231022</v>
      </c>
      <c r="F182" s="568">
        <v>74.504370285985345</v>
      </c>
      <c r="G182" s="568">
        <v>106.32402249486393</v>
      </c>
      <c r="H182" s="568">
        <v>99.076632056434761</v>
      </c>
      <c r="I182" s="568">
        <v>46.915623146740955</v>
      </c>
      <c r="J182" s="568">
        <v>101.19696371928852</v>
      </c>
      <c r="K182" s="568">
        <v>156.73127970302576</v>
      </c>
      <c r="L182" s="568">
        <v>117.19758863743058</v>
      </c>
      <c r="M182" s="568">
        <v>93.131426337689106</v>
      </c>
      <c r="N182" s="568">
        <v>109.44134411467931</v>
      </c>
      <c r="O182" s="568">
        <v>61.144678228482306</v>
      </c>
      <c r="P182" s="568">
        <v>71.595687758578947</v>
      </c>
    </row>
    <row r="183" spans="1:16">
      <c r="A183" s="40" t="s">
        <v>2171</v>
      </c>
      <c r="B183" s="718"/>
      <c r="C183" s="718"/>
      <c r="D183" s="718"/>
      <c r="E183" s="718"/>
      <c r="F183" s="718"/>
      <c r="G183" s="718"/>
      <c r="H183" s="718"/>
      <c r="I183" s="718"/>
      <c r="J183" s="718"/>
      <c r="K183" s="718"/>
      <c r="L183" s="718"/>
      <c r="M183" s="718"/>
      <c r="N183" s="718"/>
      <c r="O183" s="718"/>
      <c r="P183" s="718"/>
    </row>
    <row r="184" spans="1:16">
      <c r="A184" s="40" t="s">
        <v>18</v>
      </c>
      <c r="B184" s="568">
        <v>113.66916405917989</v>
      </c>
      <c r="C184" s="568">
        <v>100.22111136802776</v>
      </c>
      <c r="D184" s="568">
        <v>132.57785824235236</v>
      </c>
      <c r="E184" s="568">
        <v>138.41331184887304</v>
      </c>
      <c r="F184" s="568">
        <v>73.455208985372749</v>
      </c>
      <c r="G184" s="568">
        <v>105.92789648909957</v>
      </c>
      <c r="H184" s="568">
        <v>97.9088845496142</v>
      </c>
      <c r="I184" s="568">
        <v>46.058517485440419</v>
      </c>
      <c r="J184" s="568">
        <v>102.36058146838859</v>
      </c>
      <c r="K184" s="568">
        <v>152.02189226272694</v>
      </c>
      <c r="L184" s="568">
        <v>115.71790971026024</v>
      </c>
      <c r="M184" s="568">
        <v>92.012799084619431</v>
      </c>
      <c r="N184" s="568">
        <v>109.92831129215011</v>
      </c>
      <c r="O184" s="568">
        <v>61.249637728343778</v>
      </c>
      <c r="P184" s="568">
        <v>71.738610659208462</v>
      </c>
    </row>
    <row r="185" spans="1:16">
      <c r="A185" s="40" t="s">
        <v>19</v>
      </c>
      <c r="B185" s="568">
        <v>114.08195533009503</v>
      </c>
      <c r="C185" s="568">
        <v>101.09721320396928</v>
      </c>
      <c r="D185" s="568">
        <v>131.51794275333293</v>
      </c>
      <c r="E185" s="568">
        <v>136.56225415714812</v>
      </c>
      <c r="F185" s="568">
        <v>72.337904077815423</v>
      </c>
      <c r="G185" s="568">
        <v>103.37882403063514</v>
      </c>
      <c r="H185" s="568">
        <v>97.646677180119624</v>
      </c>
      <c r="I185" s="568">
        <v>45.32214122079921</v>
      </c>
      <c r="J185" s="568">
        <v>102.65399235458645</v>
      </c>
      <c r="K185" s="568">
        <v>154.58786801561638</v>
      </c>
      <c r="L185" s="568">
        <v>114.15077459419234</v>
      </c>
      <c r="M185" s="568">
        <v>90.89125676211323</v>
      </c>
      <c r="N185" s="568">
        <v>109.07886460085079</v>
      </c>
      <c r="O185" s="568">
        <v>61.441243971242599</v>
      </c>
      <c r="P185" s="568">
        <v>72.755342505393784</v>
      </c>
    </row>
    <row r="186" spans="1:16">
      <c r="A186" s="40" t="s">
        <v>20</v>
      </c>
      <c r="B186" s="568">
        <v>114.31694154621331</v>
      </c>
      <c r="C186" s="568">
        <v>101.01829549628472</v>
      </c>
      <c r="D186" s="568">
        <v>129.96044454247274</v>
      </c>
      <c r="E186" s="568">
        <v>140.43834784684944</v>
      </c>
      <c r="F186" s="568">
        <v>71.835320051848498</v>
      </c>
      <c r="G186" s="568">
        <v>101.92186095341216</v>
      </c>
      <c r="H186" s="568">
        <v>98.459722640854835</v>
      </c>
      <c r="I186" s="568">
        <v>43.877172663524647</v>
      </c>
      <c r="J186" s="568">
        <v>102.74517897566422</v>
      </c>
      <c r="K186" s="568">
        <v>157.1468561654132</v>
      </c>
      <c r="L186" s="568">
        <v>113.89561507138342</v>
      </c>
      <c r="M186" s="568">
        <v>91.433399088021645</v>
      </c>
      <c r="N186" s="568">
        <v>107.91287356042994</v>
      </c>
      <c r="O186" s="568">
        <v>62.407035284043047</v>
      </c>
      <c r="P186" s="568">
        <v>72.839595469672787</v>
      </c>
    </row>
    <row r="187" spans="1:16">
      <c r="A187" s="40" t="s">
        <v>21</v>
      </c>
      <c r="B187" s="568">
        <v>114.41259542073327</v>
      </c>
      <c r="C187" s="568">
        <v>101.38066361383945</v>
      </c>
      <c r="D187" s="568">
        <v>131.46189064130442</v>
      </c>
      <c r="E187" s="568">
        <v>146.73509804495353</v>
      </c>
      <c r="F187" s="568">
        <v>71.227618241652266</v>
      </c>
      <c r="G187" s="568">
        <v>101.05337447582848</v>
      </c>
      <c r="H187" s="568">
        <v>99.035716999899904</v>
      </c>
      <c r="I187" s="568">
        <v>42.568830367205507</v>
      </c>
      <c r="J187" s="568">
        <v>103.11830476545835</v>
      </c>
      <c r="K187" s="568">
        <v>157.99268060666739</v>
      </c>
      <c r="L187" s="568">
        <v>113.40649537854519</v>
      </c>
      <c r="M187" s="568">
        <v>91.739588660632947</v>
      </c>
      <c r="N187" s="568">
        <v>107.70846875569983</v>
      </c>
      <c r="O187" s="568">
        <v>63.028493529896075</v>
      </c>
      <c r="P187" s="568">
        <v>73.440675583411888</v>
      </c>
    </row>
    <row r="188" spans="1:16">
      <c r="A188" s="40" t="s">
        <v>22</v>
      </c>
      <c r="B188" s="568">
        <v>113.80593012005328</v>
      </c>
      <c r="C188" s="568">
        <v>101.22104162211616</v>
      </c>
      <c r="D188" s="568">
        <v>132.20104156164683</v>
      </c>
      <c r="E188" s="568">
        <v>152.20896717287135</v>
      </c>
      <c r="F188" s="568">
        <v>71.069848353481191</v>
      </c>
      <c r="G188" s="568">
        <v>98.332786631597628</v>
      </c>
      <c r="H188" s="568">
        <v>99.955386473385786</v>
      </c>
      <c r="I188" s="568">
        <v>41.124631416829942</v>
      </c>
      <c r="J188" s="568">
        <v>102.25081144004552</v>
      </c>
      <c r="K188" s="568">
        <v>155.09251023125583</v>
      </c>
      <c r="L188" s="568">
        <v>111.96877140082742</v>
      </c>
      <c r="M188" s="568">
        <v>93.132447082732725</v>
      </c>
      <c r="N188" s="568">
        <v>105.88705434701355</v>
      </c>
      <c r="O188" s="568">
        <v>64.813580513287263</v>
      </c>
      <c r="P188" s="568">
        <v>73.159783216198292</v>
      </c>
    </row>
    <row r="189" spans="1:16">
      <c r="A189" s="40" t="s">
        <v>23</v>
      </c>
      <c r="B189" s="568">
        <v>113.16121838900084</v>
      </c>
      <c r="C189" s="568">
        <v>99.734849529534785</v>
      </c>
      <c r="D189" s="568">
        <v>133.56839907737765</v>
      </c>
      <c r="E189" s="568">
        <v>145.55988038757621</v>
      </c>
      <c r="F189" s="568">
        <v>69.881524228258854</v>
      </c>
      <c r="G189" s="568">
        <v>98.793258241536037</v>
      </c>
      <c r="H189" s="568">
        <v>101.51821185599709</v>
      </c>
      <c r="I189" s="568">
        <v>40.604902549336039</v>
      </c>
      <c r="J189" s="568">
        <v>102.03750727068368</v>
      </c>
      <c r="K189" s="568">
        <v>151.47986452760014</v>
      </c>
      <c r="L189" s="568">
        <v>112.32440141392902</v>
      </c>
      <c r="M189" s="568">
        <v>93.471537045642719</v>
      </c>
      <c r="N189" s="568">
        <v>104.18283150830166</v>
      </c>
      <c r="O189" s="568">
        <v>64.157573099928342</v>
      </c>
      <c r="P189" s="568">
        <v>71.198833773906358</v>
      </c>
    </row>
    <row r="190" spans="1:16">
      <c r="A190" s="40" t="s">
        <v>24</v>
      </c>
      <c r="B190" s="568">
        <v>112.88401740482036</v>
      </c>
      <c r="C190" s="568">
        <v>100.75318912678351</v>
      </c>
      <c r="D190" s="568">
        <v>135.5704065237469</v>
      </c>
      <c r="E190" s="568">
        <v>140.02582554604206</v>
      </c>
      <c r="F190" s="568">
        <v>68.698430440648337</v>
      </c>
      <c r="G190" s="568">
        <v>96.524420282176692</v>
      </c>
      <c r="H190" s="568">
        <v>104.77853997265201</v>
      </c>
      <c r="I190" s="568">
        <v>39.541922288032815</v>
      </c>
      <c r="J190" s="568">
        <v>102.39011234591997</v>
      </c>
      <c r="K190" s="568">
        <v>151.61701076551404</v>
      </c>
      <c r="L190" s="568">
        <v>111.12118708927073</v>
      </c>
      <c r="M190" s="568">
        <v>92.879993880639262</v>
      </c>
      <c r="N190" s="568">
        <v>102.37843223899205</v>
      </c>
      <c r="O190" s="568">
        <v>64.52523343845607</v>
      </c>
      <c r="P190" s="568">
        <v>71.488320195482842</v>
      </c>
    </row>
    <row r="191" spans="1:16">
      <c r="A191" s="40" t="s">
        <v>25</v>
      </c>
      <c r="B191" s="568">
        <v>112.41068163837735</v>
      </c>
      <c r="C191" s="568">
        <v>101.27771386888313</v>
      </c>
      <c r="D191" s="568">
        <v>138.93955231815795</v>
      </c>
      <c r="E191" s="568">
        <v>137.41075145068456</v>
      </c>
      <c r="F191" s="568">
        <v>71.256945778776739</v>
      </c>
      <c r="G191" s="568">
        <v>94.620970533245185</v>
      </c>
      <c r="H191" s="568">
        <v>105.94647293528054</v>
      </c>
      <c r="I191" s="568">
        <v>39.235248162244595</v>
      </c>
      <c r="J191" s="568">
        <v>102.60656044790865</v>
      </c>
      <c r="K191" s="568">
        <v>148.61277077269048</v>
      </c>
      <c r="L191" s="568">
        <v>109.43274145427041</v>
      </c>
      <c r="M191" s="568">
        <v>94.29322902062404</v>
      </c>
      <c r="N191" s="568">
        <v>103.09029252169988</v>
      </c>
      <c r="O191" s="568">
        <v>65.997719473517748</v>
      </c>
      <c r="P191" s="568">
        <v>70.761256455097154</v>
      </c>
    </row>
    <row r="192" spans="1:16">
      <c r="A192" s="40" t="s">
        <v>26</v>
      </c>
      <c r="B192" s="568">
        <v>112.68787784462047</v>
      </c>
      <c r="C192" s="568">
        <v>102.36550338371276</v>
      </c>
      <c r="D192" s="568">
        <v>137.03004078424499</v>
      </c>
      <c r="E192" s="568">
        <v>138.4841790255071</v>
      </c>
      <c r="F192" s="568">
        <v>70.963673218715215</v>
      </c>
      <c r="G192" s="568">
        <v>92.293111023437092</v>
      </c>
      <c r="H192" s="568">
        <v>105.88845679155339</v>
      </c>
      <c r="I192" s="568">
        <v>39.582521560107985</v>
      </c>
      <c r="J192" s="568">
        <v>102.56977496197466</v>
      </c>
      <c r="K192" s="568">
        <v>150.66244193100619</v>
      </c>
      <c r="L192" s="568">
        <v>110.37595821807058</v>
      </c>
      <c r="M192" s="568">
        <v>94.661517951044146</v>
      </c>
      <c r="N192" s="568">
        <v>104.13545816339708</v>
      </c>
      <c r="O192" s="568">
        <v>65.188733111105378</v>
      </c>
      <c r="P192" s="568">
        <v>71.811839623614603</v>
      </c>
    </row>
    <row r="193" spans="1:16">
      <c r="A193" s="40" t="s">
        <v>27</v>
      </c>
      <c r="B193" s="568">
        <v>112.93166367307946</v>
      </c>
      <c r="C193" s="568">
        <v>102.34211228983057</v>
      </c>
      <c r="D193" s="568">
        <v>134.92405812258053</v>
      </c>
      <c r="E193" s="568">
        <v>138.10750912158019</v>
      </c>
      <c r="F193" s="568">
        <v>70.44209546684047</v>
      </c>
      <c r="G193" s="568">
        <v>92.2830637584957</v>
      </c>
      <c r="H193" s="568">
        <v>105.54749344699002</v>
      </c>
      <c r="I193" s="568">
        <v>39.038480520121183</v>
      </c>
      <c r="J193" s="568">
        <v>102.38295716750891</v>
      </c>
      <c r="K193" s="568">
        <v>152.21784806449847</v>
      </c>
      <c r="L193" s="568">
        <v>110.2463437576215</v>
      </c>
      <c r="M193" s="568">
        <v>93.940735850779262</v>
      </c>
      <c r="N193" s="568">
        <v>102.98192487556312</v>
      </c>
      <c r="O193" s="568">
        <v>64.709207872748053</v>
      </c>
      <c r="P193" s="568">
        <v>72.499314416830728</v>
      </c>
    </row>
    <row r="194" spans="1:16">
      <c r="A194" s="40" t="s">
        <v>28</v>
      </c>
      <c r="B194" s="568">
        <v>113.22902964946837</v>
      </c>
      <c r="C194" s="568">
        <v>103.04640801382934</v>
      </c>
      <c r="D194" s="568">
        <v>132.49816080330427</v>
      </c>
      <c r="E194" s="568">
        <v>137.03072483033503</v>
      </c>
      <c r="F194" s="568">
        <v>70.047645560243723</v>
      </c>
      <c r="G194" s="568">
        <v>91.041769180969638</v>
      </c>
      <c r="H194" s="568">
        <v>105.20822198644906</v>
      </c>
      <c r="I194" s="568">
        <v>38.613936256533918</v>
      </c>
      <c r="J194" s="568">
        <v>102.14285195050839</v>
      </c>
      <c r="K194" s="568">
        <v>153.58144317968495</v>
      </c>
      <c r="L194" s="568">
        <v>110.25751599002908</v>
      </c>
      <c r="M194" s="568">
        <v>92.997187964797689</v>
      </c>
      <c r="N194" s="568">
        <v>103.14273342148661</v>
      </c>
      <c r="O194" s="568">
        <v>64.538994506239888</v>
      </c>
      <c r="P194" s="568">
        <v>72.791546377106741</v>
      </c>
    </row>
    <row r="195" spans="1:16">
      <c r="A195" s="40" t="s">
        <v>29</v>
      </c>
      <c r="B195" s="568">
        <v>113.60914232707721</v>
      </c>
      <c r="C195" s="568">
        <v>102.75373058300623</v>
      </c>
      <c r="D195" s="568">
        <v>130.91289442556044</v>
      </c>
      <c r="E195" s="568">
        <v>139.35971827964232</v>
      </c>
      <c r="F195" s="568">
        <v>69.109255095431962</v>
      </c>
      <c r="G195" s="568">
        <v>88.960992363676198</v>
      </c>
      <c r="H195" s="568">
        <v>102.83740596403908</v>
      </c>
      <c r="I195" s="568">
        <v>37.619161263469366</v>
      </c>
      <c r="J195" s="568">
        <v>101.45621167143926</v>
      </c>
      <c r="K195" s="568">
        <v>154.82287370106062</v>
      </c>
      <c r="L195" s="568">
        <v>110.46108437548355</v>
      </c>
      <c r="M195" s="568">
        <v>93.429964098866037</v>
      </c>
      <c r="N195" s="568">
        <v>105.79416916830264</v>
      </c>
      <c r="O195" s="568">
        <v>65.033969368386479</v>
      </c>
      <c r="P195" s="568">
        <v>72.54069564297032</v>
      </c>
    </row>
    <row r="196" spans="1:16" s="95" customFormat="1">
      <c r="A196" s="384" t="s">
        <v>2407</v>
      </c>
      <c r="B196" s="718"/>
      <c r="C196" s="1537"/>
      <c r="D196" s="1537"/>
      <c r="E196" s="1537"/>
      <c r="F196" s="1537"/>
      <c r="G196" s="1537"/>
      <c r="H196" s="1537"/>
      <c r="I196" s="1537"/>
      <c r="J196" s="1537"/>
      <c r="K196" s="1537"/>
      <c r="L196" s="1537"/>
      <c r="M196" s="1537"/>
      <c r="N196" s="1537"/>
      <c r="O196" s="1537"/>
      <c r="P196" s="718"/>
    </row>
    <row r="197" spans="1:16">
      <c r="A197" s="40" t="s">
        <v>18</v>
      </c>
      <c r="B197" s="568">
        <v>114.13809242029191</v>
      </c>
      <c r="C197" s="568">
        <v>104.39413051449033</v>
      </c>
      <c r="D197" s="568">
        <v>132.40755485642126</v>
      </c>
      <c r="E197" s="568">
        <v>139.92381451610925</v>
      </c>
      <c r="F197" s="568">
        <v>68.078089362584507</v>
      </c>
      <c r="G197" s="568">
        <v>91.347565521641954</v>
      </c>
      <c r="H197" s="568">
        <v>102.07014027679362</v>
      </c>
      <c r="I197" s="568">
        <v>37.522324048829944</v>
      </c>
      <c r="J197" s="568">
        <v>99.578097546254327</v>
      </c>
      <c r="K197" s="568">
        <v>156.0627353636348</v>
      </c>
      <c r="L197" s="568">
        <v>111.02882787096705</v>
      </c>
      <c r="M197" s="568">
        <v>91.424016742651759</v>
      </c>
      <c r="N197" s="568">
        <v>105.93482447225395</v>
      </c>
      <c r="O197" s="568">
        <v>64.486517765170035</v>
      </c>
      <c r="P197" s="568">
        <v>72.108846972374252</v>
      </c>
    </row>
    <row r="198" spans="1:16">
      <c r="A198" s="40" t="s">
        <v>19</v>
      </c>
      <c r="B198" s="568">
        <v>114.82968442645208</v>
      </c>
      <c r="C198" s="568">
        <v>106.90143530204361</v>
      </c>
      <c r="D198" s="568">
        <v>133.89786276780973</v>
      </c>
      <c r="E198" s="568">
        <v>143.66516755993732</v>
      </c>
      <c r="F198" s="568">
        <v>70.621627726726757</v>
      </c>
      <c r="G198" s="568">
        <v>93.802896487510367</v>
      </c>
      <c r="H198" s="568">
        <v>101.35478882433225</v>
      </c>
      <c r="I198" s="568">
        <v>37.385844089845406</v>
      </c>
      <c r="J198" s="568">
        <v>99.683546990156501</v>
      </c>
      <c r="K198" s="568">
        <v>158.14053827533291</v>
      </c>
      <c r="L198" s="568">
        <v>111.05302874110164</v>
      </c>
      <c r="M198" s="568">
        <v>92.252624765850499</v>
      </c>
      <c r="N198" s="568">
        <v>109.27274609810131</v>
      </c>
      <c r="O198" s="568">
        <v>66.657078281851824</v>
      </c>
      <c r="P198" s="568">
        <v>72.995769409759575</v>
      </c>
    </row>
    <row r="199" spans="1:16">
      <c r="A199" s="40" t="s">
        <v>20</v>
      </c>
      <c r="B199" s="568">
        <v>116.41800170398784</v>
      </c>
      <c r="C199" s="568">
        <v>105.93593823843501</v>
      </c>
      <c r="D199" s="568">
        <v>141.81148024345512</v>
      </c>
      <c r="E199" s="568">
        <v>150.80016407480502</v>
      </c>
      <c r="F199" s="568">
        <v>81.782793575190581</v>
      </c>
      <c r="G199" s="568">
        <v>100.72459914400912</v>
      </c>
      <c r="H199" s="568">
        <v>108.80411767473171</v>
      </c>
      <c r="I199" s="568">
        <v>37.20532562296173</v>
      </c>
      <c r="J199" s="568">
        <v>109.49298135883966</v>
      </c>
      <c r="K199" s="568">
        <v>156.38957198712021</v>
      </c>
      <c r="L199" s="568">
        <v>116.59456359979517</v>
      </c>
      <c r="M199" s="568">
        <v>94.713422123584238</v>
      </c>
      <c r="N199" s="568">
        <v>120.13006422353106</v>
      </c>
      <c r="O199" s="568">
        <v>68.861122283818261</v>
      </c>
      <c r="P199" s="568">
        <v>72.294158729953836</v>
      </c>
    </row>
    <row r="200" spans="1:16">
      <c r="A200" s="40" t="s">
        <v>21</v>
      </c>
      <c r="B200" s="568">
        <v>117.4571981944343</v>
      </c>
      <c r="C200" s="568">
        <v>107.65617192269839</v>
      </c>
      <c r="D200" s="568">
        <v>141.69742714613659</v>
      </c>
      <c r="E200" s="568">
        <v>161.50354462322994</v>
      </c>
      <c r="F200" s="568">
        <v>82.664583992334769</v>
      </c>
      <c r="G200" s="568">
        <v>103.41886412642062</v>
      </c>
      <c r="H200" s="568">
        <v>112.45438677981818</v>
      </c>
      <c r="I200" s="568">
        <v>36.455302391926431</v>
      </c>
      <c r="J200" s="568">
        <v>113.69294824537589</v>
      </c>
      <c r="K200" s="568">
        <v>156.93983788672492</v>
      </c>
      <c r="L200" s="568">
        <v>116.67001298757015</v>
      </c>
      <c r="M200" s="568">
        <v>96.358191878749736</v>
      </c>
      <c r="N200" s="568">
        <v>124.37809486263417</v>
      </c>
      <c r="O200" s="568">
        <v>69.564376114675014</v>
      </c>
      <c r="P200" s="568">
        <v>73.55236829024436</v>
      </c>
    </row>
    <row r="201" spans="1:16">
      <c r="A201" s="40" t="s">
        <v>22</v>
      </c>
      <c r="B201" s="568">
        <v>116.96788726177581</v>
      </c>
      <c r="C201" s="568">
        <v>106.8648921482132</v>
      </c>
      <c r="D201" s="568">
        <v>142.26241583026692</v>
      </c>
      <c r="E201" s="568">
        <v>160.7136216684226</v>
      </c>
      <c r="F201" s="568">
        <v>79.695336594721397</v>
      </c>
      <c r="G201" s="568">
        <v>100.88913391611693</v>
      </c>
      <c r="H201" s="568">
        <v>112.52305173267722</v>
      </c>
      <c r="I201" s="568">
        <v>35.369087812334953</v>
      </c>
      <c r="J201" s="568">
        <v>108.96843980482129</v>
      </c>
      <c r="K201" s="568">
        <v>155.11117071758198</v>
      </c>
      <c r="L201" s="568">
        <v>114.6949077444544</v>
      </c>
      <c r="M201" s="568">
        <v>96.969102354491511</v>
      </c>
      <c r="N201" s="568">
        <v>120.00913845607018</v>
      </c>
      <c r="O201" s="568">
        <v>69.628830917374444</v>
      </c>
      <c r="P201" s="568">
        <v>73.163160580460456</v>
      </c>
    </row>
    <row r="202" spans="1:16">
      <c r="A202" s="40" t="s">
        <v>23</v>
      </c>
      <c r="B202" s="568">
        <v>115.886701339547</v>
      </c>
      <c r="C202" s="568">
        <v>102.5819966608622</v>
      </c>
      <c r="D202" s="568">
        <v>139.13399547312503</v>
      </c>
      <c r="E202" s="568">
        <v>155.88760679572414</v>
      </c>
      <c r="F202" s="568">
        <v>75.427865426197911</v>
      </c>
      <c r="G202" s="568">
        <v>100.04421512377588</v>
      </c>
      <c r="H202" s="568">
        <v>108.04570905835477</v>
      </c>
      <c r="I202" s="568">
        <v>34.561184923964291</v>
      </c>
      <c r="J202" s="568">
        <v>103.69441072186743</v>
      </c>
      <c r="K202" s="568">
        <v>155.08186216511942</v>
      </c>
      <c r="L202" s="568">
        <v>112.40641413043208</v>
      </c>
      <c r="M202" s="568">
        <v>96.490784063717342</v>
      </c>
      <c r="N202" s="568">
        <v>117.43607310492109</v>
      </c>
      <c r="O202" s="568">
        <v>68.096559049423817</v>
      </c>
      <c r="P202" s="568">
        <v>71.499464639078653</v>
      </c>
    </row>
    <row r="203" spans="1:16">
      <c r="A203" s="40" t="s">
        <v>24</v>
      </c>
      <c r="B203" s="568">
        <v>114.99217614685158</v>
      </c>
      <c r="C203" s="568">
        <v>101.01990387843915</v>
      </c>
      <c r="D203" s="568">
        <v>137.0093459307715</v>
      </c>
      <c r="E203" s="568">
        <v>155.65386639870826</v>
      </c>
      <c r="F203" s="568">
        <v>76.995053085115316</v>
      </c>
      <c r="G203" s="568">
        <v>102.73292453605728</v>
      </c>
      <c r="H203" s="568">
        <v>109.14105175482513</v>
      </c>
      <c r="I203" s="568">
        <v>32.393995482956811</v>
      </c>
      <c r="J203" s="568">
        <v>105.53547261182229</v>
      </c>
      <c r="K203" s="568">
        <v>153.32246195119058</v>
      </c>
      <c r="L203" s="568">
        <v>111.186374715407</v>
      </c>
      <c r="M203" s="568">
        <v>95.588916502011912</v>
      </c>
      <c r="N203" s="568">
        <v>118.26723221160104</v>
      </c>
      <c r="O203" s="568">
        <v>67.465106493346696</v>
      </c>
      <c r="P203" s="568">
        <v>70.285022641183346</v>
      </c>
    </row>
    <row r="204" spans="1:16">
      <c r="A204" s="40" t="s">
        <v>25</v>
      </c>
      <c r="B204" s="568">
        <v>114.32764769976887</v>
      </c>
      <c r="C204" s="568">
        <v>97.843355253810898</v>
      </c>
      <c r="D204" s="568">
        <v>132.14267940941377</v>
      </c>
      <c r="E204" s="568">
        <v>162.76154790437516</v>
      </c>
      <c r="F204" s="568">
        <v>79.433844684830177</v>
      </c>
      <c r="G204" s="568">
        <v>103.51483751145724</v>
      </c>
      <c r="H204" s="568">
        <v>109.30945399188002</v>
      </c>
      <c r="I204" s="568">
        <v>31.23903356468848</v>
      </c>
      <c r="J204" s="568">
        <v>106.32157420064597</v>
      </c>
      <c r="K204" s="568">
        <v>151.96905629839051</v>
      </c>
      <c r="L204" s="568">
        <v>109.85611303133476</v>
      </c>
      <c r="M204" s="568">
        <v>93.059702461176215</v>
      </c>
      <c r="N204" s="568">
        <v>122.06340240383652</v>
      </c>
      <c r="O204" s="568">
        <v>66.197111659645586</v>
      </c>
      <c r="P204" s="568">
        <v>68.235219717272599</v>
      </c>
    </row>
    <row r="205" spans="1:16">
      <c r="A205" s="40" t="s">
        <v>26</v>
      </c>
      <c r="B205" s="568">
        <v>114.22238570967426</v>
      </c>
      <c r="C205" s="568">
        <v>98.216097138133392</v>
      </c>
      <c r="D205" s="568">
        <v>133.36972677138976</v>
      </c>
      <c r="E205" s="568">
        <v>167.42730969350316</v>
      </c>
      <c r="F205" s="568">
        <v>81.871266958397413</v>
      </c>
      <c r="G205" s="568">
        <v>104.91544181797929</v>
      </c>
      <c r="H205" s="568">
        <v>112.03333762935675</v>
      </c>
      <c r="I205" s="568">
        <v>30.197413622852281</v>
      </c>
      <c r="J205" s="568">
        <v>108.25724879366682</v>
      </c>
      <c r="K205" s="568">
        <v>151.71751475772851</v>
      </c>
      <c r="L205" s="568">
        <v>110.73788801191444</v>
      </c>
      <c r="M205" s="568">
        <v>91.369830393065584</v>
      </c>
      <c r="N205" s="568">
        <v>126.6411096043793</v>
      </c>
      <c r="O205" s="568">
        <v>65.289167742588219</v>
      </c>
      <c r="P205" s="568">
        <v>68.600565301732971</v>
      </c>
    </row>
    <row r="206" spans="1:16">
      <c r="A206" s="40" t="s">
        <v>27</v>
      </c>
      <c r="B206" s="568">
        <v>114.29915661764785</v>
      </c>
      <c r="C206" s="568">
        <v>98.501948302690906</v>
      </c>
      <c r="D206" s="568">
        <v>133.62021788150352</v>
      </c>
      <c r="E206" s="568">
        <v>173.02606767111661</v>
      </c>
      <c r="F206" s="568">
        <v>83.571840599866803</v>
      </c>
      <c r="G206" s="568">
        <v>105.31119879530149</v>
      </c>
      <c r="H206" s="568">
        <v>113.04778085640332</v>
      </c>
      <c r="I206" s="568">
        <v>28.258388901745707</v>
      </c>
      <c r="J206" s="568">
        <v>108.05300946280819</v>
      </c>
      <c r="K206" s="568">
        <v>152.02723269141558</v>
      </c>
      <c r="L206" s="568">
        <v>106.97349303161636</v>
      </c>
      <c r="M206" s="568">
        <v>90.584214294434858</v>
      </c>
      <c r="N206" s="568">
        <v>124.7855867414861</v>
      </c>
      <c r="O206" s="568">
        <v>63.957781815989158</v>
      </c>
      <c r="P206" s="568">
        <v>68.639744446937584</v>
      </c>
    </row>
    <row r="207" spans="1:16">
      <c r="A207" s="40" t="s">
        <v>28</v>
      </c>
      <c r="B207" s="568">
        <v>114.63433136574217</v>
      </c>
      <c r="C207" s="568">
        <v>98.7553634831783</v>
      </c>
      <c r="D207" s="568">
        <v>132.08114667061471</v>
      </c>
      <c r="E207" s="568">
        <v>170.75924459179282</v>
      </c>
      <c r="F207" s="568">
        <v>82.723284967787365</v>
      </c>
      <c r="G207" s="568">
        <v>104.44316678413044</v>
      </c>
      <c r="H207" s="568">
        <v>115.82827936424972</v>
      </c>
      <c r="I207" s="568">
        <v>27.003856692713853</v>
      </c>
      <c r="J207" s="568">
        <v>108.44209988591088</v>
      </c>
      <c r="K207" s="568">
        <v>152.0046503594331</v>
      </c>
      <c r="L207" s="568">
        <v>106.6107805822644</v>
      </c>
      <c r="M207" s="568">
        <v>89.999333888254384</v>
      </c>
      <c r="N207" s="568">
        <v>124.36207745594305</v>
      </c>
      <c r="O207" s="568">
        <v>62.725776852063184</v>
      </c>
      <c r="P207" s="568">
        <v>68.914719748088316</v>
      </c>
    </row>
    <row r="208" spans="1:16">
      <c r="A208" s="40" t="s">
        <v>29</v>
      </c>
      <c r="B208" s="568">
        <v>115.31065035326282</v>
      </c>
      <c r="C208" s="568">
        <v>96.43053887301194</v>
      </c>
      <c r="D208" s="568">
        <v>130.26724627088279</v>
      </c>
      <c r="E208" s="568">
        <v>164.80193343533148</v>
      </c>
      <c r="F208" s="568">
        <v>79.577615252392377</v>
      </c>
      <c r="G208" s="568">
        <v>103.67500318191865</v>
      </c>
      <c r="H208" s="568">
        <v>116.869763243824</v>
      </c>
      <c r="I208" s="568">
        <v>26.674312544929602</v>
      </c>
      <c r="J208" s="568">
        <v>105.79150499634845</v>
      </c>
      <c r="K208" s="568">
        <v>152.66207442221142</v>
      </c>
      <c r="L208" s="568">
        <v>103.89657564001676</v>
      </c>
      <c r="M208" s="568">
        <v>89.138506668838602</v>
      </c>
      <c r="N208" s="568">
        <v>122.80797236660827</v>
      </c>
      <c r="O208" s="568">
        <v>61.866052832040751</v>
      </c>
      <c r="P208" s="568">
        <v>67.858679239170968</v>
      </c>
    </row>
    <row r="209" spans="1:16" s="95" customFormat="1">
      <c r="A209" s="717" t="s">
        <v>2583</v>
      </c>
      <c r="B209" s="521"/>
      <c r="C209" s="521"/>
      <c r="D209" s="521"/>
      <c r="E209" s="521"/>
      <c r="F209" s="521"/>
      <c r="G209" s="521"/>
      <c r="H209" s="521"/>
      <c r="I209" s="521"/>
      <c r="J209" s="521"/>
      <c r="K209" s="521"/>
      <c r="L209" s="521"/>
      <c r="M209" s="521"/>
      <c r="N209" s="521"/>
      <c r="O209" s="521"/>
      <c r="P209" s="521"/>
    </row>
    <row r="210" spans="1:16">
      <c r="A210" s="40" t="s">
        <v>18</v>
      </c>
      <c r="B210" s="568">
        <v>116.34533822227306</v>
      </c>
      <c r="C210" s="568">
        <v>97.207171023242438</v>
      </c>
      <c r="D210" s="568">
        <v>130.29332247653056</v>
      </c>
      <c r="E210" s="568">
        <v>156.94318244952149</v>
      </c>
      <c r="F210" s="568">
        <v>80.233276513638671</v>
      </c>
      <c r="G210" s="568">
        <v>103.74992972671058</v>
      </c>
      <c r="H210" s="568">
        <v>117.34988577798016</v>
      </c>
      <c r="I210" s="568">
        <v>26.51252915685636</v>
      </c>
      <c r="J210" s="568">
        <v>106.59206222462645</v>
      </c>
      <c r="K210" s="568">
        <v>153.50516338769162</v>
      </c>
      <c r="L210" s="568">
        <v>104.4484524759833</v>
      </c>
      <c r="M210" s="568">
        <v>88.505966672081371</v>
      </c>
      <c r="N210" s="568">
        <v>123.23382857572595</v>
      </c>
      <c r="O210" s="568">
        <v>62.397880799767684</v>
      </c>
      <c r="P210" s="568">
        <v>68.427605612796242</v>
      </c>
    </row>
    <row r="211" spans="1:16">
      <c r="A211" s="40" t="s">
        <v>19</v>
      </c>
      <c r="B211" s="568">
        <v>117.7720113440426</v>
      </c>
      <c r="C211" s="568">
        <v>99.233233671549115</v>
      </c>
      <c r="D211" s="568">
        <v>130.08810371531803</v>
      </c>
      <c r="E211" s="568">
        <v>151.91716638396667</v>
      </c>
      <c r="F211" s="568">
        <v>81.014445786738136</v>
      </c>
      <c r="G211" s="568">
        <v>103.14434175967789</v>
      </c>
      <c r="H211" s="568">
        <v>118.46340011207812</v>
      </c>
      <c r="I211" s="568">
        <v>26.291607892841075</v>
      </c>
      <c r="J211" s="568">
        <v>106.87512393580607</v>
      </c>
      <c r="K211" s="568">
        <v>158.29369736311921</v>
      </c>
      <c r="L211" s="568">
        <v>107.43218190462771</v>
      </c>
      <c r="M211" s="568">
        <v>89.22451041035923</v>
      </c>
      <c r="N211" s="568">
        <v>124.62514432571359</v>
      </c>
      <c r="O211" s="568">
        <v>63.85320158253684</v>
      </c>
      <c r="P211" s="568">
        <v>70.284105273691495</v>
      </c>
    </row>
    <row r="212" spans="1:16">
      <c r="A212" s="40" t="s">
        <v>20</v>
      </c>
      <c r="B212" s="568">
        <v>118.07206726880143</v>
      </c>
      <c r="C212" s="568">
        <v>100.55673809092605</v>
      </c>
      <c r="D212" s="568">
        <v>130.3868377701304</v>
      </c>
      <c r="E212" s="568">
        <v>160.24559103449607</v>
      </c>
      <c r="F212" s="568">
        <v>80.966007469108334</v>
      </c>
      <c r="G212" s="568">
        <v>101.91321209885162</v>
      </c>
      <c r="H212" s="568">
        <v>115.47999780607368</v>
      </c>
      <c r="I212" s="568">
        <v>26.045296153800908</v>
      </c>
      <c r="J212" s="568">
        <v>107.85177263521499</v>
      </c>
      <c r="K212" s="568">
        <v>164.27656193783878</v>
      </c>
      <c r="L212" s="568">
        <v>108.85045644296963</v>
      </c>
      <c r="M212" s="568">
        <v>90.994335429876998</v>
      </c>
      <c r="N212" s="568">
        <v>124.86419661089845</v>
      </c>
      <c r="O212" s="568">
        <v>65.40090080415834</v>
      </c>
      <c r="P212" s="568">
        <v>73.017675515702877</v>
      </c>
    </row>
    <row r="213" spans="1:16">
      <c r="A213" s="40" t="s">
        <v>21</v>
      </c>
      <c r="B213" s="568">
        <v>117.50112896757827</v>
      </c>
      <c r="C213" s="568">
        <v>100.14288021381128</v>
      </c>
      <c r="D213" s="568">
        <v>130.70815413880425</v>
      </c>
      <c r="E213" s="568">
        <v>172.02586712689026</v>
      </c>
      <c r="F213" s="568">
        <v>82.918409365478581</v>
      </c>
      <c r="G213" s="568">
        <v>102.13974681898952</v>
      </c>
      <c r="H213" s="568">
        <v>118.26958259977671</v>
      </c>
      <c r="I213" s="568">
        <v>25.44388076117437</v>
      </c>
      <c r="J213" s="568">
        <v>110.08041740661916</v>
      </c>
      <c r="K213" s="568">
        <v>165.82160173175228</v>
      </c>
      <c r="L213" s="568">
        <v>108.05337675635168</v>
      </c>
      <c r="M213" s="568">
        <v>91.90173164559252</v>
      </c>
      <c r="N213" s="568">
        <v>124.65799135021928</v>
      </c>
      <c r="O213" s="568">
        <v>64.788677224071364</v>
      </c>
      <c r="P213" s="568">
        <v>72.848606423705576</v>
      </c>
    </row>
    <row r="214" spans="1:16">
      <c r="A214" s="40" t="s">
        <v>22</v>
      </c>
      <c r="B214" s="568">
        <v>116.85489588472133</v>
      </c>
      <c r="C214" s="568">
        <v>98.13280743726186</v>
      </c>
      <c r="D214" s="568">
        <v>127.96080115422291</v>
      </c>
      <c r="E214" s="568">
        <v>174.18935735859068</v>
      </c>
      <c r="F214" s="568">
        <v>79.981167506008788</v>
      </c>
      <c r="G214" s="568">
        <v>99.771322089621975</v>
      </c>
      <c r="H214" s="568">
        <v>115.65075699661053</v>
      </c>
      <c r="I214" s="568">
        <v>25.265922978032055</v>
      </c>
      <c r="J214" s="568">
        <v>107.81692710533578</v>
      </c>
      <c r="K214" s="568">
        <v>165.1875518254341</v>
      </c>
      <c r="L214" s="568">
        <v>106.73647243625265</v>
      </c>
      <c r="M214" s="568">
        <v>90.6954035962018</v>
      </c>
      <c r="N214" s="568">
        <v>120.17366480849913</v>
      </c>
      <c r="O214" s="568">
        <v>64.93098585971569</v>
      </c>
      <c r="P214" s="568">
        <v>70.913678266544565</v>
      </c>
    </row>
    <row r="215" spans="1:16">
      <c r="A215" s="40" t="s">
        <v>23</v>
      </c>
      <c r="B215" s="568">
        <v>115.24261252104887</v>
      </c>
      <c r="C215" s="568">
        <v>98.328190075182135</v>
      </c>
      <c r="D215" s="568">
        <v>126.83989934432253</v>
      </c>
      <c r="E215" s="568">
        <v>175.78762971769549</v>
      </c>
      <c r="F215" s="568">
        <v>77.537114196613416</v>
      </c>
      <c r="G215" s="568">
        <v>97.82323337230946</v>
      </c>
      <c r="H215" s="568">
        <v>107.02713669261453</v>
      </c>
      <c r="I215" s="568">
        <v>24.521386332077441</v>
      </c>
      <c r="J215" s="568">
        <v>106.11899851652515</v>
      </c>
      <c r="K215" s="568">
        <v>165.59961165629193</v>
      </c>
      <c r="L215" s="568">
        <v>106.06291958655511</v>
      </c>
      <c r="M215" s="568">
        <v>90.506123926088264</v>
      </c>
      <c r="N215" s="568">
        <v>118.32832724849239</v>
      </c>
      <c r="O215" s="568">
        <v>64.598500354454373</v>
      </c>
      <c r="P215" s="568">
        <v>70.929810003592095</v>
      </c>
    </row>
    <row r="216" spans="1:16">
      <c r="A216" s="40" t="s">
        <v>24</v>
      </c>
      <c r="B216" s="568">
        <v>115.72047960217543</v>
      </c>
      <c r="C216" s="568">
        <v>101.12624666941912</v>
      </c>
      <c r="D216" s="568">
        <v>130.07794448952657</v>
      </c>
      <c r="E216" s="568">
        <v>173.7635995292614</v>
      </c>
      <c r="F216" s="568">
        <v>79.442196296276322</v>
      </c>
      <c r="G216" s="568">
        <v>98.400661042615141</v>
      </c>
      <c r="H216" s="568">
        <v>105.42952823933508</v>
      </c>
      <c r="I216" s="568">
        <v>23.899642338193146</v>
      </c>
      <c r="J216" s="568">
        <v>106.3473968457742</v>
      </c>
      <c r="K216" s="568">
        <v>167.12139691133808</v>
      </c>
      <c r="L216" s="568">
        <v>107.25439256204805</v>
      </c>
      <c r="M216" s="568">
        <v>91.77681908693738</v>
      </c>
      <c r="N216" s="568">
        <v>120.17514376341843</v>
      </c>
      <c r="O216" s="568">
        <v>66.317545477469011</v>
      </c>
      <c r="P216" s="568">
        <v>72.510528179155088</v>
      </c>
    </row>
    <row r="217" spans="1:16">
      <c r="A217" s="40" t="s">
        <v>25</v>
      </c>
      <c r="B217" s="568">
        <v>115.91173613449688</v>
      </c>
      <c r="C217" s="568">
        <v>101.76321580007505</v>
      </c>
      <c r="D217" s="568">
        <v>129.90460239829562</v>
      </c>
      <c r="E217" s="568">
        <v>170.35097744509054</v>
      </c>
      <c r="F217" s="568">
        <v>79.39844642762165</v>
      </c>
      <c r="G217" s="568">
        <v>97.477414911760647</v>
      </c>
      <c r="H217" s="568">
        <v>104.68431172278275</v>
      </c>
      <c r="I217" s="568">
        <v>23.271723719826081</v>
      </c>
      <c r="J217" s="568">
        <v>106.31117566313665</v>
      </c>
      <c r="K217" s="568">
        <v>167.55615976493218</v>
      </c>
      <c r="L217" s="568">
        <v>105.94029469137632</v>
      </c>
      <c r="M217" s="568">
        <v>92.164259164717336</v>
      </c>
      <c r="N217" s="568">
        <v>119.19094328516428</v>
      </c>
      <c r="O217" s="568">
        <v>67.350065861303108</v>
      </c>
      <c r="P217" s="568">
        <v>72.39729605203901</v>
      </c>
    </row>
    <row r="218" spans="1:16">
      <c r="A218" s="40" t="s">
        <v>26</v>
      </c>
      <c r="B218" s="568">
        <v>117.54609115219351</v>
      </c>
      <c r="C218" s="568">
        <v>102.9697286139276</v>
      </c>
      <c r="D218" s="568">
        <v>132.23762851751346</v>
      </c>
      <c r="E218" s="568">
        <v>172.15119168300092</v>
      </c>
      <c r="F218" s="568">
        <v>79.52123247697368</v>
      </c>
      <c r="G218" s="568">
        <v>97.900032335144857</v>
      </c>
      <c r="H218" s="568">
        <v>106.32835747529184</v>
      </c>
      <c r="I218" s="568">
        <v>22.796693584819931</v>
      </c>
      <c r="J218" s="568">
        <v>107.81016281643637</v>
      </c>
      <c r="K218" s="568">
        <v>170.29573782448296</v>
      </c>
      <c r="L218" s="568">
        <v>107.00747600049073</v>
      </c>
      <c r="M218" s="568">
        <v>93.534295573229144</v>
      </c>
      <c r="N218" s="568">
        <v>119.41192287028876</v>
      </c>
      <c r="O218" s="568">
        <v>68.879607130571685</v>
      </c>
      <c r="P218" s="568">
        <v>74.305677159538675</v>
      </c>
    </row>
    <row r="219" spans="1:16">
      <c r="A219" s="40" t="s">
        <v>27</v>
      </c>
      <c r="B219" s="568">
        <v>118.33140365594629</v>
      </c>
      <c r="C219" s="568">
        <v>105.26005719395209</v>
      </c>
      <c r="D219" s="568">
        <v>133.62614262757535</v>
      </c>
      <c r="E219" s="568">
        <v>184.05092085097701</v>
      </c>
      <c r="F219" s="568">
        <v>78.287433084174282</v>
      </c>
      <c r="G219" s="568">
        <v>97.282913893061092</v>
      </c>
      <c r="H219" s="568">
        <v>107.39857854524695</v>
      </c>
      <c r="I219" s="568">
        <v>22.328780385233035</v>
      </c>
      <c r="J219" s="568">
        <v>108.74598265135336</v>
      </c>
      <c r="K219" s="568">
        <v>178.09609011834124</v>
      </c>
      <c r="L219" s="568">
        <v>108.81812602229222</v>
      </c>
      <c r="M219" s="568">
        <v>93.838971966180438</v>
      </c>
      <c r="N219" s="568">
        <v>118.26209895766149</v>
      </c>
      <c r="O219" s="568">
        <v>70.471311828188689</v>
      </c>
      <c r="P219" s="568">
        <v>75.377338186813461</v>
      </c>
    </row>
    <row r="220" spans="1:16">
      <c r="A220" s="40" t="s">
        <v>28</v>
      </c>
      <c r="B220" s="568">
        <v>119.12620810712093</v>
      </c>
      <c r="C220" s="568">
        <v>108.12920274687296</v>
      </c>
      <c r="D220" s="568">
        <v>136.95649189154338</v>
      </c>
      <c r="E220" s="568">
        <v>207.37480953513011</v>
      </c>
      <c r="F220" s="568">
        <v>80.226589180298873</v>
      </c>
      <c r="G220" s="568">
        <v>98.278987400584484</v>
      </c>
      <c r="H220" s="568">
        <v>108.27586790313472</v>
      </c>
      <c r="I220" s="568">
        <v>22.117940481170059</v>
      </c>
      <c r="J220" s="568">
        <v>110.78529347325373</v>
      </c>
      <c r="K220" s="568">
        <v>181.98204135769322</v>
      </c>
      <c r="L220" s="568">
        <v>107.28888556772935</v>
      </c>
      <c r="M220" s="568">
        <v>94.389138418203359</v>
      </c>
      <c r="N220" s="568">
        <v>120.19339337407349</v>
      </c>
      <c r="O220" s="568">
        <v>71.305639635667006</v>
      </c>
      <c r="P220" s="568">
        <v>76.406349380196659</v>
      </c>
    </row>
    <row r="221" spans="1:16">
      <c r="A221" s="40" t="s">
        <v>29</v>
      </c>
      <c r="B221" s="568">
        <v>120.41365778556006</v>
      </c>
      <c r="C221" s="568">
        <v>110.25748650091839</v>
      </c>
      <c r="D221" s="568">
        <v>139.9112572911956</v>
      </c>
      <c r="E221" s="568">
        <v>234.16949456654385</v>
      </c>
      <c r="F221" s="568">
        <v>81.928473145346018</v>
      </c>
      <c r="G221" s="568">
        <v>101.97365276549272</v>
      </c>
      <c r="H221" s="568">
        <v>108.35849388002576</v>
      </c>
      <c r="I221" s="568">
        <v>22.101394809261674</v>
      </c>
      <c r="J221" s="568">
        <v>113.49676468496631</v>
      </c>
      <c r="K221" s="568">
        <v>184.14094362973631</v>
      </c>
      <c r="L221" s="568">
        <v>109.79848988693693</v>
      </c>
      <c r="M221" s="568">
        <v>95.82369878415129</v>
      </c>
      <c r="N221" s="568">
        <v>123.64754090587699</v>
      </c>
      <c r="O221" s="568">
        <v>72.191002306025467</v>
      </c>
      <c r="P221" s="568">
        <v>77.549103354646135</v>
      </c>
    </row>
    <row r="222" spans="1:16">
      <c r="A222" s="40" t="s">
        <v>2892</v>
      </c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68"/>
      <c r="O222" s="568"/>
      <c r="P222" s="568"/>
    </row>
    <row r="223" spans="1:16">
      <c r="A223" s="40" t="s">
        <v>18</v>
      </c>
      <c r="B223" s="568">
        <v>121.66538938809788</v>
      </c>
      <c r="C223" s="568">
        <v>111.37136134911654</v>
      </c>
      <c r="D223" s="568">
        <v>139.74425219641137</v>
      </c>
      <c r="E223" s="568">
        <v>216.51168281428843</v>
      </c>
      <c r="F223" s="568">
        <v>85.290918512937353</v>
      </c>
      <c r="G223" s="568">
        <v>105.333144237184</v>
      </c>
      <c r="H223" s="568">
        <v>108.27373985888829</v>
      </c>
      <c r="I223" s="568">
        <v>21.9443448038644</v>
      </c>
      <c r="J223" s="568">
        <v>114.56294010560312</v>
      </c>
      <c r="K223" s="568">
        <v>188.23544633792847</v>
      </c>
      <c r="L223" s="568">
        <v>110.80717974489112</v>
      </c>
      <c r="M223" s="568">
        <v>96.854875281234229</v>
      </c>
      <c r="N223" s="568">
        <v>126.23117279792442</v>
      </c>
      <c r="O223" s="568">
        <v>73.674381125282963</v>
      </c>
      <c r="P223" s="568">
        <v>78.49527581171499</v>
      </c>
    </row>
    <row r="224" spans="1:16">
      <c r="A224" s="40" t="s">
        <v>19</v>
      </c>
      <c r="B224" s="568">
        <v>122.02493692629419</v>
      </c>
      <c r="C224" s="568">
        <v>111.3926827401075</v>
      </c>
      <c r="D224" s="568">
        <v>140.36010877288115</v>
      </c>
      <c r="E224" s="568">
        <v>211.02293624234412</v>
      </c>
      <c r="F224" s="568">
        <v>87.355962427861627</v>
      </c>
      <c r="G224" s="568">
        <v>107.01687233401502</v>
      </c>
      <c r="H224" s="568">
        <v>105.99376680055911</v>
      </c>
      <c r="I224" s="568">
        <v>21.726340337985551</v>
      </c>
      <c r="J224" s="568">
        <v>115.11232680750034</v>
      </c>
      <c r="K224" s="568">
        <v>190.24867221787332</v>
      </c>
      <c r="L224" s="568">
        <v>114.07256567430515</v>
      </c>
      <c r="M224" s="568">
        <v>97.148802129489837</v>
      </c>
      <c r="N224" s="568">
        <v>126.88561858073388</v>
      </c>
      <c r="O224" s="568">
        <v>74.282668237859397</v>
      </c>
      <c r="P224" s="568">
        <v>79.1638720254182</v>
      </c>
    </row>
    <row r="225" spans="1:16">
      <c r="A225" s="40" t="s">
        <v>20</v>
      </c>
      <c r="B225" s="568">
        <v>121.90955668126435</v>
      </c>
      <c r="C225" s="568">
        <v>113.05816211479723</v>
      </c>
      <c r="D225" s="568">
        <v>144.29821976535243</v>
      </c>
      <c r="E225" s="568">
        <v>216.31374956503524</v>
      </c>
      <c r="F225" s="568">
        <v>114.74054617558679</v>
      </c>
      <c r="G225" s="568">
        <v>109.0348280348225</v>
      </c>
      <c r="H225" s="568">
        <v>112.572657820681</v>
      </c>
      <c r="I225" s="568">
        <v>21.687243123352346</v>
      </c>
      <c r="J225" s="568">
        <v>128.6217866796548</v>
      </c>
      <c r="K225" s="568">
        <v>195.84444981529586</v>
      </c>
      <c r="L225" s="568">
        <v>115.68474587360865</v>
      </c>
      <c r="M225" s="568">
        <v>98.174596170472086</v>
      </c>
      <c r="N225" s="568">
        <v>127.48706004736128</v>
      </c>
      <c r="O225" s="568">
        <v>75.795600999306146</v>
      </c>
      <c r="P225" s="568">
        <v>80.175006346317176</v>
      </c>
    </row>
    <row r="226" spans="1:16">
      <c r="A226" s="40" t="s">
        <v>21</v>
      </c>
      <c r="B226" s="568">
        <v>122.80856491166176</v>
      </c>
      <c r="C226" s="568">
        <v>115.42814436076917</v>
      </c>
      <c r="D226" s="568">
        <v>144.37537707450372</v>
      </c>
      <c r="E226" s="568">
        <v>205.69557246527216</v>
      </c>
      <c r="F226" s="568">
        <v>83.92818549399172</v>
      </c>
      <c r="G226" s="568">
        <v>105.12008717597058</v>
      </c>
      <c r="H226" s="568">
        <v>105.61727103353581</v>
      </c>
      <c r="I226" s="568">
        <v>21.199891724017519</v>
      </c>
      <c r="J226" s="568">
        <v>117.90194604554127</v>
      </c>
      <c r="K226" s="568">
        <v>210.94946607555801</v>
      </c>
      <c r="L226" s="568">
        <v>115.7380626182679</v>
      </c>
      <c r="M226" s="568">
        <v>100.02993245574582</v>
      </c>
      <c r="N226" s="568">
        <v>126.82138480064417</v>
      </c>
      <c r="O226" s="568">
        <v>76.993035570143888</v>
      </c>
      <c r="P226" s="568">
        <v>81.838774467115584</v>
      </c>
    </row>
    <row r="227" spans="1:16">
      <c r="A227" s="40" t="s">
        <v>22</v>
      </c>
      <c r="B227" s="568">
        <v>122.4887278784672</v>
      </c>
      <c r="C227" s="568">
        <v>117.99333617952119</v>
      </c>
      <c r="D227" s="568">
        <v>150.55465075049472</v>
      </c>
      <c r="E227" s="568">
        <v>212.79249470970873</v>
      </c>
      <c r="F227" s="568">
        <v>67.971452453240332</v>
      </c>
      <c r="G227" s="568">
        <v>103.18674225470835</v>
      </c>
      <c r="H227" s="568">
        <v>101.77840985332564</v>
      </c>
      <c r="I227" s="568">
        <v>20.630336798654206</v>
      </c>
      <c r="J227" s="568">
        <v>111.12256252818206</v>
      </c>
      <c r="K227" s="568">
        <v>216.5038072407238</v>
      </c>
      <c r="L227" s="568">
        <v>120.90429958185615</v>
      </c>
      <c r="M227" s="568">
        <v>105.45819211876075</v>
      </c>
      <c r="N227" s="568">
        <v>126.8427402022575</v>
      </c>
      <c r="O227" s="568">
        <v>79.163554690454234</v>
      </c>
      <c r="P227" s="568">
        <v>84.96453662689072</v>
      </c>
    </row>
    <row r="228" spans="1:16">
      <c r="A228" s="40" t="s">
        <v>23</v>
      </c>
      <c r="B228" s="568">
        <v>120.78794468559259</v>
      </c>
      <c r="C228" s="568">
        <v>116.6673065998894</v>
      </c>
      <c r="D228" s="568">
        <v>150.25070615035301</v>
      </c>
      <c r="E228" s="568">
        <v>221.69504673653887</v>
      </c>
      <c r="F228" s="568">
        <v>60.802336795789969</v>
      </c>
      <c r="G228" s="568">
        <v>99.476471883383439</v>
      </c>
      <c r="H228" s="568">
        <v>100.99865129297444</v>
      </c>
      <c r="I228" s="568">
        <v>18.367513752065754</v>
      </c>
      <c r="J228" s="568">
        <v>112.74964693015546</v>
      </c>
      <c r="K228" s="568">
        <v>224.38738613002556</v>
      </c>
      <c r="L228" s="568">
        <v>121.38409969570148</v>
      </c>
      <c r="M228" s="568">
        <v>105.12672125531684</v>
      </c>
      <c r="N228" s="568">
        <v>125.29176316497752</v>
      </c>
      <c r="O228" s="568">
        <v>79.133423107833892</v>
      </c>
      <c r="P228" s="568">
        <v>83.611836369540413</v>
      </c>
    </row>
    <row r="229" spans="1:16">
      <c r="A229" s="40" t="s">
        <v>24</v>
      </c>
      <c r="B229" s="568">
        <v>121.36433352435337</v>
      </c>
      <c r="C229" s="568">
        <v>121.35920904773221</v>
      </c>
      <c r="D229" s="568">
        <v>154.42346077974244</v>
      </c>
      <c r="E229" s="568">
        <v>222.56929935480406</v>
      </c>
      <c r="F229" s="568">
        <v>62.948375686182217</v>
      </c>
      <c r="G229" s="568">
        <v>106.00294826309754</v>
      </c>
      <c r="H229" s="568">
        <v>97.711487060359232</v>
      </c>
      <c r="I229" s="568">
        <v>17.639079235245653</v>
      </c>
      <c r="J229" s="568">
        <v>119.98174297140532</v>
      </c>
      <c r="K229" s="568">
        <v>229.09193483706454</v>
      </c>
      <c r="L229" s="568">
        <v>122.71311610989414</v>
      </c>
      <c r="M229" s="568">
        <v>105.7374621800133</v>
      </c>
      <c r="N229" s="568">
        <v>120.77229519921406</v>
      </c>
      <c r="O229" s="568">
        <v>80.990458408233849</v>
      </c>
      <c r="P229" s="568">
        <v>83.911892518789884</v>
      </c>
    </row>
    <row r="230" spans="1:16">
      <c r="A230" s="40" t="s">
        <v>25</v>
      </c>
      <c r="B230" s="568">
        <v>122.20133427822466</v>
      </c>
      <c r="C230" s="568">
        <v>122.41159866266794</v>
      </c>
      <c r="D230" s="568">
        <v>155.16895542945778</v>
      </c>
      <c r="E230" s="568">
        <v>229.14659285666522</v>
      </c>
      <c r="F230" s="568">
        <v>65.415755028873164</v>
      </c>
      <c r="G230" s="568">
        <v>123.03833276594254</v>
      </c>
      <c r="H230" s="568">
        <v>96.105409563672197</v>
      </c>
      <c r="I230" s="568">
        <v>17.453615368875806</v>
      </c>
      <c r="J230" s="568">
        <v>118.09701229030571</v>
      </c>
      <c r="K230" s="568">
        <v>228.13116534207876</v>
      </c>
      <c r="L230" s="568">
        <v>118.01094883170039</v>
      </c>
      <c r="M230" s="568">
        <v>107.79735069478896</v>
      </c>
      <c r="N230" s="568">
        <v>116.0169273811274</v>
      </c>
      <c r="O230" s="568">
        <v>82.503772657781496</v>
      </c>
      <c r="P230" s="568">
        <v>83.384897613919307</v>
      </c>
    </row>
    <row r="231" spans="1:16">
      <c r="A231" s="40" t="s">
        <v>26</v>
      </c>
      <c r="B231" s="568">
        <v>125.50271481421123</v>
      </c>
      <c r="C231" s="568">
        <v>127.40104720865395</v>
      </c>
      <c r="D231" s="568">
        <v>168.17610099718991</v>
      </c>
      <c r="E231" s="568">
        <v>232.72707974439032</v>
      </c>
      <c r="F231" s="568">
        <v>66.751072175674921</v>
      </c>
      <c r="G231" s="568">
        <v>125.16594513555332</v>
      </c>
      <c r="H231" s="568">
        <v>100.83087922961703</v>
      </c>
      <c r="I231" s="568">
        <v>17.472661431776626</v>
      </c>
      <c r="J231" s="568">
        <v>120.283563984408</v>
      </c>
      <c r="K231" s="568">
        <v>247.63121086883478</v>
      </c>
      <c r="L231" s="568">
        <v>126.96811975562754</v>
      </c>
      <c r="M231" s="568">
        <v>114.29447099489029</v>
      </c>
      <c r="N231" s="568">
        <v>118.6041729955883</v>
      </c>
      <c r="O231" s="568">
        <v>89.597034574889008</v>
      </c>
      <c r="P231" s="568">
        <v>87.636402816234337</v>
      </c>
    </row>
    <row r="232" spans="1:16">
      <c r="A232" s="40" t="s">
        <v>27</v>
      </c>
      <c r="B232" s="568">
        <v>126.81562144173751</v>
      </c>
      <c r="C232" s="568">
        <v>128.70168039134006</v>
      </c>
      <c r="D232" s="568">
        <v>171.53767727890551</v>
      </c>
      <c r="E232" s="568">
        <v>231.78290512412113</v>
      </c>
      <c r="F232" s="568">
        <v>69.372269560457255</v>
      </c>
      <c r="G232" s="568">
        <v>124.24798006120182</v>
      </c>
      <c r="H232" s="568">
        <v>99.542301667657952</v>
      </c>
      <c r="I232" s="568">
        <v>17.226915861896984</v>
      </c>
      <c r="J232" s="568">
        <v>119.8842105949935</v>
      </c>
      <c r="K232" s="568">
        <v>257.11361526618037</v>
      </c>
      <c r="L232" s="568">
        <v>131.83546849512678</v>
      </c>
      <c r="M232" s="568">
        <v>118.87711368489215</v>
      </c>
      <c r="N232" s="568">
        <v>122.15145522626129</v>
      </c>
      <c r="O232" s="568">
        <v>92.924334001443384</v>
      </c>
      <c r="P232" s="568">
        <v>90.914384263403335</v>
      </c>
    </row>
    <row r="233" spans="1:16">
      <c r="A233" s="40" t="s">
        <v>28</v>
      </c>
      <c r="B233" s="568">
        <v>127.8752388588812</v>
      </c>
      <c r="C233" s="568">
        <v>125.29312615734015</v>
      </c>
      <c r="D233" s="568">
        <v>166.03584272993601</v>
      </c>
      <c r="E233" s="568">
        <v>227.83043989519601</v>
      </c>
      <c r="F233" s="568">
        <v>69.2745167035566</v>
      </c>
      <c r="G233" s="568">
        <v>124.57569706213818</v>
      </c>
      <c r="H233" s="568">
        <v>98.079700511662779</v>
      </c>
      <c r="I233" s="568">
        <v>17.216219940766088</v>
      </c>
      <c r="J233" s="568">
        <v>116.64903126943716</v>
      </c>
      <c r="K233" s="568">
        <v>250.63174082024398</v>
      </c>
      <c r="L233" s="568">
        <v>130.84687986500126</v>
      </c>
      <c r="M233" s="568">
        <v>120.06092124864752</v>
      </c>
      <c r="N233" s="568">
        <v>124.34953322287475</v>
      </c>
      <c r="O233" s="568">
        <v>89.537738080590373</v>
      </c>
      <c r="P233" s="568">
        <v>89.264376111947172</v>
      </c>
    </row>
    <row r="234" spans="1:16">
      <c r="A234" s="40" t="s">
        <v>29</v>
      </c>
      <c r="B234" s="568">
        <v>128.97163885740233</v>
      </c>
      <c r="C234" s="568">
        <v>122.0876795282264</v>
      </c>
      <c r="D234" s="568">
        <v>160.91892160720326</v>
      </c>
      <c r="E234" s="568">
        <v>228.05698069772873</v>
      </c>
      <c r="F234" s="568">
        <v>74.590499933278565</v>
      </c>
      <c r="G234" s="568">
        <v>125.17656265777114</v>
      </c>
      <c r="H234" s="568">
        <v>97.796862443164571</v>
      </c>
      <c r="I234" s="568">
        <v>17.057110237936008</v>
      </c>
      <c r="J234" s="568">
        <v>118.00473992603125</v>
      </c>
      <c r="K234" s="568">
        <v>239.88365347955113</v>
      </c>
      <c r="L234" s="568">
        <v>130.63599546850372</v>
      </c>
      <c r="M234" s="568">
        <v>118.17677904517117</v>
      </c>
      <c r="N234" s="568">
        <v>124.96842244393333</v>
      </c>
      <c r="O234" s="568">
        <v>85.852521686817369</v>
      </c>
      <c r="P234" s="568">
        <v>87.18159508599571</v>
      </c>
    </row>
    <row r="235" spans="1:16">
      <c r="A235" s="40" t="s">
        <v>3605</v>
      </c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68"/>
      <c r="O235" s="568"/>
      <c r="P235" s="568"/>
    </row>
    <row r="236" spans="1:16">
      <c r="A236" s="40" t="s">
        <v>18</v>
      </c>
      <c r="B236" s="568">
        <v>129.58787381764236</v>
      </c>
      <c r="C236" s="568">
        <v>120.97719628964961</v>
      </c>
      <c r="D236" s="568">
        <v>162.94682357021037</v>
      </c>
      <c r="E236" s="568">
        <v>217.34850103550332</v>
      </c>
      <c r="F236" s="568">
        <v>79.704966450269552</v>
      </c>
      <c r="G236" s="568">
        <v>125.14588441407665</v>
      </c>
      <c r="H236" s="568">
        <v>97.571940128261829</v>
      </c>
      <c r="I236" s="568">
        <v>16.59192368039783</v>
      </c>
      <c r="J236" s="568">
        <v>115.70507518854546</v>
      </c>
      <c r="K236" s="568">
        <v>233.07195487108177</v>
      </c>
      <c r="L236" s="568">
        <v>131.26862077622036</v>
      </c>
      <c r="M236" s="568">
        <v>115.3633452766687</v>
      </c>
      <c r="N236" s="568">
        <v>125.22892427794329</v>
      </c>
      <c r="O236" s="568">
        <v>82.7140755950185</v>
      </c>
      <c r="P236" s="568">
        <v>86.743611385797308</v>
      </c>
    </row>
    <row r="237" spans="1:16">
      <c r="A237" s="40" t="s">
        <v>19</v>
      </c>
      <c r="B237" s="568">
        <v>130.98597673680692</v>
      </c>
      <c r="C237" s="568">
        <v>122.37787160156662</v>
      </c>
      <c r="D237" s="568">
        <v>165.30411578420743</v>
      </c>
      <c r="E237" s="568">
        <v>214.63169629539487</v>
      </c>
      <c r="F237" s="568">
        <v>84.097526120430885</v>
      </c>
      <c r="G237" s="568">
        <v>126.07920063818588</v>
      </c>
      <c r="H237" s="568">
        <v>98.311231972147382</v>
      </c>
      <c r="I237" s="568">
        <v>16.280801343902464</v>
      </c>
      <c r="J237" s="568">
        <v>113.72753089279135</v>
      </c>
      <c r="K237" s="568">
        <v>241.48930560977999</v>
      </c>
      <c r="L237" s="568">
        <v>135.76272420824773</v>
      </c>
      <c r="M237" s="568">
        <v>118.19636272355348</v>
      </c>
      <c r="N237" s="568">
        <v>125.50353975503134</v>
      </c>
      <c r="O237" s="568">
        <v>85.783075021850564</v>
      </c>
      <c r="P237" s="568">
        <v>87.456162384873181</v>
      </c>
    </row>
    <row r="238" spans="1:16">
      <c r="A238" s="40" t="s">
        <v>20</v>
      </c>
      <c r="B238" s="568">
        <v>131.76312752861662</v>
      </c>
      <c r="C238" s="568">
        <v>122.62113483125604</v>
      </c>
      <c r="D238" s="568">
        <v>164.84715143777404</v>
      </c>
      <c r="E238" s="568">
        <v>212.80475613104929</v>
      </c>
      <c r="F238" s="568">
        <v>87.622675030273896</v>
      </c>
      <c r="G238" s="568">
        <v>125.36319645272083</v>
      </c>
      <c r="H238" s="568">
        <v>96.980018593846992</v>
      </c>
      <c r="I238" s="568">
        <v>15.649886482060976</v>
      </c>
      <c r="J238" s="568">
        <v>113.01490477951859</v>
      </c>
      <c r="K238" s="568">
        <v>245.02005836081196</v>
      </c>
      <c r="L238" s="568">
        <v>140.24744774263985</v>
      </c>
      <c r="M238" s="568">
        <v>120.38986772494749</v>
      </c>
      <c r="N238" s="568">
        <v>125.68156264419981</v>
      </c>
      <c r="O238" s="568">
        <v>88.248524750713727</v>
      </c>
      <c r="P238" s="568">
        <v>88.164099316326556</v>
      </c>
    </row>
    <row r="239" spans="1:16">
      <c r="A239" s="40" t="s">
        <v>21</v>
      </c>
      <c r="B239" s="568">
        <v>131.64117550456191</v>
      </c>
      <c r="C239" s="568">
        <v>119.05289627270179</v>
      </c>
      <c r="D239" s="568">
        <v>158.96655929655296</v>
      </c>
      <c r="E239" s="568">
        <v>212.34413411970527</v>
      </c>
      <c r="F239" s="568">
        <v>93.183770188288776</v>
      </c>
      <c r="G239" s="568">
        <v>125.42330099683549</v>
      </c>
      <c r="H239" s="568">
        <v>95.623120291587213</v>
      </c>
      <c r="I239" s="568">
        <v>15.141340257634099</v>
      </c>
      <c r="J239" s="568">
        <v>113.06406624483989</v>
      </c>
      <c r="K239" s="568">
        <v>242.60936595197657</v>
      </c>
      <c r="L239" s="568">
        <v>139.56844587925198</v>
      </c>
      <c r="M239" s="568">
        <v>120.79232146122541</v>
      </c>
      <c r="N239" s="568">
        <v>125.63223582824271</v>
      </c>
      <c r="O239" s="568">
        <v>89.376995999964748</v>
      </c>
      <c r="P239" s="568">
        <v>85.771840162081077</v>
      </c>
    </row>
    <row r="240" spans="1:16">
      <c r="A240" s="40" t="s">
        <v>22</v>
      </c>
      <c r="B240" s="568">
        <v>131.00592411317257</v>
      </c>
      <c r="C240" s="568">
        <v>119.47900399598906</v>
      </c>
      <c r="D240" s="568">
        <v>156.76611960159184</v>
      </c>
      <c r="E240" s="568">
        <v>215.77844368876157</v>
      </c>
      <c r="F240" s="568">
        <v>90.617497958626643</v>
      </c>
      <c r="G240" s="568">
        <v>124.40320014731716</v>
      </c>
      <c r="H240" s="568">
        <v>95.719432913568781</v>
      </c>
      <c r="I240" s="568">
        <v>14.676783408438414</v>
      </c>
      <c r="J240" s="568">
        <v>110.68674446271149</v>
      </c>
      <c r="K240" s="568">
        <v>247.72327713667318</v>
      </c>
      <c r="L240" s="568">
        <v>139.98519352285916</v>
      </c>
      <c r="M240" s="568">
        <v>122.25566500072604</v>
      </c>
      <c r="N240" s="568">
        <v>125.49558148879154</v>
      </c>
      <c r="O240" s="568">
        <v>89.225879915998391</v>
      </c>
      <c r="P240" s="568">
        <v>84.88928132166042</v>
      </c>
    </row>
    <row r="241" spans="1:16384">
      <c r="A241" s="40" t="s">
        <v>23</v>
      </c>
      <c r="B241" s="568">
        <v>129.56772368924825</v>
      </c>
      <c r="C241" s="568">
        <v>118.685810860768</v>
      </c>
      <c r="D241" s="568">
        <v>153.58643925253185</v>
      </c>
      <c r="E241" s="568">
        <v>240.22715957592166</v>
      </c>
      <c r="F241" s="568">
        <v>93.385610410565462</v>
      </c>
      <c r="G241" s="568">
        <v>122.3202131690332</v>
      </c>
      <c r="H241" s="568">
        <v>98.576274317115434</v>
      </c>
      <c r="I241" s="568">
        <v>14.252722603719294</v>
      </c>
      <c r="J241" s="568">
        <v>109.23748241945805</v>
      </c>
      <c r="K241" s="568">
        <v>251.61664183075473</v>
      </c>
      <c r="L241" s="568">
        <v>137.90711000961048</v>
      </c>
      <c r="M241" s="568">
        <v>124.00641125897656</v>
      </c>
      <c r="N241" s="568">
        <v>123.99707343914503</v>
      </c>
      <c r="O241" s="568">
        <v>86.211310754688014</v>
      </c>
      <c r="P241" s="568">
        <v>84.475715529191817</v>
      </c>
    </row>
    <row r="242" spans="1:16384">
      <c r="A242" s="40" t="s">
        <v>24</v>
      </c>
      <c r="B242" s="568">
        <v>128.46421607604381</v>
      </c>
      <c r="C242" s="568">
        <v>115.61583618308056</v>
      </c>
      <c r="D242" s="568">
        <v>150.1267843247532</v>
      </c>
      <c r="E242" s="568">
        <v>249.65023650409148</v>
      </c>
      <c r="F242" s="568">
        <v>100.46893522857202</v>
      </c>
      <c r="G242" s="568">
        <v>122.22229128752124</v>
      </c>
      <c r="H242" s="568">
        <v>97.277319203834381</v>
      </c>
      <c r="I242" s="568">
        <v>13.888143621290974</v>
      </c>
      <c r="J242" s="568">
        <v>107.69363810483792</v>
      </c>
      <c r="K242" s="568">
        <v>249.30242973038526</v>
      </c>
      <c r="L242" s="568">
        <v>137.3955520633416</v>
      </c>
      <c r="M242" s="568">
        <v>123.77056774263332</v>
      </c>
      <c r="N242" s="568">
        <v>122.80178238707202</v>
      </c>
      <c r="O242" s="568">
        <v>84.932251065292363</v>
      </c>
      <c r="P242" s="568">
        <v>81.416862016292768</v>
      </c>
    </row>
    <row r="243" spans="1:16384">
      <c r="A243" s="40" t="s">
        <v>25</v>
      </c>
      <c r="B243" s="568">
        <v>127.30942260491597</v>
      </c>
      <c r="C243" s="568">
        <v>115.89497984735006</v>
      </c>
      <c r="D243" s="568">
        <v>151.05110024134729</v>
      </c>
      <c r="E243" s="568">
        <v>232.33296583803346</v>
      </c>
      <c r="F243" s="568">
        <v>105.24174369833338</v>
      </c>
      <c r="G243" s="568">
        <v>123.41437501264807</v>
      </c>
      <c r="H243" s="568">
        <v>97.035253339473513</v>
      </c>
      <c r="I243" s="568">
        <v>13.503280563558469</v>
      </c>
      <c r="J243" s="568">
        <v>108.0705370632809</v>
      </c>
      <c r="K243" s="568">
        <v>254.28211927363932</v>
      </c>
      <c r="L243" s="568">
        <v>139.15046565181564</v>
      </c>
      <c r="M243" s="568">
        <v>124.03586921883543</v>
      </c>
      <c r="N243" s="568">
        <v>122.74485808166379</v>
      </c>
      <c r="O243" s="568">
        <v>86.321569158856789</v>
      </c>
      <c r="P243" s="568">
        <v>81.235158434729385</v>
      </c>
    </row>
    <row r="244" spans="1:16384">
      <c r="A244" s="40" t="s">
        <v>26</v>
      </c>
      <c r="B244" s="568">
        <v>127.19457796672488</v>
      </c>
      <c r="C244" s="568">
        <v>118.28253128345921</v>
      </c>
      <c r="D244" s="568">
        <v>154.19938406168529</v>
      </c>
      <c r="E244" s="568">
        <v>223.23575490610204</v>
      </c>
      <c r="F244" s="568">
        <v>106.36889285887581</v>
      </c>
      <c r="G244" s="568">
        <v>123.20424129458635</v>
      </c>
      <c r="H244" s="568">
        <v>97.618101757020426</v>
      </c>
      <c r="I244" s="568">
        <v>13.276445440446645</v>
      </c>
      <c r="J244" s="568">
        <v>111.47089093801624</v>
      </c>
      <c r="K244" s="568">
        <v>259.20543152789514</v>
      </c>
      <c r="L244" s="568">
        <v>142.56056645542824</v>
      </c>
      <c r="M244" s="568">
        <v>124.93338810292644</v>
      </c>
      <c r="N244" s="568">
        <v>122.31157292385785</v>
      </c>
      <c r="O244" s="568">
        <v>86.788917077649046</v>
      </c>
      <c r="P244" s="568">
        <v>83.308021061612436</v>
      </c>
    </row>
    <row r="245" spans="1:16384">
      <c r="A245" s="40" t="s">
        <v>27</v>
      </c>
      <c r="B245" s="568">
        <v>127.58673981673553</v>
      </c>
      <c r="C245" s="568">
        <v>120.10723617447938</v>
      </c>
      <c r="D245" s="568">
        <v>158.00365677777495</v>
      </c>
      <c r="E245" s="568">
        <v>223.8082020030927</v>
      </c>
      <c r="F245" s="568">
        <v>106.52695354857036</v>
      </c>
      <c r="G245" s="568">
        <v>121.6365910619831</v>
      </c>
      <c r="H245" s="568">
        <v>99.097396958247359</v>
      </c>
      <c r="I245" s="568">
        <v>13.020830471757046</v>
      </c>
      <c r="J245" s="568">
        <v>112.88201009545153</v>
      </c>
      <c r="K245" s="568">
        <v>261.73611268600126</v>
      </c>
      <c r="L245" s="568">
        <v>148.13728744278822</v>
      </c>
      <c r="M245" s="568">
        <v>125.7916300169768</v>
      </c>
      <c r="N245" s="568">
        <v>156.2001046947037</v>
      </c>
      <c r="O245" s="568">
        <v>88.056649041937291</v>
      </c>
      <c r="P245" s="568">
        <v>84.204669754414695</v>
      </c>
    </row>
    <row r="246" spans="1:16384">
      <c r="A246" s="40" t="s">
        <v>28</v>
      </c>
      <c r="B246" s="568">
        <v>127.0937767417667</v>
      </c>
      <c r="C246" s="568">
        <v>117.88216599617046</v>
      </c>
      <c r="D246" s="568">
        <v>154.87558208049589</v>
      </c>
      <c r="E246" s="568">
        <v>222.29491721240171</v>
      </c>
      <c r="F246" s="568">
        <v>98.006893198194987</v>
      </c>
      <c r="G246" s="568">
        <v>119.40475126804716</v>
      </c>
      <c r="H246" s="568">
        <v>99.657690418955724</v>
      </c>
      <c r="I246" s="568">
        <v>12.725317595365825</v>
      </c>
      <c r="J246" s="568">
        <v>108.05425718362481</v>
      </c>
      <c r="K246" s="568">
        <v>262.10575236564887</v>
      </c>
      <c r="L246" s="568">
        <v>142.46076761457124</v>
      </c>
      <c r="M246" s="568">
        <v>124.79840594934898</v>
      </c>
      <c r="N246" s="568">
        <v>157.96595917653659</v>
      </c>
      <c r="O246" s="568">
        <v>85.413963685649506</v>
      </c>
      <c r="P246" s="568">
        <v>82.769422645155842</v>
      </c>
    </row>
    <row r="247" spans="1:16384">
      <c r="A247" s="40" t="s">
        <v>29</v>
      </c>
      <c r="B247" s="568">
        <v>127.47529602401309</v>
      </c>
      <c r="C247" s="568">
        <v>116.96009015491423</v>
      </c>
      <c r="D247" s="568">
        <v>151.98379341958474</v>
      </c>
      <c r="E247" s="568">
        <v>220.50671195623113</v>
      </c>
      <c r="F247" s="568">
        <v>98.097622323195949</v>
      </c>
      <c r="G247" s="568">
        <v>122.20438813680437</v>
      </c>
      <c r="H247" s="568">
        <v>99.431158546376793</v>
      </c>
      <c r="I247" s="568">
        <v>12.429536230863413</v>
      </c>
      <c r="J247" s="568">
        <v>107.34528254360521</v>
      </c>
      <c r="K247" s="568">
        <v>253.18796128857446</v>
      </c>
      <c r="L247" s="568">
        <v>137.92330449011203</v>
      </c>
      <c r="M247" s="568">
        <v>123.76504348451492</v>
      </c>
      <c r="N247" s="568">
        <v>157.45324351516305</v>
      </c>
      <c r="O247" s="568">
        <v>85.574281951801765</v>
      </c>
      <c r="P247" s="568">
        <v>80.627751048108934</v>
      </c>
    </row>
    <row r="248" spans="1:16384">
      <c r="A248" s="40" t="s">
        <v>4086</v>
      </c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68"/>
      <c r="O248" s="568"/>
      <c r="P248" s="568"/>
    </row>
    <row r="249" spans="1:16384">
      <c r="A249" s="40" t="s">
        <v>18</v>
      </c>
      <c r="B249" s="568">
        <v>127.75956097748006</v>
      </c>
      <c r="C249" s="568">
        <v>117.9924801253717</v>
      </c>
      <c r="D249" s="568">
        <v>153.08204378859526</v>
      </c>
      <c r="E249" s="568">
        <v>214.33410623551322</v>
      </c>
      <c r="F249" s="568">
        <v>96.112528905363689</v>
      </c>
      <c r="G249" s="568">
        <v>124.9054366767691</v>
      </c>
      <c r="H249" s="568">
        <v>99.234452531681413</v>
      </c>
      <c r="I249" s="568">
        <v>12.174825578283844</v>
      </c>
      <c r="J249" s="568">
        <v>105.12628589140087</v>
      </c>
      <c r="K249" s="568">
        <v>257.40922098509475</v>
      </c>
      <c r="L249" s="568">
        <v>139.92433422025505</v>
      </c>
      <c r="M249" s="568">
        <v>124.55690603048768</v>
      </c>
      <c r="N249" s="568">
        <v>156.28949776698823</v>
      </c>
      <c r="O249" s="568">
        <v>86.923724729848914</v>
      </c>
      <c r="P249" s="568">
        <v>80.136856790366863</v>
      </c>
    </row>
    <row r="250" spans="1:16384">
      <c r="A250" s="711" t="s">
        <v>19</v>
      </c>
      <c r="B250" s="2004">
        <v>128.06205846071163</v>
      </c>
      <c r="C250" s="2004">
        <v>119.48180968349925</v>
      </c>
      <c r="D250" s="2004">
        <v>154.14929820008473</v>
      </c>
      <c r="E250" s="2004">
        <v>211.64239659606909</v>
      </c>
      <c r="F250" s="2004">
        <v>98.490982674844375</v>
      </c>
      <c r="G250" s="2004">
        <v>125.54315836700285</v>
      </c>
      <c r="H250" s="2004">
        <v>99.161016064678819</v>
      </c>
      <c r="I250" s="2004">
        <v>12.089607529436131</v>
      </c>
      <c r="J250" s="2004">
        <v>103.94591046166877</v>
      </c>
      <c r="K250" s="2004">
        <v>265.82761268374338</v>
      </c>
      <c r="L250" s="2004">
        <v>138.07021016163978</v>
      </c>
      <c r="M250" s="2004">
        <v>124.56966641163234</v>
      </c>
      <c r="N250" s="2004">
        <v>155.52509403899205</v>
      </c>
      <c r="O250" s="2004">
        <v>87.685218550902974</v>
      </c>
      <c r="P250" s="2004">
        <v>81.936540059635348</v>
      </c>
    </row>
    <row r="251" spans="1:16384" ht="2.25" customHeight="1">
      <c r="A251" s="526"/>
      <c r="B251" s="1549"/>
      <c r="C251" s="1549"/>
      <c r="D251" s="1549"/>
      <c r="E251" s="1549"/>
      <c r="F251" s="1549"/>
      <c r="G251" s="1549"/>
      <c r="H251" s="1549"/>
      <c r="I251" s="1549"/>
      <c r="J251" s="1549"/>
      <c r="K251" s="1549"/>
      <c r="L251" s="1549"/>
      <c r="M251" s="1549"/>
      <c r="N251" s="1549"/>
      <c r="O251" s="1549"/>
      <c r="P251" s="1549"/>
    </row>
    <row r="252" spans="1:16384" s="1538" customFormat="1" ht="27.75" customHeight="1">
      <c r="A252" s="2231" t="s">
        <v>3603</v>
      </c>
      <c r="B252" s="2232"/>
      <c r="C252" s="2232"/>
      <c r="D252" s="2232"/>
      <c r="E252" s="2232"/>
      <c r="F252" s="2232"/>
      <c r="G252" s="2232"/>
      <c r="H252" s="2232"/>
      <c r="I252" s="2232"/>
      <c r="J252" s="2232"/>
      <c r="K252" s="2232"/>
      <c r="L252" s="2232"/>
      <c r="M252" s="2232"/>
      <c r="N252" s="2232"/>
      <c r="O252" s="2232"/>
      <c r="P252" s="2232"/>
    </row>
    <row r="253" spans="1:16384" s="1538" customFormat="1" ht="14.25" customHeight="1">
      <c r="A253" s="2231" t="s">
        <v>3585</v>
      </c>
      <c r="B253" s="2232"/>
      <c r="C253" s="2232"/>
      <c r="D253" s="2232"/>
      <c r="E253" s="2232"/>
      <c r="F253" s="2232"/>
      <c r="G253" s="2232"/>
      <c r="H253" s="2232"/>
      <c r="I253" s="2232"/>
      <c r="J253" s="2232"/>
      <c r="K253" s="2232"/>
      <c r="L253" s="2232"/>
      <c r="M253" s="2232"/>
      <c r="N253" s="2232"/>
      <c r="O253" s="2232"/>
      <c r="P253" s="2232"/>
    </row>
    <row r="254" spans="1:16384" s="1538" customFormat="1" ht="14.25" customHeight="1">
      <c r="A254" s="2231" t="s">
        <v>3586</v>
      </c>
      <c r="B254" s="2232"/>
      <c r="C254" s="2232"/>
      <c r="D254" s="2232"/>
      <c r="E254" s="2232"/>
      <c r="F254" s="2232"/>
      <c r="G254" s="2232"/>
      <c r="H254" s="2232"/>
      <c r="I254" s="2232"/>
      <c r="J254" s="2232"/>
      <c r="K254" s="2232"/>
      <c r="L254" s="2232"/>
      <c r="M254" s="2232"/>
      <c r="N254" s="2232"/>
      <c r="O254" s="2232"/>
      <c r="P254" s="2232"/>
    </row>
    <row r="255" spans="1:16384" s="1538" customFormat="1" ht="14.25" customHeight="1">
      <c r="A255" s="2231" t="s">
        <v>3587</v>
      </c>
      <c r="B255" s="2232"/>
      <c r="C255" s="2232"/>
      <c r="D255" s="2232"/>
      <c r="E255" s="2232"/>
      <c r="F255" s="2232"/>
      <c r="G255" s="2232"/>
      <c r="H255" s="2232"/>
      <c r="I255" s="2232"/>
      <c r="J255" s="2232"/>
      <c r="K255" s="2232"/>
      <c r="L255" s="2232"/>
      <c r="M255" s="2232"/>
      <c r="N255" s="2232"/>
      <c r="O255" s="2232"/>
      <c r="P255" s="2232"/>
    </row>
    <row r="256" spans="1:16384" ht="14.25" customHeight="1">
      <c r="A256" s="2227" t="s">
        <v>3588</v>
      </c>
      <c r="B256" s="2228"/>
      <c r="C256" s="2228"/>
      <c r="D256" s="2228"/>
      <c r="E256" s="2228"/>
      <c r="F256" s="2228"/>
      <c r="G256" s="2228"/>
      <c r="H256" s="2228"/>
      <c r="I256" s="2228"/>
      <c r="J256" s="2228"/>
      <c r="K256" s="2228"/>
      <c r="L256" s="2228"/>
      <c r="M256" s="2228"/>
      <c r="N256" s="2228"/>
      <c r="O256" s="2228"/>
      <c r="P256" s="2228"/>
      <c r="Q256" s="2227"/>
      <c r="R256" s="2228"/>
      <c r="S256" s="2228"/>
      <c r="T256" s="2228"/>
      <c r="U256" s="2228"/>
      <c r="V256" s="2228"/>
      <c r="W256" s="2228"/>
      <c r="X256" s="2228"/>
      <c r="Y256" s="2228"/>
      <c r="Z256" s="2228"/>
      <c r="AA256" s="2228"/>
      <c r="AB256" s="2228"/>
      <c r="AC256" s="2228"/>
      <c r="AD256" s="2228"/>
      <c r="AE256" s="2228"/>
      <c r="AF256" s="2228"/>
      <c r="AG256" s="2227"/>
      <c r="AH256" s="2228"/>
      <c r="AI256" s="2228"/>
      <c r="AJ256" s="2228"/>
      <c r="AK256" s="2228"/>
      <c r="AL256" s="2228"/>
      <c r="AM256" s="2228"/>
      <c r="AN256" s="2228"/>
      <c r="AO256" s="2228"/>
      <c r="AP256" s="2228"/>
      <c r="AQ256" s="2228"/>
      <c r="AR256" s="2228"/>
      <c r="AS256" s="2228"/>
      <c r="AT256" s="2228"/>
      <c r="AU256" s="2228"/>
      <c r="AV256" s="2228"/>
      <c r="AW256" s="2227"/>
      <c r="AX256" s="2228"/>
      <c r="AY256" s="2228"/>
      <c r="AZ256" s="2228"/>
      <c r="BA256" s="2228"/>
      <c r="BB256" s="2228"/>
      <c r="BC256" s="2228"/>
      <c r="BD256" s="2228"/>
      <c r="BE256" s="2228"/>
      <c r="BF256" s="2228"/>
      <c r="BG256" s="2228"/>
      <c r="BH256" s="2228"/>
      <c r="BI256" s="2228"/>
      <c r="BJ256" s="2228"/>
      <c r="BK256" s="2228"/>
      <c r="BL256" s="2228"/>
      <c r="BM256" s="2227"/>
      <c r="BN256" s="2228"/>
      <c r="BO256" s="2228"/>
      <c r="BP256" s="2228"/>
      <c r="BQ256" s="2228"/>
      <c r="BR256" s="2228"/>
      <c r="BS256" s="2228"/>
      <c r="BT256" s="2228"/>
      <c r="BU256" s="2228"/>
      <c r="BV256" s="2228"/>
      <c r="BW256" s="2228"/>
      <c r="BX256" s="2228"/>
      <c r="BY256" s="2228"/>
      <c r="BZ256" s="2228"/>
      <c r="CA256" s="2228"/>
      <c r="CB256" s="2228"/>
      <c r="CC256" s="2227"/>
      <c r="CD256" s="2228"/>
      <c r="CE256" s="2228"/>
      <c r="CF256" s="2228"/>
      <c r="CG256" s="2228"/>
      <c r="CH256" s="2228"/>
      <c r="CI256" s="2228"/>
      <c r="CJ256" s="2228"/>
      <c r="CK256" s="2228"/>
      <c r="CL256" s="2228"/>
      <c r="CM256" s="2228"/>
      <c r="CN256" s="2228"/>
      <c r="CO256" s="2228"/>
      <c r="CP256" s="2228"/>
      <c r="CQ256" s="2228"/>
      <c r="CR256" s="2228"/>
      <c r="CS256" s="2227"/>
      <c r="CT256" s="2228"/>
      <c r="CU256" s="2228"/>
      <c r="CV256" s="2228"/>
      <c r="CW256" s="2228"/>
      <c r="CX256" s="2228"/>
      <c r="CY256" s="2228"/>
      <c r="CZ256" s="2228"/>
      <c r="DA256" s="2228"/>
      <c r="DB256" s="2228"/>
      <c r="DC256" s="2228"/>
      <c r="DD256" s="2228"/>
      <c r="DE256" s="2228"/>
      <c r="DF256" s="2228"/>
      <c r="DG256" s="2228"/>
      <c r="DH256" s="2228"/>
      <c r="DI256" s="2227"/>
      <c r="DJ256" s="2228"/>
      <c r="DK256" s="2228"/>
      <c r="DL256" s="2228"/>
      <c r="DM256" s="2228"/>
      <c r="DN256" s="2228"/>
      <c r="DO256" s="2228"/>
      <c r="DP256" s="2228"/>
      <c r="DQ256" s="2228"/>
      <c r="DR256" s="2228"/>
      <c r="DS256" s="2228"/>
      <c r="DT256" s="2228"/>
      <c r="DU256" s="2228"/>
      <c r="DV256" s="2228"/>
      <c r="DW256" s="2228"/>
      <c r="DX256" s="2228"/>
      <c r="DY256" s="2227"/>
      <c r="DZ256" s="2228"/>
      <c r="EA256" s="2228"/>
      <c r="EB256" s="2228"/>
      <c r="EC256" s="2228"/>
      <c r="ED256" s="2228"/>
      <c r="EE256" s="2228"/>
      <c r="EF256" s="2228"/>
      <c r="EG256" s="2228"/>
      <c r="EH256" s="2228"/>
      <c r="EI256" s="2228"/>
      <c r="EJ256" s="2228"/>
      <c r="EK256" s="2228"/>
      <c r="EL256" s="2228"/>
      <c r="EM256" s="2228"/>
      <c r="EN256" s="2228"/>
      <c r="EO256" s="2227"/>
      <c r="EP256" s="2228"/>
      <c r="EQ256" s="2228"/>
      <c r="ER256" s="2228"/>
      <c r="ES256" s="2228"/>
      <c r="ET256" s="2228"/>
      <c r="EU256" s="2228"/>
      <c r="EV256" s="2228"/>
      <c r="EW256" s="2228"/>
      <c r="EX256" s="2228"/>
      <c r="EY256" s="2228"/>
      <c r="EZ256" s="2228"/>
      <c r="FA256" s="2228"/>
      <c r="FB256" s="2228"/>
      <c r="FC256" s="2228"/>
      <c r="FD256" s="2228"/>
      <c r="FE256" s="2227"/>
      <c r="FF256" s="2228"/>
      <c r="FG256" s="2228"/>
      <c r="FH256" s="2228"/>
      <c r="FI256" s="2228"/>
      <c r="FJ256" s="2228"/>
      <c r="FK256" s="2228"/>
      <c r="FL256" s="2228"/>
      <c r="FM256" s="2228"/>
      <c r="FN256" s="2228"/>
      <c r="FO256" s="2228"/>
      <c r="FP256" s="2228"/>
      <c r="FQ256" s="2228"/>
      <c r="FR256" s="2228"/>
      <c r="FS256" s="2228"/>
      <c r="FT256" s="2228"/>
      <c r="FU256" s="2227"/>
      <c r="FV256" s="2228"/>
      <c r="FW256" s="2228"/>
      <c r="FX256" s="2228"/>
      <c r="FY256" s="2228"/>
      <c r="FZ256" s="2228"/>
      <c r="GA256" s="2228"/>
      <c r="GB256" s="2228"/>
      <c r="GC256" s="2228"/>
      <c r="GD256" s="2228"/>
      <c r="GE256" s="2228"/>
      <c r="GF256" s="2228"/>
      <c r="GG256" s="2228"/>
      <c r="GH256" s="2228"/>
      <c r="GI256" s="2228"/>
      <c r="GJ256" s="2228"/>
      <c r="GK256" s="2227"/>
      <c r="GL256" s="2228"/>
      <c r="GM256" s="2228"/>
      <c r="GN256" s="2228"/>
      <c r="GO256" s="2228"/>
      <c r="GP256" s="2228"/>
      <c r="GQ256" s="2228"/>
      <c r="GR256" s="2228"/>
      <c r="GS256" s="2228"/>
      <c r="GT256" s="2228"/>
      <c r="GU256" s="2228"/>
      <c r="GV256" s="2228"/>
      <c r="GW256" s="2228"/>
      <c r="GX256" s="2228"/>
      <c r="GY256" s="2228"/>
      <c r="GZ256" s="2228"/>
      <c r="HA256" s="2227"/>
      <c r="HB256" s="2228"/>
      <c r="HC256" s="2228"/>
      <c r="HD256" s="2228"/>
      <c r="HE256" s="2228"/>
      <c r="HF256" s="2228"/>
      <c r="HG256" s="2228"/>
      <c r="HH256" s="2228"/>
      <c r="HI256" s="2228"/>
      <c r="HJ256" s="2228"/>
      <c r="HK256" s="2228"/>
      <c r="HL256" s="2228"/>
      <c r="HM256" s="2228"/>
      <c r="HN256" s="2228"/>
      <c r="HO256" s="2228"/>
      <c r="HP256" s="2228"/>
      <c r="HQ256" s="2227"/>
      <c r="HR256" s="2228"/>
      <c r="HS256" s="2228"/>
      <c r="HT256" s="2228"/>
      <c r="HU256" s="2228"/>
      <c r="HV256" s="2228"/>
      <c r="HW256" s="2228"/>
      <c r="HX256" s="2228"/>
      <c r="HY256" s="2228"/>
      <c r="HZ256" s="2228"/>
      <c r="IA256" s="2228"/>
      <c r="IB256" s="2228"/>
      <c r="IC256" s="2228"/>
      <c r="ID256" s="2228"/>
      <c r="IE256" s="2228"/>
      <c r="IF256" s="2228"/>
      <c r="IG256" s="2227"/>
      <c r="IH256" s="2228"/>
      <c r="II256" s="2228"/>
      <c r="IJ256" s="2228"/>
      <c r="IK256" s="2228"/>
      <c r="IL256" s="2228"/>
      <c r="IM256" s="2228"/>
      <c r="IN256" s="2228"/>
      <c r="IO256" s="2228"/>
      <c r="IP256" s="2228"/>
      <c r="IQ256" s="2228"/>
      <c r="IR256" s="2228"/>
      <c r="IS256" s="2228"/>
      <c r="IT256" s="2228"/>
      <c r="IU256" s="2228"/>
      <c r="IV256" s="2228"/>
      <c r="IW256" s="2227"/>
      <c r="IX256" s="2228"/>
      <c r="IY256" s="2228"/>
      <c r="IZ256" s="2228"/>
      <c r="JA256" s="2228"/>
      <c r="JB256" s="2228"/>
      <c r="JC256" s="2228"/>
      <c r="JD256" s="2228"/>
      <c r="JE256" s="2228"/>
      <c r="JF256" s="2228"/>
      <c r="JG256" s="2228"/>
      <c r="JH256" s="2228"/>
      <c r="JI256" s="2228"/>
      <c r="JJ256" s="2228"/>
      <c r="JK256" s="2228"/>
      <c r="JL256" s="2228"/>
      <c r="JM256" s="2227"/>
      <c r="JN256" s="2228"/>
      <c r="JO256" s="2228"/>
      <c r="JP256" s="2228"/>
      <c r="JQ256" s="2228"/>
      <c r="JR256" s="2228"/>
      <c r="JS256" s="2228"/>
      <c r="JT256" s="2228"/>
      <c r="JU256" s="2228"/>
      <c r="JV256" s="2228"/>
      <c r="JW256" s="2228"/>
      <c r="JX256" s="2228"/>
      <c r="JY256" s="2228"/>
      <c r="JZ256" s="2228"/>
      <c r="KA256" s="2228"/>
      <c r="KB256" s="2228"/>
      <c r="KC256" s="2227"/>
      <c r="KD256" s="2228"/>
      <c r="KE256" s="2228"/>
      <c r="KF256" s="2228"/>
      <c r="KG256" s="2228"/>
      <c r="KH256" s="2228"/>
      <c r="KI256" s="2228"/>
      <c r="KJ256" s="2228"/>
      <c r="KK256" s="2228"/>
      <c r="KL256" s="2228"/>
      <c r="KM256" s="2228"/>
      <c r="KN256" s="2228"/>
      <c r="KO256" s="2228"/>
      <c r="KP256" s="2228"/>
      <c r="KQ256" s="2228"/>
      <c r="KR256" s="2228"/>
      <c r="KS256" s="2227"/>
      <c r="KT256" s="2228"/>
      <c r="KU256" s="2228"/>
      <c r="KV256" s="2228"/>
      <c r="KW256" s="2228"/>
      <c r="KX256" s="2228"/>
      <c r="KY256" s="2228"/>
      <c r="KZ256" s="2228"/>
      <c r="LA256" s="2228"/>
      <c r="LB256" s="2228"/>
      <c r="LC256" s="2228"/>
      <c r="LD256" s="2228"/>
      <c r="LE256" s="2228"/>
      <c r="LF256" s="2228"/>
      <c r="LG256" s="2228"/>
      <c r="LH256" s="2228"/>
      <c r="LI256" s="2227"/>
      <c r="LJ256" s="2228"/>
      <c r="LK256" s="2228"/>
      <c r="LL256" s="2228"/>
      <c r="LM256" s="2228"/>
      <c r="LN256" s="2228"/>
      <c r="LO256" s="2228"/>
      <c r="LP256" s="2228"/>
      <c r="LQ256" s="2228"/>
      <c r="LR256" s="2228"/>
      <c r="LS256" s="2228"/>
      <c r="LT256" s="2228"/>
      <c r="LU256" s="2228"/>
      <c r="LV256" s="2228"/>
      <c r="LW256" s="2228"/>
      <c r="LX256" s="2228"/>
      <c r="LY256" s="2227"/>
      <c r="LZ256" s="2228"/>
      <c r="MA256" s="2228"/>
      <c r="MB256" s="2228"/>
      <c r="MC256" s="2228"/>
      <c r="MD256" s="2228"/>
      <c r="ME256" s="2228"/>
      <c r="MF256" s="2228"/>
      <c r="MG256" s="2228"/>
      <c r="MH256" s="2228"/>
      <c r="MI256" s="2228"/>
      <c r="MJ256" s="2228"/>
      <c r="MK256" s="2228"/>
      <c r="ML256" s="2228"/>
      <c r="MM256" s="2228"/>
      <c r="MN256" s="2228"/>
      <c r="MO256" s="2227"/>
      <c r="MP256" s="2228"/>
      <c r="MQ256" s="2228"/>
      <c r="MR256" s="2228"/>
      <c r="MS256" s="2228"/>
      <c r="MT256" s="2228"/>
      <c r="MU256" s="2228"/>
      <c r="MV256" s="2228"/>
      <c r="MW256" s="2228"/>
      <c r="MX256" s="2228"/>
      <c r="MY256" s="2228"/>
      <c r="MZ256" s="2228"/>
      <c r="NA256" s="2228"/>
      <c r="NB256" s="2228"/>
      <c r="NC256" s="2228"/>
      <c r="ND256" s="2228"/>
      <c r="NE256" s="2227"/>
      <c r="NF256" s="2228"/>
      <c r="NG256" s="2228"/>
      <c r="NH256" s="2228"/>
      <c r="NI256" s="2228"/>
      <c r="NJ256" s="2228"/>
      <c r="NK256" s="2228"/>
      <c r="NL256" s="2228"/>
      <c r="NM256" s="2228"/>
      <c r="NN256" s="2228"/>
      <c r="NO256" s="2228"/>
      <c r="NP256" s="2228"/>
      <c r="NQ256" s="2228"/>
      <c r="NR256" s="2228"/>
      <c r="NS256" s="2228"/>
      <c r="NT256" s="2228"/>
      <c r="NU256" s="2227"/>
      <c r="NV256" s="2228"/>
      <c r="NW256" s="2228"/>
      <c r="NX256" s="2228"/>
      <c r="NY256" s="2228"/>
      <c r="NZ256" s="2228"/>
      <c r="OA256" s="2228"/>
      <c r="OB256" s="2228"/>
      <c r="OC256" s="2228"/>
      <c r="OD256" s="2228"/>
      <c r="OE256" s="2228"/>
      <c r="OF256" s="2228"/>
      <c r="OG256" s="2228"/>
      <c r="OH256" s="2228"/>
      <c r="OI256" s="2228"/>
      <c r="OJ256" s="2228"/>
      <c r="OK256" s="2227"/>
      <c r="OL256" s="2228"/>
      <c r="OM256" s="2228"/>
      <c r="ON256" s="2228"/>
      <c r="OO256" s="2228"/>
      <c r="OP256" s="2228"/>
      <c r="OQ256" s="2228"/>
      <c r="OR256" s="2228"/>
      <c r="OS256" s="2228"/>
      <c r="OT256" s="2228"/>
      <c r="OU256" s="2228"/>
      <c r="OV256" s="2228"/>
      <c r="OW256" s="2228"/>
      <c r="OX256" s="2228"/>
      <c r="OY256" s="2228"/>
      <c r="OZ256" s="2228"/>
      <c r="PA256" s="2227"/>
      <c r="PB256" s="2228"/>
      <c r="PC256" s="2228"/>
      <c r="PD256" s="2228"/>
      <c r="PE256" s="2228"/>
      <c r="PF256" s="2228"/>
      <c r="PG256" s="2228"/>
      <c r="PH256" s="2228"/>
      <c r="PI256" s="2228"/>
      <c r="PJ256" s="2228"/>
      <c r="PK256" s="2228"/>
      <c r="PL256" s="2228"/>
      <c r="PM256" s="2228"/>
      <c r="PN256" s="2228"/>
      <c r="PO256" s="2228"/>
      <c r="PP256" s="2228"/>
      <c r="PQ256" s="2227"/>
      <c r="PR256" s="2228"/>
      <c r="PS256" s="2228"/>
      <c r="PT256" s="2228"/>
      <c r="PU256" s="2228"/>
      <c r="PV256" s="2228"/>
      <c r="PW256" s="2228"/>
      <c r="PX256" s="2228"/>
      <c r="PY256" s="2228"/>
      <c r="PZ256" s="2228"/>
      <c r="QA256" s="2228"/>
      <c r="QB256" s="2228"/>
      <c r="QC256" s="2228"/>
      <c r="QD256" s="2228"/>
      <c r="QE256" s="2228"/>
      <c r="QF256" s="2228"/>
      <c r="QG256" s="2227"/>
      <c r="QH256" s="2228"/>
      <c r="QI256" s="2228"/>
      <c r="QJ256" s="2228"/>
      <c r="QK256" s="2228"/>
      <c r="QL256" s="2228"/>
      <c r="QM256" s="2228"/>
      <c r="QN256" s="2228"/>
      <c r="QO256" s="2228"/>
      <c r="QP256" s="2228"/>
      <c r="QQ256" s="2228"/>
      <c r="QR256" s="2228"/>
      <c r="QS256" s="2228"/>
      <c r="QT256" s="2228"/>
      <c r="QU256" s="2228"/>
      <c r="QV256" s="2228"/>
      <c r="QW256" s="2227"/>
      <c r="QX256" s="2228"/>
      <c r="QY256" s="2228"/>
      <c r="QZ256" s="2228"/>
      <c r="RA256" s="2228"/>
      <c r="RB256" s="2228"/>
      <c r="RC256" s="2228"/>
      <c r="RD256" s="2228"/>
      <c r="RE256" s="2228"/>
      <c r="RF256" s="2228"/>
      <c r="RG256" s="2228"/>
      <c r="RH256" s="2228"/>
      <c r="RI256" s="2228"/>
      <c r="RJ256" s="2228"/>
      <c r="RK256" s="2228"/>
      <c r="RL256" s="2228"/>
      <c r="RM256" s="2227"/>
      <c r="RN256" s="2228"/>
      <c r="RO256" s="2228"/>
      <c r="RP256" s="2228"/>
      <c r="RQ256" s="2228"/>
      <c r="RR256" s="2228"/>
      <c r="RS256" s="2228"/>
      <c r="RT256" s="2228"/>
      <c r="RU256" s="2228"/>
      <c r="RV256" s="2228"/>
      <c r="RW256" s="2228"/>
      <c r="RX256" s="2228"/>
      <c r="RY256" s="2228"/>
      <c r="RZ256" s="2228"/>
      <c r="SA256" s="2228"/>
      <c r="SB256" s="2228"/>
      <c r="SC256" s="2227"/>
      <c r="SD256" s="2228"/>
      <c r="SE256" s="2228"/>
      <c r="SF256" s="2228"/>
      <c r="SG256" s="2228"/>
      <c r="SH256" s="2228"/>
      <c r="SI256" s="2228"/>
      <c r="SJ256" s="2228"/>
      <c r="SK256" s="2228"/>
      <c r="SL256" s="2228"/>
      <c r="SM256" s="2228"/>
      <c r="SN256" s="2228"/>
      <c r="SO256" s="2228"/>
      <c r="SP256" s="2228"/>
      <c r="SQ256" s="2228"/>
      <c r="SR256" s="2228"/>
      <c r="SS256" s="2227"/>
      <c r="ST256" s="2228"/>
      <c r="SU256" s="2228"/>
      <c r="SV256" s="2228"/>
      <c r="SW256" s="2228"/>
      <c r="SX256" s="2228"/>
      <c r="SY256" s="2228"/>
      <c r="SZ256" s="2228"/>
      <c r="TA256" s="2228"/>
      <c r="TB256" s="2228"/>
      <c r="TC256" s="2228"/>
      <c r="TD256" s="2228"/>
      <c r="TE256" s="2228"/>
      <c r="TF256" s="2228"/>
      <c r="TG256" s="2228"/>
      <c r="TH256" s="2228"/>
      <c r="TI256" s="2227"/>
      <c r="TJ256" s="2228"/>
      <c r="TK256" s="2228"/>
      <c r="TL256" s="2228"/>
      <c r="TM256" s="2228"/>
      <c r="TN256" s="2228"/>
      <c r="TO256" s="2228"/>
      <c r="TP256" s="2228"/>
      <c r="TQ256" s="2228"/>
      <c r="TR256" s="2228"/>
      <c r="TS256" s="2228"/>
      <c r="TT256" s="2228"/>
      <c r="TU256" s="2228"/>
      <c r="TV256" s="2228"/>
      <c r="TW256" s="2228"/>
      <c r="TX256" s="2228"/>
      <c r="TY256" s="2227"/>
      <c r="TZ256" s="2228"/>
      <c r="UA256" s="2228"/>
      <c r="UB256" s="2228"/>
      <c r="UC256" s="2228"/>
      <c r="UD256" s="2228"/>
      <c r="UE256" s="2228"/>
      <c r="UF256" s="2228"/>
      <c r="UG256" s="2228"/>
      <c r="UH256" s="2228"/>
      <c r="UI256" s="2228"/>
      <c r="UJ256" s="2228"/>
      <c r="UK256" s="2228"/>
      <c r="UL256" s="2228"/>
      <c r="UM256" s="2228"/>
      <c r="UN256" s="2228"/>
      <c r="UO256" s="2227"/>
      <c r="UP256" s="2228"/>
      <c r="UQ256" s="2228"/>
      <c r="UR256" s="2228"/>
      <c r="US256" s="2228"/>
      <c r="UT256" s="2228"/>
      <c r="UU256" s="2228"/>
      <c r="UV256" s="2228"/>
      <c r="UW256" s="2228"/>
      <c r="UX256" s="2228"/>
      <c r="UY256" s="2228"/>
      <c r="UZ256" s="2228"/>
      <c r="VA256" s="2228"/>
      <c r="VB256" s="2228"/>
      <c r="VC256" s="2228"/>
      <c r="VD256" s="2228"/>
      <c r="VE256" s="2227"/>
      <c r="VF256" s="2228"/>
      <c r="VG256" s="2228"/>
      <c r="VH256" s="2228"/>
      <c r="VI256" s="2228"/>
      <c r="VJ256" s="2228"/>
      <c r="VK256" s="2228"/>
      <c r="VL256" s="2228"/>
      <c r="VM256" s="2228"/>
      <c r="VN256" s="2228"/>
      <c r="VO256" s="2228"/>
      <c r="VP256" s="2228"/>
      <c r="VQ256" s="2228"/>
      <c r="VR256" s="2228"/>
      <c r="VS256" s="2228"/>
      <c r="VT256" s="2228"/>
      <c r="VU256" s="2227"/>
      <c r="VV256" s="2228"/>
      <c r="VW256" s="2228"/>
      <c r="VX256" s="2228"/>
      <c r="VY256" s="2228"/>
      <c r="VZ256" s="2228"/>
      <c r="WA256" s="2228"/>
      <c r="WB256" s="2228"/>
      <c r="WC256" s="2228"/>
      <c r="WD256" s="2228"/>
      <c r="WE256" s="2228"/>
      <c r="WF256" s="2228"/>
      <c r="WG256" s="2228"/>
      <c r="WH256" s="2228"/>
      <c r="WI256" s="2228"/>
      <c r="WJ256" s="2228"/>
      <c r="WK256" s="2227"/>
      <c r="WL256" s="2228"/>
      <c r="WM256" s="2228"/>
      <c r="WN256" s="2228"/>
      <c r="WO256" s="2228"/>
      <c r="WP256" s="2228"/>
      <c r="WQ256" s="2228"/>
      <c r="WR256" s="2228"/>
      <c r="WS256" s="2228"/>
      <c r="WT256" s="2228"/>
      <c r="WU256" s="2228"/>
      <c r="WV256" s="2228"/>
      <c r="WW256" s="2228"/>
      <c r="WX256" s="2228"/>
      <c r="WY256" s="2228"/>
      <c r="WZ256" s="2228"/>
      <c r="XA256" s="2227"/>
      <c r="XB256" s="2228"/>
      <c r="XC256" s="2228"/>
      <c r="XD256" s="2228"/>
      <c r="XE256" s="2228"/>
      <c r="XF256" s="2228"/>
      <c r="XG256" s="2228"/>
      <c r="XH256" s="2228"/>
      <c r="XI256" s="2228"/>
      <c r="XJ256" s="2228"/>
      <c r="XK256" s="2228"/>
      <c r="XL256" s="2228"/>
      <c r="XM256" s="2228"/>
      <c r="XN256" s="2228"/>
      <c r="XO256" s="2228"/>
      <c r="XP256" s="2228"/>
      <c r="XQ256" s="2227"/>
      <c r="XR256" s="2228"/>
      <c r="XS256" s="2228"/>
      <c r="XT256" s="2228"/>
      <c r="XU256" s="2228"/>
      <c r="XV256" s="2228"/>
      <c r="XW256" s="2228"/>
      <c r="XX256" s="2228"/>
      <c r="XY256" s="2228"/>
      <c r="XZ256" s="2228"/>
      <c r="YA256" s="2228"/>
      <c r="YB256" s="2228"/>
      <c r="YC256" s="2228"/>
      <c r="YD256" s="2228"/>
      <c r="YE256" s="2228"/>
      <c r="YF256" s="2228"/>
      <c r="YG256" s="2227"/>
      <c r="YH256" s="2228"/>
      <c r="YI256" s="2228"/>
      <c r="YJ256" s="2228"/>
      <c r="YK256" s="2228"/>
      <c r="YL256" s="2228"/>
      <c r="YM256" s="2228"/>
      <c r="YN256" s="2228"/>
      <c r="YO256" s="2228"/>
      <c r="YP256" s="2228"/>
      <c r="YQ256" s="2228"/>
      <c r="YR256" s="2228"/>
      <c r="YS256" s="2228"/>
      <c r="YT256" s="2228"/>
      <c r="YU256" s="2228"/>
      <c r="YV256" s="2228"/>
      <c r="YW256" s="2227"/>
      <c r="YX256" s="2228"/>
      <c r="YY256" s="2228"/>
      <c r="YZ256" s="2228"/>
      <c r="ZA256" s="2228"/>
      <c r="ZB256" s="2228"/>
      <c r="ZC256" s="2228"/>
      <c r="ZD256" s="2228"/>
      <c r="ZE256" s="2228"/>
      <c r="ZF256" s="2228"/>
      <c r="ZG256" s="2228"/>
      <c r="ZH256" s="2228"/>
      <c r="ZI256" s="2228"/>
      <c r="ZJ256" s="2228"/>
      <c r="ZK256" s="2228"/>
      <c r="ZL256" s="2228"/>
      <c r="ZM256" s="2227"/>
      <c r="ZN256" s="2228"/>
      <c r="ZO256" s="2228"/>
      <c r="ZP256" s="2228"/>
      <c r="ZQ256" s="2228"/>
      <c r="ZR256" s="2228"/>
      <c r="ZS256" s="2228"/>
      <c r="ZT256" s="2228"/>
      <c r="ZU256" s="2228"/>
      <c r="ZV256" s="2228"/>
      <c r="ZW256" s="2228"/>
      <c r="ZX256" s="2228"/>
      <c r="ZY256" s="2228"/>
      <c r="ZZ256" s="2228"/>
      <c r="AAA256" s="2228"/>
      <c r="AAB256" s="2228"/>
      <c r="AAC256" s="2227"/>
      <c r="AAD256" s="2228"/>
      <c r="AAE256" s="2228"/>
      <c r="AAF256" s="2228"/>
      <c r="AAG256" s="2228"/>
      <c r="AAH256" s="2228"/>
      <c r="AAI256" s="2228"/>
      <c r="AAJ256" s="2228"/>
      <c r="AAK256" s="2228"/>
      <c r="AAL256" s="2228"/>
      <c r="AAM256" s="2228"/>
      <c r="AAN256" s="2228"/>
      <c r="AAO256" s="2228"/>
      <c r="AAP256" s="2228"/>
      <c r="AAQ256" s="2228"/>
      <c r="AAR256" s="2228"/>
      <c r="AAS256" s="2227"/>
      <c r="AAT256" s="2228"/>
      <c r="AAU256" s="2228"/>
      <c r="AAV256" s="2228"/>
      <c r="AAW256" s="2228"/>
      <c r="AAX256" s="2228"/>
      <c r="AAY256" s="2228"/>
      <c r="AAZ256" s="2228"/>
      <c r="ABA256" s="2228"/>
      <c r="ABB256" s="2228"/>
      <c r="ABC256" s="2228"/>
      <c r="ABD256" s="2228"/>
      <c r="ABE256" s="2228"/>
      <c r="ABF256" s="2228"/>
      <c r="ABG256" s="2228"/>
      <c r="ABH256" s="2228"/>
      <c r="ABI256" s="2227"/>
      <c r="ABJ256" s="2228"/>
      <c r="ABK256" s="2228"/>
      <c r="ABL256" s="2228"/>
      <c r="ABM256" s="2228"/>
      <c r="ABN256" s="2228"/>
      <c r="ABO256" s="2228"/>
      <c r="ABP256" s="2228"/>
      <c r="ABQ256" s="2228"/>
      <c r="ABR256" s="2228"/>
      <c r="ABS256" s="2228"/>
      <c r="ABT256" s="2228"/>
      <c r="ABU256" s="2228"/>
      <c r="ABV256" s="2228"/>
      <c r="ABW256" s="2228"/>
      <c r="ABX256" s="2228"/>
      <c r="ABY256" s="2227"/>
      <c r="ABZ256" s="2228"/>
      <c r="ACA256" s="2228"/>
      <c r="ACB256" s="2228"/>
      <c r="ACC256" s="2228"/>
      <c r="ACD256" s="2228"/>
      <c r="ACE256" s="2228"/>
      <c r="ACF256" s="2228"/>
      <c r="ACG256" s="2228"/>
      <c r="ACH256" s="2228"/>
      <c r="ACI256" s="2228"/>
      <c r="ACJ256" s="2228"/>
      <c r="ACK256" s="2228"/>
      <c r="ACL256" s="2228"/>
      <c r="ACM256" s="2228"/>
      <c r="ACN256" s="2228"/>
      <c r="ACO256" s="2227"/>
      <c r="ACP256" s="2228"/>
      <c r="ACQ256" s="2228"/>
      <c r="ACR256" s="2228"/>
      <c r="ACS256" s="2228"/>
      <c r="ACT256" s="2228"/>
      <c r="ACU256" s="2228"/>
      <c r="ACV256" s="2228"/>
      <c r="ACW256" s="2228"/>
      <c r="ACX256" s="2228"/>
      <c r="ACY256" s="2228"/>
      <c r="ACZ256" s="2228"/>
      <c r="ADA256" s="2228"/>
      <c r="ADB256" s="2228"/>
      <c r="ADC256" s="2228"/>
      <c r="ADD256" s="2228"/>
      <c r="ADE256" s="2227"/>
      <c r="ADF256" s="2228"/>
      <c r="ADG256" s="2228"/>
      <c r="ADH256" s="2228"/>
      <c r="ADI256" s="2228"/>
      <c r="ADJ256" s="2228"/>
      <c r="ADK256" s="2228"/>
      <c r="ADL256" s="2228"/>
      <c r="ADM256" s="2228"/>
      <c r="ADN256" s="2228"/>
      <c r="ADO256" s="2228"/>
      <c r="ADP256" s="2228"/>
      <c r="ADQ256" s="2228"/>
      <c r="ADR256" s="2228"/>
      <c r="ADS256" s="2228"/>
      <c r="ADT256" s="2228"/>
      <c r="ADU256" s="2227"/>
      <c r="ADV256" s="2228"/>
      <c r="ADW256" s="2228"/>
      <c r="ADX256" s="2228"/>
      <c r="ADY256" s="2228"/>
      <c r="ADZ256" s="2228"/>
      <c r="AEA256" s="2228"/>
      <c r="AEB256" s="2228"/>
      <c r="AEC256" s="2228"/>
      <c r="AED256" s="2228"/>
      <c r="AEE256" s="2228"/>
      <c r="AEF256" s="2228"/>
      <c r="AEG256" s="2228"/>
      <c r="AEH256" s="2228"/>
      <c r="AEI256" s="2228"/>
      <c r="AEJ256" s="2228"/>
      <c r="AEK256" s="2227"/>
      <c r="AEL256" s="2228"/>
      <c r="AEM256" s="2228"/>
      <c r="AEN256" s="2228"/>
      <c r="AEO256" s="2228"/>
      <c r="AEP256" s="2228"/>
      <c r="AEQ256" s="2228"/>
      <c r="AER256" s="2228"/>
      <c r="AES256" s="2228"/>
      <c r="AET256" s="2228"/>
      <c r="AEU256" s="2228"/>
      <c r="AEV256" s="2228"/>
      <c r="AEW256" s="2228"/>
      <c r="AEX256" s="2228"/>
      <c r="AEY256" s="2228"/>
      <c r="AEZ256" s="2228"/>
      <c r="AFA256" s="2227"/>
      <c r="AFB256" s="2228"/>
      <c r="AFC256" s="2228"/>
      <c r="AFD256" s="2228"/>
      <c r="AFE256" s="2228"/>
      <c r="AFF256" s="2228"/>
      <c r="AFG256" s="2228"/>
      <c r="AFH256" s="2228"/>
      <c r="AFI256" s="2228"/>
      <c r="AFJ256" s="2228"/>
      <c r="AFK256" s="2228"/>
      <c r="AFL256" s="2228"/>
      <c r="AFM256" s="2228"/>
      <c r="AFN256" s="2228"/>
      <c r="AFO256" s="2228"/>
      <c r="AFP256" s="2228"/>
      <c r="AFQ256" s="2227"/>
      <c r="AFR256" s="2228"/>
      <c r="AFS256" s="2228"/>
      <c r="AFT256" s="2228"/>
      <c r="AFU256" s="2228"/>
      <c r="AFV256" s="2228"/>
      <c r="AFW256" s="2228"/>
      <c r="AFX256" s="2228"/>
      <c r="AFY256" s="2228"/>
      <c r="AFZ256" s="2228"/>
      <c r="AGA256" s="2228"/>
      <c r="AGB256" s="2228"/>
      <c r="AGC256" s="2228"/>
      <c r="AGD256" s="2228"/>
      <c r="AGE256" s="2228"/>
      <c r="AGF256" s="2228"/>
      <c r="AGG256" s="2227"/>
      <c r="AGH256" s="2228"/>
      <c r="AGI256" s="2228"/>
      <c r="AGJ256" s="2228"/>
      <c r="AGK256" s="2228"/>
      <c r="AGL256" s="2228"/>
      <c r="AGM256" s="2228"/>
      <c r="AGN256" s="2228"/>
      <c r="AGO256" s="2228"/>
      <c r="AGP256" s="2228"/>
      <c r="AGQ256" s="2228"/>
      <c r="AGR256" s="2228"/>
      <c r="AGS256" s="2228"/>
      <c r="AGT256" s="2228"/>
      <c r="AGU256" s="2228"/>
      <c r="AGV256" s="2228"/>
      <c r="AGW256" s="2227"/>
      <c r="AGX256" s="2228"/>
      <c r="AGY256" s="2228"/>
      <c r="AGZ256" s="2228"/>
      <c r="AHA256" s="2228"/>
      <c r="AHB256" s="2228"/>
      <c r="AHC256" s="2228"/>
      <c r="AHD256" s="2228"/>
      <c r="AHE256" s="2228"/>
      <c r="AHF256" s="2228"/>
      <c r="AHG256" s="2228"/>
      <c r="AHH256" s="2228"/>
      <c r="AHI256" s="2228"/>
      <c r="AHJ256" s="2228"/>
      <c r="AHK256" s="2228"/>
      <c r="AHL256" s="2228"/>
      <c r="AHM256" s="2227"/>
      <c r="AHN256" s="2228"/>
      <c r="AHO256" s="2228"/>
      <c r="AHP256" s="2228"/>
      <c r="AHQ256" s="2228"/>
      <c r="AHR256" s="2228"/>
      <c r="AHS256" s="2228"/>
      <c r="AHT256" s="2228"/>
      <c r="AHU256" s="2228"/>
      <c r="AHV256" s="2228"/>
      <c r="AHW256" s="2228"/>
      <c r="AHX256" s="2228"/>
      <c r="AHY256" s="2228"/>
      <c r="AHZ256" s="2228"/>
      <c r="AIA256" s="2228"/>
      <c r="AIB256" s="2228"/>
      <c r="AIC256" s="2227"/>
      <c r="AID256" s="2228"/>
      <c r="AIE256" s="2228"/>
      <c r="AIF256" s="2228"/>
      <c r="AIG256" s="2228"/>
      <c r="AIH256" s="2228"/>
      <c r="AII256" s="2228"/>
      <c r="AIJ256" s="2228"/>
      <c r="AIK256" s="2228"/>
      <c r="AIL256" s="2228"/>
      <c r="AIM256" s="2228"/>
      <c r="AIN256" s="2228"/>
      <c r="AIO256" s="2228"/>
      <c r="AIP256" s="2228"/>
      <c r="AIQ256" s="2228"/>
      <c r="AIR256" s="2228"/>
      <c r="AIS256" s="2227"/>
      <c r="AIT256" s="2228"/>
      <c r="AIU256" s="2228"/>
      <c r="AIV256" s="2228"/>
      <c r="AIW256" s="2228"/>
      <c r="AIX256" s="2228"/>
      <c r="AIY256" s="2228"/>
      <c r="AIZ256" s="2228"/>
      <c r="AJA256" s="2228"/>
      <c r="AJB256" s="2228"/>
      <c r="AJC256" s="2228"/>
      <c r="AJD256" s="2228"/>
      <c r="AJE256" s="2228"/>
      <c r="AJF256" s="2228"/>
      <c r="AJG256" s="2228"/>
      <c r="AJH256" s="2228"/>
      <c r="AJI256" s="2227"/>
      <c r="AJJ256" s="2228"/>
      <c r="AJK256" s="2228"/>
      <c r="AJL256" s="2228"/>
      <c r="AJM256" s="2228"/>
      <c r="AJN256" s="2228"/>
      <c r="AJO256" s="2228"/>
      <c r="AJP256" s="2228"/>
      <c r="AJQ256" s="2228"/>
      <c r="AJR256" s="2228"/>
      <c r="AJS256" s="2228"/>
      <c r="AJT256" s="2228"/>
      <c r="AJU256" s="2228"/>
      <c r="AJV256" s="2228"/>
      <c r="AJW256" s="2228"/>
      <c r="AJX256" s="2228"/>
      <c r="AJY256" s="2227"/>
      <c r="AJZ256" s="2228"/>
      <c r="AKA256" s="2228"/>
      <c r="AKB256" s="2228"/>
      <c r="AKC256" s="2228"/>
      <c r="AKD256" s="2228"/>
      <c r="AKE256" s="2228"/>
      <c r="AKF256" s="2228"/>
      <c r="AKG256" s="2228"/>
      <c r="AKH256" s="2228"/>
      <c r="AKI256" s="2228"/>
      <c r="AKJ256" s="2228"/>
      <c r="AKK256" s="2228"/>
      <c r="AKL256" s="2228"/>
      <c r="AKM256" s="2228"/>
      <c r="AKN256" s="2228"/>
      <c r="AKO256" s="2227"/>
      <c r="AKP256" s="2228"/>
      <c r="AKQ256" s="2228"/>
      <c r="AKR256" s="2228"/>
      <c r="AKS256" s="2228"/>
      <c r="AKT256" s="2228"/>
      <c r="AKU256" s="2228"/>
      <c r="AKV256" s="2228"/>
      <c r="AKW256" s="2228"/>
      <c r="AKX256" s="2228"/>
      <c r="AKY256" s="2228"/>
      <c r="AKZ256" s="2228"/>
      <c r="ALA256" s="2228"/>
      <c r="ALB256" s="2228"/>
      <c r="ALC256" s="2228"/>
      <c r="ALD256" s="2228"/>
      <c r="ALE256" s="2227"/>
      <c r="ALF256" s="2228"/>
      <c r="ALG256" s="2228"/>
      <c r="ALH256" s="2228"/>
      <c r="ALI256" s="2228"/>
      <c r="ALJ256" s="2228"/>
      <c r="ALK256" s="2228"/>
      <c r="ALL256" s="2228"/>
      <c r="ALM256" s="2228"/>
      <c r="ALN256" s="2228"/>
      <c r="ALO256" s="2228"/>
      <c r="ALP256" s="2228"/>
      <c r="ALQ256" s="2228"/>
      <c r="ALR256" s="2228"/>
      <c r="ALS256" s="2228"/>
      <c r="ALT256" s="2228"/>
      <c r="ALU256" s="2227"/>
      <c r="ALV256" s="2228"/>
      <c r="ALW256" s="2228"/>
      <c r="ALX256" s="2228"/>
      <c r="ALY256" s="2228"/>
      <c r="ALZ256" s="2228"/>
      <c r="AMA256" s="2228"/>
      <c r="AMB256" s="2228"/>
      <c r="AMC256" s="2228"/>
      <c r="AMD256" s="2228"/>
      <c r="AME256" s="2228"/>
      <c r="AMF256" s="2228"/>
      <c r="AMG256" s="2228"/>
      <c r="AMH256" s="2228"/>
      <c r="AMI256" s="2228"/>
      <c r="AMJ256" s="2228"/>
      <c r="AMK256" s="2227"/>
      <c r="AML256" s="2228"/>
      <c r="AMM256" s="2228"/>
      <c r="AMN256" s="2228"/>
      <c r="AMO256" s="2228"/>
      <c r="AMP256" s="2228"/>
      <c r="AMQ256" s="2228"/>
      <c r="AMR256" s="2228"/>
      <c r="AMS256" s="2228"/>
      <c r="AMT256" s="2228"/>
      <c r="AMU256" s="2228"/>
      <c r="AMV256" s="2228"/>
      <c r="AMW256" s="2228"/>
      <c r="AMX256" s="2228"/>
      <c r="AMY256" s="2228"/>
      <c r="AMZ256" s="2228"/>
      <c r="ANA256" s="2227"/>
      <c r="ANB256" s="2228"/>
      <c r="ANC256" s="2228"/>
      <c r="AND256" s="2228"/>
      <c r="ANE256" s="2228"/>
      <c r="ANF256" s="2228"/>
      <c r="ANG256" s="2228"/>
      <c r="ANH256" s="2228"/>
      <c r="ANI256" s="2228"/>
      <c r="ANJ256" s="2228"/>
      <c r="ANK256" s="2228"/>
      <c r="ANL256" s="2228"/>
      <c r="ANM256" s="2228"/>
      <c r="ANN256" s="2228"/>
      <c r="ANO256" s="2228"/>
      <c r="ANP256" s="2228"/>
      <c r="ANQ256" s="2227"/>
      <c r="ANR256" s="2228"/>
      <c r="ANS256" s="2228"/>
      <c r="ANT256" s="2228"/>
      <c r="ANU256" s="2228"/>
      <c r="ANV256" s="2228"/>
      <c r="ANW256" s="2228"/>
      <c r="ANX256" s="2228"/>
      <c r="ANY256" s="2228"/>
      <c r="ANZ256" s="2228"/>
      <c r="AOA256" s="2228"/>
      <c r="AOB256" s="2228"/>
      <c r="AOC256" s="2228"/>
      <c r="AOD256" s="2228"/>
      <c r="AOE256" s="2228"/>
      <c r="AOF256" s="2228"/>
      <c r="AOG256" s="2227"/>
      <c r="AOH256" s="2228"/>
      <c r="AOI256" s="2228"/>
      <c r="AOJ256" s="2228"/>
      <c r="AOK256" s="2228"/>
      <c r="AOL256" s="2228"/>
      <c r="AOM256" s="2228"/>
      <c r="AON256" s="2228"/>
      <c r="AOO256" s="2228"/>
      <c r="AOP256" s="2228"/>
      <c r="AOQ256" s="2228"/>
      <c r="AOR256" s="2228"/>
      <c r="AOS256" s="2228"/>
      <c r="AOT256" s="2228"/>
      <c r="AOU256" s="2228"/>
      <c r="AOV256" s="2228"/>
      <c r="AOW256" s="2227"/>
      <c r="AOX256" s="2228"/>
      <c r="AOY256" s="2228"/>
      <c r="AOZ256" s="2228"/>
      <c r="APA256" s="2228"/>
      <c r="APB256" s="2228"/>
      <c r="APC256" s="2228"/>
      <c r="APD256" s="2228"/>
      <c r="APE256" s="2228"/>
      <c r="APF256" s="2228"/>
      <c r="APG256" s="2228"/>
      <c r="APH256" s="2228"/>
      <c r="API256" s="2228"/>
      <c r="APJ256" s="2228"/>
      <c r="APK256" s="2228"/>
      <c r="APL256" s="2228"/>
      <c r="APM256" s="2227"/>
      <c r="APN256" s="2228"/>
      <c r="APO256" s="2228"/>
      <c r="APP256" s="2228"/>
      <c r="APQ256" s="2228"/>
      <c r="APR256" s="2228"/>
      <c r="APS256" s="2228"/>
      <c r="APT256" s="2228"/>
      <c r="APU256" s="2228"/>
      <c r="APV256" s="2228"/>
      <c r="APW256" s="2228"/>
      <c r="APX256" s="2228"/>
      <c r="APY256" s="2228"/>
      <c r="APZ256" s="2228"/>
      <c r="AQA256" s="2228"/>
      <c r="AQB256" s="2228"/>
      <c r="AQC256" s="2227"/>
      <c r="AQD256" s="2228"/>
      <c r="AQE256" s="2228"/>
      <c r="AQF256" s="2228"/>
      <c r="AQG256" s="2228"/>
      <c r="AQH256" s="2228"/>
      <c r="AQI256" s="2228"/>
      <c r="AQJ256" s="2228"/>
      <c r="AQK256" s="2228"/>
      <c r="AQL256" s="2228"/>
      <c r="AQM256" s="2228"/>
      <c r="AQN256" s="2228"/>
      <c r="AQO256" s="2228"/>
      <c r="AQP256" s="2228"/>
      <c r="AQQ256" s="2228"/>
      <c r="AQR256" s="2228"/>
      <c r="AQS256" s="2227"/>
      <c r="AQT256" s="2228"/>
      <c r="AQU256" s="2228"/>
      <c r="AQV256" s="2228"/>
      <c r="AQW256" s="2228"/>
      <c r="AQX256" s="2228"/>
      <c r="AQY256" s="2228"/>
      <c r="AQZ256" s="2228"/>
      <c r="ARA256" s="2228"/>
      <c r="ARB256" s="2228"/>
      <c r="ARC256" s="2228"/>
      <c r="ARD256" s="2228"/>
      <c r="ARE256" s="2228"/>
      <c r="ARF256" s="2228"/>
      <c r="ARG256" s="2228"/>
      <c r="ARH256" s="2228"/>
      <c r="ARI256" s="2227"/>
      <c r="ARJ256" s="2228"/>
      <c r="ARK256" s="2228"/>
      <c r="ARL256" s="2228"/>
      <c r="ARM256" s="2228"/>
      <c r="ARN256" s="2228"/>
      <c r="ARO256" s="2228"/>
      <c r="ARP256" s="2228"/>
      <c r="ARQ256" s="2228"/>
      <c r="ARR256" s="2228"/>
      <c r="ARS256" s="2228"/>
      <c r="ART256" s="2228"/>
      <c r="ARU256" s="2228"/>
      <c r="ARV256" s="2228"/>
      <c r="ARW256" s="2228"/>
      <c r="ARX256" s="2228"/>
      <c r="ARY256" s="2227"/>
      <c r="ARZ256" s="2228"/>
      <c r="ASA256" s="2228"/>
      <c r="ASB256" s="2228"/>
      <c r="ASC256" s="2228"/>
      <c r="ASD256" s="2228"/>
      <c r="ASE256" s="2228"/>
      <c r="ASF256" s="2228"/>
      <c r="ASG256" s="2228"/>
      <c r="ASH256" s="2228"/>
      <c r="ASI256" s="2228"/>
      <c r="ASJ256" s="2228"/>
      <c r="ASK256" s="2228"/>
      <c r="ASL256" s="2228"/>
      <c r="ASM256" s="2228"/>
      <c r="ASN256" s="2228"/>
      <c r="ASO256" s="2227"/>
      <c r="ASP256" s="2228"/>
      <c r="ASQ256" s="2228"/>
      <c r="ASR256" s="2228"/>
      <c r="ASS256" s="2228"/>
      <c r="AST256" s="2228"/>
      <c r="ASU256" s="2228"/>
      <c r="ASV256" s="2228"/>
      <c r="ASW256" s="2228"/>
      <c r="ASX256" s="2228"/>
      <c r="ASY256" s="2228"/>
      <c r="ASZ256" s="2228"/>
      <c r="ATA256" s="2228"/>
      <c r="ATB256" s="2228"/>
      <c r="ATC256" s="2228"/>
      <c r="ATD256" s="2228"/>
      <c r="ATE256" s="2227"/>
      <c r="ATF256" s="2228"/>
      <c r="ATG256" s="2228"/>
      <c r="ATH256" s="2228"/>
      <c r="ATI256" s="2228"/>
      <c r="ATJ256" s="2228"/>
      <c r="ATK256" s="2228"/>
      <c r="ATL256" s="2228"/>
      <c r="ATM256" s="2228"/>
      <c r="ATN256" s="2228"/>
      <c r="ATO256" s="2228"/>
      <c r="ATP256" s="2228"/>
      <c r="ATQ256" s="2228"/>
      <c r="ATR256" s="2228"/>
      <c r="ATS256" s="2228"/>
      <c r="ATT256" s="2228"/>
      <c r="ATU256" s="2227"/>
      <c r="ATV256" s="2228"/>
      <c r="ATW256" s="2228"/>
      <c r="ATX256" s="2228"/>
      <c r="ATY256" s="2228"/>
      <c r="ATZ256" s="2228"/>
      <c r="AUA256" s="2228"/>
      <c r="AUB256" s="2228"/>
      <c r="AUC256" s="2228"/>
      <c r="AUD256" s="2228"/>
      <c r="AUE256" s="2228"/>
      <c r="AUF256" s="2228"/>
      <c r="AUG256" s="2228"/>
      <c r="AUH256" s="2228"/>
      <c r="AUI256" s="2228"/>
      <c r="AUJ256" s="2228"/>
      <c r="AUK256" s="2227"/>
      <c r="AUL256" s="2228"/>
      <c r="AUM256" s="2228"/>
      <c r="AUN256" s="2228"/>
      <c r="AUO256" s="2228"/>
      <c r="AUP256" s="2228"/>
      <c r="AUQ256" s="2228"/>
      <c r="AUR256" s="2228"/>
      <c r="AUS256" s="2228"/>
      <c r="AUT256" s="2228"/>
      <c r="AUU256" s="2228"/>
      <c r="AUV256" s="2228"/>
      <c r="AUW256" s="2228"/>
      <c r="AUX256" s="2228"/>
      <c r="AUY256" s="2228"/>
      <c r="AUZ256" s="2228"/>
      <c r="AVA256" s="2227"/>
      <c r="AVB256" s="2228"/>
      <c r="AVC256" s="2228"/>
      <c r="AVD256" s="2228"/>
      <c r="AVE256" s="2228"/>
      <c r="AVF256" s="2228"/>
      <c r="AVG256" s="2228"/>
      <c r="AVH256" s="2228"/>
      <c r="AVI256" s="2228"/>
      <c r="AVJ256" s="2228"/>
      <c r="AVK256" s="2228"/>
      <c r="AVL256" s="2228"/>
      <c r="AVM256" s="2228"/>
      <c r="AVN256" s="2228"/>
      <c r="AVO256" s="2228"/>
      <c r="AVP256" s="2228"/>
      <c r="AVQ256" s="2227"/>
      <c r="AVR256" s="2228"/>
      <c r="AVS256" s="2228"/>
      <c r="AVT256" s="2228"/>
      <c r="AVU256" s="2228"/>
      <c r="AVV256" s="2228"/>
      <c r="AVW256" s="2228"/>
      <c r="AVX256" s="2228"/>
      <c r="AVY256" s="2228"/>
      <c r="AVZ256" s="2228"/>
      <c r="AWA256" s="2228"/>
      <c r="AWB256" s="2228"/>
      <c r="AWC256" s="2228"/>
      <c r="AWD256" s="2228"/>
      <c r="AWE256" s="2228"/>
      <c r="AWF256" s="2228"/>
      <c r="AWG256" s="2227"/>
      <c r="AWH256" s="2228"/>
      <c r="AWI256" s="2228"/>
      <c r="AWJ256" s="2228"/>
      <c r="AWK256" s="2228"/>
      <c r="AWL256" s="2228"/>
      <c r="AWM256" s="2228"/>
      <c r="AWN256" s="2228"/>
      <c r="AWO256" s="2228"/>
      <c r="AWP256" s="2228"/>
      <c r="AWQ256" s="2228"/>
      <c r="AWR256" s="2228"/>
      <c r="AWS256" s="2228"/>
      <c r="AWT256" s="2228"/>
      <c r="AWU256" s="2228"/>
      <c r="AWV256" s="2228"/>
      <c r="AWW256" s="2227"/>
      <c r="AWX256" s="2228"/>
      <c r="AWY256" s="2228"/>
      <c r="AWZ256" s="2228"/>
      <c r="AXA256" s="2228"/>
      <c r="AXB256" s="2228"/>
      <c r="AXC256" s="2228"/>
      <c r="AXD256" s="2228"/>
      <c r="AXE256" s="2228"/>
      <c r="AXF256" s="2228"/>
      <c r="AXG256" s="2228"/>
      <c r="AXH256" s="2228"/>
      <c r="AXI256" s="2228"/>
      <c r="AXJ256" s="2228"/>
      <c r="AXK256" s="2228"/>
      <c r="AXL256" s="2228"/>
      <c r="AXM256" s="2227"/>
      <c r="AXN256" s="2228"/>
      <c r="AXO256" s="2228"/>
      <c r="AXP256" s="2228"/>
      <c r="AXQ256" s="2228"/>
      <c r="AXR256" s="2228"/>
      <c r="AXS256" s="2228"/>
      <c r="AXT256" s="2228"/>
      <c r="AXU256" s="2228"/>
      <c r="AXV256" s="2228"/>
      <c r="AXW256" s="2228"/>
      <c r="AXX256" s="2228"/>
      <c r="AXY256" s="2228"/>
      <c r="AXZ256" s="2228"/>
      <c r="AYA256" s="2228"/>
      <c r="AYB256" s="2228"/>
      <c r="AYC256" s="2227"/>
      <c r="AYD256" s="2228"/>
      <c r="AYE256" s="2228"/>
      <c r="AYF256" s="2228"/>
      <c r="AYG256" s="2228"/>
      <c r="AYH256" s="2228"/>
      <c r="AYI256" s="2228"/>
      <c r="AYJ256" s="2228"/>
      <c r="AYK256" s="2228"/>
      <c r="AYL256" s="2228"/>
      <c r="AYM256" s="2228"/>
      <c r="AYN256" s="2228"/>
      <c r="AYO256" s="2228"/>
      <c r="AYP256" s="2228"/>
      <c r="AYQ256" s="2228"/>
      <c r="AYR256" s="2228"/>
      <c r="AYS256" s="2227"/>
      <c r="AYT256" s="2228"/>
      <c r="AYU256" s="2228"/>
      <c r="AYV256" s="2228"/>
      <c r="AYW256" s="2228"/>
      <c r="AYX256" s="2228"/>
      <c r="AYY256" s="2228"/>
      <c r="AYZ256" s="2228"/>
      <c r="AZA256" s="2228"/>
      <c r="AZB256" s="2228"/>
      <c r="AZC256" s="2228"/>
      <c r="AZD256" s="2228"/>
      <c r="AZE256" s="2228"/>
      <c r="AZF256" s="2228"/>
      <c r="AZG256" s="2228"/>
      <c r="AZH256" s="2228"/>
      <c r="AZI256" s="2227"/>
      <c r="AZJ256" s="2228"/>
      <c r="AZK256" s="2228"/>
      <c r="AZL256" s="2228"/>
      <c r="AZM256" s="2228"/>
      <c r="AZN256" s="2228"/>
      <c r="AZO256" s="2228"/>
      <c r="AZP256" s="2228"/>
      <c r="AZQ256" s="2228"/>
      <c r="AZR256" s="2228"/>
      <c r="AZS256" s="2228"/>
      <c r="AZT256" s="2228"/>
      <c r="AZU256" s="2228"/>
      <c r="AZV256" s="2228"/>
      <c r="AZW256" s="2228"/>
      <c r="AZX256" s="2228"/>
      <c r="AZY256" s="2227"/>
      <c r="AZZ256" s="2228"/>
      <c r="BAA256" s="2228"/>
      <c r="BAB256" s="2228"/>
      <c r="BAC256" s="2228"/>
      <c r="BAD256" s="2228"/>
      <c r="BAE256" s="2228"/>
      <c r="BAF256" s="2228"/>
      <c r="BAG256" s="2228"/>
      <c r="BAH256" s="2228"/>
      <c r="BAI256" s="2228"/>
      <c r="BAJ256" s="2228"/>
      <c r="BAK256" s="2228"/>
      <c r="BAL256" s="2228"/>
      <c r="BAM256" s="2228"/>
      <c r="BAN256" s="2228"/>
      <c r="BAO256" s="2227"/>
      <c r="BAP256" s="2228"/>
      <c r="BAQ256" s="2228"/>
      <c r="BAR256" s="2228"/>
      <c r="BAS256" s="2228"/>
      <c r="BAT256" s="2228"/>
      <c r="BAU256" s="2228"/>
      <c r="BAV256" s="2228"/>
      <c r="BAW256" s="2228"/>
      <c r="BAX256" s="2228"/>
      <c r="BAY256" s="2228"/>
      <c r="BAZ256" s="2228"/>
      <c r="BBA256" s="2228"/>
      <c r="BBB256" s="2228"/>
      <c r="BBC256" s="2228"/>
      <c r="BBD256" s="2228"/>
      <c r="BBE256" s="2227"/>
      <c r="BBF256" s="2228"/>
      <c r="BBG256" s="2228"/>
      <c r="BBH256" s="2228"/>
      <c r="BBI256" s="2228"/>
      <c r="BBJ256" s="2228"/>
      <c r="BBK256" s="2228"/>
      <c r="BBL256" s="2228"/>
      <c r="BBM256" s="2228"/>
      <c r="BBN256" s="2228"/>
      <c r="BBO256" s="2228"/>
      <c r="BBP256" s="2228"/>
      <c r="BBQ256" s="2228"/>
      <c r="BBR256" s="2228"/>
      <c r="BBS256" s="2228"/>
      <c r="BBT256" s="2228"/>
      <c r="BBU256" s="2227"/>
      <c r="BBV256" s="2228"/>
      <c r="BBW256" s="2228"/>
      <c r="BBX256" s="2228"/>
      <c r="BBY256" s="2228"/>
      <c r="BBZ256" s="2228"/>
      <c r="BCA256" s="2228"/>
      <c r="BCB256" s="2228"/>
      <c r="BCC256" s="2228"/>
      <c r="BCD256" s="2228"/>
      <c r="BCE256" s="2228"/>
      <c r="BCF256" s="2228"/>
      <c r="BCG256" s="2228"/>
      <c r="BCH256" s="2228"/>
      <c r="BCI256" s="2228"/>
      <c r="BCJ256" s="2228"/>
      <c r="BCK256" s="2227"/>
      <c r="BCL256" s="2228"/>
      <c r="BCM256" s="2228"/>
      <c r="BCN256" s="2228"/>
      <c r="BCO256" s="2228"/>
      <c r="BCP256" s="2228"/>
      <c r="BCQ256" s="2228"/>
      <c r="BCR256" s="2228"/>
      <c r="BCS256" s="2228"/>
      <c r="BCT256" s="2228"/>
      <c r="BCU256" s="2228"/>
      <c r="BCV256" s="2228"/>
      <c r="BCW256" s="2228"/>
      <c r="BCX256" s="2228"/>
      <c r="BCY256" s="2228"/>
      <c r="BCZ256" s="2228"/>
      <c r="BDA256" s="2227"/>
      <c r="BDB256" s="2228"/>
      <c r="BDC256" s="2228"/>
      <c r="BDD256" s="2228"/>
      <c r="BDE256" s="2228"/>
      <c r="BDF256" s="2228"/>
      <c r="BDG256" s="2228"/>
      <c r="BDH256" s="2228"/>
      <c r="BDI256" s="2228"/>
      <c r="BDJ256" s="2228"/>
      <c r="BDK256" s="2228"/>
      <c r="BDL256" s="2228"/>
      <c r="BDM256" s="2228"/>
      <c r="BDN256" s="2228"/>
      <c r="BDO256" s="2228"/>
      <c r="BDP256" s="2228"/>
      <c r="BDQ256" s="2227"/>
      <c r="BDR256" s="2228"/>
      <c r="BDS256" s="2228"/>
      <c r="BDT256" s="2228"/>
      <c r="BDU256" s="2228"/>
      <c r="BDV256" s="2228"/>
      <c r="BDW256" s="2228"/>
      <c r="BDX256" s="2228"/>
      <c r="BDY256" s="2228"/>
      <c r="BDZ256" s="2228"/>
      <c r="BEA256" s="2228"/>
      <c r="BEB256" s="2228"/>
      <c r="BEC256" s="2228"/>
      <c r="BED256" s="2228"/>
      <c r="BEE256" s="2228"/>
      <c r="BEF256" s="2228"/>
      <c r="BEG256" s="2227"/>
      <c r="BEH256" s="2228"/>
      <c r="BEI256" s="2228"/>
      <c r="BEJ256" s="2228"/>
      <c r="BEK256" s="2228"/>
      <c r="BEL256" s="2228"/>
      <c r="BEM256" s="2228"/>
      <c r="BEN256" s="2228"/>
      <c r="BEO256" s="2228"/>
      <c r="BEP256" s="2228"/>
      <c r="BEQ256" s="2228"/>
      <c r="BER256" s="2228"/>
      <c r="BES256" s="2228"/>
      <c r="BET256" s="2228"/>
      <c r="BEU256" s="2228"/>
      <c r="BEV256" s="2228"/>
      <c r="BEW256" s="2227"/>
      <c r="BEX256" s="2228"/>
      <c r="BEY256" s="2228"/>
      <c r="BEZ256" s="2228"/>
      <c r="BFA256" s="2228"/>
      <c r="BFB256" s="2228"/>
      <c r="BFC256" s="2228"/>
      <c r="BFD256" s="2228"/>
      <c r="BFE256" s="2228"/>
      <c r="BFF256" s="2228"/>
      <c r="BFG256" s="2228"/>
      <c r="BFH256" s="2228"/>
      <c r="BFI256" s="2228"/>
      <c r="BFJ256" s="2228"/>
      <c r="BFK256" s="2228"/>
      <c r="BFL256" s="2228"/>
      <c r="BFM256" s="2227"/>
      <c r="BFN256" s="2228"/>
      <c r="BFO256" s="2228"/>
      <c r="BFP256" s="2228"/>
      <c r="BFQ256" s="2228"/>
      <c r="BFR256" s="2228"/>
      <c r="BFS256" s="2228"/>
      <c r="BFT256" s="2228"/>
      <c r="BFU256" s="2228"/>
      <c r="BFV256" s="2228"/>
      <c r="BFW256" s="2228"/>
      <c r="BFX256" s="2228"/>
      <c r="BFY256" s="2228"/>
      <c r="BFZ256" s="2228"/>
      <c r="BGA256" s="2228"/>
      <c r="BGB256" s="2228"/>
      <c r="BGC256" s="2227"/>
      <c r="BGD256" s="2228"/>
      <c r="BGE256" s="2228"/>
      <c r="BGF256" s="2228"/>
      <c r="BGG256" s="2228"/>
      <c r="BGH256" s="2228"/>
      <c r="BGI256" s="2228"/>
      <c r="BGJ256" s="2228"/>
      <c r="BGK256" s="2228"/>
      <c r="BGL256" s="2228"/>
      <c r="BGM256" s="2228"/>
      <c r="BGN256" s="2228"/>
      <c r="BGO256" s="2228"/>
      <c r="BGP256" s="2228"/>
      <c r="BGQ256" s="2228"/>
      <c r="BGR256" s="2228"/>
      <c r="BGS256" s="2227"/>
      <c r="BGT256" s="2228"/>
      <c r="BGU256" s="2228"/>
      <c r="BGV256" s="2228"/>
      <c r="BGW256" s="2228"/>
      <c r="BGX256" s="2228"/>
      <c r="BGY256" s="2228"/>
      <c r="BGZ256" s="2228"/>
      <c r="BHA256" s="2228"/>
      <c r="BHB256" s="2228"/>
      <c r="BHC256" s="2228"/>
      <c r="BHD256" s="2228"/>
      <c r="BHE256" s="2228"/>
      <c r="BHF256" s="2228"/>
      <c r="BHG256" s="2228"/>
      <c r="BHH256" s="2228"/>
      <c r="BHI256" s="2227"/>
      <c r="BHJ256" s="2228"/>
      <c r="BHK256" s="2228"/>
      <c r="BHL256" s="2228"/>
      <c r="BHM256" s="2228"/>
      <c r="BHN256" s="2228"/>
      <c r="BHO256" s="2228"/>
      <c r="BHP256" s="2228"/>
      <c r="BHQ256" s="2228"/>
      <c r="BHR256" s="2228"/>
      <c r="BHS256" s="2228"/>
      <c r="BHT256" s="2228"/>
      <c r="BHU256" s="2228"/>
      <c r="BHV256" s="2228"/>
      <c r="BHW256" s="2228"/>
      <c r="BHX256" s="2228"/>
      <c r="BHY256" s="2227"/>
      <c r="BHZ256" s="2228"/>
      <c r="BIA256" s="2228"/>
      <c r="BIB256" s="2228"/>
      <c r="BIC256" s="2228"/>
      <c r="BID256" s="2228"/>
      <c r="BIE256" s="2228"/>
      <c r="BIF256" s="2228"/>
      <c r="BIG256" s="2228"/>
      <c r="BIH256" s="2228"/>
      <c r="BII256" s="2228"/>
      <c r="BIJ256" s="2228"/>
      <c r="BIK256" s="2228"/>
      <c r="BIL256" s="2228"/>
      <c r="BIM256" s="2228"/>
      <c r="BIN256" s="2228"/>
      <c r="BIO256" s="2227"/>
      <c r="BIP256" s="2228"/>
      <c r="BIQ256" s="2228"/>
      <c r="BIR256" s="2228"/>
      <c r="BIS256" s="2228"/>
      <c r="BIT256" s="2228"/>
      <c r="BIU256" s="2228"/>
      <c r="BIV256" s="2228"/>
      <c r="BIW256" s="2228"/>
      <c r="BIX256" s="2228"/>
      <c r="BIY256" s="2228"/>
      <c r="BIZ256" s="2228"/>
      <c r="BJA256" s="2228"/>
      <c r="BJB256" s="2228"/>
      <c r="BJC256" s="2228"/>
      <c r="BJD256" s="2228"/>
      <c r="BJE256" s="2227"/>
      <c r="BJF256" s="2228"/>
      <c r="BJG256" s="2228"/>
      <c r="BJH256" s="2228"/>
      <c r="BJI256" s="2228"/>
      <c r="BJJ256" s="2228"/>
      <c r="BJK256" s="2228"/>
      <c r="BJL256" s="2228"/>
      <c r="BJM256" s="2228"/>
      <c r="BJN256" s="2228"/>
      <c r="BJO256" s="2228"/>
      <c r="BJP256" s="2228"/>
      <c r="BJQ256" s="2228"/>
      <c r="BJR256" s="2228"/>
      <c r="BJS256" s="2228"/>
      <c r="BJT256" s="2228"/>
      <c r="BJU256" s="2227"/>
      <c r="BJV256" s="2228"/>
      <c r="BJW256" s="2228"/>
      <c r="BJX256" s="2228"/>
      <c r="BJY256" s="2228"/>
      <c r="BJZ256" s="2228"/>
      <c r="BKA256" s="2228"/>
      <c r="BKB256" s="2228"/>
      <c r="BKC256" s="2228"/>
      <c r="BKD256" s="2228"/>
      <c r="BKE256" s="2228"/>
      <c r="BKF256" s="2228"/>
      <c r="BKG256" s="2228"/>
      <c r="BKH256" s="2228"/>
      <c r="BKI256" s="2228"/>
      <c r="BKJ256" s="2228"/>
      <c r="BKK256" s="2227"/>
      <c r="BKL256" s="2228"/>
      <c r="BKM256" s="2228"/>
      <c r="BKN256" s="2228"/>
      <c r="BKO256" s="2228"/>
      <c r="BKP256" s="2228"/>
      <c r="BKQ256" s="2228"/>
      <c r="BKR256" s="2228"/>
      <c r="BKS256" s="2228"/>
      <c r="BKT256" s="2228"/>
      <c r="BKU256" s="2228"/>
      <c r="BKV256" s="2228"/>
      <c r="BKW256" s="2228"/>
      <c r="BKX256" s="2228"/>
      <c r="BKY256" s="2228"/>
      <c r="BKZ256" s="2228"/>
      <c r="BLA256" s="2227"/>
      <c r="BLB256" s="2228"/>
      <c r="BLC256" s="2228"/>
      <c r="BLD256" s="2228"/>
      <c r="BLE256" s="2228"/>
      <c r="BLF256" s="2228"/>
      <c r="BLG256" s="2228"/>
      <c r="BLH256" s="2228"/>
      <c r="BLI256" s="2228"/>
      <c r="BLJ256" s="2228"/>
      <c r="BLK256" s="2228"/>
      <c r="BLL256" s="2228"/>
      <c r="BLM256" s="2228"/>
      <c r="BLN256" s="2228"/>
      <c r="BLO256" s="2228"/>
      <c r="BLP256" s="2228"/>
      <c r="BLQ256" s="2227"/>
      <c r="BLR256" s="2228"/>
      <c r="BLS256" s="2228"/>
      <c r="BLT256" s="2228"/>
      <c r="BLU256" s="2228"/>
      <c r="BLV256" s="2228"/>
      <c r="BLW256" s="2228"/>
      <c r="BLX256" s="2228"/>
      <c r="BLY256" s="2228"/>
      <c r="BLZ256" s="2228"/>
      <c r="BMA256" s="2228"/>
      <c r="BMB256" s="2228"/>
      <c r="BMC256" s="2228"/>
      <c r="BMD256" s="2228"/>
      <c r="BME256" s="2228"/>
      <c r="BMF256" s="2228"/>
      <c r="BMG256" s="2227"/>
      <c r="BMH256" s="2228"/>
      <c r="BMI256" s="2228"/>
      <c r="BMJ256" s="2228"/>
      <c r="BMK256" s="2228"/>
      <c r="BML256" s="2228"/>
      <c r="BMM256" s="2228"/>
      <c r="BMN256" s="2228"/>
      <c r="BMO256" s="2228"/>
      <c r="BMP256" s="2228"/>
      <c r="BMQ256" s="2228"/>
      <c r="BMR256" s="2228"/>
      <c r="BMS256" s="2228"/>
      <c r="BMT256" s="2228"/>
      <c r="BMU256" s="2228"/>
      <c r="BMV256" s="2228"/>
      <c r="BMW256" s="2227"/>
      <c r="BMX256" s="2228"/>
      <c r="BMY256" s="2228"/>
      <c r="BMZ256" s="2228"/>
      <c r="BNA256" s="2228"/>
      <c r="BNB256" s="2228"/>
      <c r="BNC256" s="2228"/>
      <c r="BND256" s="2228"/>
      <c r="BNE256" s="2228"/>
      <c r="BNF256" s="2228"/>
      <c r="BNG256" s="2228"/>
      <c r="BNH256" s="2228"/>
      <c r="BNI256" s="2228"/>
      <c r="BNJ256" s="2228"/>
      <c r="BNK256" s="2228"/>
      <c r="BNL256" s="2228"/>
      <c r="BNM256" s="2227"/>
      <c r="BNN256" s="2228"/>
      <c r="BNO256" s="2228"/>
      <c r="BNP256" s="2228"/>
      <c r="BNQ256" s="2228"/>
      <c r="BNR256" s="2228"/>
      <c r="BNS256" s="2228"/>
      <c r="BNT256" s="2228"/>
      <c r="BNU256" s="2228"/>
      <c r="BNV256" s="2228"/>
      <c r="BNW256" s="2228"/>
      <c r="BNX256" s="2228"/>
      <c r="BNY256" s="2228"/>
      <c r="BNZ256" s="2228"/>
      <c r="BOA256" s="2228"/>
      <c r="BOB256" s="2228"/>
      <c r="BOC256" s="2227"/>
      <c r="BOD256" s="2228"/>
      <c r="BOE256" s="2228"/>
      <c r="BOF256" s="2228"/>
      <c r="BOG256" s="2228"/>
      <c r="BOH256" s="2228"/>
      <c r="BOI256" s="2228"/>
      <c r="BOJ256" s="2228"/>
      <c r="BOK256" s="2228"/>
      <c r="BOL256" s="2228"/>
      <c r="BOM256" s="2228"/>
      <c r="BON256" s="2228"/>
      <c r="BOO256" s="2228"/>
      <c r="BOP256" s="2228"/>
      <c r="BOQ256" s="2228"/>
      <c r="BOR256" s="2228"/>
      <c r="BOS256" s="2227"/>
      <c r="BOT256" s="2228"/>
      <c r="BOU256" s="2228"/>
      <c r="BOV256" s="2228"/>
      <c r="BOW256" s="2228"/>
      <c r="BOX256" s="2228"/>
      <c r="BOY256" s="2228"/>
      <c r="BOZ256" s="2228"/>
      <c r="BPA256" s="2228"/>
      <c r="BPB256" s="2228"/>
      <c r="BPC256" s="2228"/>
      <c r="BPD256" s="2228"/>
      <c r="BPE256" s="2228"/>
      <c r="BPF256" s="2228"/>
      <c r="BPG256" s="2228"/>
      <c r="BPH256" s="2228"/>
      <c r="BPI256" s="2227"/>
      <c r="BPJ256" s="2228"/>
      <c r="BPK256" s="2228"/>
      <c r="BPL256" s="2228"/>
      <c r="BPM256" s="2228"/>
      <c r="BPN256" s="2228"/>
      <c r="BPO256" s="2228"/>
      <c r="BPP256" s="2228"/>
      <c r="BPQ256" s="2228"/>
      <c r="BPR256" s="2228"/>
      <c r="BPS256" s="2228"/>
      <c r="BPT256" s="2228"/>
      <c r="BPU256" s="2228"/>
      <c r="BPV256" s="2228"/>
      <c r="BPW256" s="2228"/>
      <c r="BPX256" s="2228"/>
      <c r="BPY256" s="2227"/>
      <c r="BPZ256" s="2228"/>
      <c r="BQA256" s="2228"/>
      <c r="BQB256" s="2228"/>
      <c r="BQC256" s="2228"/>
      <c r="BQD256" s="2228"/>
      <c r="BQE256" s="2228"/>
      <c r="BQF256" s="2228"/>
      <c r="BQG256" s="2228"/>
      <c r="BQH256" s="2228"/>
      <c r="BQI256" s="2228"/>
      <c r="BQJ256" s="2228"/>
      <c r="BQK256" s="2228"/>
      <c r="BQL256" s="2228"/>
      <c r="BQM256" s="2228"/>
      <c r="BQN256" s="2228"/>
      <c r="BQO256" s="2227"/>
      <c r="BQP256" s="2228"/>
      <c r="BQQ256" s="2228"/>
      <c r="BQR256" s="2228"/>
      <c r="BQS256" s="2228"/>
      <c r="BQT256" s="2228"/>
      <c r="BQU256" s="2228"/>
      <c r="BQV256" s="2228"/>
      <c r="BQW256" s="2228"/>
      <c r="BQX256" s="2228"/>
      <c r="BQY256" s="2228"/>
      <c r="BQZ256" s="2228"/>
      <c r="BRA256" s="2228"/>
      <c r="BRB256" s="2228"/>
      <c r="BRC256" s="2228"/>
      <c r="BRD256" s="2228"/>
      <c r="BRE256" s="2227"/>
      <c r="BRF256" s="2228"/>
      <c r="BRG256" s="2228"/>
      <c r="BRH256" s="2228"/>
      <c r="BRI256" s="2228"/>
      <c r="BRJ256" s="2228"/>
      <c r="BRK256" s="2228"/>
      <c r="BRL256" s="2228"/>
      <c r="BRM256" s="2228"/>
      <c r="BRN256" s="2228"/>
      <c r="BRO256" s="2228"/>
      <c r="BRP256" s="2228"/>
      <c r="BRQ256" s="2228"/>
      <c r="BRR256" s="2228"/>
      <c r="BRS256" s="2228"/>
      <c r="BRT256" s="2228"/>
      <c r="BRU256" s="2227"/>
      <c r="BRV256" s="2228"/>
      <c r="BRW256" s="2228"/>
      <c r="BRX256" s="2228"/>
      <c r="BRY256" s="2228"/>
      <c r="BRZ256" s="2228"/>
      <c r="BSA256" s="2228"/>
      <c r="BSB256" s="2228"/>
      <c r="BSC256" s="2228"/>
      <c r="BSD256" s="2228"/>
      <c r="BSE256" s="2228"/>
      <c r="BSF256" s="2228"/>
      <c r="BSG256" s="2228"/>
      <c r="BSH256" s="2228"/>
      <c r="BSI256" s="2228"/>
      <c r="BSJ256" s="2228"/>
      <c r="BSK256" s="2227"/>
      <c r="BSL256" s="2228"/>
      <c r="BSM256" s="2228"/>
      <c r="BSN256" s="2228"/>
      <c r="BSO256" s="2228"/>
      <c r="BSP256" s="2228"/>
      <c r="BSQ256" s="2228"/>
      <c r="BSR256" s="2228"/>
      <c r="BSS256" s="2228"/>
      <c r="BST256" s="2228"/>
      <c r="BSU256" s="2228"/>
      <c r="BSV256" s="2228"/>
      <c r="BSW256" s="2228"/>
      <c r="BSX256" s="2228"/>
      <c r="BSY256" s="2228"/>
      <c r="BSZ256" s="2228"/>
      <c r="BTA256" s="2227"/>
      <c r="BTB256" s="2228"/>
      <c r="BTC256" s="2228"/>
      <c r="BTD256" s="2228"/>
      <c r="BTE256" s="2228"/>
      <c r="BTF256" s="2228"/>
      <c r="BTG256" s="2228"/>
      <c r="BTH256" s="2228"/>
      <c r="BTI256" s="2228"/>
      <c r="BTJ256" s="2228"/>
      <c r="BTK256" s="2228"/>
      <c r="BTL256" s="2228"/>
      <c r="BTM256" s="2228"/>
      <c r="BTN256" s="2228"/>
      <c r="BTO256" s="2228"/>
      <c r="BTP256" s="2228"/>
      <c r="BTQ256" s="2227"/>
      <c r="BTR256" s="2228"/>
      <c r="BTS256" s="2228"/>
      <c r="BTT256" s="2228"/>
      <c r="BTU256" s="2228"/>
      <c r="BTV256" s="2228"/>
      <c r="BTW256" s="2228"/>
      <c r="BTX256" s="2228"/>
      <c r="BTY256" s="2228"/>
      <c r="BTZ256" s="2228"/>
      <c r="BUA256" s="2228"/>
      <c r="BUB256" s="2228"/>
      <c r="BUC256" s="2228"/>
      <c r="BUD256" s="2228"/>
      <c r="BUE256" s="2228"/>
      <c r="BUF256" s="2228"/>
      <c r="BUG256" s="2227"/>
      <c r="BUH256" s="2228"/>
      <c r="BUI256" s="2228"/>
      <c r="BUJ256" s="2228"/>
      <c r="BUK256" s="2228"/>
      <c r="BUL256" s="2228"/>
      <c r="BUM256" s="2228"/>
      <c r="BUN256" s="2228"/>
      <c r="BUO256" s="2228"/>
      <c r="BUP256" s="2228"/>
      <c r="BUQ256" s="2228"/>
      <c r="BUR256" s="2228"/>
      <c r="BUS256" s="2228"/>
      <c r="BUT256" s="2228"/>
      <c r="BUU256" s="2228"/>
      <c r="BUV256" s="2228"/>
      <c r="BUW256" s="2227"/>
      <c r="BUX256" s="2228"/>
      <c r="BUY256" s="2228"/>
      <c r="BUZ256" s="2228"/>
      <c r="BVA256" s="2228"/>
      <c r="BVB256" s="2228"/>
      <c r="BVC256" s="2228"/>
      <c r="BVD256" s="2228"/>
      <c r="BVE256" s="2228"/>
      <c r="BVF256" s="2228"/>
      <c r="BVG256" s="2228"/>
      <c r="BVH256" s="2228"/>
      <c r="BVI256" s="2228"/>
      <c r="BVJ256" s="2228"/>
      <c r="BVK256" s="2228"/>
      <c r="BVL256" s="2228"/>
      <c r="BVM256" s="2227"/>
      <c r="BVN256" s="2228"/>
      <c r="BVO256" s="2228"/>
      <c r="BVP256" s="2228"/>
      <c r="BVQ256" s="2228"/>
      <c r="BVR256" s="2228"/>
      <c r="BVS256" s="2228"/>
      <c r="BVT256" s="2228"/>
      <c r="BVU256" s="2228"/>
      <c r="BVV256" s="2228"/>
      <c r="BVW256" s="2228"/>
      <c r="BVX256" s="2228"/>
      <c r="BVY256" s="2228"/>
      <c r="BVZ256" s="2228"/>
      <c r="BWA256" s="2228"/>
      <c r="BWB256" s="2228"/>
      <c r="BWC256" s="2227"/>
      <c r="BWD256" s="2228"/>
      <c r="BWE256" s="2228"/>
      <c r="BWF256" s="2228"/>
      <c r="BWG256" s="2228"/>
      <c r="BWH256" s="2228"/>
      <c r="BWI256" s="2228"/>
      <c r="BWJ256" s="2228"/>
      <c r="BWK256" s="2228"/>
      <c r="BWL256" s="2228"/>
      <c r="BWM256" s="2228"/>
      <c r="BWN256" s="2228"/>
      <c r="BWO256" s="2228"/>
      <c r="BWP256" s="2228"/>
      <c r="BWQ256" s="2228"/>
      <c r="BWR256" s="2228"/>
      <c r="BWS256" s="2227"/>
      <c r="BWT256" s="2228"/>
      <c r="BWU256" s="2228"/>
      <c r="BWV256" s="2228"/>
      <c r="BWW256" s="2228"/>
      <c r="BWX256" s="2228"/>
      <c r="BWY256" s="2228"/>
      <c r="BWZ256" s="2228"/>
      <c r="BXA256" s="2228"/>
      <c r="BXB256" s="2228"/>
      <c r="BXC256" s="2228"/>
      <c r="BXD256" s="2228"/>
      <c r="BXE256" s="2228"/>
      <c r="BXF256" s="2228"/>
      <c r="BXG256" s="2228"/>
      <c r="BXH256" s="2228"/>
      <c r="BXI256" s="2227"/>
      <c r="BXJ256" s="2228"/>
      <c r="BXK256" s="2228"/>
      <c r="BXL256" s="2228"/>
      <c r="BXM256" s="2228"/>
      <c r="BXN256" s="2228"/>
      <c r="BXO256" s="2228"/>
      <c r="BXP256" s="2228"/>
      <c r="BXQ256" s="2228"/>
      <c r="BXR256" s="2228"/>
      <c r="BXS256" s="2228"/>
      <c r="BXT256" s="2228"/>
      <c r="BXU256" s="2228"/>
      <c r="BXV256" s="2228"/>
      <c r="BXW256" s="2228"/>
      <c r="BXX256" s="2228"/>
      <c r="BXY256" s="2227"/>
      <c r="BXZ256" s="2228"/>
      <c r="BYA256" s="2228"/>
      <c r="BYB256" s="2228"/>
      <c r="BYC256" s="2228"/>
      <c r="BYD256" s="2228"/>
      <c r="BYE256" s="2228"/>
      <c r="BYF256" s="2228"/>
      <c r="BYG256" s="2228"/>
      <c r="BYH256" s="2228"/>
      <c r="BYI256" s="2228"/>
      <c r="BYJ256" s="2228"/>
      <c r="BYK256" s="2228"/>
      <c r="BYL256" s="2228"/>
      <c r="BYM256" s="2228"/>
      <c r="BYN256" s="2228"/>
      <c r="BYO256" s="2227"/>
      <c r="BYP256" s="2228"/>
      <c r="BYQ256" s="2228"/>
      <c r="BYR256" s="2228"/>
      <c r="BYS256" s="2228"/>
      <c r="BYT256" s="2228"/>
      <c r="BYU256" s="2228"/>
      <c r="BYV256" s="2228"/>
      <c r="BYW256" s="2228"/>
      <c r="BYX256" s="2228"/>
      <c r="BYY256" s="2228"/>
      <c r="BYZ256" s="2228"/>
      <c r="BZA256" s="2228"/>
      <c r="BZB256" s="2228"/>
      <c r="BZC256" s="2228"/>
      <c r="BZD256" s="2228"/>
      <c r="BZE256" s="2227"/>
      <c r="BZF256" s="2228"/>
      <c r="BZG256" s="2228"/>
      <c r="BZH256" s="2228"/>
      <c r="BZI256" s="2228"/>
      <c r="BZJ256" s="2228"/>
      <c r="BZK256" s="2228"/>
      <c r="BZL256" s="2228"/>
      <c r="BZM256" s="2228"/>
      <c r="BZN256" s="2228"/>
      <c r="BZO256" s="2228"/>
      <c r="BZP256" s="2228"/>
      <c r="BZQ256" s="2228"/>
      <c r="BZR256" s="2228"/>
      <c r="BZS256" s="2228"/>
      <c r="BZT256" s="2228"/>
      <c r="BZU256" s="2227"/>
      <c r="BZV256" s="2228"/>
      <c r="BZW256" s="2228"/>
      <c r="BZX256" s="2228"/>
      <c r="BZY256" s="2228"/>
      <c r="BZZ256" s="2228"/>
      <c r="CAA256" s="2228"/>
      <c r="CAB256" s="2228"/>
      <c r="CAC256" s="2228"/>
      <c r="CAD256" s="2228"/>
      <c r="CAE256" s="2228"/>
      <c r="CAF256" s="2228"/>
      <c r="CAG256" s="2228"/>
      <c r="CAH256" s="2228"/>
      <c r="CAI256" s="2228"/>
      <c r="CAJ256" s="2228"/>
      <c r="CAK256" s="2227"/>
      <c r="CAL256" s="2228"/>
      <c r="CAM256" s="2228"/>
      <c r="CAN256" s="2228"/>
      <c r="CAO256" s="2228"/>
      <c r="CAP256" s="2228"/>
      <c r="CAQ256" s="2228"/>
      <c r="CAR256" s="2228"/>
      <c r="CAS256" s="2228"/>
      <c r="CAT256" s="2228"/>
      <c r="CAU256" s="2228"/>
      <c r="CAV256" s="2228"/>
      <c r="CAW256" s="2228"/>
      <c r="CAX256" s="2228"/>
      <c r="CAY256" s="2228"/>
      <c r="CAZ256" s="2228"/>
      <c r="CBA256" s="2227"/>
      <c r="CBB256" s="2228"/>
      <c r="CBC256" s="2228"/>
      <c r="CBD256" s="2228"/>
      <c r="CBE256" s="2228"/>
      <c r="CBF256" s="2228"/>
      <c r="CBG256" s="2228"/>
      <c r="CBH256" s="2228"/>
      <c r="CBI256" s="2228"/>
      <c r="CBJ256" s="2228"/>
      <c r="CBK256" s="2228"/>
      <c r="CBL256" s="2228"/>
      <c r="CBM256" s="2228"/>
      <c r="CBN256" s="2228"/>
      <c r="CBO256" s="2228"/>
      <c r="CBP256" s="2228"/>
      <c r="CBQ256" s="2227"/>
      <c r="CBR256" s="2228"/>
      <c r="CBS256" s="2228"/>
      <c r="CBT256" s="2228"/>
      <c r="CBU256" s="2228"/>
      <c r="CBV256" s="2228"/>
      <c r="CBW256" s="2228"/>
      <c r="CBX256" s="2228"/>
      <c r="CBY256" s="2228"/>
      <c r="CBZ256" s="2228"/>
      <c r="CCA256" s="2228"/>
      <c r="CCB256" s="2228"/>
      <c r="CCC256" s="2228"/>
      <c r="CCD256" s="2228"/>
      <c r="CCE256" s="2228"/>
      <c r="CCF256" s="2228"/>
      <c r="CCG256" s="2227"/>
      <c r="CCH256" s="2228"/>
      <c r="CCI256" s="2228"/>
      <c r="CCJ256" s="2228"/>
      <c r="CCK256" s="2228"/>
      <c r="CCL256" s="2228"/>
      <c r="CCM256" s="2228"/>
      <c r="CCN256" s="2228"/>
      <c r="CCO256" s="2228"/>
      <c r="CCP256" s="2228"/>
      <c r="CCQ256" s="2228"/>
      <c r="CCR256" s="2228"/>
      <c r="CCS256" s="2228"/>
      <c r="CCT256" s="2228"/>
      <c r="CCU256" s="2228"/>
      <c r="CCV256" s="2228"/>
      <c r="CCW256" s="2227"/>
      <c r="CCX256" s="2228"/>
      <c r="CCY256" s="2228"/>
      <c r="CCZ256" s="2228"/>
      <c r="CDA256" s="2228"/>
      <c r="CDB256" s="2228"/>
      <c r="CDC256" s="2228"/>
      <c r="CDD256" s="2228"/>
      <c r="CDE256" s="2228"/>
      <c r="CDF256" s="2228"/>
      <c r="CDG256" s="2228"/>
      <c r="CDH256" s="2228"/>
      <c r="CDI256" s="2228"/>
      <c r="CDJ256" s="2228"/>
      <c r="CDK256" s="2228"/>
      <c r="CDL256" s="2228"/>
      <c r="CDM256" s="2227"/>
      <c r="CDN256" s="2228"/>
      <c r="CDO256" s="2228"/>
      <c r="CDP256" s="2228"/>
      <c r="CDQ256" s="2228"/>
      <c r="CDR256" s="2228"/>
      <c r="CDS256" s="2228"/>
      <c r="CDT256" s="2228"/>
      <c r="CDU256" s="2228"/>
      <c r="CDV256" s="2228"/>
      <c r="CDW256" s="2228"/>
      <c r="CDX256" s="2228"/>
      <c r="CDY256" s="2228"/>
      <c r="CDZ256" s="2228"/>
      <c r="CEA256" s="2228"/>
      <c r="CEB256" s="2228"/>
      <c r="CEC256" s="2227"/>
      <c r="CED256" s="2228"/>
      <c r="CEE256" s="2228"/>
      <c r="CEF256" s="2228"/>
      <c r="CEG256" s="2228"/>
      <c r="CEH256" s="2228"/>
      <c r="CEI256" s="2228"/>
      <c r="CEJ256" s="2228"/>
      <c r="CEK256" s="2228"/>
      <c r="CEL256" s="2228"/>
      <c r="CEM256" s="2228"/>
      <c r="CEN256" s="2228"/>
      <c r="CEO256" s="2228"/>
      <c r="CEP256" s="2228"/>
      <c r="CEQ256" s="2228"/>
      <c r="CER256" s="2228"/>
      <c r="CES256" s="2227"/>
      <c r="CET256" s="2228"/>
      <c r="CEU256" s="2228"/>
      <c r="CEV256" s="2228"/>
      <c r="CEW256" s="2228"/>
      <c r="CEX256" s="2228"/>
      <c r="CEY256" s="2228"/>
      <c r="CEZ256" s="2228"/>
      <c r="CFA256" s="2228"/>
      <c r="CFB256" s="2228"/>
      <c r="CFC256" s="2228"/>
      <c r="CFD256" s="2228"/>
      <c r="CFE256" s="2228"/>
      <c r="CFF256" s="2228"/>
      <c r="CFG256" s="2228"/>
      <c r="CFH256" s="2228"/>
      <c r="CFI256" s="2227"/>
      <c r="CFJ256" s="2228"/>
      <c r="CFK256" s="2228"/>
      <c r="CFL256" s="2228"/>
      <c r="CFM256" s="2228"/>
      <c r="CFN256" s="2228"/>
      <c r="CFO256" s="2228"/>
      <c r="CFP256" s="2228"/>
      <c r="CFQ256" s="2228"/>
      <c r="CFR256" s="2228"/>
      <c r="CFS256" s="2228"/>
      <c r="CFT256" s="2228"/>
      <c r="CFU256" s="2228"/>
      <c r="CFV256" s="2228"/>
      <c r="CFW256" s="2228"/>
      <c r="CFX256" s="2228"/>
      <c r="CFY256" s="2227"/>
      <c r="CFZ256" s="2228"/>
      <c r="CGA256" s="2228"/>
      <c r="CGB256" s="2228"/>
      <c r="CGC256" s="2228"/>
      <c r="CGD256" s="2228"/>
      <c r="CGE256" s="2228"/>
      <c r="CGF256" s="2228"/>
      <c r="CGG256" s="2228"/>
      <c r="CGH256" s="2228"/>
      <c r="CGI256" s="2228"/>
      <c r="CGJ256" s="2228"/>
      <c r="CGK256" s="2228"/>
      <c r="CGL256" s="2228"/>
      <c r="CGM256" s="2228"/>
      <c r="CGN256" s="2228"/>
      <c r="CGO256" s="2227"/>
      <c r="CGP256" s="2228"/>
      <c r="CGQ256" s="2228"/>
      <c r="CGR256" s="2228"/>
      <c r="CGS256" s="2228"/>
      <c r="CGT256" s="2228"/>
      <c r="CGU256" s="2228"/>
      <c r="CGV256" s="2228"/>
      <c r="CGW256" s="2228"/>
      <c r="CGX256" s="2228"/>
      <c r="CGY256" s="2228"/>
      <c r="CGZ256" s="2228"/>
      <c r="CHA256" s="2228"/>
      <c r="CHB256" s="2228"/>
      <c r="CHC256" s="2228"/>
      <c r="CHD256" s="2228"/>
      <c r="CHE256" s="2227"/>
      <c r="CHF256" s="2228"/>
      <c r="CHG256" s="2228"/>
      <c r="CHH256" s="2228"/>
      <c r="CHI256" s="2228"/>
      <c r="CHJ256" s="2228"/>
      <c r="CHK256" s="2228"/>
      <c r="CHL256" s="2228"/>
      <c r="CHM256" s="2228"/>
      <c r="CHN256" s="2228"/>
      <c r="CHO256" s="2228"/>
      <c r="CHP256" s="2228"/>
      <c r="CHQ256" s="2228"/>
      <c r="CHR256" s="2228"/>
      <c r="CHS256" s="2228"/>
      <c r="CHT256" s="2228"/>
      <c r="CHU256" s="2227"/>
      <c r="CHV256" s="2228"/>
      <c r="CHW256" s="2228"/>
      <c r="CHX256" s="2228"/>
      <c r="CHY256" s="2228"/>
      <c r="CHZ256" s="2228"/>
      <c r="CIA256" s="2228"/>
      <c r="CIB256" s="2228"/>
      <c r="CIC256" s="2228"/>
      <c r="CID256" s="2228"/>
      <c r="CIE256" s="2228"/>
      <c r="CIF256" s="2228"/>
      <c r="CIG256" s="2228"/>
      <c r="CIH256" s="2228"/>
      <c r="CII256" s="2228"/>
      <c r="CIJ256" s="2228"/>
      <c r="CIK256" s="2227"/>
      <c r="CIL256" s="2228"/>
      <c r="CIM256" s="2228"/>
      <c r="CIN256" s="2228"/>
      <c r="CIO256" s="2228"/>
      <c r="CIP256" s="2228"/>
      <c r="CIQ256" s="2228"/>
      <c r="CIR256" s="2228"/>
      <c r="CIS256" s="2228"/>
      <c r="CIT256" s="2228"/>
      <c r="CIU256" s="2228"/>
      <c r="CIV256" s="2228"/>
      <c r="CIW256" s="2228"/>
      <c r="CIX256" s="2228"/>
      <c r="CIY256" s="2228"/>
      <c r="CIZ256" s="2228"/>
      <c r="CJA256" s="2227"/>
      <c r="CJB256" s="2228"/>
      <c r="CJC256" s="2228"/>
      <c r="CJD256" s="2228"/>
      <c r="CJE256" s="2228"/>
      <c r="CJF256" s="2228"/>
      <c r="CJG256" s="2228"/>
      <c r="CJH256" s="2228"/>
      <c r="CJI256" s="2228"/>
      <c r="CJJ256" s="2228"/>
      <c r="CJK256" s="2228"/>
      <c r="CJL256" s="2228"/>
      <c r="CJM256" s="2228"/>
      <c r="CJN256" s="2228"/>
      <c r="CJO256" s="2228"/>
      <c r="CJP256" s="2228"/>
      <c r="CJQ256" s="2227"/>
      <c r="CJR256" s="2228"/>
      <c r="CJS256" s="2228"/>
      <c r="CJT256" s="2228"/>
      <c r="CJU256" s="2228"/>
      <c r="CJV256" s="2228"/>
      <c r="CJW256" s="2228"/>
      <c r="CJX256" s="2228"/>
      <c r="CJY256" s="2228"/>
      <c r="CJZ256" s="2228"/>
      <c r="CKA256" s="2228"/>
      <c r="CKB256" s="2228"/>
      <c r="CKC256" s="2228"/>
      <c r="CKD256" s="2228"/>
      <c r="CKE256" s="2228"/>
      <c r="CKF256" s="2228"/>
      <c r="CKG256" s="2227"/>
      <c r="CKH256" s="2228"/>
      <c r="CKI256" s="2228"/>
      <c r="CKJ256" s="2228"/>
      <c r="CKK256" s="2228"/>
      <c r="CKL256" s="2228"/>
      <c r="CKM256" s="2228"/>
      <c r="CKN256" s="2228"/>
      <c r="CKO256" s="2228"/>
      <c r="CKP256" s="2228"/>
      <c r="CKQ256" s="2228"/>
      <c r="CKR256" s="2228"/>
      <c r="CKS256" s="2228"/>
      <c r="CKT256" s="2228"/>
      <c r="CKU256" s="2228"/>
      <c r="CKV256" s="2228"/>
      <c r="CKW256" s="2227"/>
      <c r="CKX256" s="2228"/>
      <c r="CKY256" s="2228"/>
      <c r="CKZ256" s="2228"/>
      <c r="CLA256" s="2228"/>
      <c r="CLB256" s="2228"/>
      <c r="CLC256" s="2228"/>
      <c r="CLD256" s="2228"/>
      <c r="CLE256" s="2228"/>
      <c r="CLF256" s="2228"/>
      <c r="CLG256" s="2228"/>
      <c r="CLH256" s="2228"/>
      <c r="CLI256" s="2228"/>
      <c r="CLJ256" s="2228"/>
      <c r="CLK256" s="2228"/>
      <c r="CLL256" s="2228"/>
      <c r="CLM256" s="2227"/>
      <c r="CLN256" s="2228"/>
      <c r="CLO256" s="2228"/>
      <c r="CLP256" s="2228"/>
      <c r="CLQ256" s="2228"/>
      <c r="CLR256" s="2228"/>
      <c r="CLS256" s="2228"/>
      <c r="CLT256" s="2228"/>
      <c r="CLU256" s="2228"/>
      <c r="CLV256" s="2228"/>
      <c r="CLW256" s="2228"/>
      <c r="CLX256" s="2228"/>
      <c r="CLY256" s="2228"/>
      <c r="CLZ256" s="2228"/>
      <c r="CMA256" s="2228"/>
      <c r="CMB256" s="2228"/>
      <c r="CMC256" s="2227"/>
      <c r="CMD256" s="2228"/>
      <c r="CME256" s="2228"/>
      <c r="CMF256" s="2228"/>
      <c r="CMG256" s="2228"/>
      <c r="CMH256" s="2228"/>
      <c r="CMI256" s="2228"/>
      <c r="CMJ256" s="2228"/>
      <c r="CMK256" s="2228"/>
      <c r="CML256" s="2228"/>
      <c r="CMM256" s="2228"/>
      <c r="CMN256" s="2228"/>
      <c r="CMO256" s="2228"/>
      <c r="CMP256" s="2228"/>
      <c r="CMQ256" s="2228"/>
      <c r="CMR256" s="2228"/>
      <c r="CMS256" s="2227"/>
      <c r="CMT256" s="2228"/>
      <c r="CMU256" s="2228"/>
      <c r="CMV256" s="2228"/>
      <c r="CMW256" s="2228"/>
      <c r="CMX256" s="2228"/>
      <c r="CMY256" s="2228"/>
      <c r="CMZ256" s="2228"/>
      <c r="CNA256" s="2228"/>
      <c r="CNB256" s="2228"/>
      <c r="CNC256" s="2228"/>
      <c r="CND256" s="2228"/>
      <c r="CNE256" s="2228"/>
      <c r="CNF256" s="2228"/>
      <c r="CNG256" s="2228"/>
      <c r="CNH256" s="2228"/>
      <c r="CNI256" s="2227"/>
      <c r="CNJ256" s="2228"/>
      <c r="CNK256" s="2228"/>
      <c r="CNL256" s="2228"/>
      <c r="CNM256" s="2228"/>
      <c r="CNN256" s="2228"/>
      <c r="CNO256" s="2228"/>
      <c r="CNP256" s="2228"/>
      <c r="CNQ256" s="2228"/>
      <c r="CNR256" s="2228"/>
      <c r="CNS256" s="2228"/>
      <c r="CNT256" s="2228"/>
      <c r="CNU256" s="2228"/>
      <c r="CNV256" s="2228"/>
      <c r="CNW256" s="2228"/>
      <c r="CNX256" s="2228"/>
      <c r="CNY256" s="2227"/>
      <c r="CNZ256" s="2228"/>
      <c r="COA256" s="2228"/>
      <c r="COB256" s="2228"/>
      <c r="COC256" s="2228"/>
      <c r="COD256" s="2228"/>
      <c r="COE256" s="2228"/>
      <c r="COF256" s="2228"/>
      <c r="COG256" s="2228"/>
      <c r="COH256" s="2228"/>
      <c r="COI256" s="2228"/>
      <c r="COJ256" s="2228"/>
      <c r="COK256" s="2228"/>
      <c r="COL256" s="2228"/>
      <c r="COM256" s="2228"/>
      <c r="CON256" s="2228"/>
      <c r="COO256" s="2227"/>
      <c r="COP256" s="2228"/>
      <c r="COQ256" s="2228"/>
      <c r="COR256" s="2228"/>
      <c r="COS256" s="2228"/>
      <c r="COT256" s="2228"/>
      <c r="COU256" s="2228"/>
      <c r="COV256" s="2228"/>
      <c r="COW256" s="2228"/>
      <c r="COX256" s="2228"/>
      <c r="COY256" s="2228"/>
      <c r="COZ256" s="2228"/>
      <c r="CPA256" s="2228"/>
      <c r="CPB256" s="2228"/>
      <c r="CPC256" s="2228"/>
      <c r="CPD256" s="2228"/>
      <c r="CPE256" s="2227"/>
      <c r="CPF256" s="2228"/>
      <c r="CPG256" s="2228"/>
      <c r="CPH256" s="2228"/>
      <c r="CPI256" s="2228"/>
      <c r="CPJ256" s="2228"/>
      <c r="CPK256" s="2228"/>
      <c r="CPL256" s="2228"/>
      <c r="CPM256" s="2228"/>
      <c r="CPN256" s="2228"/>
      <c r="CPO256" s="2228"/>
      <c r="CPP256" s="2228"/>
      <c r="CPQ256" s="2228"/>
      <c r="CPR256" s="2228"/>
      <c r="CPS256" s="2228"/>
      <c r="CPT256" s="2228"/>
      <c r="CPU256" s="2227"/>
      <c r="CPV256" s="2228"/>
      <c r="CPW256" s="2228"/>
      <c r="CPX256" s="2228"/>
      <c r="CPY256" s="2228"/>
      <c r="CPZ256" s="2228"/>
      <c r="CQA256" s="2228"/>
      <c r="CQB256" s="2228"/>
      <c r="CQC256" s="2228"/>
      <c r="CQD256" s="2228"/>
      <c r="CQE256" s="2228"/>
      <c r="CQF256" s="2228"/>
      <c r="CQG256" s="2228"/>
      <c r="CQH256" s="2228"/>
      <c r="CQI256" s="2228"/>
      <c r="CQJ256" s="2228"/>
      <c r="CQK256" s="2227"/>
      <c r="CQL256" s="2228"/>
      <c r="CQM256" s="2228"/>
      <c r="CQN256" s="2228"/>
      <c r="CQO256" s="2228"/>
      <c r="CQP256" s="2228"/>
      <c r="CQQ256" s="2228"/>
      <c r="CQR256" s="2228"/>
      <c r="CQS256" s="2228"/>
      <c r="CQT256" s="2228"/>
      <c r="CQU256" s="2228"/>
      <c r="CQV256" s="2228"/>
      <c r="CQW256" s="2228"/>
      <c r="CQX256" s="2228"/>
      <c r="CQY256" s="2228"/>
      <c r="CQZ256" s="2228"/>
      <c r="CRA256" s="2227"/>
      <c r="CRB256" s="2228"/>
      <c r="CRC256" s="2228"/>
      <c r="CRD256" s="2228"/>
      <c r="CRE256" s="2228"/>
      <c r="CRF256" s="2228"/>
      <c r="CRG256" s="2228"/>
      <c r="CRH256" s="2228"/>
      <c r="CRI256" s="2228"/>
      <c r="CRJ256" s="2228"/>
      <c r="CRK256" s="2228"/>
      <c r="CRL256" s="2228"/>
      <c r="CRM256" s="2228"/>
      <c r="CRN256" s="2228"/>
      <c r="CRO256" s="2228"/>
      <c r="CRP256" s="2228"/>
      <c r="CRQ256" s="2227"/>
      <c r="CRR256" s="2228"/>
      <c r="CRS256" s="2228"/>
      <c r="CRT256" s="2228"/>
      <c r="CRU256" s="2228"/>
      <c r="CRV256" s="2228"/>
      <c r="CRW256" s="2228"/>
      <c r="CRX256" s="2228"/>
      <c r="CRY256" s="2228"/>
      <c r="CRZ256" s="2228"/>
      <c r="CSA256" s="2228"/>
      <c r="CSB256" s="2228"/>
      <c r="CSC256" s="2228"/>
      <c r="CSD256" s="2228"/>
      <c r="CSE256" s="2228"/>
      <c r="CSF256" s="2228"/>
      <c r="CSG256" s="2227"/>
      <c r="CSH256" s="2228"/>
      <c r="CSI256" s="2228"/>
      <c r="CSJ256" s="2228"/>
      <c r="CSK256" s="2228"/>
      <c r="CSL256" s="2228"/>
      <c r="CSM256" s="2228"/>
      <c r="CSN256" s="2228"/>
      <c r="CSO256" s="2228"/>
      <c r="CSP256" s="2228"/>
      <c r="CSQ256" s="2228"/>
      <c r="CSR256" s="2228"/>
      <c r="CSS256" s="2228"/>
      <c r="CST256" s="2228"/>
      <c r="CSU256" s="2228"/>
      <c r="CSV256" s="2228"/>
      <c r="CSW256" s="2227"/>
      <c r="CSX256" s="2228"/>
      <c r="CSY256" s="2228"/>
      <c r="CSZ256" s="2228"/>
      <c r="CTA256" s="2228"/>
      <c r="CTB256" s="2228"/>
      <c r="CTC256" s="2228"/>
      <c r="CTD256" s="2228"/>
      <c r="CTE256" s="2228"/>
      <c r="CTF256" s="2228"/>
      <c r="CTG256" s="2228"/>
      <c r="CTH256" s="2228"/>
      <c r="CTI256" s="2228"/>
      <c r="CTJ256" s="2228"/>
      <c r="CTK256" s="2228"/>
      <c r="CTL256" s="2228"/>
      <c r="CTM256" s="2227"/>
      <c r="CTN256" s="2228"/>
      <c r="CTO256" s="2228"/>
      <c r="CTP256" s="2228"/>
      <c r="CTQ256" s="2228"/>
      <c r="CTR256" s="2228"/>
      <c r="CTS256" s="2228"/>
      <c r="CTT256" s="2228"/>
      <c r="CTU256" s="2228"/>
      <c r="CTV256" s="2228"/>
      <c r="CTW256" s="2228"/>
      <c r="CTX256" s="2228"/>
      <c r="CTY256" s="2228"/>
      <c r="CTZ256" s="2228"/>
      <c r="CUA256" s="2228"/>
      <c r="CUB256" s="2228"/>
      <c r="CUC256" s="2227"/>
      <c r="CUD256" s="2228"/>
      <c r="CUE256" s="2228"/>
      <c r="CUF256" s="2228"/>
      <c r="CUG256" s="2228"/>
      <c r="CUH256" s="2228"/>
      <c r="CUI256" s="2228"/>
      <c r="CUJ256" s="2228"/>
      <c r="CUK256" s="2228"/>
      <c r="CUL256" s="2228"/>
      <c r="CUM256" s="2228"/>
      <c r="CUN256" s="2228"/>
      <c r="CUO256" s="2228"/>
      <c r="CUP256" s="2228"/>
      <c r="CUQ256" s="2228"/>
      <c r="CUR256" s="2228"/>
      <c r="CUS256" s="2227"/>
      <c r="CUT256" s="2228"/>
      <c r="CUU256" s="2228"/>
      <c r="CUV256" s="2228"/>
      <c r="CUW256" s="2228"/>
      <c r="CUX256" s="2228"/>
      <c r="CUY256" s="2228"/>
      <c r="CUZ256" s="2228"/>
      <c r="CVA256" s="2228"/>
      <c r="CVB256" s="2228"/>
      <c r="CVC256" s="2228"/>
      <c r="CVD256" s="2228"/>
      <c r="CVE256" s="2228"/>
      <c r="CVF256" s="2228"/>
      <c r="CVG256" s="2228"/>
      <c r="CVH256" s="2228"/>
      <c r="CVI256" s="2227"/>
      <c r="CVJ256" s="2228"/>
      <c r="CVK256" s="2228"/>
      <c r="CVL256" s="2228"/>
      <c r="CVM256" s="2228"/>
      <c r="CVN256" s="2228"/>
      <c r="CVO256" s="2228"/>
      <c r="CVP256" s="2228"/>
      <c r="CVQ256" s="2228"/>
      <c r="CVR256" s="2228"/>
      <c r="CVS256" s="2228"/>
      <c r="CVT256" s="2228"/>
      <c r="CVU256" s="2228"/>
      <c r="CVV256" s="2228"/>
      <c r="CVW256" s="2228"/>
      <c r="CVX256" s="2228"/>
      <c r="CVY256" s="2227"/>
      <c r="CVZ256" s="2228"/>
      <c r="CWA256" s="2228"/>
      <c r="CWB256" s="2228"/>
      <c r="CWC256" s="2228"/>
      <c r="CWD256" s="2228"/>
      <c r="CWE256" s="2228"/>
      <c r="CWF256" s="2228"/>
      <c r="CWG256" s="2228"/>
      <c r="CWH256" s="2228"/>
      <c r="CWI256" s="2228"/>
      <c r="CWJ256" s="2228"/>
      <c r="CWK256" s="2228"/>
      <c r="CWL256" s="2228"/>
      <c r="CWM256" s="2228"/>
      <c r="CWN256" s="2228"/>
      <c r="CWO256" s="2227"/>
      <c r="CWP256" s="2228"/>
      <c r="CWQ256" s="2228"/>
      <c r="CWR256" s="2228"/>
      <c r="CWS256" s="2228"/>
      <c r="CWT256" s="2228"/>
      <c r="CWU256" s="2228"/>
      <c r="CWV256" s="2228"/>
      <c r="CWW256" s="2228"/>
      <c r="CWX256" s="2228"/>
      <c r="CWY256" s="2228"/>
      <c r="CWZ256" s="2228"/>
      <c r="CXA256" s="2228"/>
      <c r="CXB256" s="2228"/>
      <c r="CXC256" s="2228"/>
      <c r="CXD256" s="2228"/>
      <c r="CXE256" s="2227"/>
      <c r="CXF256" s="2228"/>
      <c r="CXG256" s="2228"/>
      <c r="CXH256" s="2228"/>
      <c r="CXI256" s="2228"/>
      <c r="CXJ256" s="2228"/>
      <c r="CXK256" s="2228"/>
      <c r="CXL256" s="2228"/>
      <c r="CXM256" s="2228"/>
      <c r="CXN256" s="2228"/>
      <c r="CXO256" s="2228"/>
      <c r="CXP256" s="2228"/>
      <c r="CXQ256" s="2228"/>
      <c r="CXR256" s="2228"/>
      <c r="CXS256" s="2228"/>
      <c r="CXT256" s="2228"/>
      <c r="CXU256" s="2227"/>
      <c r="CXV256" s="2228"/>
      <c r="CXW256" s="2228"/>
      <c r="CXX256" s="2228"/>
      <c r="CXY256" s="2228"/>
      <c r="CXZ256" s="2228"/>
      <c r="CYA256" s="2228"/>
      <c r="CYB256" s="2228"/>
      <c r="CYC256" s="2228"/>
      <c r="CYD256" s="2228"/>
      <c r="CYE256" s="2228"/>
      <c r="CYF256" s="2228"/>
      <c r="CYG256" s="2228"/>
      <c r="CYH256" s="2228"/>
      <c r="CYI256" s="2228"/>
      <c r="CYJ256" s="2228"/>
      <c r="CYK256" s="2227"/>
      <c r="CYL256" s="2228"/>
      <c r="CYM256" s="2228"/>
      <c r="CYN256" s="2228"/>
      <c r="CYO256" s="2228"/>
      <c r="CYP256" s="2228"/>
      <c r="CYQ256" s="2228"/>
      <c r="CYR256" s="2228"/>
      <c r="CYS256" s="2228"/>
      <c r="CYT256" s="2228"/>
      <c r="CYU256" s="2228"/>
      <c r="CYV256" s="2228"/>
      <c r="CYW256" s="2228"/>
      <c r="CYX256" s="2228"/>
      <c r="CYY256" s="2228"/>
      <c r="CYZ256" s="2228"/>
      <c r="CZA256" s="2227"/>
      <c r="CZB256" s="2228"/>
      <c r="CZC256" s="2228"/>
      <c r="CZD256" s="2228"/>
      <c r="CZE256" s="2228"/>
      <c r="CZF256" s="2228"/>
      <c r="CZG256" s="2228"/>
      <c r="CZH256" s="2228"/>
      <c r="CZI256" s="2228"/>
      <c r="CZJ256" s="2228"/>
      <c r="CZK256" s="2228"/>
      <c r="CZL256" s="2228"/>
      <c r="CZM256" s="2228"/>
      <c r="CZN256" s="2228"/>
      <c r="CZO256" s="2228"/>
      <c r="CZP256" s="2228"/>
      <c r="CZQ256" s="2227"/>
      <c r="CZR256" s="2228"/>
      <c r="CZS256" s="2228"/>
      <c r="CZT256" s="2228"/>
      <c r="CZU256" s="2228"/>
      <c r="CZV256" s="2228"/>
      <c r="CZW256" s="2228"/>
      <c r="CZX256" s="2228"/>
      <c r="CZY256" s="2228"/>
      <c r="CZZ256" s="2228"/>
      <c r="DAA256" s="2228"/>
      <c r="DAB256" s="2228"/>
      <c r="DAC256" s="2228"/>
      <c r="DAD256" s="2228"/>
      <c r="DAE256" s="2228"/>
      <c r="DAF256" s="2228"/>
      <c r="DAG256" s="2227"/>
      <c r="DAH256" s="2228"/>
      <c r="DAI256" s="2228"/>
      <c r="DAJ256" s="2228"/>
      <c r="DAK256" s="2228"/>
      <c r="DAL256" s="2228"/>
      <c r="DAM256" s="2228"/>
      <c r="DAN256" s="2228"/>
      <c r="DAO256" s="2228"/>
      <c r="DAP256" s="2228"/>
      <c r="DAQ256" s="2228"/>
      <c r="DAR256" s="2228"/>
      <c r="DAS256" s="2228"/>
      <c r="DAT256" s="2228"/>
      <c r="DAU256" s="2228"/>
      <c r="DAV256" s="2228"/>
      <c r="DAW256" s="2227"/>
      <c r="DAX256" s="2228"/>
      <c r="DAY256" s="2228"/>
      <c r="DAZ256" s="2228"/>
      <c r="DBA256" s="2228"/>
      <c r="DBB256" s="2228"/>
      <c r="DBC256" s="2228"/>
      <c r="DBD256" s="2228"/>
      <c r="DBE256" s="2228"/>
      <c r="DBF256" s="2228"/>
      <c r="DBG256" s="2228"/>
      <c r="DBH256" s="2228"/>
      <c r="DBI256" s="2228"/>
      <c r="DBJ256" s="2228"/>
      <c r="DBK256" s="2228"/>
      <c r="DBL256" s="2228"/>
      <c r="DBM256" s="2227"/>
      <c r="DBN256" s="2228"/>
      <c r="DBO256" s="2228"/>
      <c r="DBP256" s="2228"/>
      <c r="DBQ256" s="2228"/>
      <c r="DBR256" s="2228"/>
      <c r="DBS256" s="2228"/>
      <c r="DBT256" s="2228"/>
      <c r="DBU256" s="2228"/>
      <c r="DBV256" s="2228"/>
      <c r="DBW256" s="2228"/>
      <c r="DBX256" s="2228"/>
      <c r="DBY256" s="2228"/>
      <c r="DBZ256" s="2228"/>
      <c r="DCA256" s="2228"/>
      <c r="DCB256" s="2228"/>
      <c r="DCC256" s="2227"/>
      <c r="DCD256" s="2228"/>
      <c r="DCE256" s="2228"/>
      <c r="DCF256" s="2228"/>
      <c r="DCG256" s="2228"/>
      <c r="DCH256" s="2228"/>
      <c r="DCI256" s="2228"/>
      <c r="DCJ256" s="2228"/>
      <c r="DCK256" s="2228"/>
      <c r="DCL256" s="2228"/>
      <c r="DCM256" s="2228"/>
      <c r="DCN256" s="2228"/>
      <c r="DCO256" s="2228"/>
      <c r="DCP256" s="2228"/>
      <c r="DCQ256" s="2228"/>
      <c r="DCR256" s="2228"/>
      <c r="DCS256" s="2227"/>
      <c r="DCT256" s="2228"/>
      <c r="DCU256" s="2228"/>
      <c r="DCV256" s="2228"/>
      <c r="DCW256" s="2228"/>
      <c r="DCX256" s="2228"/>
      <c r="DCY256" s="2228"/>
      <c r="DCZ256" s="2228"/>
      <c r="DDA256" s="2228"/>
      <c r="DDB256" s="2228"/>
      <c r="DDC256" s="2228"/>
      <c r="DDD256" s="2228"/>
      <c r="DDE256" s="2228"/>
      <c r="DDF256" s="2228"/>
      <c r="DDG256" s="2228"/>
      <c r="DDH256" s="2228"/>
      <c r="DDI256" s="2227"/>
      <c r="DDJ256" s="2228"/>
      <c r="DDK256" s="2228"/>
      <c r="DDL256" s="2228"/>
      <c r="DDM256" s="2228"/>
      <c r="DDN256" s="2228"/>
      <c r="DDO256" s="2228"/>
      <c r="DDP256" s="2228"/>
      <c r="DDQ256" s="2228"/>
      <c r="DDR256" s="2228"/>
      <c r="DDS256" s="2228"/>
      <c r="DDT256" s="2228"/>
      <c r="DDU256" s="2228"/>
      <c r="DDV256" s="2228"/>
      <c r="DDW256" s="2228"/>
      <c r="DDX256" s="2228"/>
      <c r="DDY256" s="2227"/>
      <c r="DDZ256" s="2228"/>
      <c r="DEA256" s="2228"/>
      <c r="DEB256" s="2228"/>
      <c r="DEC256" s="2228"/>
      <c r="DED256" s="2228"/>
      <c r="DEE256" s="2228"/>
      <c r="DEF256" s="2228"/>
      <c r="DEG256" s="2228"/>
      <c r="DEH256" s="2228"/>
      <c r="DEI256" s="2228"/>
      <c r="DEJ256" s="2228"/>
      <c r="DEK256" s="2228"/>
      <c r="DEL256" s="2228"/>
      <c r="DEM256" s="2228"/>
      <c r="DEN256" s="2228"/>
      <c r="DEO256" s="2227"/>
      <c r="DEP256" s="2228"/>
      <c r="DEQ256" s="2228"/>
      <c r="DER256" s="2228"/>
      <c r="DES256" s="2228"/>
      <c r="DET256" s="2228"/>
      <c r="DEU256" s="2228"/>
      <c r="DEV256" s="2228"/>
      <c r="DEW256" s="2228"/>
      <c r="DEX256" s="2228"/>
      <c r="DEY256" s="2228"/>
      <c r="DEZ256" s="2228"/>
      <c r="DFA256" s="2228"/>
      <c r="DFB256" s="2228"/>
      <c r="DFC256" s="2228"/>
      <c r="DFD256" s="2228"/>
      <c r="DFE256" s="2227"/>
      <c r="DFF256" s="2228"/>
      <c r="DFG256" s="2228"/>
      <c r="DFH256" s="2228"/>
      <c r="DFI256" s="2228"/>
      <c r="DFJ256" s="2228"/>
      <c r="DFK256" s="2228"/>
      <c r="DFL256" s="2228"/>
      <c r="DFM256" s="2228"/>
      <c r="DFN256" s="2228"/>
      <c r="DFO256" s="2228"/>
      <c r="DFP256" s="2228"/>
      <c r="DFQ256" s="2228"/>
      <c r="DFR256" s="2228"/>
      <c r="DFS256" s="2228"/>
      <c r="DFT256" s="2228"/>
      <c r="DFU256" s="2227"/>
      <c r="DFV256" s="2228"/>
      <c r="DFW256" s="2228"/>
      <c r="DFX256" s="2228"/>
      <c r="DFY256" s="2228"/>
      <c r="DFZ256" s="2228"/>
      <c r="DGA256" s="2228"/>
      <c r="DGB256" s="2228"/>
      <c r="DGC256" s="2228"/>
      <c r="DGD256" s="2228"/>
      <c r="DGE256" s="2228"/>
      <c r="DGF256" s="2228"/>
      <c r="DGG256" s="2228"/>
      <c r="DGH256" s="2228"/>
      <c r="DGI256" s="2228"/>
      <c r="DGJ256" s="2228"/>
      <c r="DGK256" s="2227"/>
      <c r="DGL256" s="2228"/>
      <c r="DGM256" s="2228"/>
      <c r="DGN256" s="2228"/>
      <c r="DGO256" s="2228"/>
      <c r="DGP256" s="2228"/>
      <c r="DGQ256" s="2228"/>
      <c r="DGR256" s="2228"/>
      <c r="DGS256" s="2228"/>
      <c r="DGT256" s="2228"/>
      <c r="DGU256" s="2228"/>
      <c r="DGV256" s="2228"/>
      <c r="DGW256" s="2228"/>
      <c r="DGX256" s="2228"/>
      <c r="DGY256" s="2228"/>
      <c r="DGZ256" s="2228"/>
      <c r="DHA256" s="2227"/>
      <c r="DHB256" s="2228"/>
      <c r="DHC256" s="2228"/>
      <c r="DHD256" s="2228"/>
      <c r="DHE256" s="2228"/>
      <c r="DHF256" s="2228"/>
      <c r="DHG256" s="2228"/>
      <c r="DHH256" s="2228"/>
      <c r="DHI256" s="2228"/>
      <c r="DHJ256" s="2228"/>
      <c r="DHK256" s="2228"/>
      <c r="DHL256" s="2228"/>
      <c r="DHM256" s="2228"/>
      <c r="DHN256" s="2228"/>
      <c r="DHO256" s="2228"/>
      <c r="DHP256" s="2228"/>
      <c r="DHQ256" s="2227"/>
      <c r="DHR256" s="2228"/>
      <c r="DHS256" s="2228"/>
      <c r="DHT256" s="2228"/>
      <c r="DHU256" s="2228"/>
      <c r="DHV256" s="2228"/>
      <c r="DHW256" s="2228"/>
      <c r="DHX256" s="2228"/>
      <c r="DHY256" s="2228"/>
      <c r="DHZ256" s="2228"/>
      <c r="DIA256" s="2228"/>
      <c r="DIB256" s="2228"/>
      <c r="DIC256" s="2228"/>
      <c r="DID256" s="2228"/>
      <c r="DIE256" s="2228"/>
      <c r="DIF256" s="2228"/>
      <c r="DIG256" s="2227"/>
      <c r="DIH256" s="2228"/>
      <c r="DII256" s="2228"/>
      <c r="DIJ256" s="2228"/>
      <c r="DIK256" s="2228"/>
      <c r="DIL256" s="2228"/>
      <c r="DIM256" s="2228"/>
      <c r="DIN256" s="2228"/>
      <c r="DIO256" s="2228"/>
      <c r="DIP256" s="2228"/>
      <c r="DIQ256" s="2228"/>
      <c r="DIR256" s="2228"/>
      <c r="DIS256" s="2228"/>
      <c r="DIT256" s="2228"/>
      <c r="DIU256" s="2228"/>
      <c r="DIV256" s="2228"/>
      <c r="DIW256" s="2227"/>
      <c r="DIX256" s="2228"/>
      <c r="DIY256" s="2228"/>
      <c r="DIZ256" s="2228"/>
      <c r="DJA256" s="2228"/>
      <c r="DJB256" s="2228"/>
      <c r="DJC256" s="2228"/>
      <c r="DJD256" s="2228"/>
      <c r="DJE256" s="2228"/>
      <c r="DJF256" s="2228"/>
      <c r="DJG256" s="2228"/>
      <c r="DJH256" s="2228"/>
      <c r="DJI256" s="2228"/>
      <c r="DJJ256" s="2228"/>
      <c r="DJK256" s="2228"/>
      <c r="DJL256" s="2228"/>
      <c r="DJM256" s="2227"/>
      <c r="DJN256" s="2228"/>
      <c r="DJO256" s="2228"/>
      <c r="DJP256" s="2228"/>
      <c r="DJQ256" s="2228"/>
      <c r="DJR256" s="2228"/>
      <c r="DJS256" s="2228"/>
      <c r="DJT256" s="2228"/>
      <c r="DJU256" s="2228"/>
      <c r="DJV256" s="2228"/>
      <c r="DJW256" s="2228"/>
      <c r="DJX256" s="2228"/>
      <c r="DJY256" s="2228"/>
      <c r="DJZ256" s="2228"/>
      <c r="DKA256" s="2228"/>
      <c r="DKB256" s="2228"/>
      <c r="DKC256" s="2227"/>
      <c r="DKD256" s="2228"/>
      <c r="DKE256" s="2228"/>
      <c r="DKF256" s="2228"/>
      <c r="DKG256" s="2228"/>
      <c r="DKH256" s="2228"/>
      <c r="DKI256" s="2228"/>
      <c r="DKJ256" s="2228"/>
      <c r="DKK256" s="2228"/>
      <c r="DKL256" s="2228"/>
      <c r="DKM256" s="2228"/>
      <c r="DKN256" s="2228"/>
      <c r="DKO256" s="2228"/>
      <c r="DKP256" s="2228"/>
      <c r="DKQ256" s="2228"/>
      <c r="DKR256" s="2228"/>
      <c r="DKS256" s="2227"/>
      <c r="DKT256" s="2228"/>
      <c r="DKU256" s="2228"/>
      <c r="DKV256" s="2228"/>
      <c r="DKW256" s="2228"/>
      <c r="DKX256" s="2228"/>
      <c r="DKY256" s="2228"/>
      <c r="DKZ256" s="2228"/>
      <c r="DLA256" s="2228"/>
      <c r="DLB256" s="2228"/>
      <c r="DLC256" s="2228"/>
      <c r="DLD256" s="2228"/>
      <c r="DLE256" s="2228"/>
      <c r="DLF256" s="2228"/>
      <c r="DLG256" s="2228"/>
      <c r="DLH256" s="2228"/>
      <c r="DLI256" s="2227"/>
      <c r="DLJ256" s="2228"/>
      <c r="DLK256" s="2228"/>
      <c r="DLL256" s="2228"/>
      <c r="DLM256" s="2228"/>
      <c r="DLN256" s="2228"/>
      <c r="DLO256" s="2228"/>
      <c r="DLP256" s="2228"/>
      <c r="DLQ256" s="2228"/>
      <c r="DLR256" s="2228"/>
      <c r="DLS256" s="2228"/>
      <c r="DLT256" s="2228"/>
      <c r="DLU256" s="2228"/>
      <c r="DLV256" s="2228"/>
      <c r="DLW256" s="2228"/>
      <c r="DLX256" s="2228"/>
      <c r="DLY256" s="2227"/>
      <c r="DLZ256" s="2228"/>
      <c r="DMA256" s="2228"/>
      <c r="DMB256" s="2228"/>
      <c r="DMC256" s="2228"/>
      <c r="DMD256" s="2228"/>
      <c r="DME256" s="2228"/>
      <c r="DMF256" s="2228"/>
      <c r="DMG256" s="2228"/>
      <c r="DMH256" s="2228"/>
      <c r="DMI256" s="2228"/>
      <c r="DMJ256" s="2228"/>
      <c r="DMK256" s="2228"/>
      <c r="DML256" s="2228"/>
      <c r="DMM256" s="2228"/>
      <c r="DMN256" s="2228"/>
      <c r="DMO256" s="2227"/>
      <c r="DMP256" s="2228"/>
      <c r="DMQ256" s="2228"/>
      <c r="DMR256" s="2228"/>
      <c r="DMS256" s="2228"/>
      <c r="DMT256" s="2228"/>
      <c r="DMU256" s="2228"/>
      <c r="DMV256" s="2228"/>
      <c r="DMW256" s="2228"/>
      <c r="DMX256" s="2228"/>
      <c r="DMY256" s="2228"/>
      <c r="DMZ256" s="2228"/>
      <c r="DNA256" s="2228"/>
      <c r="DNB256" s="2228"/>
      <c r="DNC256" s="2228"/>
      <c r="DND256" s="2228"/>
      <c r="DNE256" s="2227"/>
      <c r="DNF256" s="2228"/>
      <c r="DNG256" s="2228"/>
      <c r="DNH256" s="2228"/>
      <c r="DNI256" s="2228"/>
      <c r="DNJ256" s="2228"/>
      <c r="DNK256" s="2228"/>
      <c r="DNL256" s="2228"/>
      <c r="DNM256" s="2228"/>
      <c r="DNN256" s="2228"/>
      <c r="DNO256" s="2228"/>
      <c r="DNP256" s="2228"/>
      <c r="DNQ256" s="2228"/>
      <c r="DNR256" s="2228"/>
      <c r="DNS256" s="2228"/>
      <c r="DNT256" s="2228"/>
      <c r="DNU256" s="2227"/>
      <c r="DNV256" s="2228"/>
      <c r="DNW256" s="2228"/>
      <c r="DNX256" s="2228"/>
      <c r="DNY256" s="2228"/>
      <c r="DNZ256" s="2228"/>
      <c r="DOA256" s="2228"/>
      <c r="DOB256" s="2228"/>
      <c r="DOC256" s="2228"/>
      <c r="DOD256" s="2228"/>
      <c r="DOE256" s="2228"/>
      <c r="DOF256" s="2228"/>
      <c r="DOG256" s="2228"/>
      <c r="DOH256" s="2228"/>
      <c r="DOI256" s="2228"/>
      <c r="DOJ256" s="2228"/>
      <c r="DOK256" s="2227"/>
      <c r="DOL256" s="2228"/>
      <c r="DOM256" s="2228"/>
      <c r="DON256" s="2228"/>
      <c r="DOO256" s="2228"/>
      <c r="DOP256" s="2228"/>
      <c r="DOQ256" s="2228"/>
      <c r="DOR256" s="2228"/>
      <c r="DOS256" s="2228"/>
      <c r="DOT256" s="2228"/>
      <c r="DOU256" s="2228"/>
      <c r="DOV256" s="2228"/>
      <c r="DOW256" s="2228"/>
      <c r="DOX256" s="2228"/>
      <c r="DOY256" s="2228"/>
      <c r="DOZ256" s="2228"/>
      <c r="DPA256" s="2227"/>
      <c r="DPB256" s="2228"/>
      <c r="DPC256" s="2228"/>
      <c r="DPD256" s="2228"/>
      <c r="DPE256" s="2228"/>
      <c r="DPF256" s="2228"/>
      <c r="DPG256" s="2228"/>
      <c r="DPH256" s="2228"/>
      <c r="DPI256" s="2228"/>
      <c r="DPJ256" s="2228"/>
      <c r="DPK256" s="2228"/>
      <c r="DPL256" s="2228"/>
      <c r="DPM256" s="2228"/>
      <c r="DPN256" s="2228"/>
      <c r="DPO256" s="2228"/>
      <c r="DPP256" s="2228"/>
      <c r="DPQ256" s="2227"/>
      <c r="DPR256" s="2228"/>
      <c r="DPS256" s="2228"/>
      <c r="DPT256" s="2228"/>
      <c r="DPU256" s="2228"/>
      <c r="DPV256" s="2228"/>
      <c r="DPW256" s="2228"/>
      <c r="DPX256" s="2228"/>
      <c r="DPY256" s="2228"/>
      <c r="DPZ256" s="2228"/>
      <c r="DQA256" s="2228"/>
      <c r="DQB256" s="2228"/>
      <c r="DQC256" s="2228"/>
      <c r="DQD256" s="2228"/>
      <c r="DQE256" s="2228"/>
      <c r="DQF256" s="2228"/>
      <c r="DQG256" s="2227"/>
      <c r="DQH256" s="2228"/>
      <c r="DQI256" s="2228"/>
      <c r="DQJ256" s="2228"/>
      <c r="DQK256" s="2228"/>
      <c r="DQL256" s="2228"/>
      <c r="DQM256" s="2228"/>
      <c r="DQN256" s="2228"/>
      <c r="DQO256" s="2228"/>
      <c r="DQP256" s="2228"/>
      <c r="DQQ256" s="2228"/>
      <c r="DQR256" s="2228"/>
      <c r="DQS256" s="2228"/>
      <c r="DQT256" s="2228"/>
      <c r="DQU256" s="2228"/>
      <c r="DQV256" s="2228"/>
      <c r="DQW256" s="2227"/>
      <c r="DQX256" s="2228"/>
      <c r="DQY256" s="2228"/>
      <c r="DQZ256" s="2228"/>
      <c r="DRA256" s="2228"/>
      <c r="DRB256" s="2228"/>
      <c r="DRC256" s="2228"/>
      <c r="DRD256" s="2228"/>
      <c r="DRE256" s="2228"/>
      <c r="DRF256" s="2228"/>
      <c r="DRG256" s="2228"/>
      <c r="DRH256" s="2228"/>
      <c r="DRI256" s="2228"/>
      <c r="DRJ256" s="2228"/>
      <c r="DRK256" s="2228"/>
      <c r="DRL256" s="2228"/>
      <c r="DRM256" s="2227"/>
      <c r="DRN256" s="2228"/>
      <c r="DRO256" s="2228"/>
      <c r="DRP256" s="2228"/>
      <c r="DRQ256" s="2228"/>
      <c r="DRR256" s="2228"/>
      <c r="DRS256" s="2228"/>
      <c r="DRT256" s="2228"/>
      <c r="DRU256" s="2228"/>
      <c r="DRV256" s="2228"/>
      <c r="DRW256" s="2228"/>
      <c r="DRX256" s="2228"/>
      <c r="DRY256" s="2228"/>
      <c r="DRZ256" s="2228"/>
      <c r="DSA256" s="2228"/>
      <c r="DSB256" s="2228"/>
      <c r="DSC256" s="2227"/>
      <c r="DSD256" s="2228"/>
      <c r="DSE256" s="2228"/>
      <c r="DSF256" s="2228"/>
      <c r="DSG256" s="2228"/>
      <c r="DSH256" s="2228"/>
      <c r="DSI256" s="2228"/>
      <c r="DSJ256" s="2228"/>
      <c r="DSK256" s="2228"/>
      <c r="DSL256" s="2228"/>
      <c r="DSM256" s="2228"/>
      <c r="DSN256" s="2228"/>
      <c r="DSO256" s="2228"/>
      <c r="DSP256" s="2228"/>
      <c r="DSQ256" s="2228"/>
      <c r="DSR256" s="2228"/>
      <c r="DSS256" s="2227"/>
      <c r="DST256" s="2228"/>
      <c r="DSU256" s="2228"/>
      <c r="DSV256" s="2228"/>
      <c r="DSW256" s="2228"/>
      <c r="DSX256" s="2228"/>
      <c r="DSY256" s="2228"/>
      <c r="DSZ256" s="2228"/>
      <c r="DTA256" s="2228"/>
      <c r="DTB256" s="2228"/>
      <c r="DTC256" s="2228"/>
      <c r="DTD256" s="2228"/>
      <c r="DTE256" s="2228"/>
      <c r="DTF256" s="2228"/>
      <c r="DTG256" s="2228"/>
      <c r="DTH256" s="2228"/>
      <c r="DTI256" s="2227"/>
      <c r="DTJ256" s="2228"/>
      <c r="DTK256" s="2228"/>
      <c r="DTL256" s="2228"/>
      <c r="DTM256" s="2228"/>
      <c r="DTN256" s="2228"/>
      <c r="DTO256" s="2228"/>
      <c r="DTP256" s="2228"/>
      <c r="DTQ256" s="2228"/>
      <c r="DTR256" s="2228"/>
      <c r="DTS256" s="2228"/>
      <c r="DTT256" s="2228"/>
      <c r="DTU256" s="2228"/>
      <c r="DTV256" s="2228"/>
      <c r="DTW256" s="2228"/>
      <c r="DTX256" s="2228"/>
      <c r="DTY256" s="2227"/>
      <c r="DTZ256" s="2228"/>
      <c r="DUA256" s="2228"/>
      <c r="DUB256" s="2228"/>
      <c r="DUC256" s="2228"/>
      <c r="DUD256" s="2228"/>
      <c r="DUE256" s="2228"/>
      <c r="DUF256" s="2228"/>
      <c r="DUG256" s="2228"/>
      <c r="DUH256" s="2228"/>
      <c r="DUI256" s="2228"/>
      <c r="DUJ256" s="2228"/>
      <c r="DUK256" s="2228"/>
      <c r="DUL256" s="2228"/>
      <c r="DUM256" s="2228"/>
      <c r="DUN256" s="2228"/>
      <c r="DUO256" s="2227"/>
      <c r="DUP256" s="2228"/>
      <c r="DUQ256" s="2228"/>
      <c r="DUR256" s="2228"/>
      <c r="DUS256" s="2228"/>
      <c r="DUT256" s="2228"/>
      <c r="DUU256" s="2228"/>
      <c r="DUV256" s="2228"/>
      <c r="DUW256" s="2228"/>
      <c r="DUX256" s="2228"/>
      <c r="DUY256" s="2228"/>
      <c r="DUZ256" s="2228"/>
      <c r="DVA256" s="2228"/>
      <c r="DVB256" s="2228"/>
      <c r="DVC256" s="2228"/>
      <c r="DVD256" s="2228"/>
      <c r="DVE256" s="2227"/>
      <c r="DVF256" s="2228"/>
      <c r="DVG256" s="2228"/>
      <c r="DVH256" s="2228"/>
      <c r="DVI256" s="2228"/>
      <c r="DVJ256" s="2228"/>
      <c r="DVK256" s="2228"/>
      <c r="DVL256" s="2228"/>
      <c r="DVM256" s="2228"/>
      <c r="DVN256" s="2228"/>
      <c r="DVO256" s="2228"/>
      <c r="DVP256" s="2228"/>
      <c r="DVQ256" s="2228"/>
      <c r="DVR256" s="2228"/>
      <c r="DVS256" s="2228"/>
      <c r="DVT256" s="2228"/>
      <c r="DVU256" s="2227"/>
      <c r="DVV256" s="2228"/>
      <c r="DVW256" s="2228"/>
      <c r="DVX256" s="2228"/>
      <c r="DVY256" s="2228"/>
      <c r="DVZ256" s="2228"/>
      <c r="DWA256" s="2228"/>
      <c r="DWB256" s="2228"/>
      <c r="DWC256" s="2228"/>
      <c r="DWD256" s="2228"/>
      <c r="DWE256" s="2228"/>
      <c r="DWF256" s="2228"/>
      <c r="DWG256" s="2228"/>
      <c r="DWH256" s="2228"/>
      <c r="DWI256" s="2228"/>
      <c r="DWJ256" s="2228"/>
      <c r="DWK256" s="2227"/>
      <c r="DWL256" s="2228"/>
      <c r="DWM256" s="2228"/>
      <c r="DWN256" s="2228"/>
      <c r="DWO256" s="2228"/>
      <c r="DWP256" s="2228"/>
      <c r="DWQ256" s="2228"/>
      <c r="DWR256" s="2228"/>
      <c r="DWS256" s="2228"/>
      <c r="DWT256" s="2228"/>
      <c r="DWU256" s="2228"/>
      <c r="DWV256" s="2228"/>
      <c r="DWW256" s="2228"/>
      <c r="DWX256" s="2228"/>
      <c r="DWY256" s="2228"/>
      <c r="DWZ256" s="2228"/>
      <c r="DXA256" s="2227"/>
      <c r="DXB256" s="2228"/>
      <c r="DXC256" s="2228"/>
      <c r="DXD256" s="2228"/>
      <c r="DXE256" s="2228"/>
      <c r="DXF256" s="2228"/>
      <c r="DXG256" s="2228"/>
      <c r="DXH256" s="2228"/>
      <c r="DXI256" s="2228"/>
      <c r="DXJ256" s="2228"/>
      <c r="DXK256" s="2228"/>
      <c r="DXL256" s="2228"/>
      <c r="DXM256" s="2228"/>
      <c r="DXN256" s="2228"/>
      <c r="DXO256" s="2228"/>
      <c r="DXP256" s="2228"/>
      <c r="DXQ256" s="2227"/>
      <c r="DXR256" s="2228"/>
      <c r="DXS256" s="2228"/>
      <c r="DXT256" s="2228"/>
      <c r="DXU256" s="2228"/>
      <c r="DXV256" s="2228"/>
      <c r="DXW256" s="2228"/>
      <c r="DXX256" s="2228"/>
      <c r="DXY256" s="2228"/>
      <c r="DXZ256" s="2228"/>
      <c r="DYA256" s="2228"/>
      <c r="DYB256" s="2228"/>
      <c r="DYC256" s="2228"/>
      <c r="DYD256" s="2228"/>
      <c r="DYE256" s="2228"/>
      <c r="DYF256" s="2228"/>
      <c r="DYG256" s="2227"/>
      <c r="DYH256" s="2228"/>
      <c r="DYI256" s="2228"/>
      <c r="DYJ256" s="2228"/>
      <c r="DYK256" s="2228"/>
      <c r="DYL256" s="2228"/>
      <c r="DYM256" s="2228"/>
      <c r="DYN256" s="2228"/>
      <c r="DYO256" s="2228"/>
      <c r="DYP256" s="2228"/>
      <c r="DYQ256" s="2228"/>
      <c r="DYR256" s="2228"/>
      <c r="DYS256" s="2228"/>
      <c r="DYT256" s="2228"/>
      <c r="DYU256" s="2228"/>
      <c r="DYV256" s="2228"/>
      <c r="DYW256" s="2227"/>
      <c r="DYX256" s="2228"/>
      <c r="DYY256" s="2228"/>
      <c r="DYZ256" s="2228"/>
      <c r="DZA256" s="2228"/>
      <c r="DZB256" s="2228"/>
      <c r="DZC256" s="2228"/>
      <c r="DZD256" s="2228"/>
      <c r="DZE256" s="2228"/>
      <c r="DZF256" s="2228"/>
      <c r="DZG256" s="2228"/>
      <c r="DZH256" s="2228"/>
      <c r="DZI256" s="2228"/>
      <c r="DZJ256" s="2228"/>
      <c r="DZK256" s="2228"/>
      <c r="DZL256" s="2228"/>
      <c r="DZM256" s="2227"/>
      <c r="DZN256" s="2228"/>
      <c r="DZO256" s="2228"/>
      <c r="DZP256" s="2228"/>
      <c r="DZQ256" s="2228"/>
      <c r="DZR256" s="2228"/>
      <c r="DZS256" s="2228"/>
      <c r="DZT256" s="2228"/>
      <c r="DZU256" s="2228"/>
      <c r="DZV256" s="2228"/>
      <c r="DZW256" s="2228"/>
      <c r="DZX256" s="2228"/>
      <c r="DZY256" s="2228"/>
      <c r="DZZ256" s="2228"/>
      <c r="EAA256" s="2228"/>
      <c r="EAB256" s="2228"/>
      <c r="EAC256" s="2227"/>
      <c r="EAD256" s="2228"/>
      <c r="EAE256" s="2228"/>
      <c r="EAF256" s="2228"/>
      <c r="EAG256" s="2228"/>
      <c r="EAH256" s="2228"/>
      <c r="EAI256" s="2228"/>
      <c r="EAJ256" s="2228"/>
      <c r="EAK256" s="2228"/>
      <c r="EAL256" s="2228"/>
      <c r="EAM256" s="2228"/>
      <c r="EAN256" s="2228"/>
      <c r="EAO256" s="2228"/>
      <c r="EAP256" s="2228"/>
      <c r="EAQ256" s="2228"/>
      <c r="EAR256" s="2228"/>
      <c r="EAS256" s="2227"/>
      <c r="EAT256" s="2228"/>
      <c r="EAU256" s="2228"/>
      <c r="EAV256" s="2228"/>
      <c r="EAW256" s="2228"/>
      <c r="EAX256" s="2228"/>
      <c r="EAY256" s="2228"/>
      <c r="EAZ256" s="2228"/>
      <c r="EBA256" s="2228"/>
      <c r="EBB256" s="2228"/>
      <c r="EBC256" s="2228"/>
      <c r="EBD256" s="2228"/>
      <c r="EBE256" s="2228"/>
      <c r="EBF256" s="2228"/>
      <c r="EBG256" s="2228"/>
      <c r="EBH256" s="2228"/>
      <c r="EBI256" s="2227"/>
      <c r="EBJ256" s="2228"/>
      <c r="EBK256" s="2228"/>
      <c r="EBL256" s="2228"/>
      <c r="EBM256" s="2228"/>
      <c r="EBN256" s="2228"/>
      <c r="EBO256" s="2228"/>
      <c r="EBP256" s="2228"/>
      <c r="EBQ256" s="2228"/>
      <c r="EBR256" s="2228"/>
      <c r="EBS256" s="2228"/>
      <c r="EBT256" s="2228"/>
      <c r="EBU256" s="2228"/>
      <c r="EBV256" s="2228"/>
      <c r="EBW256" s="2228"/>
      <c r="EBX256" s="2228"/>
      <c r="EBY256" s="2227"/>
      <c r="EBZ256" s="2228"/>
      <c r="ECA256" s="2228"/>
      <c r="ECB256" s="2228"/>
      <c r="ECC256" s="2228"/>
      <c r="ECD256" s="2228"/>
      <c r="ECE256" s="2228"/>
      <c r="ECF256" s="2228"/>
      <c r="ECG256" s="2228"/>
      <c r="ECH256" s="2228"/>
      <c r="ECI256" s="2228"/>
      <c r="ECJ256" s="2228"/>
      <c r="ECK256" s="2228"/>
      <c r="ECL256" s="2228"/>
      <c r="ECM256" s="2228"/>
      <c r="ECN256" s="2228"/>
      <c r="ECO256" s="2227"/>
      <c r="ECP256" s="2228"/>
      <c r="ECQ256" s="2228"/>
      <c r="ECR256" s="2228"/>
      <c r="ECS256" s="2228"/>
      <c r="ECT256" s="2228"/>
      <c r="ECU256" s="2228"/>
      <c r="ECV256" s="2228"/>
      <c r="ECW256" s="2228"/>
      <c r="ECX256" s="2228"/>
      <c r="ECY256" s="2228"/>
      <c r="ECZ256" s="2228"/>
      <c r="EDA256" s="2228"/>
      <c r="EDB256" s="2228"/>
      <c r="EDC256" s="2228"/>
      <c r="EDD256" s="2228"/>
      <c r="EDE256" s="2227"/>
      <c r="EDF256" s="2228"/>
      <c r="EDG256" s="2228"/>
      <c r="EDH256" s="2228"/>
      <c r="EDI256" s="2228"/>
      <c r="EDJ256" s="2228"/>
      <c r="EDK256" s="2228"/>
      <c r="EDL256" s="2228"/>
      <c r="EDM256" s="2228"/>
      <c r="EDN256" s="2228"/>
      <c r="EDO256" s="2228"/>
      <c r="EDP256" s="2228"/>
      <c r="EDQ256" s="2228"/>
      <c r="EDR256" s="2228"/>
      <c r="EDS256" s="2228"/>
      <c r="EDT256" s="2228"/>
      <c r="EDU256" s="2227"/>
      <c r="EDV256" s="2228"/>
      <c r="EDW256" s="2228"/>
      <c r="EDX256" s="2228"/>
      <c r="EDY256" s="2228"/>
      <c r="EDZ256" s="2228"/>
      <c r="EEA256" s="2228"/>
      <c r="EEB256" s="2228"/>
      <c r="EEC256" s="2228"/>
      <c r="EED256" s="2228"/>
      <c r="EEE256" s="2228"/>
      <c r="EEF256" s="2228"/>
      <c r="EEG256" s="2228"/>
      <c r="EEH256" s="2228"/>
      <c r="EEI256" s="2228"/>
      <c r="EEJ256" s="2228"/>
      <c r="EEK256" s="2227"/>
      <c r="EEL256" s="2228"/>
      <c r="EEM256" s="2228"/>
      <c r="EEN256" s="2228"/>
      <c r="EEO256" s="2228"/>
      <c r="EEP256" s="2228"/>
      <c r="EEQ256" s="2228"/>
      <c r="EER256" s="2228"/>
      <c r="EES256" s="2228"/>
      <c r="EET256" s="2228"/>
      <c r="EEU256" s="2228"/>
      <c r="EEV256" s="2228"/>
      <c r="EEW256" s="2228"/>
      <c r="EEX256" s="2228"/>
      <c r="EEY256" s="2228"/>
      <c r="EEZ256" s="2228"/>
      <c r="EFA256" s="2227"/>
      <c r="EFB256" s="2228"/>
      <c r="EFC256" s="2228"/>
      <c r="EFD256" s="2228"/>
      <c r="EFE256" s="2228"/>
      <c r="EFF256" s="2228"/>
      <c r="EFG256" s="2228"/>
      <c r="EFH256" s="2228"/>
      <c r="EFI256" s="2228"/>
      <c r="EFJ256" s="2228"/>
      <c r="EFK256" s="2228"/>
      <c r="EFL256" s="2228"/>
      <c r="EFM256" s="2228"/>
      <c r="EFN256" s="2228"/>
      <c r="EFO256" s="2228"/>
      <c r="EFP256" s="2228"/>
      <c r="EFQ256" s="2227"/>
      <c r="EFR256" s="2228"/>
      <c r="EFS256" s="2228"/>
      <c r="EFT256" s="2228"/>
      <c r="EFU256" s="2228"/>
      <c r="EFV256" s="2228"/>
      <c r="EFW256" s="2228"/>
      <c r="EFX256" s="2228"/>
      <c r="EFY256" s="2228"/>
      <c r="EFZ256" s="2228"/>
      <c r="EGA256" s="2228"/>
      <c r="EGB256" s="2228"/>
      <c r="EGC256" s="2228"/>
      <c r="EGD256" s="2228"/>
      <c r="EGE256" s="2228"/>
      <c r="EGF256" s="2228"/>
      <c r="EGG256" s="2227"/>
      <c r="EGH256" s="2228"/>
      <c r="EGI256" s="2228"/>
      <c r="EGJ256" s="2228"/>
      <c r="EGK256" s="2228"/>
      <c r="EGL256" s="2228"/>
      <c r="EGM256" s="2228"/>
      <c r="EGN256" s="2228"/>
      <c r="EGO256" s="2228"/>
      <c r="EGP256" s="2228"/>
      <c r="EGQ256" s="2228"/>
      <c r="EGR256" s="2228"/>
      <c r="EGS256" s="2228"/>
      <c r="EGT256" s="2228"/>
      <c r="EGU256" s="2228"/>
      <c r="EGV256" s="2228"/>
      <c r="EGW256" s="2227"/>
      <c r="EGX256" s="2228"/>
      <c r="EGY256" s="2228"/>
      <c r="EGZ256" s="2228"/>
      <c r="EHA256" s="2228"/>
      <c r="EHB256" s="2228"/>
      <c r="EHC256" s="2228"/>
      <c r="EHD256" s="2228"/>
      <c r="EHE256" s="2228"/>
      <c r="EHF256" s="2228"/>
      <c r="EHG256" s="2228"/>
      <c r="EHH256" s="2228"/>
      <c r="EHI256" s="2228"/>
      <c r="EHJ256" s="2228"/>
      <c r="EHK256" s="2228"/>
      <c r="EHL256" s="2228"/>
      <c r="EHM256" s="2227"/>
      <c r="EHN256" s="2228"/>
      <c r="EHO256" s="2228"/>
      <c r="EHP256" s="2228"/>
      <c r="EHQ256" s="2228"/>
      <c r="EHR256" s="2228"/>
      <c r="EHS256" s="2228"/>
      <c r="EHT256" s="2228"/>
      <c r="EHU256" s="2228"/>
      <c r="EHV256" s="2228"/>
      <c r="EHW256" s="2228"/>
      <c r="EHX256" s="2228"/>
      <c r="EHY256" s="2228"/>
      <c r="EHZ256" s="2228"/>
      <c r="EIA256" s="2228"/>
      <c r="EIB256" s="2228"/>
      <c r="EIC256" s="2227"/>
      <c r="EID256" s="2228"/>
      <c r="EIE256" s="2228"/>
      <c r="EIF256" s="2228"/>
      <c r="EIG256" s="2228"/>
      <c r="EIH256" s="2228"/>
      <c r="EII256" s="2228"/>
      <c r="EIJ256" s="2228"/>
      <c r="EIK256" s="2228"/>
      <c r="EIL256" s="2228"/>
      <c r="EIM256" s="2228"/>
      <c r="EIN256" s="2228"/>
      <c r="EIO256" s="2228"/>
      <c r="EIP256" s="2228"/>
      <c r="EIQ256" s="2228"/>
      <c r="EIR256" s="2228"/>
      <c r="EIS256" s="2227"/>
      <c r="EIT256" s="2228"/>
      <c r="EIU256" s="2228"/>
      <c r="EIV256" s="2228"/>
      <c r="EIW256" s="2228"/>
      <c r="EIX256" s="2228"/>
      <c r="EIY256" s="2228"/>
      <c r="EIZ256" s="2228"/>
      <c r="EJA256" s="2228"/>
      <c r="EJB256" s="2228"/>
      <c r="EJC256" s="2228"/>
      <c r="EJD256" s="2228"/>
      <c r="EJE256" s="2228"/>
      <c r="EJF256" s="2228"/>
      <c r="EJG256" s="2228"/>
      <c r="EJH256" s="2228"/>
      <c r="EJI256" s="2227"/>
      <c r="EJJ256" s="2228"/>
      <c r="EJK256" s="2228"/>
      <c r="EJL256" s="2228"/>
      <c r="EJM256" s="2228"/>
      <c r="EJN256" s="2228"/>
      <c r="EJO256" s="2228"/>
      <c r="EJP256" s="2228"/>
      <c r="EJQ256" s="2228"/>
      <c r="EJR256" s="2228"/>
      <c r="EJS256" s="2228"/>
      <c r="EJT256" s="2228"/>
      <c r="EJU256" s="2228"/>
      <c r="EJV256" s="2228"/>
      <c r="EJW256" s="2228"/>
      <c r="EJX256" s="2228"/>
      <c r="EJY256" s="2227"/>
      <c r="EJZ256" s="2228"/>
      <c r="EKA256" s="2228"/>
      <c r="EKB256" s="2228"/>
      <c r="EKC256" s="2228"/>
      <c r="EKD256" s="2228"/>
      <c r="EKE256" s="2228"/>
      <c r="EKF256" s="2228"/>
      <c r="EKG256" s="2228"/>
      <c r="EKH256" s="2228"/>
      <c r="EKI256" s="2228"/>
      <c r="EKJ256" s="2228"/>
      <c r="EKK256" s="2228"/>
      <c r="EKL256" s="2228"/>
      <c r="EKM256" s="2228"/>
      <c r="EKN256" s="2228"/>
      <c r="EKO256" s="2227"/>
      <c r="EKP256" s="2228"/>
      <c r="EKQ256" s="2228"/>
      <c r="EKR256" s="2228"/>
      <c r="EKS256" s="2228"/>
      <c r="EKT256" s="2228"/>
      <c r="EKU256" s="2228"/>
      <c r="EKV256" s="2228"/>
      <c r="EKW256" s="2228"/>
      <c r="EKX256" s="2228"/>
      <c r="EKY256" s="2228"/>
      <c r="EKZ256" s="2228"/>
      <c r="ELA256" s="2228"/>
      <c r="ELB256" s="2228"/>
      <c r="ELC256" s="2228"/>
      <c r="ELD256" s="2228"/>
      <c r="ELE256" s="2227"/>
      <c r="ELF256" s="2228"/>
      <c r="ELG256" s="2228"/>
      <c r="ELH256" s="2228"/>
      <c r="ELI256" s="2228"/>
      <c r="ELJ256" s="2228"/>
      <c r="ELK256" s="2228"/>
      <c r="ELL256" s="2228"/>
      <c r="ELM256" s="2228"/>
      <c r="ELN256" s="2228"/>
      <c r="ELO256" s="2228"/>
      <c r="ELP256" s="2228"/>
      <c r="ELQ256" s="2228"/>
      <c r="ELR256" s="2228"/>
      <c r="ELS256" s="2228"/>
      <c r="ELT256" s="2228"/>
      <c r="ELU256" s="2227"/>
      <c r="ELV256" s="2228"/>
      <c r="ELW256" s="2228"/>
      <c r="ELX256" s="2228"/>
      <c r="ELY256" s="2228"/>
      <c r="ELZ256" s="2228"/>
      <c r="EMA256" s="2228"/>
      <c r="EMB256" s="2228"/>
      <c r="EMC256" s="2228"/>
      <c r="EMD256" s="2228"/>
      <c r="EME256" s="2228"/>
      <c r="EMF256" s="2228"/>
      <c r="EMG256" s="2228"/>
      <c r="EMH256" s="2228"/>
      <c r="EMI256" s="2228"/>
      <c r="EMJ256" s="2228"/>
      <c r="EMK256" s="2227"/>
      <c r="EML256" s="2228"/>
      <c r="EMM256" s="2228"/>
      <c r="EMN256" s="2228"/>
      <c r="EMO256" s="2228"/>
      <c r="EMP256" s="2228"/>
      <c r="EMQ256" s="2228"/>
      <c r="EMR256" s="2228"/>
      <c r="EMS256" s="2228"/>
      <c r="EMT256" s="2228"/>
      <c r="EMU256" s="2228"/>
      <c r="EMV256" s="2228"/>
      <c r="EMW256" s="2228"/>
      <c r="EMX256" s="2228"/>
      <c r="EMY256" s="2228"/>
      <c r="EMZ256" s="2228"/>
      <c r="ENA256" s="2227"/>
      <c r="ENB256" s="2228"/>
      <c r="ENC256" s="2228"/>
      <c r="END256" s="2228"/>
      <c r="ENE256" s="2228"/>
      <c r="ENF256" s="2228"/>
      <c r="ENG256" s="2228"/>
      <c r="ENH256" s="2228"/>
      <c r="ENI256" s="2228"/>
      <c r="ENJ256" s="2228"/>
      <c r="ENK256" s="2228"/>
      <c r="ENL256" s="2228"/>
      <c r="ENM256" s="2228"/>
      <c r="ENN256" s="2228"/>
      <c r="ENO256" s="2228"/>
      <c r="ENP256" s="2228"/>
      <c r="ENQ256" s="2227"/>
      <c r="ENR256" s="2228"/>
      <c r="ENS256" s="2228"/>
      <c r="ENT256" s="2228"/>
      <c r="ENU256" s="2228"/>
      <c r="ENV256" s="2228"/>
      <c r="ENW256" s="2228"/>
      <c r="ENX256" s="2228"/>
      <c r="ENY256" s="2228"/>
      <c r="ENZ256" s="2228"/>
      <c r="EOA256" s="2228"/>
      <c r="EOB256" s="2228"/>
      <c r="EOC256" s="2228"/>
      <c r="EOD256" s="2228"/>
      <c r="EOE256" s="2228"/>
      <c r="EOF256" s="2228"/>
      <c r="EOG256" s="2227"/>
      <c r="EOH256" s="2228"/>
      <c r="EOI256" s="2228"/>
      <c r="EOJ256" s="2228"/>
      <c r="EOK256" s="2228"/>
      <c r="EOL256" s="2228"/>
      <c r="EOM256" s="2228"/>
      <c r="EON256" s="2228"/>
      <c r="EOO256" s="2228"/>
      <c r="EOP256" s="2228"/>
      <c r="EOQ256" s="2228"/>
      <c r="EOR256" s="2228"/>
      <c r="EOS256" s="2228"/>
      <c r="EOT256" s="2228"/>
      <c r="EOU256" s="2228"/>
      <c r="EOV256" s="2228"/>
      <c r="EOW256" s="2227"/>
      <c r="EOX256" s="2228"/>
      <c r="EOY256" s="2228"/>
      <c r="EOZ256" s="2228"/>
      <c r="EPA256" s="2228"/>
      <c r="EPB256" s="2228"/>
      <c r="EPC256" s="2228"/>
      <c r="EPD256" s="2228"/>
      <c r="EPE256" s="2228"/>
      <c r="EPF256" s="2228"/>
      <c r="EPG256" s="2228"/>
      <c r="EPH256" s="2228"/>
      <c r="EPI256" s="2228"/>
      <c r="EPJ256" s="2228"/>
      <c r="EPK256" s="2228"/>
      <c r="EPL256" s="2228"/>
      <c r="EPM256" s="2227"/>
      <c r="EPN256" s="2228"/>
      <c r="EPO256" s="2228"/>
      <c r="EPP256" s="2228"/>
      <c r="EPQ256" s="2228"/>
      <c r="EPR256" s="2228"/>
      <c r="EPS256" s="2228"/>
      <c r="EPT256" s="2228"/>
      <c r="EPU256" s="2228"/>
      <c r="EPV256" s="2228"/>
      <c r="EPW256" s="2228"/>
      <c r="EPX256" s="2228"/>
      <c r="EPY256" s="2228"/>
      <c r="EPZ256" s="2228"/>
      <c r="EQA256" s="2228"/>
      <c r="EQB256" s="2228"/>
      <c r="EQC256" s="2227"/>
      <c r="EQD256" s="2228"/>
      <c r="EQE256" s="2228"/>
      <c r="EQF256" s="2228"/>
      <c r="EQG256" s="2228"/>
      <c r="EQH256" s="2228"/>
      <c r="EQI256" s="2228"/>
      <c r="EQJ256" s="2228"/>
      <c r="EQK256" s="2228"/>
      <c r="EQL256" s="2228"/>
      <c r="EQM256" s="2228"/>
      <c r="EQN256" s="2228"/>
      <c r="EQO256" s="2228"/>
      <c r="EQP256" s="2228"/>
      <c r="EQQ256" s="2228"/>
      <c r="EQR256" s="2228"/>
      <c r="EQS256" s="2227"/>
      <c r="EQT256" s="2228"/>
      <c r="EQU256" s="2228"/>
      <c r="EQV256" s="2228"/>
      <c r="EQW256" s="2228"/>
      <c r="EQX256" s="2228"/>
      <c r="EQY256" s="2228"/>
      <c r="EQZ256" s="2228"/>
      <c r="ERA256" s="2228"/>
      <c r="ERB256" s="2228"/>
      <c r="ERC256" s="2228"/>
      <c r="ERD256" s="2228"/>
      <c r="ERE256" s="2228"/>
      <c r="ERF256" s="2228"/>
      <c r="ERG256" s="2228"/>
      <c r="ERH256" s="2228"/>
      <c r="ERI256" s="2227"/>
      <c r="ERJ256" s="2228"/>
      <c r="ERK256" s="2228"/>
      <c r="ERL256" s="2228"/>
      <c r="ERM256" s="2228"/>
      <c r="ERN256" s="2228"/>
      <c r="ERO256" s="2228"/>
      <c r="ERP256" s="2228"/>
      <c r="ERQ256" s="2228"/>
      <c r="ERR256" s="2228"/>
      <c r="ERS256" s="2228"/>
      <c r="ERT256" s="2228"/>
      <c r="ERU256" s="2228"/>
      <c r="ERV256" s="2228"/>
      <c r="ERW256" s="2228"/>
      <c r="ERX256" s="2228"/>
      <c r="ERY256" s="2227"/>
      <c r="ERZ256" s="2228"/>
      <c r="ESA256" s="2228"/>
      <c r="ESB256" s="2228"/>
      <c r="ESC256" s="2228"/>
      <c r="ESD256" s="2228"/>
      <c r="ESE256" s="2228"/>
      <c r="ESF256" s="2228"/>
      <c r="ESG256" s="2228"/>
      <c r="ESH256" s="2228"/>
      <c r="ESI256" s="2228"/>
      <c r="ESJ256" s="2228"/>
      <c r="ESK256" s="2228"/>
      <c r="ESL256" s="2228"/>
      <c r="ESM256" s="2228"/>
      <c r="ESN256" s="2228"/>
      <c r="ESO256" s="2227"/>
      <c r="ESP256" s="2228"/>
      <c r="ESQ256" s="2228"/>
      <c r="ESR256" s="2228"/>
      <c r="ESS256" s="2228"/>
      <c r="EST256" s="2228"/>
      <c r="ESU256" s="2228"/>
      <c r="ESV256" s="2228"/>
      <c r="ESW256" s="2228"/>
      <c r="ESX256" s="2228"/>
      <c r="ESY256" s="2228"/>
      <c r="ESZ256" s="2228"/>
      <c r="ETA256" s="2228"/>
      <c r="ETB256" s="2228"/>
      <c r="ETC256" s="2228"/>
      <c r="ETD256" s="2228"/>
      <c r="ETE256" s="2227"/>
      <c r="ETF256" s="2228"/>
      <c r="ETG256" s="2228"/>
      <c r="ETH256" s="2228"/>
      <c r="ETI256" s="2228"/>
      <c r="ETJ256" s="2228"/>
      <c r="ETK256" s="2228"/>
      <c r="ETL256" s="2228"/>
      <c r="ETM256" s="2228"/>
      <c r="ETN256" s="2228"/>
      <c r="ETO256" s="2228"/>
      <c r="ETP256" s="2228"/>
      <c r="ETQ256" s="2228"/>
      <c r="ETR256" s="2228"/>
      <c r="ETS256" s="2228"/>
      <c r="ETT256" s="2228"/>
      <c r="ETU256" s="2227"/>
      <c r="ETV256" s="2228"/>
      <c r="ETW256" s="2228"/>
      <c r="ETX256" s="2228"/>
      <c r="ETY256" s="2228"/>
      <c r="ETZ256" s="2228"/>
      <c r="EUA256" s="2228"/>
      <c r="EUB256" s="2228"/>
      <c r="EUC256" s="2228"/>
      <c r="EUD256" s="2228"/>
      <c r="EUE256" s="2228"/>
      <c r="EUF256" s="2228"/>
      <c r="EUG256" s="2228"/>
      <c r="EUH256" s="2228"/>
      <c r="EUI256" s="2228"/>
      <c r="EUJ256" s="2228"/>
      <c r="EUK256" s="2227"/>
      <c r="EUL256" s="2228"/>
      <c r="EUM256" s="2228"/>
      <c r="EUN256" s="2228"/>
      <c r="EUO256" s="2228"/>
      <c r="EUP256" s="2228"/>
      <c r="EUQ256" s="2228"/>
      <c r="EUR256" s="2228"/>
      <c r="EUS256" s="2228"/>
      <c r="EUT256" s="2228"/>
      <c r="EUU256" s="2228"/>
      <c r="EUV256" s="2228"/>
      <c r="EUW256" s="2228"/>
      <c r="EUX256" s="2228"/>
      <c r="EUY256" s="2228"/>
      <c r="EUZ256" s="2228"/>
      <c r="EVA256" s="2227"/>
      <c r="EVB256" s="2228"/>
      <c r="EVC256" s="2228"/>
      <c r="EVD256" s="2228"/>
      <c r="EVE256" s="2228"/>
      <c r="EVF256" s="2228"/>
      <c r="EVG256" s="2228"/>
      <c r="EVH256" s="2228"/>
      <c r="EVI256" s="2228"/>
      <c r="EVJ256" s="2228"/>
      <c r="EVK256" s="2228"/>
      <c r="EVL256" s="2228"/>
      <c r="EVM256" s="2228"/>
      <c r="EVN256" s="2228"/>
      <c r="EVO256" s="2228"/>
      <c r="EVP256" s="2228"/>
      <c r="EVQ256" s="2227"/>
      <c r="EVR256" s="2228"/>
      <c r="EVS256" s="2228"/>
      <c r="EVT256" s="2228"/>
      <c r="EVU256" s="2228"/>
      <c r="EVV256" s="2228"/>
      <c r="EVW256" s="2228"/>
      <c r="EVX256" s="2228"/>
      <c r="EVY256" s="2228"/>
      <c r="EVZ256" s="2228"/>
      <c r="EWA256" s="2228"/>
      <c r="EWB256" s="2228"/>
      <c r="EWC256" s="2228"/>
      <c r="EWD256" s="2228"/>
      <c r="EWE256" s="2228"/>
      <c r="EWF256" s="2228"/>
      <c r="EWG256" s="2227"/>
      <c r="EWH256" s="2228"/>
      <c r="EWI256" s="2228"/>
      <c r="EWJ256" s="2228"/>
      <c r="EWK256" s="2228"/>
      <c r="EWL256" s="2228"/>
      <c r="EWM256" s="2228"/>
      <c r="EWN256" s="2228"/>
      <c r="EWO256" s="2228"/>
      <c r="EWP256" s="2228"/>
      <c r="EWQ256" s="2228"/>
      <c r="EWR256" s="2228"/>
      <c r="EWS256" s="2228"/>
      <c r="EWT256" s="2228"/>
      <c r="EWU256" s="2228"/>
      <c r="EWV256" s="2228"/>
      <c r="EWW256" s="2227"/>
      <c r="EWX256" s="2228"/>
      <c r="EWY256" s="2228"/>
      <c r="EWZ256" s="2228"/>
      <c r="EXA256" s="2228"/>
      <c r="EXB256" s="2228"/>
      <c r="EXC256" s="2228"/>
      <c r="EXD256" s="2228"/>
      <c r="EXE256" s="2228"/>
      <c r="EXF256" s="2228"/>
      <c r="EXG256" s="2228"/>
      <c r="EXH256" s="2228"/>
      <c r="EXI256" s="2228"/>
      <c r="EXJ256" s="2228"/>
      <c r="EXK256" s="2228"/>
      <c r="EXL256" s="2228"/>
      <c r="EXM256" s="2227"/>
      <c r="EXN256" s="2228"/>
      <c r="EXO256" s="2228"/>
      <c r="EXP256" s="2228"/>
      <c r="EXQ256" s="2228"/>
      <c r="EXR256" s="2228"/>
      <c r="EXS256" s="2228"/>
      <c r="EXT256" s="2228"/>
      <c r="EXU256" s="2228"/>
      <c r="EXV256" s="2228"/>
      <c r="EXW256" s="2228"/>
      <c r="EXX256" s="2228"/>
      <c r="EXY256" s="2228"/>
      <c r="EXZ256" s="2228"/>
      <c r="EYA256" s="2228"/>
      <c r="EYB256" s="2228"/>
      <c r="EYC256" s="2227"/>
      <c r="EYD256" s="2228"/>
      <c r="EYE256" s="2228"/>
      <c r="EYF256" s="2228"/>
      <c r="EYG256" s="2228"/>
      <c r="EYH256" s="2228"/>
      <c r="EYI256" s="2228"/>
      <c r="EYJ256" s="2228"/>
      <c r="EYK256" s="2228"/>
      <c r="EYL256" s="2228"/>
      <c r="EYM256" s="2228"/>
      <c r="EYN256" s="2228"/>
      <c r="EYO256" s="2228"/>
      <c r="EYP256" s="2228"/>
      <c r="EYQ256" s="2228"/>
      <c r="EYR256" s="2228"/>
      <c r="EYS256" s="2227"/>
      <c r="EYT256" s="2228"/>
      <c r="EYU256" s="2228"/>
      <c r="EYV256" s="2228"/>
      <c r="EYW256" s="2228"/>
      <c r="EYX256" s="2228"/>
      <c r="EYY256" s="2228"/>
      <c r="EYZ256" s="2228"/>
      <c r="EZA256" s="2228"/>
      <c r="EZB256" s="2228"/>
      <c r="EZC256" s="2228"/>
      <c r="EZD256" s="2228"/>
      <c r="EZE256" s="2228"/>
      <c r="EZF256" s="2228"/>
      <c r="EZG256" s="2228"/>
      <c r="EZH256" s="2228"/>
      <c r="EZI256" s="2227"/>
      <c r="EZJ256" s="2228"/>
      <c r="EZK256" s="2228"/>
      <c r="EZL256" s="2228"/>
      <c r="EZM256" s="2228"/>
      <c r="EZN256" s="2228"/>
      <c r="EZO256" s="2228"/>
      <c r="EZP256" s="2228"/>
      <c r="EZQ256" s="2228"/>
      <c r="EZR256" s="2228"/>
      <c r="EZS256" s="2228"/>
      <c r="EZT256" s="2228"/>
      <c r="EZU256" s="2228"/>
      <c r="EZV256" s="2228"/>
      <c r="EZW256" s="2228"/>
      <c r="EZX256" s="2228"/>
      <c r="EZY256" s="2227"/>
      <c r="EZZ256" s="2228"/>
      <c r="FAA256" s="2228"/>
      <c r="FAB256" s="2228"/>
      <c r="FAC256" s="2228"/>
      <c r="FAD256" s="2228"/>
      <c r="FAE256" s="2228"/>
      <c r="FAF256" s="2228"/>
      <c r="FAG256" s="2228"/>
      <c r="FAH256" s="2228"/>
      <c r="FAI256" s="2228"/>
      <c r="FAJ256" s="2228"/>
      <c r="FAK256" s="2228"/>
      <c r="FAL256" s="2228"/>
      <c r="FAM256" s="2228"/>
      <c r="FAN256" s="2228"/>
      <c r="FAO256" s="2227"/>
      <c r="FAP256" s="2228"/>
      <c r="FAQ256" s="2228"/>
      <c r="FAR256" s="2228"/>
      <c r="FAS256" s="2228"/>
      <c r="FAT256" s="2228"/>
      <c r="FAU256" s="2228"/>
      <c r="FAV256" s="2228"/>
      <c r="FAW256" s="2228"/>
      <c r="FAX256" s="2228"/>
      <c r="FAY256" s="2228"/>
      <c r="FAZ256" s="2228"/>
      <c r="FBA256" s="2228"/>
      <c r="FBB256" s="2228"/>
      <c r="FBC256" s="2228"/>
      <c r="FBD256" s="2228"/>
      <c r="FBE256" s="2227"/>
      <c r="FBF256" s="2228"/>
      <c r="FBG256" s="2228"/>
      <c r="FBH256" s="2228"/>
      <c r="FBI256" s="2228"/>
      <c r="FBJ256" s="2228"/>
      <c r="FBK256" s="2228"/>
      <c r="FBL256" s="2228"/>
      <c r="FBM256" s="2228"/>
      <c r="FBN256" s="2228"/>
      <c r="FBO256" s="2228"/>
      <c r="FBP256" s="2228"/>
      <c r="FBQ256" s="2228"/>
      <c r="FBR256" s="2228"/>
      <c r="FBS256" s="2228"/>
      <c r="FBT256" s="2228"/>
      <c r="FBU256" s="2227"/>
      <c r="FBV256" s="2228"/>
      <c r="FBW256" s="2228"/>
      <c r="FBX256" s="2228"/>
      <c r="FBY256" s="2228"/>
      <c r="FBZ256" s="2228"/>
      <c r="FCA256" s="2228"/>
      <c r="FCB256" s="2228"/>
      <c r="FCC256" s="2228"/>
      <c r="FCD256" s="2228"/>
      <c r="FCE256" s="2228"/>
      <c r="FCF256" s="2228"/>
      <c r="FCG256" s="2228"/>
      <c r="FCH256" s="2228"/>
      <c r="FCI256" s="2228"/>
      <c r="FCJ256" s="2228"/>
      <c r="FCK256" s="2227"/>
      <c r="FCL256" s="2228"/>
      <c r="FCM256" s="2228"/>
      <c r="FCN256" s="2228"/>
      <c r="FCO256" s="2228"/>
      <c r="FCP256" s="2228"/>
      <c r="FCQ256" s="2228"/>
      <c r="FCR256" s="2228"/>
      <c r="FCS256" s="2228"/>
      <c r="FCT256" s="2228"/>
      <c r="FCU256" s="2228"/>
      <c r="FCV256" s="2228"/>
      <c r="FCW256" s="2228"/>
      <c r="FCX256" s="2228"/>
      <c r="FCY256" s="2228"/>
      <c r="FCZ256" s="2228"/>
      <c r="FDA256" s="2227"/>
      <c r="FDB256" s="2228"/>
      <c r="FDC256" s="2228"/>
      <c r="FDD256" s="2228"/>
      <c r="FDE256" s="2228"/>
      <c r="FDF256" s="2228"/>
      <c r="FDG256" s="2228"/>
      <c r="FDH256" s="2228"/>
      <c r="FDI256" s="2228"/>
      <c r="FDJ256" s="2228"/>
      <c r="FDK256" s="2228"/>
      <c r="FDL256" s="2228"/>
      <c r="FDM256" s="2228"/>
      <c r="FDN256" s="2228"/>
      <c r="FDO256" s="2228"/>
      <c r="FDP256" s="2228"/>
      <c r="FDQ256" s="2227"/>
      <c r="FDR256" s="2228"/>
      <c r="FDS256" s="2228"/>
      <c r="FDT256" s="2228"/>
      <c r="FDU256" s="2228"/>
      <c r="FDV256" s="2228"/>
      <c r="FDW256" s="2228"/>
      <c r="FDX256" s="2228"/>
      <c r="FDY256" s="2228"/>
      <c r="FDZ256" s="2228"/>
      <c r="FEA256" s="2228"/>
      <c r="FEB256" s="2228"/>
      <c r="FEC256" s="2228"/>
      <c r="FED256" s="2228"/>
      <c r="FEE256" s="2228"/>
      <c r="FEF256" s="2228"/>
      <c r="FEG256" s="2227"/>
      <c r="FEH256" s="2228"/>
      <c r="FEI256" s="2228"/>
      <c r="FEJ256" s="2228"/>
      <c r="FEK256" s="2228"/>
      <c r="FEL256" s="2228"/>
      <c r="FEM256" s="2228"/>
      <c r="FEN256" s="2228"/>
      <c r="FEO256" s="2228"/>
      <c r="FEP256" s="2228"/>
      <c r="FEQ256" s="2228"/>
      <c r="FER256" s="2228"/>
      <c r="FES256" s="2228"/>
      <c r="FET256" s="2228"/>
      <c r="FEU256" s="2228"/>
      <c r="FEV256" s="2228"/>
      <c r="FEW256" s="2227"/>
      <c r="FEX256" s="2228"/>
      <c r="FEY256" s="2228"/>
      <c r="FEZ256" s="2228"/>
      <c r="FFA256" s="2228"/>
      <c r="FFB256" s="2228"/>
      <c r="FFC256" s="2228"/>
      <c r="FFD256" s="2228"/>
      <c r="FFE256" s="2228"/>
      <c r="FFF256" s="2228"/>
      <c r="FFG256" s="2228"/>
      <c r="FFH256" s="2228"/>
      <c r="FFI256" s="2228"/>
      <c r="FFJ256" s="2228"/>
      <c r="FFK256" s="2228"/>
      <c r="FFL256" s="2228"/>
      <c r="FFM256" s="2227"/>
      <c r="FFN256" s="2228"/>
      <c r="FFO256" s="2228"/>
      <c r="FFP256" s="2228"/>
      <c r="FFQ256" s="2228"/>
      <c r="FFR256" s="2228"/>
      <c r="FFS256" s="2228"/>
      <c r="FFT256" s="2228"/>
      <c r="FFU256" s="2228"/>
      <c r="FFV256" s="2228"/>
      <c r="FFW256" s="2228"/>
      <c r="FFX256" s="2228"/>
      <c r="FFY256" s="2228"/>
      <c r="FFZ256" s="2228"/>
      <c r="FGA256" s="2228"/>
      <c r="FGB256" s="2228"/>
      <c r="FGC256" s="2227"/>
      <c r="FGD256" s="2228"/>
      <c r="FGE256" s="2228"/>
      <c r="FGF256" s="2228"/>
      <c r="FGG256" s="2228"/>
      <c r="FGH256" s="2228"/>
      <c r="FGI256" s="2228"/>
      <c r="FGJ256" s="2228"/>
      <c r="FGK256" s="2228"/>
      <c r="FGL256" s="2228"/>
      <c r="FGM256" s="2228"/>
      <c r="FGN256" s="2228"/>
      <c r="FGO256" s="2228"/>
      <c r="FGP256" s="2228"/>
      <c r="FGQ256" s="2228"/>
      <c r="FGR256" s="2228"/>
      <c r="FGS256" s="2227"/>
      <c r="FGT256" s="2228"/>
      <c r="FGU256" s="2228"/>
      <c r="FGV256" s="2228"/>
      <c r="FGW256" s="2228"/>
      <c r="FGX256" s="2228"/>
      <c r="FGY256" s="2228"/>
      <c r="FGZ256" s="2228"/>
      <c r="FHA256" s="2228"/>
      <c r="FHB256" s="2228"/>
      <c r="FHC256" s="2228"/>
      <c r="FHD256" s="2228"/>
      <c r="FHE256" s="2228"/>
      <c r="FHF256" s="2228"/>
      <c r="FHG256" s="2228"/>
      <c r="FHH256" s="2228"/>
      <c r="FHI256" s="2227"/>
      <c r="FHJ256" s="2228"/>
      <c r="FHK256" s="2228"/>
      <c r="FHL256" s="2228"/>
      <c r="FHM256" s="2228"/>
      <c r="FHN256" s="2228"/>
      <c r="FHO256" s="2228"/>
      <c r="FHP256" s="2228"/>
      <c r="FHQ256" s="2228"/>
      <c r="FHR256" s="2228"/>
      <c r="FHS256" s="2228"/>
      <c r="FHT256" s="2228"/>
      <c r="FHU256" s="2228"/>
      <c r="FHV256" s="2228"/>
      <c r="FHW256" s="2228"/>
      <c r="FHX256" s="2228"/>
      <c r="FHY256" s="2227"/>
      <c r="FHZ256" s="2228"/>
      <c r="FIA256" s="2228"/>
      <c r="FIB256" s="2228"/>
      <c r="FIC256" s="2228"/>
      <c r="FID256" s="2228"/>
      <c r="FIE256" s="2228"/>
      <c r="FIF256" s="2228"/>
      <c r="FIG256" s="2228"/>
      <c r="FIH256" s="2228"/>
      <c r="FII256" s="2228"/>
      <c r="FIJ256" s="2228"/>
      <c r="FIK256" s="2228"/>
      <c r="FIL256" s="2228"/>
      <c r="FIM256" s="2228"/>
      <c r="FIN256" s="2228"/>
      <c r="FIO256" s="2227"/>
      <c r="FIP256" s="2228"/>
      <c r="FIQ256" s="2228"/>
      <c r="FIR256" s="2228"/>
      <c r="FIS256" s="2228"/>
      <c r="FIT256" s="2228"/>
      <c r="FIU256" s="2228"/>
      <c r="FIV256" s="2228"/>
      <c r="FIW256" s="2228"/>
      <c r="FIX256" s="2228"/>
      <c r="FIY256" s="2228"/>
      <c r="FIZ256" s="2228"/>
      <c r="FJA256" s="2228"/>
      <c r="FJB256" s="2228"/>
      <c r="FJC256" s="2228"/>
      <c r="FJD256" s="2228"/>
      <c r="FJE256" s="2227"/>
      <c r="FJF256" s="2228"/>
      <c r="FJG256" s="2228"/>
      <c r="FJH256" s="2228"/>
      <c r="FJI256" s="2228"/>
      <c r="FJJ256" s="2228"/>
      <c r="FJK256" s="2228"/>
      <c r="FJL256" s="2228"/>
      <c r="FJM256" s="2228"/>
      <c r="FJN256" s="2228"/>
      <c r="FJO256" s="2228"/>
      <c r="FJP256" s="2228"/>
      <c r="FJQ256" s="2228"/>
      <c r="FJR256" s="2228"/>
      <c r="FJS256" s="2228"/>
      <c r="FJT256" s="2228"/>
      <c r="FJU256" s="2227"/>
      <c r="FJV256" s="2228"/>
      <c r="FJW256" s="2228"/>
      <c r="FJX256" s="2228"/>
      <c r="FJY256" s="2228"/>
      <c r="FJZ256" s="2228"/>
      <c r="FKA256" s="2228"/>
      <c r="FKB256" s="2228"/>
      <c r="FKC256" s="2228"/>
      <c r="FKD256" s="2228"/>
      <c r="FKE256" s="2228"/>
      <c r="FKF256" s="2228"/>
      <c r="FKG256" s="2228"/>
      <c r="FKH256" s="2228"/>
      <c r="FKI256" s="2228"/>
      <c r="FKJ256" s="2228"/>
      <c r="FKK256" s="2227"/>
      <c r="FKL256" s="2228"/>
      <c r="FKM256" s="2228"/>
      <c r="FKN256" s="2228"/>
      <c r="FKO256" s="2228"/>
      <c r="FKP256" s="2228"/>
      <c r="FKQ256" s="2228"/>
      <c r="FKR256" s="2228"/>
      <c r="FKS256" s="2228"/>
      <c r="FKT256" s="2228"/>
      <c r="FKU256" s="2228"/>
      <c r="FKV256" s="2228"/>
      <c r="FKW256" s="2228"/>
      <c r="FKX256" s="2228"/>
      <c r="FKY256" s="2228"/>
      <c r="FKZ256" s="2228"/>
      <c r="FLA256" s="2227"/>
      <c r="FLB256" s="2228"/>
      <c r="FLC256" s="2228"/>
      <c r="FLD256" s="2228"/>
      <c r="FLE256" s="2228"/>
      <c r="FLF256" s="2228"/>
      <c r="FLG256" s="2228"/>
      <c r="FLH256" s="2228"/>
      <c r="FLI256" s="2228"/>
      <c r="FLJ256" s="2228"/>
      <c r="FLK256" s="2228"/>
      <c r="FLL256" s="2228"/>
      <c r="FLM256" s="2228"/>
      <c r="FLN256" s="2228"/>
      <c r="FLO256" s="2228"/>
      <c r="FLP256" s="2228"/>
      <c r="FLQ256" s="2227"/>
      <c r="FLR256" s="2228"/>
      <c r="FLS256" s="2228"/>
      <c r="FLT256" s="2228"/>
      <c r="FLU256" s="2228"/>
      <c r="FLV256" s="2228"/>
      <c r="FLW256" s="2228"/>
      <c r="FLX256" s="2228"/>
      <c r="FLY256" s="2228"/>
      <c r="FLZ256" s="2228"/>
      <c r="FMA256" s="2228"/>
      <c r="FMB256" s="2228"/>
      <c r="FMC256" s="2228"/>
      <c r="FMD256" s="2228"/>
      <c r="FME256" s="2228"/>
      <c r="FMF256" s="2228"/>
      <c r="FMG256" s="2227"/>
      <c r="FMH256" s="2228"/>
      <c r="FMI256" s="2228"/>
      <c r="FMJ256" s="2228"/>
      <c r="FMK256" s="2228"/>
      <c r="FML256" s="2228"/>
      <c r="FMM256" s="2228"/>
      <c r="FMN256" s="2228"/>
      <c r="FMO256" s="2228"/>
      <c r="FMP256" s="2228"/>
      <c r="FMQ256" s="2228"/>
      <c r="FMR256" s="2228"/>
      <c r="FMS256" s="2228"/>
      <c r="FMT256" s="2228"/>
      <c r="FMU256" s="2228"/>
      <c r="FMV256" s="2228"/>
      <c r="FMW256" s="2227"/>
      <c r="FMX256" s="2228"/>
      <c r="FMY256" s="2228"/>
      <c r="FMZ256" s="2228"/>
      <c r="FNA256" s="2228"/>
      <c r="FNB256" s="2228"/>
      <c r="FNC256" s="2228"/>
      <c r="FND256" s="2228"/>
      <c r="FNE256" s="2228"/>
      <c r="FNF256" s="2228"/>
      <c r="FNG256" s="2228"/>
      <c r="FNH256" s="2228"/>
      <c r="FNI256" s="2228"/>
      <c r="FNJ256" s="2228"/>
      <c r="FNK256" s="2228"/>
      <c r="FNL256" s="2228"/>
      <c r="FNM256" s="2227"/>
      <c r="FNN256" s="2228"/>
      <c r="FNO256" s="2228"/>
      <c r="FNP256" s="2228"/>
      <c r="FNQ256" s="2228"/>
      <c r="FNR256" s="2228"/>
      <c r="FNS256" s="2228"/>
      <c r="FNT256" s="2228"/>
      <c r="FNU256" s="2228"/>
      <c r="FNV256" s="2228"/>
      <c r="FNW256" s="2228"/>
      <c r="FNX256" s="2228"/>
      <c r="FNY256" s="2228"/>
      <c r="FNZ256" s="2228"/>
      <c r="FOA256" s="2228"/>
      <c r="FOB256" s="2228"/>
      <c r="FOC256" s="2227"/>
      <c r="FOD256" s="2228"/>
      <c r="FOE256" s="2228"/>
      <c r="FOF256" s="2228"/>
      <c r="FOG256" s="2228"/>
      <c r="FOH256" s="2228"/>
      <c r="FOI256" s="2228"/>
      <c r="FOJ256" s="2228"/>
      <c r="FOK256" s="2228"/>
      <c r="FOL256" s="2228"/>
      <c r="FOM256" s="2228"/>
      <c r="FON256" s="2228"/>
      <c r="FOO256" s="2228"/>
      <c r="FOP256" s="2228"/>
      <c r="FOQ256" s="2228"/>
      <c r="FOR256" s="2228"/>
      <c r="FOS256" s="2227"/>
      <c r="FOT256" s="2228"/>
      <c r="FOU256" s="2228"/>
      <c r="FOV256" s="2228"/>
      <c r="FOW256" s="2228"/>
      <c r="FOX256" s="2228"/>
      <c r="FOY256" s="2228"/>
      <c r="FOZ256" s="2228"/>
      <c r="FPA256" s="2228"/>
      <c r="FPB256" s="2228"/>
      <c r="FPC256" s="2228"/>
      <c r="FPD256" s="2228"/>
      <c r="FPE256" s="2228"/>
      <c r="FPF256" s="2228"/>
      <c r="FPG256" s="2228"/>
      <c r="FPH256" s="2228"/>
      <c r="FPI256" s="2227"/>
      <c r="FPJ256" s="2228"/>
      <c r="FPK256" s="2228"/>
      <c r="FPL256" s="2228"/>
      <c r="FPM256" s="2228"/>
      <c r="FPN256" s="2228"/>
      <c r="FPO256" s="2228"/>
      <c r="FPP256" s="2228"/>
      <c r="FPQ256" s="2228"/>
      <c r="FPR256" s="2228"/>
      <c r="FPS256" s="2228"/>
      <c r="FPT256" s="2228"/>
      <c r="FPU256" s="2228"/>
      <c r="FPV256" s="2228"/>
      <c r="FPW256" s="2228"/>
      <c r="FPX256" s="2228"/>
      <c r="FPY256" s="2227"/>
      <c r="FPZ256" s="2228"/>
      <c r="FQA256" s="2228"/>
      <c r="FQB256" s="2228"/>
      <c r="FQC256" s="2228"/>
      <c r="FQD256" s="2228"/>
      <c r="FQE256" s="2228"/>
      <c r="FQF256" s="2228"/>
      <c r="FQG256" s="2228"/>
      <c r="FQH256" s="2228"/>
      <c r="FQI256" s="2228"/>
      <c r="FQJ256" s="2228"/>
      <c r="FQK256" s="2228"/>
      <c r="FQL256" s="2228"/>
      <c r="FQM256" s="2228"/>
      <c r="FQN256" s="2228"/>
      <c r="FQO256" s="2227"/>
      <c r="FQP256" s="2228"/>
      <c r="FQQ256" s="2228"/>
      <c r="FQR256" s="2228"/>
      <c r="FQS256" s="2228"/>
      <c r="FQT256" s="2228"/>
      <c r="FQU256" s="2228"/>
      <c r="FQV256" s="2228"/>
      <c r="FQW256" s="2228"/>
      <c r="FQX256" s="2228"/>
      <c r="FQY256" s="2228"/>
      <c r="FQZ256" s="2228"/>
      <c r="FRA256" s="2228"/>
      <c r="FRB256" s="2228"/>
      <c r="FRC256" s="2228"/>
      <c r="FRD256" s="2228"/>
      <c r="FRE256" s="2227"/>
      <c r="FRF256" s="2228"/>
      <c r="FRG256" s="2228"/>
      <c r="FRH256" s="2228"/>
      <c r="FRI256" s="2228"/>
      <c r="FRJ256" s="2228"/>
      <c r="FRK256" s="2228"/>
      <c r="FRL256" s="2228"/>
      <c r="FRM256" s="2228"/>
      <c r="FRN256" s="2228"/>
      <c r="FRO256" s="2228"/>
      <c r="FRP256" s="2228"/>
      <c r="FRQ256" s="2228"/>
      <c r="FRR256" s="2228"/>
      <c r="FRS256" s="2228"/>
      <c r="FRT256" s="2228"/>
      <c r="FRU256" s="2227"/>
      <c r="FRV256" s="2228"/>
      <c r="FRW256" s="2228"/>
      <c r="FRX256" s="2228"/>
      <c r="FRY256" s="2228"/>
      <c r="FRZ256" s="2228"/>
      <c r="FSA256" s="2228"/>
      <c r="FSB256" s="2228"/>
      <c r="FSC256" s="2228"/>
      <c r="FSD256" s="2228"/>
      <c r="FSE256" s="2228"/>
      <c r="FSF256" s="2228"/>
      <c r="FSG256" s="2228"/>
      <c r="FSH256" s="2228"/>
      <c r="FSI256" s="2228"/>
      <c r="FSJ256" s="2228"/>
      <c r="FSK256" s="2227"/>
      <c r="FSL256" s="2228"/>
      <c r="FSM256" s="2228"/>
      <c r="FSN256" s="2228"/>
      <c r="FSO256" s="2228"/>
      <c r="FSP256" s="2228"/>
      <c r="FSQ256" s="2228"/>
      <c r="FSR256" s="2228"/>
      <c r="FSS256" s="2228"/>
      <c r="FST256" s="2228"/>
      <c r="FSU256" s="2228"/>
      <c r="FSV256" s="2228"/>
      <c r="FSW256" s="2228"/>
      <c r="FSX256" s="2228"/>
      <c r="FSY256" s="2228"/>
      <c r="FSZ256" s="2228"/>
      <c r="FTA256" s="2227"/>
      <c r="FTB256" s="2228"/>
      <c r="FTC256" s="2228"/>
      <c r="FTD256" s="2228"/>
      <c r="FTE256" s="2228"/>
      <c r="FTF256" s="2228"/>
      <c r="FTG256" s="2228"/>
      <c r="FTH256" s="2228"/>
      <c r="FTI256" s="2228"/>
      <c r="FTJ256" s="2228"/>
      <c r="FTK256" s="2228"/>
      <c r="FTL256" s="2228"/>
      <c r="FTM256" s="2228"/>
      <c r="FTN256" s="2228"/>
      <c r="FTO256" s="2228"/>
      <c r="FTP256" s="2228"/>
      <c r="FTQ256" s="2227"/>
      <c r="FTR256" s="2228"/>
      <c r="FTS256" s="2228"/>
      <c r="FTT256" s="2228"/>
      <c r="FTU256" s="2228"/>
      <c r="FTV256" s="2228"/>
      <c r="FTW256" s="2228"/>
      <c r="FTX256" s="2228"/>
      <c r="FTY256" s="2228"/>
      <c r="FTZ256" s="2228"/>
      <c r="FUA256" s="2228"/>
      <c r="FUB256" s="2228"/>
      <c r="FUC256" s="2228"/>
      <c r="FUD256" s="2228"/>
      <c r="FUE256" s="2228"/>
      <c r="FUF256" s="2228"/>
      <c r="FUG256" s="2227"/>
      <c r="FUH256" s="2228"/>
      <c r="FUI256" s="2228"/>
      <c r="FUJ256" s="2228"/>
      <c r="FUK256" s="2228"/>
      <c r="FUL256" s="2228"/>
      <c r="FUM256" s="2228"/>
      <c r="FUN256" s="2228"/>
      <c r="FUO256" s="2228"/>
      <c r="FUP256" s="2228"/>
      <c r="FUQ256" s="2228"/>
      <c r="FUR256" s="2228"/>
      <c r="FUS256" s="2228"/>
      <c r="FUT256" s="2228"/>
      <c r="FUU256" s="2228"/>
      <c r="FUV256" s="2228"/>
      <c r="FUW256" s="2227"/>
      <c r="FUX256" s="2228"/>
      <c r="FUY256" s="2228"/>
      <c r="FUZ256" s="2228"/>
      <c r="FVA256" s="2228"/>
      <c r="FVB256" s="2228"/>
      <c r="FVC256" s="2228"/>
      <c r="FVD256" s="2228"/>
      <c r="FVE256" s="2228"/>
      <c r="FVF256" s="2228"/>
      <c r="FVG256" s="2228"/>
      <c r="FVH256" s="2228"/>
      <c r="FVI256" s="2228"/>
      <c r="FVJ256" s="2228"/>
      <c r="FVK256" s="2228"/>
      <c r="FVL256" s="2228"/>
      <c r="FVM256" s="2227"/>
      <c r="FVN256" s="2228"/>
      <c r="FVO256" s="2228"/>
      <c r="FVP256" s="2228"/>
      <c r="FVQ256" s="2228"/>
      <c r="FVR256" s="2228"/>
      <c r="FVS256" s="2228"/>
      <c r="FVT256" s="2228"/>
      <c r="FVU256" s="2228"/>
      <c r="FVV256" s="2228"/>
      <c r="FVW256" s="2228"/>
      <c r="FVX256" s="2228"/>
      <c r="FVY256" s="2228"/>
      <c r="FVZ256" s="2228"/>
      <c r="FWA256" s="2228"/>
      <c r="FWB256" s="2228"/>
      <c r="FWC256" s="2227"/>
      <c r="FWD256" s="2228"/>
      <c r="FWE256" s="2228"/>
      <c r="FWF256" s="2228"/>
      <c r="FWG256" s="2228"/>
      <c r="FWH256" s="2228"/>
      <c r="FWI256" s="2228"/>
      <c r="FWJ256" s="2228"/>
      <c r="FWK256" s="2228"/>
      <c r="FWL256" s="2228"/>
      <c r="FWM256" s="2228"/>
      <c r="FWN256" s="2228"/>
      <c r="FWO256" s="2228"/>
      <c r="FWP256" s="2228"/>
      <c r="FWQ256" s="2228"/>
      <c r="FWR256" s="2228"/>
      <c r="FWS256" s="2227"/>
      <c r="FWT256" s="2228"/>
      <c r="FWU256" s="2228"/>
      <c r="FWV256" s="2228"/>
      <c r="FWW256" s="2228"/>
      <c r="FWX256" s="2228"/>
      <c r="FWY256" s="2228"/>
      <c r="FWZ256" s="2228"/>
      <c r="FXA256" s="2228"/>
      <c r="FXB256" s="2228"/>
      <c r="FXC256" s="2228"/>
      <c r="FXD256" s="2228"/>
      <c r="FXE256" s="2228"/>
      <c r="FXF256" s="2228"/>
      <c r="FXG256" s="2228"/>
      <c r="FXH256" s="2228"/>
      <c r="FXI256" s="2227"/>
      <c r="FXJ256" s="2228"/>
      <c r="FXK256" s="2228"/>
      <c r="FXL256" s="2228"/>
      <c r="FXM256" s="2228"/>
      <c r="FXN256" s="2228"/>
      <c r="FXO256" s="2228"/>
      <c r="FXP256" s="2228"/>
      <c r="FXQ256" s="2228"/>
      <c r="FXR256" s="2228"/>
      <c r="FXS256" s="2228"/>
      <c r="FXT256" s="2228"/>
      <c r="FXU256" s="2228"/>
      <c r="FXV256" s="2228"/>
      <c r="FXW256" s="2228"/>
      <c r="FXX256" s="2228"/>
      <c r="FXY256" s="2227"/>
      <c r="FXZ256" s="2228"/>
      <c r="FYA256" s="2228"/>
      <c r="FYB256" s="2228"/>
      <c r="FYC256" s="2228"/>
      <c r="FYD256" s="2228"/>
      <c r="FYE256" s="2228"/>
      <c r="FYF256" s="2228"/>
      <c r="FYG256" s="2228"/>
      <c r="FYH256" s="2228"/>
      <c r="FYI256" s="2228"/>
      <c r="FYJ256" s="2228"/>
      <c r="FYK256" s="2228"/>
      <c r="FYL256" s="2228"/>
      <c r="FYM256" s="2228"/>
      <c r="FYN256" s="2228"/>
      <c r="FYO256" s="2227"/>
      <c r="FYP256" s="2228"/>
      <c r="FYQ256" s="2228"/>
      <c r="FYR256" s="2228"/>
      <c r="FYS256" s="2228"/>
      <c r="FYT256" s="2228"/>
      <c r="FYU256" s="2228"/>
      <c r="FYV256" s="2228"/>
      <c r="FYW256" s="2228"/>
      <c r="FYX256" s="2228"/>
      <c r="FYY256" s="2228"/>
      <c r="FYZ256" s="2228"/>
      <c r="FZA256" s="2228"/>
      <c r="FZB256" s="2228"/>
      <c r="FZC256" s="2228"/>
      <c r="FZD256" s="2228"/>
      <c r="FZE256" s="2227"/>
      <c r="FZF256" s="2228"/>
      <c r="FZG256" s="2228"/>
      <c r="FZH256" s="2228"/>
      <c r="FZI256" s="2228"/>
      <c r="FZJ256" s="2228"/>
      <c r="FZK256" s="2228"/>
      <c r="FZL256" s="2228"/>
      <c r="FZM256" s="2228"/>
      <c r="FZN256" s="2228"/>
      <c r="FZO256" s="2228"/>
      <c r="FZP256" s="2228"/>
      <c r="FZQ256" s="2228"/>
      <c r="FZR256" s="2228"/>
      <c r="FZS256" s="2228"/>
      <c r="FZT256" s="2228"/>
      <c r="FZU256" s="2227"/>
      <c r="FZV256" s="2228"/>
      <c r="FZW256" s="2228"/>
      <c r="FZX256" s="2228"/>
      <c r="FZY256" s="2228"/>
      <c r="FZZ256" s="2228"/>
      <c r="GAA256" s="2228"/>
      <c r="GAB256" s="2228"/>
      <c r="GAC256" s="2228"/>
      <c r="GAD256" s="2228"/>
      <c r="GAE256" s="2228"/>
      <c r="GAF256" s="2228"/>
      <c r="GAG256" s="2228"/>
      <c r="GAH256" s="2228"/>
      <c r="GAI256" s="2228"/>
      <c r="GAJ256" s="2228"/>
      <c r="GAK256" s="2227"/>
      <c r="GAL256" s="2228"/>
      <c r="GAM256" s="2228"/>
      <c r="GAN256" s="2228"/>
      <c r="GAO256" s="2228"/>
      <c r="GAP256" s="2228"/>
      <c r="GAQ256" s="2228"/>
      <c r="GAR256" s="2228"/>
      <c r="GAS256" s="2228"/>
      <c r="GAT256" s="2228"/>
      <c r="GAU256" s="2228"/>
      <c r="GAV256" s="2228"/>
      <c r="GAW256" s="2228"/>
      <c r="GAX256" s="2228"/>
      <c r="GAY256" s="2228"/>
      <c r="GAZ256" s="2228"/>
      <c r="GBA256" s="2227"/>
      <c r="GBB256" s="2228"/>
      <c r="GBC256" s="2228"/>
      <c r="GBD256" s="2228"/>
      <c r="GBE256" s="2228"/>
      <c r="GBF256" s="2228"/>
      <c r="GBG256" s="2228"/>
      <c r="GBH256" s="2228"/>
      <c r="GBI256" s="2228"/>
      <c r="GBJ256" s="2228"/>
      <c r="GBK256" s="2228"/>
      <c r="GBL256" s="2228"/>
      <c r="GBM256" s="2228"/>
      <c r="GBN256" s="2228"/>
      <c r="GBO256" s="2228"/>
      <c r="GBP256" s="2228"/>
      <c r="GBQ256" s="2227"/>
      <c r="GBR256" s="2228"/>
      <c r="GBS256" s="2228"/>
      <c r="GBT256" s="2228"/>
      <c r="GBU256" s="2228"/>
      <c r="GBV256" s="2228"/>
      <c r="GBW256" s="2228"/>
      <c r="GBX256" s="2228"/>
      <c r="GBY256" s="2228"/>
      <c r="GBZ256" s="2228"/>
      <c r="GCA256" s="2228"/>
      <c r="GCB256" s="2228"/>
      <c r="GCC256" s="2228"/>
      <c r="GCD256" s="2228"/>
      <c r="GCE256" s="2228"/>
      <c r="GCF256" s="2228"/>
      <c r="GCG256" s="2227"/>
      <c r="GCH256" s="2228"/>
      <c r="GCI256" s="2228"/>
      <c r="GCJ256" s="2228"/>
      <c r="GCK256" s="2228"/>
      <c r="GCL256" s="2228"/>
      <c r="GCM256" s="2228"/>
      <c r="GCN256" s="2228"/>
      <c r="GCO256" s="2228"/>
      <c r="GCP256" s="2228"/>
      <c r="GCQ256" s="2228"/>
      <c r="GCR256" s="2228"/>
      <c r="GCS256" s="2228"/>
      <c r="GCT256" s="2228"/>
      <c r="GCU256" s="2228"/>
      <c r="GCV256" s="2228"/>
      <c r="GCW256" s="2227"/>
      <c r="GCX256" s="2228"/>
      <c r="GCY256" s="2228"/>
      <c r="GCZ256" s="2228"/>
      <c r="GDA256" s="2228"/>
      <c r="GDB256" s="2228"/>
      <c r="GDC256" s="2228"/>
      <c r="GDD256" s="2228"/>
      <c r="GDE256" s="2228"/>
      <c r="GDF256" s="2228"/>
      <c r="GDG256" s="2228"/>
      <c r="GDH256" s="2228"/>
      <c r="GDI256" s="2228"/>
      <c r="GDJ256" s="2228"/>
      <c r="GDK256" s="2228"/>
      <c r="GDL256" s="2228"/>
      <c r="GDM256" s="2227"/>
      <c r="GDN256" s="2228"/>
      <c r="GDO256" s="2228"/>
      <c r="GDP256" s="2228"/>
      <c r="GDQ256" s="2228"/>
      <c r="GDR256" s="2228"/>
      <c r="GDS256" s="2228"/>
      <c r="GDT256" s="2228"/>
      <c r="GDU256" s="2228"/>
      <c r="GDV256" s="2228"/>
      <c r="GDW256" s="2228"/>
      <c r="GDX256" s="2228"/>
      <c r="GDY256" s="2228"/>
      <c r="GDZ256" s="2228"/>
      <c r="GEA256" s="2228"/>
      <c r="GEB256" s="2228"/>
      <c r="GEC256" s="2227"/>
      <c r="GED256" s="2228"/>
      <c r="GEE256" s="2228"/>
      <c r="GEF256" s="2228"/>
      <c r="GEG256" s="2228"/>
      <c r="GEH256" s="2228"/>
      <c r="GEI256" s="2228"/>
      <c r="GEJ256" s="2228"/>
      <c r="GEK256" s="2228"/>
      <c r="GEL256" s="2228"/>
      <c r="GEM256" s="2228"/>
      <c r="GEN256" s="2228"/>
      <c r="GEO256" s="2228"/>
      <c r="GEP256" s="2228"/>
      <c r="GEQ256" s="2228"/>
      <c r="GER256" s="2228"/>
      <c r="GES256" s="2227"/>
      <c r="GET256" s="2228"/>
      <c r="GEU256" s="2228"/>
      <c r="GEV256" s="2228"/>
      <c r="GEW256" s="2228"/>
      <c r="GEX256" s="2228"/>
      <c r="GEY256" s="2228"/>
      <c r="GEZ256" s="2228"/>
      <c r="GFA256" s="2228"/>
      <c r="GFB256" s="2228"/>
      <c r="GFC256" s="2228"/>
      <c r="GFD256" s="2228"/>
      <c r="GFE256" s="2228"/>
      <c r="GFF256" s="2228"/>
      <c r="GFG256" s="2228"/>
      <c r="GFH256" s="2228"/>
      <c r="GFI256" s="2227"/>
      <c r="GFJ256" s="2228"/>
      <c r="GFK256" s="2228"/>
      <c r="GFL256" s="2228"/>
      <c r="GFM256" s="2228"/>
      <c r="GFN256" s="2228"/>
      <c r="GFO256" s="2228"/>
      <c r="GFP256" s="2228"/>
      <c r="GFQ256" s="2228"/>
      <c r="GFR256" s="2228"/>
      <c r="GFS256" s="2228"/>
      <c r="GFT256" s="2228"/>
      <c r="GFU256" s="2228"/>
      <c r="GFV256" s="2228"/>
      <c r="GFW256" s="2228"/>
      <c r="GFX256" s="2228"/>
      <c r="GFY256" s="2227"/>
      <c r="GFZ256" s="2228"/>
      <c r="GGA256" s="2228"/>
      <c r="GGB256" s="2228"/>
      <c r="GGC256" s="2228"/>
      <c r="GGD256" s="2228"/>
      <c r="GGE256" s="2228"/>
      <c r="GGF256" s="2228"/>
      <c r="GGG256" s="2228"/>
      <c r="GGH256" s="2228"/>
      <c r="GGI256" s="2228"/>
      <c r="GGJ256" s="2228"/>
      <c r="GGK256" s="2228"/>
      <c r="GGL256" s="2228"/>
      <c r="GGM256" s="2228"/>
      <c r="GGN256" s="2228"/>
      <c r="GGO256" s="2227"/>
      <c r="GGP256" s="2228"/>
      <c r="GGQ256" s="2228"/>
      <c r="GGR256" s="2228"/>
      <c r="GGS256" s="2228"/>
      <c r="GGT256" s="2228"/>
      <c r="GGU256" s="2228"/>
      <c r="GGV256" s="2228"/>
      <c r="GGW256" s="2228"/>
      <c r="GGX256" s="2228"/>
      <c r="GGY256" s="2228"/>
      <c r="GGZ256" s="2228"/>
      <c r="GHA256" s="2228"/>
      <c r="GHB256" s="2228"/>
      <c r="GHC256" s="2228"/>
      <c r="GHD256" s="2228"/>
      <c r="GHE256" s="2227"/>
      <c r="GHF256" s="2228"/>
      <c r="GHG256" s="2228"/>
      <c r="GHH256" s="2228"/>
      <c r="GHI256" s="2228"/>
      <c r="GHJ256" s="2228"/>
      <c r="GHK256" s="2228"/>
      <c r="GHL256" s="2228"/>
      <c r="GHM256" s="2228"/>
      <c r="GHN256" s="2228"/>
      <c r="GHO256" s="2228"/>
      <c r="GHP256" s="2228"/>
      <c r="GHQ256" s="2228"/>
      <c r="GHR256" s="2228"/>
      <c r="GHS256" s="2228"/>
      <c r="GHT256" s="2228"/>
      <c r="GHU256" s="2227"/>
      <c r="GHV256" s="2228"/>
      <c r="GHW256" s="2228"/>
      <c r="GHX256" s="2228"/>
      <c r="GHY256" s="2228"/>
      <c r="GHZ256" s="2228"/>
      <c r="GIA256" s="2228"/>
      <c r="GIB256" s="2228"/>
      <c r="GIC256" s="2228"/>
      <c r="GID256" s="2228"/>
      <c r="GIE256" s="2228"/>
      <c r="GIF256" s="2228"/>
      <c r="GIG256" s="2228"/>
      <c r="GIH256" s="2228"/>
      <c r="GII256" s="2228"/>
      <c r="GIJ256" s="2228"/>
      <c r="GIK256" s="2227"/>
      <c r="GIL256" s="2228"/>
      <c r="GIM256" s="2228"/>
      <c r="GIN256" s="2228"/>
      <c r="GIO256" s="2228"/>
      <c r="GIP256" s="2228"/>
      <c r="GIQ256" s="2228"/>
      <c r="GIR256" s="2228"/>
      <c r="GIS256" s="2228"/>
      <c r="GIT256" s="2228"/>
      <c r="GIU256" s="2228"/>
      <c r="GIV256" s="2228"/>
      <c r="GIW256" s="2228"/>
      <c r="GIX256" s="2228"/>
      <c r="GIY256" s="2228"/>
      <c r="GIZ256" s="2228"/>
      <c r="GJA256" s="2227"/>
      <c r="GJB256" s="2228"/>
      <c r="GJC256" s="2228"/>
      <c r="GJD256" s="2228"/>
      <c r="GJE256" s="2228"/>
      <c r="GJF256" s="2228"/>
      <c r="GJG256" s="2228"/>
      <c r="GJH256" s="2228"/>
      <c r="GJI256" s="2228"/>
      <c r="GJJ256" s="2228"/>
      <c r="GJK256" s="2228"/>
      <c r="GJL256" s="2228"/>
      <c r="GJM256" s="2228"/>
      <c r="GJN256" s="2228"/>
      <c r="GJO256" s="2228"/>
      <c r="GJP256" s="2228"/>
      <c r="GJQ256" s="2227"/>
      <c r="GJR256" s="2228"/>
      <c r="GJS256" s="2228"/>
      <c r="GJT256" s="2228"/>
      <c r="GJU256" s="2228"/>
      <c r="GJV256" s="2228"/>
      <c r="GJW256" s="2228"/>
      <c r="GJX256" s="2228"/>
      <c r="GJY256" s="2228"/>
      <c r="GJZ256" s="2228"/>
      <c r="GKA256" s="2228"/>
      <c r="GKB256" s="2228"/>
      <c r="GKC256" s="2228"/>
      <c r="GKD256" s="2228"/>
      <c r="GKE256" s="2228"/>
      <c r="GKF256" s="2228"/>
      <c r="GKG256" s="2227"/>
      <c r="GKH256" s="2228"/>
      <c r="GKI256" s="2228"/>
      <c r="GKJ256" s="2228"/>
      <c r="GKK256" s="2228"/>
      <c r="GKL256" s="2228"/>
      <c r="GKM256" s="2228"/>
      <c r="GKN256" s="2228"/>
      <c r="GKO256" s="2228"/>
      <c r="GKP256" s="2228"/>
      <c r="GKQ256" s="2228"/>
      <c r="GKR256" s="2228"/>
      <c r="GKS256" s="2228"/>
      <c r="GKT256" s="2228"/>
      <c r="GKU256" s="2228"/>
      <c r="GKV256" s="2228"/>
      <c r="GKW256" s="2227"/>
      <c r="GKX256" s="2228"/>
      <c r="GKY256" s="2228"/>
      <c r="GKZ256" s="2228"/>
      <c r="GLA256" s="2228"/>
      <c r="GLB256" s="2228"/>
      <c r="GLC256" s="2228"/>
      <c r="GLD256" s="2228"/>
      <c r="GLE256" s="2228"/>
      <c r="GLF256" s="2228"/>
      <c r="GLG256" s="2228"/>
      <c r="GLH256" s="2228"/>
      <c r="GLI256" s="2228"/>
      <c r="GLJ256" s="2228"/>
      <c r="GLK256" s="2228"/>
      <c r="GLL256" s="2228"/>
      <c r="GLM256" s="2227"/>
      <c r="GLN256" s="2228"/>
      <c r="GLO256" s="2228"/>
      <c r="GLP256" s="2228"/>
      <c r="GLQ256" s="2228"/>
      <c r="GLR256" s="2228"/>
      <c r="GLS256" s="2228"/>
      <c r="GLT256" s="2228"/>
      <c r="GLU256" s="2228"/>
      <c r="GLV256" s="2228"/>
      <c r="GLW256" s="2228"/>
      <c r="GLX256" s="2228"/>
      <c r="GLY256" s="2228"/>
      <c r="GLZ256" s="2228"/>
      <c r="GMA256" s="2228"/>
      <c r="GMB256" s="2228"/>
      <c r="GMC256" s="2227"/>
      <c r="GMD256" s="2228"/>
      <c r="GME256" s="2228"/>
      <c r="GMF256" s="2228"/>
      <c r="GMG256" s="2228"/>
      <c r="GMH256" s="2228"/>
      <c r="GMI256" s="2228"/>
      <c r="GMJ256" s="2228"/>
      <c r="GMK256" s="2228"/>
      <c r="GML256" s="2228"/>
      <c r="GMM256" s="2228"/>
      <c r="GMN256" s="2228"/>
      <c r="GMO256" s="2228"/>
      <c r="GMP256" s="2228"/>
      <c r="GMQ256" s="2228"/>
      <c r="GMR256" s="2228"/>
      <c r="GMS256" s="2227"/>
      <c r="GMT256" s="2228"/>
      <c r="GMU256" s="2228"/>
      <c r="GMV256" s="2228"/>
      <c r="GMW256" s="2228"/>
      <c r="GMX256" s="2228"/>
      <c r="GMY256" s="2228"/>
      <c r="GMZ256" s="2228"/>
      <c r="GNA256" s="2228"/>
      <c r="GNB256" s="2228"/>
      <c r="GNC256" s="2228"/>
      <c r="GND256" s="2228"/>
      <c r="GNE256" s="2228"/>
      <c r="GNF256" s="2228"/>
      <c r="GNG256" s="2228"/>
      <c r="GNH256" s="2228"/>
      <c r="GNI256" s="2227"/>
      <c r="GNJ256" s="2228"/>
      <c r="GNK256" s="2228"/>
      <c r="GNL256" s="2228"/>
      <c r="GNM256" s="2228"/>
      <c r="GNN256" s="2228"/>
      <c r="GNO256" s="2228"/>
      <c r="GNP256" s="2228"/>
      <c r="GNQ256" s="2228"/>
      <c r="GNR256" s="2228"/>
      <c r="GNS256" s="2228"/>
      <c r="GNT256" s="2228"/>
      <c r="GNU256" s="2228"/>
      <c r="GNV256" s="2228"/>
      <c r="GNW256" s="2228"/>
      <c r="GNX256" s="2228"/>
      <c r="GNY256" s="2227"/>
      <c r="GNZ256" s="2228"/>
      <c r="GOA256" s="2228"/>
      <c r="GOB256" s="2228"/>
      <c r="GOC256" s="2228"/>
      <c r="GOD256" s="2228"/>
      <c r="GOE256" s="2228"/>
      <c r="GOF256" s="2228"/>
      <c r="GOG256" s="2228"/>
      <c r="GOH256" s="2228"/>
      <c r="GOI256" s="2228"/>
      <c r="GOJ256" s="2228"/>
      <c r="GOK256" s="2228"/>
      <c r="GOL256" s="2228"/>
      <c r="GOM256" s="2228"/>
      <c r="GON256" s="2228"/>
      <c r="GOO256" s="2227"/>
      <c r="GOP256" s="2228"/>
      <c r="GOQ256" s="2228"/>
      <c r="GOR256" s="2228"/>
      <c r="GOS256" s="2228"/>
      <c r="GOT256" s="2228"/>
      <c r="GOU256" s="2228"/>
      <c r="GOV256" s="2228"/>
      <c r="GOW256" s="2228"/>
      <c r="GOX256" s="2228"/>
      <c r="GOY256" s="2228"/>
      <c r="GOZ256" s="2228"/>
      <c r="GPA256" s="2228"/>
      <c r="GPB256" s="2228"/>
      <c r="GPC256" s="2228"/>
      <c r="GPD256" s="2228"/>
      <c r="GPE256" s="2227"/>
      <c r="GPF256" s="2228"/>
      <c r="GPG256" s="2228"/>
      <c r="GPH256" s="2228"/>
      <c r="GPI256" s="2228"/>
      <c r="GPJ256" s="2228"/>
      <c r="GPK256" s="2228"/>
      <c r="GPL256" s="2228"/>
      <c r="GPM256" s="2228"/>
      <c r="GPN256" s="2228"/>
      <c r="GPO256" s="2228"/>
      <c r="GPP256" s="2228"/>
      <c r="GPQ256" s="2228"/>
      <c r="GPR256" s="2228"/>
      <c r="GPS256" s="2228"/>
      <c r="GPT256" s="2228"/>
      <c r="GPU256" s="2227"/>
      <c r="GPV256" s="2228"/>
      <c r="GPW256" s="2228"/>
      <c r="GPX256" s="2228"/>
      <c r="GPY256" s="2228"/>
      <c r="GPZ256" s="2228"/>
      <c r="GQA256" s="2228"/>
      <c r="GQB256" s="2228"/>
      <c r="GQC256" s="2228"/>
      <c r="GQD256" s="2228"/>
      <c r="GQE256" s="2228"/>
      <c r="GQF256" s="2228"/>
      <c r="GQG256" s="2228"/>
      <c r="GQH256" s="2228"/>
      <c r="GQI256" s="2228"/>
      <c r="GQJ256" s="2228"/>
      <c r="GQK256" s="2227"/>
      <c r="GQL256" s="2228"/>
      <c r="GQM256" s="2228"/>
      <c r="GQN256" s="2228"/>
      <c r="GQO256" s="2228"/>
      <c r="GQP256" s="2228"/>
      <c r="GQQ256" s="2228"/>
      <c r="GQR256" s="2228"/>
      <c r="GQS256" s="2228"/>
      <c r="GQT256" s="2228"/>
      <c r="GQU256" s="2228"/>
      <c r="GQV256" s="2228"/>
      <c r="GQW256" s="2228"/>
      <c r="GQX256" s="2228"/>
      <c r="GQY256" s="2228"/>
      <c r="GQZ256" s="2228"/>
      <c r="GRA256" s="2227"/>
      <c r="GRB256" s="2228"/>
      <c r="GRC256" s="2228"/>
      <c r="GRD256" s="2228"/>
      <c r="GRE256" s="2228"/>
      <c r="GRF256" s="2228"/>
      <c r="GRG256" s="2228"/>
      <c r="GRH256" s="2228"/>
      <c r="GRI256" s="2228"/>
      <c r="GRJ256" s="2228"/>
      <c r="GRK256" s="2228"/>
      <c r="GRL256" s="2228"/>
      <c r="GRM256" s="2228"/>
      <c r="GRN256" s="2228"/>
      <c r="GRO256" s="2228"/>
      <c r="GRP256" s="2228"/>
      <c r="GRQ256" s="2227"/>
      <c r="GRR256" s="2228"/>
      <c r="GRS256" s="2228"/>
      <c r="GRT256" s="2228"/>
      <c r="GRU256" s="2228"/>
      <c r="GRV256" s="2228"/>
      <c r="GRW256" s="2228"/>
      <c r="GRX256" s="2228"/>
      <c r="GRY256" s="2228"/>
      <c r="GRZ256" s="2228"/>
      <c r="GSA256" s="2228"/>
      <c r="GSB256" s="2228"/>
      <c r="GSC256" s="2228"/>
      <c r="GSD256" s="2228"/>
      <c r="GSE256" s="2228"/>
      <c r="GSF256" s="2228"/>
      <c r="GSG256" s="2227"/>
      <c r="GSH256" s="2228"/>
      <c r="GSI256" s="2228"/>
      <c r="GSJ256" s="2228"/>
      <c r="GSK256" s="2228"/>
      <c r="GSL256" s="2228"/>
      <c r="GSM256" s="2228"/>
      <c r="GSN256" s="2228"/>
      <c r="GSO256" s="2228"/>
      <c r="GSP256" s="2228"/>
      <c r="GSQ256" s="2228"/>
      <c r="GSR256" s="2228"/>
      <c r="GSS256" s="2228"/>
      <c r="GST256" s="2228"/>
      <c r="GSU256" s="2228"/>
      <c r="GSV256" s="2228"/>
      <c r="GSW256" s="2227"/>
      <c r="GSX256" s="2228"/>
      <c r="GSY256" s="2228"/>
      <c r="GSZ256" s="2228"/>
      <c r="GTA256" s="2228"/>
      <c r="GTB256" s="2228"/>
      <c r="GTC256" s="2228"/>
      <c r="GTD256" s="2228"/>
      <c r="GTE256" s="2228"/>
      <c r="GTF256" s="2228"/>
      <c r="GTG256" s="2228"/>
      <c r="GTH256" s="2228"/>
      <c r="GTI256" s="2228"/>
      <c r="GTJ256" s="2228"/>
      <c r="GTK256" s="2228"/>
      <c r="GTL256" s="2228"/>
      <c r="GTM256" s="2227"/>
      <c r="GTN256" s="2228"/>
      <c r="GTO256" s="2228"/>
      <c r="GTP256" s="2228"/>
      <c r="GTQ256" s="2228"/>
      <c r="GTR256" s="2228"/>
      <c r="GTS256" s="2228"/>
      <c r="GTT256" s="2228"/>
      <c r="GTU256" s="2228"/>
      <c r="GTV256" s="2228"/>
      <c r="GTW256" s="2228"/>
      <c r="GTX256" s="2228"/>
      <c r="GTY256" s="2228"/>
      <c r="GTZ256" s="2228"/>
      <c r="GUA256" s="2228"/>
      <c r="GUB256" s="2228"/>
      <c r="GUC256" s="2227"/>
      <c r="GUD256" s="2228"/>
      <c r="GUE256" s="2228"/>
      <c r="GUF256" s="2228"/>
      <c r="GUG256" s="2228"/>
      <c r="GUH256" s="2228"/>
      <c r="GUI256" s="2228"/>
      <c r="GUJ256" s="2228"/>
      <c r="GUK256" s="2228"/>
      <c r="GUL256" s="2228"/>
      <c r="GUM256" s="2228"/>
      <c r="GUN256" s="2228"/>
      <c r="GUO256" s="2228"/>
      <c r="GUP256" s="2228"/>
      <c r="GUQ256" s="2228"/>
      <c r="GUR256" s="2228"/>
      <c r="GUS256" s="2227"/>
      <c r="GUT256" s="2228"/>
      <c r="GUU256" s="2228"/>
      <c r="GUV256" s="2228"/>
      <c r="GUW256" s="2228"/>
      <c r="GUX256" s="2228"/>
      <c r="GUY256" s="2228"/>
      <c r="GUZ256" s="2228"/>
      <c r="GVA256" s="2228"/>
      <c r="GVB256" s="2228"/>
      <c r="GVC256" s="2228"/>
      <c r="GVD256" s="2228"/>
      <c r="GVE256" s="2228"/>
      <c r="GVF256" s="2228"/>
      <c r="GVG256" s="2228"/>
      <c r="GVH256" s="2228"/>
      <c r="GVI256" s="2227"/>
      <c r="GVJ256" s="2228"/>
      <c r="GVK256" s="2228"/>
      <c r="GVL256" s="2228"/>
      <c r="GVM256" s="2228"/>
      <c r="GVN256" s="2228"/>
      <c r="GVO256" s="2228"/>
      <c r="GVP256" s="2228"/>
      <c r="GVQ256" s="2228"/>
      <c r="GVR256" s="2228"/>
      <c r="GVS256" s="2228"/>
      <c r="GVT256" s="2228"/>
      <c r="GVU256" s="2228"/>
      <c r="GVV256" s="2228"/>
      <c r="GVW256" s="2228"/>
      <c r="GVX256" s="2228"/>
      <c r="GVY256" s="2227"/>
      <c r="GVZ256" s="2228"/>
      <c r="GWA256" s="2228"/>
      <c r="GWB256" s="2228"/>
      <c r="GWC256" s="2228"/>
      <c r="GWD256" s="2228"/>
      <c r="GWE256" s="2228"/>
      <c r="GWF256" s="2228"/>
      <c r="GWG256" s="2228"/>
      <c r="GWH256" s="2228"/>
      <c r="GWI256" s="2228"/>
      <c r="GWJ256" s="2228"/>
      <c r="GWK256" s="2228"/>
      <c r="GWL256" s="2228"/>
      <c r="GWM256" s="2228"/>
      <c r="GWN256" s="2228"/>
      <c r="GWO256" s="2227"/>
      <c r="GWP256" s="2228"/>
      <c r="GWQ256" s="2228"/>
      <c r="GWR256" s="2228"/>
      <c r="GWS256" s="2228"/>
      <c r="GWT256" s="2228"/>
      <c r="GWU256" s="2228"/>
      <c r="GWV256" s="2228"/>
      <c r="GWW256" s="2228"/>
      <c r="GWX256" s="2228"/>
      <c r="GWY256" s="2228"/>
      <c r="GWZ256" s="2228"/>
      <c r="GXA256" s="2228"/>
      <c r="GXB256" s="2228"/>
      <c r="GXC256" s="2228"/>
      <c r="GXD256" s="2228"/>
      <c r="GXE256" s="2227"/>
      <c r="GXF256" s="2228"/>
      <c r="GXG256" s="2228"/>
      <c r="GXH256" s="2228"/>
      <c r="GXI256" s="2228"/>
      <c r="GXJ256" s="2228"/>
      <c r="GXK256" s="2228"/>
      <c r="GXL256" s="2228"/>
      <c r="GXM256" s="2228"/>
      <c r="GXN256" s="2228"/>
      <c r="GXO256" s="2228"/>
      <c r="GXP256" s="2228"/>
      <c r="GXQ256" s="2228"/>
      <c r="GXR256" s="2228"/>
      <c r="GXS256" s="2228"/>
      <c r="GXT256" s="2228"/>
      <c r="GXU256" s="2227"/>
      <c r="GXV256" s="2228"/>
      <c r="GXW256" s="2228"/>
      <c r="GXX256" s="2228"/>
      <c r="GXY256" s="2228"/>
      <c r="GXZ256" s="2228"/>
      <c r="GYA256" s="2228"/>
      <c r="GYB256" s="2228"/>
      <c r="GYC256" s="2228"/>
      <c r="GYD256" s="2228"/>
      <c r="GYE256" s="2228"/>
      <c r="GYF256" s="2228"/>
      <c r="GYG256" s="2228"/>
      <c r="GYH256" s="2228"/>
      <c r="GYI256" s="2228"/>
      <c r="GYJ256" s="2228"/>
      <c r="GYK256" s="2227"/>
      <c r="GYL256" s="2228"/>
      <c r="GYM256" s="2228"/>
      <c r="GYN256" s="2228"/>
      <c r="GYO256" s="2228"/>
      <c r="GYP256" s="2228"/>
      <c r="GYQ256" s="2228"/>
      <c r="GYR256" s="2228"/>
      <c r="GYS256" s="2228"/>
      <c r="GYT256" s="2228"/>
      <c r="GYU256" s="2228"/>
      <c r="GYV256" s="2228"/>
      <c r="GYW256" s="2228"/>
      <c r="GYX256" s="2228"/>
      <c r="GYY256" s="2228"/>
      <c r="GYZ256" s="2228"/>
      <c r="GZA256" s="2227"/>
      <c r="GZB256" s="2228"/>
      <c r="GZC256" s="2228"/>
      <c r="GZD256" s="2228"/>
      <c r="GZE256" s="2228"/>
      <c r="GZF256" s="2228"/>
      <c r="GZG256" s="2228"/>
      <c r="GZH256" s="2228"/>
      <c r="GZI256" s="2228"/>
      <c r="GZJ256" s="2228"/>
      <c r="GZK256" s="2228"/>
      <c r="GZL256" s="2228"/>
      <c r="GZM256" s="2228"/>
      <c r="GZN256" s="2228"/>
      <c r="GZO256" s="2228"/>
      <c r="GZP256" s="2228"/>
      <c r="GZQ256" s="2227"/>
      <c r="GZR256" s="2228"/>
      <c r="GZS256" s="2228"/>
      <c r="GZT256" s="2228"/>
      <c r="GZU256" s="2228"/>
      <c r="GZV256" s="2228"/>
      <c r="GZW256" s="2228"/>
      <c r="GZX256" s="2228"/>
      <c r="GZY256" s="2228"/>
      <c r="GZZ256" s="2228"/>
      <c r="HAA256" s="2228"/>
      <c r="HAB256" s="2228"/>
      <c r="HAC256" s="2228"/>
      <c r="HAD256" s="2228"/>
      <c r="HAE256" s="2228"/>
      <c r="HAF256" s="2228"/>
      <c r="HAG256" s="2227"/>
      <c r="HAH256" s="2228"/>
      <c r="HAI256" s="2228"/>
      <c r="HAJ256" s="2228"/>
      <c r="HAK256" s="2228"/>
      <c r="HAL256" s="2228"/>
      <c r="HAM256" s="2228"/>
      <c r="HAN256" s="2228"/>
      <c r="HAO256" s="2228"/>
      <c r="HAP256" s="2228"/>
      <c r="HAQ256" s="2228"/>
      <c r="HAR256" s="2228"/>
      <c r="HAS256" s="2228"/>
      <c r="HAT256" s="2228"/>
      <c r="HAU256" s="2228"/>
      <c r="HAV256" s="2228"/>
      <c r="HAW256" s="2227"/>
      <c r="HAX256" s="2228"/>
      <c r="HAY256" s="2228"/>
      <c r="HAZ256" s="2228"/>
      <c r="HBA256" s="2228"/>
      <c r="HBB256" s="2228"/>
      <c r="HBC256" s="2228"/>
      <c r="HBD256" s="2228"/>
      <c r="HBE256" s="2228"/>
      <c r="HBF256" s="2228"/>
      <c r="HBG256" s="2228"/>
      <c r="HBH256" s="2228"/>
      <c r="HBI256" s="2228"/>
      <c r="HBJ256" s="2228"/>
      <c r="HBK256" s="2228"/>
      <c r="HBL256" s="2228"/>
      <c r="HBM256" s="2227"/>
      <c r="HBN256" s="2228"/>
      <c r="HBO256" s="2228"/>
      <c r="HBP256" s="2228"/>
      <c r="HBQ256" s="2228"/>
      <c r="HBR256" s="2228"/>
      <c r="HBS256" s="2228"/>
      <c r="HBT256" s="2228"/>
      <c r="HBU256" s="2228"/>
      <c r="HBV256" s="2228"/>
      <c r="HBW256" s="2228"/>
      <c r="HBX256" s="2228"/>
      <c r="HBY256" s="2228"/>
      <c r="HBZ256" s="2228"/>
      <c r="HCA256" s="2228"/>
      <c r="HCB256" s="2228"/>
      <c r="HCC256" s="2227"/>
      <c r="HCD256" s="2228"/>
      <c r="HCE256" s="2228"/>
      <c r="HCF256" s="2228"/>
      <c r="HCG256" s="2228"/>
      <c r="HCH256" s="2228"/>
      <c r="HCI256" s="2228"/>
      <c r="HCJ256" s="2228"/>
      <c r="HCK256" s="2228"/>
      <c r="HCL256" s="2228"/>
      <c r="HCM256" s="2228"/>
      <c r="HCN256" s="2228"/>
      <c r="HCO256" s="2228"/>
      <c r="HCP256" s="2228"/>
      <c r="HCQ256" s="2228"/>
      <c r="HCR256" s="2228"/>
      <c r="HCS256" s="2227"/>
      <c r="HCT256" s="2228"/>
      <c r="HCU256" s="2228"/>
      <c r="HCV256" s="2228"/>
      <c r="HCW256" s="2228"/>
      <c r="HCX256" s="2228"/>
      <c r="HCY256" s="2228"/>
      <c r="HCZ256" s="2228"/>
      <c r="HDA256" s="2228"/>
      <c r="HDB256" s="2228"/>
      <c r="HDC256" s="2228"/>
      <c r="HDD256" s="2228"/>
      <c r="HDE256" s="2228"/>
      <c r="HDF256" s="2228"/>
      <c r="HDG256" s="2228"/>
      <c r="HDH256" s="2228"/>
      <c r="HDI256" s="2227"/>
      <c r="HDJ256" s="2228"/>
      <c r="HDK256" s="2228"/>
      <c r="HDL256" s="2228"/>
      <c r="HDM256" s="2228"/>
      <c r="HDN256" s="2228"/>
      <c r="HDO256" s="2228"/>
      <c r="HDP256" s="2228"/>
      <c r="HDQ256" s="2228"/>
      <c r="HDR256" s="2228"/>
      <c r="HDS256" s="2228"/>
      <c r="HDT256" s="2228"/>
      <c r="HDU256" s="2228"/>
      <c r="HDV256" s="2228"/>
      <c r="HDW256" s="2228"/>
      <c r="HDX256" s="2228"/>
      <c r="HDY256" s="2227"/>
      <c r="HDZ256" s="2228"/>
      <c r="HEA256" s="2228"/>
      <c r="HEB256" s="2228"/>
      <c r="HEC256" s="2228"/>
      <c r="HED256" s="2228"/>
      <c r="HEE256" s="2228"/>
      <c r="HEF256" s="2228"/>
      <c r="HEG256" s="2228"/>
      <c r="HEH256" s="2228"/>
      <c r="HEI256" s="2228"/>
      <c r="HEJ256" s="2228"/>
      <c r="HEK256" s="2228"/>
      <c r="HEL256" s="2228"/>
      <c r="HEM256" s="2228"/>
      <c r="HEN256" s="2228"/>
      <c r="HEO256" s="2227"/>
      <c r="HEP256" s="2228"/>
      <c r="HEQ256" s="2228"/>
      <c r="HER256" s="2228"/>
      <c r="HES256" s="2228"/>
      <c r="HET256" s="2228"/>
      <c r="HEU256" s="2228"/>
      <c r="HEV256" s="2228"/>
      <c r="HEW256" s="2228"/>
      <c r="HEX256" s="2228"/>
      <c r="HEY256" s="2228"/>
      <c r="HEZ256" s="2228"/>
      <c r="HFA256" s="2228"/>
      <c r="HFB256" s="2228"/>
      <c r="HFC256" s="2228"/>
      <c r="HFD256" s="2228"/>
      <c r="HFE256" s="2227"/>
      <c r="HFF256" s="2228"/>
      <c r="HFG256" s="2228"/>
      <c r="HFH256" s="2228"/>
      <c r="HFI256" s="2228"/>
      <c r="HFJ256" s="2228"/>
      <c r="HFK256" s="2228"/>
      <c r="HFL256" s="2228"/>
      <c r="HFM256" s="2228"/>
      <c r="HFN256" s="2228"/>
      <c r="HFO256" s="2228"/>
      <c r="HFP256" s="2228"/>
      <c r="HFQ256" s="2228"/>
      <c r="HFR256" s="2228"/>
      <c r="HFS256" s="2228"/>
      <c r="HFT256" s="2228"/>
      <c r="HFU256" s="2227"/>
      <c r="HFV256" s="2228"/>
      <c r="HFW256" s="2228"/>
      <c r="HFX256" s="2228"/>
      <c r="HFY256" s="2228"/>
      <c r="HFZ256" s="2228"/>
      <c r="HGA256" s="2228"/>
      <c r="HGB256" s="2228"/>
      <c r="HGC256" s="2228"/>
      <c r="HGD256" s="2228"/>
      <c r="HGE256" s="2228"/>
      <c r="HGF256" s="2228"/>
      <c r="HGG256" s="2228"/>
      <c r="HGH256" s="2228"/>
      <c r="HGI256" s="2228"/>
      <c r="HGJ256" s="2228"/>
      <c r="HGK256" s="2227"/>
      <c r="HGL256" s="2228"/>
      <c r="HGM256" s="2228"/>
      <c r="HGN256" s="2228"/>
      <c r="HGO256" s="2228"/>
      <c r="HGP256" s="2228"/>
      <c r="HGQ256" s="2228"/>
      <c r="HGR256" s="2228"/>
      <c r="HGS256" s="2228"/>
      <c r="HGT256" s="2228"/>
      <c r="HGU256" s="2228"/>
      <c r="HGV256" s="2228"/>
      <c r="HGW256" s="2228"/>
      <c r="HGX256" s="2228"/>
      <c r="HGY256" s="2228"/>
      <c r="HGZ256" s="2228"/>
      <c r="HHA256" s="2227"/>
      <c r="HHB256" s="2228"/>
      <c r="HHC256" s="2228"/>
      <c r="HHD256" s="2228"/>
      <c r="HHE256" s="2228"/>
      <c r="HHF256" s="2228"/>
      <c r="HHG256" s="2228"/>
      <c r="HHH256" s="2228"/>
      <c r="HHI256" s="2228"/>
      <c r="HHJ256" s="2228"/>
      <c r="HHK256" s="2228"/>
      <c r="HHL256" s="2228"/>
      <c r="HHM256" s="2228"/>
      <c r="HHN256" s="2228"/>
      <c r="HHO256" s="2228"/>
      <c r="HHP256" s="2228"/>
      <c r="HHQ256" s="2227"/>
      <c r="HHR256" s="2228"/>
      <c r="HHS256" s="2228"/>
      <c r="HHT256" s="2228"/>
      <c r="HHU256" s="2228"/>
      <c r="HHV256" s="2228"/>
      <c r="HHW256" s="2228"/>
      <c r="HHX256" s="2228"/>
      <c r="HHY256" s="2228"/>
      <c r="HHZ256" s="2228"/>
      <c r="HIA256" s="2228"/>
      <c r="HIB256" s="2228"/>
      <c r="HIC256" s="2228"/>
      <c r="HID256" s="2228"/>
      <c r="HIE256" s="2228"/>
      <c r="HIF256" s="2228"/>
      <c r="HIG256" s="2227"/>
      <c r="HIH256" s="2228"/>
      <c r="HII256" s="2228"/>
      <c r="HIJ256" s="2228"/>
      <c r="HIK256" s="2228"/>
      <c r="HIL256" s="2228"/>
      <c r="HIM256" s="2228"/>
      <c r="HIN256" s="2228"/>
      <c r="HIO256" s="2228"/>
      <c r="HIP256" s="2228"/>
      <c r="HIQ256" s="2228"/>
      <c r="HIR256" s="2228"/>
      <c r="HIS256" s="2228"/>
      <c r="HIT256" s="2228"/>
      <c r="HIU256" s="2228"/>
      <c r="HIV256" s="2228"/>
      <c r="HIW256" s="2227"/>
      <c r="HIX256" s="2228"/>
      <c r="HIY256" s="2228"/>
      <c r="HIZ256" s="2228"/>
      <c r="HJA256" s="2228"/>
      <c r="HJB256" s="2228"/>
      <c r="HJC256" s="2228"/>
      <c r="HJD256" s="2228"/>
      <c r="HJE256" s="2228"/>
      <c r="HJF256" s="2228"/>
      <c r="HJG256" s="2228"/>
      <c r="HJH256" s="2228"/>
      <c r="HJI256" s="2228"/>
      <c r="HJJ256" s="2228"/>
      <c r="HJK256" s="2228"/>
      <c r="HJL256" s="2228"/>
      <c r="HJM256" s="2227"/>
      <c r="HJN256" s="2228"/>
      <c r="HJO256" s="2228"/>
      <c r="HJP256" s="2228"/>
      <c r="HJQ256" s="2228"/>
      <c r="HJR256" s="2228"/>
      <c r="HJS256" s="2228"/>
      <c r="HJT256" s="2228"/>
      <c r="HJU256" s="2228"/>
      <c r="HJV256" s="2228"/>
      <c r="HJW256" s="2228"/>
      <c r="HJX256" s="2228"/>
      <c r="HJY256" s="2228"/>
      <c r="HJZ256" s="2228"/>
      <c r="HKA256" s="2228"/>
      <c r="HKB256" s="2228"/>
      <c r="HKC256" s="2227"/>
      <c r="HKD256" s="2228"/>
      <c r="HKE256" s="2228"/>
      <c r="HKF256" s="2228"/>
      <c r="HKG256" s="2228"/>
      <c r="HKH256" s="2228"/>
      <c r="HKI256" s="2228"/>
      <c r="HKJ256" s="2228"/>
      <c r="HKK256" s="2228"/>
      <c r="HKL256" s="2228"/>
      <c r="HKM256" s="2228"/>
      <c r="HKN256" s="2228"/>
      <c r="HKO256" s="2228"/>
      <c r="HKP256" s="2228"/>
      <c r="HKQ256" s="2228"/>
      <c r="HKR256" s="2228"/>
      <c r="HKS256" s="2227"/>
      <c r="HKT256" s="2228"/>
      <c r="HKU256" s="2228"/>
      <c r="HKV256" s="2228"/>
      <c r="HKW256" s="2228"/>
      <c r="HKX256" s="2228"/>
      <c r="HKY256" s="2228"/>
      <c r="HKZ256" s="2228"/>
      <c r="HLA256" s="2228"/>
      <c r="HLB256" s="2228"/>
      <c r="HLC256" s="2228"/>
      <c r="HLD256" s="2228"/>
      <c r="HLE256" s="2228"/>
      <c r="HLF256" s="2228"/>
      <c r="HLG256" s="2228"/>
      <c r="HLH256" s="2228"/>
      <c r="HLI256" s="2227"/>
      <c r="HLJ256" s="2228"/>
      <c r="HLK256" s="2228"/>
      <c r="HLL256" s="2228"/>
      <c r="HLM256" s="2228"/>
      <c r="HLN256" s="2228"/>
      <c r="HLO256" s="2228"/>
      <c r="HLP256" s="2228"/>
      <c r="HLQ256" s="2228"/>
      <c r="HLR256" s="2228"/>
      <c r="HLS256" s="2228"/>
      <c r="HLT256" s="2228"/>
      <c r="HLU256" s="2228"/>
      <c r="HLV256" s="2228"/>
      <c r="HLW256" s="2228"/>
      <c r="HLX256" s="2228"/>
      <c r="HLY256" s="2227"/>
      <c r="HLZ256" s="2228"/>
      <c r="HMA256" s="2228"/>
      <c r="HMB256" s="2228"/>
      <c r="HMC256" s="2228"/>
      <c r="HMD256" s="2228"/>
      <c r="HME256" s="2228"/>
      <c r="HMF256" s="2228"/>
      <c r="HMG256" s="2228"/>
      <c r="HMH256" s="2228"/>
      <c r="HMI256" s="2228"/>
      <c r="HMJ256" s="2228"/>
      <c r="HMK256" s="2228"/>
      <c r="HML256" s="2228"/>
      <c r="HMM256" s="2228"/>
      <c r="HMN256" s="2228"/>
      <c r="HMO256" s="2227"/>
      <c r="HMP256" s="2228"/>
      <c r="HMQ256" s="2228"/>
      <c r="HMR256" s="2228"/>
      <c r="HMS256" s="2228"/>
      <c r="HMT256" s="2228"/>
      <c r="HMU256" s="2228"/>
      <c r="HMV256" s="2228"/>
      <c r="HMW256" s="2228"/>
      <c r="HMX256" s="2228"/>
      <c r="HMY256" s="2228"/>
      <c r="HMZ256" s="2228"/>
      <c r="HNA256" s="2228"/>
      <c r="HNB256" s="2228"/>
      <c r="HNC256" s="2228"/>
      <c r="HND256" s="2228"/>
      <c r="HNE256" s="2227"/>
      <c r="HNF256" s="2228"/>
      <c r="HNG256" s="2228"/>
      <c r="HNH256" s="2228"/>
      <c r="HNI256" s="2228"/>
      <c r="HNJ256" s="2228"/>
      <c r="HNK256" s="2228"/>
      <c r="HNL256" s="2228"/>
      <c r="HNM256" s="2228"/>
      <c r="HNN256" s="2228"/>
      <c r="HNO256" s="2228"/>
      <c r="HNP256" s="2228"/>
      <c r="HNQ256" s="2228"/>
      <c r="HNR256" s="2228"/>
      <c r="HNS256" s="2228"/>
      <c r="HNT256" s="2228"/>
      <c r="HNU256" s="2227"/>
      <c r="HNV256" s="2228"/>
      <c r="HNW256" s="2228"/>
      <c r="HNX256" s="2228"/>
      <c r="HNY256" s="2228"/>
      <c r="HNZ256" s="2228"/>
      <c r="HOA256" s="2228"/>
      <c r="HOB256" s="2228"/>
      <c r="HOC256" s="2228"/>
      <c r="HOD256" s="2228"/>
      <c r="HOE256" s="2228"/>
      <c r="HOF256" s="2228"/>
      <c r="HOG256" s="2228"/>
      <c r="HOH256" s="2228"/>
      <c r="HOI256" s="2228"/>
      <c r="HOJ256" s="2228"/>
      <c r="HOK256" s="2227"/>
      <c r="HOL256" s="2228"/>
      <c r="HOM256" s="2228"/>
      <c r="HON256" s="2228"/>
      <c r="HOO256" s="2228"/>
      <c r="HOP256" s="2228"/>
      <c r="HOQ256" s="2228"/>
      <c r="HOR256" s="2228"/>
      <c r="HOS256" s="2228"/>
      <c r="HOT256" s="2228"/>
      <c r="HOU256" s="2228"/>
      <c r="HOV256" s="2228"/>
      <c r="HOW256" s="2228"/>
      <c r="HOX256" s="2228"/>
      <c r="HOY256" s="2228"/>
      <c r="HOZ256" s="2228"/>
      <c r="HPA256" s="2227"/>
      <c r="HPB256" s="2228"/>
      <c r="HPC256" s="2228"/>
      <c r="HPD256" s="2228"/>
      <c r="HPE256" s="2228"/>
      <c r="HPF256" s="2228"/>
      <c r="HPG256" s="2228"/>
      <c r="HPH256" s="2228"/>
      <c r="HPI256" s="2228"/>
      <c r="HPJ256" s="2228"/>
      <c r="HPK256" s="2228"/>
      <c r="HPL256" s="2228"/>
      <c r="HPM256" s="2228"/>
      <c r="HPN256" s="2228"/>
      <c r="HPO256" s="2228"/>
      <c r="HPP256" s="2228"/>
      <c r="HPQ256" s="2227"/>
      <c r="HPR256" s="2228"/>
      <c r="HPS256" s="2228"/>
      <c r="HPT256" s="2228"/>
      <c r="HPU256" s="2228"/>
      <c r="HPV256" s="2228"/>
      <c r="HPW256" s="2228"/>
      <c r="HPX256" s="2228"/>
      <c r="HPY256" s="2228"/>
      <c r="HPZ256" s="2228"/>
      <c r="HQA256" s="2228"/>
      <c r="HQB256" s="2228"/>
      <c r="HQC256" s="2228"/>
      <c r="HQD256" s="2228"/>
      <c r="HQE256" s="2228"/>
      <c r="HQF256" s="2228"/>
      <c r="HQG256" s="2227"/>
      <c r="HQH256" s="2228"/>
      <c r="HQI256" s="2228"/>
      <c r="HQJ256" s="2228"/>
      <c r="HQK256" s="2228"/>
      <c r="HQL256" s="2228"/>
      <c r="HQM256" s="2228"/>
      <c r="HQN256" s="2228"/>
      <c r="HQO256" s="2228"/>
      <c r="HQP256" s="2228"/>
      <c r="HQQ256" s="2228"/>
      <c r="HQR256" s="2228"/>
      <c r="HQS256" s="2228"/>
      <c r="HQT256" s="2228"/>
      <c r="HQU256" s="2228"/>
      <c r="HQV256" s="2228"/>
      <c r="HQW256" s="2227"/>
      <c r="HQX256" s="2228"/>
      <c r="HQY256" s="2228"/>
      <c r="HQZ256" s="2228"/>
      <c r="HRA256" s="2228"/>
      <c r="HRB256" s="2228"/>
      <c r="HRC256" s="2228"/>
      <c r="HRD256" s="2228"/>
      <c r="HRE256" s="2228"/>
      <c r="HRF256" s="2228"/>
      <c r="HRG256" s="2228"/>
      <c r="HRH256" s="2228"/>
      <c r="HRI256" s="2228"/>
      <c r="HRJ256" s="2228"/>
      <c r="HRK256" s="2228"/>
      <c r="HRL256" s="2228"/>
      <c r="HRM256" s="2227"/>
      <c r="HRN256" s="2228"/>
      <c r="HRO256" s="2228"/>
      <c r="HRP256" s="2228"/>
      <c r="HRQ256" s="2228"/>
      <c r="HRR256" s="2228"/>
      <c r="HRS256" s="2228"/>
      <c r="HRT256" s="2228"/>
      <c r="HRU256" s="2228"/>
      <c r="HRV256" s="2228"/>
      <c r="HRW256" s="2228"/>
      <c r="HRX256" s="2228"/>
      <c r="HRY256" s="2228"/>
      <c r="HRZ256" s="2228"/>
      <c r="HSA256" s="2228"/>
      <c r="HSB256" s="2228"/>
      <c r="HSC256" s="2227"/>
      <c r="HSD256" s="2228"/>
      <c r="HSE256" s="2228"/>
      <c r="HSF256" s="2228"/>
      <c r="HSG256" s="2228"/>
      <c r="HSH256" s="2228"/>
      <c r="HSI256" s="2228"/>
      <c r="HSJ256" s="2228"/>
      <c r="HSK256" s="2228"/>
      <c r="HSL256" s="2228"/>
      <c r="HSM256" s="2228"/>
      <c r="HSN256" s="2228"/>
      <c r="HSO256" s="2228"/>
      <c r="HSP256" s="2228"/>
      <c r="HSQ256" s="2228"/>
      <c r="HSR256" s="2228"/>
      <c r="HSS256" s="2227"/>
      <c r="HST256" s="2228"/>
      <c r="HSU256" s="2228"/>
      <c r="HSV256" s="2228"/>
      <c r="HSW256" s="2228"/>
      <c r="HSX256" s="2228"/>
      <c r="HSY256" s="2228"/>
      <c r="HSZ256" s="2228"/>
      <c r="HTA256" s="2228"/>
      <c r="HTB256" s="2228"/>
      <c r="HTC256" s="2228"/>
      <c r="HTD256" s="2228"/>
      <c r="HTE256" s="2228"/>
      <c r="HTF256" s="2228"/>
      <c r="HTG256" s="2228"/>
      <c r="HTH256" s="2228"/>
      <c r="HTI256" s="2227"/>
      <c r="HTJ256" s="2228"/>
      <c r="HTK256" s="2228"/>
      <c r="HTL256" s="2228"/>
      <c r="HTM256" s="2228"/>
      <c r="HTN256" s="2228"/>
      <c r="HTO256" s="2228"/>
      <c r="HTP256" s="2228"/>
      <c r="HTQ256" s="2228"/>
      <c r="HTR256" s="2228"/>
      <c r="HTS256" s="2228"/>
      <c r="HTT256" s="2228"/>
      <c r="HTU256" s="2228"/>
      <c r="HTV256" s="2228"/>
      <c r="HTW256" s="2228"/>
      <c r="HTX256" s="2228"/>
      <c r="HTY256" s="2227"/>
      <c r="HTZ256" s="2228"/>
      <c r="HUA256" s="2228"/>
      <c r="HUB256" s="2228"/>
      <c r="HUC256" s="2228"/>
      <c r="HUD256" s="2228"/>
      <c r="HUE256" s="2228"/>
      <c r="HUF256" s="2228"/>
      <c r="HUG256" s="2228"/>
      <c r="HUH256" s="2228"/>
      <c r="HUI256" s="2228"/>
      <c r="HUJ256" s="2228"/>
      <c r="HUK256" s="2228"/>
      <c r="HUL256" s="2228"/>
      <c r="HUM256" s="2228"/>
      <c r="HUN256" s="2228"/>
      <c r="HUO256" s="2227"/>
      <c r="HUP256" s="2228"/>
      <c r="HUQ256" s="2228"/>
      <c r="HUR256" s="2228"/>
      <c r="HUS256" s="2228"/>
      <c r="HUT256" s="2228"/>
      <c r="HUU256" s="2228"/>
      <c r="HUV256" s="2228"/>
      <c r="HUW256" s="2228"/>
      <c r="HUX256" s="2228"/>
      <c r="HUY256" s="2228"/>
      <c r="HUZ256" s="2228"/>
      <c r="HVA256" s="2228"/>
      <c r="HVB256" s="2228"/>
      <c r="HVC256" s="2228"/>
      <c r="HVD256" s="2228"/>
      <c r="HVE256" s="2227"/>
      <c r="HVF256" s="2228"/>
      <c r="HVG256" s="2228"/>
      <c r="HVH256" s="2228"/>
      <c r="HVI256" s="2228"/>
      <c r="HVJ256" s="2228"/>
      <c r="HVK256" s="2228"/>
      <c r="HVL256" s="2228"/>
      <c r="HVM256" s="2228"/>
      <c r="HVN256" s="2228"/>
      <c r="HVO256" s="2228"/>
      <c r="HVP256" s="2228"/>
      <c r="HVQ256" s="2228"/>
      <c r="HVR256" s="2228"/>
      <c r="HVS256" s="2228"/>
      <c r="HVT256" s="2228"/>
      <c r="HVU256" s="2227"/>
      <c r="HVV256" s="2228"/>
      <c r="HVW256" s="2228"/>
      <c r="HVX256" s="2228"/>
      <c r="HVY256" s="2228"/>
      <c r="HVZ256" s="2228"/>
      <c r="HWA256" s="2228"/>
      <c r="HWB256" s="2228"/>
      <c r="HWC256" s="2228"/>
      <c r="HWD256" s="2228"/>
      <c r="HWE256" s="2228"/>
      <c r="HWF256" s="2228"/>
      <c r="HWG256" s="2228"/>
      <c r="HWH256" s="2228"/>
      <c r="HWI256" s="2228"/>
      <c r="HWJ256" s="2228"/>
      <c r="HWK256" s="2227"/>
      <c r="HWL256" s="2228"/>
      <c r="HWM256" s="2228"/>
      <c r="HWN256" s="2228"/>
      <c r="HWO256" s="2228"/>
      <c r="HWP256" s="2228"/>
      <c r="HWQ256" s="2228"/>
      <c r="HWR256" s="2228"/>
      <c r="HWS256" s="2228"/>
      <c r="HWT256" s="2228"/>
      <c r="HWU256" s="2228"/>
      <c r="HWV256" s="2228"/>
      <c r="HWW256" s="2228"/>
      <c r="HWX256" s="2228"/>
      <c r="HWY256" s="2228"/>
      <c r="HWZ256" s="2228"/>
      <c r="HXA256" s="2227"/>
      <c r="HXB256" s="2228"/>
      <c r="HXC256" s="2228"/>
      <c r="HXD256" s="2228"/>
      <c r="HXE256" s="2228"/>
      <c r="HXF256" s="2228"/>
      <c r="HXG256" s="2228"/>
      <c r="HXH256" s="2228"/>
      <c r="HXI256" s="2228"/>
      <c r="HXJ256" s="2228"/>
      <c r="HXK256" s="2228"/>
      <c r="HXL256" s="2228"/>
      <c r="HXM256" s="2228"/>
      <c r="HXN256" s="2228"/>
      <c r="HXO256" s="2228"/>
      <c r="HXP256" s="2228"/>
      <c r="HXQ256" s="2227"/>
      <c r="HXR256" s="2228"/>
      <c r="HXS256" s="2228"/>
      <c r="HXT256" s="2228"/>
      <c r="HXU256" s="2228"/>
      <c r="HXV256" s="2228"/>
      <c r="HXW256" s="2228"/>
      <c r="HXX256" s="2228"/>
      <c r="HXY256" s="2228"/>
      <c r="HXZ256" s="2228"/>
      <c r="HYA256" s="2228"/>
      <c r="HYB256" s="2228"/>
      <c r="HYC256" s="2228"/>
      <c r="HYD256" s="2228"/>
      <c r="HYE256" s="2228"/>
      <c r="HYF256" s="2228"/>
      <c r="HYG256" s="2227"/>
      <c r="HYH256" s="2228"/>
      <c r="HYI256" s="2228"/>
      <c r="HYJ256" s="2228"/>
      <c r="HYK256" s="2228"/>
      <c r="HYL256" s="2228"/>
      <c r="HYM256" s="2228"/>
      <c r="HYN256" s="2228"/>
      <c r="HYO256" s="2228"/>
      <c r="HYP256" s="2228"/>
      <c r="HYQ256" s="2228"/>
      <c r="HYR256" s="2228"/>
      <c r="HYS256" s="2228"/>
      <c r="HYT256" s="2228"/>
      <c r="HYU256" s="2228"/>
      <c r="HYV256" s="2228"/>
      <c r="HYW256" s="2227"/>
      <c r="HYX256" s="2228"/>
      <c r="HYY256" s="2228"/>
      <c r="HYZ256" s="2228"/>
      <c r="HZA256" s="2228"/>
      <c r="HZB256" s="2228"/>
      <c r="HZC256" s="2228"/>
      <c r="HZD256" s="2228"/>
      <c r="HZE256" s="2228"/>
      <c r="HZF256" s="2228"/>
      <c r="HZG256" s="2228"/>
      <c r="HZH256" s="2228"/>
      <c r="HZI256" s="2228"/>
      <c r="HZJ256" s="2228"/>
      <c r="HZK256" s="2228"/>
      <c r="HZL256" s="2228"/>
      <c r="HZM256" s="2227"/>
      <c r="HZN256" s="2228"/>
      <c r="HZO256" s="2228"/>
      <c r="HZP256" s="2228"/>
      <c r="HZQ256" s="2228"/>
      <c r="HZR256" s="2228"/>
      <c r="HZS256" s="2228"/>
      <c r="HZT256" s="2228"/>
      <c r="HZU256" s="2228"/>
      <c r="HZV256" s="2228"/>
      <c r="HZW256" s="2228"/>
      <c r="HZX256" s="2228"/>
      <c r="HZY256" s="2228"/>
      <c r="HZZ256" s="2228"/>
      <c r="IAA256" s="2228"/>
      <c r="IAB256" s="2228"/>
      <c r="IAC256" s="2227"/>
      <c r="IAD256" s="2228"/>
      <c r="IAE256" s="2228"/>
      <c r="IAF256" s="2228"/>
      <c r="IAG256" s="2228"/>
      <c r="IAH256" s="2228"/>
      <c r="IAI256" s="2228"/>
      <c r="IAJ256" s="2228"/>
      <c r="IAK256" s="2228"/>
      <c r="IAL256" s="2228"/>
      <c r="IAM256" s="2228"/>
      <c r="IAN256" s="2228"/>
      <c r="IAO256" s="2228"/>
      <c r="IAP256" s="2228"/>
      <c r="IAQ256" s="2228"/>
      <c r="IAR256" s="2228"/>
      <c r="IAS256" s="2227"/>
      <c r="IAT256" s="2228"/>
      <c r="IAU256" s="2228"/>
      <c r="IAV256" s="2228"/>
      <c r="IAW256" s="2228"/>
      <c r="IAX256" s="2228"/>
      <c r="IAY256" s="2228"/>
      <c r="IAZ256" s="2228"/>
      <c r="IBA256" s="2228"/>
      <c r="IBB256" s="2228"/>
      <c r="IBC256" s="2228"/>
      <c r="IBD256" s="2228"/>
      <c r="IBE256" s="2228"/>
      <c r="IBF256" s="2228"/>
      <c r="IBG256" s="2228"/>
      <c r="IBH256" s="2228"/>
      <c r="IBI256" s="2227"/>
      <c r="IBJ256" s="2228"/>
      <c r="IBK256" s="2228"/>
      <c r="IBL256" s="2228"/>
      <c r="IBM256" s="2228"/>
      <c r="IBN256" s="2228"/>
      <c r="IBO256" s="2228"/>
      <c r="IBP256" s="2228"/>
      <c r="IBQ256" s="2228"/>
      <c r="IBR256" s="2228"/>
      <c r="IBS256" s="2228"/>
      <c r="IBT256" s="2228"/>
      <c r="IBU256" s="2228"/>
      <c r="IBV256" s="2228"/>
      <c r="IBW256" s="2228"/>
      <c r="IBX256" s="2228"/>
      <c r="IBY256" s="2227"/>
      <c r="IBZ256" s="2228"/>
      <c r="ICA256" s="2228"/>
      <c r="ICB256" s="2228"/>
      <c r="ICC256" s="2228"/>
      <c r="ICD256" s="2228"/>
      <c r="ICE256" s="2228"/>
      <c r="ICF256" s="2228"/>
      <c r="ICG256" s="2228"/>
      <c r="ICH256" s="2228"/>
      <c r="ICI256" s="2228"/>
      <c r="ICJ256" s="2228"/>
      <c r="ICK256" s="2228"/>
      <c r="ICL256" s="2228"/>
      <c r="ICM256" s="2228"/>
      <c r="ICN256" s="2228"/>
      <c r="ICO256" s="2227"/>
      <c r="ICP256" s="2228"/>
      <c r="ICQ256" s="2228"/>
      <c r="ICR256" s="2228"/>
      <c r="ICS256" s="2228"/>
      <c r="ICT256" s="2228"/>
      <c r="ICU256" s="2228"/>
      <c r="ICV256" s="2228"/>
      <c r="ICW256" s="2228"/>
      <c r="ICX256" s="2228"/>
      <c r="ICY256" s="2228"/>
      <c r="ICZ256" s="2228"/>
      <c r="IDA256" s="2228"/>
      <c r="IDB256" s="2228"/>
      <c r="IDC256" s="2228"/>
      <c r="IDD256" s="2228"/>
      <c r="IDE256" s="2227"/>
      <c r="IDF256" s="2228"/>
      <c r="IDG256" s="2228"/>
      <c r="IDH256" s="2228"/>
      <c r="IDI256" s="2228"/>
      <c r="IDJ256" s="2228"/>
      <c r="IDK256" s="2228"/>
      <c r="IDL256" s="2228"/>
      <c r="IDM256" s="2228"/>
      <c r="IDN256" s="2228"/>
      <c r="IDO256" s="2228"/>
      <c r="IDP256" s="2228"/>
      <c r="IDQ256" s="2228"/>
      <c r="IDR256" s="2228"/>
      <c r="IDS256" s="2228"/>
      <c r="IDT256" s="2228"/>
      <c r="IDU256" s="2227"/>
      <c r="IDV256" s="2228"/>
      <c r="IDW256" s="2228"/>
      <c r="IDX256" s="2228"/>
      <c r="IDY256" s="2228"/>
      <c r="IDZ256" s="2228"/>
      <c r="IEA256" s="2228"/>
      <c r="IEB256" s="2228"/>
      <c r="IEC256" s="2228"/>
      <c r="IED256" s="2228"/>
      <c r="IEE256" s="2228"/>
      <c r="IEF256" s="2228"/>
      <c r="IEG256" s="2228"/>
      <c r="IEH256" s="2228"/>
      <c r="IEI256" s="2228"/>
      <c r="IEJ256" s="2228"/>
      <c r="IEK256" s="2227"/>
      <c r="IEL256" s="2228"/>
      <c r="IEM256" s="2228"/>
      <c r="IEN256" s="2228"/>
      <c r="IEO256" s="2228"/>
      <c r="IEP256" s="2228"/>
      <c r="IEQ256" s="2228"/>
      <c r="IER256" s="2228"/>
      <c r="IES256" s="2228"/>
      <c r="IET256" s="2228"/>
      <c r="IEU256" s="2228"/>
      <c r="IEV256" s="2228"/>
      <c r="IEW256" s="2228"/>
      <c r="IEX256" s="2228"/>
      <c r="IEY256" s="2228"/>
      <c r="IEZ256" s="2228"/>
      <c r="IFA256" s="2227"/>
      <c r="IFB256" s="2228"/>
      <c r="IFC256" s="2228"/>
      <c r="IFD256" s="2228"/>
      <c r="IFE256" s="2228"/>
      <c r="IFF256" s="2228"/>
      <c r="IFG256" s="2228"/>
      <c r="IFH256" s="2228"/>
      <c r="IFI256" s="2228"/>
      <c r="IFJ256" s="2228"/>
      <c r="IFK256" s="2228"/>
      <c r="IFL256" s="2228"/>
      <c r="IFM256" s="2228"/>
      <c r="IFN256" s="2228"/>
      <c r="IFO256" s="2228"/>
      <c r="IFP256" s="2228"/>
      <c r="IFQ256" s="2227"/>
      <c r="IFR256" s="2228"/>
      <c r="IFS256" s="2228"/>
      <c r="IFT256" s="2228"/>
      <c r="IFU256" s="2228"/>
      <c r="IFV256" s="2228"/>
      <c r="IFW256" s="2228"/>
      <c r="IFX256" s="2228"/>
      <c r="IFY256" s="2228"/>
      <c r="IFZ256" s="2228"/>
      <c r="IGA256" s="2228"/>
      <c r="IGB256" s="2228"/>
      <c r="IGC256" s="2228"/>
      <c r="IGD256" s="2228"/>
      <c r="IGE256" s="2228"/>
      <c r="IGF256" s="2228"/>
      <c r="IGG256" s="2227"/>
      <c r="IGH256" s="2228"/>
      <c r="IGI256" s="2228"/>
      <c r="IGJ256" s="2228"/>
      <c r="IGK256" s="2228"/>
      <c r="IGL256" s="2228"/>
      <c r="IGM256" s="2228"/>
      <c r="IGN256" s="2228"/>
      <c r="IGO256" s="2228"/>
      <c r="IGP256" s="2228"/>
      <c r="IGQ256" s="2228"/>
      <c r="IGR256" s="2228"/>
      <c r="IGS256" s="2228"/>
      <c r="IGT256" s="2228"/>
      <c r="IGU256" s="2228"/>
      <c r="IGV256" s="2228"/>
      <c r="IGW256" s="2227"/>
      <c r="IGX256" s="2228"/>
      <c r="IGY256" s="2228"/>
      <c r="IGZ256" s="2228"/>
      <c r="IHA256" s="2228"/>
      <c r="IHB256" s="2228"/>
      <c r="IHC256" s="2228"/>
      <c r="IHD256" s="2228"/>
      <c r="IHE256" s="2228"/>
      <c r="IHF256" s="2228"/>
      <c r="IHG256" s="2228"/>
      <c r="IHH256" s="2228"/>
      <c r="IHI256" s="2228"/>
      <c r="IHJ256" s="2228"/>
      <c r="IHK256" s="2228"/>
      <c r="IHL256" s="2228"/>
      <c r="IHM256" s="2227"/>
      <c r="IHN256" s="2228"/>
      <c r="IHO256" s="2228"/>
      <c r="IHP256" s="2228"/>
      <c r="IHQ256" s="2228"/>
      <c r="IHR256" s="2228"/>
      <c r="IHS256" s="2228"/>
      <c r="IHT256" s="2228"/>
      <c r="IHU256" s="2228"/>
      <c r="IHV256" s="2228"/>
      <c r="IHW256" s="2228"/>
      <c r="IHX256" s="2228"/>
      <c r="IHY256" s="2228"/>
      <c r="IHZ256" s="2228"/>
      <c r="IIA256" s="2228"/>
      <c r="IIB256" s="2228"/>
      <c r="IIC256" s="2227"/>
      <c r="IID256" s="2228"/>
      <c r="IIE256" s="2228"/>
      <c r="IIF256" s="2228"/>
      <c r="IIG256" s="2228"/>
      <c r="IIH256" s="2228"/>
      <c r="III256" s="2228"/>
      <c r="IIJ256" s="2228"/>
      <c r="IIK256" s="2228"/>
      <c r="IIL256" s="2228"/>
      <c r="IIM256" s="2228"/>
      <c r="IIN256" s="2228"/>
      <c r="IIO256" s="2228"/>
      <c r="IIP256" s="2228"/>
      <c r="IIQ256" s="2228"/>
      <c r="IIR256" s="2228"/>
      <c r="IIS256" s="2227"/>
      <c r="IIT256" s="2228"/>
      <c r="IIU256" s="2228"/>
      <c r="IIV256" s="2228"/>
      <c r="IIW256" s="2228"/>
      <c r="IIX256" s="2228"/>
      <c r="IIY256" s="2228"/>
      <c r="IIZ256" s="2228"/>
      <c r="IJA256" s="2228"/>
      <c r="IJB256" s="2228"/>
      <c r="IJC256" s="2228"/>
      <c r="IJD256" s="2228"/>
      <c r="IJE256" s="2228"/>
      <c r="IJF256" s="2228"/>
      <c r="IJG256" s="2228"/>
      <c r="IJH256" s="2228"/>
      <c r="IJI256" s="2227"/>
      <c r="IJJ256" s="2228"/>
      <c r="IJK256" s="2228"/>
      <c r="IJL256" s="2228"/>
      <c r="IJM256" s="2228"/>
      <c r="IJN256" s="2228"/>
      <c r="IJO256" s="2228"/>
      <c r="IJP256" s="2228"/>
      <c r="IJQ256" s="2228"/>
      <c r="IJR256" s="2228"/>
      <c r="IJS256" s="2228"/>
      <c r="IJT256" s="2228"/>
      <c r="IJU256" s="2228"/>
      <c r="IJV256" s="2228"/>
      <c r="IJW256" s="2228"/>
      <c r="IJX256" s="2228"/>
      <c r="IJY256" s="2227"/>
      <c r="IJZ256" s="2228"/>
      <c r="IKA256" s="2228"/>
      <c r="IKB256" s="2228"/>
      <c r="IKC256" s="2228"/>
      <c r="IKD256" s="2228"/>
      <c r="IKE256" s="2228"/>
      <c r="IKF256" s="2228"/>
      <c r="IKG256" s="2228"/>
      <c r="IKH256" s="2228"/>
      <c r="IKI256" s="2228"/>
      <c r="IKJ256" s="2228"/>
      <c r="IKK256" s="2228"/>
      <c r="IKL256" s="2228"/>
      <c r="IKM256" s="2228"/>
      <c r="IKN256" s="2228"/>
      <c r="IKO256" s="2227"/>
      <c r="IKP256" s="2228"/>
      <c r="IKQ256" s="2228"/>
      <c r="IKR256" s="2228"/>
      <c r="IKS256" s="2228"/>
      <c r="IKT256" s="2228"/>
      <c r="IKU256" s="2228"/>
      <c r="IKV256" s="2228"/>
      <c r="IKW256" s="2228"/>
      <c r="IKX256" s="2228"/>
      <c r="IKY256" s="2228"/>
      <c r="IKZ256" s="2228"/>
      <c r="ILA256" s="2228"/>
      <c r="ILB256" s="2228"/>
      <c r="ILC256" s="2228"/>
      <c r="ILD256" s="2228"/>
      <c r="ILE256" s="2227"/>
      <c r="ILF256" s="2228"/>
      <c r="ILG256" s="2228"/>
      <c r="ILH256" s="2228"/>
      <c r="ILI256" s="2228"/>
      <c r="ILJ256" s="2228"/>
      <c r="ILK256" s="2228"/>
      <c r="ILL256" s="2228"/>
      <c r="ILM256" s="2228"/>
      <c r="ILN256" s="2228"/>
      <c r="ILO256" s="2228"/>
      <c r="ILP256" s="2228"/>
      <c r="ILQ256" s="2228"/>
      <c r="ILR256" s="2228"/>
      <c r="ILS256" s="2228"/>
      <c r="ILT256" s="2228"/>
      <c r="ILU256" s="2227"/>
      <c r="ILV256" s="2228"/>
      <c r="ILW256" s="2228"/>
      <c r="ILX256" s="2228"/>
      <c r="ILY256" s="2228"/>
      <c r="ILZ256" s="2228"/>
      <c r="IMA256" s="2228"/>
      <c r="IMB256" s="2228"/>
      <c r="IMC256" s="2228"/>
      <c r="IMD256" s="2228"/>
      <c r="IME256" s="2228"/>
      <c r="IMF256" s="2228"/>
      <c r="IMG256" s="2228"/>
      <c r="IMH256" s="2228"/>
      <c r="IMI256" s="2228"/>
      <c r="IMJ256" s="2228"/>
      <c r="IMK256" s="2227"/>
      <c r="IML256" s="2228"/>
      <c r="IMM256" s="2228"/>
      <c r="IMN256" s="2228"/>
      <c r="IMO256" s="2228"/>
      <c r="IMP256" s="2228"/>
      <c r="IMQ256" s="2228"/>
      <c r="IMR256" s="2228"/>
      <c r="IMS256" s="2228"/>
      <c r="IMT256" s="2228"/>
      <c r="IMU256" s="2228"/>
      <c r="IMV256" s="2228"/>
      <c r="IMW256" s="2228"/>
      <c r="IMX256" s="2228"/>
      <c r="IMY256" s="2228"/>
      <c r="IMZ256" s="2228"/>
      <c r="INA256" s="2227"/>
      <c r="INB256" s="2228"/>
      <c r="INC256" s="2228"/>
      <c r="IND256" s="2228"/>
      <c r="INE256" s="2228"/>
      <c r="INF256" s="2228"/>
      <c r="ING256" s="2228"/>
      <c r="INH256" s="2228"/>
      <c r="INI256" s="2228"/>
      <c r="INJ256" s="2228"/>
      <c r="INK256" s="2228"/>
      <c r="INL256" s="2228"/>
      <c r="INM256" s="2228"/>
      <c r="INN256" s="2228"/>
      <c r="INO256" s="2228"/>
      <c r="INP256" s="2228"/>
      <c r="INQ256" s="2227"/>
      <c r="INR256" s="2228"/>
      <c r="INS256" s="2228"/>
      <c r="INT256" s="2228"/>
      <c r="INU256" s="2228"/>
      <c r="INV256" s="2228"/>
      <c r="INW256" s="2228"/>
      <c r="INX256" s="2228"/>
      <c r="INY256" s="2228"/>
      <c r="INZ256" s="2228"/>
      <c r="IOA256" s="2228"/>
      <c r="IOB256" s="2228"/>
      <c r="IOC256" s="2228"/>
      <c r="IOD256" s="2228"/>
      <c r="IOE256" s="2228"/>
      <c r="IOF256" s="2228"/>
      <c r="IOG256" s="2227"/>
      <c r="IOH256" s="2228"/>
      <c r="IOI256" s="2228"/>
      <c r="IOJ256" s="2228"/>
      <c r="IOK256" s="2228"/>
      <c r="IOL256" s="2228"/>
      <c r="IOM256" s="2228"/>
      <c r="ION256" s="2228"/>
      <c r="IOO256" s="2228"/>
      <c r="IOP256" s="2228"/>
      <c r="IOQ256" s="2228"/>
      <c r="IOR256" s="2228"/>
      <c r="IOS256" s="2228"/>
      <c r="IOT256" s="2228"/>
      <c r="IOU256" s="2228"/>
      <c r="IOV256" s="2228"/>
      <c r="IOW256" s="2227"/>
      <c r="IOX256" s="2228"/>
      <c r="IOY256" s="2228"/>
      <c r="IOZ256" s="2228"/>
      <c r="IPA256" s="2228"/>
      <c r="IPB256" s="2228"/>
      <c r="IPC256" s="2228"/>
      <c r="IPD256" s="2228"/>
      <c r="IPE256" s="2228"/>
      <c r="IPF256" s="2228"/>
      <c r="IPG256" s="2228"/>
      <c r="IPH256" s="2228"/>
      <c r="IPI256" s="2228"/>
      <c r="IPJ256" s="2228"/>
      <c r="IPK256" s="2228"/>
      <c r="IPL256" s="2228"/>
      <c r="IPM256" s="2227"/>
      <c r="IPN256" s="2228"/>
      <c r="IPO256" s="2228"/>
      <c r="IPP256" s="2228"/>
      <c r="IPQ256" s="2228"/>
      <c r="IPR256" s="2228"/>
      <c r="IPS256" s="2228"/>
      <c r="IPT256" s="2228"/>
      <c r="IPU256" s="2228"/>
      <c r="IPV256" s="2228"/>
      <c r="IPW256" s="2228"/>
      <c r="IPX256" s="2228"/>
      <c r="IPY256" s="2228"/>
      <c r="IPZ256" s="2228"/>
      <c r="IQA256" s="2228"/>
      <c r="IQB256" s="2228"/>
      <c r="IQC256" s="2227"/>
      <c r="IQD256" s="2228"/>
      <c r="IQE256" s="2228"/>
      <c r="IQF256" s="2228"/>
      <c r="IQG256" s="2228"/>
      <c r="IQH256" s="2228"/>
      <c r="IQI256" s="2228"/>
      <c r="IQJ256" s="2228"/>
      <c r="IQK256" s="2228"/>
      <c r="IQL256" s="2228"/>
      <c r="IQM256" s="2228"/>
      <c r="IQN256" s="2228"/>
      <c r="IQO256" s="2228"/>
      <c r="IQP256" s="2228"/>
      <c r="IQQ256" s="2228"/>
      <c r="IQR256" s="2228"/>
      <c r="IQS256" s="2227"/>
      <c r="IQT256" s="2228"/>
      <c r="IQU256" s="2228"/>
      <c r="IQV256" s="2228"/>
      <c r="IQW256" s="2228"/>
      <c r="IQX256" s="2228"/>
      <c r="IQY256" s="2228"/>
      <c r="IQZ256" s="2228"/>
      <c r="IRA256" s="2228"/>
      <c r="IRB256" s="2228"/>
      <c r="IRC256" s="2228"/>
      <c r="IRD256" s="2228"/>
      <c r="IRE256" s="2228"/>
      <c r="IRF256" s="2228"/>
      <c r="IRG256" s="2228"/>
      <c r="IRH256" s="2228"/>
      <c r="IRI256" s="2227"/>
      <c r="IRJ256" s="2228"/>
      <c r="IRK256" s="2228"/>
      <c r="IRL256" s="2228"/>
      <c r="IRM256" s="2228"/>
      <c r="IRN256" s="2228"/>
      <c r="IRO256" s="2228"/>
      <c r="IRP256" s="2228"/>
      <c r="IRQ256" s="2228"/>
      <c r="IRR256" s="2228"/>
      <c r="IRS256" s="2228"/>
      <c r="IRT256" s="2228"/>
      <c r="IRU256" s="2228"/>
      <c r="IRV256" s="2228"/>
      <c r="IRW256" s="2228"/>
      <c r="IRX256" s="2228"/>
      <c r="IRY256" s="2227"/>
      <c r="IRZ256" s="2228"/>
      <c r="ISA256" s="2228"/>
      <c r="ISB256" s="2228"/>
      <c r="ISC256" s="2228"/>
      <c r="ISD256" s="2228"/>
      <c r="ISE256" s="2228"/>
      <c r="ISF256" s="2228"/>
      <c r="ISG256" s="2228"/>
      <c r="ISH256" s="2228"/>
      <c r="ISI256" s="2228"/>
      <c r="ISJ256" s="2228"/>
      <c r="ISK256" s="2228"/>
      <c r="ISL256" s="2228"/>
      <c r="ISM256" s="2228"/>
      <c r="ISN256" s="2228"/>
      <c r="ISO256" s="2227"/>
      <c r="ISP256" s="2228"/>
      <c r="ISQ256" s="2228"/>
      <c r="ISR256" s="2228"/>
      <c r="ISS256" s="2228"/>
      <c r="IST256" s="2228"/>
      <c r="ISU256" s="2228"/>
      <c r="ISV256" s="2228"/>
      <c r="ISW256" s="2228"/>
      <c r="ISX256" s="2228"/>
      <c r="ISY256" s="2228"/>
      <c r="ISZ256" s="2228"/>
      <c r="ITA256" s="2228"/>
      <c r="ITB256" s="2228"/>
      <c r="ITC256" s="2228"/>
      <c r="ITD256" s="2228"/>
      <c r="ITE256" s="2227"/>
      <c r="ITF256" s="2228"/>
      <c r="ITG256" s="2228"/>
      <c r="ITH256" s="2228"/>
      <c r="ITI256" s="2228"/>
      <c r="ITJ256" s="2228"/>
      <c r="ITK256" s="2228"/>
      <c r="ITL256" s="2228"/>
      <c r="ITM256" s="2228"/>
      <c r="ITN256" s="2228"/>
      <c r="ITO256" s="2228"/>
      <c r="ITP256" s="2228"/>
      <c r="ITQ256" s="2228"/>
      <c r="ITR256" s="2228"/>
      <c r="ITS256" s="2228"/>
      <c r="ITT256" s="2228"/>
      <c r="ITU256" s="2227"/>
      <c r="ITV256" s="2228"/>
      <c r="ITW256" s="2228"/>
      <c r="ITX256" s="2228"/>
      <c r="ITY256" s="2228"/>
      <c r="ITZ256" s="2228"/>
      <c r="IUA256" s="2228"/>
      <c r="IUB256" s="2228"/>
      <c r="IUC256" s="2228"/>
      <c r="IUD256" s="2228"/>
      <c r="IUE256" s="2228"/>
      <c r="IUF256" s="2228"/>
      <c r="IUG256" s="2228"/>
      <c r="IUH256" s="2228"/>
      <c r="IUI256" s="2228"/>
      <c r="IUJ256" s="2228"/>
      <c r="IUK256" s="2227"/>
      <c r="IUL256" s="2228"/>
      <c r="IUM256" s="2228"/>
      <c r="IUN256" s="2228"/>
      <c r="IUO256" s="2228"/>
      <c r="IUP256" s="2228"/>
      <c r="IUQ256" s="2228"/>
      <c r="IUR256" s="2228"/>
      <c r="IUS256" s="2228"/>
      <c r="IUT256" s="2228"/>
      <c r="IUU256" s="2228"/>
      <c r="IUV256" s="2228"/>
      <c r="IUW256" s="2228"/>
      <c r="IUX256" s="2228"/>
      <c r="IUY256" s="2228"/>
      <c r="IUZ256" s="2228"/>
      <c r="IVA256" s="2227"/>
      <c r="IVB256" s="2228"/>
      <c r="IVC256" s="2228"/>
      <c r="IVD256" s="2228"/>
      <c r="IVE256" s="2228"/>
      <c r="IVF256" s="2228"/>
      <c r="IVG256" s="2228"/>
      <c r="IVH256" s="2228"/>
      <c r="IVI256" s="2228"/>
      <c r="IVJ256" s="2228"/>
      <c r="IVK256" s="2228"/>
      <c r="IVL256" s="2228"/>
      <c r="IVM256" s="2228"/>
      <c r="IVN256" s="2228"/>
      <c r="IVO256" s="2228"/>
      <c r="IVP256" s="2228"/>
      <c r="IVQ256" s="2227"/>
      <c r="IVR256" s="2228"/>
      <c r="IVS256" s="2228"/>
      <c r="IVT256" s="2228"/>
      <c r="IVU256" s="2228"/>
      <c r="IVV256" s="2228"/>
      <c r="IVW256" s="2228"/>
      <c r="IVX256" s="2228"/>
      <c r="IVY256" s="2228"/>
      <c r="IVZ256" s="2228"/>
      <c r="IWA256" s="2228"/>
      <c r="IWB256" s="2228"/>
      <c r="IWC256" s="2228"/>
      <c r="IWD256" s="2228"/>
      <c r="IWE256" s="2228"/>
      <c r="IWF256" s="2228"/>
      <c r="IWG256" s="2227"/>
      <c r="IWH256" s="2228"/>
      <c r="IWI256" s="2228"/>
      <c r="IWJ256" s="2228"/>
      <c r="IWK256" s="2228"/>
      <c r="IWL256" s="2228"/>
      <c r="IWM256" s="2228"/>
      <c r="IWN256" s="2228"/>
      <c r="IWO256" s="2228"/>
      <c r="IWP256" s="2228"/>
      <c r="IWQ256" s="2228"/>
      <c r="IWR256" s="2228"/>
      <c r="IWS256" s="2228"/>
      <c r="IWT256" s="2228"/>
      <c r="IWU256" s="2228"/>
      <c r="IWV256" s="2228"/>
      <c r="IWW256" s="2227"/>
      <c r="IWX256" s="2228"/>
      <c r="IWY256" s="2228"/>
      <c r="IWZ256" s="2228"/>
      <c r="IXA256" s="2228"/>
      <c r="IXB256" s="2228"/>
      <c r="IXC256" s="2228"/>
      <c r="IXD256" s="2228"/>
      <c r="IXE256" s="2228"/>
      <c r="IXF256" s="2228"/>
      <c r="IXG256" s="2228"/>
      <c r="IXH256" s="2228"/>
      <c r="IXI256" s="2228"/>
      <c r="IXJ256" s="2228"/>
      <c r="IXK256" s="2228"/>
      <c r="IXL256" s="2228"/>
      <c r="IXM256" s="2227"/>
      <c r="IXN256" s="2228"/>
      <c r="IXO256" s="2228"/>
      <c r="IXP256" s="2228"/>
      <c r="IXQ256" s="2228"/>
      <c r="IXR256" s="2228"/>
      <c r="IXS256" s="2228"/>
      <c r="IXT256" s="2228"/>
      <c r="IXU256" s="2228"/>
      <c r="IXV256" s="2228"/>
      <c r="IXW256" s="2228"/>
      <c r="IXX256" s="2228"/>
      <c r="IXY256" s="2228"/>
      <c r="IXZ256" s="2228"/>
      <c r="IYA256" s="2228"/>
      <c r="IYB256" s="2228"/>
      <c r="IYC256" s="2227"/>
      <c r="IYD256" s="2228"/>
      <c r="IYE256" s="2228"/>
      <c r="IYF256" s="2228"/>
      <c r="IYG256" s="2228"/>
      <c r="IYH256" s="2228"/>
      <c r="IYI256" s="2228"/>
      <c r="IYJ256" s="2228"/>
      <c r="IYK256" s="2228"/>
      <c r="IYL256" s="2228"/>
      <c r="IYM256" s="2228"/>
      <c r="IYN256" s="2228"/>
      <c r="IYO256" s="2228"/>
      <c r="IYP256" s="2228"/>
      <c r="IYQ256" s="2228"/>
      <c r="IYR256" s="2228"/>
      <c r="IYS256" s="2227"/>
      <c r="IYT256" s="2228"/>
      <c r="IYU256" s="2228"/>
      <c r="IYV256" s="2228"/>
      <c r="IYW256" s="2228"/>
      <c r="IYX256" s="2228"/>
      <c r="IYY256" s="2228"/>
      <c r="IYZ256" s="2228"/>
      <c r="IZA256" s="2228"/>
      <c r="IZB256" s="2228"/>
      <c r="IZC256" s="2228"/>
      <c r="IZD256" s="2228"/>
      <c r="IZE256" s="2228"/>
      <c r="IZF256" s="2228"/>
      <c r="IZG256" s="2228"/>
      <c r="IZH256" s="2228"/>
      <c r="IZI256" s="2227"/>
      <c r="IZJ256" s="2228"/>
      <c r="IZK256" s="2228"/>
      <c r="IZL256" s="2228"/>
      <c r="IZM256" s="2228"/>
      <c r="IZN256" s="2228"/>
      <c r="IZO256" s="2228"/>
      <c r="IZP256" s="2228"/>
      <c r="IZQ256" s="2228"/>
      <c r="IZR256" s="2228"/>
      <c r="IZS256" s="2228"/>
      <c r="IZT256" s="2228"/>
      <c r="IZU256" s="2228"/>
      <c r="IZV256" s="2228"/>
      <c r="IZW256" s="2228"/>
      <c r="IZX256" s="2228"/>
      <c r="IZY256" s="2227"/>
      <c r="IZZ256" s="2228"/>
      <c r="JAA256" s="2228"/>
      <c r="JAB256" s="2228"/>
      <c r="JAC256" s="2228"/>
      <c r="JAD256" s="2228"/>
      <c r="JAE256" s="2228"/>
      <c r="JAF256" s="2228"/>
      <c r="JAG256" s="2228"/>
      <c r="JAH256" s="2228"/>
      <c r="JAI256" s="2228"/>
      <c r="JAJ256" s="2228"/>
      <c r="JAK256" s="2228"/>
      <c r="JAL256" s="2228"/>
      <c r="JAM256" s="2228"/>
      <c r="JAN256" s="2228"/>
      <c r="JAO256" s="2227"/>
      <c r="JAP256" s="2228"/>
      <c r="JAQ256" s="2228"/>
      <c r="JAR256" s="2228"/>
      <c r="JAS256" s="2228"/>
      <c r="JAT256" s="2228"/>
      <c r="JAU256" s="2228"/>
      <c r="JAV256" s="2228"/>
      <c r="JAW256" s="2228"/>
      <c r="JAX256" s="2228"/>
      <c r="JAY256" s="2228"/>
      <c r="JAZ256" s="2228"/>
      <c r="JBA256" s="2228"/>
      <c r="JBB256" s="2228"/>
      <c r="JBC256" s="2228"/>
      <c r="JBD256" s="2228"/>
      <c r="JBE256" s="2227"/>
      <c r="JBF256" s="2228"/>
      <c r="JBG256" s="2228"/>
      <c r="JBH256" s="2228"/>
      <c r="JBI256" s="2228"/>
      <c r="JBJ256" s="2228"/>
      <c r="JBK256" s="2228"/>
      <c r="JBL256" s="2228"/>
      <c r="JBM256" s="2228"/>
      <c r="JBN256" s="2228"/>
      <c r="JBO256" s="2228"/>
      <c r="JBP256" s="2228"/>
      <c r="JBQ256" s="2228"/>
      <c r="JBR256" s="2228"/>
      <c r="JBS256" s="2228"/>
      <c r="JBT256" s="2228"/>
      <c r="JBU256" s="2227"/>
      <c r="JBV256" s="2228"/>
      <c r="JBW256" s="2228"/>
      <c r="JBX256" s="2228"/>
      <c r="JBY256" s="2228"/>
      <c r="JBZ256" s="2228"/>
      <c r="JCA256" s="2228"/>
      <c r="JCB256" s="2228"/>
      <c r="JCC256" s="2228"/>
      <c r="JCD256" s="2228"/>
      <c r="JCE256" s="2228"/>
      <c r="JCF256" s="2228"/>
      <c r="JCG256" s="2228"/>
      <c r="JCH256" s="2228"/>
      <c r="JCI256" s="2228"/>
      <c r="JCJ256" s="2228"/>
      <c r="JCK256" s="2227"/>
      <c r="JCL256" s="2228"/>
      <c r="JCM256" s="2228"/>
      <c r="JCN256" s="2228"/>
      <c r="JCO256" s="2228"/>
      <c r="JCP256" s="2228"/>
      <c r="JCQ256" s="2228"/>
      <c r="JCR256" s="2228"/>
      <c r="JCS256" s="2228"/>
      <c r="JCT256" s="2228"/>
      <c r="JCU256" s="2228"/>
      <c r="JCV256" s="2228"/>
      <c r="JCW256" s="2228"/>
      <c r="JCX256" s="2228"/>
      <c r="JCY256" s="2228"/>
      <c r="JCZ256" s="2228"/>
      <c r="JDA256" s="2227"/>
      <c r="JDB256" s="2228"/>
      <c r="JDC256" s="2228"/>
      <c r="JDD256" s="2228"/>
      <c r="JDE256" s="2228"/>
      <c r="JDF256" s="2228"/>
      <c r="JDG256" s="2228"/>
      <c r="JDH256" s="2228"/>
      <c r="JDI256" s="2228"/>
      <c r="JDJ256" s="2228"/>
      <c r="JDK256" s="2228"/>
      <c r="JDL256" s="2228"/>
      <c r="JDM256" s="2228"/>
      <c r="JDN256" s="2228"/>
      <c r="JDO256" s="2228"/>
      <c r="JDP256" s="2228"/>
      <c r="JDQ256" s="2227"/>
      <c r="JDR256" s="2228"/>
      <c r="JDS256" s="2228"/>
      <c r="JDT256" s="2228"/>
      <c r="JDU256" s="2228"/>
      <c r="JDV256" s="2228"/>
      <c r="JDW256" s="2228"/>
      <c r="JDX256" s="2228"/>
      <c r="JDY256" s="2228"/>
      <c r="JDZ256" s="2228"/>
      <c r="JEA256" s="2228"/>
      <c r="JEB256" s="2228"/>
      <c r="JEC256" s="2228"/>
      <c r="JED256" s="2228"/>
      <c r="JEE256" s="2228"/>
      <c r="JEF256" s="2228"/>
      <c r="JEG256" s="2227"/>
      <c r="JEH256" s="2228"/>
      <c r="JEI256" s="2228"/>
      <c r="JEJ256" s="2228"/>
      <c r="JEK256" s="2228"/>
      <c r="JEL256" s="2228"/>
      <c r="JEM256" s="2228"/>
      <c r="JEN256" s="2228"/>
      <c r="JEO256" s="2228"/>
      <c r="JEP256" s="2228"/>
      <c r="JEQ256" s="2228"/>
      <c r="JER256" s="2228"/>
      <c r="JES256" s="2228"/>
      <c r="JET256" s="2228"/>
      <c r="JEU256" s="2228"/>
      <c r="JEV256" s="2228"/>
      <c r="JEW256" s="2227"/>
      <c r="JEX256" s="2228"/>
      <c r="JEY256" s="2228"/>
      <c r="JEZ256" s="2228"/>
      <c r="JFA256" s="2228"/>
      <c r="JFB256" s="2228"/>
      <c r="JFC256" s="2228"/>
      <c r="JFD256" s="2228"/>
      <c r="JFE256" s="2228"/>
      <c r="JFF256" s="2228"/>
      <c r="JFG256" s="2228"/>
      <c r="JFH256" s="2228"/>
      <c r="JFI256" s="2228"/>
      <c r="JFJ256" s="2228"/>
      <c r="JFK256" s="2228"/>
      <c r="JFL256" s="2228"/>
      <c r="JFM256" s="2227"/>
      <c r="JFN256" s="2228"/>
      <c r="JFO256" s="2228"/>
      <c r="JFP256" s="2228"/>
      <c r="JFQ256" s="2228"/>
      <c r="JFR256" s="2228"/>
      <c r="JFS256" s="2228"/>
      <c r="JFT256" s="2228"/>
      <c r="JFU256" s="2228"/>
      <c r="JFV256" s="2228"/>
      <c r="JFW256" s="2228"/>
      <c r="JFX256" s="2228"/>
      <c r="JFY256" s="2228"/>
      <c r="JFZ256" s="2228"/>
      <c r="JGA256" s="2228"/>
      <c r="JGB256" s="2228"/>
      <c r="JGC256" s="2227"/>
      <c r="JGD256" s="2228"/>
      <c r="JGE256" s="2228"/>
      <c r="JGF256" s="2228"/>
      <c r="JGG256" s="2228"/>
      <c r="JGH256" s="2228"/>
      <c r="JGI256" s="2228"/>
      <c r="JGJ256" s="2228"/>
      <c r="JGK256" s="2228"/>
      <c r="JGL256" s="2228"/>
      <c r="JGM256" s="2228"/>
      <c r="JGN256" s="2228"/>
      <c r="JGO256" s="2228"/>
      <c r="JGP256" s="2228"/>
      <c r="JGQ256" s="2228"/>
      <c r="JGR256" s="2228"/>
      <c r="JGS256" s="2227"/>
      <c r="JGT256" s="2228"/>
      <c r="JGU256" s="2228"/>
      <c r="JGV256" s="2228"/>
      <c r="JGW256" s="2228"/>
      <c r="JGX256" s="2228"/>
      <c r="JGY256" s="2228"/>
      <c r="JGZ256" s="2228"/>
      <c r="JHA256" s="2228"/>
      <c r="JHB256" s="2228"/>
      <c r="JHC256" s="2228"/>
      <c r="JHD256" s="2228"/>
      <c r="JHE256" s="2228"/>
      <c r="JHF256" s="2228"/>
      <c r="JHG256" s="2228"/>
      <c r="JHH256" s="2228"/>
      <c r="JHI256" s="2227"/>
      <c r="JHJ256" s="2228"/>
      <c r="JHK256" s="2228"/>
      <c r="JHL256" s="2228"/>
      <c r="JHM256" s="2228"/>
      <c r="JHN256" s="2228"/>
      <c r="JHO256" s="2228"/>
      <c r="JHP256" s="2228"/>
      <c r="JHQ256" s="2228"/>
      <c r="JHR256" s="2228"/>
      <c r="JHS256" s="2228"/>
      <c r="JHT256" s="2228"/>
      <c r="JHU256" s="2228"/>
      <c r="JHV256" s="2228"/>
      <c r="JHW256" s="2228"/>
      <c r="JHX256" s="2228"/>
      <c r="JHY256" s="2227"/>
      <c r="JHZ256" s="2228"/>
      <c r="JIA256" s="2228"/>
      <c r="JIB256" s="2228"/>
      <c r="JIC256" s="2228"/>
      <c r="JID256" s="2228"/>
      <c r="JIE256" s="2228"/>
      <c r="JIF256" s="2228"/>
      <c r="JIG256" s="2228"/>
      <c r="JIH256" s="2228"/>
      <c r="JII256" s="2228"/>
      <c r="JIJ256" s="2228"/>
      <c r="JIK256" s="2228"/>
      <c r="JIL256" s="2228"/>
      <c r="JIM256" s="2228"/>
      <c r="JIN256" s="2228"/>
      <c r="JIO256" s="2227"/>
      <c r="JIP256" s="2228"/>
      <c r="JIQ256" s="2228"/>
      <c r="JIR256" s="2228"/>
      <c r="JIS256" s="2228"/>
      <c r="JIT256" s="2228"/>
      <c r="JIU256" s="2228"/>
      <c r="JIV256" s="2228"/>
      <c r="JIW256" s="2228"/>
      <c r="JIX256" s="2228"/>
      <c r="JIY256" s="2228"/>
      <c r="JIZ256" s="2228"/>
      <c r="JJA256" s="2228"/>
      <c r="JJB256" s="2228"/>
      <c r="JJC256" s="2228"/>
      <c r="JJD256" s="2228"/>
      <c r="JJE256" s="2227"/>
      <c r="JJF256" s="2228"/>
      <c r="JJG256" s="2228"/>
      <c r="JJH256" s="2228"/>
      <c r="JJI256" s="2228"/>
      <c r="JJJ256" s="2228"/>
      <c r="JJK256" s="2228"/>
      <c r="JJL256" s="2228"/>
      <c r="JJM256" s="2228"/>
      <c r="JJN256" s="2228"/>
      <c r="JJO256" s="2228"/>
      <c r="JJP256" s="2228"/>
      <c r="JJQ256" s="2228"/>
      <c r="JJR256" s="2228"/>
      <c r="JJS256" s="2228"/>
      <c r="JJT256" s="2228"/>
      <c r="JJU256" s="2227"/>
      <c r="JJV256" s="2228"/>
      <c r="JJW256" s="2228"/>
      <c r="JJX256" s="2228"/>
      <c r="JJY256" s="2228"/>
      <c r="JJZ256" s="2228"/>
      <c r="JKA256" s="2228"/>
      <c r="JKB256" s="2228"/>
      <c r="JKC256" s="2228"/>
      <c r="JKD256" s="2228"/>
      <c r="JKE256" s="2228"/>
      <c r="JKF256" s="2228"/>
      <c r="JKG256" s="2228"/>
      <c r="JKH256" s="2228"/>
      <c r="JKI256" s="2228"/>
      <c r="JKJ256" s="2228"/>
      <c r="JKK256" s="2227"/>
      <c r="JKL256" s="2228"/>
      <c r="JKM256" s="2228"/>
      <c r="JKN256" s="2228"/>
      <c r="JKO256" s="2228"/>
      <c r="JKP256" s="2228"/>
      <c r="JKQ256" s="2228"/>
      <c r="JKR256" s="2228"/>
      <c r="JKS256" s="2228"/>
      <c r="JKT256" s="2228"/>
      <c r="JKU256" s="2228"/>
      <c r="JKV256" s="2228"/>
      <c r="JKW256" s="2228"/>
      <c r="JKX256" s="2228"/>
      <c r="JKY256" s="2228"/>
      <c r="JKZ256" s="2228"/>
      <c r="JLA256" s="2227"/>
      <c r="JLB256" s="2228"/>
      <c r="JLC256" s="2228"/>
      <c r="JLD256" s="2228"/>
      <c r="JLE256" s="2228"/>
      <c r="JLF256" s="2228"/>
      <c r="JLG256" s="2228"/>
      <c r="JLH256" s="2228"/>
      <c r="JLI256" s="2228"/>
      <c r="JLJ256" s="2228"/>
      <c r="JLK256" s="2228"/>
      <c r="JLL256" s="2228"/>
      <c r="JLM256" s="2228"/>
      <c r="JLN256" s="2228"/>
      <c r="JLO256" s="2228"/>
      <c r="JLP256" s="2228"/>
      <c r="JLQ256" s="2227"/>
      <c r="JLR256" s="2228"/>
      <c r="JLS256" s="2228"/>
      <c r="JLT256" s="2228"/>
      <c r="JLU256" s="2228"/>
      <c r="JLV256" s="2228"/>
      <c r="JLW256" s="2228"/>
      <c r="JLX256" s="2228"/>
      <c r="JLY256" s="2228"/>
      <c r="JLZ256" s="2228"/>
      <c r="JMA256" s="2228"/>
      <c r="JMB256" s="2228"/>
      <c r="JMC256" s="2228"/>
      <c r="JMD256" s="2228"/>
      <c r="JME256" s="2228"/>
      <c r="JMF256" s="2228"/>
      <c r="JMG256" s="2227"/>
      <c r="JMH256" s="2228"/>
      <c r="JMI256" s="2228"/>
      <c r="JMJ256" s="2228"/>
      <c r="JMK256" s="2228"/>
      <c r="JML256" s="2228"/>
      <c r="JMM256" s="2228"/>
      <c r="JMN256" s="2228"/>
      <c r="JMO256" s="2228"/>
      <c r="JMP256" s="2228"/>
      <c r="JMQ256" s="2228"/>
      <c r="JMR256" s="2228"/>
      <c r="JMS256" s="2228"/>
      <c r="JMT256" s="2228"/>
      <c r="JMU256" s="2228"/>
      <c r="JMV256" s="2228"/>
      <c r="JMW256" s="2227"/>
      <c r="JMX256" s="2228"/>
      <c r="JMY256" s="2228"/>
      <c r="JMZ256" s="2228"/>
      <c r="JNA256" s="2228"/>
      <c r="JNB256" s="2228"/>
      <c r="JNC256" s="2228"/>
      <c r="JND256" s="2228"/>
      <c r="JNE256" s="2228"/>
      <c r="JNF256" s="2228"/>
      <c r="JNG256" s="2228"/>
      <c r="JNH256" s="2228"/>
      <c r="JNI256" s="2228"/>
      <c r="JNJ256" s="2228"/>
      <c r="JNK256" s="2228"/>
      <c r="JNL256" s="2228"/>
      <c r="JNM256" s="2227"/>
      <c r="JNN256" s="2228"/>
      <c r="JNO256" s="2228"/>
      <c r="JNP256" s="2228"/>
      <c r="JNQ256" s="2228"/>
      <c r="JNR256" s="2228"/>
      <c r="JNS256" s="2228"/>
      <c r="JNT256" s="2228"/>
      <c r="JNU256" s="2228"/>
      <c r="JNV256" s="2228"/>
      <c r="JNW256" s="2228"/>
      <c r="JNX256" s="2228"/>
      <c r="JNY256" s="2228"/>
      <c r="JNZ256" s="2228"/>
      <c r="JOA256" s="2228"/>
      <c r="JOB256" s="2228"/>
      <c r="JOC256" s="2227"/>
      <c r="JOD256" s="2228"/>
      <c r="JOE256" s="2228"/>
      <c r="JOF256" s="2228"/>
      <c r="JOG256" s="2228"/>
      <c r="JOH256" s="2228"/>
      <c r="JOI256" s="2228"/>
      <c r="JOJ256" s="2228"/>
      <c r="JOK256" s="2228"/>
      <c r="JOL256" s="2228"/>
      <c r="JOM256" s="2228"/>
      <c r="JON256" s="2228"/>
      <c r="JOO256" s="2228"/>
      <c r="JOP256" s="2228"/>
      <c r="JOQ256" s="2228"/>
      <c r="JOR256" s="2228"/>
      <c r="JOS256" s="2227"/>
      <c r="JOT256" s="2228"/>
      <c r="JOU256" s="2228"/>
      <c r="JOV256" s="2228"/>
      <c r="JOW256" s="2228"/>
      <c r="JOX256" s="2228"/>
      <c r="JOY256" s="2228"/>
      <c r="JOZ256" s="2228"/>
      <c r="JPA256" s="2228"/>
      <c r="JPB256" s="2228"/>
      <c r="JPC256" s="2228"/>
      <c r="JPD256" s="2228"/>
      <c r="JPE256" s="2228"/>
      <c r="JPF256" s="2228"/>
      <c r="JPG256" s="2228"/>
      <c r="JPH256" s="2228"/>
      <c r="JPI256" s="2227"/>
      <c r="JPJ256" s="2228"/>
      <c r="JPK256" s="2228"/>
      <c r="JPL256" s="2228"/>
      <c r="JPM256" s="2228"/>
      <c r="JPN256" s="2228"/>
      <c r="JPO256" s="2228"/>
      <c r="JPP256" s="2228"/>
      <c r="JPQ256" s="2228"/>
      <c r="JPR256" s="2228"/>
      <c r="JPS256" s="2228"/>
      <c r="JPT256" s="2228"/>
      <c r="JPU256" s="2228"/>
      <c r="JPV256" s="2228"/>
      <c r="JPW256" s="2228"/>
      <c r="JPX256" s="2228"/>
      <c r="JPY256" s="2227"/>
      <c r="JPZ256" s="2228"/>
      <c r="JQA256" s="2228"/>
      <c r="JQB256" s="2228"/>
      <c r="JQC256" s="2228"/>
      <c r="JQD256" s="2228"/>
      <c r="JQE256" s="2228"/>
      <c r="JQF256" s="2228"/>
      <c r="JQG256" s="2228"/>
      <c r="JQH256" s="2228"/>
      <c r="JQI256" s="2228"/>
      <c r="JQJ256" s="2228"/>
      <c r="JQK256" s="2228"/>
      <c r="JQL256" s="2228"/>
      <c r="JQM256" s="2228"/>
      <c r="JQN256" s="2228"/>
      <c r="JQO256" s="2227"/>
      <c r="JQP256" s="2228"/>
      <c r="JQQ256" s="2228"/>
      <c r="JQR256" s="2228"/>
      <c r="JQS256" s="2228"/>
      <c r="JQT256" s="2228"/>
      <c r="JQU256" s="2228"/>
      <c r="JQV256" s="2228"/>
      <c r="JQW256" s="2228"/>
      <c r="JQX256" s="2228"/>
      <c r="JQY256" s="2228"/>
      <c r="JQZ256" s="2228"/>
      <c r="JRA256" s="2228"/>
      <c r="JRB256" s="2228"/>
      <c r="JRC256" s="2228"/>
      <c r="JRD256" s="2228"/>
      <c r="JRE256" s="2227"/>
      <c r="JRF256" s="2228"/>
      <c r="JRG256" s="2228"/>
      <c r="JRH256" s="2228"/>
      <c r="JRI256" s="2228"/>
      <c r="JRJ256" s="2228"/>
      <c r="JRK256" s="2228"/>
      <c r="JRL256" s="2228"/>
      <c r="JRM256" s="2228"/>
      <c r="JRN256" s="2228"/>
      <c r="JRO256" s="2228"/>
      <c r="JRP256" s="2228"/>
      <c r="JRQ256" s="2228"/>
      <c r="JRR256" s="2228"/>
      <c r="JRS256" s="2228"/>
      <c r="JRT256" s="2228"/>
      <c r="JRU256" s="2227"/>
      <c r="JRV256" s="2228"/>
      <c r="JRW256" s="2228"/>
      <c r="JRX256" s="2228"/>
      <c r="JRY256" s="2228"/>
      <c r="JRZ256" s="2228"/>
      <c r="JSA256" s="2228"/>
      <c r="JSB256" s="2228"/>
      <c r="JSC256" s="2228"/>
      <c r="JSD256" s="2228"/>
      <c r="JSE256" s="2228"/>
      <c r="JSF256" s="2228"/>
      <c r="JSG256" s="2228"/>
      <c r="JSH256" s="2228"/>
      <c r="JSI256" s="2228"/>
      <c r="JSJ256" s="2228"/>
      <c r="JSK256" s="2227"/>
      <c r="JSL256" s="2228"/>
      <c r="JSM256" s="2228"/>
      <c r="JSN256" s="2228"/>
      <c r="JSO256" s="2228"/>
      <c r="JSP256" s="2228"/>
      <c r="JSQ256" s="2228"/>
      <c r="JSR256" s="2228"/>
      <c r="JSS256" s="2228"/>
      <c r="JST256" s="2228"/>
      <c r="JSU256" s="2228"/>
      <c r="JSV256" s="2228"/>
      <c r="JSW256" s="2228"/>
      <c r="JSX256" s="2228"/>
      <c r="JSY256" s="2228"/>
      <c r="JSZ256" s="2228"/>
      <c r="JTA256" s="2227"/>
      <c r="JTB256" s="2228"/>
      <c r="JTC256" s="2228"/>
      <c r="JTD256" s="2228"/>
      <c r="JTE256" s="2228"/>
      <c r="JTF256" s="2228"/>
      <c r="JTG256" s="2228"/>
      <c r="JTH256" s="2228"/>
      <c r="JTI256" s="2228"/>
      <c r="JTJ256" s="2228"/>
      <c r="JTK256" s="2228"/>
      <c r="JTL256" s="2228"/>
      <c r="JTM256" s="2228"/>
      <c r="JTN256" s="2228"/>
      <c r="JTO256" s="2228"/>
      <c r="JTP256" s="2228"/>
      <c r="JTQ256" s="2227"/>
      <c r="JTR256" s="2228"/>
      <c r="JTS256" s="2228"/>
      <c r="JTT256" s="2228"/>
      <c r="JTU256" s="2228"/>
      <c r="JTV256" s="2228"/>
      <c r="JTW256" s="2228"/>
      <c r="JTX256" s="2228"/>
      <c r="JTY256" s="2228"/>
      <c r="JTZ256" s="2228"/>
      <c r="JUA256" s="2228"/>
      <c r="JUB256" s="2228"/>
      <c r="JUC256" s="2228"/>
      <c r="JUD256" s="2228"/>
      <c r="JUE256" s="2228"/>
      <c r="JUF256" s="2228"/>
      <c r="JUG256" s="2227"/>
      <c r="JUH256" s="2228"/>
      <c r="JUI256" s="2228"/>
      <c r="JUJ256" s="2228"/>
      <c r="JUK256" s="2228"/>
      <c r="JUL256" s="2228"/>
      <c r="JUM256" s="2228"/>
      <c r="JUN256" s="2228"/>
      <c r="JUO256" s="2228"/>
      <c r="JUP256" s="2228"/>
      <c r="JUQ256" s="2228"/>
      <c r="JUR256" s="2228"/>
      <c r="JUS256" s="2228"/>
      <c r="JUT256" s="2228"/>
      <c r="JUU256" s="2228"/>
      <c r="JUV256" s="2228"/>
      <c r="JUW256" s="2227"/>
      <c r="JUX256" s="2228"/>
      <c r="JUY256" s="2228"/>
      <c r="JUZ256" s="2228"/>
      <c r="JVA256" s="2228"/>
      <c r="JVB256" s="2228"/>
      <c r="JVC256" s="2228"/>
      <c r="JVD256" s="2228"/>
      <c r="JVE256" s="2228"/>
      <c r="JVF256" s="2228"/>
      <c r="JVG256" s="2228"/>
      <c r="JVH256" s="2228"/>
      <c r="JVI256" s="2228"/>
      <c r="JVJ256" s="2228"/>
      <c r="JVK256" s="2228"/>
      <c r="JVL256" s="2228"/>
      <c r="JVM256" s="2227"/>
      <c r="JVN256" s="2228"/>
      <c r="JVO256" s="2228"/>
      <c r="JVP256" s="2228"/>
      <c r="JVQ256" s="2228"/>
      <c r="JVR256" s="2228"/>
      <c r="JVS256" s="2228"/>
      <c r="JVT256" s="2228"/>
      <c r="JVU256" s="2228"/>
      <c r="JVV256" s="2228"/>
      <c r="JVW256" s="2228"/>
      <c r="JVX256" s="2228"/>
      <c r="JVY256" s="2228"/>
      <c r="JVZ256" s="2228"/>
      <c r="JWA256" s="2228"/>
      <c r="JWB256" s="2228"/>
      <c r="JWC256" s="2227"/>
      <c r="JWD256" s="2228"/>
      <c r="JWE256" s="2228"/>
      <c r="JWF256" s="2228"/>
      <c r="JWG256" s="2228"/>
      <c r="JWH256" s="2228"/>
      <c r="JWI256" s="2228"/>
      <c r="JWJ256" s="2228"/>
      <c r="JWK256" s="2228"/>
      <c r="JWL256" s="2228"/>
      <c r="JWM256" s="2228"/>
      <c r="JWN256" s="2228"/>
      <c r="JWO256" s="2228"/>
      <c r="JWP256" s="2228"/>
      <c r="JWQ256" s="2228"/>
      <c r="JWR256" s="2228"/>
      <c r="JWS256" s="2227"/>
      <c r="JWT256" s="2228"/>
      <c r="JWU256" s="2228"/>
      <c r="JWV256" s="2228"/>
      <c r="JWW256" s="2228"/>
      <c r="JWX256" s="2228"/>
      <c r="JWY256" s="2228"/>
      <c r="JWZ256" s="2228"/>
      <c r="JXA256" s="2228"/>
      <c r="JXB256" s="2228"/>
      <c r="JXC256" s="2228"/>
      <c r="JXD256" s="2228"/>
      <c r="JXE256" s="2228"/>
      <c r="JXF256" s="2228"/>
      <c r="JXG256" s="2228"/>
      <c r="JXH256" s="2228"/>
      <c r="JXI256" s="2227"/>
      <c r="JXJ256" s="2228"/>
      <c r="JXK256" s="2228"/>
      <c r="JXL256" s="2228"/>
      <c r="JXM256" s="2228"/>
      <c r="JXN256" s="2228"/>
      <c r="JXO256" s="2228"/>
      <c r="JXP256" s="2228"/>
      <c r="JXQ256" s="2228"/>
      <c r="JXR256" s="2228"/>
      <c r="JXS256" s="2228"/>
      <c r="JXT256" s="2228"/>
      <c r="JXU256" s="2228"/>
      <c r="JXV256" s="2228"/>
      <c r="JXW256" s="2228"/>
      <c r="JXX256" s="2228"/>
      <c r="JXY256" s="2227"/>
      <c r="JXZ256" s="2228"/>
      <c r="JYA256" s="2228"/>
      <c r="JYB256" s="2228"/>
      <c r="JYC256" s="2228"/>
      <c r="JYD256" s="2228"/>
      <c r="JYE256" s="2228"/>
      <c r="JYF256" s="2228"/>
      <c r="JYG256" s="2228"/>
      <c r="JYH256" s="2228"/>
      <c r="JYI256" s="2228"/>
      <c r="JYJ256" s="2228"/>
      <c r="JYK256" s="2228"/>
      <c r="JYL256" s="2228"/>
      <c r="JYM256" s="2228"/>
      <c r="JYN256" s="2228"/>
      <c r="JYO256" s="2227"/>
      <c r="JYP256" s="2228"/>
      <c r="JYQ256" s="2228"/>
      <c r="JYR256" s="2228"/>
      <c r="JYS256" s="2228"/>
      <c r="JYT256" s="2228"/>
      <c r="JYU256" s="2228"/>
      <c r="JYV256" s="2228"/>
      <c r="JYW256" s="2228"/>
      <c r="JYX256" s="2228"/>
      <c r="JYY256" s="2228"/>
      <c r="JYZ256" s="2228"/>
      <c r="JZA256" s="2228"/>
      <c r="JZB256" s="2228"/>
      <c r="JZC256" s="2228"/>
      <c r="JZD256" s="2228"/>
      <c r="JZE256" s="2227"/>
      <c r="JZF256" s="2228"/>
      <c r="JZG256" s="2228"/>
      <c r="JZH256" s="2228"/>
      <c r="JZI256" s="2228"/>
      <c r="JZJ256" s="2228"/>
      <c r="JZK256" s="2228"/>
      <c r="JZL256" s="2228"/>
      <c r="JZM256" s="2228"/>
      <c r="JZN256" s="2228"/>
      <c r="JZO256" s="2228"/>
      <c r="JZP256" s="2228"/>
      <c r="JZQ256" s="2228"/>
      <c r="JZR256" s="2228"/>
      <c r="JZS256" s="2228"/>
      <c r="JZT256" s="2228"/>
      <c r="JZU256" s="2227"/>
      <c r="JZV256" s="2228"/>
      <c r="JZW256" s="2228"/>
      <c r="JZX256" s="2228"/>
      <c r="JZY256" s="2228"/>
      <c r="JZZ256" s="2228"/>
      <c r="KAA256" s="2228"/>
      <c r="KAB256" s="2228"/>
      <c r="KAC256" s="2228"/>
      <c r="KAD256" s="2228"/>
      <c r="KAE256" s="2228"/>
      <c r="KAF256" s="2228"/>
      <c r="KAG256" s="2228"/>
      <c r="KAH256" s="2228"/>
      <c r="KAI256" s="2228"/>
      <c r="KAJ256" s="2228"/>
      <c r="KAK256" s="2227"/>
      <c r="KAL256" s="2228"/>
      <c r="KAM256" s="2228"/>
      <c r="KAN256" s="2228"/>
      <c r="KAO256" s="2228"/>
      <c r="KAP256" s="2228"/>
      <c r="KAQ256" s="2228"/>
      <c r="KAR256" s="2228"/>
      <c r="KAS256" s="2228"/>
      <c r="KAT256" s="2228"/>
      <c r="KAU256" s="2228"/>
      <c r="KAV256" s="2228"/>
      <c r="KAW256" s="2228"/>
      <c r="KAX256" s="2228"/>
      <c r="KAY256" s="2228"/>
      <c r="KAZ256" s="2228"/>
      <c r="KBA256" s="2227"/>
      <c r="KBB256" s="2228"/>
      <c r="KBC256" s="2228"/>
      <c r="KBD256" s="2228"/>
      <c r="KBE256" s="2228"/>
      <c r="KBF256" s="2228"/>
      <c r="KBG256" s="2228"/>
      <c r="KBH256" s="2228"/>
      <c r="KBI256" s="2228"/>
      <c r="KBJ256" s="2228"/>
      <c r="KBK256" s="2228"/>
      <c r="KBL256" s="2228"/>
      <c r="KBM256" s="2228"/>
      <c r="KBN256" s="2228"/>
      <c r="KBO256" s="2228"/>
      <c r="KBP256" s="2228"/>
      <c r="KBQ256" s="2227"/>
      <c r="KBR256" s="2228"/>
      <c r="KBS256" s="2228"/>
      <c r="KBT256" s="2228"/>
      <c r="KBU256" s="2228"/>
      <c r="KBV256" s="2228"/>
      <c r="KBW256" s="2228"/>
      <c r="KBX256" s="2228"/>
      <c r="KBY256" s="2228"/>
      <c r="KBZ256" s="2228"/>
      <c r="KCA256" s="2228"/>
      <c r="KCB256" s="2228"/>
      <c r="KCC256" s="2228"/>
      <c r="KCD256" s="2228"/>
      <c r="KCE256" s="2228"/>
      <c r="KCF256" s="2228"/>
      <c r="KCG256" s="2227"/>
      <c r="KCH256" s="2228"/>
      <c r="KCI256" s="2228"/>
      <c r="KCJ256" s="2228"/>
      <c r="KCK256" s="2228"/>
      <c r="KCL256" s="2228"/>
      <c r="KCM256" s="2228"/>
      <c r="KCN256" s="2228"/>
      <c r="KCO256" s="2228"/>
      <c r="KCP256" s="2228"/>
      <c r="KCQ256" s="2228"/>
      <c r="KCR256" s="2228"/>
      <c r="KCS256" s="2228"/>
      <c r="KCT256" s="2228"/>
      <c r="KCU256" s="2228"/>
      <c r="KCV256" s="2228"/>
      <c r="KCW256" s="2227"/>
      <c r="KCX256" s="2228"/>
      <c r="KCY256" s="2228"/>
      <c r="KCZ256" s="2228"/>
      <c r="KDA256" s="2228"/>
      <c r="KDB256" s="2228"/>
      <c r="KDC256" s="2228"/>
      <c r="KDD256" s="2228"/>
      <c r="KDE256" s="2228"/>
      <c r="KDF256" s="2228"/>
      <c r="KDG256" s="2228"/>
      <c r="KDH256" s="2228"/>
      <c r="KDI256" s="2228"/>
      <c r="KDJ256" s="2228"/>
      <c r="KDK256" s="2228"/>
      <c r="KDL256" s="2228"/>
      <c r="KDM256" s="2227"/>
      <c r="KDN256" s="2228"/>
      <c r="KDO256" s="2228"/>
      <c r="KDP256" s="2228"/>
      <c r="KDQ256" s="2228"/>
      <c r="KDR256" s="2228"/>
      <c r="KDS256" s="2228"/>
      <c r="KDT256" s="2228"/>
      <c r="KDU256" s="2228"/>
      <c r="KDV256" s="2228"/>
      <c r="KDW256" s="2228"/>
      <c r="KDX256" s="2228"/>
      <c r="KDY256" s="2228"/>
      <c r="KDZ256" s="2228"/>
      <c r="KEA256" s="2228"/>
      <c r="KEB256" s="2228"/>
      <c r="KEC256" s="2227"/>
      <c r="KED256" s="2228"/>
      <c r="KEE256" s="2228"/>
      <c r="KEF256" s="2228"/>
      <c r="KEG256" s="2228"/>
      <c r="KEH256" s="2228"/>
      <c r="KEI256" s="2228"/>
      <c r="KEJ256" s="2228"/>
      <c r="KEK256" s="2228"/>
      <c r="KEL256" s="2228"/>
      <c r="KEM256" s="2228"/>
      <c r="KEN256" s="2228"/>
      <c r="KEO256" s="2228"/>
      <c r="KEP256" s="2228"/>
      <c r="KEQ256" s="2228"/>
      <c r="KER256" s="2228"/>
      <c r="KES256" s="2227"/>
      <c r="KET256" s="2228"/>
      <c r="KEU256" s="2228"/>
      <c r="KEV256" s="2228"/>
      <c r="KEW256" s="2228"/>
      <c r="KEX256" s="2228"/>
      <c r="KEY256" s="2228"/>
      <c r="KEZ256" s="2228"/>
      <c r="KFA256" s="2228"/>
      <c r="KFB256" s="2228"/>
      <c r="KFC256" s="2228"/>
      <c r="KFD256" s="2228"/>
      <c r="KFE256" s="2228"/>
      <c r="KFF256" s="2228"/>
      <c r="KFG256" s="2228"/>
      <c r="KFH256" s="2228"/>
      <c r="KFI256" s="2227"/>
      <c r="KFJ256" s="2228"/>
      <c r="KFK256" s="2228"/>
      <c r="KFL256" s="2228"/>
      <c r="KFM256" s="2228"/>
      <c r="KFN256" s="2228"/>
      <c r="KFO256" s="2228"/>
      <c r="KFP256" s="2228"/>
      <c r="KFQ256" s="2228"/>
      <c r="KFR256" s="2228"/>
      <c r="KFS256" s="2228"/>
      <c r="KFT256" s="2228"/>
      <c r="KFU256" s="2228"/>
      <c r="KFV256" s="2228"/>
      <c r="KFW256" s="2228"/>
      <c r="KFX256" s="2228"/>
      <c r="KFY256" s="2227"/>
      <c r="KFZ256" s="2228"/>
      <c r="KGA256" s="2228"/>
      <c r="KGB256" s="2228"/>
      <c r="KGC256" s="2228"/>
      <c r="KGD256" s="2228"/>
      <c r="KGE256" s="2228"/>
      <c r="KGF256" s="2228"/>
      <c r="KGG256" s="2228"/>
      <c r="KGH256" s="2228"/>
      <c r="KGI256" s="2228"/>
      <c r="KGJ256" s="2228"/>
      <c r="KGK256" s="2228"/>
      <c r="KGL256" s="2228"/>
      <c r="KGM256" s="2228"/>
      <c r="KGN256" s="2228"/>
      <c r="KGO256" s="2227"/>
      <c r="KGP256" s="2228"/>
      <c r="KGQ256" s="2228"/>
      <c r="KGR256" s="2228"/>
      <c r="KGS256" s="2228"/>
      <c r="KGT256" s="2228"/>
      <c r="KGU256" s="2228"/>
      <c r="KGV256" s="2228"/>
      <c r="KGW256" s="2228"/>
      <c r="KGX256" s="2228"/>
      <c r="KGY256" s="2228"/>
      <c r="KGZ256" s="2228"/>
      <c r="KHA256" s="2228"/>
      <c r="KHB256" s="2228"/>
      <c r="KHC256" s="2228"/>
      <c r="KHD256" s="2228"/>
      <c r="KHE256" s="2227"/>
      <c r="KHF256" s="2228"/>
      <c r="KHG256" s="2228"/>
      <c r="KHH256" s="2228"/>
      <c r="KHI256" s="2228"/>
      <c r="KHJ256" s="2228"/>
      <c r="KHK256" s="2228"/>
      <c r="KHL256" s="2228"/>
      <c r="KHM256" s="2228"/>
      <c r="KHN256" s="2228"/>
      <c r="KHO256" s="2228"/>
      <c r="KHP256" s="2228"/>
      <c r="KHQ256" s="2228"/>
      <c r="KHR256" s="2228"/>
      <c r="KHS256" s="2228"/>
      <c r="KHT256" s="2228"/>
      <c r="KHU256" s="2227"/>
      <c r="KHV256" s="2228"/>
      <c r="KHW256" s="2228"/>
      <c r="KHX256" s="2228"/>
      <c r="KHY256" s="2228"/>
      <c r="KHZ256" s="2228"/>
      <c r="KIA256" s="2228"/>
      <c r="KIB256" s="2228"/>
      <c r="KIC256" s="2228"/>
      <c r="KID256" s="2228"/>
      <c r="KIE256" s="2228"/>
      <c r="KIF256" s="2228"/>
      <c r="KIG256" s="2228"/>
      <c r="KIH256" s="2228"/>
      <c r="KII256" s="2228"/>
      <c r="KIJ256" s="2228"/>
      <c r="KIK256" s="2227"/>
      <c r="KIL256" s="2228"/>
      <c r="KIM256" s="2228"/>
      <c r="KIN256" s="2228"/>
      <c r="KIO256" s="2228"/>
      <c r="KIP256" s="2228"/>
      <c r="KIQ256" s="2228"/>
      <c r="KIR256" s="2228"/>
      <c r="KIS256" s="2228"/>
      <c r="KIT256" s="2228"/>
      <c r="KIU256" s="2228"/>
      <c r="KIV256" s="2228"/>
      <c r="KIW256" s="2228"/>
      <c r="KIX256" s="2228"/>
      <c r="KIY256" s="2228"/>
      <c r="KIZ256" s="2228"/>
      <c r="KJA256" s="2227"/>
      <c r="KJB256" s="2228"/>
      <c r="KJC256" s="2228"/>
      <c r="KJD256" s="2228"/>
      <c r="KJE256" s="2228"/>
      <c r="KJF256" s="2228"/>
      <c r="KJG256" s="2228"/>
      <c r="KJH256" s="2228"/>
      <c r="KJI256" s="2228"/>
      <c r="KJJ256" s="2228"/>
      <c r="KJK256" s="2228"/>
      <c r="KJL256" s="2228"/>
      <c r="KJM256" s="2228"/>
      <c r="KJN256" s="2228"/>
      <c r="KJO256" s="2228"/>
      <c r="KJP256" s="2228"/>
      <c r="KJQ256" s="2227"/>
      <c r="KJR256" s="2228"/>
      <c r="KJS256" s="2228"/>
      <c r="KJT256" s="2228"/>
      <c r="KJU256" s="2228"/>
      <c r="KJV256" s="2228"/>
      <c r="KJW256" s="2228"/>
      <c r="KJX256" s="2228"/>
      <c r="KJY256" s="2228"/>
      <c r="KJZ256" s="2228"/>
      <c r="KKA256" s="2228"/>
      <c r="KKB256" s="2228"/>
      <c r="KKC256" s="2228"/>
      <c r="KKD256" s="2228"/>
      <c r="KKE256" s="2228"/>
      <c r="KKF256" s="2228"/>
      <c r="KKG256" s="2227"/>
      <c r="KKH256" s="2228"/>
      <c r="KKI256" s="2228"/>
      <c r="KKJ256" s="2228"/>
      <c r="KKK256" s="2228"/>
      <c r="KKL256" s="2228"/>
      <c r="KKM256" s="2228"/>
      <c r="KKN256" s="2228"/>
      <c r="KKO256" s="2228"/>
      <c r="KKP256" s="2228"/>
      <c r="KKQ256" s="2228"/>
      <c r="KKR256" s="2228"/>
      <c r="KKS256" s="2228"/>
      <c r="KKT256" s="2228"/>
      <c r="KKU256" s="2228"/>
      <c r="KKV256" s="2228"/>
      <c r="KKW256" s="2227"/>
      <c r="KKX256" s="2228"/>
      <c r="KKY256" s="2228"/>
      <c r="KKZ256" s="2228"/>
      <c r="KLA256" s="2228"/>
      <c r="KLB256" s="2228"/>
      <c r="KLC256" s="2228"/>
      <c r="KLD256" s="2228"/>
      <c r="KLE256" s="2228"/>
      <c r="KLF256" s="2228"/>
      <c r="KLG256" s="2228"/>
      <c r="KLH256" s="2228"/>
      <c r="KLI256" s="2228"/>
      <c r="KLJ256" s="2228"/>
      <c r="KLK256" s="2228"/>
      <c r="KLL256" s="2228"/>
      <c r="KLM256" s="2227"/>
      <c r="KLN256" s="2228"/>
      <c r="KLO256" s="2228"/>
      <c r="KLP256" s="2228"/>
      <c r="KLQ256" s="2228"/>
      <c r="KLR256" s="2228"/>
      <c r="KLS256" s="2228"/>
      <c r="KLT256" s="2228"/>
      <c r="KLU256" s="2228"/>
      <c r="KLV256" s="2228"/>
      <c r="KLW256" s="2228"/>
      <c r="KLX256" s="2228"/>
      <c r="KLY256" s="2228"/>
      <c r="KLZ256" s="2228"/>
      <c r="KMA256" s="2228"/>
      <c r="KMB256" s="2228"/>
      <c r="KMC256" s="2227"/>
      <c r="KMD256" s="2228"/>
      <c r="KME256" s="2228"/>
      <c r="KMF256" s="2228"/>
      <c r="KMG256" s="2228"/>
      <c r="KMH256" s="2228"/>
      <c r="KMI256" s="2228"/>
      <c r="KMJ256" s="2228"/>
      <c r="KMK256" s="2228"/>
      <c r="KML256" s="2228"/>
      <c r="KMM256" s="2228"/>
      <c r="KMN256" s="2228"/>
      <c r="KMO256" s="2228"/>
      <c r="KMP256" s="2228"/>
      <c r="KMQ256" s="2228"/>
      <c r="KMR256" s="2228"/>
      <c r="KMS256" s="2227"/>
      <c r="KMT256" s="2228"/>
      <c r="KMU256" s="2228"/>
      <c r="KMV256" s="2228"/>
      <c r="KMW256" s="2228"/>
      <c r="KMX256" s="2228"/>
      <c r="KMY256" s="2228"/>
      <c r="KMZ256" s="2228"/>
      <c r="KNA256" s="2228"/>
      <c r="KNB256" s="2228"/>
      <c r="KNC256" s="2228"/>
      <c r="KND256" s="2228"/>
      <c r="KNE256" s="2228"/>
      <c r="KNF256" s="2228"/>
      <c r="KNG256" s="2228"/>
      <c r="KNH256" s="2228"/>
      <c r="KNI256" s="2227"/>
      <c r="KNJ256" s="2228"/>
      <c r="KNK256" s="2228"/>
      <c r="KNL256" s="2228"/>
      <c r="KNM256" s="2228"/>
      <c r="KNN256" s="2228"/>
      <c r="KNO256" s="2228"/>
      <c r="KNP256" s="2228"/>
      <c r="KNQ256" s="2228"/>
      <c r="KNR256" s="2228"/>
      <c r="KNS256" s="2228"/>
      <c r="KNT256" s="2228"/>
      <c r="KNU256" s="2228"/>
      <c r="KNV256" s="2228"/>
      <c r="KNW256" s="2228"/>
      <c r="KNX256" s="2228"/>
      <c r="KNY256" s="2227"/>
      <c r="KNZ256" s="2228"/>
      <c r="KOA256" s="2228"/>
      <c r="KOB256" s="2228"/>
      <c r="KOC256" s="2228"/>
      <c r="KOD256" s="2228"/>
      <c r="KOE256" s="2228"/>
      <c r="KOF256" s="2228"/>
      <c r="KOG256" s="2228"/>
      <c r="KOH256" s="2228"/>
      <c r="KOI256" s="2228"/>
      <c r="KOJ256" s="2228"/>
      <c r="KOK256" s="2228"/>
      <c r="KOL256" s="2228"/>
      <c r="KOM256" s="2228"/>
      <c r="KON256" s="2228"/>
      <c r="KOO256" s="2227"/>
      <c r="KOP256" s="2228"/>
      <c r="KOQ256" s="2228"/>
      <c r="KOR256" s="2228"/>
      <c r="KOS256" s="2228"/>
      <c r="KOT256" s="2228"/>
      <c r="KOU256" s="2228"/>
      <c r="KOV256" s="2228"/>
      <c r="KOW256" s="2228"/>
      <c r="KOX256" s="2228"/>
      <c r="KOY256" s="2228"/>
      <c r="KOZ256" s="2228"/>
      <c r="KPA256" s="2228"/>
      <c r="KPB256" s="2228"/>
      <c r="KPC256" s="2228"/>
      <c r="KPD256" s="2228"/>
      <c r="KPE256" s="2227"/>
      <c r="KPF256" s="2228"/>
      <c r="KPG256" s="2228"/>
      <c r="KPH256" s="2228"/>
      <c r="KPI256" s="2228"/>
      <c r="KPJ256" s="2228"/>
      <c r="KPK256" s="2228"/>
      <c r="KPL256" s="2228"/>
      <c r="KPM256" s="2228"/>
      <c r="KPN256" s="2228"/>
      <c r="KPO256" s="2228"/>
      <c r="KPP256" s="2228"/>
      <c r="KPQ256" s="2228"/>
      <c r="KPR256" s="2228"/>
      <c r="KPS256" s="2228"/>
      <c r="KPT256" s="2228"/>
      <c r="KPU256" s="2227"/>
      <c r="KPV256" s="2228"/>
      <c r="KPW256" s="2228"/>
      <c r="KPX256" s="2228"/>
      <c r="KPY256" s="2228"/>
      <c r="KPZ256" s="2228"/>
      <c r="KQA256" s="2228"/>
      <c r="KQB256" s="2228"/>
      <c r="KQC256" s="2228"/>
      <c r="KQD256" s="2228"/>
      <c r="KQE256" s="2228"/>
      <c r="KQF256" s="2228"/>
      <c r="KQG256" s="2228"/>
      <c r="KQH256" s="2228"/>
      <c r="KQI256" s="2228"/>
      <c r="KQJ256" s="2228"/>
      <c r="KQK256" s="2227"/>
      <c r="KQL256" s="2228"/>
      <c r="KQM256" s="2228"/>
      <c r="KQN256" s="2228"/>
      <c r="KQO256" s="2228"/>
      <c r="KQP256" s="2228"/>
      <c r="KQQ256" s="2228"/>
      <c r="KQR256" s="2228"/>
      <c r="KQS256" s="2228"/>
      <c r="KQT256" s="2228"/>
      <c r="KQU256" s="2228"/>
      <c r="KQV256" s="2228"/>
      <c r="KQW256" s="2228"/>
      <c r="KQX256" s="2228"/>
      <c r="KQY256" s="2228"/>
      <c r="KQZ256" s="2228"/>
      <c r="KRA256" s="2227"/>
      <c r="KRB256" s="2228"/>
      <c r="KRC256" s="2228"/>
      <c r="KRD256" s="2228"/>
      <c r="KRE256" s="2228"/>
      <c r="KRF256" s="2228"/>
      <c r="KRG256" s="2228"/>
      <c r="KRH256" s="2228"/>
      <c r="KRI256" s="2228"/>
      <c r="KRJ256" s="2228"/>
      <c r="KRK256" s="2228"/>
      <c r="KRL256" s="2228"/>
      <c r="KRM256" s="2228"/>
      <c r="KRN256" s="2228"/>
      <c r="KRO256" s="2228"/>
      <c r="KRP256" s="2228"/>
      <c r="KRQ256" s="2227"/>
      <c r="KRR256" s="2228"/>
      <c r="KRS256" s="2228"/>
      <c r="KRT256" s="2228"/>
      <c r="KRU256" s="2228"/>
      <c r="KRV256" s="2228"/>
      <c r="KRW256" s="2228"/>
      <c r="KRX256" s="2228"/>
      <c r="KRY256" s="2228"/>
      <c r="KRZ256" s="2228"/>
      <c r="KSA256" s="2228"/>
      <c r="KSB256" s="2228"/>
      <c r="KSC256" s="2228"/>
      <c r="KSD256" s="2228"/>
      <c r="KSE256" s="2228"/>
      <c r="KSF256" s="2228"/>
      <c r="KSG256" s="2227"/>
      <c r="KSH256" s="2228"/>
      <c r="KSI256" s="2228"/>
      <c r="KSJ256" s="2228"/>
      <c r="KSK256" s="2228"/>
      <c r="KSL256" s="2228"/>
      <c r="KSM256" s="2228"/>
      <c r="KSN256" s="2228"/>
      <c r="KSO256" s="2228"/>
      <c r="KSP256" s="2228"/>
      <c r="KSQ256" s="2228"/>
      <c r="KSR256" s="2228"/>
      <c r="KSS256" s="2228"/>
      <c r="KST256" s="2228"/>
      <c r="KSU256" s="2228"/>
      <c r="KSV256" s="2228"/>
      <c r="KSW256" s="2227"/>
      <c r="KSX256" s="2228"/>
      <c r="KSY256" s="2228"/>
      <c r="KSZ256" s="2228"/>
      <c r="KTA256" s="2228"/>
      <c r="KTB256" s="2228"/>
      <c r="KTC256" s="2228"/>
      <c r="KTD256" s="2228"/>
      <c r="KTE256" s="2228"/>
      <c r="KTF256" s="2228"/>
      <c r="KTG256" s="2228"/>
      <c r="KTH256" s="2228"/>
      <c r="KTI256" s="2228"/>
      <c r="KTJ256" s="2228"/>
      <c r="KTK256" s="2228"/>
      <c r="KTL256" s="2228"/>
      <c r="KTM256" s="2227"/>
      <c r="KTN256" s="2228"/>
      <c r="KTO256" s="2228"/>
      <c r="KTP256" s="2228"/>
      <c r="KTQ256" s="2228"/>
      <c r="KTR256" s="2228"/>
      <c r="KTS256" s="2228"/>
      <c r="KTT256" s="2228"/>
      <c r="KTU256" s="2228"/>
      <c r="KTV256" s="2228"/>
      <c r="KTW256" s="2228"/>
      <c r="KTX256" s="2228"/>
      <c r="KTY256" s="2228"/>
      <c r="KTZ256" s="2228"/>
      <c r="KUA256" s="2228"/>
      <c r="KUB256" s="2228"/>
      <c r="KUC256" s="2227"/>
      <c r="KUD256" s="2228"/>
      <c r="KUE256" s="2228"/>
      <c r="KUF256" s="2228"/>
      <c r="KUG256" s="2228"/>
      <c r="KUH256" s="2228"/>
      <c r="KUI256" s="2228"/>
      <c r="KUJ256" s="2228"/>
      <c r="KUK256" s="2228"/>
      <c r="KUL256" s="2228"/>
      <c r="KUM256" s="2228"/>
      <c r="KUN256" s="2228"/>
      <c r="KUO256" s="2228"/>
      <c r="KUP256" s="2228"/>
      <c r="KUQ256" s="2228"/>
      <c r="KUR256" s="2228"/>
      <c r="KUS256" s="2227"/>
      <c r="KUT256" s="2228"/>
      <c r="KUU256" s="2228"/>
      <c r="KUV256" s="2228"/>
      <c r="KUW256" s="2228"/>
      <c r="KUX256" s="2228"/>
      <c r="KUY256" s="2228"/>
      <c r="KUZ256" s="2228"/>
      <c r="KVA256" s="2228"/>
      <c r="KVB256" s="2228"/>
      <c r="KVC256" s="2228"/>
      <c r="KVD256" s="2228"/>
      <c r="KVE256" s="2228"/>
      <c r="KVF256" s="2228"/>
      <c r="KVG256" s="2228"/>
      <c r="KVH256" s="2228"/>
      <c r="KVI256" s="2227"/>
      <c r="KVJ256" s="2228"/>
      <c r="KVK256" s="2228"/>
      <c r="KVL256" s="2228"/>
      <c r="KVM256" s="2228"/>
      <c r="KVN256" s="2228"/>
      <c r="KVO256" s="2228"/>
      <c r="KVP256" s="2228"/>
      <c r="KVQ256" s="2228"/>
      <c r="KVR256" s="2228"/>
      <c r="KVS256" s="2228"/>
      <c r="KVT256" s="2228"/>
      <c r="KVU256" s="2228"/>
      <c r="KVV256" s="2228"/>
      <c r="KVW256" s="2228"/>
      <c r="KVX256" s="2228"/>
      <c r="KVY256" s="2227"/>
      <c r="KVZ256" s="2228"/>
      <c r="KWA256" s="2228"/>
      <c r="KWB256" s="2228"/>
      <c r="KWC256" s="2228"/>
      <c r="KWD256" s="2228"/>
      <c r="KWE256" s="2228"/>
      <c r="KWF256" s="2228"/>
      <c r="KWG256" s="2228"/>
      <c r="KWH256" s="2228"/>
      <c r="KWI256" s="2228"/>
      <c r="KWJ256" s="2228"/>
      <c r="KWK256" s="2228"/>
      <c r="KWL256" s="2228"/>
      <c r="KWM256" s="2228"/>
      <c r="KWN256" s="2228"/>
      <c r="KWO256" s="2227"/>
      <c r="KWP256" s="2228"/>
      <c r="KWQ256" s="2228"/>
      <c r="KWR256" s="2228"/>
      <c r="KWS256" s="2228"/>
      <c r="KWT256" s="2228"/>
      <c r="KWU256" s="2228"/>
      <c r="KWV256" s="2228"/>
      <c r="KWW256" s="2228"/>
      <c r="KWX256" s="2228"/>
      <c r="KWY256" s="2228"/>
      <c r="KWZ256" s="2228"/>
      <c r="KXA256" s="2228"/>
      <c r="KXB256" s="2228"/>
      <c r="KXC256" s="2228"/>
      <c r="KXD256" s="2228"/>
      <c r="KXE256" s="2227"/>
      <c r="KXF256" s="2228"/>
      <c r="KXG256" s="2228"/>
      <c r="KXH256" s="2228"/>
      <c r="KXI256" s="2228"/>
      <c r="KXJ256" s="2228"/>
      <c r="KXK256" s="2228"/>
      <c r="KXL256" s="2228"/>
      <c r="KXM256" s="2228"/>
      <c r="KXN256" s="2228"/>
      <c r="KXO256" s="2228"/>
      <c r="KXP256" s="2228"/>
      <c r="KXQ256" s="2228"/>
      <c r="KXR256" s="2228"/>
      <c r="KXS256" s="2228"/>
      <c r="KXT256" s="2228"/>
      <c r="KXU256" s="2227"/>
      <c r="KXV256" s="2228"/>
      <c r="KXW256" s="2228"/>
      <c r="KXX256" s="2228"/>
      <c r="KXY256" s="2228"/>
      <c r="KXZ256" s="2228"/>
      <c r="KYA256" s="2228"/>
      <c r="KYB256" s="2228"/>
      <c r="KYC256" s="2228"/>
      <c r="KYD256" s="2228"/>
      <c r="KYE256" s="2228"/>
      <c r="KYF256" s="2228"/>
      <c r="KYG256" s="2228"/>
      <c r="KYH256" s="2228"/>
      <c r="KYI256" s="2228"/>
      <c r="KYJ256" s="2228"/>
      <c r="KYK256" s="2227"/>
      <c r="KYL256" s="2228"/>
      <c r="KYM256" s="2228"/>
      <c r="KYN256" s="2228"/>
      <c r="KYO256" s="2228"/>
      <c r="KYP256" s="2228"/>
      <c r="KYQ256" s="2228"/>
      <c r="KYR256" s="2228"/>
      <c r="KYS256" s="2228"/>
      <c r="KYT256" s="2228"/>
      <c r="KYU256" s="2228"/>
      <c r="KYV256" s="2228"/>
      <c r="KYW256" s="2228"/>
      <c r="KYX256" s="2228"/>
      <c r="KYY256" s="2228"/>
      <c r="KYZ256" s="2228"/>
      <c r="KZA256" s="2227"/>
      <c r="KZB256" s="2228"/>
      <c r="KZC256" s="2228"/>
      <c r="KZD256" s="2228"/>
      <c r="KZE256" s="2228"/>
      <c r="KZF256" s="2228"/>
      <c r="KZG256" s="2228"/>
      <c r="KZH256" s="2228"/>
      <c r="KZI256" s="2228"/>
      <c r="KZJ256" s="2228"/>
      <c r="KZK256" s="2228"/>
      <c r="KZL256" s="2228"/>
      <c r="KZM256" s="2228"/>
      <c r="KZN256" s="2228"/>
      <c r="KZO256" s="2228"/>
      <c r="KZP256" s="2228"/>
      <c r="KZQ256" s="2227"/>
      <c r="KZR256" s="2228"/>
      <c r="KZS256" s="2228"/>
      <c r="KZT256" s="2228"/>
      <c r="KZU256" s="2228"/>
      <c r="KZV256" s="2228"/>
      <c r="KZW256" s="2228"/>
      <c r="KZX256" s="2228"/>
      <c r="KZY256" s="2228"/>
      <c r="KZZ256" s="2228"/>
      <c r="LAA256" s="2228"/>
      <c r="LAB256" s="2228"/>
      <c r="LAC256" s="2228"/>
      <c r="LAD256" s="2228"/>
      <c r="LAE256" s="2228"/>
      <c r="LAF256" s="2228"/>
      <c r="LAG256" s="2227"/>
      <c r="LAH256" s="2228"/>
      <c r="LAI256" s="2228"/>
      <c r="LAJ256" s="2228"/>
      <c r="LAK256" s="2228"/>
      <c r="LAL256" s="2228"/>
      <c r="LAM256" s="2228"/>
      <c r="LAN256" s="2228"/>
      <c r="LAO256" s="2228"/>
      <c r="LAP256" s="2228"/>
      <c r="LAQ256" s="2228"/>
      <c r="LAR256" s="2228"/>
      <c r="LAS256" s="2228"/>
      <c r="LAT256" s="2228"/>
      <c r="LAU256" s="2228"/>
      <c r="LAV256" s="2228"/>
      <c r="LAW256" s="2227"/>
      <c r="LAX256" s="2228"/>
      <c r="LAY256" s="2228"/>
      <c r="LAZ256" s="2228"/>
      <c r="LBA256" s="2228"/>
      <c r="LBB256" s="2228"/>
      <c r="LBC256" s="2228"/>
      <c r="LBD256" s="2228"/>
      <c r="LBE256" s="2228"/>
      <c r="LBF256" s="2228"/>
      <c r="LBG256" s="2228"/>
      <c r="LBH256" s="2228"/>
      <c r="LBI256" s="2228"/>
      <c r="LBJ256" s="2228"/>
      <c r="LBK256" s="2228"/>
      <c r="LBL256" s="2228"/>
      <c r="LBM256" s="2227"/>
      <c r="LBN256" s="2228"/>
      <c r="LBO256" s="2228"/>
      <c r="LBP256" s="2228"/>
      <c r="LBQ256" s="2228"/>
      <c r="LBR256" s="2228"/>
      <c r="LBS256" s="2228"/>
      <c r="LBT256" s="2228"/>
      <c r="LBU256" s="2228"/>
      <c r="LBV256" s="2228"/>
      <c r="LBW256" s="2228"/>
      <c r="LBX256" s="2228"/>
      <c r="LBY256" s="2228"/>
      <c r="LBZ256" s="2228"/>
      <c r="LCA256" s="2228"/>
      <c r="LCB256" s="2228"/>
      <c r="LCC256" s="2227"/>
      <c r="LCD256" s="2228"/>
      <c r="LCE256" s="2228"/>
      <c r="LCF256" s="2228"/>
      <c r="LCG256" s="2228"/>
      <c r="LCH256" s="2228"/>
      <c r="LCI256" s="2228"/>
      <c r="LCJ256" s="2228"/>
      <c r="LCK256" s="2228"/>
      <c r="LCL256" s="2228"/>
      <c r="LCM256" s="2228"/>
      <c r="LCN256" s="2228"/>
      <c r="LCO256" s="2228"/>
      <c r="LCP256" s="2228"/>
      <c r="LCQ256" s="2228"/>
      <c r="LCR256" s="2228"/>
      <c r="LCS256" s="2227"/>
      <c r="LCT256" s="2228"/>
      <c r="LCU256" s="2228"/>
      <c r="LCV256" s="2228"/>
      <c r="LCW256" s="2228"/>
      <c r="LCX256" s="2228"/>
      <c r="LCY256" s="2228"/>
      <c r="LCZ256" s="2228"/>
      <c r="LDA256" s="2228"/>
      <c r="LDB256" s="2228"/>
      <c r="LDC256" s="2228"/>
      <c r="LDD256" s="2228"/>
      <c r="LDE256" s="2228"/>
      <c r="LDF256" s="2228"/>
      <c r="LDG256" s="2228"/>
      <c r="LDH256" s="2228"/>
      <c r="LDI256" s="2227"/>
      <c r="LDJ256" s="2228"/>
      <c r="LDK256" s="2228"/>
      <c r="LDL256" s="2228"/>
      <c r="LDM256" s="2228"/>
      <c r="LDN256" s="2228"/>
      <c r="LDO256" s="2228"/>
      <c r="LDP256" s="2228"/>
      <c r="LDQ256" s="2228"/>
      <c r="LDR256" s="2228"/>
      <c r="LDS256" s="2228"/>
      <c r="LDT256" s="2228"/>
      <c r="LDU256" s="2228"/>
      <c r="LDV256" s="2228"/>
      <c r="LDW256" s="2228"/>
      <c r="LDX256" s="2228"/>
      <c r="LDY256" s="2227"/>
      <c r="LDZ256" s="2228"/>
      <c r="LEA256" s="2228"/>
      <c r="LEB256" s="2228"/>
      <c r="LEC256" s="2228"/>
      <c r="LED256" s="2228"/>
      <c r="LEE256" s="2228"/>
      <c r="LEF256" s="2228"/>
      <c r="LEG256" s="2228"/>
      <c r="LEH256" s="2228"/>
      <c r="LEI256" s="2228"/>
      <c r="LEJ256" s="2228"/>
      <c r="LEK256" s="2228"/>
      <c r="LEL256" s="2228"/>
      <c r="LEM256" s="2228"/>
      <c r="LEN256" s="2228"/>
      <c r="LEO256" s="2227"/>
      <c r="LEP256" s="2228"/>
      <c r="LEQ256" s="2228"/>
      <c r="LER256" s="2228"/>
      <c r="LES256" s="2228"/>
      <c r="LET256" s="2228"/>
      <c r="LEU256" s="2228"/>
      <c r="LEV256" s="2228"/>
      <c r="LEW256" s="2228"/>
      <c r="LEX256" s="2228"/>
      <c r="LEY256" s="2228"/>
      <c r="LEZ256" s="2228"/>
      <c r="LFA256" s="2228"/>
      <c r="LFB256" s="2228"/>
      <c r="LFC256" s="2228"/>
      <c r="LFD256" s="2228"/>
      <c r="LFE256" s="2227"/>
      <c r="LFF256" s="2228"/>
      <c r="LFG256" s="2228"/>
      <c r="LFH256" s="2228"/>
      <c r="LFI256" s="2228"/>
      <c r="LFJ256" s="2228"/>
      <c r="LFK256" s="2228"/>
      <c r="LFL256" s="2228"/>
      <c r="LFM256" s="2228"/>
      <c r="LFN256" s="2228"/>
      <c r="LFO256" s="2228"/>
      <c r="LFP256" s="2228"/>
      <c r="LFQ256" s="2228"/>
      <c r="LFR256" s="2228"/>
      <c r="LFS256" s="2228"/>
      <c r="LFT256" s="2228"/>
      <c r="LFU256" s="2227"/>
      <c r="LFV256" s="2228"/>
      <c r="LFW256" s="2228"/>
      <c r="LFX256" s="2228"/>
      <c r="LFY256" s="2228"/>
      <c r="LFZ256" s="2228"/>
      <c r="LGA256" s="2228"/>
      <c r="LGB256" s="2228"/>
      <c r="LGC256" s="2228"/>
      <c r="LGD256" s="2228"/>
      <c r="LGE256" s="2228"/>
      <c r="LGF256" s="2228"/>
      <c r="LGG256" s="2228"/>
      <c r="LGH256" s="2228"/>
      <c r="LGI256" s="2228"/>
      <c r="LGJ256" s="2228"/>
      <c r="LGK256" s="2227"/>
      <c r="LGL256" s="2228"/>
      <c r="LGM256" s="2228"/>
      <c r="LGN256" s="2228"/>
      <c r="LGO256" s="2228"/>
      <c r="LGP256" s="2228"/>
      <c r="LGQ256" s="2228"/>
      <c r="LGR256" s="2228"/>
      <c r="LGS256" s="2228"/>
      <c r="LGT256" s="2228"/>
      <c r="LGU256" s="2228"/>
      <c r="LGV256" s="2228"/>
      <c r="LGW256" s="2228"/>
      <c r="LGX256" s="2228"/>
      <c r="LGY256" s="2228"/>
      <c r="LGZ256" s="2228"/>
      <c r="LHA256" s="2227"/>
      <c r="LHB256" s="2228"/>
      <c r="LHC256" s="2228"/>
      <c r="LHD256" s="2228"/>
      <c r="LHE256" s="2228"/>
      <c r="LHF256" s="2228"/>
      <c r="LHG256" s="2228"/>
      <c r="LHH256" s="2228"/>
      <c r="LHI256" s="2228"/>
      <c r="LHJ256" s="2228"/>
      <c r="LHK256" s="2228"/>
      <c r="LHL256" s="2228"/>
      <c r="LHM256" s="2228"/>
      <c r="LHN256" s="2228"/>
      <c r="LHO256" s="2228"/>
      <c r="LHP256" s="2228"/>
      <c r="LHQ256" s="2227"/>
      <c r="LHR256" s="2228"/>
      <c r="LHS256" s="2228"/>
      <c r="LHT256" s="2228"/>
      <c r="LHU256" s="2228"/>
      <c r="LHV256" s="2228"/>
      <c r="LHW256" s="2228"/>
      <c r="LHX256" s="2228"/>
      <c r="LHY256" s="2228"/>
      <c r="LHZ256" s="2228"/>
      <c r="LIA256" s="2228"/>
      <c r="LIB256" s="2228"/>
      <c r="LIC256" s="2228"/>
      <c r="LID256" s="2228"/>
      <c r="LIE256" s="2228"/>
      <c r="LIF256" s="2228"/>
      <c r="LIG256" s="2227"/>
      <c r="LIH256" s="2228"/>
      <c r="LII256" s="2228"/>
      <c r="LIJ256" s="2228"/>
      <c r="LIK256" s="2228"/>
      <c r="LIL256" s="2228"/>
      <c r="LIM256" s="2228"/>
      <c r="LIN256" s="2228"/>
      <c r="LIO256" s="2228"/>
      <c r="LIP256" s="2228"/>
      <c r="LIQ256" s="2228"/>
      <c r="LIR256" s="2228"/>
      <c r="LIS256" s="2228"/>
      <c r="LIT256" s="2228"/>
      <c r="LIU256" s="2228"/>
      <c r="LIV256" s="2228"/>
      <c r="LIW256" s="2227"/>
      <c r="LIX256" s="2228"/>
      <c r="LIY256" s="2228"/>
      <c r="LIZ256" s="2228"/>
      <c r="LJA256" s="2228"/>
      <c r="LJB256" s="2228"/>
      <c r="LJC256" s="2228"/>
      <c r="LJD256" s="2228"/>
      <c r="LJE256" s="2228"/>
      <c r="LJF256" s="2228"/>
      <c r="LJG256" s="2228"/>
      <c r="LJH256" s="2228"/>
      <c r="LJI256" s="2228"/>
      <c r="LJJ256" s="2228"/>
      <c r="LJK256" s="2228"/>
      <c r="LJL256" s="2228"/>
      <c r="LJM256" s="2227"/>
      <c r="LJN256" s="2228"/>
      <c r="LJO256" s="2228"/>
      <c r="LJP256" s="2228"/>
      <c r="LJQ256" s="2228"/>
      <c r="LJR256" s="2228"/>
      <c r="LJS256" s="2228"/>
      <c r="LJT256" s="2228"/>
      <c r="LJU256" s="2228"/>
      <c r="LJV256" s="2228"/>
      <c r="LJW256" s="2228"/>
      <c r="LJX256" s="2228"/>
      <c r="LJY256" s="2228"/>
      <c r="LJZ256" s="2228"/>
      <c r="LKA256" s="2228"/>
      <c r="LKB256" s="2228"/>
      <c r="LKC256" s="2227"/>
      <c r="LKD256" s="2228"/>
      <c r="LKE256" s="2228"/>
      <c r="LKF256" s="2228"/>
      <c r="LKG256" s="2228"/>
      <c r="LKH256" s="2228"/>
      <c r="LKI256" s="2228"/>
      <c r="LKJ256" s="2228"/>
      <c r="LKK256" s="2228"/>
      <c r="LKL256" s="2228"/>
      <c r="LKM256" s="2228"/>
      <c r="LKN256" s="2228"/>
      <c r="LKO256" s="2228"/>
      <c r="LKP256" s="2228"/>
      <c r="LKQ256" s="2228"/>
      <c r="LKR256" s="2228"/>
      <c r="LKS256" s="2227"/>
      <c r="LKT256" s="2228"/>
      <c r="LKU256" s="2228"/>
      <c r="LKV256" s="2228"/>
      <c r="LKW256" s="2228"/>
      <c r="LKX256" s="2228"/>
      <c r="LKY256" s="2228"/>
      <c r="LKZ256" s="2228"/>
      <c r="LLA256" s="2228"/>
      <c r="LLB256" s="2228"/>
      <c r="LLC256" s="2228"/>
      <c r="LLD256" s="2228"/>
      <c r="LLE256" s="2228"/>
      <c r="LLF256" s="2228"/>
      <c r="LLG256" s="2228"/>
      <c r="LLH256" s="2228"/>
      <c r="LLI256" s="2227"/>
      <c r="LLJ256" s="2228"/>
      <c r="LLK256" s="2228"/>
      <c r="LLL256" s="2228"/>
      <c r="LLM256" s="2228"/>
      <c r="LLN256" s="2228"/>
      <c r="LLO256" s="2228"/>
      <c r="LLP256" s="2228"/>
      <c r="LLQ256" s="2228"/>
      <c r="LLR256" s="2228"/>
      <c r="LLS256" s="2228"/>
      <c r="LLT256" s="2228"/>
      <c r="LLU256" s="2228"/>
      <c r="LLV256" s="2228"/>
      <c r="LLW256" s="2228"/>
      <c r="LLX256" s="2228"/>
      <c r="LLY256" s="2227"/>
      <c r="LLZ256" s="2228"/>
      <c r="LMA256" s="2228"/>
      <c r="LMB256" s="2228"/>
      <c r="LMC256" s="2228"/>
      <c r="LMD256" s="2228"/>
      <c r="LME256" s="2228"/>
      <c r="LMF256" s="2228"/>
      <c r="LMG256" s="2228"/>
      <c r="LMH256" s="2228"/>
      <c r="LMI256" s="2228"/>
      <c r="LMJ256" s="2228"/>
      <c r="LMK256" s="2228"/>
      <c r="LML256" s="2228"/>
      <c r="LMM256" s="2228"/>
      <c r="LMN256" s="2228"/>
      <c r="LMO256" s="2227"/>
      <c r="LMP256" s="2228"/>
      <c r="LMQ256" s="2228"/>
      <c r="LMR256" s="2228"/>
      <c r="LMS256" s="2228"/>
      <c r="LMT256" s="2228"/>
      <c r="LMU256" s="2228"/>
      <c r="LMV256" s="2228"/>
      <c r="LMW256" s="2228"/>
      <c r="LMX256" s="2228"/>
      <c r="LMY256" s="2228"/>
      <c r="LMZ256" s="2228"/>
      <c r="LNA256" s="2228"/>
      <c r="LNB256" s="2228"/>
      <c r="LNC256" s="2228"/>
      <c r="LND256" s="2228"/>
      <c r="LNE256" s="2227"/>
      <c r="LNF256" s="2228"/>
      <c r="LNG256" s="2228"/>
      <c r="LNH256" s="2228"/>
      <c r="LNI256" s="2228"/>
      <c r="LNJ256" s="2228"/>
      <c r="LNK256" s="2228"/>
      <c r="LNL256" s="2228"/>
      <c r="LNM256" s="2228"/>
      <c r="LNN256" s="2228"/>
      <c r="LNO256" s="2228"/>
      <c r="LNP256" s="2228"/>
      <c r="LNQ256" s="2228"/>
      <c r="LNR256" s="2228"/>
      <c r="LNS256" s="2228"/>
      <c r="LNT256" s="2228"/>
      <c r="LNU256" s="2227"/>
      <c r="LNV256" s="2228"/>
      <c r="LNW256" s="2228"/>
      <c r="LNX256" s="2228"/>
      <c r="LNY256" s="2228"/>
      <c r="LNZ256" s="2228"/>
      <c r="LOA256" s="2228"/>
      <c r="LOB256" s="2228"/>
      <c r="LOC256" s="2228"/>
      <c r="LOD256" s="2228"/>
      <c r="LOE256" s="2228"/>
      <c r="LOF256" s="2228"/>
      <c r="LOG256" s="2228"/>
      <c r="LOH256" s="2228"/>
      <c r="LOI256" s="2228"/>
      <c r="LOJ256" s="2228"/>
      <c r="LOK256" s="2227"/>
      <c r="LOL256" s="2228"/>
      <c r="LOM256" s="2228"/>
      <c r="LON256" s="2228"/>
      <c r="LOO256" s="2228"/>
      <c r="LOP256" s="2228"/>
      <c r="LOQ256" s="2228"/>
      <c r="LOR256" s="2228"/>
      <c r="LOS256" s="2228"/>
      <c r="LOT256" s="2228"/>
      <c r="LOU256" s="2228"/>
      <c r="LOV256" s="2228"/>
      <c r="LOW256" s="2228"/>
      <c r="LOX256" s="2228"/>
      <c r="LOY256" s="2228"/>
      <c r="LOZ256" s="2228"/>
      <c r="LPA256" s="2227"/>
      <c r="LPB256" s="2228"/>
      <c r="LPC256" s="2228"/>
      <c r="LPD256" s="2228"/>
      <c r="LPE256" s="2228"/>
      <c r="LPF256" s="2228"/>
      <c r="LPG256" s="2228"/>
      <c r="LPH256" s="2228"/>
      <c r="LPI256" s="2228"/>
      <c r="LPJ256" s="2228"/>
      <c r="LPK256" s="2228"/>
      <c r="LPL256" s="2228"/>
      <c r="LPM256" s="2228"/>
      <c r="LPN256" s="2228"/>
      <c r="LPO256" s="2228"/>
      <c r="LPP256" s="2228"/>
      <c r="LPQ256" s="2227"/>
      <c r="LPR256" s="2228"/>
      <c r="LPS256" s="2228"/>
      <c r="LPT256" s="2228"/>
      <c r="LPU256" s="2228"/>
      <c r="LPV256" s="2228"/>
      <c r="LPW256" s="2228"/>
      <c r="LPX256" s="2228"/>
      <c r="LPY256" s="2228"/>
      <c r="LPZ256" s="2228"/>
      <c r="LQA256" s="2228"/>
      <c r="LQB256" s="2228"/>
      <c r="LQC256" s="2228"/>
      <c r="LQD256" s="2228"/>
      <c r="LQE256" s="2228"/>
      <c r="LQF256" s="2228"/>
      <c r="LQG256" s="2227"/>
      <c r="LQH256" s="2228"/>
      <c r="LQI256" s="2228"/>
      <c r="LQJ256" s="2228"/>
      <c r="LQK256" s="2228"/>
      <c r="LQL256" s="2228"/>
      <c r="LQM256" s="2228"/>
      <c r="LQN256" s="2228"/>
      <c r="LQO256" s="2228"/>
      <c r="LQP256" s="2228"/>
      <c r="LQQ256" s="2228"/>
      <c r="LQR256" s="2228"/>
      <c r="LQS256" s="2228"/>
      <c r="LQT256" s="2228"/>
      <c r="LQU256" s="2228"/>
      <c r="LQV256" s="2228"/>
      <c r="LQW256" s="2227"/>
      <c r="LQX256" s="2228"/>
      <c r="LQY256" s="2228"/>
      <c r="LQZ256" s="2228"/>
      <c r="LRA256" s="2228"/>
      <c r="LRB256" s="2228"/>
      <c r="LRC256" s="2228"/>
      <c r="LRD256" s="2228"/>
      <c r="LRE256" s="2228"/>
      <c r="LRF256" s="2228"/>
      <c r="LRG256" s="2228"/>
      <c r="LRH256" s="2228"/>
      <c r="LRI256" s="2228"/>
      <c r="LRJ256" s="2228"/>
      <c r="LRK256" s="2228"/>
      <c r="LRL256" s="2228"/>
      <c r="LRM256" s="2227"/>
      <c r="LRN256" s="2228"/>
      <c r="LRO256" s="2228"/>
      <c r="LRP256" s="2228"/>
      <c r="LRQ256" s="2228"/>
      <c r="LRR256" s="2228"/>
      <c r="LRS256" s="2228"/>
      <c r="LRT256" s="2228"/>
      <c r="LRU256" s="2228"/>
      <c r="LRV256" s="2228"/>
      <c r="LRW256" s="2228"/>
      <c r="LRX256" s="2228"/>
      <c r="LRY256" s="2228"/>
      <c r="LRZ256" s="2228"/>
      <c r="LSA256" s="2228"/>
      <c r="LSB256" s="2228"/>
      <c r="LSC256" s="2227"/>
      <c r="LSD256" s="2228"/>
      <c r="LSE256" s="2228"/>
      <c r="LSF256" s="2228"/>
      <c r="LSG256" s="2228"/>
      <c r="LSH256" s="2228"/>
      <c r="LSI256" s="2228"/>
      <c r="LSJ256" s="2228"/>
      <c r="LSK256" s="2228"/>
      <c r="LSL256" s="2228"/>
      <c r="LSM256" s="2228"/>
      <c r="LSN256" s="2228"/>
      <c r="LSO256" s="2228"/>
      <c r="LSP256" s="2228"/>
      <c r="LSQ256" s="2228"/>
      <c r="LSR256" s="2228"/>
      <c r="LSS256" s="2227"/>
      <c r="LST256" s="2228"/>
      <c r="LSU256" s="2228"/>
      <c r="LSV256" s="2228"/>
      <c r="LSW256" s="2228"/>
      <c r="LSX256" s="2228"/>
      <c r="LSY256" s="2228"/>
      <c r="LSZ256" s="2228"/>
      <c r="LTA256" s="2228"/>
      <c r="LTB256" s="2228"/>
      <c r="LTC256" s="2228"/>
      <c r="LTD256" s="2228"/>
      <c r="LTE256" s="2228"/>
      <c r="LTF256" s="2228"/>
      <c r="LTG256" s="2228"/>
      <c r="LTH256" s="2228"/>
      <c r="LTI256" s="2227"/>
      <c r="LTJ256" s="2228"/>
      <c r="LTK256" s="2228"/>
      <c r="LTL256" s="2228"/>
      <c r="LTM256" s="2228"/>
      <c r="LTN256" s="2228"/>
      <c r="LTO256" s="2228"/>
      <c r="LTP256" s="2228"/>
      <c r="LTQ256" s="2228"/>
      <c r="LTR256" s="2228"/>
      <c r="LTS256" s="2228"/>
      <c r="LTT256" s="2228"/>
      <c r="LTU256" s="2228"/>
      <c r="LTV256" s="2228"/>
      <c r="LTW256" s="2228"/>
      <c r="LTX256" s="2228"/>
      <c r="LTY256" s="2227"/>
      <c r="LTZ256" s="2228"/>
      <c r="LUA256" s="2228"/>
      <c r="LUB256" s="2228"/>
      <c r="LUC256" s="2228"/>
      <c r="LUD256" s="2228"/>
      <c r="LUE256" s="2228"/>
      <c r="LUF256" s="2228"/>
      <c r="LUG256" s="2228"/>
      <c r="LUH256" s="2228"/>
      <c r="LUI256" s="2228"/>
      <c r="LUJ256" s="2228"/>
      <c r="LUK256" s="2228"/>
      <c r="LUL256" s="2228"/>
      <c r="LUM256" s="2228"/>
      <c r="LUN256" s="2228"/>
      <c r="LUO256" s="2227"/>
      <c r="LUP256" s="2228"/>
      <c r="LUQ256" s="2228"/>
      <c r="LUR256" s="2228"/>
      <c r="LUS256" s="2228"/>
      <c r="LUT256" s="2228"/>
      <c r="LUU256" s="2228"/>
      <c r="LUV256" s="2228"/>
      <c r="LUW256" s="2228"/>
      <c r="LUX256" s="2228"/>
      <c r="LUY256" s="2228"/>
      <c r="LUZ256" s="2228"/>
      <c r="LVA256" s="2228"/>
      <c r="LVB256" s="2228"/>
      <c r="LVC256" s="2228"/>
      <c r="LVD256" s="2228"/>
      <c r="LVE256" s="2227"/>
      <c r="LVF256" s="2228"/>
      <c r="LVG256" s="2228"/>
      <c r="LVH256" s="2228"/>
      <c r="LVI256" s="2228"/>
      <c r="LVJ256" s="2228"/>
      <c r="LVK256" s="2228"/>
      <c r="LVL256" s="2228"/>
      <c r="LVM256" s="2228"/>
      <c r="LVN256" s="2228"/>
      <c r="LVO256" s="2228"/>
      <c r="LVP256" s="2228"/>
      <c r="LVQ256" s="2228"/>
      <c r="LVR256" s="2228"/>
      <c r="LVS256" s="2228"/>
      <c r="LVT256" s="2228"/>
      <c r="LVU256" s="2227"/>
      <c r="LVV256" s="2228"/>
      <c r="LVW256" s="2228"/>
      <c r="LVX256" s="2228"/>
      <c r="LVY256" s="2228"/>
      <c r="LVZ256" s="2228"/>
      <c r="LWA256" s="2228"/>
      <c r="LWB256" s="2228"/>
      <c r="LWC256" s="2228"/>
      <c r="LWD256" s="2228"/>
      <c r="LWE256" s="2228"/>
      <c r="LWF256" s="2228"/>
      <c r="LWG256" s="2228"/>
      <c r="LWH256" s="2228"/>
      <c r="LWI256" s="2228"/>
      <c r="LWJ256" s="2228"/>
      <c r="LWK256" s="2227"/>
      <c r="LWL256" s="2228"/>
      <c r="LWM256" s="2228"/>
      <c r="LWN256" s="2228"/>
      <c r="LWO256" s="2228"/>
      <c r="LWP256" s="2228"/>
      <c r="LWQ256" s="2228"/>
      <c r="LWR256" s="2228"/>
      <c r="LWS256" s="2228"/>
      <c r="LWT256" s="2228"/>
      <c r="LWU256" s="2228"/>
      <c r="LWV256" s="2228"/>
      <c r="LWW256" s="2228"/>
      <c r="LWX256" s="2228"/>
      <c r="LWY256" s="2228"/>
      <c r="LWZ256" s="2228"/>
      <c r="LXA256" s="2227"/>
      <c r="LXB256" s="2228"/>
      <c r="LXC256" s="2228"/>
      <c r="LXD256" s="2228"/>
      <c r="LXE256" s="2228"/>
      <c r="LXF256" s="2228"/>
      <c r="LXG256" s="2228"/>
      <c r="LXH256" s="2228"/>
      <c r="LXI256" s="2228"/>
      <c r="LXJ256" s="2228"/>
      <c r="LXK256" s="2228"/>
      <c r="LXL256" s="2228"/>
      <c r="LXM256" s="2228"/>
      <c r="LXN256" s="2228"/>
      <c r="LXO256" s="2228"/>
      <c r="LXP256" s="2228"/>
      <c r="LXQ256" s="2227"/>
      <c r="LXR256" s="2228"/>
      <c r="LXS256" s="2228"/>
      <c r="LXT256" s="2228"/>
      <c r="LXU256" s="2228"/>
      <c r="LXV256" s="2228"/>
      <c r="LXW256" s="2228"/>
      <c r="LXX256" s="2228"/>
      <c r="LXY256" s="2228"/>
      <c r="LXZ256" s="2228"/>
      <c r="LYA256" s="2228"/>
      <c r="LYB256" s="2228"/>
      <c r="LYC256" s="2228"/>
      <c r="LYD256" s="2228"/>
      <c r="LYE256" s="2228"/>
      <c r="LYF256" s="2228"/>
      <c r="LYG256" s="2227"/>
      <c r="LYH256" s="2228"/>
      <c r="LYI256" s="2228"/>
      <c r="LYJ256" s="2228"/>
      <c r="LYK256" s="2228"/>
      <c r="LYL256" s="2228"/>
      <c r="LYM256" s="2228"/>
      <c r="LYN256" s="2228"/>
      <c r="LYO256" s="2228"/>
      <c r="LYP256" s="2228"/>
      <c r="LYQ256" s="2228"/>
      <c r="LYR256" s="2228"/>
      <c r="LYS256" s="2228"/>
      <c r="LYT256" s="2228"/>
      <c r="LYU256" s="2228"/>
      <c r="LYV256" s="2228"/>
      <c r="LYW256" s="2227"/>
      <c r="LYX256" s="2228"/>
      <c r="LYY256" s="2228"/>
      <c r="LYZ256" s="2228"/>
      <c r="LZA256" s="2228"/>
      <c r="LZB256" s="2228"/>
      <c r="LZC256" s="2228"/>
      <c r="LZD256" s="2228"/>
      <c r="LZE256" s="2228"/>
      <c r="LZF256" s="2228"/>
      <c r="LZG256" s="2228"/>
      <c r="LZH256" s="2228"/>
      <c r="LZI256" s="2228"/>
      <c r="LZJ256" s="2228"/>
      <c r="LZK256" s="2228"/>
      <c r="LZL256" s="2228"/>
      <c r="LZM256" s="2227"/>
      <c r="LZN256" s="2228"/>
      <c r="LZO256" s="2228"/>
      <c r="LZP256" s="2228"/>
      <c r="LZQ256" s="2228"/>
      <c r="LZR256" s="2228"/>
      <c r="LZS256" s="2228"/>
      <c r="LZT256" s="2228"/>
      <c r="LZU256" s="2228"/>
      <c r="LZV256" s="2228"/>
      <c r="LZW256" s="2228"/>
      <c r="LZX256" s="2228"/>
      <c r="LZY256" s="2228"/>
      <c r="LZZ256" s="2228"/>
      <c r="MAA256" s="2228"/>
      <c r="MAB256" s="2228"/>
      <c r="MAC256" s="2227"/>
      <c r="MAD256" s="2228"/>
      <c r="MAE256" s="2228"/>
      <c r="MAF256" s="2228"/>
      <c r="MAG256" s="2228"/>
      <c r="MAH256" s="2228"/>
      <c r="MAI256" s="2228"/>
      <c r="MAJ256" s="2228"/>
      <c r="MAK256" s="2228"/>
      <c r="MAL256" s="2228"/>
      <c r="MAM256" s="2228"/>
      <c r="MAN256" s="2228"/>
      <c r="MAO256" s="2228"/>
      <c r="MAP256" s="2228"/>
      <c r="MAQ256" s="2228"/>
      <c r="MAR256" s="2228"/>
      <c r="MAS256" s="2227"/>
      <c r="MAT256" s="2228"/>
      <c r="MAU256" s="2228"/>
      <c r="MAV256" s="2228"/>
      <c r="MAW256" s="2228"/>
      <c r="MAX256" s="2228"/>
      <c r="MAY256" s="2228"/>
      <c r="MAZ256" s="2228"/>
      <c r="MBA256" s="2228"/>
      <c r="MBB256" s="2228"/>
      <c r="MBC256" s="2228"/>
      <c r="MBD256" s="2228"/>
      <c r="MBE256" s="2228"/>
      <c r="MBF256" s="2228"/>
      <c r="MBG256" s="2228"/>
      <c r="MBH256" s="2228"/>
      <c r="MBI256" s="2227"/>
      <c r="MBJ256" s="2228"/>
      <c r="MBK256" s="2228"/>
      <c r="MBL256" s="2228"/>
      <c r="MBM256" s="2228"/>
      <c r="MBN256" s="2228"/>
      <c r="MBO256" s="2228"/>
      <c r="MBP256" s="2228"/>
      <c r="MBQ256" s="2228"/>
      <c r="MBR256" s="2228"/>
      <c r="MBS256" s="2228"/>
      <c r="MBT256" s="2228"/>
      <c r="MBU256" s="2228"/>
      <c r="MBV256" s="2228"/>
      <c r="MBW256" s="2228"/>
      <c r="MBX256" s="2228"/>
      <c r="MBY256" s="2227"/>
      <c r="MBZ256" s="2228"/>
      <c r="MCA256" s="2228"/>
      <c r="MCB256" s="2228"/>
      <c r="MCC256" s="2228"/>
      <c r="MCD256" s="2228"/>
      <c r="MCE256" s="2228"/>
      <c r="MCF256" s="2228"/>
      <c r="MCG256" s="2228"/>
      <c r="MCH256" s="2228"/>
      <c r="MCI256" s="2228"/>
      <c r="MCJ256" s="2228"/>
      <c r="MCK256" s="2228"/>
      <c r="MCL256" s="2228"/>
      <c r="MCM256" s="2228"/>
      <c r="MCN256" s="2228"/>
      <c r="MCO256" s="2227"/>
      <c r="MCP256" s="2228"/>
      <c r="MCQ256" s="2228"/>
      <c r="MCR256" s="2228"/>
      <c r="MCS256" s="2228"/>
      <c r="MCT256" s="2228"/>
      <c r="MCU256" s="2228"/>
      <c r="MCV256" s="2228"/>
      <c r="MCW256" s="2228"/>
      <c r="MCX256" s="2228"/>
      <c r="MCY256" s="2228"/>
      <c r="MCZ256" s="2228"/>
      <c r="MDA256" s="2228"/>
      <c r="MDB256" s="2228"/>
      <c r="MDC256" s="2228"/>
      <c r="MDD256" s="2228"/>
      <c r="MDE256" s="2227"/>
      <c r="MDF256" s="2228"/>
      <c r="MDG256" s="2228"/>
      <c r="MDH256" s="2228"/>
      <c r="MDI256" s="2228"/>
      <c r="MDJ256" s="2228"/>
      <c r="MDK256" s="2228"/>
      <c r="MDL256" s="2228"/>
      <c r="MDM256" s="2228"/>
      <c r="MDN256" s="2228"/>
      <c r="MDO256" s="2228"/>
      <c r="MDP256" s="2228"/>
      <c r="MDQ256" s="2228"/>
      <c r="MDR256" s="2228"/>
      <c r="MDS256" s="2228"/>
      <c r="MDT256" s="2228"/>
      <c r="MDU256" s="2227"/>
      <c r="MDV256" s="2228"/>
      <c r="MDW256" s="2228"/>
      <c r="MDX256" s="2228"/>
      <c r="MDY256" s="2228"/>
      <c r="MDZ256" s="2228"/>
      <c r="MEA256" s="2228"/>
      <c r="MEB256" s="2228"/>
      <c r="MEC256" s="2228"/>
      <c r="MED256" s="2228"/>
      <c r="MEE256" s="2228"/>
      <c r="MEF256" s="2228"/>
      <c r="MEG256" s="2228"/>
      <c r="MEH256" s="2228"/>
      <c r="MEI256" s="2228"/>
      <c r="MEJ256" s="2228"/>
      <c r="MEK256" s="2227"/>
      <c r="MEL256" s="2228"/>
      <c r="MEM256" s="2228"/>
      <c r="MEN256" s="2228"/>
      <c r="MEO256" s="2228"/>
      <c r="MEP256" s="2228"/>
      <c r="MEQ256" s="2228"/>
      <c r="MER256" s="2228"/>
      <c r="MES256" s="2228"/>
      <c r="MET256" s="2228"/>
      <c r="MEU256" s="2228"/>
      <c r="MEV256" s="2228"/>
      <c r="MEW256" s="2228"/>
      <c r="MEX256" s="2228"/>
      <c r="MEY256" s="2228"/>
      <c r="MEZ256" s="2228"/>
      <c r="MFA256" s="2227"/>
      <c r="MFB256" s="2228"/>
      <c r="MFC256" s="2228"/>
      <c r="MFD256" s="2228"/>
      <c r="MFE256" s="2228"/>
      <c r="MFF256" s="2228"/>
      <c r="MFG256" s="2228"/>
      <c r="MFH256" s="2228"/>
      <c r="MFI256" s="2228"/>
      <c r="MFJ256" s="2228"/>
      <c r="MFK256" s="2228"/>
      <c r="MFL256" s="2228"/>
      <c r="MFM256" s="2228"/>
      <c r="MFN256" s="2228"/>
      <c r="MFO256" s="2228"/>
      <c r="MFP256" s="2228"/>
      <c r="MFQ256" s="2227"/>
      <c r="MFR256" s="2228"/>
      <c r="MFS256" s="2228"/>
      <c r="MFT256" s="2228"/>
      <c r="MFU256" s="2228"/>
      <c r="MFV256" s="2228"/>
      <c r="MFW256" s="2228"/>
      <c r="MFX256" s="2228"/>
      <c r="MFY256" s="2228"/>
      <c r="MFZ256" s="2228"/>
      <c r="MGA256" s="2228"/>
      <c r="MGB256" s="2228"/>
      <c r="MGC256" s="2228"/>
      <c r="MGD256" s="2228"/>
      <c r="MGE256" s="2228"/>
      <c r="MGF256" s="2228"/>
      <c r="MGG256" s="2227"/>
      <c r="MGH256" s="2228"/>
      <c r="MGI256" s="2228"/>
      <c r="MGJ256" s="2228"/>
      <c r="MGK256" s="2228"/>
      <c r="MGL256" s="2228"/>
      <c r="MGM256" s="2228"/>
      <c r="MGN256" s="2228"/>
      <c r="MGO256" s="2228"/>
      <c r="MGP256" s="2228"/>
      <c r="MGQ256" s="2228"/>
      <c r="MGR256" s="2228"/>
      <c r="MGS256" s="2228"/>
      <c r="MGT256" s="2228"/>
      <c r="MGU256" s="2228"/>
      <c r="MGV256" s="2228"/>
      <c r="MGW256" s="2227"/>
      <c r="MGX256" s="2228"/>
      <c r="MGY256" s="2228"/>
      <c r="MGZ256" s="2228"/>
      <c r="MHA256" s="2228"/>
      <c r="MHB256" s="2228"/>
      <c r="MHC256" s="2228"/>
      <c r="MHD256" s="2228"/>
      <c r="MHE256" s="2228"/>
      <c r="MHF256" s="2228"/>
      <c r="MHG256" s="2228"/>
      <c r="MHH256" s="2228"/>
      <c r="MHI256" s="2228"/>
      <c r="MHJ256" s="2228"/>
      <c r="MHK256" s="2228"/>
      <c r="MHL256" s="2228"/>
      <c r="MHM256" s="2227"/>
      <c r="MHN256" s="2228"/>
      <c r="MHO256" s="2228"/>
      <c r="MHP256" s="2228"/>
      <c r="MHQ256" s="2228"/>
      <c r="MHR256" s="2228"/>
      <c r="MHS256" s="2228"/>
      <c r="MHT256" s="2228"/>
      <c r="MHU256" s="2228"/>
      <c r="MHV256" s="2228"/>
      <c r="MHW256" s="2228"/>
      <c r="MHX256" s="2228"/>
      <c r="MHY256" s="2228"/>
      <c r="MHZ256" s="2228"/>
      <c r="MIA256" s="2228"/>
      <c r="MIB256" s="2228"/>
      <c r="MIC256" s="2227"/>
      <c r="MID256" s="2228"/>
      <c r="MIE256" s="2228"/>
      <c r="MIF256" s="2228"/>
      <c r="MIG256" s="2228"/>
      <c r="MIH256" s="2228"/>
      <c r="MII256" s="2228"/>
      <c r="MIJ256" s="2228"/>
      <c r="MIK256" s="2228"/>
      <c r="MIL256" s="2228"/>
      <c r="MIM256" s="2228"/>
      <c r="MIN256" s="2228"/>
      <c r="MIO256" s="2228"/>
      <c r="MIP256" s="2228"/>
      <c r="MIQ256" s="2228"/>
      <c r="MIR256" s="2228"/>
      <c r="MIS256" s="2227"/>
      <c r="MIT256" s="2228"/>
      <c r="MIU256" s="2228"/>
      <c r="MIV256" s="2228"/>
      <c r="MIW256" s="2228"/>
      <c r="MIX256" s="2228"/>
      <c r="MIY256" s="2228"/>
      <c r="MIZ256" s="2228"/>
      <c r="MJA256" s="2228"/>
      <c r="MJB256" s="2228"/>
      <c r="MJC256" s="2228"/>
      <c r="MJD256" s="2228"/>
      <c r="MJE256" s="2228"/>
      <c r="MJF256" s="2228"/>
      <c r="MJG256" s="2228"/>
      <c r="MJH256" s="2228"/>
      <c r="MJI256" s="2227"/>
      <c r="MJJ256" s="2228"/>
      <c r="MJK256" s="2228"/>
      <c r="MJL256" s="2228"/>
      <c r="MJM256" s="2228"/>
      <c r="MJN256" s="2228"/>
      <c r="MJO256" s="2228"/>
      <c r="MJP256" s="2228"/>
      <c r="MJQ256" s="2228"/>
      <c r="MJR256" s="2228"/>
      <c r="MJS256" s="2228"/>
      <c r="MJT256" s="2228"/>
      <c r="MJU256" s="2228"/>
      <c r="MJV256" s="2228"/>
      <c r="MJW256" s="2228"/>
      <c r="MJX256" s="2228"/>
      <c r="MJY256" s="2227"/>
      <c r="MJZ256" s="2228"/>
      <c r="MKA256" s="2228"/>
      <c r="MKB256" s="2228"/>
      <c r="MKC256" s="2228"/>
      <c r="MKD256" s="2228"/>
      <c r="MKE256" s="2228"/>
      <c r="MKF256" s="2228"/>
      <c r="MKG256" s="2228"/>
      <c r="MKH256" s="2228"/>
      <c r="MKI256" s="2228"/>
      <c r="MKJ256" s="2228"/>
      <c r="MKK256" s="2228"/>
      <c r="MKL256" s="2228"/>
      <c r="MKM256" s="2228"/>
      <c r="MKN256" s="2228"/>
      <c r="MKO256" s="2227"/>
      <c r="MKP256" s="2228"/>
      <c r="MKQ256" s="2228"/>
      <c r="MKR256" s="2228"/>
      <c r="MKS256" s="2228"/>
      <c r="MKT256" s="2228"/>
      <c r="MKU256" s="2228"/>
      <c r="MKV256" s="2228"/>
      <c r="MKW256" s="2228"/>
      <c r="MKX256" s="2228"/>
      <c r="MKY256" s="2228"/>
      <c r="MKZ256" s="2228"/>
      <c r="MLA256" s="2228"/>
      <c r="MLB256" s="2228"/>
      <c r="MLC256" s="2228"/>
      <c r="MLD256" s="2228"/>
      <c r="MLE256" s="2227"/>
      <c r="MLF256" s="2228"/>
      <c r="MLG256" s="2228"/>
      <c r="MLH256" s="2228"/>
      <c r="MLI256" s="2228"/>
      <c r="MLJ256" s="2228"/>
      <c r="MLK256" s="2228"/>
      <c r="MLL256" s="2228"/>
      <c r="MLM256" s="2228"/>
      <c r="MLN256" s="2228"/>
      <c r="MLO256" s="2228"/>
      <c r="MLP256" s="2228"/>
      <c r="MLQ256" s="2228"/>
      <c r="MLR256" s="2228"/>
      <c r="MLS256" s="2228"/>
      <c r="MLT256" s="2228"/>
      <c r="MLU256" s="2227"/>
      <c r="MLV256" s="2228"/>
      <c r="MLW256" s="2228"/>
      <c r="MLX256" s="2228"/>
      <c r="MLY256" s="2228"/>
      <c r="MLZ256" s="2228"/>
      <c r="MMA256" s="2228"/>
      <c r="MMB256" s="2228"/>
      <c r="MMC256" s="2228"/>
      <c r="MMD256" s="2228"/>
      <c r="MME256" s="2228"/>
      <c r="MMF256" s="2228"/>
      <c r="MMG256" s="2228"/>
      <c r="MMH256" s="2228"/>
      <c r="MMI256" s="2228"/>
      <c r="MMJ256" s="2228"/>
      <c r="MMK256" s="2227"/>
      <c r="MML256" s="2228"/>
      <c r="MMM256" s="2228"/>
      <c r="MMN256" s="2228"/>
      <c r="MMO256" s="2228"/>
      <c r="MMP256" s="2228"/>
      <c r="MMQ256" s="2228"/>
      <c r="MMR256" s="2228"/>
      <c r="MMS256" s="2228"/>
      <c r="MMT256" s="2228"/>
      <c r="MMU256" s="2228"/>
      <c r="MMV256" s="2228"/>
      <c r="MMW256" s="2228"/>
      <c r="MMX256" s="2228"/>
      <c r="MMY256" s="2228"/>
      <c r="MMZ256" s="2228"/>
      <c r="MNA256" s="2227"/>
      <c r="MNB256" s="2228"/>
      <c r="MNC256" s="2228"/>
      <c r="MND256" s="2228"/>
      <c r="MNE256" s="2228"/>
      <c r="MNF256" s="2228"/>
      <c r="MNG256" s="2228"/>
      <c r="MNH256" s="2228"/>
      <c r="MNI256" s="2228"/>
      <c r="MNJ256" s="2228"/>
      <c r="MNK256" s="2228"/>
      <c r="MNL256" s="2228"/>
      <c r="MNM256" s="2228"/>
      <c r="MNN256" s="2228"/>
      <c r="MNO256" s="2228"/>
      <c r="MNP256" s="2228"/>
      <c r="MNQ256" s="2227"/>
      <c r="MNR256" s="2228"/>
      <c r="MNS256" s="2228"/>
      <c r="MNT256" s="2228"/>
      <c r="MNU256" s="2228"/>
      <c r="MNV256" s="2228"/>
      <c r="MNW256" s="2228"/>
      <c r="MNX256" s="2228"/>
      <c r="MNY256" s="2228"/>
      <c r="MNZ256" s="2228"/>
      <c r="MOA256" s="2228"/>
      <c r="MOB256" s="2228"/>
      <c r="MOC256" s="2228"/>
      <c r="MOD256" s="2228"/>
      <c r="MOE256" s="2228"/>
      <c r="MOF256" s="2228"/>
      <c r="MOG256" s="2227"/>
      <c r="MOH256" s="2228"/>
      <c r="MOI256" s="2228"/>
      <c r="MOJ256" s="2228"/>
      <c r="MOK256" s="2228"/>
      <c r="MOL256" s="2228"/>
      <c r="MOM256" s="2228"/>
      <c r="MON256" s="2228"/>
      <c r="MOO256" s="2228"/>
      <c r="MOP256" s="2228"/>
      <c r="MOQ256" s="2228"/>
      <c r="MOR256" s="2228"/>
      <c r="MOS256" s="2228"/>
      <c r="MOT256" s="2228"/>
      <c r="MOU256" s="2228"/>
      <c r="MOV256" s="2228"/>
      <c r="MOW256" s="2227"/>
      <c r="MOX256" s="2228"/>
      <c r="MOY256" s="2228"/>
      <c r="MOZ256" s="2228"/>
      <c r="MPA256" s="2228"/>
      <c r="MPB256" s="2228"/>
      <c r="MPC256" s="2228"/>
      <c r="MPD256" s="2228"/>
      <c r="MPE256" s="2228"/>
      <c r="MPF256" s="2228"/>
      <c r="MPG256" s="2228"/>
      <c r="MPH256" s="2228"/>
      <c r="MPI256" s="2228"/>
      <c r="MPJ256" s="2228"/>
      <c r="MPK256" s="2228"/>
      <c r="MPL256" s="2228"/>
      <c r="MPM256" s="2227"/>
      <c r="MPN256" s="2228"/>
      <c r="MPO256" s="2228"/>
      <c r="MPP256" s="2228"/>
      <c r="MPQ256" s="2228"/>
      <c r="MPR256" s="2228"/>
      <c r="MPS256" s="2228"/>
      <c r="MPT256" s="2228"/>
      <c r="MPU256" s="2228"/>
      <c r="MPV256" s="2228"/>
      <c r="MPW256" s="2228"/>
      <c r="MPX256" s="2228"/>
      <c r="MPY256" s="2228"/>
      <c r="MPZ256" s="2228"/>
      <c r="MQA256" s="2228"/>
      <c r="MQB256" s="2228"/>
      <c r="MQC256" s="2227"/>
      <c r="MQD256" s="2228"/>
      <c r="MQE256" s="2228"/>
      <c r="MQF256" s="2228"/>
      <c r="MQG256" s="2228"/>
      <c r="MQH256" s="2228"/>
      <c r="MQI256" s="2228"/>
      <c r="MQJ256" s="2228"/>
      <c r="MQK256" s="2228"/>
      <c r="MQL256" s="2228"/>
      <c r="MQM256" s="2228"/>
      <c r="MQN256" s="2228"/>
      <c r="MQO256" s="2228"/>
      <c r="MQP256" s="2228"/>
      <c r="MQQ256" s="2228"/>
      <c r="MQR256" s="2228"/>
      <c r="MQS256" s="2227"/>
      <c r="MQT256" s="2228"/>
      <c r="MQU256" s="2228"/>
      <c r="MQV256" s="2228"/>
      <c r="MQW256" s="2228"/>
      <c r="MQX256" s="2228"/>
      <c r="MQY256" s="2228"/>
      <c r="MQZ256" s="2228"/>
      <c r="MRA256" s="2228"/>
      <c r="MRB256" s="2228"/>
      <c r="MRC256" s="2228"/>
      <c r="MRD256" s="2228"/>
      <c r="MRE256" s="2228"/>
      <c r="MRF256" s="2228"/>
      <c r="MRG256" s="2228"/>
      <c r="MRH256" s="2228"/>
      <c r="MRI256" s="2227"/>
      <c r="MRJ256" s="2228"/>
      <c r="MRK256" s="2228"/>
      <c r="MRL256" s="2228"/>
      <c r="MRM256" s="2228"/>
      <c r="MRN256" s="2228"/>
      <c r="MRO256" s="2228"/>
      <c r="MRP256" s="2228"/>
      <c r="MRQ256" s="2228"/>
      <c r="MRR256" s="2228"/>
      <c r="MRS256" s="2228"/>
      <c r="MRT256" s="2228"/>
      <c r="MRU256" s="2228"/>
      <c r="MRV256" s="2228"/>
      <c r="MRW256" s="2228"/>
      <c r="MRX256" s="2228"/>
      <c r="MRY256" s="2227"/>
      <c r="MRZ256" s="2228"/>
      <c r="MSA256" s="2228"/>
      <c r="MSB256" s="2228"/>
      <c r="MSC256" s="2228"/>
      <c r="MSD256" s="2228"/>
      <c r="MSE256" s="2228"/>
      <c r="MSF256" s="2228"/>
      <c r="MSG256" s="2228"/>
      <c r="MSH256" s="2228"/>
      <c r="MSI256" s="2228"/>
      <c r="MSJ256" s="2228"/>
      <c r="MSK256" s="2228"/>
      <c r="MSL256" s="2228"/>
      <c r="MSM256" s="2228"/>
      <c r="MSN256" s="2228"/>
      <c r="MSO256" s="2227"/>
      <c r="MSP256" s="2228"/>
      <c r="MSQ256" s="2228"/>
      <c r="MSR256" s="2228"/>
      <c r="MSS256" s="2228"/>
      <c r="MST256" s="2228"/>
      <c r="MSU256" s="2228"/>
      <c r="MSV256" s="2228"/>
      <c r="MSW256" s="2228"/>
      <c r="MSX256" s="2228"/>
      <c r="MSY256" s="2228"/>
      <c r="MSZ256" s="2228"/>
      <c r="MTA256" s="2228"/>
      <c r="MTB256" s="2228"/>
      <c r="MTC256" s="2228"/>
      <c r="MTD256" s="2228"/>
      <c r="MTE256" s="2227"/>
      <c r="MTF256" s="2228"/>
      <c r="MTG256" s="2228"/>
      <c r="MTH256" s="2228"/>
      <c r="MTI256" s="2228"/>
      <c r="MTJ256" s="2228"/>
      <c r="MTK256" s="2228"/>
      <c r="MTL256" s="2228"/>
      <c r="MTM256" s="2228"/>
      <c r="MTN256" s="2228"/>
      <c r="MTO256" s="2228"/>
      <c r="MTP256" s="2228"/>
      <c r="MTQ256" s="2228"/>
      <c r="MTR256" s="2228"/>
      <c r="MTS256" s="2228"/>
      <c r="MTT256" s="2228"/>
      <c r="MTU256" s="2227"/>
      <c r="MTV256" s="2228"/>
      <c r="MTW256" s="2228"/>
      <c r="MTX256" s="2228"/>
      <c r="MTY256" s="2228"/>
      <c r="MTZ256" s="2228"/>
      <c r="MUA256" s="2228"/>
      <c r="MUB256" s="2228"/>
      <c r="MUC256" s="2228"/>
      <c r="MUD256" s="2228"/>
      <c r="MUE256" s="2228"/>
      <c r="MUF256" s="2228"/>
      <c r="MUG256" s="2228"/>
      <c r="MUH256" s="2228"/>
      <c r="MUI256" s="2228"/>
      <c r="MUJ256" s="2228"/>
      <c r="MUK256" s="2227"/>
      <c r="MUL256" s="2228"/>
      <c r="MUM256" s="2228"/>
      <c r="MUN256" s="2228"/>
      <c r="MUO256" s="2228"/>
      <c r="MUP256" s="2228"/>
      <c r="MUQ256" s="2228"/>
      <c r="MUR256" s="2228"/>
      <c r="MUS256" s="2228"/>
      <c r="MUT256" s="2228"/>
      <c r="MUU256" s="2228"/>
      <c r="MUV256" s="2228"/>
      <c r="MUW256" s="2228"/>
      <c r="MUX256" s="2228"/>
      <c r="MUY256" s="2228"/>
      <c r="MUZ256" s="2228"/>
      <c r="MVA256" s="2227"/>
      <c r="MVB256" s="2228"/>
      <c r="MVC256" s="2228"/>
      <c r="MVD256" s="2228"/>
      <c r="MVE256" s="2228"/>
      <c r="MVF256" s="2228"/>
      <c r="MVG256" s="2228"/>
      <c r="MVH256" s="2228"/>
      <c r="MVI256" s="2228"/>
      <c r="MVJ256" s="2228"/>
      <c r="MVK256" s="2228"/>
      <c r="MVL256" s="2228"/>
      <c r="MVM256" s="2228"/>
      <c r="MVN256" s="2228"/>
      <c r="MVO256" s="2228"/>
      <c r="MVP256" s="2228"/>
      <c r="MVQ256" s="2227"/>
      <c r="MVR256" s="2228"/>
      <c r="MVS256" s="2228"/>
      <c r="MVT256" s="2228"/>
      <c r="MVU256" s="2228"/>
      <c r="MVV256" s="2228"/>
      <c r="MVW256" s="2228"/>
      <c r="MVX256" s="2228"/>
      <c r="MVY256" s="2228"/>
      <c r="MVZ256" s="2228"/>
      <c r="MWA256" s="2228"/>
      <c r="MWB256" s="2228"/>
      <c r="MWC256" s="2228"/>
      <c r="MWD256" s="2228"/>
      <c r="MWE256" s="2228"/>
      <c r="MWF256" s="2228"/>
      <c r="MWG256" s="2227"/>
      <c r="MWH256" s="2228"/>
      <c r="MWI256" s="2228"/>
      <c r="MWJ256" s="2228"/>
      <c r="MWK256" s="2228"/>
      <c r="MWL256" s="2228"/>
      <c r="MWM256" s="2228"/>
      <c r="MWN256" s="2228"/>
      <c r="MWO256" s="2228"/>
      <c r="MWP256" s="2228"/>
      <c r="MWQ256" s="2228"/>
      <c r="MWR256" s="2228"/>
      <c r="MWS256" s="2228"/>
      <c r="MWT256" s="2228"/>
      <c r="MWU256" s="2228"/>
      <c r="MWV256" s="2228"/>
      <c r="MWW256" s="2227"/>
      <c r="MWX256" s="2228"/>
      <c r="MWY256" s="2228"/>
      <c r="MWZ256" s="2228"/>
      <c r="MXA256" s="2228"/>
      <c r="MXB256" s="2228"/>
      <c r="MXC256" s="2228"/>
      <c r="MXD256" s="2228"/>
      <c r="MXE256" s="2228"/>
      <c r="MXF256" s="2228"/>
      <c r="MXG256" s="2228"/>
      <c r="MXH256" s="2228"/>
      <c r="MXI256" s="2228"/>
      <c r="MXJ256" s="2228"/>
      <c r="MXK256" s="2228"/>
      <c r="MXL256" s="2228"/>
      <c r="MXM256" s="2227"/>
      <c r="MXN256" s="2228"/>
      <c r="MXO256" s="2228"/>
      <c r="MXP256" s="2228"/>
      <c r="MXQ256" s="2228"/>
      <c r="MXR256" s="2228"/>
      <c r="MXS256" s="2228"/>
      <c r="MXT256" s="2228"/>
      <c r="MXU256" s="2228"/>
      <c r="MXV256" s="2228"/>
      <c r="MXW256" s="2228"/>
      <c r="MXX256" s="2228"/>
      <c r="MXY256" s="2228"/>
      <c r="MXZ256" s="2228"/>
      <c r="MYA256" s="2228"/>
      <c r="MYB256" s="2228"/>
      <c r="MYC256" s="2227"/>
      <c r="MYD256" s="2228"/>
      <c r="MYE256" s="2228"/>
      <c r="MYF256" s="2228"/>
      <c r="MYG256" s="2228"/>
      <c r="MYH256" s="2228"/>
      <c r="MYI256" s="2228"/>
      <c r="MYJ256" s="2228"/>
      <c r="MYK256" s="2228"/>
      <c r="MYL256" s="2228"/>
      <c r="MYM256" s="2228"/>
      <c r="MYN256" s="2228"/>
      <c r="MYO256" s="2228"/>
      <c r="MYP256" s="2228"/>
      <c r="MYQ256" s="2228"/>
      <c r="MYR256" s="2228"/>
      <c r="MYS256" s="2227"/>
      <c r="MYT256" s="2228"/>
      <c r="MYU256" s="2228"/>
      <c r="MYV256" s="2228"/>
      <c r="MYW256" s="2228"/>
      <c r="MYX256" s="2228"/>
      <c r="MYY256" s="2228"/>
      <c r="MYZ256" s="2228"/>
      <c r="MZA256" s="2228"/>
      <c r="MZB256" s="2228"/>
      <c r="MZC256" s="2228"/>
      <c r="MZD256" s="2228"/>
      <c r="MZE256" s="2228"/>
      <c r="MZF256" s="2228"/>
      <c r="MZG256" s="2228"/>
      <c r="MZH256" s="2228"/>
      <c r="MZI256" s="2227"/>
      <c r="MZJ256" s="2228"/>
      <c r="MZK256" s="2228"/>
      <c r="MZL256" s="2228"/>
      <c r="MZM256" s="2228"/>
      <c r="MZN256" s="2228"/>
      <c r="MZO256" s="2228"/>
      <c r="MZP256" s="2228"/>
      <c r="MZQ256" s="2228"/>
      <c r="MZR256" s="2228"/>
      <c r="MZS256" s="2228"/>
      <c r="MZT256" s="2228"/>
      <c r="MZU256" s="2228"/>
      <c r="MZV256" s="2228"/>
      <c r="MZW256" s="2228"/>
      <c r="MZX256" s="2228"/>
      <c r="MZY256" s="2227"/>
      <c r="MZZ256" s="2228"/>
      <c r="NAA256" s="2228"/>
      <c r="NAB256" s="2228"/>
      <c r="NAC256" s="2228"/>
      <c r="NAD256" s="2228"/>
      <c r="NAE256" s="2228"/>
      <c r="NAF256" s="2228"/>
      <c r="NAG256" s="2228"/>
      <c r="NAH256" s="2228"/>
      <c r="NAI256" s="2228"/>
      <c r="NAJ256" s="2228"/>
      <c r="NAK256" s="2228"/>
      <c r="NAL256" s="2228"/>
      <c r="NAM256" s="2228"/>
      <c r="NAN256" s="2228"/>
      <c r="NAO256" s="2227"/>
      <c r="NAP256" s="2228"/>
      <c r="NAQ256" s="2228"/>
      <c r="NAR256" s="2228"/>
      <c r="NAS256" s="2228"/>
      <c r="NAT256" s="2228"/>
      <c r="NAU256" s="2228"/>
      <c r="NAV256" s="2228"/>
      <c r="NAW256" s="2228"/>
      <c r="NAX256" s="2228"/>
      <c r="NAY256" s="2228"/>
      <c r="NAZ256" s="2228"/>
      <c r="NBA256" s="2228"/>
      <c r="NBB256" s="2228"/>
      <c r="NBC256" s="2228"/>
      <c r="NBD256" s="2228"/>
      <c r="NBE256" s="2227"/>
      <c r="NBF256" s="2228"/>
      <c r="NBG256" s="2228"/>
      <c r="NBH256" s="2228"/>
      <c r="NBI256" s="2228"/>
      <c r="NBJ256" s="2228"/>
      <c r="NBK256" s="2228"/>
      <c r="NBL256" s="2228"/>
      <c r="NBM256" s="2228"/>
      <c r="NBN256" s="2228"/>
      <c r="NBO256" s="2228"/>
      <c r="NBP256" s="2228"/>
      <c r="NBQ256" s="2228"/>
      <c r="NBR256" s="2228"/>
      <c r="NBS256" s="2228"/>
      <c r="NBT256" s="2228"/>
      <c r="NBU256" s="2227"/>
      <c r="NBV256" s="2228"/>
      <c r="NBW256" s="2228"/>
      <c r="NBX256" s="2228"/>
      <c r="NBY256" s="2228"/>
      <c r="NBZ256" s="2228"/>
      <c r="NCA256" s="2228"/>
      <c r="NCB256" s="2228"/>
      <c r="NCC256" s="2228"/>
      <c r="NCD256" s="2228"/>
      <c r="NCE256" s="2228"/>
      <c r="NCF256" s="2228"/>
      <c r="NCG256" s="2228"/>
      <c r="NCH256" s="2228"/>
      <c r="NCI256" s="2228"/>
      <c r="NCJ256" s="2228"/>
      <c r="NCK256" s="2227"/>
      <c r="NCL256" s="2228"/>
      <c r="NCM256" s="2228"/>
      <c r="NCN256" s="2228"/>
      <c r="NCO256" s="2228"/>
      <c r="NCP256" s="2228"/>
      <c r="NCQ256" s="2228"/>
      <c r="NCR256" s="2228"/>
      <c r="NCS256" s="2228"/>
      <c r="NCT256" s="2228"/>
      <c r="NCU256" s="2228"/>
      <c r="NCV256" s="2228"/>
      <c r="NCW256" s="2228"/>
      <c r="NCX256" s="2228"/>
      <c r="NCY256" s="2228"/>
      <c r="NCZ256" s="2228"/>
      <c r="NDA256" s="2227"/>
      <c r="NDB256" s="2228"/>
      <c r="NDC256" s="2228"/>
      <c r="NDD256" s="2228"/>
      <c r="NDE256" s="2228"/>
      <c r="NDF256" s="2228"/>
      <c r="NDG256" s="2228"/>
      <c r="NDH256" s="2228"/>
      <c r="NDI256" s="2228"/>
      <c r="NDJ256" s="2228"/>
      <c r="NDK256" s="2228"/>
      <c r="NDL256" s="2228"/>
      <c r="NDM256" s="2228"/>
      <c r="NDN256" s="2228"/>
      <c r="NDO256" s="2228"/>
      <c r="NDP256" s="2228"/>
      <c r="NDQ256" s="2227"/>
      <c r="NDR256" s="2228"/>
      <c r="NDS256" s="2228"/>
      <c r="NDT256" s="2228"/>
      <c r="NDU256" s="2228"/>
      <c r="NDV256" s="2228"/>
      <c r="NDW256" s="2228"/>
      <c r="NDX256" s="2228"/>
      <c r="NDY256" s="2228"/>
      <c r="NDZ256" s="2228"/>
      <c r="NEA256" s="2228"/>
      <c r="NEB256" s="2228"/>
      <c r="NEC256" s="2228"/>
      <c r="NED256" s="2228"/>
      <c r="NEE256" s="2228"/>
      <c r="NEF256" s="2228"/>
      <c r="NEG256" s="2227"/>
      <c r="NEH256" s="2228"/>
      <c r="NEI256" s="2228"/>
      <c r="NEJ256" s="2228"/>
      <c r="NEK256" s="2228"/>
      <c r="NEL256" s="2228"/>
      <c r="NEM256" s="2228"/>
      <c r="NEN256" s="2228"/>
      <c r="NEO256" s="2228"/>
      <c r="NEP256" s="2228"/>
      <c r="NEQ256" s="2228"/>
      <c r="NER256" s="2228"/>
      <c r="NES256" s="2228"/>
      <c r="NET256" s="2228"/>
      <c r="NEU256" s="2228"/>
      <c r="NEV256" s="2228"/>
      <c r="NEW256" s="2227"/>
      <c r="NEX256" s="2228"/>
      <c r="NEY256" s="2228"/>
      <c r="NEZ256" s="2228"/>
      <c r="NFA256" s="2228"/>
      <c r="NFB256" s="2228"/>
      <c r="NFC256" s="2228"/>
      <c r="NFD256" s="2228"/>
      <c r="NFE256" s="2228"/>
      <c r="NFF256" s="2228"/>
      <c r="NFG256" s="2228"/>
      <c r="NFH256" s="2228"/>
      <c r="NFI256" s="2228"/>
      <c r="NFJ256" s="2228"/>
      <c r="NFK256" s="2228"/>
      <c r="NFL256" s="2228"/>
      <c r="NFM256" s="2227"/>
      <c r="NFN256" s="2228"/>
      <c r="NFO256" s="2228"/>
      <c r="NFP256" s="2228"/>
      <c r="NFQ256" s="2228"/>
      <c r="NFR256" s="2228"/>
      <c r="NFS256" s="2228"/>
      <c r="NFT256" s="2228"/>
      <c r="NFU256" s="2228"/>
      <c r="NFV256" s="2228"/>
      <c r="NFW256" s="2228"/>
      <c r="NFX256" s="2228"/>
      <c r="NFY256" s="2228"/>
      <c r="NFZ256" s="2228"/>
      <c r="NGA256" s="2228"/>
      <c r="NGB256" s="2228"/>
      <c r="NGC256" s="2227"/>
      <c r="NGD256" s="2228"/>
      <c r="NGE256" s="2228"/>
      <c r="NGF256" s="2228"/>
      <c r="NGG256" s="2228"/>
      <c r="NGH256" s="2228"/>
      <c r="NGI256" s="2228"/>
      <c r="NGJ256" s="2228"/>
      <c r="NGK256" s="2228"/>
      <c r="NGL256" s="2228"/>
      <c r="NGM256" s="2228"/>
      <c r="NGN256" s="2228"/>
      <c r="NGO256" s="2228"/>
      <c r="NGP256" s="2228"/>
      <c r="NGQ256" s="2228"/>
      <c r="NGR256" s="2228"/>
      <c r="NGS256" s="2227"/>
      <c r="NGT256" s="2228"/>
      <c r="NGU256" s="2228"/>
      <c r="NGV256" s="2228"/>
      <c r="NGW256" s="2228"/>
      <c r="NGX256" s="2228"/>
      <c r="NGY256" s="2228"/>
      <c r="NGZ256" s="2228"/>
      <c r="NHA256" s="2228"/>
      <c r="NHB256" s="2228"/>
      <c r="NHC256" s="2228"/>
      <c r="NHD256" s="2228"/>
      <c r="NHE256" s="2228"/>
      <c r="NHF256" s="2228"/>
      <c r="NHG256" s="2228"/>
      <c r="NHH256" s="2228"/>
      <c r="NHI256" s="2227"/>
      <c r="NHJ256" s="2228"/>
      <c r="NHK256" s="2228"/>
      <c r="NHL256" s="2228"/>
      <c r="NHM256" s="2228"/>
      <c r="NHN256" s="2228"/>
      <c r="NHO256" s="2228"/>
      <c r="NHP256" s="2228"/>
      <c r="NHQ256" s="2228"/>
      <c r="NHR256" s="2228"/>
      <c r="NHS256" s="2228"/>
      <c r="NHT256" s="2228"/>
      <c r="NHU256" s="2228"/>
      <c r="NHV256" s="2228"/>
      <c r="NHW256" s="2228"/>
      <c r="NHX256" s="2228"/>
      <c r="NHY256" s="2227"/>
      <c r="NHZ256" s="2228"/>
      <c r="NIA256" s="2228"/>
      <c r="NIB256" s="2228"/>
      <c r="NIC256" s="2228"/>
      <c r="NID256" s="2228"/>
      <c r="NIE256" s="2228"/>
      <c r="NIF256" s="2228"/>
      <c r="NIG256" s="2228"/>
      <c r="NIH256" s="2228"/>
      <c r="NII256" s="2228"/>
      <c r="NIJ256" s="2228"/>
      <c r="NIK256" s="2228"/>
      <c r="NIL256" s="2228"/>
      <c r="NIM256" s="2228"/>
      <c r="NIN256" s="2228"/>
      <c r="NIO256" s="2227"/>
      <c r="NIP256" s="2228"/>
      <c r="NIQ256" s="2228"/>
      <c r="NIR256" s="2228"/>
      <c r="NIS256" s="2228"/>
      <c r="NIT256" s="2228"/>
      <c r="NIU256" s="2228"/>
      <c r="NIV256" s="2228"/>
      <c r="NIW256" s="2228"/>
      <c r="NIX256" s="2228"/>
      <c r="NIY256" s="2228"/>
      <c r="NIZ256" s="2228"/>
      <c r="NJA256" s="2228"/>
      <c r="NJB256" s="2228"/>
      <c r="NJC256" s="2228"/>
      <c r="NJD256" s="2228"/>
      <c r="NJE256" s="2227"/>
      <c r="NJF256" s="2228"/>
      <c r="NJG256" s="2228"/>
      <c r="NJH256" s="2228"/>
      <c r="NJI256" s="2228"/>
      <c r="NJJ256" s="2228"/>
      <c r="NJK256" s="2228"/>
      <c r="NJL256" s="2228"/>
      <c r="NJM256" s="2228"/>
      <c r="NJN256" s="2228"/>
      <c r="NJO256" s="2228"/>
      <c r="NJP256" s="2228"/>
      <c r="NJQ256" s="2228"/>
      <c r="NJR256" s="2228"/>
      <c r="NJS256" s="2228"/>
      <c r="NJT256" s="2228"/>
      <c r="NJU256" s="2227"/>
      <c r="NJV256" s="2228"/>
      <c r="NJW256" s="2228"/>
      <c r="NJX256" s="2228"/>
      <c r="NJY256" s="2228"/>
      <c r="NJZ256" s="2228"/>
      <c r="NKA256" s="2228"/>
      <c r="NKB256" s="2228"/>
      <c r="NKC256" s="2228"/>
      <c r="NKD256" s="2228"/>
      <c r="NKE256" s="2228"/>
      <c r="NKF256" s="2228"/>
      <c r="NKG256" s="2228"/>
      <c r="NKH256" s="2228"/>
      <c r="NKI256" s="2228"/>
      <c r="NKJ256" s="2228"/>
      <c r="NKK256" s="2227"/>
      <c r="NKL256" s="2228"/>
      <c r="NKM256" s="2228"/>
      <c r="NKN256" s="2228"/>
      <c r="NKO256" s="2228"/>
      <c r="NKP256" s="2228"/>
      <c r="NKQ256" s="2228"/>
      <c r="NKR256" s="2228"/>
      <c r="NKS256" s="2228"/>
      <c r="NKT256" s="2228"/>
      <c r="NKU256" s="2228"/>
      <c r="NKV256" s="2228"/>
      <c r="NKW256" s="2228"/>
      <c r="NKX256" s="2228"/>
      <c r="NKY256" s="2228"/>
      <c r="NKZ256" s="2228"/>
      <c r="NLA256" s="2227"/>
      <c r="NLB256" s="2228"/>
      <c r="NLC256" s="2228"/>
      <c r="NLD256" s="2228"/>
      <c r="NLE256" s="2228"/>
      <c r="NLF256" s="2228"/>
      <c r="NLG256" s="2228"/>
      <c r="NLH256" s="2228"/>
      <c r="NLI256" s="2228"/>
      <c r="NLJ256" s="2228"/>
      <c r="NLK256" s="2228"/>
      <c r="NLL256" s="2228"/>
      <c r="NLM256" s="2228"/>
      <c r="NLN256" s="2228"/>
      <c r="NLO256" s="2228"/>
      <c r="NLP256" s="2228"/>
      <c r="NLQ256" s="2227"/>
      <c r="NLR256" s="2228"/>
      <c r="NLS256" s="2228"/>
      <c r="NLT256" s="2228"/>
      <c r="NLU256" s="2228"/>
      <c r="NLV256" s="2228"/>
      <c r="NLW256" s="2228"/>
      <c r="NLX256" s="2228"/>
      <c r="NLY256" s="2228"/>
      <c r="NLZ256" s="2228"/>
      <c r="NMA256" s="2228"/>
      <c r="NMB256" s="2228"/>
      <c r="NMC256" s="2228"/>
      <c r="NMD256" s="2228"/>
      <c r="NME256" s="2228"/>
      <c r="NMF256" s="2228"/>
      <c r="NMG256" s="2227"/>
      <c r="NMH256" s="2228"/>
      <c r="NMI256" s="2228"/>
      <c r="NMJ256" s="2228"/>
      <c r="NMK256" s="2228"/>
      <c r="NML256" s="2228"/>
      <c r="NMM256" s="2228"/>
      <c r="NMN256" s="2228"/>
      <c r="NMO256" s="2228"/>
      <c r="NMP256" s="2228"/>
      <c r="NMQ256" s="2228"/>
      <c r="NMR256" s="2228"/>
      <c r="NMS256" s="2228"/>
      <c r="NMT256" s="2228"/>
      <c r="NMU256" s="2228"/>
      <c r="NMV256" s="2228"/>
      <c r="NMW256" s="2227"/>
      <c r="NMX256" s="2228"/>
      <c r="NMY256" s="2228"/>
      <c r="NMZ256" s="2228"/>
      <c r="NNA256" s="2228"/>
      <c r="NNB256" s="2228"/>
      <c r="NNC256" s="2228"/>
      <c r="NND256" s="2228"/>
      <c r="NNE256" s="2228"/>
      <c r="NNF256" s="2228"/>
      <c r="NNG256" s="2228"/>
      <c r="NNH256" s="2228"/>
      <c r="NNI256" s="2228"/>
      <c r="NNJ256" s="2228"/>
      <c r="NNK256" s="2228"/>
      <c r="NNL256" s="2228"/>
      <c r="NNM256" s="2227"/>
      <c r="NNN256" s="2228"/>
      <c r="NNO256" s="2228"/>
      <c r="NNP256" s="2228"/>
      <c r="NNQ256" s="2228"/>
      <c r="NNR256" s="2228"/>
      <c r="NNS256" s="2228"/>
      <c r="NNT256" s="2228"/>
      <c r="NNU256" s="2228"/>
      <c r="NNV256" s="2228"/>
      <c r="NNW256" s="2228"/>
      <c r="NNX256" s="2228"/>
      <c r="NNY256" s="2228"/>
      <c r="NNZ256" s="2228"/>
      <c r="NOA256" s="2228"/>
      <c r="NOB256" s="2228"/>
      <c r="NOC256" s="2227"/>
      <c r="NOD256" s="2228"/>
      <c r="NOE256" s="2228"/>
      <c r="NOF256" s="2228"/>
      <c r="NOG256" s="2228"/>
      <c r="NOH256" s="2228"/>
      <c r="NOI256" s="2228"/>
      <c r="NOJ256" s="2228"/>
      <c r="NOK256" s="2228"/>
      <c r="NOL256" s="2228"/>
      <c r="NOM256" s="2228"/>
      <c r="NON256" s="2228"/>
      <c r="NOO256" s="2228"/>
      <c r="NOP256" s="2228"/>
      <c r="NOQ256" s="2228"/>
      <c r="NOR256" s="2228"/>
      <c r="NOS256" s="2227"/>
      <c r="NOT256" s="2228"/>
      <c r="NOU256" s="2228"/>
      <c r="NOV256" s="2228"/>
      <c r="NOW256" s="2228"/>
      <c r="NOX256" s="2228"/>
      <c r="NOY256" s="2228"/>
      <c r="NOZ256" s="2228"/>
      <c r="NPA256" s="2228"/>
      <c r="NPB256" s="2228"/>
      <c r="NPC256" s="2228"/>
      <c r="NPD256" s="2228"/>
      <c r="NPE256" s="2228"/>
      <c r="NPF256" s="2228"/>
      <c r="NPG256" s="2228"/>
      <c r="NPH256" s="2228"/>
      <c r="NPI256" s="2227"/>
      <c r="NPJ256" s="2228"/>
      <c r="NPK256" s="2228"/>
      <c r="NPL256" s="2228"/>
      <c r="NPM256" s="2228"/>
      <c r="NPN256" s="2228"/>
      <c r="NPO256" s="2228"/>
      <c r="NPP256" s="2228"/>
      <c r="NPQ256" s="2228"/>
      <c r="NPR256" s="2228"/>
      <c r="NPS256" s="2228"/>
      <c r="NPT256" s="2228"/>
      <c r="NPU256" s="2228"/>
      <c r="NPV256" s="2228"/>
      <c r="NPW256" s="2228"/>
      <c r="NPX256" s="2228"/>
      <c r="NPY256" s="2227"/>
      <c r="NPZ256" s="2228"/>
      <c r="NQA256" s="2228"/>
      <c r="NQB256" s="2228"/>
      <c r="NQC256" s="2228"/>
      <c r="NQD256" s="2228"/>
      <c r="NQE256" s="2228"/>
      <c r="NQF256" s="2228"/>
      <c r="NQG256" s="2228"/>
      <c r="NQH256" s="2228"/>
      <c r="NQI256" s="2228"/>
      <c r="NQJ256" s="2228"/>
      <c r="NQK256" s="2228"/>
      <c r="NQL256" s="2228"/>
      <c r="NQM256" s="2228"/>
      <c r="NQN256" s="2228"/>
      <c r="NQO256" s="2227"/>
      <c r="NQP256" s="2228"/>
      <c r="NQQ256" s="2228"/>
      <c r="NQR256" s="2228"/>
      <c r="NQS256" s="2228"/>
      <c r="NQT256" s="2228"/>
      <c r="NQU256" s="2228"/>
      <c r="NQV256" s="2228"/>
      <c r="NQW256" s="2228"/>
      <c r="NQX256" s="2228"/>
      <c r="NQY256" s="2228"/>
      <c r="NQZ256" s="2228"/>
      <c r="NRA256" s="2228"/>
      <c r="NRB256" s="2228"/>
      <c r="NRC256" s="2228"/>
      <c r="NRD256" s="2228"/>
      <c r="NRE256" s="2227"/>
      <c r="NRF256" s="2228"/>
      <c r="NRG256" s="2228"/>
      <c r="NRH256" s="2228"/>
      <c r="NRI256" s="2228"/>
      <c r="NRJ256" s="2228"/>
      <c r="NRK256" s="2228"/>
      <c r="NRL256" s="2228"/>
      <c r="NRM256" s="2228"/>
      <c r="NRN256" s="2228"/>
      <c r="NRO256" s="2228"/>
      <c r="NRP256" s="2228"/>
      <c r="NRQ256" s="2228"/>
      <c r="NRR256" s="2228"/>
      <c r="NRS256" s="2228"/>
      <c r="NRT256" s="2228"/>
      <c r="NRU256" s="2227"/>
      <c r="NRV256" s="2228"/>
      <c r="NRW256" s="2228"/>
      <c r="NRX256" s="2228"/>
      <c r="NRY256" s="2228"/>
      <c r="NRZ256" s="2228"/>
      <c r="NSA256" s="2228"/>
      <c r="NSB256" s="2228"/>
      <c r="NSC256" s="2228"/>
      <c r="NSD256" s="2228"/>
      <c r="NSE256" s="2228"/>
      <c r="NSF256" s="2228"/>
      <c r="NSG256" s="2228"/>
      <c r="NSH256" s="2228"/>
      <c r="NSI256" s="2228"/>
      <c r="NSJ256" s="2228"/>
      <c r="NSK256" s="2227"/>
      <c r="NSL256" s="2228"/>
      <c r="NSM256" s="2228"/>
      <c r="NSN256" s="2228"/>
      <c r="NSO256" s="2228"/>
      <c r="NSP256" s="2228"/>
      <c r="NSQ256" s="2228"/>
      <c r="NSR256" s="2228"/>
      <c r="NSS256" s="2228"/>
      <c r="NST256" s="2228"/>
      <c r="NSU256" s="2228"/>
      <c r="NSV256" s="2228"/>
      <c r="NSW256" s="2228"/>
      <c r="NSX256" s="2228"/>
      <c r="NSY256" s="2228"/>
      <c r="NSZ256" s="2228"/>
      <c r="NTA256" s="2227"/>
      <c r="NTB256" s="2228"/>
      <c r="NTC256" s="2228"/>
      <c r="NTD256" s="2228"/>
      <c r="NTE256" s="2228"/>
      <c r="NTF256" s="2228"/>
      <c r="NTG256" s="2228"/>
      <c r="NTH256" s="2228"/>
      <c r="NTI256" s="2228"/>
      <c r="NTJ256" s="2228"/>
      <c r="NTK256" s="2228"/>
      <c r="NTL256" s="2228"/>
      <c r="NTM256" s="2228"/>
      <c r="NTN256" s="2228"/>
      <c r="NTO256" s="2228"/>
      <c r="NTP256" s="2228"/>
      <c r="NTQ256" s="2227"/>
      <c r="NTR256" s="2228"/>
      <c r="NTS256" s="2228"/>
      <c r="NTT256" s="2228"/>
      <c r="NTU256" s="2228"/>
      <c r="NTV256" s="2228"/>
      <c r="NTW256" s="2228"/>
      <c r="NTX256" s="2228"/>
      <c r="NTY256" s="2228"/>
      <c r="NTZ256" s="2228"/>
      <c r="NUA256" s="2228"/>
      <c r="NUB256" s="2228"/>
      <c r="NUC256" s="2228"/>
      <c r="NUD256" s="2228"/>
      <c r="NUE256" s="2228"/>
      <c r="NUF256" s="2228"/>
      <c r="NUG256" s="2227"/>
      <c r="NUH256" s="2228"/>
      <c r="NUI256" s="2228"/>
      <c r="NUJ256" s="2228"/>
      <c r="NUK256" s="2228"/>
      <c r="NUL256" s="2228"/>
      <c r="NUM256" s="2228"/>
      <c r="NUN256" s="2228"/>
      <c r="NUO256" s="2228"/>
      <c r="NUP256" s="2228"/>
      <c r="NUQ256" s="2228"/>
      <c r="NUR256" s="2228"/>
      <c r="NUS256" s="2228"/>
      <c r="NUT256" s="2228"/>
      <c r="NUU256" s="2228"/>
      <c r="NUV256" s="2228"/>
      <c r="NUW256" s="2227"/>
      <c r="NUX256" s="2228"/>
      <c r="NUY256" s="2228"/>
      <c r="NUZ256" s="2228"/>
      <c r="NVA256" s="2228"/>
      <c r="NVB256" s="2228"/>
      <c r="NVC256" s="2228"/>
      <c r="NVD256" s="2228"/>
      <c r="NVE256" s="2228"/>
      <c r="NVF256" s="2228"/>
      <c r="NVG256" s="2228"/>
      <c r="NVH256" s="2228"/>
      <c r="NVI256" s="2228"/>
      <c r="NVJ256" s="2228"/>
      <c r="NVK256" s="2228"/>
      <c r="NVL256" s="2228"/>
      <c r="NVM256" s="2227"/>
      <c r="NVN256" s="2228"/>
      <c r="NVO256" s="2228"/>
      <c r="NVP256" s="2228"/>
      <c r="NVQ256" s="2228"/>
      <c r="NVR256" s="2228"/>
      <c r="NVS256" s="2228"/>
      <c r="NVT256" s="2228"/>
      <c r="NVU256" s="2228"/>
      <c r="NVV256" s="2228"/>
      <c r="NVW256" s="2228"/>
      <c r="NVX256" s="2228"/>
      <c r="NVY256" s="2228"/>
      <c r="NVZ256" s="2228"/>
      <c r="NWA256" s="2228"/>
      <c r="NWB256" s="2228"/>
      <c r="NWC256" s="2227"/>
      <c r="NWD256" s="2228"/>
      <c r="NWE256" s="2228"/>
      <c r="NWF256" s="2228"/>
      <c r="NWG256" s="2228"/>
      <c r="NWH256" s="2228"/>
      <c r="NWI256" s="2228"/>
      <c r="NWJ256" s="2228"/>
      <c r="NWK256" s="2228"/>
      <c r="NWL256" s="2228"/>
      <c r="NWM256" s="2228"/>
      <c r="NWN256" s="2228"/>
      <c r="NWO256" s="2228"/>
      <c r="NWP256" s="2228"/>
      <c r="NWQ256" s="2228"/>
      <c r="NWR256" s="2228"/>
      <c r="NWS256" s="2227"/>
      <c r="NWT256" s="2228"/>
      <c r="NWU256" s="2228"/>
      <c r="NWV256" s="2228"/>
      <c r="NWW256" s="2228"/>
      <c r="NWX256" s="2228"/>
      <c r="NWY256" s="2228"/>
      <c r="NWZ256" s="2228"/>
      <c r="NXA256" s="2228"/>
      <c r="NXB256" s="2228"/>
      <c r="NXC256" s="2228"/>
      <c r="NXD256" s="2228"/>
      <c r="NXE256" s="2228"/>
      <c r="NXF256" s="2228"/>
      <c r="NXG256" s="2228"/>
      <c r="NXH256" s="2228"/>
      <c r="NXI256" s="2227"/>
      <c r="NXJ256" s="2228"/>
      <c r="NXK256" s="2228"/>
      <c r="NXL256" s="2228"/>
      <c r="NXM256" s="2228"/>
      <c r="NXN256" s="2228"/>
      <c r="NXO256" s="2228"/>
      <c r="NXP256" s="2228"/>
      <c r="NXQ256" s="2228"/>
      <c r="NXR256" s="2228"/>
      <c r="NXS256" s="2228"/>
      <c r="NXT256" s="2228"/>
      <c r="NXU256" s="2228"/>
      <c r="NXV256" s="2228"/>
      <c r="NXW256" s="2228"/>
      <c r="NXX256" s="2228"/>
      <c r="NXY256" s="2227"/>
      <c r="NXZ256" s="2228"/>
      <c r="NYA256" s="2228"/>
      <c r="NYB256" s="2228"/>
      <c r="NYC256" s="2228"/>
      <c r="NYD256" s="2228"/>
      <c r="NYE256" s="2228"/>
      <c r="NYF256" s="2228"/>
      <c r="NYG256" s="2228"/>
      <c r="NYH256" s="2228"/>
      <c r="NYI256" s="2228"/>
      <c r="NYJ256" s="2228"/>
      <c r="NYK256" s="2228"/>
      <c r="NYL256" s="2228"/>
      <c r="NYM256" s="2228"/>
      <c r="NYN256" s="2228"/>
      <c r="NYO256" s="2227"/>
      <c r="NYP256" s="2228"/>
      <c r="NYQ256" s="2228"/>
      <c r="NYR256" s="2228"/>
      <c r="NYS256" s="2228"/>
      <c r="NYT256" s="2228"/>
      <c r="NYU256" s="2228"/>
      <c r="NYV256" s="2228"/>
      <c r="NYW256" s="2228"/>
      <c r="NYX256" s="2228"/>
      <c r="NYY256" s="2228"/>
      <c r="NYZ256" s="2228"/>
      <c r="NZA256" s="2228"/>
      <c r="NZB256" s="2228"/>
      <c r="NZC256" s="2228"/>
      <c r="NZD256" s="2228"/>
      <c r="NZE256" s="2227"/>
      <c r="NZF256" s="2228"/>
      <c r="NZG256" s="2228"/>
      <c r="NZH256" s="2228"/>
      <c r="NZI256" s="2228"/>
      <c r="NZJ256" s="2228"/>
      <c r="NZK256" s="2228"/>
      <c r="NZL256" s="2228"/>
      <c r="NZM256" s="2228"/>
      <c r="NZN256" s="2228"/>
      <c r="NZO256" s="2228"/>
      <c r="NZP256" s="2228"/>
      <c r="NZQ256" s="2228"/>
      <c r="NZR256" s="2228"/>
      <c r="NZS256" s="2228"/>
      <c r="NZT256" s="2228"/>
      <c r="NZU256" s="2227"/>
      <c r="NZV256" s="2228"/>
      <c r="NZW256" s="2228"/>
      <c r="NZX256" s="2228"/>
      <c r="NZY256" s="2228"/>
      <c r="NZZ256" s="2228"/>
      <c r="OAA256" s="2228"/>
      <c r="OAB256" s="2228"/>
      <c r="OAC256" s="2228"/>
      <c r="OAD256" s="2228"/>
      <c r="OAE256" s="2228"/>
      <c r="OAF256" s="2228"/>
      <c r="OAG256" s="2228"/>
      <c r="OAH256" s="2228"/>
      <c r="OAI256" s="2228"/>
      <c r="OAJ256" s="2228"/>
      <c r="OAK256" s="2227"/>
      <c r="OAL256" s="2228"/>
      <c r="OAM256" s="2228"/>
      <c r="OAN256" s="2228"/>
      <c r="OAO256" s="2228"/>
      <c r="OAP256" s="2228"/>
      <c r="OAQ256" s="2228"/>
      <c r="OAR256" s="2228"/>
      <c r="OAS256" s="2228"/>
      <c r="OAT256" s="2228"/>
      <c r="OAU256" s="2228"/>
      <c r="OAV256" s="2228"/>
      <c r="OAW256" s="2228"/>
      <c r="OAX256" s="2228"/>
      <c r="OAY256" s="2228"/>
      <c r="OAZ256" s="2228"/>
      <c r="OBA256" s="2227"/>
      <c r="OBB256" s="2228"/>
      <c r="OBC256" s="2228"/>
      <c r="OBD256" s="2228"/>
      <c r="OBE256" s="2228"/>
      <c r="OBF256" s="2228"/>
      <c r="OBG256" s="2228"/>
      <c r="OBH256" s="2228"/>
      <c r="OBI256" s="2228"/>
      <c r="OBJ256" s="2228"/>
      <c r="OBK256" s="2228"/>
      <c r="OBL256" s="2228"/>
      <c r="OBM256" s="2228"/>
      <c r="OBN256" s="2228"/>
      <c r="OBO256" s="2228"/>
      <c r="OBP256" s="2228"/>
      <c r="OBQ256" s="2227"/>
      <c r="OBR256" s="2228"/>
      <c r="OBS256" s="2228"/>
      <c r="OBT256" s="2228"/>
      <c r="OBU256" s="2228"/>
      <c r="OBV256" s="2228"/>
      <c r="OBW256" s="2228"/>
      <c r="OBX256" s="2228"/>
      <c r="OBY256" s="2228"/>
      <c r="OBZ256" s="2228"/>
      <c r="OCA256" s="2228"/>
      <c r="OCB256" s="2228"/>
      <c r="OCC256" s="2228"/>
      <c r="OCD256" s="2228"/>
      <c r="OCE256" s="2228"/>
      <c r="OCF256" s="2228"/>
      <c r="OCG256" s="2227"/>
      <c r="OCH256" s="2228"/>
      <c r="OCI256" s="2228"/>
      <c r="OCJ256" s="2228"/>
      <c r="OCK256" s="2228"/>
      <c r="OCL256" s="2228"/>
      <c r="OCM256" s="2228"/>
      <c r="OCN256" s="2228"/>
      <c r="OCO256" s="2228"/>
      <c r="OCP256" s="2228"/>
      <c r="OCQ256" s="2228"/>
      <c r="OCR256" s="2228"/>
      <c r="OCS256" s="2228"/>
      <c r="OCT256" s="2228"/>
      <c r="OCU256" s="2228"/>
      <c r="OCV256" s="2228"/>
      <c r="OCW256" s="2227"/>
      <c r="OCX256" s="2228"/>
      <c r="OCY256" s="2228"/>
      <c r="OCZ256" s="2228"/>
      <c r="ODA256" s="2228"/>
      <c r="ODB256" s="2228"/>
      <c r="ODC256" s="2228"/>
      <c r="ODD256" s="2228"/>
      <c r="ODE256" s="2228"/>
      <c r="ODF256" s="2228"/>
      <c r="ODG256" s="2228"/>
      <c r="ODH256" s="2228"/>
      <c r="ODI256" s="2228"/>
      <c r="ODJ256" s="2228"/>
      <c r="ODK256" s="2228"/>
      <c r="ODL256" s="2228"/>
      <c r="ODM256" s="2227"/>
      <c r="ODN256" s="2228"/>
      <c r="ODO256" s="2228"/>
      <c r="ODP256" s="2228"/>
      <c r="ODQ256" s="2228"/>
      <c r="ODR256" s="2228"/>
      <c r="ODS256" s="2228"/>
      <c r="ODT256" s="2228"/>
      <c r="ODU256" s="2228"/>
      <c r="ODV256" s="2228"/>
      <c r="ODW256" s="2228"/>
      <c r="ODX256" s="2228"/>
      <c r="ODY256" s="2228"/>
      <c r="ODZ256" s="2228"/>
      <c r="OEA256" s="2228"/>
      <c r="OEB256" s="2228"/>
      <c r="OEC256" s="2227"/>
      <c r="OED256" s="2228"/>
      <c r="OEE256" s="2228"/>
      <c r="OEF256" s="2228"/>
      <c r="OEG256" s="2228"/>
      <c r="OEH256" s="2228"/>
      <c r="OEI256" s="2228"/>
      <c r="OEJ256" s="2228"/>
      <c r="OEK256" s="2228"/>
      <c r="OEL256" s="2228"/>
      <c r="OEM256" s="2228"/>
      <c r="OEN256" s="2228"/>
      <c r="OEO256" s="2228"/>
      <c r="OEP256" s="2228"/>
      <c r="OEQ256" s="2228"/>
      <c r="OER256" s="2228"/>
      <c r="OES256" s="2227"/>
      <c r="OET256" s="2228"/>
      <c r="OEU256" s="2228"/>
      <c r="OEV256" s="2228"/>
      <c r="OEW256" s="2228"/>
      <c r="OEX256" s="2228"/>
      <c r="OEY256" s="2228"/>
      <c r="OEZ256" s="2228"/>
      <c r="OFA256" s="2228"/>
      <c r="OFB256" s="2228"/>
      <c r="OFC256" s="2228"/>
      <c r="OFD256" s="2228"/>
      <c r="OFE256" s="2228"/>
      <c r="OFF256" s="2228"/>
      <c r="OFG256" s="2228"/>
      <c r="OFH256" s="2228"/>
      <c r="OFI256" s="2227"/>
      <c r="OFJ256" s="2228"/>
      <c r="OFK256" s="2228"/>
      <c r="OFL256" s="2228"/>
      <c r="OFM256" s="2228"/>
      <c r="OFN256" s="2228"/>
      <c r="OFO256" s="2228"/>
      <c r="OFP256" s="2228"/>
      <c r="OFQ256" s="2228"/>
      <c r="OFR256" s="2228"/>
      <c r="OFS256" s="2228"/>
      <c r="OFT256" s="2228"/>
      <c r="OFU256" s="2228"/>
      <c r="OFV256" s="2228"/>
      <c r="OFW256" s="2228"/>
      <c r="OFX256" s="2228"/>
      <c r="OFY256" s="2227"/>
      <c r="OFZ256" s="2228"/>
      <c r="OGA256" s="2228"/>
      <c r="OGB256" s="2228"/>
      <c r="OGC256" s="2228"/>
      <c r="OGD256" s="2228"/>
      <c r="OGE256" s="2228"/>
      <c r="OGF256" s="2228"/>
      <c r="OGG256" s="2228"/>
      <c r="OGH256" s="2228"/>
      <c r="OGI256" s="2228"/>
      <c r="OGJ256" s="2228"/>
      <c r="OGK256" s="2228"/>
      <c r="OGL256" s="2228"/>
      <c r="OGM256" s="2228"/>
      <c r="OGN256" s="2228"/>
      <c r="OGO256" s="2227"/>
      <c r="OGP256" s="2228"/>
      <c r="OGQ256" s="2228"/>
      <c r="OGR256" s="2228"/>
      <c r="OGS256" s="2228"/>
      <c r="OGT256" s="2228"/>
      <c r="OGU256" s="2228"/>
      <c r="OGV256" s="2228"/>
      <c r="OGW256" s="2228"/>
      <c r="OGX256" s="2228"/>
      <c r="OGY256" s="2228"/>
      <c r="OGZ256" s="2228"/>
      <c r="OHA256" s="2228"/>
      <c r="OHB256" s="2228"/>
      <c r="OHC256" s="2228"/>
      <c r="OHD256" s="2228"/>
      <c r="OHE256" s="2227"/>
      <c r="OHF256" s="2228"/>
      <c r="OHG256" s="2228"/>
      <c r="OHH256" s="2228"/>
      <c r="OHI256" s="2228"/>
      <c r="OHJ256" s="2228"/>
      <c r="OHK256" s="2228"/>
      <c r="OHL256" s="2228"/>
      <c r="OHM256" s="2228"/>
      <c r="OHN256" s="2228"/>
      <c r="OHO256" s="2228"/>
      <c r="OHP256" s="2228"/>
      <c r="OHQ256" s="2228"/>
      <c r="OHR256" s="2228"/>
      <c r="OHS256" s="2228"/>
      <c r="OHT256" s="2228"/>
      <c r="OHU256" s="2227"/>
      <c r="OHV256" s="2228"/>
      <c r="OHW256" s="2228"/>
      <c r="OHX256" s="2228"/>
      <c r="OHY256" s="2228"/>
      <c r="OHZ256" s="2228"/>
      <c r="OIA256" s="2228"/>
      <c r="OIB256" s="2228"/>
      <c r="OIC256" s="2228"/>
      <c r="OID256" s="2228"/>
      <c r="OIE256" s="2228"/>
      <c r="OIF256" s="2228"/>
      <c r="OIG256" s="2228"/>
      <c r="OIH256" s="2228"/>
      <c r="OII256" s="2228"/>
      <c r="OIJ256" s="2228"/>
      <c r="OIK256" s="2227"/>
      <c r="OIL256" s="2228"/>
      <c r="OIM256" s="2228"/>
      <c r="OIN256" s="2228"/>
      <c r="OIO256" s="2228"/>
      <c r="OIP256" s="2228"/>
      <c r="OIQ256" s="2228"/>
      <c r="OIR256" s="2228"/>
      <c r="OIS256" s="2228"/>
      <c r="OIT256" s="2228"/>
      <c r="OIU256" s="2228"/>
      <c r="OIV256" s="2228"/>
      <c r="OIW256" s="2228"/>
      <c r="OIX256" s="2228"/>
      <c r="OIY256" s="2228"/>
      <c r="OIZ256" s="2228"/>
      <c r="OJA256" s="2227"/>
      <c r="OJB256" s="2228"/>
      <c r="OJC256" s="2228"/>
      <c r="OJD256" s="2228"/>
      <c r="OJE256" s="2228"/>
      <c r="OJF256" s="2228"/>
      <c r="OJG256" s="2228"/>
      <c r="OJH256" s="2228"/>
      <c r="OJI256" s="2228"/>
      <c r="OJJ256" s="2228"/>
      <c r="OJK256" s="2228"/>
      <c r="OJL256" s="2228"/>
      <c r="OJM256" s="2228"/>
      <c r="OJN256" s="2228"/>
      <c r="OJO256" s="2228"/>
      <c r="OJP256" s="2228"/>
      <c r="OJQ256" s="2227"/>
      <c r="OJR256" s="2228"/>
      <c r="OJS256" s="2228"/>
      <c r="OJT256" s="2228"/>
      <c r="OJU256" s="2228"/>
      <c r="OJV256" s="2228"/>
      <c r="OJW256" s="2228"/>
      <c r="OJX256" s="2228"/>
      <c r="OJY256" s="2228"/>
      <c r="OJZ256" s="2228"/>
      <c r="OKA256" s="2228"/>
      <c r="OKB256" s="2228"/>
      <c r="OKC256" s="2228"/>
      <c r="OKD256" s="2228"/>
      <c r="OKE256" s="2228"/>
      <c r="OKF256" s="2228"/>
      <c r="OKG256" s="2227"/>
      <c r="OKH256" s="2228"/>
      <c r="OKI256" s="2228"/>
      <c r="OKJ256" s="2228"/>
      <c r="OKK256" s="2228"/>
      <c r="OKL256" s="2228"/>
      <c r="OKM256" s="2228"/>
      <c r="OKN256" s="2228"/>
      <c r="OKO256" s="2228"/>
      <c r="OKP256" s="2228"/>
      <c r="OKQ256" s="2228"/>
      <c r="OKR256" s="2228"/>
      <c r="OKS256" s="2228"/>
      <c r="OKT256" s="2228"/>
      <c r="OKU256" s="2228"/>
      <c r="OKV256" s="2228"/>
      <c r="OKW256" s="2227"/>
      <c r="OKX256" s="2228"/>
      <c r="OKY256" s="2228"/>
      <c r="OKZ256" s="2228"/>
      <c r="OLA256" s="2228"/>
      <c r="OLB256" s="2228"/>
      <c r="OLC256" s="2228"/>
      <c r="OLD256" s="2228"/>
      <c r="OLE256" s="2228"/>
      <c r="OLF256" s="2228"/>
      <c r="OLG256" s="2228"/>
      <c r="OLH256" s="2228"/>
      <c r="OLI256" s="2228"/>
      <c r="OLJ256" s="2228"/>
      <c r="OLK256" s="2228"/>
      <c r="OLL256" s="2228"/>
      <c r="OLM256" s="2227"/>
      <c r="OLN256" s="2228"/>
      <c r="OLO256" s="2228"/>
      <c r="OLP256" s="2228"/>
      <c r="OLQ256" s="2228"/>
      <c r="OLR256" s="2228"/>
      <c r="OLS256" s="2228"/>
      <c r="OLT256" s="2228"/>
      <c r="OLU256" s="2228"/>
      <c r="OLV256" s="2228"/>
      <c r="OLW256" s="2228"/>
      <c r="OLX256" s="2228"/>
      <c r="OLY256" s="2228"/>
      <c r="OLZ256" s="2228"/>
      <c r="OMA256" s="2228"/>
      <c r="OMB256" s="2228"/>
      <c r="OMC256" s="2227"/>
      <c r="OMD256" s="2228"/>
      <c r="OME256" s="2228"/>
      <c r="OMF256" s="2228"/>
      <c r="OMG256" s="2228"/>
      <c r="OMH256" s="2228"/>
      <c r="OMI256" s="2228"/>
      <c r="OMJ256" s="2228"/>
      <c r="OMK256" s="2228"/>
      <c r="OML256" s="2228"/>
      <c r="OMM256" s="2228"/>
      <c r="OMN256" s="2228"/>
      <c r="OMO256" s="2228"/>
      <c r="OMP256" s="2228"/>
      <c r="OMQ256" s="2228"/>
      <c r="OMR256" s="2228"/>
      <c r="OMS256" s="2227"/>
      <c r="OMT256" s="2228"/>
      <c r="OMU256" s="2228"/>
      <c r="OMV256" s="2228"/>
      <c r="OMW256" s="2228"/>
      <c r="OMX256" s="2228"/>
      <c r="OMY256" s="2228"/>
      <c r="OMZ256" s="2228"/>
      <c r="ONA256" s="2228"/>
      <c r="ONB256" s="2228"/>
      <c r="ONC256" s="2228"/>
      <c r="OND256" s="2228"/>
      <c r="ONE256" s="2228"/>
      <c r="ONF256" s="2228"/>
      <c r="ONG256" s="2228"/>
      <c r="ONH256" s="2228"/>
      <c r="ONI256" s="2227"/>
      <c r="ONJ256" s="2228"/>
      <c r="ONK256" s="2228"/>
      <c r="ONL256" s="2228"/>
      <c r="ONM256" s="2228"/>
      <c r="ONN256" s="2228"/>
      <c r="ONO256" s="2228"/>
      <c r="ONP256" s="2228"/>
      <c r="ONQ256" s="2228"/>
      <c r="ONR256" s="2228"/>
      <c r="ONS256" s="2228"/>
      <c r="ONT256" s="2228"/>
      <c r="ONU256" s="2228"/>
      <c r="ONV256" s="2228"/>
      <c r="ONW256" s="2228"/>
      <c r="ONX256" s="2228"/>
      <c r="ONY256" s="2227"/>
      <c r="ONZ256" s="2228"/>
      <c r="OOA256" s="2228"/>
      <c r="OOB256" s="2228"/>
      <c r="OOC256" s="2228"/>
      <c r="OOD256" s="2228"/>
      <c r="OOE256" s="2228"/>
      <c r="OOF256" s="2228"/>
      <c r="OOG256" s="2228"/>
      <c r="OOH256" s="2228"/>
      <c r="OOI256" s="2228"/>
      <c r="OOJ256" s="2228"/>
      <c r="OOK256" s="2228"/>
      <c r="OOL256" s="2228"/>
      <c r="OOM256" s="2228"/>
      <c r="OON256" s="2228"/>
      <c r="OOO256" s="2227"/>
      <c r="OOP256" s="2228"/>
      <c r="OOQ256" s="2228"/>
      <c r="OOR256" s="2228"/>
      <c r="OOS256" s="2228"/>
      <c r="OOT256" s="2228"/>
      <c r="OOU256" s="2228"/>
      <c r="OOV256" s="2228"/>
      <c r="OOW256" s="2228"/>
      <c r="OOX256" s="2228"/>
      <c r="OOY256" s="2228"/>
      <c r="OOZ256" s="2228"/>
      <c r="OPA256" s="2228"/>
      <c r="OPB256" s="2228"/>
      <c r="OPC256" s="2228"/>
      <c r="OPD256" s="2228"/>
      <c r="OPE256" s="2227"/>
      <c r="OPF256" s="2228"/>
      <c r="OPG256" s="2228"/>
      <c r="OPH256" s="2228"/>
      <c r="OPI256" s="2228"/>
      <c r="OPJ256" s="2228"/>
      <c r="OPK256" s="2228"/>
      <c r="OPL256" s="2228"/>
      <c r="OPM256" s="2228"/>
      <c r="OPN256" s="2228"/>
      <c r="OPO256" s="2228"/>
      <c r="OPP256" s="2228"/>
      <c r="OPQ256" s="2228"/>
      <c r="OPR256" s="2228"/>
      <c r="OPS256" s="2228"/>
      <c r="OPT256" s="2228"/>
      <c r="OPU256" s="2227"/>
      <c r="OPV256" s="2228"/>
      <c r="OPW256" s="2228"/>
      <c r="OPX256" s="2228"/>
      <c r="OPY256" s="2228"/>
      <c r="OPZ256" s="2228"/>
      <c r="OQA256" s="2228"/>
      <c r="OQB256" s="2228"/>
      <c r="OQC256" s="2228"/>
      <c r="OQD256" s="2228"/>
      <c r="OQE256" s="2228"/>
      <c r="OQF256" s="2228"/>
      <c r="OQG256" s="2228"/>
      <c r="OQH256" s="2228"/>
      <c r="OQI256" s="2228"/>
      <c r="OQJ256" s="2228"/>
      <c r="OQK256" s="2227"/>
      <c r="OQL256" s="2228"/>
      <c r="OQM256" s="2228"/>
      <c r="OQN256" s="2228"/>
      <c r="OQO256" s="2228"/>
      <c r="OQP256" s="2228"/>
      <c r="OQQ256" s="2228"/>
      <c r="OQR256" s="2228"/>
      <c r="OQS256" s="2228"/>
      <c r="OQT256" s="2228"/>
      <c r="OQU256" s="2228"/>
      <c r="OQV256" s="2228"/>
      <c r="OQW256" s="2228"/>
      <c r="OQX256" s="2228"/>
      <c r="OQY256" s="2228"/>
      <c r="OQZ256" s="2228"/>
      <c r="ORA256" s="2227"/>
      <c r="ORB256" s="2228"/>
      <c r="ORC256" s="2228"/>
      <c r="ORD256" s="2228"/>
      <c r="ORE256" s="2228"/>
      <c r="ORF256" s="2228"/>
      <c r="ORG256" s="2228"/>
      <c r="ORH256" s="2228"/>
      <c r="ORI256" s="2228"/>
      <c r="ORJ256" s="2228"/>
      <c r="ORK256" s="2228"/>
      <c r="ORL256" s="2228"/>
      <c r="ORM256" s="2228"/>
      <c r="ORN256" s="2228"/>
      <c r="ORO256" s="2228"/>
      <c r="ORP256" s="2228"/>
      <c r="ORQ256" s="2227"/>
      <c r="ORR256" s="2228"/>
      <c r="ORS256" s="2228"/>
      <c r="ORT256" s="2228"/>
      <c r="ORU256" s="2228"/>
      <c r="ORV256" s="2228"/>
      <c r="ORW256" s="2228"/>
      <c r="ORX256" s="2228"/>
      <c r="ORY256" s="2228"/>
      <c r="ORZ256" s="2228"/>
      <c r="OSA256" s="2228"/>
      <c r="OSB256" s="2228"/>
      <c r="OSC256" s="2228"/>
      <c r="OSD256" s="2228"/>
      <c r="OSE256" s="2228"/>
      <c r="OSF256" s="2228"/>
      <c r="OSG256" s="2227"/>
      <c r="OSH256" s="2228"/>
      <c r="OSI256" s="2228"/>
      <c r="OSJ256" s="2228"/>
      <c r="OSK256" s="2228"/>
      <c r="OSL256" s="2228"/>
      <c r="OSM256" s="2228"/>
      <c r="OSN256" s="2228"/>
      <c r="OSO256" s="2228"/>
      <c r="OSP256" s="2228"/>
      <c r="OSQ256" s="2228"/>
      <c r="OSR256" s="2228"/>
      <c r="OSS256" s="2228"/>
      <c r="OST256" s="2228"/>
      <c r="OSU256" s="2228"/>
      <c r="OSV256" s="2228"/>
      <c r="OSW256" s="2227"/>
      <c r="OSX256" s="2228"/>
      <c r="OSY256" s="2228"/>
      <c r="OSZ256" s="2228"/>
      <c r="OTA256" s="2228"/>
      <c r="OTB256" s="2228"/>
      <c r="OTC256" s="2228"/>
      <c r="OTD256" s="2228"/>
      <c r="OTE256" s="2228"/>
      <c r="OTF256" s="2228"/>
      <c r="OTG256" s="2228"/>
      <c r="OTH256" s="2228"/>
      <c r="OTI256" s="2228"/>
      <c r="OTJ256" s="2228"/>
      <c r="OTK256" s="2228"/>
      <c r="OTL256" s="2228"/>
      <c r="OTM256" s="2227"/>
      <c r="OTN256" s="2228"/>
      <c r="OTO256" s="2228"/>
      <c r="OTP256" s="2228"/>
      <c r="OTQ256" s="2228"/>
      <c r="OTR256" s="2228"/>
      <c r="OTS256" s="2228"/>
      <c r="OTT256" s="2228"/>
      <c r="OTU256" s="2228"/>
      <c r="OTV256" s="2228"/>
      <c r="OTW256" s="2228"/>
      <c r="OTX256" s="2228"/>
      <c r="OTY256" s="2228"/>
      <c r="OTZ256" s="2228"/>
      <c r="OUA256" s="2228"/>
      <c r="OUB256" s="2228"/>
      <c r="OUC256" s="2227"/>
      <c r="OUD256" s="2228"/>
      <c r="OUE256" s="2228"/>
      <c r="OUF256" s="2228"/>
      <c r="OUG256" s="2228"/>
      <c r="OUH256" s="2228"/>
      <c r="OUI256" s="2228"/>
      <c r="OUJ256" s="2228"/>
      <c r="OUK256" s="2228"/>
      <c r="OUL256" s="2228"/>
      <c r="OUM256" s="2228"/>
      <c r="OUN256" s="2228"/>
      <c r="OUO256" s="2228"/>
      <c r="OUP256" s="2228"/>
      <c r="OUQ256" s="2228"/>
      <c r="OUR256" s="2228"/>
      <c r="OUS256" s="2227"/>
      <c r="OUT256" s="2228"/>
      <c r="OUU256" s="2228"/>
      <c r="OUV256" s="2228"/>
      <c r="OUW256" s="2228"/>
      <c r="OUX256" s="2228"/>
      <c r="OUY256" s="2228"/>
      <c r="OUZ256" s="2228"/>
      <c r="OVA256" s="2228"/>
      <c r="OVB256" s="2228"/>
      <c r="OVC256" s="2228"/>
      <c r="OVD256" s="2228"/>
      <c r="OVE256" s="2228"/>
      <c r="OVF256" s="2228"/>
      <c r="OVG256" s="2228"/>
      <c r="OVH256" s="2228"/>
      <c r="OVI256" s="2227"/>
      <c r="OVJ256" s="2228"/>
      <c r="OVK256" s="2228"/>
      <c r="OVL256" s="2228"/>
      <c r="OVM256" s="2228"/>
      <c r="OVN256" s="2228"/>
      <c r="OVO256" s="2228"/>
      <c r="OVP256" s="2228"/>
      <c r="OVQ256" s="2228"/>
      <c r="OVR256" s="2228"/>
      <c r="OVS256" s="2228"/>
      <c r="OVT256" s="2228"/>
      <c r="OVU256" s="2228"/>
      <c r="OVV256" s="2228"/>
      <c r="OVW256" s="2228"/>
      <c r="OVX256" s="2228"/>
      <c r="OVY256" s="2227"/>
      <c r="OVZ256" s="2228"/>
      <c r="OWA256" s="2228"/>
      <c r="OWB256" s="2228"/>
      <c r="OWC256" s="2228"/>
      <c r="OWD256" s="2228"/>
      <c r="OWE256" s="2228"/>
      <c r="OWF256" s="2228"/>
      <c r="OWG256" s="2228"/>
      <c r="OWH256" s="2228"/>
      <c r="OWI256" s="2228"/>
      <c r="OWJ256" s="2228"/>
      <c r="OWK256" s="2228"/>
      <c r="OWL256" s="2228"/>
      <c r="OWM256" s="2228"/>
      <c r="OWN256" s="2228"/>
      <c r="OWO256" s="2227"/>
      <c r="OWP256" s="2228"/>
      <c r="OWQ256" s="2228"/>
      <c r="OWR256" s="2228"/>
      <c r="OWS256" s="2228"/>
      <c r="OWT256" s="2228"/>
      <c r="OWU256" s="2228"/>
      <c r="OWV256" s="2228"/>
      <c r="OWW256" s="2228"/>
      <c r="OWX256" s="2228"/>
      <c r="OWY256" s="2228"/>
      <c r="OWZ256" s="2228"/>
      <c r="OXA256" s="2228"/>
      <c r="OXB256" s="2228"/>
      <c r="OXC256" s="2228"/>
      <c r="OXD256" s="2228"/>
      <c r="OXE256" s="2227"/>
      <c r="OXF256" s="2228"/>
      <c r="OXG256" s="2228"/>
      <c r="OXH256" s="2228"/>
      <c r="OXI256" s="2228"/>
      <c r="OXJ256" s="2228"/>
      <c r="OXK256" s="2228"/>
      <c r="OXL256" s="2228"/>
      <c r="OXM256" s="2228"/>
      <c r="OXN256" s="2228"/>
      <c r="OXO256" s="2228"/>
      <c r="OXP256" s="2228"/>
      <c r="OXQ256" s="2228"/>
      <c r="OXR256" s="2228"/>
      <c r="OXS256" s="2228"/>
      <c r="OXT256" s="2228"/>
      <c r="OXU256" s="2227"/>
      <c r="OXV256" s="2228"/>
      <c r="OXW256" s="2228"/>
      <c r="OXX256" s="2228"/>
      <c r="OXY256" s="2228"/>
      <c r="OXZ256" s="2228"/>
      <c r="OYA256" s="2228"/>
      <c r="OYB256" s="2228"/>
      <c r="OYC256" s="2228"/>
      <c r="OYD256" s="2228"/>
      <c r="OYE256" s="2228"/>
      <c r="OYF256" s="2228"/>
      <c r="OYG256" s="2228"/>
      <c r="OYH256" s="2228"/>
      <c r="OYI256" s="2228"/>
      <c r="OYJ256" s="2228"/>
      <c r="OYK256" s="2227"/>
      <c r="OYL256" s="2228"/>
      <c r="OYM256" s="2228"/>
      <c r="OYN256" s="2228"/>
      <c r="OYO256" s="2228"/>
      <c r="OYP256" s="2228"/>
      <c r="OYQ256" s="2228"/>
      <c r="OYR256" s="2228"/>
      <c r="OYS256" s="2228"/>
      <c r="OYT256" s="2228"/>
      <c r="OYU256" s="2228"/>
      <c r="OYV256" s="2228"/>
      <c r="OYW256" s="2228"/>
      <c r="OYX256" s="2228"/>
      <c r="OYY256" s="2228"/>
      <c r="OYZ256" s="2228"/>
      <c r="OZA256" s="2227"/>
      <c r="OZB256" s="2228"/>
      <c r="OZC256" s="2228"/>
      <c r="OZD256" s="2228"/>
      <c r="OZE256" s="2228"/>
      <c r="OZF256" s="2228"/>
      <c r="OZG256" s="2228"/>
      <c r="OZH256" s="2228"/>
      <c r="OZI256" s="2228"/>
      <c r="OZJ256" s="2228"/>
      <c r="OZK256" s="2228"/>
      <c r="OZL256" s="2228"/>
      <c r="OZM256" s="2228"/>
      <c r="OZN256" s="2228"/>
      <c r="OZO256" s="2228"/>
      <c r="OZP256" s="2228"/>
      <c r="OZQ256" s="2227"/>
      <c r="OZR256" s="2228"/>
      <c r="OZS256" s="2228"/>
      <c r="OZT256" s="2228"/>
      <c r="OZU256" s="2228"/>
      <c r="OZV256" s="2228"/>
      <c r="OZW256" s="2228"/>
      <c r="OZX256" s="2228"/>
      <c r="OZY256" s="2228"/>
      <c r="OZZ256" s="2228"/>
      <c r="PAA256" s="2228"/>
      <c r="PAB256" s="2228"/>
      <c r="PAC256" s="2228"/>
      <c r="PAD256" s="2228"/>
      <c r="PAE256" s="2228"/>
      <c r="PAF256" s="2228"/>
      <c r="PAG256" s="2227"/>
      <c r="PAH256" s="2228"/>
      <c r="PAI256" s="2228"/>
      <c r="PAJ256" s="2228"/>
      <c r="PAK256" s="2228"/>
      <c r="PAL256" s="2228"/>
      <c r="PAM256" s="2228"/>
      <c r="PAN256" s="2228"/>
      <c r="PAO256" s="2228"/>
      <c r="PAP256" s="2228"/>
      <c r="PAQ256" s="2228"/>
      <c r="PAR256" s="2228"/>
      <c r="PAS256" s="2228"/>
      <c r="PAT256" s="2228"/>
      <c r="PAU256" s="2228"/>
      <c r="PAV256" s="2228"/>
      <c r="PAW256" s="2227"/>
      <c r="PAX256" s="2228"/>
      <c r="PAY256" s="2228"/>
      <c r="PAZ256" s="2228"/>
      <c r="PBA256" s="2228"/>
      <c r="PBB256" s="2228"/>
      <c r="PBC256" s="2228"/>
      <c r="PBD256" s="2228"/>
      <c r="PBE256" s="2228"/>
      <c r="PBF256" s="2228"/>
      <c r="PBG256" s="2228"/>
      <c r="PBH256" s="2228"/>
      <c r="PBI256" s="2228"/>
      <c r="PBJ256" s="2228"/>
      <c r="PBK256" s="2228"/>
      <c r="PBL256" s="2228"/>
      <c r="PBM256" s="2227"/>
      <c r="PBN256" s="2228"/>
      <c r="PBO256" s="2228"/>
      <c r="PBP256" s="2228"/>
      <c r="PBQ256" s="2228"/>
      <c r="PBR256" s="2228"/>
      <c r="PBS256" s="2228"/>
      <c r="PBT256" s="2228"/>
      <c r="PBU256" s="2228"/>
      <c r="PBV256" s="2228"/>
      <c r="PBW256" s="2228"/>
      <c r="PBX256" s="2228"/>
      <c r="PBY256" s="2228"/>
      <c r="PBZ256" s="2228"/>
      <c r="PCA256" s="2228"/>
      <c r="PCB256" s="2228"/>
      <c r="PCC256" s="2227"/>
      <c r="PCD256" s="2228"/>
      <c r="PCE256" s="2228"/>
      <c r="PCF256" s="2228"/>
      <c r="PCG256" s="2228"/>
      <c r="PCH256" s="2228"/>
      <c r="PCI256" s="2228"/>
      <c r="PCJ256" s="2228"/>
      <c r="PCK256" s="2228"/>
      <c r="PCL256" s="2228"/>
      <c r="PCM256" s="2228"/>
      <c r="PCN256" s="2228"/>
      <c r="PCO256" s="2228"/>
      <c r="PCP256" s="2228"/>
      <c r="PCQ256" s="2228"/>
      <c r="PCR256" s="2228"/>
      <c r="PCS256" s="2227"/>
      <c r="PCT256" s="2228"/>
      <c r="PCU256" s="2228"/>
      <c r="PCV256" s="2228"/>
      <c r="PCW256" s="2228"/>
      <c r="PCX256" s="2228"/>
      <c r="PCY256" s="2228"/>
      <c r="PCZ256" s="2228"/>
      <c r="PDA256" s="2228"/>
      <c r="PDB256" s="2228"/>
      <c r="PDC256" s="2228"/>
      <c r="PDD256" s="2228"/>
      <c r="PDE256" s="2228"/>
      <c r="PDF256" s="2228"/>
      <c r="PDG256" s="2228"/>
      <c r="PDH256" s="2228"/>
      <c r="PDI256" s="2227"/>
      <c r="PDJ256" s="2228"/>
      <c r="PDK256" s="2228"/>
      <c r="PDL256" s="2228"/>
      <c r="PDM256" s="2228"/>
      <c r="PDN256" s="2228"/>
      <c r="PDO256" s="2228"/>
      <c r="PDP256" s="2228"/>
      <c r="PDQ256" s="2228"/>
      <c r="PDR256" s="2228"/>
      <c r="PDS256" s="2228"/>
      <c r="PDT256" s="2228"/>
      <c r="PDU256" s="2228"/>
      <c r="PDV256" s="2228"/>
      <c r="PDW256" s="2228"/>
      <c r="PDX256" s="2228"/>
      <c r="PDY256" s="2227"/>
      <c r="PDZ256" s="2228"/>
      <c r="PEA256" s="2228"/>
      <c r="PEB256" s="2228"/>
      <c r="PEC256" s="2228"/>
      <c r="PED256" s="2228"/>
      <c r="PEE256" s="2228"/>
      <c r="PEF256" s="2228"/>
      <c r="PEG256" s="2228"/>
      <c r="PEH256" s="2228"/>
      <c r="PEI256" s="2228"/>
      <c r="PEJ256" s="2228"/>
      <c r="PEK256" s="2228"/>
      <c r="PEL256" s="2228"/>
      <c r="PEM256" s="2228"/>
      <c r="PEN256" s="2228"/>
      <c r="PEO256" s="2227"/>
      <c r="PEP256" s="2228"/>
      <c r="PEQ256" s="2228"/>
      <c r="PER256" s="2228"/>
      <c r="PES256" s="2228"/>
      <c r="PET256" s="2228"/>
      <c r="PEU256" s="2228"/>
      <c r="PEV256" s="2228"/>
      <c r="PEW256" s="2228"/>
      <c r="PEX256" s="2228"/>
      <c r="PEY256" s="2228"/>
      <c r="PEZ256" s="2228"/>
      <c r="PFA256" s="2228"/>
      <c r="PFB256" s="2228"/>
      <c r="PFC256" s="2228"/>
      <c r="PFD256" s="2228"/>
      <c r="PFE256" s="2227"/>
      <c r="PFF256" s="2228"/>
      <c r="PFG256" s="2228"/>
      <c r="PFH256" s="2228"/>
      <c r="PFI256" s="2228"/>
      <c r="PFJ256" s="2228"/>
      <c r="PFK256" s="2228"/>
      <c r="PFL256" s="2228"/>
      <c r="PFM256" s="2228"/>
      <c r="PFN256" s="2228"/>
      <c r="PFO256" s="2228"/>
      <c r="PFP256" s="2228"/>
      <c r="PFQ256" s="2228"/>
      <c r="PFR256" s="2228"/>
      <c r="PFS256" s="2228"/>
      <c r="PFT256" s="2228"/>
      <c r="PFU256" s="2227"/>
      <c r="PFV256" s="2228"/>
      <c r="PFW256" s="2228"/>
      <c r="PFX256" s="2228"/>
      <c r="PFY256" s="2228"/>
      <c r="PFZ256" s="2228"/>
      <c r="PGA256" s="2228"/>
      <c r="PGB256" s="2228"/>
      <c r="PGC256" s="2228"/>
      <c r="PGD256" s="2228"/>
      <c r="PGE256" s="2228"/>
      <c r="PGF256" s="2228"/>
      <c r="PGG256" s="2228"/>
      <c r="PGH256" s="2228"/>
      <c r="PGI256" s="2228"/>
      <c r="PGJ256" s="2228"/>
      <c r="PGK256" s="2227"/>
      <c r="PGL256" s="2228"/>
      <c r="PGM256" s="2228"/>
      <c r="PGN256" s="2228"/>
      <c r="PGO256" s="2228"/>
      <c r="PGP256" s="2228"/>
      <c r="PGQ256" s="2228"/>
      <c r="PGR256" s="2228"/>
      <c r="PGS256" s="2228"/>
      <c r="PGT256" s="2228"/>
      <c r="PGU256" s="2228"/>
      <c r="PGV256" s="2228"/>
      <c r="PGW256" s="2228"/>
      <c r="PGX256" s="2228"/>
      <c r="PGY256" s="2228"/>
      <c r="PGZ256" s="2228"/>
      <c r="PHA256" s="2227"/>
      <c r="PHB256" s="2228"/>
      <c r="PHC256" s="2228"/>
      <c r="PHD256" s="2228"/>
      <c r="PHE256" s="2228"/>
      <c r="PHF256" s="2228"/>
      <c r="PHG256" s="2228"/>
      <c r="PHH256" s="2228"/>
      <c r="PHI256" s="2228"/>
      <c r="PHJ256" s="2228"/>
      <c r="PHK256" s="2228"/>
      <c r="PHL256" s="2228"/>
      <c r="PHM256" s="2228"/>
      <c r="PHN256" s="2228"/>
      <c r="PHO256" s="2228"/>
      <c r="PHP256" s="2228"/>
      <c r="PHQ256" s="2227"/>
      <c r="PHR256" s="2228"/>
      <c r="PHS256" s="2228"/>
      <c r="PHT256" s="2228"/>
      <c r="PHU256" s="2228"/>
      <c r="PHV256" s="2228"/>
      <c r="PHW256" s="2228"/>
      <c r="PHX256" s="2228"/>
      <c r="PHY256" s="2228"/>
      <c r="PHZ256" s="2228"/>
      <c r="PIA256" s="2228"/>
      <c r="PIB256" s="2228"/>
      <c r="PIC256" s="2228"/>
      <c r="PID256" s="2228"/>
      <c r="PIE256" s="2228"/>
      <c r="PIF256" s="2228"/>
      <c r="PIG256" s="2227"/>
      <c r="PIH256" s="2228"/>
      <c r="PII256" s="2228"/>
      <c r="PIJ256" s="2228"/>
      <c r="PIK256" s="2228"/>
      <c r="PIL256" s="2228"/>
      <c r="PIM256" s="2228"/>
      <c r="PIN256" s="2228"/>
      <c r="PIO256" s="2228"/>
      <c r="PIP256" s="2228"/>
      <c r="PIQ256" s="2228"/>
      <c r="PIR256" s="2228"/>
      <c r="PIS256" s="2228"/>
      <c r="PIT256" s="2228"/>
      <c r="PIU256" s="2228"/>
      <c r="PIV256" s="2228"/>
      <c r="PIW256" s="2227"/>
      <c r="PIX256" s="2228"/>
      <c r="PIY256" s="2228"/>
      <c r="PIZ256" s="2228"/>
      <c r="PJA256" s="2228"/>
      <c r="PJB256" s="2228"/>
      <c r="PJC256" s="2228"/>
      <c r="PJD256" s="2228"/>
      <c r="PJE256" s="2228"/>
      <c r="PJF256" s="2228"/>
      <c r="PJG256" s="2228"/>
      <c r="PJH256" s="2228"/>
      <c r="PJI256" s="2228"/>
      <c r="PJJ256" s="2228"/>
      <c r="PJK256" s="2228"/>
      <c r="PJL256" s="2228"/>
      <c r="PJM256" s="2227"/>
      <c r="PJN256" s="2228"/>
      <c r="PJO256" s="2228"/>
      <c r="PJP256" s="2228"/>
      <c r="PJQ256" s="2228"/>
      <c r="PJR256" s="2228"/>
      <c r="PJS256" s="2228"/>
      <c r="PJT256" s="2228"/>
      <c r="PJU256" s="2228"/>
      <c r="PJV256" s="2228"/>
      <c r="PJW256" s="2228"/>
      <c r="PJX256" s="2228"/>
      <c r="PJY256" s="2228"/>
      <c r="PJZ256" s="2228"/>
      <c r="PKA256" s="2228"/>
      <c r="PKB256" s="2228"/>
      <c r="PKC256" s="2227"/>
      <c r="PKD256" s="2228"/>
      <c r="PKE256" s="2228"/>
      <c r="PKF256" s="2228"/>
      <c r="PKG256" s="2228"/>
      <c r="PKH256" s="2228"/>
      <c r="PKI256" s="2228"/>
      <c r="PKJ256" s="2228"/>
      <c r="PKK256" s="2228"/>
      <c r="PKL256" s="2228"/>
      <c r="PKM256" s="2228"/>
      <c r="PKN256" s="2228"/>
      <c r="PKO256" s="2228"/>
      <c r="PKP256" s="2228"/>
      <c r="PKQ256" s="2228"/>
      <c r="PKR256" s="2228"/>
      <c r="PKS256" s="2227"/>
      <c r="PKT256" s="2228"/>
      <c r="PKU256" s="2228"/>
      <c r="PKV256" s="2228"/>
      <c r="PKW256" s="2228"/>
      <c r="PKX256" s="2228"/>
      <c r="PKY256" s="2228"/>
      <c r="PKZ256" s="2228"/>
      <c r="PLA256" s="2228"/>
      <c r="PLB256" s="2228"/>
      <c r="PLC256" s="2228"/>
      <c r="PLD256" s="2228"/>
      <c r="PLE256" s="2228"/>
      <c r="PLF256" s="2228"/>
      <c r="PLG256" s="2228"/>
      <c r="PLH256" s="2228"/>
      <c r="PLI256" s="2227"/>
      <c r="PLJ256" s="2228"/>
      <c r="PLK256" s="2228"/>
      <c r="PLL256" s="2228"/>
      <c r="PLM256" s="2228"/>
      <c r="PLN256" s="2228"/>
      <c r="PLO256" s="2228"/>
      <c r="PLP256" s="2228"/>
      <c r="PLQ256" s="2228"/>
      <c r="PLR256" s="2228"/>
      <c r="PLS256" s="2228"/>
      <c r="PLT256" s="2228"/>
      <c r="PLU256" s="2228"/>
      <c r="PLV256" s="2228"/>
      <c r="PLW256" s="2228"/>
      <c r="PLX256" s="2228"/>
      <c r="PLY256" s="2227"/>
      <c r="PLZ256" s="2228"/>
      <c r="PMA256" s="2228"/>
      <c r="PMB256" s="2228"/>
      <c r="PMC256" s="2228"/>
      <c r="PMD256" s="2228"/>
      <c r="PME256" s="2228"/>
      <c r="PMF256" s="2228"/>
      <c r="PMG256" s="2228"/>
      <c r="PMH256" s="2228"/>
      <c r="PMI256" s="2228"/>
      <c r="PMJ256" s="2228"/>
      <c r="PMK256" s="2228"/>
      <c r="PML256" s="2228"/>
      <c r="PMM256" s="2228"/>
      <c r="PMN256" s="2228"/>
      <c r="PMO256" s="2227"/>
      <c r="PMP256" s="2228"/>
      <c r="PMQ256" s="2228"/>
      <c r="PMR256" s="2228"/>
      <c r="PMS256" s="2228"/>
      <c r="PMT256" s="2228"/>
      <c r="PMU256" s="2228"/>
      <c r="PMV256" s="2228"/>
      <c r="PMW256" s="2228"/>
      <c r="PMX256" s="2228"/>
      <c r="PMY256" s="2228"/>
      <c r="PMZ256" s="2228"/>
      <c r="PNA256" s="2228"/>
      <c r="PNB256" s="2228"/>
      <c r="PNC256" s="2228"/>
      <c r="PND256" s="2228"/>
      <c r="PNE256" s="2227"/>
      <c r="PNF256" s="2228"/>
      <c r="PNG256" s="2228"/>
      <c r="PNH256" s="2228"/>
      <c r="PNI256" s="2228"/>
      <c r="PNJ256" s="2228"/>
      <c r="PNK256" s="2228"/>
      <c r="PNL256" s="2228"/>
      <c r="PNM256" s="2228"/>
      <c r="PNN256" s="2228"/>
      <c r="PNO256" s="2228"/>
      <c r="PNP256" s="2228"/>
      <c r="PNQ256" s="2228"/>
      <c r="PNR256" s="2228"/>
      <c r="PNS256" s="2228"/>
      <c r="PNT256" s="2228"/>
      <c r="PNU256" s="2227"/>
      <c r="PNV256" s="2228"/>
      <c r="PNW256" s="2228"/>
      <c r="PNX256" s="2228"/>
      <c r="PNY256" s="2228"/>
      <c r="PNZ256" s="2228"/>
      <c r="POA256" s="2228"/>
      <c r="POB256" s="2228"/>
      <c r="POC256" s="2228"/>
      <c r="POD256" s="2228"/>
      <c r="POE256" s="2228"/>
      <c r="POF256" s="2228"/>
      <c r="POG256" s="2228"/>
      <c r="POH256" s="2228"/>
      <c r="POI256" s="2228"/>
      <c r="POJ256" s="2228"/>
      <c r="POK256" s="2227"/>
      <c r="POL256" s="2228"/>
      <c r="POM256" s="2228"/>
      <c r="PON256" s="2228"/>
      <c r="POO256" s="2228"/>
      <c r="POP256" s="2228"/>
      <c r="POQ256" s="2228"/>
      <c r="POR256" s="2228"/>
      <c r="POS256" s="2228"/>
      <c r="POT256" s="2228"/>
      <c r="POU256" s="2228"/>
      <c r="POV256" s="2228"/>
      <c r="POW256" s="2228"/>
      <c r="POX256" s="2228"/>
      <c r="POY256" s="2228"/>
      <c r="POZ256" s="2228"/>
      <c r="PPA256" s="2227"/>
      <c r="PPB256" s="2228"/>
      <c r="PPC256" s="2228"/>
      <c r="PPD256" s="2228"/>
      <c r="PPE256" s="2228"/>
      <c r="PPF256" s="2228"/>
      <c r="PPG256" s="2228"/>
      <c r="PPH256" s="2228"/>
      <c r="PPI256" s="2228"/>
      <c r="PPJ256" s="2228"/>
      <c r="PPK256" s="2228"/>
      <c r="PPL256" s="2228"/>
      <c r="PPM256" s="2228"/>
      <c r="PPN256" s="2228"/>
      <c r="PPO256" s="2228"/>
      <c r="PPP256" s="2228"/>
      <c r="PPQ256" s="2227"/>
      <c r="PPR256" s="2228"/>
      <c r="PPS256" s="2228"/>
      <c r="PPT256" s="2228"/>
      <c r="PPU256" s="2228"/>
      <c r="PPV256" s="2228"/>
      <c r="PPW256" s="2228"/>
      <c r="PPX256" s="2228"/>
      <c r="PPY256" s="2228"/>
      <c r="PPZ256" s="2228"/>
      <c r="PQA256" s="2228"/>
      <c r="PQB256" s="2228"/>
      <c r="PQC256" s="2228"/>
      <c r="PQD256" s="2228"/>
      <c r="PQE256" s="2228"/>
      <c r="PQF256" s="2228"/>
      <c r="PQG256" s="2227"/>
      <c r="PQH256" s="2228"/>
      <c r="PQI256" s="2228"/>
      <c r="PQJ256" s="2228"/>
      <c r="PQK256" s="2228"/>
      <c r="PQL256" s="2228"/>
      <c r="PQM256" s="2228"/>
      <c r="PQN256" s="2228"/>
      <c r="PQO256" s="2228"/>
      <c r="PQP256" s="2228"/>
      <c r="PQQ256" s="2228"/>
      <c r="PQR256" s="2228"/>
      <c r="PQS256" s="2228"/>
      <c r="PQT256" s="2228"/>
      <c r="PQU256" s="2228"/>
      <c r="PQV256" s="2228"/>
      <c r="PQW256" s="2227"/>
      <c r="PQX256" s="2228"/>
      <c r="PQY256" s="2228"/>
      <c r="PQZ256" s="2228"/>
      <c r="PRA256" s="2228"/>
      <c r="PRB256" s="2228"/>
      <c r="PRC256" s="2228"/>
      <c r="PRD256" s="2228"/>
      <c r="PRE256" s="2228"/>
      <c r="PRF256" s="2228"/>
      <c r="PRG256" s="2228"/>
      <c r="PRH256" s="2228"/>
      <c r="PRI256" s="2228"/>
      <c r="PRJ256" s="2228"/>
      <c r="PRK256" s="2228"/>
      <c r="PRL256" s="2228"/>
      <c r="PRM256" s="2227"/>
      <c r="PRN256" s="2228"/>
      <c r="PRO256" s="2228"/>
      <c r="PRP256" s="2228"/>
      <c r="PRQ256" s="2228"/>
      <c r="PRR256" s="2228"/>
      <c r="PRS256" s="2228"/>
      <c r="PRT256" s="2228"/>
      <c r="PRU256" s="2228"/>
      <c r="PRV256" s="2228"/>
      <c r="PRW256" s="2228"/>
      <c r="PRX256" s="2228"/>
      <c r="PRY256" s="2228"/>
      <c r="PRZ256" s="2228"/>
      <c r="PSA256" s="2228"/>
      <c r="PSB256" s="2228"/>
      <c r="PSC256" s="2227"/>
      <c r="PSD256" s="2228"/>
      <c r="PSE256" s="2228"/>
      <c r="PSF256" s="2228"/>
      <c r="PSG256" s="2228"/>
      <c r="PSH256" s="2228"/>
      <c r="PSI256" s="2228"/>
      <c r="PSJ256" s="2228"/>
      <c r="PSK256" s="2228"/>
      <c r="PSL256" s="2228"/>
      <c r="PSM256" s="2228"/>
      <c r="PSN256" s="2228"/>
      <c r="PSO256" s="2228"/>
      <c r="PSP256" s="2228"/>
      <c r="PSQ256" s="2228"/>
      <c r="PSR256" s="2228"/>
      <c r="PSS256" s="2227"/>
      <c r="PST256" s="2228"/>
      <c r="PSU256" s="2228"/>
      <c r="PSV256" s="2228"/>
      <c r="PSW256" s="2228"/>
      <c r="PSX256" s="2228"/>
      <c r="PSY256" s="2228"/>
      <c r="PSZ256" s="2228"/>
      <c r="PTA256" s="2228"/>
      <c r="PTB256" s="2228"/>
      <c r="PTC256" s="2228"/>
      <c r="PTD256" s="2228"/>
      <c r="PTE256" s="2228"/>
      <c r="PTF256" s="2228"/>
      <c r="PTG256" s="2228"/>
      <c r="PTH256" s="2228"/>
      <c r="PTI256" s="2227"/>
      <c r="PTJ256" s="2228"/>
      <c r="PTK256" s="2228"/>
      <c r="PTL256" s="2228"/>
      <c r="PTM256" s="2228"/>
      <c r="PTN256" s="2228"/>
      <c r="PTO256" s="2228"/>
      <c r="PTP256" s="2228"/>
      <c r="PTQ256" s="2228"/>
      <c r="PTR256" s="2228"/>
      <c r="PTS256" s="2228"/>
      <c r="PTT256" s="2228"/>
      <c r="PTU256" s="2228"/>
      <c r="PTV256" s="2228"/>
      <c r="PTW256" s="2228"/>
      <c r="PTX256" s="2228"/>
      <c r="PTY256" s="2227"/>
      <c r="PTZ256" s="2228"/>
      <c r="PUA256" s="2228"/>
      <c r="PUB256" s="2228"/>
      <c r="PUC256" s="2228"/>
      <c r="PUD256" s="2228"/>
      <c r="PUE256" s="2228"/>
      <c r="PUF256" s="2228"/>
      <c r="PUG256" s="2228"/>
      <c r="PUH256" s="2228"/>
      <c r="PUI256" s="2228"/>
      <c r="PUJ256" s="2228"/>
      <c r="PUK256" s="2228"/>
      <c r="PUL256" s="2228"/>
      <c r="PUM256" s="2228"/>
      <c r="PUN256" s="2228"/>
      <c r="PUO256" s="2227"/>
      <c r="PUP256" s="2228"/>
      <c r="PUQ256" s="2228"/>
      <c r="PUR256" s="2228"/>
      <c r="PUS256" s="2228"/>
      <c r="PUT256" s="2228"/>
      <c r="PUU256" s="2228"/>
      <c r="PUV256" s="2228"/>
      <c r="PUW256" s="2228"/>
      <c r="PUX256" s="2228"/>
      <c r="PUY256" s="2228"/>
      <c r="PUZ256" s="2228"/>
      <c r="PVA256" s="2228"/>
      <c r="PVB256" s="2228"/>
      <c r="PVC256" s="2228"/>
      <c r="PVD256" s="2228"/>
      <c r="PVE256" s="2227"/>
      <c r="PVF256" s="2228"/>
      <c r="PVG256" s="2228"/>
      <c r="PVH256" s="2228"/>
      <c r="PVI256" s="2228"/>
      <c r="PVJ256" s="2228"/>
      <c r="PVK256" s="2228"/>
      <c r="PVL256" s="2228"/>
      <c r="PVM256" s="2228"/>
      <c r="PVN256" s="2228"/>
      <c r="PVO256" s="2228"/>
      <c r="PVP256" s="2228"/>
      <c r="PVQ256" s="2228"/>
      <c r="PVR256" s="2228"/>
      <c r="PVS256" s="2228"/>
      <c r="PVT256" s="2228"/>
      <c r="PVU256" s="2227"/>
      <c r="PVV256" s="2228"/>
      <c r="PVW256" s="2228"/>
      <c r="PVX256" s="2228"/>
      <c r="PVY256" s="2228"/>
      <c r="PVZ256" s="2228"/>
      <c r="PWA256" s="2228"/>
      <c r="PWB256" s="2228"/>
      <c r="PWC256" s="2228"/>
      <c r="PWD256" s="2228"/>
      <c r="PWE256" s="2228"/>
      <c r="PWF256" s="2228"/>
      <c r="PWG256" s="2228"/>
      <c r="PWH256" s="2228"/>
      <c r="PWI256" s="2228"/>
      <c r="PWJ256" s="2228"/>
      <c r="PWK256" s="2227"/>
      <c r="PWL256" s="2228"/>
      <c r="PWM256" s="2228"/>
      <c r="PWN256" s="2228"/>
      <c r="PWO256" s="2228"/>
      <c r="PWP256" s="2228"/>
      <c r="PWQ256" s="2228"/>
      <c r="PWR256" s="2228"/>
      <c r="PWS256" s="2228"/>
      <c r="PWT256" s="2228"/>
      <c r="PWU256" s="2228"/>
      <c r="PWV256" s="2228"/>
      <c r="PWW256" s="2228"/>
      <c r="PWX256" s="2228"/>
      <c r="PWY256" s="2228"/>
      <c r="PWZ256" s="2228"/>
      <c r="PXA256" s="2227"/>
      <c r="PXB256" s="2228"/>
      <c r="PXC256" s="2228"/>
      <c r="PXD256" s="2228"/>
      <c r="PXE256" s="2228"/>
      <c r="PXF256" s="2228"/>
      <c r="PXG256" s="2228"/>
      <c r="PXH256" s="2228"/>
      <c r="PXI256" s="2228"/>
      <c r="PXJ256" s="2228"/>
      <c r="PXK256" s="2228"/>
      <c r="PXL256" s="2228"/>
      <c r="PXM256" s="2228"/>
      <c r="PXN256" s="2228"/>
      <c r="PXO256" s="2228"/>
      <c r="PXP256" s="2228"/>
      <c r="PXQ256" s="2227"/>
      <c r="PXR256" s="2228"/>
      <c r="PXS256" s="2228"/>
      <c r="PXT256" s="2228"/>
      <c r="PXU256" s="2228"/>
      <c r="PXV256" s="2228"/>
      <c r="PXW256" s="2228"/>
      <c r="PXX256" s="2228"/>
      <c r="PXY256" s="2228"/>
      <c r="PXZ256" s="2228"/>
      <c r="PYA256" s="2228"/>
      <c r="PYB256" s="2228"/>
      <c r="PYC256" s="2228"/>
      <c r="PYD256" s="2228"/>
      <c r="PYE256" s="2228"/>
      <c r="PYF256" s="2228"/>
      <c r="PYG256" s="2227"/>
      <c r="PYH256" s="2228"/>
      <c r="PYI256" s="2228"/>
      <c r="PYJ256" s="2228"/>
      <c r="PYK256" s="2228"/>
      <c r="PYL256" s="2228"/>
      <c r="PYM256" s="2228"/>
      <c r="PYN256" s="2228"/>
      <c r="PYO256" s="2228"/>
      <c r="PYP256" s="2228"/>
      <c r="PYQ256" s="2228"/>
      <c r="PYR256" s="2228"/>
      <c r="PYS256" s="2228"/>
      <c r="PYT256" s="2228"/>
      <c r="PYU256" s="2228"/>
      <c r="PYV256" s="2228"/>
      <c r="PYW256" s="2227"/>
      <c r="PYX256" s="2228"/>
      <c r="PYY256" s="2228"/>
      <c r="PYZ256" s="2228"/>
      <c r="PZA256" s="2228"/>
      <c r="PZB256" s="2228"/>
      <c r="PZC256" s="2228"/>
      <c r="PZD256" s="2228"/>
      <c r="PZE256" s="2228"/>
      <c r="PZF256" s="2228"/>
      <c r="PZG256" s="2228"/>
      <c r="PZH256" s="2228"/>
      <c r="PZI256" s="2228"/>
      <c r="PZJ256" s="2228"/>
      <c r="PZK256" s="2228"/>
      <c r="PZL256" s="2228"/>
      <c r="PZM256" s="2227"/>
      <c r="PZN256" s="2228"/>
      <c r="PZO256" s="2228"/>
      <c r="PZP256" s="2228"/>
      <c r="PZQ256" s="2228"/>
      <c r="PZR256" s="2228"/>
      <c r="PZS256" s="2228"/>
      <c r="PZT256" s="2228"/>
      <c r="PZU256" s="2228"/>
      <c r="PZV256" s="2228"/>
      <c r="PZW256" s="2228"/>
      <c r="PZX256" s="2228"/>
      <c r="PZY256" s="2228"/>
      <c r="PZZ256" s="2228"/>
      <c r="QAA256" s="2228"/>
      <c r="QAB256" s="2228"/>
      <c r="QAC256" s="2227"/>
      <c r="QAD256" s="2228"/>
      <c r="QAE256" s="2228"/>
      <c r="QAF256" s="2228"/>
      <c r="QAG256" s="2228"/>
      <c r="QAH256" s="2228"/>
      <c r="QAI256" s="2228"/>
      <c r="QAJ256" s="2228"/>
      <c r="QAK256" s="2228"/>
      <c r="QAL256" s="2228"/>
      <c r="QAM256" s="2228"/>
      <c r="QAN256" s="2228"/>
      <c r="QAO256" s="2228"/>
      <c r="QAP256" s="2228"/>
      <c r="QAQ256" s="2228"/>
      <c r="QAR256" s="2228"/>
      <c r="QAS256" s="2227"/>
      <c r="QAT256" s="2228"/>
      <c r="QAU256" s="2228"/>
      <c r="QAV256" s="2228"/>
      <c r="QAW256" s="2228"/>
      <c r="QAX256" s="2228"/>
      <c r="QAY256" s="2228"/>
      <c r="QAZ256" s="2228"/>
      <c r="QBA256" s="2228"/>
      <c r="QBB256" s="2228"/>
      <c r="QBC256" s="2228"/>
      <c r="QBD256" s="2228"/>
      <c r="QBE256" s="2228"/>
      <c r="QBF256" s="2228"/>
      <c r="QBG256" s="2228"/>
      <c r="QBH256" s="2228"/>
      <c r="QBI256" s="2227"/>
      <c r="QBJ256" s="2228"/>
      <c r="QBK256" s="2228"/>
      <c r="QBL256" s="2228"/>
      <c r="QBM256" s="2228"/>
      <c r="QBN256" s="2228"/>
      <c r="QBO256" s="2228"/>
      <c r="QBP256" s="2228"/>
      <c r="QBQ256" s="2228"/>
      <c r="QBR256" s="2228"/>
      <c r="QBS256" s="2228"/>
      <c r="QBT256" s="2228"/>
      <c r="QBU256" s="2228"/>
      <c r="QBV256" s="2228"/>
      <c r="QBW256" s="2228"/>
      <c r="QBX256" s="2228"/>
      <c r="QBY256" s="2227"/>
      <c r="QBZ256" s="2228"/>
      <c r="QCA256" s="2228"/>
      <c r="QCB256" s="2228"/>
      <c r="QCC256" s="2228"/>
      <c r="QCD256" s="2228"/>
      <c r="QCE256" s="2228"/>
      <c r="QCF256" s="2228"/>
      <c r="QCG256" s="2228"/>
      <c r="QCH256" s="2228"/>
      <c r="QCI256" s="2228"/>
      <c r="QCJ256" s="2228"/>
      <c r="QCK256" s="2228"/>
      <c r="QCL256" s="2228"/>
      <c r="QCM256" s="2228"/>
      <c r="QCN256" s="2228"/>
      <c r="QCO256" s="2227"/>
      <c r="QCP256" s="2228"/>
      <c r="QCQ256" s="2228"/>
      <c r="QCR256" s="2228"/>
      <c r="QCS256" s="2228"/>
      <c r="QCT256" s="2228"/>
      <c r="QCU256" s="2228"/>
      <c r="QCV256" s="2228"/>
      <c r="QCW256" s="2228"/>
      <c r="QCX256" s="2228"/>
      <c r="QCY256" s="2228"/>
      <c r="QCZ256" s="2228"/>
      <c r="QDA256" s="2228"/>
      <c r="QDB256" s="2228"/>
      <c r="QDC256" s="2228"/>
      <c r="QDD256" s="2228"/>
      <c r="QDE256" s="2227"/>
      <c r="QDF256" s="2228"/>
      <c r="QDG256" s="2228"/>
      <c r="QDH256" s="2228"/>
      <c r="QDI256" s="2228"/>
      <c r="QDJ256" s="2228"/>
      <c r="QDK256" s="2228"/>
      <c r="QDL256" s="2228"/>
      <c r="QDM256" s="2228"/>
      <c r="QDN256" s="2228"/>
      <c r="QDO256" s="2228"/>
      <c r="QDP256" s="2228"/>
      <c r="QDQ256" s="2228"/>
      <c r="QDR256" s="2228"/>
      <c r="QDS256" s="2228"/>
      <c r="QDT256" s="2228"/>
      <c r="QDU256" s="2227"/>
      <c r="QDV256" s="2228"/>
      <c r="QDW256" s="2228"/>
      <c r="QDX256" s="2228"/>
      <c r="QDY256" s="2228"/>
      <c r="QDZ256" s="2228"/>
      <c r="QEA256" s="2228"/>
      <c r="QEB256" s="2228"/>
      <c r="QEC256" s="2228"/>
      <c r="QED256" s="2228"/>
      <c r="QEE256" s="2228"/>
      <c r="QEF256" s="2228"/>
      <c r="QEG256" s="2228"/>
      <c r="QEH256" s="2228"/>
      <c r="QEI256" s="2228"/>
      <c r="QEJ256" s="2228"/>
      <c r="QEK256" s="2227"/>
      <c r="QEL256" s="2228"/>
      <c r="QEM256" s="2228"/>
      <c r="QEN256" s="2228"/>
      <c r="QEO256" s="2228"/>
      <c r="QEP256" s="2228"/>
      <c r="QEQ256" s="2228"/>
      <c r="QER256" s="2228"/>
      <c r="QES256" s="2228"/>
      <c r="QET256" s="2228"/>
      <c r="QEU256" s="2228"/>
      <c r="QEV256" s="2228"/>
      <c r="QEW256" s="2228"/>
      <c r="QEX256" s="2228"/>
      <c r="QEY256" s="2228"/>
      <c r="QEZ256" s="2228"/>
      <c r="QFA256" s="2227"/>
      <c r="QFB256" s="2228"/>
      <c r="QFC256" s="2228"/>
      <c r="QFD256" s="2228"/>
      <c r="QFE256" s="2228"/>
      <c r="QFF256" s="2228"/>
      <c r="QFG256" s="2228"/>
      <c r="QFH256" s="2228"/>
      <c r="QFI256" s="2228"/>
      <c r="QFJ256" s="2228"/>
      <c r="QFK256" s="2228"/>
      <c r="QFL256" s="2228"/>
      <c r="QFM256" s="2228"/>
      <c r="QFN256" s="2228"/>
      <c r="QFO256" s="2228"/>
      <c r="QFP256" s="2228"/>
      <c r="QFQ256" s="2227"/>
      <c r="QFR256" s="2228"/>
      <c r="QFS256" s="2228"/>
      <c r="QFT256" s="2228"/>
      <c r="QFU256" s="2228"/>
      <c r="QFV256" s="2228"/>
      <c r="QFW256" s="2228"/>
      <c r="QFX256" s="2228"/>
      <c r="QFY256" s="2228"/>
      <c r="QFZ256" s="2228"/>
      <c r="QGA256" s="2228"/>
      <c r="QGB256" s="2228"/>
      <c r="QGC256" s="2228"/>
      <c r="QGD256" s="2228"/>
      <c r="QGE256" s="2228"/>
      <c r="QGF256" s="2228"/>
      <c r="QGG256" s="2227"/>
      <c r="QGH256" s="2228"/>
      <c r="QGI256" s="2228"/>
      <c r="QGJ256" s="2228"/>
      <c r="QGK256" s="2228"/>
      <c r="QGL256" s="2228"/>
      <c r="QGM256" s="2228"/>
      <c r="QGN256" s="2228"/>
      <c r="QGO256" s="2228"/>
      <c r="QGP256" s="2228"/>
      <c r="QGQ256" s="2228"/>
      <c r="QGR256" s="2228"/>
      <c r="QGS256" s="2228"/>
      <c r="QGT256" s="2228"/>
      <c r="QGU256" s="2228"/>
      <c r="QGV256" s="2228"/>
      <c r="QGW256" s="2227"/>
      <c r="QGX256" s="2228"/>
      <c r="QGY256" s="2228"/>
      <c r="QGZ256" s="2228"/>
      <c r="QHA256" s="2228"/>
      <c r="QHB256" s="2228"/>
      <c r="QHC256" s="2228"/>
      <c r="QHD256" s="2228"/>
      <c r="QHE256" s="2228"/>
      <c r="QHF256" s="2228"/>
      <c r="QHG256" s="2228"/>
      <c r="QHH256" s="2228"/>
      <c r="QHI256" s="2228"/>
      <c r="QHJ256" s="2228"/>
      <c r="QHK256" s="2228"/>
      <c r="QHL256" s="2228"/>
      <c r="QHM256" s="2227"/>
      <c r="QHN256" s="2228"/>
      <c r="QHO256" s="2228"/>
      <c r="QHP256" s="2228"/>
      <c r="QHQ256" s="2228"/>
      <c r="QHR256" s="2228"/>
      <c r="QHS256" s="2228"/>
      <c r="QHT256" s="2228"/>
      <c r="QHU256" s="2228"/>
      <c r="QHV256" s="2228"/>
      <c r="QHW256" s="2228"/>
      <c r="QHX256" s="2228"/>
      <c r="QHY256" s="2228"/>
      <c r="QHZ256" s="2228"/>
      <c r="QIA256" s="2228"/>
      <c r="QIB256" s="2228"/>
      <c r="QIC256" s="2227"/>
      <c r="QID256" s="2228"/>
      <c r="QIE256" s="2228"/>
      <c r="QIF256" s="2228"/>
      <c r="QIG256" s="2228"/>
      <c r="QIH256" s="2228"/>
      <c r="QII256" s="2228"/>
      <c r="QIJ256" s="2228"/>
      <c r="QIK256" s="2228"/>
      <c r="QIL256" s="2228"/>
      <c r="QIM256" s="2228"/>
      <c r="QIN256" s="2228"/>
      <c r="QIO256" s="2228"/>
      <c r="QIP256" s="2228"/>
      <c r="QIQ256" s="2228"/>
      <c r="QIR256" s="2228"/>
      <c r="QIS256" s="2227"/>
      <c r="QIT256" s="2228"/>
      <c r="QIU256" s="2228"/>
      <c r="QIV256" s="2228"/>
      <c r="QIW256" s="2228"/>
      <c r="QIX256" s="2228"/>
      <c r="QIY256" s="2228"/>
      <c r="QIZ256" s="2228"/>
      <c r="QJA256" s="2228"/>
      <c r="QJB256" s="2228"/>
      <c r="QJC256" s="2228"/>
      <c r="QJD256" s="2228"/>
      <c r="QJE256" s="2228"/>
      <c r="QJF256" s="2228"/>
      <c r="QJG256" s="2228"/>
      <c r="QJH256" s="2228"/>
      <c r="QJI256" s="2227"/>
      <c r="QJJ256" s="2228"/>
      <c r="QJK256" s="2228"/>
      <c r="QJL256" s="2228"/>
      <c r="QJM256" s="2228"/>
      <c r="QJN256" s="2228"/>
      <c r="QJO256" s="2228"/>
      <c r="QJP256" s="2228"/>
      <c r="QJQ256" s="2228"/>
      <c r="QJR256" s="2228"/>
      <c r="QJS256" s="2228"/>
      <c r="QJT256" s="2228"/>
      <c r="QJU256" s="2228"/>
      <c r="QJV256" s="2228"/>
      <c r="QJW256" s="2228"/>
      <c r="QJX256" s="2228"/>
      <c r="QJY256" s="2227"/>
      <c r="QJZ256" s="2228"/>
      <c r="QKA256" s="2228"/>
      <c r="QKB256" s="2228"/>
      <c r="QKC256" s="2228"/>
      <c r="QKD256" s="2228"/>
      <c r="QKE256" s="2228"/>
      <c r="QKF256" s="2228"/>
      <c r="QKG256" s="2228"/>
      <c r="QKH256" s="2228"/>
      <c r="QKI256" s="2228"/>
      <c r="QKJ256" s="2228"/>
      <c r="QKK256" s="2228"/>
      <c r="QKL256" s="2228"/>
      <c r="QKM256" s="2228"/>
      <c r="QKN256" s="2228"/>
      <c r="QKO256" s="2227"/>
      <c r="QKP256" s="2228"/>
      <c r="QKQ256" s="2228"/>
      <c r="QKR256" s="2228"/>
      <c r="QKS256" s="2228"/>
      <c r="QKT256" s="2228"/>
      <c r="QKU256" s="2228"/>
      <c r="QKV256" s="2228"/>
      <c r="QKW256" s="2228"/>
      <c r="QKX256" s="2228"/>
      <c r="QKY256" s="2228"/>
      <c r="QKZ256" s="2228"/>
      <c r="QLA256" s="2228"/>
      <c r="QLB256" s="2228"/>
      <c r="QLC256" s="2228"/>
      <c r="QLD256" s="2228"/>
      <c r="QLE256" s="2227"/>
      <c r="QLF256" s="2228"/>
      <c r="QLG256" s="2228"/>
      <c r="QLH256" s="2228"/>
      <c r="QLI256" s="2228"/>
      <c r="QLJ256" s="2228"/>
      <c r="QLK256" s="2228"/>
      <c r="QLL256" s="2228"/>
      <c r="QLM256" s="2228"/>
      <c r="QLN256" s="2228"/>
      <c r="QLO256" s="2228"/>
      <c r="QLP256" s="2228"/>
      <c r="QLQ256" s="2228"/>
      <c r="QLR256" s="2228"/>
      <c r="QLS256" s="2228"/>
      <c r="QLT256" s="2228"/>
      <c r="QLU256" s="2227"/>
      <c r="QLV256" s="2228"/>
      <c r="QLW256" s="2228"/>
      <c r="QLX256" s="2228"/>
      <c r="QLY256" s="2228"/>
      <c r="QLZ256" s="2228"/>
      <c r="QMA256" s="2228"/>
      <c r="QMB256" s="2228"/>
      <c r="QMC256" s="2228"/>
      <c r="QMD256" s="2228"/>
      <c r="QME256" s="2228"/>
      <c r="QMF256" s="2228"/>
      <c r="QMG256" s="2228"/>
      <c r="QMH256" s="2228"/>
      <c r="QMI256" s="2228"/>
      <c r="QMJ256" s="2228"/>
      <c r="QMK256" s="2227"/>
      <c r="QML256" s="2228"/>
      <c r="QMM256" s="2228"/>
      <c r="QMN256" s="2228"/>
      <c r="QMO256" s="2228"/>
      <c r="QMP256" s="2228"/>
      <c r="QMQ256" s="2228"/>
      <c r="QMR256" s="2228"/>
      <c r="QMS256" s="2228"/>
      <c r="QMT256" s="2228"/>
      <c r="QMU256" s="2228"/>
      <c r="QMV256" s="2228"/>
      <c r="QMW256" s="2228"/>
      <c r="QMX256" s="2228"/>
      <c r="QMY256" s="2228"/>
      <c r="QMZ256" s="2228"/>
      <c r="QNA256" s="2227"/>
      <c r="QNB256" s="2228"/>
      <c r="QNC256" s="2228"/>
      <c r="QND256" s="2228"/>
      <c r="QNE256" s="2228"/>
      <c r="QNF256" s="2228"/>
      <c r="QNG256" s="2228"/>
      <c r="QNH256" s="2228"/>
      <c r="QNI256" s="2228"/>
      <c r="QNJ256" s="2228"/>
      <c r="QNK256" s="2228"/>
      <c r="QNL256" s="2228"/>
      <c r="QNM256" s="2228"/>
      <c r="QNN256" s="2228"/>
      <c r="QNO256" s="2228"/>
      <c r="QNP256" s="2228"/>
      <c r="QNQ256" s="2227"/>
      <c r="QNR256" s="2228"/>
      <c r="QNS256" s="2228"/>
      <c r="QNT256" s="2228"/>
      <c r="QNU256" s="2228"/>
      <c r="QNV256" s="2228"/>
      <c r="QNW256" s="2228"/>
      <c r="QNX256" s="2228"/>
      <c r="QNY256" s="2228"/>
      <c r="QNZ256" s="2228"/>
      <c r="QOA256" s="2228"/>
      <c r="QOB256" s="2228"/>
      <c r="QOC256" s="2228"/>
      <c r="QOD256" s="2228"/>
      <c r="QOE256" s="2228"/>
      <c r="QOF256" s="2228"/>
      <c r="QOG256" s="2227"/>
      <c r="QOH256" s="2228"/>
      <c r="QOI256" s="2228"/>
      <c r="QOJ256" s="2228"/>
      <c r="QOK256" s="2228"/>
      <c r="QOL256" s="2228"/>
      <c r="QOM256" s="2228"/>
      <c r="QON256" s="2228"/>
      <c r="QOO256" s="2228"/>
      <c r="QOP256" s="2228"/>
      <c r="QOQ256" s="2228"/>
      <c r="QOR256" s="2228"/>
      <c r="QOS256" s="2228"/>
      <c r="QOT256" s="2228"/>
      <c r="QOU256" s="2228"/>
      <c r="QOV256" s="2228"/>
      <c r="QOW256" s="2227"/>
      <c r="QOX256" s="2228"/>
      <c r="QOY256" s="2228"/>
      <c r="QOZ256" s="2228"/>
      <c r="QPA256" s="2228"/>
      <c r="QPB256" s="2228"/>
      <c r="QPC256" s="2228"/>
      <c r="QPD256" s="2228"/>
      <c r="QPE256" s="2228"/>
      <c r="QPF256" s="2228"/>
      <c r="QPG256" s="2228"/>
      <c r="QPH256" s="2228"/>
      <c r="QPI256" s="2228"/>
      <c r="QPJ256" s="2228"/>
      <c r="QPK256" s="2228"/>
      <c r="QPL256" s="2228"/>
      <c r="QPM256" s="2227"/>
      <c r="QPN256" s="2228"/>
      <c r="QPO256" s="2228"/>
      <c r="QPP256" s="2228"/>
      <c r="QPQ256" s="2228"/>
      <c r="QPR256" s="2228"/>
      <c r="QPS256" s="2228"/>
      <c r="QPT256" s="2228"/>
      <c r="QPU256" s="2228"/>
      <c r="QPV256" s="2228"/>
      <c r="QPW256" s="2228"/>
      <c r="QPX256" s="2228"/>
      <c r="QPY256" s="2228"/>
      <c r="QPZ256" s="2228"/>
      <c r="QQA256" s="2228"/>
      <c r="QQB256" s="2228"/>
      <c r="QQC256" s="2227"/>
      <c r="QQD256" s="2228"/>
      <c r="QQE256" s="2228"/>
      <c r="QQF256" s="2228"/>
      <c r="QQG256" s="2228"/>
      <c r="QQH256" s="2228"/>
      <c r="QQI256" s="2228"/>
      <c r="QQJ256" s="2228"/>
      <c r="QQK256" s="2228"/>
      <c r="QQL256" s="2228"/>
      <c r="QQM256" s="2228"/>
      <c r="QQN256" s="2228"/>
      <c r="QQO256" s="2228"/>
      <c r="QQP256" s="2228"/>
      <c r="QQQ256" s="2228"/>
      <c r="QQR256" s="2228"/>
      <c r="QQS256" s="2227"/>
      <c r="QQT256" s="2228"/>
      <c r="QQU256" s="2228"/>
      <c r="QQV256" s="2228"/>
      <c r="QQW256" s="2228"/>
      <c r="QQX256" s="2228"/>
      <c r="QQY256" s="2228"/>
      <c r="QQZ256" s="2228"/>
      <c r="QRA256" s="2228"/>
      <c r="QRB256" s="2228"/>
      <c r="QRC256" s="2228"/>
      <c r="QRD256" s="2228"/>
      <c r="QRE256" s="2228"/>
      <c r="QRF256" s="2228"/>
      <c r="QRG256" s="2228"/>
      <c r="QRH256" s="2228"/>
      <c r="QRI256" s="2227"/>
      <c r="QRJ256" s="2228"/>
      <c r="QRK256" s="2228"/>
      <c r="QRL256" s="2228"/>
      <c r="QRM256" s="2228"/>
      <c r="QRN256" s="2228"/>
      <c r="QRO256" s="2228"/>
      <c r="QRP256" s="2228"/>
      <c r="QRQ256" s="2228"/>
      <c r="QRR256" s="2228"/>
      <c r="QRS256" s="2228"/>
      <c r="QRT256" s="2228"/>
      <c r="QRU256" s="2228"/>
      <c r="QRV256" s="2228"/>
      <c r="QRW256" s="2228"/>
      <c r="QRX256" s="2228"/>
      <c r="QRY256" s="2227"/>
      <c r="QRZ256" s="2228"/>
      <c r="QSA256" s="2228"/>
      <c r="QSB256" s="2228"/>
      <c r="QSC256" s="2228"/>
      <c r="QSD256" s="2228"/>
      <c r="QSE256" s="2228"/>
      <c r="QSF256" s="2228"/>
      <c r="QSG256" s="2228"/>
      <c r="QSH256" s="2228"/>
      <c r="QSI256" s="2228"/>
      <c r="QSJ256" s="2228"/>
      <c r="QSK256" s="2228"/>
      <c r="QSL256" s="2228"/>
      <c r="QSM256" s="2228"/>
      <c r="QSN256" s="2228"/>
      <c r="QSO256" s="2227"/>
      <c r="QSP256" s="2228"/>
      <c r="QSQ256" s="2228"/>
      <c r="QSR256" s="2228"/>
      <c r="QSS256" s="2228"/>
      <c r="QST256" s="2228"/>
      <c r="QSU256" s="2228"/>
      <c r="QSV256" s="2228"/>
      <c r="QSW256" s="2228"/>
      <c r="QSX256" s="2228"/>
      <c r="QSY256" s="2228"/>
      <c r="QSZ256" s="2228"/>
      <c r="QTA256" s="2228"/>
      <c r="QTB256" s="2228"/>
      <c r="QTC256" s="2228"/>
      <c r="QTD256" s="2228"/>
      <c r="QTE256" s="2227"/>
      <c r="QTF256" s="2228"/>
      <c r="QTG256" s="2228"/>
      <c r="QTH256" s="2228"/>
      <c r="QTI256" s="2228"/>
      <c r="QTJ256" s="2228"/>
      <c r="QTK256" s="2228"/>
      <c r="QTL256" s="2228"/>
      <c r="QTM256" s="2228"/>
      <c r="QTN256" s="2228"/>
      <c r="QTO256" s="2228"/>
      <c r="QTP256" s="2228"/>
      <c r="QTQ256" s="2228"/>
      <c r="QTR256" s="2228"/>
      <c r="QTS256" s="2228"/>
      <c r="QTT256" s="2228"/>
      <c r="QTU256" s="2227"/>
      <c r="QTV256" s="2228"/>
      <c r="QTW256" s="2228"/>
      <c r="QTX256" s="2228"/>
      <c r="QTY256" s="2228"/>
      <c r="QTZ256" s="2228"/>
      <c r="QUA256" s="2228"/>
      <c r="QUB256" s="2228"/>
      <c r="QUC256" s="2228"/>
      <c r="QUD256" s="2228"/>
      <c r="QUE256" s="2228"/>
      <c r="QUF256" s="2228"/>
      <c r="QUG256" s="2228"/>
      <c r="QUH256" s="2228"/>
      <c r="QUI256" s="2228"/>
      <c r="QUJ256" s="2228"/>
      <c r="QUK256" s="2227"/>
      <c r="QUL256" s="2228"/>
      <c r="QUM256" s="2228"/>
      <c r="QUN256" s="2228"/>
      <c r="QUO256" s="2228"/>
      <c r="QUP256" s="2228"/>
      <c r="QUQ256" s="2228"/>
      <c r="QUR256" s="2228"/>
      <c r="QUS256" s="2228"/>
      <c r="QUT256" s="2228"/>
      <c r="QUU256" s="2228"/>
      <c r="QUV256" s="2228"/>
      <c r="QUW256" s="2228"/>
      <c r="QUX256" s="2228"/>
      <c r="QUY256" s="2228"/>
      <c r="QUZ256" s="2228"/>
      <c r="QVA256" s="2227"/>
      <c r="QVB256" s="2228"/>
      <c r="QVC256" s="2228"/>
      <c r="QVD256" s="2228"/>
      <c r="QVE256" s="2228"/>
      <c r="QVF256" s="2228"/>
      <c r="QVG256" s="2228"/>
      <c r="QVH256" s="2228"/>
      <c r="QVI256" s="2228"/>
      <c r="QVJ256" s="2228"/>
      <c r="QVK256" s="2228"/>
      <c r="QVL256" s="2228"/>
      <c r="QVM256" s="2228"/>
      <c r="QVN256" s="2228"/>
      <c r="QVO256" s="2228"/>
      <c r="QVP256" s="2228"/>
      <c r="QVQ256" s="2227"/>
      <c r="QVR256" s="2228"/>
      <c r="QVS256" s="2228"/>
      <c r="QVT256" s="2228"/>
      <c r="QVU256" s="2228"/>
      <c r="QVV256" s="2228"/>
      <c r="QVW256" s="2228"/>
      <c r="QVX256" s="2228"/>
      <c r="QVY256" s="2228"/>
      <c r="QVZ256" s="2228"/>
      <c r="QWA256" s="2228"/>
      <c r="QWB256" s="2228"/>
      <c r="QWC256" s="2228"/>
      <c r="QWD256" s="2228"/>
      <c r="QWE256" s="2228"/>
      <c r="QWF256" s="2228"/>
      <c r="QWG256" s="2227"/>
      <c r="QWH256" s="2228"/>
      <c r="QWI256" s="2228"/>
      <c r="QWJ256" s="2228"/>
      <c r="QWK256" s="2228"/>
      <c r="QWL256" s="2228"/>
      <c r="QWM256" s="2228"/>
      <c r="QWN256" s="2228"/>
      <c r="QWO256" s="2228"/>
      <c r="QWP256" s="2228"/>
      <c r="QWQ256" s="2228"/>
      <c r="QWR256" s="2228"/>
      <c r="QWS256" s="2228"/>
      <c r="QWT256" s="2228"/>
      <c r="QWU256" s="2228"/>
      <c r="QWV256" s="2228"/>
      <c r="QWW256" s="2227"/>
      <c r="QWX256" s="2228"/>
      <c r="QWY256" s="2228"/>
      <c r="QWZ256" s="2228"/>
      <c r="QXA256" s="2228"/>
      <c r="QXB256" s="2228"/>
      <c r="QXC256" s="2228"/>
      <c r="QXD256" s="2228"/>
      <c r="QXE256" s="2228"/>
      <c r="QXF256" s="2228"/>
      <c r="QXG256" s="2228"/>
      <c r="QXH256" s="2228"/>
      <c r="QXI256" s="2228"/>
      <c r="QXJ256" s="2228"/>
      <c r="QXK256" s="2228"/>
      <c r="QXL256" s="2228"/>
      <c r="QXM256" s="2227"/>
      <c r="QXN256" s="2228"/>
      <c r="QXO256" s="2228"/>
      <c r="QXP256" s="2228"/>
      <c r="QXQ256" s="2228"/>
      <c r="QXR256" s="2228"/>
      <c r="QXS256" s="2228"/>
      <c r="QXT256" s="2228"/>
      <c r="QXU256" s="2228"/>
      <c r="QXV256" s="2228"/>
      <c r="QXW256" s="2228"/>
      <c r="QXX256" s="2228"/>
      <c r="QXY256" s="2228"/>
      <c r="QXZ256" s="2228"/>
      <c r="QYA256" s="2228"/>
      <c r="QYB256" s="2228"/>
      <c r="QYC256" s="2227"/>
      <c r="QYD256" s="2228"/>
      <c r="QYE256" s="2228"/>
      <c r="QYF256" s="2228"/>
      <c r="QYG256" s="2228"/>
      <c r="QYH256" s="2228"/>
      <c r="QYI256" s="2228"/>
      <c r="QYJ256" s="2228"/>
      <c r="QYK256" s="2228"/>
      <c r="QYL256" s="2228"/>
      <c r="QYM256" s="2228"/>
      <c r="QYN256" s="2228"/>
      <c r="QYO256" s="2228"/>
      <c r="QYP256" s="2228"/>
      <c r="QYQ256" s="2228"/>
      <c r="QYR256" s="2228"/>
      <c r="QYS256" s="2227"/>
      <c r="QYT256" s="2228"/>
      <c r="QYU256" s="2228"/>
      <c r="QYV256" s="2228"/>
      <c r="QYW256" s="2228"/>
      <c r="QYX256" s="2228"/>
      <c r="QYY256" s="2228"/>
      <c r="QYZ256" s="2228"/>
      <c r="QZA256" s="2228"/>
      <c r="QZB256" s="2228"/>
      <c r="QZC256" s="2228"/>
      <c r="QZD256" s="2228"/>
      <c r="QZE256" s="2228"/>
      <c r="QZF256" s="2228"/>
      <c r="QZG256" s="2228"/>
      <c r="QZH256" s="2228"/>
      <c r="QZI256" s="2227"/>
      <c r="QZJ256" s="2228"/>
      <c r="QZK256" s="2228"/>
      <c r="QZL256" s="2228"/>
      <c r="QZM256" s="2228"/>
      <c r="QZN256" s="2228"/>
      <c r="QZO256" s="2228"/>
      <c r="QZP256" s="2228"/>
      <c r="QZQ256" s="2228"/>
      <c r="QZR256" s="2228"/>
      <c r="QZS256" s="2228"/>
      <c r="QZT256" s="2228"/>
      <c r="QZU256" s="2228"/>
      <c r="QZV256" s="2228"/>
      <c r="QZW256" s="2228"/>
      <c r="QZX256" s="2228"/>
      <c r="QZY256" s="2227"/>
      <c r="QZZ256" s="2228"/>
      <c r="RAA256" s="2228"/>
      <c r="RAB256" s="2228"/>
      <c r="RAC256" s="2228"/>
      <c r="RAD256" s="2228"/>
      <c r="RAE256" s="2228"/>
      <c r="RAF256" s="2228"/>
      <c r="RAG256" s="2228"/>
      <c r="RAH256" s="2228"/>
      <c r="RAI256" s="2228"/>
      <c r="RAJ256" s="2228"/>
      <c r="RAK256" s="2228"/>
      <c r="RAL256" s="2228"/>
      <c r="RAM256" s="2228"/>
      <c r="RAN256" s="2228"/>
      <c r="RAO256" s="2227"/>
      <c r="RAP256" s="2228"/>
      <c r="RAQ256" s="2228"/>
      <c r="RAR256" s="2228"/>
      <c r="RAS256" s="2228"/>
      <c r="RAT256" s="2228"/>
      <c r="RAU256" s="2228"/>
      <c r="RAV256" s="2228"/>
      <c r="RAW256" s="2228"/>
      <c r="RAX256" s="2228"/>
      <c r="RAY256" s="2228"/>
      <c r="RAZ256" s="2228"/>
      <c r="RBA256" s="2228"/>
      <c r="RBB256" s="2228"/>
      <c r="RBC256" s="2228"/>
      <c r="RBD256" s="2228"/>
      <c r="RBE256" s="2227"/>
      <c r="RBF256" s="2228"/>
      <c r="RBG256" s="2228"/>
      <c r="RBH256" s="2228"/>
      <c r="RBI256" s="2228"/>
      <c r="RBJ256" s="2228"/>
      <c r="RBK256" s="2228"/>
      <c r="RBL256" s="2228"/>
      <c r="RBM256" s="2228"/>
      <c r="RBN256" s="2228"/>
      <c r="RBO256" s="2228"/>
      <c r="RBP256" s="2228"/>
      <c r="RBQ256" s="2228"/>
      <c r="RBR256" s="2228"/>
      <c r="RBS256" s="2228"/>
      <c r="RBT256" s="2228"/>
      <c r="RBU256" s="2227"/>
      <c r="RBV256" s="2228"/>
      <c r="RBW256" s="2228"/>
      <c r="RBX256" s="2228"/>
      <c r="RBY256" s="2228"/>
      <c r="RBZ256" s="2228"/>
      <c r="RCA256" s="2228"/>
      <c r="RCB256" s="2228"/>
      <c r="RCC256" s="2228"/>
      <c r="RCD256" s="2228"/>
      <c r="RCE256" s="2228"/>
      <c r="RCF256" s="2228"/>
      <c r="RCG256" s="2228"/>
      <c r="RCH256" s="2228"/>
      <c r="RCI256" s="2228"/>
      <c r="RCJ256" s="2228"/>
      <c r="RCK256" s="2227"/>
      <c r="RCL256" s="2228"/>
      <c r="RCM256" s="2228"/>
      <c r="RCN256" s="2228"/>
      <c r="RCO256" s="2228"/>
      <c r="RCP256" s="2228"/>
      <c r="RCQ256" s="2228"/>
      <c r="RCR256" s="2228"/>
      <c r="RCS256" s="2228"/>
      <c r="RCT256" s="2228"/>
      <c r="RCU256" s="2228"/>
      <c r="RCV256" s="2228"/>
      <c r="RCW256" s="2228"/>
      <c r="RCX256" s="2228"/>
      <c r="RCY256" s="2228"/>
      <c r="RCZ256" s="2228"/>
      <c r="RDA256" s="2227"/>
      <c r="RDB256" s="2228"/>
      <c r="RDC256" s="2228"/>
      <c r="RDD256" s="2228"/>
      <c r="RDE256" s="2228"/>
      <c r="RDF256" s="2228"/>
      <c r="RDG256" s="2228"/>
      <c r="RDH256" s="2228"/>
      <c r="RDI256" s="2228"/>
      <c r="RDJ256" s="2228"/>
      <c r="RDK256" s="2228"/>
      <c r="RDL256" s="2228"/>
      <c r="RDM256" s="2228"/>
      <c r="RDN256" s="2228"/>
      <c r="RDO256" s="2228"/>
      <c r="RDP256" s="2228"/>
      <c r="RDQ256" s="2227"/>
      <c r="RDR256" s="2228"/>
      <c r="RDS256" s="2228"/>
      <c r="RDT256" s="2228"/>
      <c r="RDU256" s="2228"/>
      <c r="RDV256" s="2228"/>
      <c r="RDW256" s="2228"/>
      <c r="RDX256" s="2228"/>
      <c r="RDY256" s="2228"/>
      <c r="RDZ256" s="2228"/>
      <c r="REA256" s="2228"/>
      <c r="REB256" s="2228"/>
      <c r="REC256" s="2228"/>
      <c r="RED256" s="2228"/>
      <c r="REE256" s="2228"/>
      <c r="REF256" s="2228"/>
      <c r="REG256" s="2227"/>
      <c r="REH256" s="2228"/>
      <c r="REI256" s="2228"/>
      <c r="REJ256" s="2228"/>
      <c r="REK256" s="2228"/>
      <c r="REL256" s="2228"/>
      <c r="REM256" s="2228"/>
      <c r="REN256" s="2228"/>
      <c r="REO256" s="2228"/>
      <c r="REP256" s="2228"/>
      <c r="REQ256" s="2228"/>
      <c r="RER256" s="2228"/>
      <c r="RES256" s="2228"/>
      <c r="RET256" s="2228"/>
      <c r="REU256" s="2228"/>
      <c r="REV256" s="2228"/>
      <c r="REW256" s="2227"/>
      <c r="REX256" s="2228"/>
      <c r="REY256" s="2228"/>
      <c r="REZ256" s="2228"/>
      <c r="RFA256" s="2228"/>
      <c r="RFB256" s="2228"/>
      <c r="RFC256" s="2228"/>
      <c r="RFD256" s="2228"/>
      <c r="RFE256" s="2228"/>
      <c r="RFF256" s="2228"/>
      <c r="RFG256" s="2228"/>
      <c r="RFH256" s="2228"/>
      <c r="RFI256" s="2228"/>
      <c r="RFJ256" s="2228"/>
      <c r="RFK256" s="2228"/>
      <c r="RFL256" s="2228"/>
      <c r="RFM256" s="2227"/>
      <c r="RFN256" s="2228"/>
      <c r="RFO256" s="2228"/>
      <c r="RFP256" s="2228"/>
      <c r="RFQ256" s="2228"/>
      <c r="RFR256" s="2228"/>
      <c r="RFS256" s="2228"/>
      <c r="RFT256" s="2228"/>
      <c r="RFU256" s="2228"/>
      <c r="RFV256" s="2228"/>
      <c r="RFW256" s="2228"/>
      <c r="RFX256" s="2228"/>
      <c r="RFY256" s="2228"/>
      <c r="RFZ256" s="2228"/>
      <c r="RGA256" s="2228"/>
      <c r="RGB256" s="2228"/>
      <c r="RGC256" s="2227"/>
      <c r="RGD256" s="2228"/>
      <c r="RGE256" s="2228"/>
      <c r="RGF256" s="2228"/>
      <c r="RGG256" s="2228"/>
      <c r="RGH256" s="2228"/>
      <c r="RGI256" s="2228"/>
      <c r="RGJ256" s="2228"/>
      <c r="RGK256" s="2228"/>
      <c r="RGL256" s="2228"/>
      <c r="RGM256" s="2228"/>
      <c r="RGN256" s="2228"/>
      <c r="RGO256" s="2228"/>
      <c r="RGP256" s="2228"/>
      <c r="RGQ256" s="2228"/>
      <c r="RGR256" s="2228"/>
      <c r="RGS256" s="2227"/>
      <c r="RGT256" s="2228"/>
      <c r="RGU256" s="2228"/>
      <c r="RGV256" s="2228"/>
      <c r="RGW256" s="2228"/>
      <c r="RGX256" s="2228"/>
      <c r="RGY256" s="2228"/>
      <c r="RGZ256" s="2228"/>
      <c r="RHA256" s="2228"/>
      <c r="RHB256" s="2228"/>
      <c r="RHC256" s="2228"/>
      <c r="RHD256" s="2228"/>
      <c r="RHE256" s="2228"/>
      <c r="RHF256" s="2228"/>
      <c r="RHG256" s="2228"/>
      <c r="RHH256" s="2228"/>
      <c r="RHI256" s="2227"/>
      <c r="RHJ256" s="2228"/>
      <c r="RHK256" s="2228"/>
      <c r="RHL256" s="2228"/>
      <c r="RHM256" s="2228"/>
      <c r="RHN256" s="2228"/>
      <c r="RHO256" s="2228"/>
      <c r="RHP256" s="2228"/>
      <c r="RHQ256" s="2228"/>
      <c r="RHR256" s="2228"/>
      <c r="RHS256" s="2228"/>
      <c r="RHT256" s="2228"/>
      <c r="RHU256" s="2228"/>
      <c r="RHV256" s="2228"/>
      <c r="RHW256" s="2228"/>
      <c r="RHX256" s="2228"/>
      <c r="RHY256" s="2227"/>
      <c r="RHZ256" s="2228"/>
      <c r="RIA256" s="2228"/>
      <c r="RIB256" s="2228"/>
      <c r="RIC256" s="2228"/>
      <c r="RID256" s="2228"/>
      <c r="RIE256" s="2228"/>
      <c r="RIF256" s="2228"/>
      <c r="RIG256" s="2228"/>
      <c r="RIH256" s="2228"/>
      <c r="RII256" s="2228"/>
      <c r="RIJ256" s="2228"/>
      <c r="RIK256" s="2228"/>
      <c r="RIL256" s="2228"/>
      <c r="RIM256" s="2228"/>
      <c r="RIN256" s="2228"/>
      <c r="RIO256" s="2227"/>
      <c r="RIP256" s="2228"/>
      <c r="RIQ256" s="2228"/>
      <c r="RIR256" s="2228"/>
      <c r="RIS256" s="2228"/>
      <c r="RIT256" s="2228"/>
      <c r="RIU256" s="2228"/>
      <c r="RIV256" s="2228"/>
      <c r="RIW256" s="2228"/>
      <c r="RIX256" s="2228"/>
      <c r="RIY256" s="2228"/>
      <c r="RIZ256" s="2228"/>
      <c r="RJA256" s="2228"/>
      <c r="RJB256" s="2228"/>
      <c r="RJC256" s="2228"/>
      <c r="RJD256" s="2228"/>
      <c r="RJE256" s="2227"/>
      <c r="RJF256" s="2228"/>
      <c r="RJG256" s="2228"/>
      <c r="RJH256" s="2228"/>
      <c r="RJI256" s="2228"/>
      <c r="RJJ256" s="2228"/>
      <c r="RJK256" s="2228"/>
      <c r="RJL256" s="2228"/>
      <c r="RJM256" s="2228"/>
      <c r="RJN256" s="2228"/>
      <c r="RJO256" s="2228"/>
      <c r="RJP256" s="2228"/>
      <c r="RJQ256" s="2228"/>
      <c r="RJR256" s="2228"/>
      <c r="RJS256" s="2228"/>
      <c r="RJT256" s="2228"/>
      <c r="RJU256" s="2227"/>
      <c r="RJV256" s="2228"/>
      <c r="RJW256" s="2228"/>
      <c r="RJX256" s="2228"/>
      <c r="RJY256" s="2228"/>
      <c r="RJZ256" s="2228"/>
      <c r="RKA256" s="2228"/>
      <c r="RKB256" s="2228"/>
      <c r="RKC256" s="2228"/>
      <c r="RKD256" s="2228"/>
      <c r="RKE256" s="2228"/>
      <c r="RKF256" s="2228"/>
      <c r="RKG256" s="2228"/>
      <c r="RKH256" s="2228"/>
      <c r="RKI256" s="2228"/>
      <c r="RKJ256" s="2228"/>
      <c r="RKK256" s="2227"/>
      <c r="RKL256" s="2228"/>
      <c r="RKM256" s="2228"/>
      <c r="RKN256" s="2228"/>
      <c r="RKO256" s="2228"/>
      <c r="RKP256" s="2228"/>
      <c r="RKQ256" s="2228"/>
      <c r="RKR256" s="2228"/>
      <c r="RKS256" s="2228"/>
      <c r="RKT256" s="2228"/>
      <c r="RKU256" s="2228"/>
      <c r="RKV256" s="2228"/>
      <c r="RKW256" s="2228"/>
      <c r="RKX256" s="2228"/>
      <c r="RKY256" s="2228"/>
      <c r="RKZ256" s="2228"/>
      <c r="RLA256" s="2227"/>
      <c r="RLB256" s="2228"/>
      <c r="RLC256" s="2228"/>
      <c r="RLD256" s="2228"/>
      <c r="RLE256" s="2228"/>
      <c r="RLF256" s="2228"/>
      <c r="RLG256" s="2228"/>
      <c r="RLH256" s="2228"/>
      <c r="RLI256" s="2228"/>
      <c r="RLJ256" s="2228"/>
      <c r="RLK256" s="2228"/>
      <c r="RLL256" s="2228"/>
      <c r="RLM256" s="2228"/>
      <c r="RLN256" s="2228"/>
      <c r="RLO256" s="2228"/>
      <c r="RLP256" s="2228"/>
      <c r="RLQ256" s="2227"/>
      <c r="RLR256" s="2228"/>
      <c r="RLS256" s="2228"/>
      <c r="RLT256" s="2228"/>
      <c r="RLU256" s="2228"/>
      <c r="RLV256" s="2228"/>
      <c r="RLW256" s="2228"/>
      <c r="RLX256" s="2228"/>
      <c r="RLY256" s="2228"/>
      <c r="RLZ256" s="2228"/>
      <c r="RMA256" s="2228"/>
      <c r="RMB256" s="2228"/>
      <c r="RMC256" s="2228"/>
      <c r="RMD256" s="2228"/>
      <c r="RME256" s="2228"/>
      <c r="RMF256" s="2228"/>
      <c r="RMG256" s="2227"/>
      <c r="RMH256" s="2228"/>
      <c r="RMI256" s="2228"/>
      <c r="RMJ256" s="2228"/>
      <c r="RMK256" s="2228"/>
      <c r="RML256" s="2228"/>
      <c r="RMM256" s="2228"/>
      <c r="RMN256" s="2228"/>
      <c r="RMO256" s="2228"/>
      <c r="RMP256" s="2228"/>
      <c r="RMQ256" s="2228"/>
      <c r="RMR256" s="2228"/>
      <c r="RMS256" s="2228"/>
      <c r="RMT256" s="2228"/>
      <c r="RMU256" s="2228"/>
      <c r="RMV256" s="2228"/>
      <c r="RMW256" s="2227"/>
      <c r="RMX256" s="2228"/>
      <c r="RMY256" s="2228"/>
      <c r="RMZ256" s="2228"/>
      <c r="RNA256" s="2228"/>
      <c r="RNB256" s="2228"/>
      <c r="RNC256" s="2228"/>
      <c r="RND256" s="2228"/>
      <c r="RNE256" s="2228"/>
      <c r="RNF256" s="2228"/>
      <c r="RNG256" s="2228"/>
      <c r="RNH256" s="2228"/>
      <c r="RNI256" s="2228"/>
      <c r="RNJ256" s="2228"/>
      <c r="RNK256" s="2228"/>
      <c r="RNL256" s="2228"/>
      <c r="RNM256" s="2227"/>
      <c r="RNN256" s="2228"/>
      <c r="RNO256" s="2228"/>
      <c r="RNP256" s="2228"/>
      <c r="RNQ256" s="2228"/>
      <c r="RNR256" s="2228"/>
      <c r="RNS256" s="2228"/>
      <c r="RNT256" s="2228"/>
      <c r="RNU256" s="2228"/>
      <c r="RNV256" s="2228"/>
      <c r="RNW256" s="2228"/>
      <c r="RNX256" s="2228"/>
      <c r="RNY256" s="2228"/>
      <c r="RNZ256" s="2228"/>
      <c r="ROA256" s="2228"/>
      <c r="ROB256" s="2228"/>
      <c r="ROC256" s="2227"/>
      <c r="ROD256" s="2228"/>
      <c r="ROE256" s="2228"/>
      <c r="ROF256" s="2228"/>
      <c r="ROG256" s="2228"/>
      <c r="ROH256" s="2228"/>
      <c r="ROI256" s="2228"/>
      <c r="ROJ256" s="2228"/>
      <c r="ROK256" s="2228"/>
      <c r="ROL256" s="2228"/>
      <c r="ROM256" s="2228"/>
      <c r="RON256" s="2228"/>
      <c r="ROO256" s="2228"/>
      <c r="ROP256" s="2228"/>
      <c r="ROQ256" s="2228"/>
      <c r="ROR256" s="2228"/>
      <c r="ROS256" s="2227"/>
      <c r="ROT256" s="2228"/>
      <c r="ROU256" s="2228"/>
      <c r="ROV256" s="2228"/>
      <c r="ROW256" s="2228"/>
      <c r="ROX256" s="2228"/>
      <c r="ROY256" s="2228"/>
      <c r="ROZ256" s="2228"/>
      <c r="RPA256" s="2228"/>
      <c r="RPB256" s="2228"/>
      <c r="RPC256" s="2228"/>
      <c r="RPD256" s="2228"/>
      <c r="RPE256" s="2228"/>
      <c r="RPF256" s="2228"/>
      <c r="RPG256" s="2228"/>
      <c r="RPH256" s="2228"/>
      <c r="RPI256" s="2227"/>
      <c r="RPJ256" s="2228"/>
      <c r="RPK256" s="2228"/>
      <c r="RPL256" s="2228"/>
      <c r="RPM256" s="2228"/>
      <c r="RPN256" s="2228"/>
      <c r="RPO256" s="2228"/>
      <c r="RPP256" s="2228"/>
      <c r="RPQ256" s="2228"/>
      <c r="RPR256" s="2228"/>
      <c r="RPS256" s="2228"/>
      <c r="RPT256" s="2228"/>
      <c r="RPU256" s="2228"/>
      <c r="RPV256" s="2228"/>
      <c r="RPW256" s="2228"/>
      <c r="RPX256" s="2228"/>
      <c r="RPY256" s="2227"/>
      <c r="RPZ256" s="2228"/>
      <c r="RQA256" s="2228"/>
      <c r="RQB256" s="2228"/>
      <c r="RQC256" s="2228"/>
      <c r="RQD256" s="2228"/>
      <c r="RQE256" s="2228"/>
      <c r="RQF256" s="2228"/>
      <c r="RQG256" s="2228"/>
      <c r="RQH256" s="2228"/>
      <c r="RQI256" s="2228"/>
      <c r="RQJ256" s="2228"/>
      <c r="RQK256" s="2228"/>
      <c r="RQL256" s="2228"/>
      <c r="RQM256" s="2228"/>
      <c r="RQN256" s="2228"/>
      <c r="RQO256" s="2227"/>
      <c r="RQP256" s="2228"/>
      <c r="RQQ256" s="2228"/>
      <c r="RQR256" s="2228"/>
      <c r="RQS256" s="2228"/>
      <c r="RQT256" s="2228"/>
      <c r="RQU256" s="2228"/>
      <c r="RQV256" s="2228"/>
      <c r="RQW256" s="2228"/>
      <c r="RQX256" s="2228"/>
      <c r="RQY256" s="2228"/>
      <c r="RQZ256" s="2228"/>
      <c r="RRA256" s="2228"/>
      <c r="RRB256" s="2228"/>
      <c r="RRC256" s="2228"/>
      <c r="RRD256" s="2228"/>
      <c r="RRE256" s="2227"/>
      <c r="RRF256" s="2228"/>
      <c r="RRG256" s="2228"/>
      <c r="RRH256" s="2228"/>
      <c r="RRI256" s="2228"/>
      <c r="RRJ256" s="2228"/>
      <c r="RRK256" s="2228"/>
      <c r="RRL256" s="2228"/>
      <c r="RRM256" s="2228"/>
      <c r="RRN256" s="2228"/>
      <c r="RRO256" s="2228"/>
      <c r="RRP256" s="2228"/>
      <c r="RRQ256" s="2228"/>
      <c r="RRR256" s="2228"/>
      <c r="RRS256" s="2228"/>
      <c r="RRT256" s="2228"/>
      <c r="RRU256" s="2227"/>
      <c r="RRV256" s="2228"/>
      <c r="RRW256" s="2228"/>
      <c r="RRX256" s="2228"/>
      <c r="RRY256" s="2228"/>
      <c r="RRZ256" s="2228"/>
      <c r="RSA256" s="2228"/>
      <c r="RSB256" s="2228"/>
      <c r="RSC256" s="2228"/>
      <c r="RSD256" s="2228"/>
      <c r="RSE256" s="2228"/>
      <c r="RSF256" s="2228"/>
      <c r="RSG256" s="2228"/>
      <c r="RSH256" s="2228"/>
      <c r="RSI256" s="2228"/>
      <c r="RSJ256" s="2228"/>
      <c r="RSK256" s="2227"/>
      <c r="RSL256" s="2228"/>
      <c r="RSM256" s="2228"/>
      <c r="RSN256" s="2228"/>
      <c r="RSO256" s="2228"/>
      <c r="RSP256" s="2228"/>
      <c r="RSQ256" s="2228"/>
      <c r="RSR256" s="2228"/>
      <c r="RSS256" s="2228"/>
      <c r="RST256" s="2228"/>
      <c r="RSU256" s="2228"/>
      <c r="RSV256" s="2228"/>
      <c r="RSW256" s="2228"/>
      <c r="RSX256" s="2228"/>
      <c r="RSY256" s="2228"/>
      <c r="RSZ256" s="2228"/>
      <c r="RTA256" s="2227"/>
      <c r="RTB256" s="2228"/>
      <c r="RTC256" s="2228"/>
      <c r="RTD256" s="2228"/>
      <c r="RTE256" s="2228"/>
      <c r="RTF256" s="2228"/>
      <c r="RTG256" s="2228"/>
      <c r="RTH256" s="2228"/>
      <c r="RTI256" s="2228"/>
      <c r="RTJ256" s="2228"/>
      <c r="RTK256" s="2228"/>
      <c r="RTL256" s="2228"/>
      <c r="RTM256" s="2228"/>
      <c r="RTN256" s="2228"/>
      <c r="RTO256" s="2228"/>
      <c r="RTP256" s="2228"/>
      <c r="RTQ256" s="2227"/>
      <c r="RTR256" s="2228"/>
      <c r="RTS256" s="2228"/>
      <c r="RTT256" s="2228"/>
      <c r="RTU256" s="2228"/>
      <c r="RTV256" s="2228"/>
      <c r="RTW256" s="2228"/>
      <c r="RTX256" s="2228"/>
      <c r="RTY256" s="2228"/>
      <c r="RTZ256" s="2228"/>
      <c r="RUA256" s="2228"/>
      <c r="RUB256" s="2228"/>
      <c r="RUC256" s="2228"/>
      <c r="RUD256" s="2228"/>
      <c r="RUE256" s="2228"/>
      <c r="RUF256" s="2228"/>
      <c r="RUG256" s="2227"/>
      <c r="RUH256" s="2228"/>
      <c r="RUI256" s="2228"/>
      <c r="RUJ256" s="2228"/>
      <c r="RUK256" s="2228"/>
      <c r="RUL256" s="2228"/>
      <c r="RUM256" s="2228"/>
      <c r="RUN256" s="2228"/>
      <c r="RUO256" s="2228"/>
      <c r="RUP256" s="2228"/>
      <c r="RUQ256" s="2228"/>
      <c r="RUR256" s="2228"/>
      <c r="RUS256" s="2228"/>
      <c r="RUT256" s="2228"/>
      <c r="RUU256" s="2228"/>
      <c r="RUV256" s="2228"/>
      <c r="RUW256" s="2227"/>
      <c r="RUX256" s="2228"/>
      <c r="RUY256" s="2228"/>
      <c r="RUZ256" s="2228"/>
      <c r="RVA256" s="2228"/>
      <c r="RVB256" s="2228"/>
      <c r="RVC256" s="2228"/>
      <c r="RVD256" s="2228"/>
      <c r="RVE256" s="2228"/>
      <c r="RVF256" s="2228"/>
      <c r="RVG256" s="2228"/>
      <c r="RVH256" s="2228"/>
      <c r="RVI256" s="2228"/>
      <c r="RVJ256" s="2228"/>
      <c r="RVK256" s="2228"/>
      <c r="RVL256" s="2228"/>
      <c r="RVM256" s="2227"/>
      <c r="RVN256" s="2228"/>
      <c r="RVO256" s="2228"/>
      <c r="RVP256" s="2228"/>
      <c r="RVQ256" s="2228"/>
      <c r="RVR256" s="2228"/>
      <c r="RVS256" s="2228"/>
      <c r="RVT256" s="2228"/>
      <c r="RVU256" s="2228"/>
      <c r="RVV256" s="2228"/>
      <c r="RVW256" s="2228"/>
      <c r="RVX256" s="2228"/>
      <c r="RVY256" s="2228"/>
      <c r="RVZ256" s="2228"/>
      <c r="RWA256" s="2228"/>
      <c r="RWB256" s="2228"/>
      <c r="RWC256" s="2227"/>
      <c r="RWD256" s="2228"/>
      <c r="RWE256" s="2228"/>
      <c r="RWF256" s="2228"/>
      <c r="RWG256" s="2228"/>
      <c r="RWH256" s="2228"/>
      <c r="RWI256" s="2228"/>
      <c r="RWJ256" s="2228"/>
      <c r="RWK256" s="2228"/>
      <c r="RWL256" s="2228"/>
      <c r="RWM256" s="2228"/>
      <c r="RWN256" s="2228"/>
      <c r="RWO256" s="2228"/>
      <c r="RWP256" s="2228"/>
      <c r="RWQ256" s="2228"/>
      <c r="RWR256" s="2228"/>
      <c r="RWS256" s="2227"/>
      <c r="RWT256" s="2228"/>
      <c r="RWU256" s="2228"/>
      <c r="RWV256" s="2228"/>
      <c r="RWW256" s="2228"/>
      <c r="RWX256" s="2228"/>
      <c r="RWY256" s="2228"/>
      <c r="RWZ256" s="2228"/>
      <c r="RXA256" s="2228"/>
      <c r="RXB256" s="2228"/>
      <c r="RXC256" s="2228"/>
      <c r="RXD256" s="2228"/>
      <c r="RXE256" s="2228"/>
      <c r="RXF256" s="2228"/>
      <c r="RXG256" s="2228"/>
      <c r="RXH256" s="2228"/>
      <c r="RXI256" s="2227"/>
      <c r="RXJ256" s="2228"/>
      <c r="RXK256" s="2228"/>
      <c r="RXL256" s="2228"/>
      <c r="RXM256" s="2228"/>
      <c r="RXN256" s="2228"/>
      <c r="RXO256" s="2228"/>
      <c r="RXP256" s="2228"/>
      <c r="RXQ256" s="2228"/>
      <c r="RXR256" s="2228"/>
      <c r="RXS256" s="2228"/>
      <c r="RXT256" s="2228"/>
      <c r="RXU256" s="2228"/>
      <c r="RXV256" s="2228"/>
      <c r="RXW256" s="2228"/>
      <c r="RXX256" s="2228"/>
      <c r="RXY256" s="2227"/>
      <c r="RXZ256" s="2228"/>
      <c r="RYA256" s="2228"/>
      <c r="RYB256" s="2228"/>
      <c r="RYC256" s="2228"/>
      <c r="RYD256" s="2228"/>
      <c r="RYE256" s="2228"/>
      <c r="RYF256" s="2228"/>
      <c r="RYG256" s="2228"/>
      <c r="RYH256" s="2228"/>
      <c r="RYI256" s="2228"/>
      <c r="RYJ256" s="2228"/>
      <c r="RYK256" s="2228"/>
      <c r="RYL256" s="2228"/>
      <c r="RYM256" s="2228"/>
      <c r="RYN256" s="2228"/>
      <c r="RYO256" s="2227"/>
      <c r="RYP256" s="2228"/>
      <c r="RYQ256" s="2228"/>
      <c r="RYR256" s="2228"/>
      <c r="RYS256" s="2228"/>
      <c r="RYT256" s="2228"/>
      <c r="RYU256" s="2228"/>
      <c r="RYV256" s="2228"/>
      <c r="RYW256" s="2228"/>
      <c r="RYX256" s="2228"/>
      <c r="RYY256" s="2228"/>
      <c r="RYZ256" s="2228"/>
      <c r="RZA256" s="2228"/>
      <c r="RZB256" s="2228"/>
      <c r="RZC256" s="2228"/>
      <c r="RZD256" s="2228"/>
      <c r="RZE256" s="2227"/>
      <c r="RZF256" s="2228"/>
      <c r="RZG256" s="2228"/>
      <c r="RZH256" s="2228"/>
      <c r="RZI256" s="2228"/>
      <c r="RZJ256" s="2228"/>
      <c r="RZK256" s="2228"/>
      <c r="RZL256" s="2228"/>
      <c r="RZM256" s="2228"/>
      <c r="RZN256" s="2228"/>
      <c r="RZO256" s="2228"/>
      <c r="RZP256" s="2228"/>
      <c r="RZQ256" s="2228"/>
      <c r="RZR256" s="2228"/>
      <c r="RZS256" s="2228"/>
      <c r="RZT256" s="2228"/>
      <c r="RZU256" s="2227"/>
      <c r="RZV256" s="2228"/>
      <c r="RZW256" s="2228"/>
      <c r="RZX256" s="2228"/>
      <c r="RZY256" s="2228"/>
      <c r="RZZ256" s="2228"/>
      <c r="SAA256" s="2228"/>
      <c r="SAB256" s="2228"/>
      <c r="SAC256" s="2228"/>
      <c r="SAD256" s="2228"/>
      <c r="SAE256" s="2228"/>
      <c r="SAF256" s="2228"/>
      <c r="SAG256" s="2228"/>
      <c r="SAH256" s="2228"/>
      <c r="SAI256" s="2228"/>
      <c r="SAJ256" s="2228"/>
      <c r="SAK256" s="2227"/>
      <c r="SAL256" s="2228"/>
      <c r="SAM256" s="2228"/>
      <c r="SAN256" s="2228"/>
      <c r="SAO256" s="2228"/>
      <c r="SAP256" s="2228"/>
      <c r="SAQ256" s="2228"/>
      <c r="SAR256" s="2228"/>
      <c r="SAS256" s="2228"/>
      <c r="SAT256" s="2228"/>
      <c r="SAU256" s="2228"/>
      <c r="SAV256" s="2228"/>
      <c r="SAW256" s="2228"/>
      <c r="SAX256" s="2228"/>
      <c r="SAY256" s="2228"/>
      <c r="SAZ256" s="2228"/>
      <c r="SBA256" s="2227"/>
      <c r="SBB256" s="2228"/>
      <c r="SBC256" s="2228"/>
      <c r="SBD256" s="2228"/>
      <c r="SBE256" s="2228"/>
      <c r="SBF256" s="2228"/>
      <c r="SBG256" s="2228"/>
      <c r="SBH256" s="2228"/>
      <c r="SBI256" s="2228"/>
      <c r="SBJ256" s="2228"/>
      <c r="SBK256" s="2228"/>
      <c r="SBL256" s="2228"/>
      <c r="SBM256" s="2228"/>
      <c r="SBN256" s="2228"/>
      <c r="SBO256" s="2228"/>
      <c r="SBP256" s="2228"/>
      <c r="SBQ256" s="2227"/>
      <c r="SBR256" s="2228"/>
      <c r="SBS256" s="2228"/>
      <c r="SBT256" s="2228"/>
      <c r="SBU256" s="2228"/>
      <c r="SBV256" s="2228"/>
      <c r="SBW256" s="2228"/>
      <c r="SBX256" s="2228"/>
      <c r="SBY256" s="2228"/>
      <c r="SBZ256" s="2228"/>
      <c r="SCA256" s="2228"/>
      <c r="SCB256" s="2228"/>
      <c r="SCC256" s="2228"/>
      <c r="SCD256" s="2228"/>
      <c r="SCE256" s="2228"/>
      <c r="SCF256" s="2228"/>
      <c r="SCG256" s="2227"/>
      <c r="SCH256" s="2228"/>
      <c r="SCI256" s="2228"/>
      <c r="SCJ256" s="2228"/>
      <c r="SCK256" s="2228"/>
      <c r="SCL256" s="2228"/>
      <c r="SCM256" s="2228"/>
      <c r="SCN256" s="2228"/>
      <c r="SCO256" s="2228"/>
      <c r="SCP256" s="2228"/>
      <c r="SCQ256" s="2228"/>
      <c r="SCR256" s="2228"/>
      <c r="SCS256" s="2228"/>
      <c r="SCT256" s="2228"/>
      <c r="SCU256" s="2228"/>
      <c r="SCV256" s="2228"/>
      <c r="SCW256" s="2227"/>
      <c r="SCX256" s="2228"/>
      <c r="SCY256" s="2228"/>
      <c r="SCZ256" s="2228"/>
      <c r="SDA256" s="2228"/>
      <c r="SDB256" s="2228"/>
      <c r="SDC256" s="2228"/>
      <c r="SDD256" s="2228"/>
      <c r="SDE256" s="2228"/>
      <c r="SDF256" s="2228"/>
      <c r="SDG256" s="2228"/>
      <c r="SDH256" s="2228"/>
      <c r="SDI256" s="2228"/>
      <c r="SDJ256" s="2228"/>
      <c r="SDK256" s="2228"/>
      <c r="SDL256" s="2228"/>
      <c r="SDM256" s="2227"/>
      <c r="SDN256" s="2228"/>
      <c r="SDO256" s="2228"/>
      <c r="SDP256" s="2228"/>
      <c r="SDQ256" s="2228"/>
      <c r="SDR256" s="2228"/>
      <c r="SDS256" s="2228"/>
      <c r="SDT256" s="2228"/>
      <c r="SDU256" s="2228"/>
      <c r="SDV256" s="2228"/>
      <c r="SDW256" s="2228"/>
      <c r="SDX256" s="2228"/>
      <c r="SDY256" s="2228"/>
      <c r="SDZ256" s="2228"/>
      <c r="SEA256" s="2228"/>
      <c r="SEB256" s="2228"/>
      <c r="SEC256" s="2227"/>
      <c r="SED256" s="2228"/>
      <c r="SEE256" s="2228"/>
      <c r="SEF256" s="2228"/>
      <c r="SEG256" s="2228"/>
      <c r="SEH256" s="2228"/>
      <c r="SEI256" s="2228"/>
      <c r="SEJ256" s="2228"/>
      <c r="SEK256" s="2228"/>
      <c r="SEL256" s="2228"/>
      <c r="SEM256" s="2228"/>
      <c r="SEN256" s="2228"/>
      <c r="SEO256" s="2228"/>
      <c r="SEP256" s="2228"/>
      <c r="SEQ256" s="2228"/>
      <c r="SER256" s="2228"/>
      <c r="SES256" s="2227"/>
      <c r="SET256" s="2228"/>
      <c r="SEU256" s="2228"/>
      <c r="SEV256" s="2228"/>
      <c r="SEW256" s="2228"/>
      <c r="SEX256" s="2228"/>
      <c r="SEY256" s="2228"/>
      <c r="SEZ256" s="2228"/>
      <c r="SFA256" s="2228"/>
      <c r="SFB256" s="2228"/>
      <c r="SFC256" s="2228"/>
      <c r="SFD256" s="2228"/>
      <c r="SFE256" s="2228"/>
      <c r="SFF256" s="2228"/>
      <c r="SFG256" s="2228"/>
      <c r="SFH256" s="2228"/>
      <c r="SFI256" s="2227"/>
      <c r="SFJ256" s="2228"/>
      <c r="SFK256" s="2228"/>
      <c r="SFL256" s="2228"/>
      <c r="SFM256" s="2228"/>
      <c r="SFN256" s="2228"/>
      <c r="SFO256" s="2228"/>
      <c r="SFP256" s="2228"/>
      <c r="SFQ256" s="2228"/>
      <c r="SFR256" s="2228"/>
      <c r="SFS256" s="2228"/>
      <c r="SFT256" s="2228"/>
      <c r="SFU256" s="2228"/>
      <c r="SFV256" s="2228"/>
      <c r="SFW256" s="2228"/>
      <c r="SFX256" s="2228"/>
      <c r="SFY256" s="2227"/>
      <c r="SFZ256" s="2228"/>
      <c r="SGA256" s="2228"/>
      <c r="SGB256" s="2228"/>
      <c r="SGC256" s="2228"/>
      <c r="SGD256" s="2228"/>
      <c r="SGE256" s="2228"/>
      <c r="SGF256" s="2228"/>
      <c r="SGG256" s="2228"/>
      <c r="SGH256" s="2228"/>
      <c r="SGI256" s="2228"/>
      <c r="SGJ256" s="2228"/>
      <c r="SGK256" s="2228"/>
      <c r="SGL256" s="2228"/>
      <c r="SGM256" s="2228"/>
      <c r="SGN256" s="2228"/>
      <c r="SGO256" s="2227"/>
      <c r="SGP256" s="2228"/>
      <c r="SGQ256" s="2228"/>
      <c r="SGR256" s="2228"/>
      <c r="SGS256" s="2228"/>
      <c r="SGT256" s="2228"/>
      <c r="SGU256" s="2228"/>
      <c r="SGV256" s="2228"/>
      <c r="SGW256" s="2228"/>
      <c r="SGX256" s="2228"/>
      <c r="SGY256" s="2228"/>
      <c r="SGZ256" s="2228"/>
      <c r="SHA256" s="2228"/>
      <c r="SHB256" s="2228"/>
      <c r="SHC256" s="2228"/>
      <c r="SHD256" s="2228"/>
      <c r="SHE256" s="2227"/>
      <c r="SHF256" s="2228"/>
      <c r="SHG256" s="2228"/>
      <c r="SHH256" s="2228"/>
      <c r="SHI256" s="2228"/>
      <c r="SHJ256" s="2228"/>
      <c r="SHK256" s="2228"/>
      <c r="SHL256" s="2228"/>
      <c r="SHM256" s="2228"/>
      <c r="SHN256" s="2228"/>
      <c r="SHO256" s="2228"/>
      <c r="SHP256" s="2228"/>
      <c r="SHQ256" s="2228"/>
      <c r="SHR256" s="2228"/>
      <c r="SHS256" s="2228"/>
      <c r="SHT256" s="2228"/>
      <c r="SHU256" s="2227"/>
      <c r="SHV256" s="2228"/>
      <c r="SHW256" s="2228"/>
      <c r="SHX256" s="2228"/>
      <c r="SHY256" s="2228"/>
      <c r="SHZ256" s="2228"/>
      <c r="SIA256" s="2228"/>
      <c r="SIB256" s="2228"/>
      <c r="SIC256" s="2228"/>
      <c r="SID256" s="2228"/>
      <c r="SIE256" s="2228"/>
      <c r="SIF256" s="2228"/>
      <c r="SIG256" s="2228"/>
      <c r="SIH256" s="2228"/>
      <c r="SII256" s="2228"/>
      <c r="SIJ256" s="2228"/>
      <c r="SIK256" s="2227"/>
      <c r="SIL256" s="2228"/>
      <c r="SIM256" s="2228"/>
      <c r="SIN256" s="2228"/>
      <c r="SIO256" s="2228"/>
      <c r="SIP256" s="2228"/>
      <c r="SIQ256" s="2228"/>
      <c r="SIR256" s="2228"/>
      <c r="SIS256" s="2228"/>
      <c r="SIT256" s="2228"/>
      <c r="SIU256" s="2228"/>
      <c r="SIV256" s="2228"/>
      <c r="SIW256" s="2228"/>
      <c r="SIX256" s="2228"/>
      <c r="SIY256" s="2228"/>
      <c r="SIZ256" s="2228"/>
      <c r="SJA256" s="2227"/>
      <c r="SJB256" s="2228"/>
      <c r="SJC256" s="2228"/>
      <c r="SJD256" s="2228"/>
      <c r="SJE256" s="2228"/>
      <c r="SJF256" s="2228"/>
      <c r="SJG256" s="2228"/>
      <c r="SJH256" s="2228"/>
      <c r="SJI256" s="2228"/>
      <c r="SJJ256" s="2228"/>
      <c r="SJK256" s="2228"/>
      <c r="SJL256" s="2228"/>
      <c r="SJM256" s="2228"/>
      <c r="SJN256" s="2228"/>
      <c r="SJO256" s="2228"/>
      <c r="SJP256" s="2228"/>
      <c r="SJQ256" s="2227"/>
      <c r="SJR256" s="2228"/>
      <c r="SJS256" s="2228"/>
      <c r="SJT256" s="2228"/>
      <c r="SJU256" s="2228"/>
      <c r="SJV256" s="2228"/>
      <c r="SJW256" s="2228"/>
      <c r="SJX256" s="2228"/>
      <c r="SJY256" s="2228"/>
      <c r="SJZ256" s="2228"/>
      <c r="SKA256" s="2228"/>
      <c r="SKB256" s="2228"/>
      <c r="SKC256" s="2228"/>
      <c r="SKD256" s="2228"/>
      <c r="SKE256" s="2228"/>
      <c r="SKF256" s="2228"/>
      <c r="SKG256" s="2227"/>
      <c r="SKH256" s="2228"/>
      <c r="SKI256" s="2228"/>
      <c r="SKJ256" s="2228"/>
      <c r="SKK256" s="2228"/>
      <c r="SKL256" s="2228"/>
      <c r="SKM256" s="2228"/>
      <c r="SKN256" s="2228"/>
      <c r="SKO256" s="2228"/>
      <c r="SKP256" s="2228"/>
      <c r="SKQ256" s="2228"/>
      <c r="SKR256" s="2228"/>
      <c r="SKS256" s="2228"/>
      <c r="SKT256" s="2228"/>
      <c r="SKU256" s="2228"/>
      <c r="SKV256" s="2228"/>
      <c r="SKW256" s="2227"/>
      <c r="SKX256" s="2228"/>
      <c r="SKY256" s="2228"/>
      <c r="SKZ256" s="2228"/>
      <c r="SLA256" s="2228"/>
      <c r="SLB256" s="2228"/>
      <c r="SLC256" s="2228"/>
      <c r="SLD256" s="2228"/>
      <c r="SLE256" s="2228"/>
      <c r="SLF256" s="2228"/>
      <c r="SLG256" s="2228"/>
      <c r="SLH256" s="2228"/>
      <c r="SLI256" s="2228"/>
      <c r="SLJ256" s="2228"/>
      <c r="SLK256" s="2228"/>
      <c r="SLL256" s="2228"/>
      <c r="SLM256" s="2227"/>
      <c r="SLN256" s="2228"/>
      <c r="SLO256" s="2228"/>
      <c r="SLP256" s="2228"/>
      <c r="SLQ256" s="2228"/>
      <c r="SLR256" s="2228"/>
      <c r="SLS256" s="2228"/>
      <c r="SLT256" s="2228"/>
      <c r="SLU256" s="2228"/>
      <c r="SLV256" s="2228"/>
      <c r="SLW256" s="2228"/>
      <c r="SLX256" s="2228"/>
      <c r="SLY256" s="2228"/>
      <c r="SLZ256" s="2228"/>
      <c r="SMA256" s="2228"/>
      <c r="SMB256" s="2228"/>
      <c r="SMC256" s="2227"/>
      <c r="SMD256" s="2228"/>
      <c r="SME256" s="2228"/>
      <c r="SMF256" s="2228"/>
      <c r="SMG256" s="2228"/>
      <c r="SMH256" s="2228"/>
      <c r="SMI256" s="2228"/>
      <c r="SMJ256" s="2228"/>
      <c r="SMK256" s="2228"/>
      <c r="SML256" s="2228"/>
      <c r="SMM256" s="2228"/>
      <c r="SMN256" s="2228"/>
      <c r="SMO256" s="2228"/>
      <c r="SMP256" s="2228"/>
      <c r="SMQ256" s="2228"/>
      <c r="SMR256" s="2228"/>
      <c r="SMS256" s="2227"/>
      <c r="SMT256" s="2228"/>
      <c r="SMU256" s="2228"/>
      <c r="SMV256" s="2228"/>
      <c r="SMW256" s="2228"/>
      <c r="SMX256" s="2228"/>
      <c r="SMY256" s="2228"/>
      <c r="SMZ256" s="2228"/>
      <c r="SNA256" s="2228"/>
      <c r="SNB256" s="2228"/>
      <c r="SNC256" s="2228"/>
      <c r="SND256" s="2228"/>
      <c r="SNE256" s="2228"/>
      <c r="SNF256" s="2228"/>
      <c r="SNG256" s="2228"/>
      <c r="SNH256" s="2228"/>
      <c r="SNI256" s="2227"/>
      <c r="SNJ256" s="2228"/>
      <c r="SNK256" s="2228"/>
      <c r="SNL256" s="2228"/>
      <c r="SNM256" s="2228"/>
      <c r="SNN256" s="2228"/>
      <c r="SNO256" s="2228"/>
      <c r="SNP256" s="2228"/>
      <c r="SNQ256" s="2228"/>
      <c r="SNR256" s="2228"/>
      <c r="SNS256" s="2228"/>
      <c r="SNT256" s="2228"/>
      <c r="SNU256" s="2228"/>
      <c r="SNV256" s="2228"/>
      <c r="SNW256" s="2228"/>
      <c r="SNX256" s="2228"/>
      <c r="SNY256" s="2227"/>
      <c r="SNZ256" s="2228"/>
      <c r="SOA256" s="2228"/>
      <c r="SOB256" s="2228"/>
      <c r="SOC256" s="2228"/>
      <c r="SOD256" s="2228"/>
      <c r="SOE256" s="2228"/>
      <c r="SOF256" s="2228"/>
      <c r="SOG256" s="2228"/>
      <c r="SOH256" s="2228"/>
      <c r="SOI256" s="2228"/>
      <c r="SOJ256" s="2228"/>
      <c r="SOK256" s="2228"/>
      <c r="SOL256" s="2228"/>
      <c r="SOM256" s="2228"/>
      <c r="SON256" s="2228"/>
      <c r="SOO256" s="2227"/>
      <c r="SOP256" s="2228"/>
      <c r="SOQ256" s="2228"/>
      <c r="SOR256" s="2228"/>
      <c r="SOS256" s="2228"/>
      <c r="SOT256" s="2228"/>
      <c r="SOU256" s="2228"/>
      <c r="SOV256" s="2228"/>
      <c r="SOW256" s="2228"/>
      <c r="SOX256" s="2228"/>
      <c r="SOY256" s="2228"/>
      <c r="SOZ256" s="2228"/>
      <c r="SPA256" s="2228"/>
      <c r="SPB256" s="2228"/>
      <c r="SPC256" s="2228"/>
      <c r="SPD256" s="2228"/>
      <c r="SPE256" s="2227"/>
      <c r="SPF256" s="2228"/>
      <c r="SPG256" s="2228"/>
      <c r="SPH256" s="2228"/>
      <c r="SPI256" s="2228"/>
      <c r="SPJ256" s="2228"/>
      <c r="SPK256" s="2228"/>
      <c r="SPL256" s="2228"/>
      <c r="SPM256" s="2228"/>
      <c r="SPN256" s="2228"/>
      <c r="SPO256" s="2228"/>
      <c r="SPP256" s="2228"/>
      <c r="SPQ256" s="2228"/>
      <c r="SPR256" s="2228"/>
      <c r="SPS256" s="2228"/>
      <c r="SPT256" s="2228"/>
      <c r="SPU256" s="2227"/>
      <c r="SPV256" s="2228"/>
      <c r="SPW256" s="2228"/>
      <c r="SPX256" s="2228"/>
      <c r="SPY256" s="2228"/>
      <c r="SPZ256" s="2228"/>
      <c r="SQA256" s="2228"/>
      <c r="SQB256" s="2228"/>
      <c r="SQC256" s="2228"/>
      <c r="SQD256" s="2228"/>
      <c r="SQE256" s="2228"/>
      <c r="SQF256" s="2228"/>
      <c r="SQG256" s="2228"/>
      <c r="SQH256" s="2228"/>
      <c r="SQI256" s="2228"/>
      <c r="SQJ256" s="2228"/>
      <c r="SQK256" s="2227"/>
      <c r="SQL256" s="2228"/>
      <c r="SQM256" s="2228"/>
      <c r="SQN256" s="2228"/>
      <c r="SQO256" s="2228"/>
      <c r="SQP256" s="2228"/>
      <c r="SQQ256" s="2228"/>
      <c r="SQR256" s="2228"/>
      <c r="SQS256" s="2228"/>
      <c r="SQT256" s="2228"/>
      <c r="SQU256" s="2228"/>
      <c r="SQV256" s="2228"/>
      <c r="SQW256" s="2228"/>
      <c r="SQX256" s="2228"/>
      <c r="SQY256" s="2228"/>
      <c r="SQZ256" s="2228"/>
      <c r="SRA256" s="2227"/>
      <c r="SRB256" s="2228"/>
      <c r="SRC256" s="2228"/>
      <c r="SRD256" s="2228"/>
      <c r="SRE256" s="2228"/>
      <c r="SRF256" s="2228"/>
      <c r="SRG256" s="2228"/>
      <c r="SRH256" s="2228"/>
      <c r="SRI256" s="2228"/>
      <c r="SRJ256" s="2228"/>
      <c r="SRK256" s="2228"/>
      <c r="SRL256" s="2228"/>
      <c r="SRM256" s="2228"/>
      <c r="SRN256" s="2228"/>
      <c r="SRO256" s="2228"/>
      <c r="SRP256" s="2228"/>
      <c r="SRQ256" s="2227"/>
      <c r="SRR256" s="2228"/>
      <c r="SRS256" s="2228"/>
      <c r="SRT256" s="2228"/>
      <c r="SRU256" s="2228"/>
      <c r="SRV256" s="2228"/>
      <c r="SRW256" s="2228"/>
      <c r="SRX256" s="2228"/>
      <c r="SRY256" s="2228"/>
      <c r="SRZ256" s="2228"/>
      <c r="SSA256" s="2228"/>
      <c r="SSB256" s="2228"/>
      <c r="SSC256" s="2228"/>
      <c r="SSD256" s="2228"/>
      <c r="SSE256" s="2228"/>
      <c r="SSF256" s="2228"/>
      <c r="SSG256" s="2227"/>
      <c r="SSH256" s="2228"/>
      <c r="SSI256" s="2228"/>
      <c r="SSJ256" s="2228"/>
      <c r="SSK256" s="2228"/>
      <c r="SSL256" s="2228"/>
      <c r="SSM256" s="2228"/>
      <c r="SSN256" s="2228"/>
      <c r="SSO256" s="2228"/>
      <c r="SSP256" s="2228"/>
      <c r="SSQ256" s="2228"/>
      <c r="SSR256" s="2228"/>
      <c r="SSS256" s="2228"/>
      <c r="SST256" s="2228"/>
      <c r="SSU256" s="2228"/>
      <c r="SSV256" s="2228"/>
      <c r="SSW256" s="2227"/>
      <c r="SSX256" s="2228"/>
      <c r="SSY256" s="2228"/>
      <c r="SSZ256" s="2228"/>
      <c r="STA256" s="2228"/>
      <c r="STB256" s="2228"/>
      <c r="STC256" s="2228"/>
      <c r="STD256" s="2228"/>
      <c r="STE256" s="2228"/>
      <c r="STF256" s="2228"/>
      <c r="STG256" s="2228"/>
      <c r="STH256" s="2228"/>
      <c r="STI256" s="2228"/>
      <c r="STJ256" s="2228"/>
      <c r="STK256" s="2228"/>
      <c r="STL256" s="2228"/>
      <c r="STM256" s="2227"/>
      <c r="STN256" s="2228"/>
      <c r="STO256" s="2228"/>
      <c r="STP256" s="2228"/>
      <c r="STQ256" s="2228"/>
      <c r="STR256" s="2228"/>
      <c r="STS256" s="2228"/>
      <c r="STT256" s="2228"/>
      <c r="STU256" s="2228"/>
      <c r="STV256" s="2228"/>
      <c r="STW256" s="2228"/>
      <c r="STX256" s="2228"/>
      <c r="STY256" s="2228"/>
      <c r="STZ256" s="2228"/>
      <c r="SUA256" s="2228"/>
      <c r="SUB256" s="2228"/>
      <c r="SUC256" s="2227"/>
      <c r="SUD256" s="2228"/>
      <c r="SUE256" s="2228"/>
      <c r="SUF256" s="2228"/>
      <c r="SUG256" s="2228"/>
      <c r="SUH256" s="2228"/>
      <c r="SUI256" s="2228"/>
      <c r="SUJ256" s="2228"/>
      <c r="SUK256" s="2228"/>
      <c r="SUL256" s="2228"/>
      <c r="SUM256" s="2228"/>
      <c r="SUN256" s="2228"/>
      <c r="SUO256" s="2228"/>
      <c r="SUP256" s="2228"/>
      <c r="SUQ256" s="2228"/>
      <c r="SUR256" s="2228"/>
      <c r="SUS256" s="2227"/>
      <c r="SUT256" s="2228"/>
      <c r="SUU256" s="2228"/>
      <c r="SUV256" s="2228"/>
      <c r="SUW256" s="2228"/>
      <c r="SUX256" s="2228"/>
      <c r="SUY256" s="2228"/>
      <c r="SUZ256" s="2228"/>
      <c r="SVA256" s="2228"/>
      <c r="SVB256" s="2228"/>
      <c r="SVC256" s="2228"/>
      <c r="SVD256" s="2228"/>
      <c r="SVE256" s="2228"/>
      <c r="SVF256" s="2228"/>
      <c r="SVG256" s="2228"/>
      <c r="SVH256" s="2228"/>
      <c r="SVI256" s="2227"/>
      <c r="SVJ256" s="2228"/>
      <c r="SVK256" s="2228"/>
      <c r="SVL256" s="2228"/>
      <c r="SVM256" s="2228"/>
      <c r="SVN256" s="2228"/>
      <c r="SVO256" s="2228"/>
      <c r="SVP256" s="2228"/>
      <c r="SVQ256" s="2228"/>
      <c r="SVR256" s="2228"/>
      <c r="SVS256" s="2228"/>
      <c r="SVT256" s="2228"/>
      <c r="SVU256" s="2228"/>
      <c r="SVV256" s="2228"/>
      <c r="SVW256" s="2228"/>
      <c r="SVX256" s="2228"/>
      <c r="SVY256" s="2227"/>
      <c r="SVZ256" s="2228"/>
      <c r="SWA256" s="2228"/>
      <c r="SWB256" s="2228"/>
      <c r="SWC256" s="2228"/>
      <c r="SWD256" s="2228"/>
      <c r="SWE256" s="2228"/>
      <c r="SWF256" s="2228"/>
      <c r="SWG256" s="2228"/>
      <c r="SWH256" s="2228"/>
      <c r="SWI256" s="2228"/>
      <c r="SWJ256" s="2228"/>
      <c r="SWK256" s="2228"/>
      <c r="SWL256" s="2228"/>
      <c r="SWM256" s="2228"/>
      <c r="SWN256" s="2228"/>
      <c r="SWO256" s="2227"/>
      <c r="SWP256" s="2228"/>
      <c r="SWQ256" s="2228"/>
      <c r="SWR256" s="2228"/>
      <c r="SWS256" s="2228"/>
      <c r="SWT256" s="2228"/>
      <c r="SWU256" s="2228"/>
      <c r="SWV256" s="2228"/>
      <c r="SWW256" s="2228"/>
      <c r="SWX256" s="2228"/>
      <c r="SWY256" s="2228"/>
      <c r="SWZ256" s="2228"/>
      <c r="SXA256" s="2228"/>
      <c r="SXB256" s="2228"/>
      <c r="SXC256" s="2228"/>
      <c r="SXD256" s="2228"/>
      <c r="SXE256" s="2227"/>
      <c r="SXF256" s="2228"/>
      <c r="SXG256" s="2228"/>
      <c r="SXH256" s="2228"/>
      <c r="SXI256" s="2228"/>
      <c r="SXJ256" s="2228"/>
      <c r="SXK256" s="2228"/>
      <c r="SXL256" s="2228"/>
      <c r="SXM256" s="2228"/>
      <c r="SXN256" s="2228"/>
      <c r="SXO256" s="2228"/>
      <c r="SXP256" s="2228"/>
      <c r="SXQ256" s="2228"/>
      <c r="SXR256" s="2228"/>
      <c r="SXS256" s="2228"/>
      <c r="SXT256" s="2228"/>
      <c r="SXU256" s="2227"/>
      <c r="SXV256" s="2228"/>
      <c r="SXW256" s="2228"/>
      <c r="SXX256" s="2228"/>
      <c r="SXY256" s="2228"/>
      <c r="SXZ256" s="2228"/>
      <c r="SYA256" s="2228"/>
      <c r="SYB256" s="2228"/>
      <c r="SYC256" s="2228"/>
      <c r="SYD256" s="2228"/>
      <c r="SYE256" s="2228"/>
      <c r="SYF256" s="2228"/>
      <c r="SYG256" s="2228"/>
      <c r="SYH256" s="2228"/>
      <c r="SYI256" s="2228"/>
      <c r="SYJ256" s="2228"/>
      <c r="SYK256" s="2227"/>
      <c r="SYL256" s="2228"/>
      <c r="SYM256" s="2228"/>
      <c r="SYN256" s="2228"/>
      <c r="SYO256" s="2228"/>
      <c r="SYP256" s="2228"/>
      <c r="SYQ256" s="2228"/>
      <c r="SYR256" s="2228"/>
      <c r="SYS256" s="2228"/>
      <c r="SYT256" s="2228"/>
      <c r="SYU256" s="2228"/>
      <c r="SYV256" s="2228"/>
      <c r="SYW256" s="2228"/>
      <c r="SYX256" s="2228"/>
      <c r="SYY256" s="2228"/>
      <c r="SYZ256" s="2228"/>
      <c r="SZA256" s="2227"/>
      <c r="SZB256" s="2228"/>
      <c r="SZC256" s="2228"/>
      <c r="SZD256" s="2228"/>
      <c r="SZE256" s="2228"/>
      <c r="SZF256" s="2228"/>
      <c r="SZG256" s="2228"/>
      <c r="SZH256" s="2228"/>
      <c r="SZI256" s="2228"/>
      <c r="SZJ256" s="2228"/>
      <c r="SZK256" s="2228"/>
      <c r="SZL256" s="2228"/>
      <c r="SZM256" s="2228"/>
      <c r="SZN256" s="2228"/>
      <c r="SZO256" s="2228"/>
      <c r="SZP256" s="2228"/>
      <c r="SZQ256" s="2227"/>
      <c r="SZR256" s="2228"/>
      <c r="SZS256" s="2228"/>
      <c r="SZT256" s="2228"/>
      <c r="SZU256" s="2228"/>
      <c r="SZV256" s="2228"/>
      <c r="SZW256" s="2228"/>
      <c r="SZX256" s="2228"/>
      <c r="SZY256" s="2228"/>
      <c r="SZZ256" s="2228"/>
      <c r="TAA256" s="2228"/>
      <c r="TAB256" s="2228"/>
      <c r="TAC256" s="2228"/>
      <c r="TAD256" s="2228"/>
      <c r="TAE256" s="2228"/>
      <c r="TAF256" s="2228"/>
      <c r="TAG256" s="2227"/>
      <c r="TAH256" s="2228"/>
      <c r="TAI256" s="2228"/>
      <c r="TAJ256" s="2228"/>
      <c r="TAK256" s="2228"/>
      <c r="TAL256" s="2228"/>
      <c r="TAM256" s="2228"/>
      <c r="TAN256" s="2228"/>
      <c r="TAO256" s="2228"/>
      <c r="TAP256" s="2228"/>
      <c r="TAQ256" s="2228"/>
      <c r="TAR256" s="2228"/>
      <c r="TAS256" s="2228"/>
      <c r="TAT256" s="2228"/>
      <c r="TAU256" s="2228"/>
      <c r="TAV256" s="2228"/>
      <c r="TAW256" s="2227"/>
      <c r="TAX256" s="2228"/>
      <c r="TAY256" s="2228"/>
      <c r="TAZ256" s="2228"/>
      <c r="TBA256" s="2228"/>
      <c r="TBB256" s="2228"/>
      <c r="TBC256" s="2228"/>
      <c r="TBD256" s="2228"/>
      <c r="TBE256" s="2228"/>
      <c r="TBF256" s="2228"/>
      <c r="TBG256" s="2228"/>
      <c r="TBH256" s="2228"/>
      <c r="TBI256" s="2228"/>
      <c r="TBJ256" s="2228"/>
      <c r="TBK256" s="2228"/>
      <c r="TBL256" s="2228"/>
      <c r="TBM256" s="2227"/>
      <c r="TBN256" s="2228"/>
      <c r="TBO256" s="2228"/>
      <c r="TBP256" s="2228"/>
      <c r="TBQ256" s="2228"/>
      <c r="TBR256" s="2228"/>
      <c r="TBS256" s="2228"/>
      <c r="TBT256" s="2228"/>
      <c r="TBU256" s="2228"/>
      <c r="TBV256" s="2228"/>
      <c r="TBW256" s="2228"/>
      <c r="TBX256" s="2228"/>
      <c r="TBY256" s="2228"/>
      <c r="TBZ256" s="2228"/>
      <c r="TCA256" s="2228"/>
      <c r="TCB256" s="2228"/>
      <c r="TCC256" s="2227"/>
      <c r="TCD256" s="2228"/>
      <c r="TCE256" s="2228"/>
      <c r="TCF256" s="2228"/>
      <c r="TCG256" s="2228"/>
      <c r="TCH256" s="2228"/>
      <c r="TCI256" s="2228"/>
      <c r="TCJ256" s="2228"/>
      <c r="TCK256" s="2228"/>
      <c r="TCL256" s="2228"/>
      <c r="TCM256" s="2228"/>
      <c r="TCN256" s="2228"/>
      <c r="TCO256" s="2228"/>
      <c r="TCP256" s="2228"/>
      <c r="TCQ256" s="2228"/>
      <c r="TCR256" s="2228"/>
      <c r="TCS256" s="2227"/>
      <c r="TCT256" s="2228"/>
      <c r="TCU256" s="2228"/>
      <c r="TCV256" s="2228"/>
      <c r="TCW256" s="2228"/>
      <c r="TCX256" s="2228"/>
      <c r="TCY256" s="2228"/>
      <c r="TCZ256" s="2228"/>
      <c r="TDA256" s="2228"/>
      <c r="TDB256" s="2228"/>
      <c r="TDC256" s="2228"/>
      <c r="TDD256" s="2228"/>
      <c r="TDE256" s="2228"/>
      <c r="TDF256" s="2228"/>
      <c r="TDG256" s="2228"/>
      <c r="TDH256" s="2228"/>
      <c r="TDI256" s="2227"/>
      <c r="TDJ256" s="2228"/>
      <c r="TDK256" s="2228"/>
      <c r="TDL256" s="2228"/>
      <c r="TDM256" s="2228"/>
      <c r="TDN256" s="2228"/>
      <c r="TDO256" s="2228"/>
      <c r="TDP256" s="2228"/>
      <c r="TDQ256" s="2228"/>
      <c r="TDR256" s="2228"/>
      <c r="TDS256" s="2228"/>
      <c r="TDT256" s="2228"/>
      <c r="TDU256" s="2228"/>
      <c r="TDV256" s="2228"/>
      <c r="TDW256" s="2228"/>
      <c r="TDX256" s="2228"/>
      <c r="TDY256" s="2227"/>
      <c r="TDZ256" s="2228"/>
      <c r="TEA256" s="2228"/>
      <c r="TEB256" s="2228"/>
      <c r="TEC256" s="2228"/>
      <c r="TED256" s="2228"/>
      <c r="TEE256" s="2228"/>
      <c r="TEF256" s="2228"/>
      <c r="TEG256" s="2228"/>
      <c r="TEH256" s="2228"/>
      <c r="TEI256" s="2228"/>
      <c r="TEJ256" s="2228"/>
      <c r="TEK256" s="2228"/>
      <c r="TEL256" s="2228"/>
      <c r="TEM256" s="2228"/>
      <c r="TEN256" s="2228"/>
      <c r="TEO256" s="2227"/>
      <c r="TEP256" s="2228"/>
      <c r="TEQ256" s="2228"/>
      <c r="TER256" s="2228"/>
      <c r="TES256" s="2228"/>
      <c r="TET256" s="2228"/>
      <c r="TEU256" s="2228"/>
      <c r="TEV256" s="2228"/>
      <c r="TEW256" s="2228"/>
      <c r="TEX256" s="2228"/>
      <c r="TEY256" s="2228"/>
      <c r="TEZ256" s="2228"/>
      <c r="TFA256" s="2228"/>
      <c r="TFB256" s="2228"/>
      <c r="TFC256" s="2228"/>
      <c r="TFD256" s="2228"/>
      <c r="TFE256" s="2227"/>
      <c r="TFF256" s="2228"/>
      <c r="TFG256" s="2228"/>
      <c r="TFH256" s="2228"/>
      <c r="TFI256" s="2228"/>
      <c r="TFJ256" s="2228"/>
      <c r="TFK256" s="2228"/>
      <c r="TFL256" s="2228"/>
      <c r="TFM256" s="2228"/>
      <c r="TFN256" s="2228"/>
      <c r="TFO256" s="2228"/>
      <c r="TFP256" s="2228"/>
      <c r="TFQ256" s="2228"/>
      <c r="TFR256" s="2228"/>
      <c r="TFS256" s="2228"/>
      <c r="TFT256" s="2228"/>
      <c r="TFU256" s="2227"/>
      <c r="TFV256" s="2228"/>
      <c r="TFW256" s="2228"/>
      <c r="TFX256" s="2228"/>
      <c r="TFY256" s="2228"/>
      <c r="TFZ256" s="2228"/>
      <c r="TGA256" s="2228"/>
      <c r="TGB256" s="2228"/>
      <c r="TGC256" s="2228"/>
      <c r="TGD256" s="2228"/>
      <c r="TGE256" s="2228"/>
      <c r="TGF256" s="2228"/>
      <c r="TGG256" s="2228"/>
      <c r="TGH256" s="2228"/>
      <c r="TGI256" s="2228"/>
      <c r="TGJ256" s="2228"/>
      <c r="TGK256" s="2227"/>
      <c r="TGL256" s="2228"/>
      <c r="TGM256" s="2228"/>
      <c r="TGN256" s="2228"/>
      <c r="TGO256" s="2228"/>
      <c r="TGP256" s="2228"/>
      <c r="TGQ256" s="2228"/>
      <c r="TGR256" s="2228"/>
      <c r="TGS256" s="2228"/>
      <c r="TGT256" s="2228"/>
      <c r="TGU256" s="2228"/>
      <c r="TGV256" s="2228"/>
      <c r="TGW256" s="2228"/>
      <c r="TGX256" s="2228"/>
      <c r="TGY256" s="2228"/>
      <c r="TGZ256" s="2228"/>
      <c r="THA256" s="2227"/>
      <c r="THB256" s="2228"/>
      <c r="THC256" s="2228"/>
      <c r="THD256" s="2228"/>
      <c r="THE256" s="2228"/>
      <c r="THF256" s="2228"/>
      <c r="THG256" s="2228"/>
      <c r="THH256" s="2228"/>
      <c r="THI256" s="2228"/>
      <c r="THJ256" s="2228"/>
      <c r="THK256" s="2228"/>
      <c r="THL256" s="2228"/>
      <c r="THM256" s="2228"/>
      <c r="THN256" s="2228"/>
      <c r="THO256" s="2228"/>
      <c r="THP256" s="2228"/>
      <c r="THQ256" s="2227"/>
      <c r="THR256" s="2228"/>
      <c r="THS256" s="2228"/>
      <c r="THT256" s="2228"/>
      <c r="THU256" s="2228"/>
      <c r="THV256" s="2228"/>
      <c r="THW256" s="2228"/>
      <c r="THX256" s="2228"/>
      <c r="THY256" s="2228"/>
      <c r="THZ256" s="2228"/>
      <c r="TIA256" s="2228"/>
      <c r="TIB256" s="2228"/>
      <c r="TIC256" s="2228"/>
      <c r="TID256" s="2228"/>
      <c r="TIE256" s="2228"/>
      <c r="TIF256" s="2228"/>
      <c r="TIG256" s="2227"/>
      <c r="TIH256" s="2228"/>
      <c r="TII256" s="2228"/>
      <c r="TIJ256" s="2228"/>
      <c r="TIK256" s="2228"/>
      <c r="TIL256" s="2228"/>
      <c r="TIM256" s="2228"/>
      <c r="TIN256" s="2228"/>
      <c r="TIO256" s="2228"/>
      <c r="TIP256" s="2228"/>
      <c r="TIQ256" s="2228"/>
      <c r="TIR256" s="2228"/>
      <c r="TIS256" s="2228"/>
      <c r="TIT256" s="2228"/>
      <c r="TIU256" s="2228"/>
      <c r="TIV256" s="2228"/>
      <c r="TIW256" s="2227"/>
      <c r="TIX256" s="2228"/>
      <c r="TIY256" s="2228"/>
      <c r="TIZ256" s="2228"/>
      <c r="TJA256" s="2228"/>
      <c r="TJB256" s="2228"/>
      <c r="TJC256" s="2228"/>
      <c r="TJD256" s="2228"/>
      <c r="TJE256" s="2228"/>
      <c r="TJF256" s="2228"/>
      <c r="TJG256" s="2228"/>
      <c r="TJH256" s="2228"/>
      <c r="TJI256" s="2228"/>
      <c r="TJJ256" s="2228"/>
      <c r="TJK256" s="2228"/>
      <c r="TJL256" s="2228"/>
      <c r="TJM256" s="2227"/>
      <c r="TJN256" s="2228"/>
      <c r="TJO256" s="2228"/>
      <c r="TJP256" s="2228"/>
      <c r="TJQ256" s="2228"/>
      <c r="TJR256" s="2228"/>
      <c r="TJS256" s="2228"/>
      <c r="TJT256" s="2228"/>
      <c r="TJU256" s="2228"/>
      <c r="TJV256" s="2228"/>
      <c r="TJW256" s="2228"/>
      <c r="TJX256" s="2228"/>
      <c r="TJY256" s="2228"/>
      <c r="TJZ256" s="2228"/>
      <c r="TKA256" s="2228"/>
      <c r="TKB256" s="2228"/>
      <c r="TKC256" s="2227"/>
      <c r="TKD256" s="2228"/>
      <c r="TKE256" s="2228"/>
      <c r="TKF256" s="2228"/>
      <c r="TKG256" s="2228"/>
      <c r="TKH256" s="2228"/>
      <c r="TKI256" s="2228"/>
      <c r="TKJ256" s="2228"/>
      <c r="TKK256" s="2228"/>
      <c r="TKL256" s="2228"/>
      <c r="TKM256" s="2228"/>
      <c r="TKN256" s="2228"/>
      <c r="TKO256" s="2228"/>
      <c r="TKP256" s="2228"/>
      <c r="TKQ256" s="2228"/>
      <c r="TKR256" s="2228"/>
      <c r="TKS256" s="2227"/>
      <c r="TKT256" s="2228"/>
      <c r="TKU256" s="2228"/>
      <c r="TKV256" s="2228"/>
      <c r="TKW256" s="2228"/>
      <c r="TKX256" s="2228"/>
      <c r="TKY256" s="2228"/>
      <c r="TKZ256" s="2228"/>
      <c r="TLA256" s="2228"/>
      <c r="TLB256" s="2228"/>
      <c r="TLC256" s="2228"/>
      <c r="TLD256" s="2228"/>
      <c r="TLE256" s="2228"/>
      <c r="TLF256" s="2228"/>
      <c r="TLG256" s="2228"/>
      <c r="TLH256" s="2228"/>
      <c r="TLI256" s="2227"/>
      <c r="TLJ256" s="2228"/>
      <c r="TLK256" s="2228"/>
      <c r="TLL256" s="2228"/>
      <c r="TLM256" s="2228"/>
      <c r="TLN256" s="2228"/>
      <c r="TLO256" s="2228"/>
      <c r="TLP256" s="2228"/>
      <c r="TLQ256" s="2228"/>
      <c r="TLR256" s="2228"/>
      <c r="TLS256" s="2228"/>
      <c r="TLT256" s="2228"/>
      <c r="TLU256" s="2228"/>
      <c r="TLV256" s="2228"/>
      <c r="TLW256" s="2228"/>
      <c r="TLX256" s="2228"/>
      <c r="TLY256" s="2227"/>
      <c r="TLZ256" s="2228"/>
      <c r="TMA256" s="2228"/>
      <c r="TMB256" s="2228"/>
      <c r="TMC256" s="2228"/>
      <c r="TMD256" s="2228"/>
      <c r="TME256" s="2228"/>
      <c r="TMF256" s="2228"/>
      <c r="TMG256" s="2228"/>
      <c r="TMH256" s="2228"/>
      <c r="TMI256" s="2228"/>
      <c r="TMJ256" s="2228"/>
      <c r="TMK256" s="2228"/>
      <c r="TML256" s="2228"/>
      <c r="TMM256" s="2228"/>
      <c r="TMN256" s="2228"/>
      <c r="TMO256" s="2227"/>
      <c r="TMP256" s="2228"/>
      <c r="TMQ256" s="2228"/>
      <c r="TMR256" s="2228"/>
      <c r="TMS256" s="2228"/>
      <c r="TMT256" s="2228"/>
      <c r="TMU256" s="2228"/>
      <c r="TMV256" s="2228"/>
      <c r="TMW256" s="2228"/>
      <c r="TMX256" s="2228"/>
      <c r="TMY256" s="2228"/>
      <c r="TMZ256" s="2228"/>
      <c r="TNA256" s="2228"/>
      <c r="TNB256" s="2228"/>
      <c r="TNC256" s="2228"/>
      <c r="TND256" s="2228"/>
      <c r="TNE256" s="2227"/>
      <c r="TNF256" s="2228"/>
      <c r="TNG256" s="2228"/>
      <c r="TNH256" s="2228"/>
      <c r="TNI256" s="2228"/>
      <c r="TNJ256" s="2228"/>
      <c r="TNK256" s="2228"/>
      <c r="TNL256" s="2228"/>
      <c r="TNM256" s="2228"/>
      <c r="TNN256" s="2228"/>
      <c r="TNO256" s="2228"/>
      <c r="TNP256" s="2228"/>
      <c r="TNQ256" s="2228"/>
      <c r="TNR256" s="2228"/>
      <c r="TNS256" s="2228"/>
      <c r="TNT256" s="2228"/>
      <c r="TNU256" s="2227"/>
      <c r="TNV256" s="2228"/>
      <c r="TNW256" s="2228"/>
      <c r="TNX256" s="2228"/>
      <c r="TNY256" s="2228"/>
      <c r="TNZ256" s="2228"/>
      <c r="TOA256" s="2228"/>
      <c r="TOB256" s="2228"/>
      <c r="TOC256" s="2228"/>
      <c r="TOD256" s="2228"/>
      <c r="TOE256" s="2228"/>
      <c r="TOF256" s="2228"/>
      <c r="TOG256" s="2228"/>
      <c r="TOH256" s="2228"/>
      <c r="TOI256" s="2228"/>
      <c r="TOJ256" s="2228"/>
      <c r="TOK256" s="2227"/>
      <c r="TOL256" s="2228"/>
      <c r="TOM256" s="2228"/>
      <c r="TON256" s="2228"/>
      <c r="TOO256" s="2228"/>
      <c r="TOP256" s="2228"/>
      <c r="TOQ256" s="2228"/>
      <c r="TOR256" s="2228"/>
      <c r="TOS256" s="2228"/>
      <c r="TOT256" s="2228"/>
      <c r="TOU256" s="2228"/>
      <c r="TOV256" s="2228"/>
      <c r="TOW256" s="2228"/>
      <c r="TOX256" s="2228"/>
      <c r="TOY256" s="2228"/>
      <c r="TOZ256" s="2228"/>
      <c r="TPA256" s="2227"/>
      <c r="TPB256" s="2228"/>
      <c r="TPC256" s="2228"/>
      <c r="TPD256" s="2228"/>
      <c r="TPE256" s="2228"/>
      <c r="TPF256" s="2228"/>
      <c r="TPG256" s="2228"/>
      <c r="TPH256" s="2228"/>
      <c r="TPI256" s="2228"/>
      <c r="TPJ256" s="2228"/>
      <c r="TPK256" s="2228"/>
      <c r="TPL256" s="2228"/>
      <c r="TPM256" s="2228"/>
      <c r="TPN256" s="2228"/>
      <c r="TPO256" s="2228"/>
      <c r="TPP256" s="2228"/>
      <c r="TPQ256" s="2227"/>
      <c r="TPR256" s="2228"/>
      <c r="TPS256" s="2228"/>
      <c r="TPT256" s="2228"/>
      <c r="TPU256" s="2228"/>
      <c r="TPV256" s="2228"/>
      <c r="TPW256" s="2228"/>
      <c r="TPX256" s="2228"/>
      <c r="TPY256" s="2228"/>
      <c r="TPZ256" s="2228"/>
      <c r="TQA256" s="2228"/>
      <c r="TQB256" s="2228"/>
      <c r="TQC256" s="2228"/>
      <c r="TQD256" s="2228"/>
      <c r="TQE256" s="2228"/>
      <c r="TQF256" s="2228"/>
      <c r="TQG256" s="2227"/>
      <c r="TQH256" s="2228"/>
      <c r="TQI256" s="2228"/>
      <c r="TQJ256" s="2228"/>
      <c r="TQK256" s="2228"/>
      <c r="TQL256" s="2228"/>
      <c r="TQM256" s="2228"/>
      <c r="TQN256" s="2228"/>
      <c r="TQO256" s="2228"/>
      <c r="TQP256" s="2228"/>
      <c r="TQQ256" s="2228"/>
      <c r="TQR256" s="2228"/>
      <c r="TQS256" s="2228"/>
      <c r="TQT256" s="2228"/>
      <c r="TQU256" s="2228"/>
      <c r="TQV256" s="2228"/>
      <c r="TQW256" s="2227"/>
      <c r="TQX256" s="2228"/>
      <c r="TQY256" s="2228"/>
      <c r="TQZ256" s="2228"/>
      <c r="TRA256" s="2228"/>
      <c r="TRB256" s="2228"/>
      <c r="TRC256" s="2228"/>
      <c r="TRD256" s="2228"/>
      <c r="TRE256" s="2228"/>
      <c r="TRF256" s="2228"/>
      <c r="TRG256" s="2228"/>
      <c r="TRH256" s="2228"/>
      <c r="TRI256" s="2228"/>
      <c r="TRJ256" s="2228"/>
      <c r="TRK256" s="2228"/>
      <c r="TRL256" s="2228"/>
      <c r="TRM256" s="2227"/>
      <c r="TRN256" s="2228"/>
      <c r="TRO256" s="2228"/>
      <c r="TRP256" s="2228"/>
      <c r="TRQ256" s="2228"/>
      <c r="TRR256" s="2228"/>
      <c r="TRS256" s="2228"/>
      <c r="TRT256" s="2228"/>
      <c r="TRU256" s="2228"/>
      <c r="TRV256" s="2228"/>
      <c r="TRW256" s="2228"/>
      <c r="TRX256" s="2228"/>
      <c r="TRY256" s="2228"/>
      <c r="TRZ256" s="2228"/>
      <c r="TSA256" s="2228"/>
      <c r="TSB256" s="2228"/>
      <c r="TSC256" s="2227"/>
      <c r="TSD256" s="2228"/>
      <c r="TSE256" s="2228"/>
      <c r="TSF256" s="2228"/>
      <c r="TSG256" s="2228"/>
      <c r="TSH256" s="2228"/>
      <c r="TSI256" s="2228"/>
      <c r="TSJ256" s="2228"/>
      <c r="TSK256" s="2228"/>
      <c r="TSL256" s="2228"/>
      <c r="TSM256" s="2228"/>
      <c r="TSN256" s="2228"/>
      <c r="TSO256" s="2228"/>
      <c r="TSP256" s="2228"/>
      <c r="TSQ256" s="2228"/>
      <c r="TSR256" s="2228"/>
      <c r="TSS256" s="2227"/>
      <c r="TST256" s="2228"/>
      <c r="TSU256" s="2228"/>
      <c r="TSV256" s="2228"/>
      <c r="TSW256" s="2228"/>
      <c r="TSX256" s="2228"/>
      <c r="TSY256" s="2228"/>
      <c r="TSZ256" s="2228"/>
      <c r="TTA256" s="2228"/>
      <c r="TTB256" s="2228"/>
      <c r="TTC256" s="2228"/>
      <c r="TTD256" s="2228"/>
      <c r="TTE256" s="2228"/>
      <c r="TTF256" s="2228"/>
      <c r="TTG256" s="2228"/>
      <c r="TTH256" s="2228"/>
      <c r="TTI256" s="2227"/>
      <c r="TTJ256" s="2228"/>
      <c r="TTK256" s="2228"/>
      <c r="TTL256" s="2228"/>
      <c r="TTM256" s="2228"/>
      <c r="TTN256" s="2228"/>
      <c r="TTO256" s="2228"/>
      <c r="TTP256" s="2228"/>
      <c r="TTQ256" s="2228"/>
      <c r="TTR256" s="2228"/>
      <c r="TTS256" s="2228"/>
      <c r="TTT256" s="2228"/>
      <c r="TTU256" s="2228"/>
      <c r="TTV256" s="2228"/>
      <c r="TTW256" s="2228"/>
      <c r="TTX256" s="2228"/>
      <c r="TTY256" s="2227"/>
      <c r="TTZ256" s="2228"/>
      <c r="TUA256" s="2228"/>
      <c r="TUB256" s="2228"/>
      <c r="TUC256" s="2228"/>
      <c r="TUD256" s="2228"/>
      <c r="TUE256" s="2228"/>
      <c r="TUF256" s="2228"/>
      <c r="TUG256" s="2228"/>
      <c r="TUH256" s="2228"/>
      <c r="TUI256" s="2228"/>
      <c r="TUJ256" s="2228"/>
      <c r="TUK256" s="2228"/>
      <c r="TUL256" s="2228"/>
      <c r="TUM256" s="2228"/>
      <c r="TUN256" s="2228"/>
      <c r="TUO256" s="2227"/>
      <c r="TUP256" s="2228"/>
      <c r="TUQ256" s="2228"/>
      <c r="TUR256" s="2228"/>
      <c r="TUS256" s="2228"/>
      <c r="TUT256" s="2228"/>
      <c r="TUU256" s="2228"/>
      <c r="TUV256" s="2228"/>
      <c r="TUW256" s="2228"/>
      <c r="TUX256" s="2228"/>
      <c r="TUY256" s="2228"/>
      <c r="TUZ256" s="2228"/>
      <c r="TVA256" s="2228"/>
      <c r="TVB256" s="2228"/>
      <c r="TVC256" s="2228"/>
      <c r="TVD256" s="2228"/>
      <c r="TVE256" s="2227"/>
      <c r="TVF256" s="2228"/>
      <c r="TVG256" s="2228"/>
      <c r="TVH256" s="2228"/>
      <c r="TVI256" s="2228"/>
      <c r="TVJ256" s="2228"/>
      <c r="TVK256" s="2228"/>
      <c r="TVL256" s="2228"/>
      <c r="TVM256" s="2228"/>
      <c r="TVN256" s="2228"/>
      <c r="TVO256" s="2228"/>
      <c r="TVP256" s="2228"/>
      <c r="TVQ256" s="2228"/>
      <c r="TVR256" s="2228"/>
      <c r="TVS256" s="2228"/>
      <c r="TVT256" s="2228"/>
      <c r="TVU256" s="2227"/>
      <c r="TVV256" s="2228"/>
      <c r="TVW256" s="2228"/>
      <c r="TVX256" s="2228"/>
      <c r="TVY256" s="2228"/>
      <c r="TVZ256" s="2228"/>
      <c r="TWA256" s="2228"/>
      <c r="TWB256" s="2228"/>
      <c r="TWC256" s="2228"/>
      <c r="TWD256" s="2228"/>
      <c r="TWE256" s="2228"/>
      <c r="TWF256" s="2228"/>
      <c r="TWG256" s="2228"/>
      <c r="TWH256" s="2228"/>
      <c r="TWI256" s="2228"/>
      <c r="TWJ256" s="2228"/>
      <c r="TWK256" s="2227"/>
      <c r="TWL256" s="2228"/>
      <c r="TWM256" s="2228"/>
      <c r="TWN256" s="2228"/>
      <c r="TWO256" s="2228"/>
      <c r="TWP256" s="2228"/>
      <c r="TWQ256" s="2228"/>
      <c r="TWR256" s="2228"/>
      <c r="TWS256" s="2228"/>
      <c r="TWT256" s="2228"/>
      <c r="TWU256" s="2228"/>
      <c r="TWV256" s="2228"/>
      <c r="TWW256" s="2228"/>
      <c r="TWX256" s="2228"/>
      <c r="TWY256" s="2228"/>
      <c r="TWZ256" s="2228"/>
      <c r="TXA256" s="2227"/>
      <c r="TXB256" s="2228"/>
      <c r="TXC256" s="2228"/>
      <c r="TXD256" s="2228"/>
      <c r="TXE256" s="2228"/>
      <c r="TXF256" s="2228"/>
      <c r="TXG256" s="2228"/>
      <c r="TXH256" s="2228"/>
      <c r="TXI256" s="2228"/>
      <c r="TXJ256" s="2228"/>
      <c r="TXK256" s="2228"/>
      <c r="TXL256" s="2228"/>
      <c r="TXM256" s="2228"/>
      <c r="TXN256" s="2228"/>
      <c r="TXO256" s="2228"/>
      <c r="TXP256" s="2228"/>
      <c r="TXQ256" s="2227"/>
      <c r="TXR256" s="2228"/>
      <c r="TXS256" s="2228"/>
      <c r="TXT256" s="2228"/>
      <c r="TXU256" s="2228"/>
      <c r="TXV256" s="2228"/>
      <c r="TXW256" s="2228"/>
      <c r="TXX256" s="2228"/>
      <c r="TXY256" s="2228"/>
      <c r="TXZ256" s="2228"/>
      <c r="TYA256" s="2228"/>
      <c r="TYB256" s="2228"/>
      <c r="TYC256" s="2228"/>
      <c r="TYD256" s="2228"/>
      <c r="TYE256" s="2228"/>
      <c r="TYF256" s="2228"/>
      <c r="TYG256" s="2227"/>
      <c r="TYH256" s="2228"/>
      <c r="TYI256" s="2228"/>
      <c r="TYJ256" s="2228"/>
      <c r="TYK256" s="2228"/>
      <c r="TYL256" s="2228"/>
      <c r="TYM256" s="2228"/>
      <c r="TYN256" s="2228"/>
      <c r="TYO256" s="2228"/>
      <c r="TYP256" s="2228"/>
      <c r="TYQ256" s="2228"/>
      <c r="TYR256" s="2228"/>
      <c r="TYS256" s="2228"/>
      <c r="TYT256" s="2228"/>
      <c r="TYU256" s="2228"/>
      <c r="TYV256" s="2228"/>
      <c r="TYW256" s="2227"/>
      <c r="TYX256" s="2228"/>
      <c r="TYY256" s="2228"/>
      <c r="TYZ256" s="2228"/>
      <c r="TZA256" s="2228"/>
      <c r="TZB256" s="2228"/>
      <c r="TZC256" s="2228"/>
      <c r="TZD256" s="2228"/>
      <c r="TZE256" s="2228"/>
      <c r="TZF256" s="2228"/>
      <c r="TZG256" s="2228"/>
      <c r="TZH256" s="2228"/>
      <c r="TZI256" s="2228"/>
      <c r="TZJ256" s="2228"/>
      <c r="TZK256" s="2228"/>
      <c r="TZL256" s="2228"/>
      <c r="TZM256" s="2227"/>
      <c r="TZN256" s="2228"/>
      <c r="TZO256" s="2228"/>
      <c r="TZP256" s="2228"/>
      <c r="TZQ256" s="2228"/>
      <c r="TZR256" s="2228"/>
      <c r="TZS256" s="2228"/>
      <c r="TZT256" s="2228"/>
      <c r="TZU256" s="2228"/>
      <c r="TZV256" s="2228"/>
      <c r="TZW256" s="2228"/>
      <c r="TZX256" s="2228"/>
      <c r="TZY256" s="2228"/>
      <c r="TZZ256" s="2228"/>
      <c r="UAA256" s="2228"/>
      <c r="UAB256" s="2228"/>
      <c r="UAC256" s="2227"/>
      <c r="UAD256" s="2228"/>
      <c r="UAE256" s="2228"/>
      <c r="UAF256" s="2228"/>
      <c r="UAG256" s="2228"/>
      <c r="UAH256" s="2228"/>
      <c r="UAI256" s="2228"/>
      <c r="UAJ256" s="2228"/>
      <c r="UAK256" s="2228"/>
      <c r="UAL256" s="2228"/>
      <c r="UAM256" s="2228"/>
      <c r="UAN256" s="2228"/>
      <c r="UAO256" s="2228"/>
      <c r="UAP256" s="2228"/>
      <c r="UAQ256" s="2228"/>
      <c r="UAR256" s="2228"/>
      <c r="UAS256" s="2227"/>
      <c r="UAT256" s="2228"/>
      <c r="UAU256" s="2228"/>
      <c r="UAV256" s="2228"/>
      <c r="UAW256" s="2228"/>
      <c r="UAX256" s="2228"/>
      <c r="UAY256" s="2228"/>
      <c r="UAZ256" s="2228"/>
      <c r="UBA256" s="2228"/>
      <c r="UBB256" s="2228"/>
      <c r="UBC256" s="2228"/>
      <c r="UBD256" s="2228"/>
      <c r="UBE256" s="2228"/>
      <c r="UBF256" s="2228"/>
      <c r="UBG256" s="2228"/>
      <c r="UBH256" s="2228"/>
      <c r="UBI256" s="2227"/>
      <c r="UBJ256" s="2228"/>
      <c r="UBK256" s="2228"/>
      <c r="UBL256" s="2228"/>
      <c r="UBM256" s="2228"/>
      <c r="UBN256" s="2228"/>
      <c r="UBO256" s="2228"/>
      <c r="UBP256" s="2228"/>
      <c r="UBQ256" s="2228"/>
      <c r="UBR256" s="2228"/>
      <c r="UBS256" s="2228"/>
      <c r="UBT256" s="2228"/>
      <c r="UBU256" s="2228"/>
      <c r="UBV256" s="2228"/>
      <c r="UBW256" s="2228"/>
      <c r="UBX256" s="2228"/>
      <c r="UBY256" s="2227"/>
      <c r="UBZ256" s="2228"/>
      <c r="UCA256" s="2228"/>
      <c r="UCB256" s="2228"/>
      <c r="UCC256" s="2228"/>
      <c r="UCD256" s="2228"/>
      <c r="UCE256" s="2228"/>
      <c r="UCF256" s="2228"/>
      <c r="UCG256" s="2228"/>
      <c r="UCH256" s="2228"/>
      <c r="UCI256" s="2228"/>
      <c r="UCJ256" s="2228"/>
      <c r="UCK256" s="2228"/>
      <c r="UCL256" s="2228"/>
      <c r="UCM256" s="2228"/>
      <c r="UCN256" s="2228"/>
      <c r="UCO256" s="2227"/>
      <c r="UCP256" s="2228"/>
      <c r="UCQ256" s="2228"/>
      <c r="UCR256" s="2228"/>
      <c r="UCS256" s="2228"/>
      <c r="UCT256" s="2228"/>
      <c r="UCU256" s="2228"/>
      <c r="UCV256" s="2228"/>
      <c r="UCW256" s="2228"/>
      <c r="UCX256" s="2228"/>
      <c r="UCY256" s="2228"/>
      <c r="UCZ256" s="2228"/>
      <c r="UDA256" s="2228"/>
      <c r="UDB256" s="2228"/>
      <c r="UDC256" s="2228"/>
      <c r="UDD256" s="2228"/>
      <c r="UDE256" s="2227"/>
      <c r="UDF256" s="2228"/>
      <c r="UDG256" s="2228"/>
      <c r="UDH256" s="2228"/>
      <c r="UDI256" s="2228"/>
      <c r="UDJ256" s="2228"/>
      <c r="UDK256" s="2228"/>
      <c r="UDL256" s="2228"/>
      <c r="UDM256" s="2228"/>
      <c r="UDN256" s="2228"/>
      <c r="UDO256" s="2228"/>
      <c r="UDP256" s="2228"/>
      <c r="UDQ256" s="2228"/>
      <c r="UDR256" s="2228"/>
      <c r="UDS256" s="2228"/>
      <c r="UDT256" s="2228"/>
      <c r="UDU256" s="2227"/>
      <c r="UDV256" s="2228"/>
      <c r="UDW256" s="2228"/>
      <c r="UDX256" s="2228"/>
      <c r="UDY256" s="2228"/>
      <c r="UDZ256" s="2228"/>
      <c r="UEA256" s="2228"/>
      <c r="UEB256" s="2228"/>
      <c r="UEC256" s="2228"/>
      <c r="UED256" s="2228"/>
      <c r="UEE256" s="2228"/>
      <c r="UEF256" s="2228"/>
      <c r="UEG256" s="2228"/>
      <c r="UEH256" s="2228"/>
      <c r="UEI256" s="2228"/>
      <c r="UEJ256" s="2228"/>
      <c r="UEK256" s="2227"/>
      <c r="UEL256" s="2228"/>
      <c r="UEM256" s="2228"/>
      <c r="UEN256" s="2228"/>
      <c r="UEO256" s="2228"/>
      <c r="UEP256" s="2228"/>
      <c r="UEQ256" s="2228"/>
      <c r="UER256" s="2228"/>
      <c r="UES256" s="2228"/>
      <c r="UET256" s="2228"/>
      <c r="UEU256" s="2228"/>
      <c r="UEV256" s="2228"/>
      <c r="UEW256" s="2228"/>
      <c r="UEX256" s="2228"/>
      <c r="UEY256" s="2228"/>
      <c r="UEZ256" s="2228"/>
      <c r="UFA256" s="2227"/>
      <c r="UFB256" s="2228"/>
      <c r="UFC256" s="2228"/>
      <c r="UFD256" s="2228"/>
      <c r="UFE256" s="2228"/>
      <c r="UFF256" s="2228"/>
      <c r="UFG256" s="2228"/>
      <c r="UFH256" s="2228"/>
      <c r="UFI256" s="2228"/>
      <c r="UFJ256" s="2228"/>
      <c r="UFK256" s="2228"/>
      <c r="UFL256" s="2228"/>
      <c r="UFM256" s="2228"/>
      <c r="UFN256" s="2228"/>
      <c r="UFO256" s="2228"/>
      <c r="UFP256" s="2228"/>
      <c r="UFQ256" s="2227"/>
      <c r="UFR256" s="2228"/>
      <c r="UFS256" s="2228"/>
      <c r="UFT256" s="2228"/>
      <c r="UFU256" s="2228"/>
      <c r="UFV256" s="2228"/>
      <c r="UFW256" s="2228"/>
      <c r="UFX256" s="2228"/>
      <c r="UFY256" s="2228"/>
      <c r="UFZ256" s="2228"/>
      <c r="UGA256" s="2228"/>
      <c r="UGB256" s="2228"/>
      <c r="UGC256" s="2228"/>
      <c r="UGD256" s="2228"/>
      <c r="UGE256" s="2228"/>
      <c r="UGF256" s="2228"/>
      <c r="UGG256" s="2227"/>
      <c r="UGH256" s="2228"/>
      <c r="UGI256" s="2228"/>
      <c r="UGJ256" s="2228"/>
      <c r="UGK256" s="2228"/>
      <c r="UGL256" s="2228"/>
      <c r="UGM256" s="2228"/>
      <c r="UGN256" s="2228"/>
      <c r="UGO256" s="2228"/>
      <c r="UGP256" s="2228"/>
      <c r="UGQ256" s="2228"/>
      <c r="UGR256" s="2228"/>
      <c r="UGS256" s="2228"/>
      <c r="UGT256" s="2228"/>
      <c r="UGU256" s="2228"/>
      <c r="UGV256" s="2228"/>
      <c r="UGW256" s="2227"/>
      <c r="UGX256" s="2228"/>
      <c r="UGY256" s="2228"/>
      <c r="UGZ256" s="2228"/>
      <c r="UHA256" s="2228"/>
      <c r="UHB256" s="2228"/>
      <c r="UHC256" s="2228"/>
      <c r="UHD256" s="2228"/>
      <c r="UHE256" s="2228"/>
      <c r="UHF256" s="2228"/>
      <c r="UHG256" s="2228"/>
      <c r="UHH256" s="2228"/>
      <c r="UHI256" s="2228"/>
      <c r="UHJ256" s="2228"/>
      <c r="UHK256" s="2228"/>
      <c r="UHL256" s="2228"/>
      <c r="UHM256" s="2227"/>
      <c r="UHN256" s="2228"/>
      <c r="UHO256" s="2228"/>
      <c r="UHP256" s="2228"/>
      <c r="UHQ256" s="2228"/>
      <c r="UHR256" s="2228"/>
      <c r="UHS256" s="2228"/>
      <c r="UHT256" s="2228"/>
      <c r="UHU256" s="2228"/>
      <c r="UHV256" s="2228"/>
      <c r="UHW256" s="2228"/>
      <c r="UHX256" s="2228"/>
      <c r="UHY256" s="2228"/>
      <c r="UHZ256" s="2228"/>
      <c r="UIA256" s="2228"/>
      <c r="UIB256" s="2228"/>
      <c r="UIC256" s="2227"/>
      <c r="UID256" s="2228"/>
      <c r="UIE256" s="2228"/>
      <c r="UIF256" s="2228"/>
      <c r="UIG256" s="2228"/>
      <c r="UIH256" s="2228"/>
      <c r="UII256" s="2228"/>
      <c r="UIJ256" s="2228"/>
      <c r="UIK256" s="2228"/>
      <c r="UIL256" s="2228"/>
      <c r="UIM256" s="2228"/>
      <c r="UIN256" s="2228"/>
      <c r="UIO256" s="2228"/>
      <c r="UIP256" s="2228"/>
      <c r="UIQ256" s="2228"/>
      <c r="UIR256" s="2228"/>
      <c r="UIS256" s="2227"/>
      <c r="UIT256" s="2228"/>
      <c r="UIU256" s="2228"/>
      <c r="UIV256" s="2228"/>
      <c r="UIW256" s="2228"/>
      <c r="UIX256" s="2228"/>
      <c r="UIY256" s="2228"/>
      <c r="UIZ256" s="2228"/>
      <c r="UJA256" s="2228"/>
      <c r="UJB256" s="2228"/>
      <c r="UJC256" s="2228"/>
      <c r="UJD256" s="2228"/>
      <c r="UJE256" s="2228"/>
      <c r="UJF256" s="2228"/>
      <c r="UJG256" s="2228"/>
      <c r="UJH256" s="2228"/>
      <c r="UJI256" s="2227"/>
      <c r="UJJ256" s="2228"/>
      <c r="UJK256" s="2228"/>
      <c r="UJL256" s="2228"/>
      <c r="UJM256" s="2228"/>
      <c r="UJN256" s="2228"/>
      <c r="UJO256" s="2228"/>
      <c r="UJP256" s="2228"/>
      <c r="UJQ256" s="2228"/>
      <c r="UJR256" s="2228"/>
      <c r="UJS256" s="2228"/>
      <c r="UJT256" s="2228"/>
      <c r="UJU256" s="2228"/>
      <c r="UJV256" s="2228"/>
      <c r="UJW256" s="2228"/>
      <c r="UJX256" s="2228"/>
      <c r="UJY256" s="2227"/>
      <c r="UJZ256" s="2228"/>
      <c r="UKA256" s="2228"/>
      <c r="UKB256" s="2228"/>
      <c r="UKC256" s="2228"/>
      <c r="UKD256" s="2228"/>
      <c r="UKE256" s="2228"/>
      <c r="UKF256" s="2228"/>
      <c r="UKG256" s="2228"/>
      <c r="UKH256" s="2228"/>
      <c r="UKI256" s="2228"/>
      <c r="UKJ256" s="2228"/>
      <c r="UKK256" s="2228"/>
      <c r="UKL256" s="2228"/>
      <c r="UKM256" s="2228"/>
      <c r="UKN256" s="2228"/>
      <c r="UKO256" s="2227"/>
      <c r="UKP256" s="2228"/>
      <c r="UKQ256" s="2228"/>
      <c r="UKR256" s="2228"/>
      <c r="UKS256" s="2228"/>
      <c r="UKT256" s="2228"/>
      <c r="UKU256" s="2228"/>
      <c r="UKV256" s="2228"/>
      <c r="UKW256" s="2228"/>
      <c r="UKX256" s="2228"/>
      <c r="UKY256" s="2228"/>
      <c r="UKZ256" s="2228"/>
      <c r="ULA256" s="2228"/>
      <c r="ULB256" s="2228"/>
      <c r="ULC256" s="2228"/>
      <c r="ULD256" s="2228"/>
      <c r="ULE256" s="2227"/>
      <c r="ULF256" s="2228"/>
      <c r="ULG256" s="2228"/>
      <c r="ULH256" s="2228"/>
      <c r="ULI256" s="2228"/>
      <c r="ULJ256" s="2228"/>
      <c r="ULK256" s="2228"/>
      <c r="ULL256" s="2228"/>
      <c r="ULM256" s="2228"/>
      <c r="ULN256" s="2228"/>
      <c r="ULO256" s="2228"/>
      <c r="ULP256" s="2228"/>
      <c r="ULQ256" s="2228"/>
      <c r="ULR256" s="2228"/>
      <c r="ULS256" s="2228"/>
      <c r="ULT256" s="2228"/>
      <c r="ULU256" s="2227"/>
      <c r="ULV256" s="2228"/>
      <c r="ULW256" s="2228"/>
      <c r="ULX256" s="2228"/>
      <c r="ULY256" s="2228"/>
      <c r="ULZ256" s="2228"/>
      <c r="UMA256" s="2228"/>
      <c r="UMB256" s="2228"/>
      <c r="UMC256" s="2228"/>
      <c r="UMD256" s="2228"/>
      <c r="UME256" s="2228"/>
      <c r="UMF256" s="2228"/>
      <c r="UMG256" s="2228"/>
      <c r="UMH256" s="2228"/>
      <c r="UMI256" s="2228"/>
      <c r="UMJ256" s="2228"/>
      <c r="UMK256" s="2227"/>
      <c r="UML256" s="2228"/>
      <c r="UMM256" s="2228"/>
      <c r="UMN256" s="2228"/>
      <c r="UMO256" s="2228"/>
      <c r="UMP256" s="2228"/>
      <c r="UMQ256" s="2228"/>
      <c r="UMR256" s="2228"/>
      <c r="UMS256" s="2228"/>
      <c r="UMT256" s="2228"/>
      <c r="UMU256" s="2228"/>
      <c r="UMV256" s="2228"/>
      <c r="UMW256" s="2228"/>
      <c r="UMX256" s="2228"/>
      <c r="UMY256" s="2228"/>
      <c r="UMZ256" s="2228"/>
      <c r="UNA256" s="2227"/>
      <c r="UNB256" s="2228"/>
      <c r="UNC256" s="2228"/>
      <c r="UND256" s="2228"/>
      <c r="UNE256" s="2228"/>
      <c r="UNF256" s="2228"/>
      <c r="UNG256" s="2228"/>
      <c r="UNH256" s="2228"/>
      <c r="UNI256" s="2228"/>
      <c r="UNJ256" s="2228"/>
      <c r="UNK256" s="2228"/>
      <c r="UNL256" s="2228"/>
      <c r="UNM256" s="2228"/>
      <c r="UNN256" s="2228"/>
      <c r="UNO256" s="2228"/>
      <c r="UNP256" s="2228"/>
      <c r="UNQ256" s="2227"/>
      <c r="UNR256" s="2228"/>
      <c r="UNS256" s="2228"/>
      <c r="UNT256" s="2228"/>
      <c r="UNU256" s="2228"/>
      <c r="UNV256" s="2228"/>
      <c r="UNW256" s="2228"/>
      <c r="UNX256" s="2228"/>
      <c r="UNY256" s="2228"/>
      <c r="UNZ256" s="2228"/>
      <c r="UOA256" s="2228"/>
      <c r="UOB256" s="2228"/>
      <c r="UOC256" s="2228"/>
      <c r="UOD256" s="2228"/>
      <c r="UOE256" s="2228"/>
      <c r="UOF256" s="2228"/>
      <c r="UOG256" s="2227"/>
      <c r="UOH256" s="2228"/>
      <c r="UOI256" s="2228"/>
      <c r="UOJ256" s="2228"/>
      <c r="UOK256" s="2228"/>
      <c r="UOL256" s="2228"/>
      <c r="UOM256" s="2228"/>
      <c r="UON256" s="2228"/>
      <c r="UOO256" s="2228"/>
      <c r="UOP256" s="2228"/>
      <c r="UOQ256" s="2228"/>
      <c r="UOR256" s="2228"/>
      <c r="UOS256" s="2228"/>
      <c r="UOT256" s="2228"/>
      <c r="UOU256" s="2228"/>
      <c r="UOV256" s="2228"/>
      <c r="UOW256" s="2227"/>
      <c r="UOX256" s="2228"/>
      <c r="UOY256" s="2228"/>
      <c r="UOZ256" s="2228"/>
      <c r="UPA256" s="2228"/>
      <c r="UPB256" s="2228"/>
      <c r="UPC256" s="2228"/>
      <c r="UPD256" s="2228"/>
      <c r="UPE256" s="2228"/>
      <c r="UPF256" s="2228"/>
      <c r="UPG256" s="2228"/>
      <c r="UPH256" s="2228"/>
      <c r="UPI256" s="2228"/>
      <c r="UPJ256" s="2228"/>
      <c r="UPK256" s="2228"/>
      <c r="UPL256" s="2228"/>
      <c r="UPM256" s="2227"/>
      <c r="UPN256" s="2228"/>
      <c r="UPO256" s="2228"/>
      <c r="UPP256" s="2228"/>
      <c r="UPQ256" s="2228"/>
      <c r="UPR256" s="2228"/>
      <c r="UPS256" s="2228"/>
      <c r="UPT256" s="2228"/>
      <c r="UPU256" s="2228"/>
      <c r="UPV256" s="2228"/>
      <c r="UPW256" s="2228"/>
      <c r="UPX256" s="2228"/>
      <c r="UPY256" s="2228"/>
      <c r="UPZ256" s="2228"/>
      <c r="UQA256" s="2228"/>
      <c r="UQB256" s="2228"/>
      <c r="UQC256" s="2227"/>
      <c r="UQD256" s="2228"/>
      <c r="UQE256" s="2228"/>
      <c r="UQF256" s="2228"/>
      <c r="UQG256" s="2228"/>
      <c r="UQH256" s="2228"/>
      <c r="UQI256" s="2228"/>
      <c r="UQJ256" s="2228"/>
      <c r="UQK256" s="2228"/>
      <c r="UQL256" s="2228"/>
      <c r="UQM256" s="2228"/>
      <c r="UQN256" s="2228"/>
      <c r="UQO256" s="2228"/>
      <c r="UQP256" s="2228"/>
      <c r="UQQ256" s="2228"/>
      <c r="UQR256" s="2228"/>
      <c r="UQS256" s="2227"/>
      <c r="UQT256" s="2228"/>
      <c r="UQU256" s="2228"/>
      <c r="UQV256" s="2228"/>
      <c r="UQW256" s="2228"/>
      <c r="UQX256" s="2228"/>
      <c r="UQY256" s="2228"/>
      <c r="UQZ256" s="2228"/>
      <c r="URA256" s="2228"/>
      <c r="URB256" s="2228"/>
      <c r="URC256" s="2228"/>
      <c r="URD256" s="2228"/>
      <c r="URE256" s="2228"/>
      <c r="URF256" s="2228"/>
      <c r="URG256" s="2228"/>
      <c r="URH256" s="2228"/>
      <c r="URI256" s="2227"/>
      <c r="URJ256" s="2228"/>
      <c r="URK256" s="2228"/>
      <c r="URL256" s="2228"/>
      <c r="URM256" s="2228"/>
      <c r="URN256" s="2228"/>
      <c r="URO256" s="2228"/>
      <c r="URP256" s="2228"/>
      <c r="URQ256" s="2228"/>
      <c r="URR256" s="2228"/>
      <c r="URS256" s="2228"/>
      <c r="URT256" s="2228"/>
      <c r="URU256" s="2228"/>
      <c r="URV256" s="2228"/>
      <c r="URW256" s="2228"/>
      <c r="URX256" s="2228"/>
      <c r="URY256" s="2227"/>
      <c r="URZ256" s="2228"/>
      <c r="USA256" s="2228"/>
      <c r="USB256" s="2228"/>
      <c r="USC256" s="2228"/>
      <c r="USD256" s="2228"/>
      <c r="USE256" s="2228"/>
      <c r="USF256" s="2228"/>
      <c r="USG256" s="2228"/>
      <c r="USH256" s="2228"/>
      <c r="USI256" s="2228"/>
      <c r="USJ256" s="2228"/>
      <c r="USK256" s="2228"/>
      <c r="USL256" s="2228"/>
      <c r="USM256" s="2228"/>
      <c r="USN256" s="2228"/>
      <c r="USO256" s="2227"/>
      <c r="USP256" s="2228"/>
      <c r="USQ256" s="2228"/>
      <c r="USR256" s="2228"/>
      <c r="USS256" s="2228"/>
      <c r="UST256" s="2228"/>
      <c r="USU256" s="2228"/>
      <c r="USV256" s="2228"/>
      <c r="USW256" s="2228"/>
      <c r="USX256" s="2228"/>
      <c r="USY256" s="2228"/>
      <c r="USZ256" s="2228"/>
      <c r="UTA256" s="2228"/>
      <c r="UTB256" s="2228"/>
      <c r="UTC256" s="2228"/>
      <c r="UTD256" s="2228"/>
      <c r="UTE256" s="2227"/>
      <c r="UTF256" s="2228"/>
      <c r="UTG256" s="2228"/>
      <c r="UTH256" s="2228"/>
      <c r="UTI256" s="2228"/>
      <c r="UTJ256" s="2228"/>
      <c r="UTK256" s="2228"/>
      <c r="UTL256" s="2228"/>
      <c r="UTM256" s="2228"/>
      <c r="UTN256" s="2228"/>
      <c r="UTO256" s="2228"/>
      <c r="UTP256" s="2228"/>
      <c r="UTQ256" s="2228"/>
      <c r="UTR256" s="2228"/>
      <c r="UTS256" s="2228"/>
      <c r="UTT256" s="2228"/>
      <c r="UTU256" s="2227"/>
      <c r="UTV256" s="2228"/>
      <c r="UTW256" s="2228"/>
      <c r="UTX256" s="2228"/>
      <c r="UTY256" s="2228"/>
      <c r="UTZ256" s="2228"/>
      <c r="UUA256" s="2228"/>
      <c r="UUB256" s="2228"/>
      <c r="UUC256" s="2228"/>
      <c r="UUD256" s="2228"/>
      <c r="UUE256" s="2228"/>
      <c r="UUF256" s="2228"/>
      <c r="UUG256" s="2228"/>
      <c r="UUH256" s="2228"/>
      <c r="UUI256" s="2228"/>
      <c r="UUJ256" s="2228"/>
      <c r="UUK256" s="2227"/>
      <c r="UUL256" s="2228"/>
      <c r="UUM256" s="2228"/>
      <c r="UUN256" s="2228"/>
      <c r="UUO256" s="2228"/>
      <c r="UUP256" s="2228"/>
      <c r="UUQ256" s="2228"/>
      <c r="UUR256" s="2228"/>
      <c r="UUS256" s="2228"/>
      <c r="UUT256" s="2228"/>
      <c r="UUU256" s="2228"/>
      <c r="UUV256" s="2228"/>
      <c r="UUW256" s="2228"/>
      <c r="UUX256" s="2228"/>
      <c r="UUY256" s="2228"/>
      <c r="UUZ256" s="2228"/>
      <c r="UVA256" s="2227"/>
      <c r="UVB256" s="2228"/>
      <c r="UVC256" s="2228"/>
      <c r="UVD256" s="2228"/>
      <c r="UVE256" s="2228"/>
      <c r="UVF256" s="2228"/>
      <c r="UVG256" s="2228"/>
      <c r="UVH256" s="2228"/>
      <c r="UVI256" s="2228"/>
      <c r="UVJ256" s="2228"/>
      <c r="UVK256" s="2228"/>
      <c r="UVL256" s="2228"/>
      <c r="UVM256" s="2228"/>
      <c r="UVN256" s="2228"/>
      <c r="UVO256" s="2228"/>
      <c r="UVP256" s="2228"/>
      <c r="UVQ256" s="2227"/>
      <c r="UVR256" s="2228"/>
      <c r="UVS256" s="2228"/>
      <c r="UVT256" s="2228"/>
      <c r="UVU256" s="2228"/>
      <c r="UVV256" s="2228"/>
      <c r="UVW256" s="2228"/>
      <c r="UVX256" s="2228"/>
      <c r="UVY256" s="2228"/>
      <c r="UVZ256" s="2228"/>
      <c r="UWA256" s="2228"/>
      <c r="UWB256" s="2228"/>
      <c r="UWC256" s="2228"/>
      <c r="UWD256" s="2228"/>
      <c r="UWE256" s="2228"/>
      <c r="UWF256" s="2228"/>
      <c r="UWG256" s="2227"/>
      <c r="UWH256" s="2228"/>
      <c r="UWI256" s="2228"/>
      <c r="UWJ256" s="2228"/>
      <c r="UWK256" s="2228"/>
      <c r="UWL256" s="2228"/>
      <c r="UWM256" s="2228"/>
      <c r="UWN256" s="2228"/>
      <c r="UWO256" s="2228"/>
      <c r="UWP256" s="2228"/>
      <c r="UWQ256" s="2228"/>
      <c r="UWR256" s="2228"/>
      <c r="UWS256" s="2228"/>
      <c r="UWT256" s="2228"/>
      <c r="UWU256" s="2228"/>
      <c r="UWV256" s="2228"/>
      <c r="UWW256" s="2227"/>
      <c r="UWX256" s="2228"/>
      <c r="UWY256" s="2228"/>
      <c r="UWZ256" s="2228"/>
      <c r="UXA256" s="2228"/>
      <c r="UXB256" s="2228"/>
      <c r="UXC256" s="2228"/>
      <c r="UXD256" s="2228"/>
      <c r="UXE256" s="2228"/>
      <c r="UXF256" s="2228"/>
      <c r="UXG256" s="2228"/>
      <c r="UXH256" s="2228"/>
      <c r="UXI256" s="2228"/>
      <c r="UXJ256" s="2228"/>
      <c r="UXK256" s="2228"/>
      <c r="UXL256" s="2228"/>
      <c r="UXM256" s="2227"/>
      <c r="UXN256" s="2228"/>
      <c r="UXO256" s="2228"/>
      <c r="UXP256" s="2228"/>
      <c r="UXQ256" s="2228"/>
      <c r="UXR256" s="2228"/>
      <c r="UXS256" s="2228"/>
      <c r="UXT256" s="2228"/>
      <c r="UXU256" s="2228"/>
      <c r="UXV256" s="2228"/>
      <c r="UXW256" s="2228"/>
      <c r="UXX256" s="2228"/>
      <c r="UXY256" s="2228"/>
      <c r="UXZ256" s="2228"/>
      <c r="UYA256" s="2228"/>
      <c r="UYB256" s="2228"/>
      <c r="UYC256" s="2227"/>
      <c r="UYD256" s="2228"/>
      <c r="UYE256" s="2228"/>
      <c r="UYF256" s="2228"/>
      <c r="UYG256" s="2228"/>
      <c r="UYH256" s="2228"/>
      <c r="UYI256" s="2228"/>
      <c r="UYJ256" s="2228"/>
      <c r="UYK256" s="2228"/>
      <c r="UYL256" s="2228"/>
      <c r="UYM256" s="2228"/>
      <c r="UYN256" s="2228"/>
      <c r="UYO256" s="2228"/>
      <c r="UYP256" s="2228"/>
      <c r="UYQ256" s="2228"/>
      <c r="UYR256" s="2228"/>
      <c r="UYS256" s="2227"/>
      <c r="UYT256" s="2228"/>
      <c r="UYU256" s="2228"/>
      <c r="UYV256" s="2228"/>
      <c r="UYW256" s="2228"/>
      <c r="UYX256" s="2228"/>
      <c r="UYY256" s="2228"/>
      <c r="UYZ256" s="2228"/>
      <c r="UZA256" s="2228"/>
      <c r="UZB256" s="2228"/>
      <c r="UZC256" s="2228"/>
      <c r="UZD256" s="2228"/>
      <c r="UZE256" s="2228"/>
      <c r="UZF256" s="2228"/>
      <c r="UZG256" s="2228"/>
      <c r="UZH256" s="2228"/>
      <c r="UZI256" s="2227"/>
      <c r="UZJ256" s="2228"/>
      <c r="UZK256" s="2228"/>
      <c r="UZL256" s="2228"/>
      <c r="UZM256" s="2228"/>
      <c r="UZN256" s="2228"/>
      <c r="UZO256" s="2228"/>
      <c r="UZP256" s="2228"/>
      <c r="UZQ256" s="2228"/>
      <c r="UZR256" s="2228"/>
      <c r="UZS256" s="2228"/>
      <c r="UZT256" s="2228"/>
      <c r="UZU256" s="2228"/>
      <c r="UZV256" s="2228"/>
      <c r="UZW256" s="2228"/>
      <c r="UZX256" s="2228"/>
      <c r="UZY256" s="2227"/>
      <c r="UZZ256" s="2228"/>
      <c r="VAA256" s="2228"/>
      <c r="VAB256" s="2228"/>
      <c r="VAC256" s="2228"/>
      <c r="VAD256" s="2228"/>
      <c r="VAE256" s="2228"/>
      <c r="VAF256" s="2228"/>
      <c r="VAG256" s="2228"/>
      <c r="VAH256" s="2228"/>
      <c r="VAI256" s="2228"/>
      <c r="VAJ256" s="2228"/>
      <c r="VAK256" s="2228"/>
      <c r="VAL256" s="2228"/>
      <c r="VAM256" s="2228"/>
      <c r="VAN256" s="2228"/>
      <c r="VAO256" s="2227"/>
      <c r="VAP256" s="2228"/>
      <c r="VAQ256" s="2228"/>
      <c r="VAR256" s="2228"/>
      <c r="VAS256" s="2228"/>
      <c r="VAT256" s="2228"/>
      <c r="VAU256" s="2228"/>
      <c r="VAV256" s="2228"/>
      <c r="VAW256" s="2228"/>
      <c r="VAX256" s="2228"/>
      <c r="VAY256" s="2228"/>
      <c r="VAZ256" s="2228"/>
      <c r="VBA256" s="2228"/>
      <c r="VBB256" s="2228"/>
      <c r="VBC256" s="2228"/>
      <c r="VBD256" s="2228"/>
      <c r="VBE256" s="2227"/>
      <c r="VBF256" s="2228"/>
      <c r="VBG256" s="2228"/>
      <c r="VBH256" s="2228"/>
      <c r="VBI256" s="2228"/>
      <c r="VBJ256" s="2228"/>
      <c r="VBK256" s="2228"/>
      <c r="VBL256" s="2228"/>
      <c r="VBM256" s="2228"/>
      <c r="VBN256" s="2228"/>
      <c r="VBO256" s="2228"/>
      <c r="VBP256" s="2228"/>
      <c r="VBQ256" s="2228"/>
      <c r="VBR256" s="2228"/>
      <c r="VBS256" s="2228"/>
      <c r="VBT256" s="2228"/>
      <c r="VBU256" s="2227"/>
      <c r="VBV256" s="2228"/>
      <c r="VBW256" s="2228"/>
      <c r="VBX256" s="2228"/>
      <c r="VBY256" s="2228"/>
      <c r="VBZ256" s="2228"/>
      <c r="VCA256" s="2228"/>
      <c r="VCB256" s="2228"/>
      <c r="VCC256" s="2228"/>
      <c r="VCD256" s="2228"/>
      <c r="VCE256" s="2228"/>
      <c r="VCF256" s="2228"/>
      <c r="VCG256" s="2228"/>
      <c r="VCH256" s="2228"/>
      <c r="VCI256" s="2228"/>
      <c r="VCJ256" s="2228"/>
      <c r="VCK256" s="2227"/>
      <c r="VCL256" s="2228"/>
      <c r="VCM256" s="2228"/>
      <c r="VCN256" s="2228"/>
      <c r="VCO256" s="2228"/>
      <c r="VCP256" s="2228"/>
      <c r="VCQ256" s="2228"/>
      <c r="VCR256" s="2228"/>
      <c r="VCS256" s="2228"/>
      <c r="VCT256" s="2228"/>
      <c r="VCU256" s="2228"/>
      <c r="VCV256" s="2228"/>
      <c r="VCW256" s="2228"/>
      <c r="VCX256" s="2228"/>
      <c r="VCY256" s="2228"/>
      <c r="VCZ256" s="2228"/>
      <c r="VDA256" s="2227"/>
      <c r="VDB256" s="2228"/>
      <c r="VDC256" s="2228"/>
      <c r="VDD256" s="2228"/>
      <c r="VDE256" s="2228"/>
      <c r="VDF256" s="2228"/>
      <c r="VDG256" s="2228"/>
      <c r="VDH256" s="2228"/>
      <c r="VDI256" s="2228"/>
      <c r="VDJ256" s="2228"/>
      <c r="VDK256" s="2228"/>
      <c r="VDL256" s="2228"/>
      <c r="VDM256" s="2228"/>
      <c r="VDN256" s="2228"/>
      <c r="VDO256" s="2228"/>
      <c r="VDP256" s="2228"/>
      <c r="VDQ256" s="2227"/>
      <c r="VDR256" s="2228"/>
      <c r="VDS256" s="2228"/>
      <c r="VDT256" s="2228"/>
      <c r="VDU256" s="2228"/>
      <c r="VDV256" s="2228"/>
      <c r="VDW256" s="2228"/>
      <c r="VDX256" s="2228"/>
      <c r="VDY256" s="2228"/>
      <c r="VDZ256" s="2228"/>
      <c r="VEA256" s="2228"/>
      <c r="VEB256" s="2228"/>
      <c r="VEC256" s="2228"/>
      <c r="VED256" s="2228"/>
      <c r="VEE256" s="2228"/>
      <c r="VEF256" s="2228"/>
      <c r="VEG256" s="2227"/>
      <c r="VEH256" s="2228"/>
      <c r="VEI256" s="2228"/>
      <c r="VEJ256" s="2228"/>
      <c r="VEK256" s="2228"/>
      <c r="VEL256" s="2228"/>
      <c r="VEM256" s="2228"/>
      <c r="VEN256" s="2228"/>
      <c r="VEO256" s="2228"/>
      <c r="VEP256" s="2228"/>
      <c r="VEQ256" s="2228"/>
      <c r="VER256" s="2228"/>
      <c r="VES256" s="2228"/>
      <c r="VET256" s="2228"/>
      <c r="VEU256" s="2228"/>
      <c r="VEV256" s="2228"/>
      <c r="VEW256" s="2227"/>
      <c r="VEX256" s="2228"/>
      <c r="VEY256" s="2228"/>
      <c r="VEZ256" s="2228"/>
      <c r="VFA256" s="2228"/>
      <c r="VFB256" s="2228"/>
      <c r="VFC256" s="2228"/>
      <c r="VFD256" s="2228"/>
      <c r="VFE256" s="2228"/>
      <c r="VFF256" s="2228"/>
      <c r="VFG256" s="2228"/>
      <c r="VFH256" s="2228"/>
      <c r="VFI256" s="2228"/>
      <c r="VFJ256" s="2228"/>
      <c r="VFK256" s="2228"/>
      <c r="VFL256" s="2228"/>
      <c r="VFM256" s="2227"/>
      <c r="VFN256" s="2228"/>
      <c r="VFO256" s="2228"/>
      <c r="VFP256" s="2228"/>
      <c r="VFQ256" s="2228"/>
      <c r="VFR256" s="2228"/>
      <c r="VFS256" s="2228"/>
      <c r="VFT256" s="2228"/>
      <c r="VFU256" s="2228"/>
      <c r="VFV256" s="2228"/>
      <c r="VFW256" s="2228"/>
      <c r="VFX256" s="2228"/>
      <c r="VFY256" s="2228"/>
      <c r="VFZ256" s="2228"/>
      <c r="VGA256" s="2228"/>
      <c r="VGB256" s="2228"/>
      <c r="VGC256" s="2227"/>
      <c r="VGD256" s="2228"/>
      <c r="VGE256" s="2228"/>
      <c r="VGF256" s="2228"/>
      <c r="VGG256" s="2228"/>
      <c r="VGH256" s="2228"/>
      <c r="VGI256" s="2228"/>
      <c r="VGJ256" s="2228"/>
      <c r="VGK256" s="2228"/>
      <c r="VGL256" s="2228"/>
      <c r="VGM256" s="2228"/>
      <c r="VGN256" s="2228"/>
      <c r="VGO256" s="2228"/>
      <c r="VGP256" s="2228"/>
      <c r="VGQ256" s="2228"/>
      <c r="VGR256" s="2228"/>
      <c r="VGS256" s="2227"/>
      <c r="VGT256" s="2228"/>
      <c r="VGU256" s="2228"/>
      <c r="VGV256" s="2228"/>
      <c r="VGW256" s="2228"/>
      <c r="VGX256" s="2228"/>
      <c r="VGY256" s="2228"/>
      <c r="VGZ256" s="2228"/>
      <c r="VHA256" s="2228"/>
      <c r="VHB256" s="2228"/>
      <c r="VHC256" s="2228"/>
      <c r="VHD256" s="2228"/>
      <c r="VHE256" s="2228"/>
      <c r="VHF256" s="2228"/>
      <c r="VHG256" s="2228"/>
      <c r="VHH256" s="2228"/>
      <c r="VHI256" s="2227"/>
      <c r="VHJ256" s="2228"/>
      <c r="VHK256" s="2228"/>
      <c r="VHL256" s="2228"/>
      <c r="VHM256" s="2228"/>
      <c r="VHN256" s="2228"/>
      <c r="VHO256" s="2228"/>
      <c r="VHP256" s="2228"/>
      <c r="VHQ256" s="2228"/>
      <c r="VHR256" s="2228"/>
      <c r="VHS256" s="2228"/>
      <c r="VHT256" s="2228"/>
      <c r="VHU256" s="2228"/>
      <c r="VHV256" s="2228"/>
      <c r="VHW256" s="2228"/>
      <c r="VHX256" s="2228"/>
      <c r="VHY256" s="2227"/>
      <c r="VHZ256" s="2228"/>
      <c r="VIA256" s="2228"/>
      <c r="VIB256" s="2228"/>
      <c r="VIC256" s="2228"/>
      <c r="VID256" s="2228"/>
      <c r="VIE256" s="2228"/>
      <c r="VIF256" s="2228"/>
      <c r="VIG256" s="2228"/>
      <c r="VIH256" s="2228"/>
      <c r="VII256" s="2228"/>
      <c r="VIJ256" s="2228"/>
      <c r="VIK256" s="2228"/>
      <c r="VIL256" s="2228"/>
      <c r="VIM256" s="2228"/>
      <c r="VIN256" s="2228"/>
      <c r="VIO256" s="2227"/>
      <c r="VIP256" s="2228"/>
      <c r="VIQ256" s="2228"/>
      <c r="VIR256" s="2228"/>
      <c r="VIS256" s="2228"/>
      <c r="VIT256" s="2228"/>
      <c r="VIU256" s="2228"/>
      <c r="VIV256" s="2228"/>
      <c r="VIW256" s="2228"/>
      <c r="VIX256" s="2228"/>
      <c r="VIY256" s="2228"/>
      <c r="VIZ256" s="2228"/>
      <c r="VJA256" s="2228"/>
      <c r="VJB256" s="2228"/>
      <c r="VJC256" s="2228"/>
      <c r="VJD256" s="2228"/>
      <c r="VJE256" s="2227"/>
      <c r="VJF256" s="2228"/>
      <c r="VJG256" s="2228"/>
      <c r="VJH256" s="2228"/>
      <c r="VJI256" s="2228"/>
      <c r="VJJ256" s="2228"/>
      <c r="VJK256" s="2228"/>
      <c r="VJL256" s="2228"/>
      <c r="VJM256" s="2228"/>
      <c r="VJN256" s="2228"/>
      <c r="VJO256" s="2228"/>
      <c r="VJP256" s="2228"/>
      <c r="VJQ256" s="2228"/>
      <c r="VJR256" s="2228"/>
      <c r="VJS256" s="2228"/>
      <c r="VJT256" s="2228"/>
      <c r="VJU256" s="2227"/>
      <c r="VJV256" s="2228"/>
      <c r="VJW256" s="2228"/>
      <c r="VJX256" s="2228"/>
      <c r="VJY256" s="2228"/>
      <c r="VJZ256" s="2228"/>
      <c r="VKA256" s="2228"/>
      <c r="VKB256" s="2228"/>
      <c r="VKC256" s="2228"/>
      <c r="VKD256" s="2228"/>
      <c r="VKE256" s="2228"/>
      <c r="VKF256" s="2228"/>
      <c r="VKG256" s="2228"/>
      <c r="VKH256" s="2228"/>
      <c r="VKI256" s="2228"/>
      <c r="VKJ256" s="2228"/>
      <c r="VKK256" s="2227"/>
      <c r="VKL256" s="2228"/>
      <c r="VKM256" s="2228"/>
      <c r="VKN256" s="2228"/>
      <c r="VKO256" s="2228"/>
      <c r="VKP256" s="2228"/>
      <c r="VKQ256" s="2228"/>
      <c r="VKR256" s="2228"/>
      <c r="VKS256" s="2228"/>
      <c r="VKT256" s="2228"/>
      <c r="VKU256" s="2228"/>
      <c r="VKV256" s="2228"/>
      <c r="VKW256" s="2228"/>
      <c r="VKX256" s="2228"/>
      <c r="VKY256" s="2228"/>
      <c r="VKZ256" s="2228"/>
      <c r="VLA256" s="2227"/>
      <c r="VLB256" s="2228"/>
      <c r="VLC256" s="2228"/>
      <c r="VLD256" s="2228"/>
      <c r="VLE256" s="2228"/>
      <c r="VLF256" s="2228"/>
      <c r="VLG256" s="2228"/>
      <c r="VLH256" s="2228"/>
      <c r="VLI256" s="2228"/>
      <c r="VLJ256" s="2228"/>
      <c r="VLK256" s="2228"/>
      <c r="VLL256" s="2228"/>
      <c r="VLM256" s="2228"/>
      <c r="VLN256" s="2228"/>
      <c r="VLO256" s="2228"/>
      <c r="VLP256" s="2228"/>
      <c r="VLQ256" s="2227"/>
      <c r="VLR256" s="2228"/>
      <c r="VLS256" s="2228"/>
      <c r="VLT256" s="2228"/>
      <c r="VLU256" s="2228"/>
      <c r="VLV256" s="2228"/>
      <c r="VLW256" s="2228"/>
      <c r="VLX256" s="2228"/>
      <c r="VLY256" s="2228"/>
      <c r="VLZ256" s="2228"/>
      <c r="VMA256" s="2228"/>
      <c r="VMB256" s="2228"/>
      <c r="VMC256" s="2228"/>
      <c r="VMD256" s="2228"/>
      <c r="VME256" s="2228"/>
      <c r="VMF256" s="2228"/>
      <c r="VMG256" s="2227"/>
      <c r="VMH256" s="2228"/>
      <c r="VMI256" s="2228"/>
      <c r="VMJ256" s="2228"/>
      <c r="VMK256" s="2228"/>
      <c r="VML256" s="2228"/>
      <c r="VMM256" s="2228"/>
      <c r="VMN256" s="2228"/>
      <c r="VMO256" s="2228"/>
      <c r="VMP256" s="2228"/>
      <c r="VMQ256" s="2228"/>
      <c r="VMR256" s="2228"/>
      <c r="VMS256" s="2228"/>
      <c r="VMT256" s="2228"/>
      <c r="VMU256" s="2228"/>
      <c r="VMV256" s="2228"/>
      <c r="VMW256" s="2227"/>
      <c r="VMX256" s="2228"/>
      <c r="VMY256" s="2228"/>
      <c r="VMZ256" s="2228"/>
      <c r="VNA256" s="2228"/>
      <c r="VNB256" s="2228"/>
      <c r="VNC256" s="2228"/>
      <c r="VND256" s="2228"/>
      <c r="VNE256" s="2228"/>
      <c r="VNF256" s="2228"/>
      <c r="VNG256" s="2228"/>
      <c r="VNH256" s="2228"/>
      <c r="VNI256" s="2228"/>
      <c r="VNJ256" s="2228"/>
      <c r="VNK256" s="2228"/>
      <c r="VNL256" s="2228"/>
      <c r="VNM256" s="2227"/>
      <c r="VNN256" s="2228"/>
      <c r="VNO256" s="2228"/>
      <c r="VNP256" s="2228"/>
      <c r="VNQ256" s="2228"/>
      <c r="VNR256" s="2228"/>
      <c r="VNS256" s="2228"/>
      <c r="VNT256" s="2228"/>
      <c r="VNU256" s="2228"/>
      <c r="VNV256" s="2228"/>
      <c r="VNW256" s="2228"/>
      <c r="VNX256" s="2228"/>
      <c r="VNY256" s="2228"/>
      <c r="VNZ256" s="2228"/>
      <c r="VOA256" s="2228"/>
      <c r="VOB256" s="2228"/>
      <c r="VOC256" s="2227"/>
      <c r="VOD256" s="2228"/>
      <c r="VOE256" s="2228"/>
      <c r="VOF256" s="2228"/>
      <c r="VOG256" s="2228"/>
      <c r="VOH256" s="2228"/>
      <c r="VOI256" s="2228"/>
      <c r="VOJ256" s="2228"/>
      <c r="VOK256" s="2228"/>
      <c r="VOL256" s="2228"/>
      <c r="VOM256" s="2228"/>
      <c r="VON256" s="2228"/>
      <c r="VOO256" s="2228"/>
      <c r="VOP256" s="2228"/>
      <c r="VOQ256" s="2228"/>
      <c r="VOR256" s="2228"/>
      <c r="VOS256" s="2227"/>
      <c r="VOT256" s="2228"/>
      <c r="VOU256" s="2228"/>
      <c r="VOV256" s="2228"/>
      <c r="VOW256" s="2228"/>
      <c r="VOX256" s="2228"/>
      <c r="VOY256" s="2228"/>
      <c r="VOZ256" s="2228"/>
      <c r="VPA256" s="2228"/>
      <c r="VPB256" s="2228"/>
      <c r="VPC256" s="2228"/>
      <c r="VPD256" s="2228"/>
      <c r="VPE256" s="2228"/>
      <c r="VPF256" s="2228"/>
      <c r="VPG256" s="2228"/>
      <c r="VPH256" s="2228"/>
      <c r="VPI256" s="2227"/>
      <c r="VPJ256" s="2228"/>
      <c r="VPK256" s="2228"/>
      <c r="VPL256" s="2228"/>
      <c r="VPM256" s="2228"/>
      <c r="VPN256" s="2228"/>
      <c r="VPO256" s="2228"/>
      <c r="VPP256" s="2228"/>
      <c r="VPQ256" s="2228"/>
      <c r="VPR256" s="2228"/>
      <c r="VPS256" s="2228"/>
      <c r="VPT256" s="2228"/>
      <c r="VPU256" s="2228"/>
      <c r="VPV256" s="2228"/>
      <c r="VPW256" s="2228"/>
      <c r="VPX256" s="2228"/>
      <c r="VPY256" s="2227"/>
      <c r="VPZ256" s="2228"/>
      <c r="VQA256" s="2228"/>
      <c r="VQB256" s="2228"/>
      <c r="VQC256" s="2228"/>
      <c r="VQD256" s="2228"/>
      <c r="VQE256" s="2228"/>
      <c r="VQF256" s="2228"/>
      <c r="VQG256" s="2228"/>
      <c r="VQH256" s="2228"/>
      <c r="VQI256" s="2228"/>
      <c r="VQJ256" s="2228"/>
      <c r="VQK256" s="2228"/>
      <c r="VQL256" s="2228"/>
      <c r="VQM256" s="2228"/>
      <c r="VQN256" s="2228"/>
      <c r="VQO256" s="2227"/>
      <c r="VQP256" s="2228"/>
      <c r="VQQ256" s="2228"/>
      <c r="VQR256" s="2228"/>
      <c r="VQS256" s="2228"/>
      <c r="VQT256" s="2228"/>
      <c r="VQU256" s="2228"/>
      <c r="VQV256" s="2228"/>
      <c r="VQW256" s="2228"/>
      <c r="VQX256" s="2228"/>
      <c r="VQY256" s="2228"/>
      <c r="VQZ256" s="2228"/>
      <c r="VRA256" s="2228"/>
      <c r="VRB256" s="2228"/>
      <c r="VRC256" s="2228"/>
      <c r="VRD256" s="2228"/>
      <c r="VRE256" s="2227"/>
      <c r="VRF256" s="2228"/>
      <c r="VRG256" s="2228"/>
      <c r="VRH256" s="2228"/>
      <c r="VRI256" s="2228"/>
      <c r="VRJ256" s="2228"/>
      <c r="VRK256" s="2228"/>
      <c r="VRL256" s="2228"/>
      <c r="VRM256" s="2228"/>
      <c r="VRN256" s="2228"/>
      <c r="VRO256" s="2228"/>
      <c r="VRP256" s="2228"/>
      <c r="VRQ256" s="2228"/>
      <c r="VRR256" s="2228"/>
      <c r="VRS256" s="2228"/>
      <c r="VRT256" s="2228"/>
      <c r="VRU256" s="2227"/>
      <c r="VRV256" s="2228"/>
      <c r="VRW256" s="2228"/>
      <c r="VRX256" s="2228"/>
      <c r="VRY256" s="2228"/>
      <c r="VRZ256" s="2228"/>
      <c r="VSA256" s="2228"/>
      <c r="VSB256" s="2228"/>
      <c r="VSC256" s="2228"/>
      <c r="VSD256" s="2228"/>
      <c r="VSE256" s="2228"/>
      <c r="VSF256" s="2228"/>
      <c r="VSG256" s="2228"/>
      <c r="VSH256" s="2228"/>
      <c r="VSI256" s="2228"/>
      <c r="VSJ256" s="2228"/>
      <c r="VSK256" s="2227"/>
      <c r="VSL256" s="2228"/>
      <c r="VSM256" s="2228"/>
      <c r="VSN256" s="2228"/>
      <c r="VSO256" s="2228"/>
      <c r="VSP256" s="2228"/>
      <c r="VSQ256" s="2228"/>
      <c r="VSR256" s="2228"/>
      <c r="VSS256" s="2228"/>
      <c r="VST256" s="2228"/>
      <c r="VSU256" s="2228"/>
      <c r="VSV256" s="2228"/>
      <c r="VSW256" s="2228"/>
      <c r="VSX256" s="2228"/>
      <c r="VSY256" s="2228"/>
      <c r="VSZ256" s="2228"/>
      <c r="VTA256" s="2227"/>
      <c r="VTB256" s="2228"/>
      <c r="VTC256" s="2228"/>
      <c r="VTD256" s="2228"/>
      <c r="VTE256" s="2228"/>
      <c r="VTF256" s="2228"/>
      <c r="VTG256" s="2228"/>
      <c r="VTH256" s="2228"/>
      <c r="VTI256" s="2228"/>
      <c r="VTJ256" s="2228"/>
      <c r="VTK256" s="2228"/>
      <c r="VTL256" s="2228"/>
      <c r="VTM256" s="2228"/>
      <c r="VTN256" s="2228"/>
      <c r="VTO256" s="2228"/>
      <c r="VTP256" s="2228"/>
      <c r="VTQ256" s="2227"/>
      <c r="VTR256" s="2228"/>
      <c r="VTS256" s="2228"/>
      <c r="VTT256" s="2228"/>
      <c r="VTU256" s="2228"/>
      <c r="VTV256" s="2228"/>
      <c r="VTW256" s="2228"/>
      <c r="VTX256" s="2228"/>
      <c r="VTY256" s="2228"/>
      <c r="VTZ256" s="2228"/>
      <c r="VUA256" s="2228"/>
      <c r="VUB256" s="2228"/>
      <c r="VUC256" s="2228"/>
      <c r="VUD256" s="2228"/>
      <c r="VUE256" s="2228"/>
      <c r="VUF256" s="2228"/>
      <c r="VUG256" s="2227"/>
      <c r="VUH256" s="2228"/>
      <c r="VUI256" s="2228"/>
      <c r="VUJ256" s="2228"/>
      <c r="VUK256" s="2228"/>
      <c r="VUL256" s="2228"/>
      <c r="VUM256" s="2228"/>
      <c r="VUN256" s="2228"/>
      <c r="VUO256" s="2228"/>
      <c r="VUP256" s="2228"/>
      <c r="VUQ256" s="2228"/>
      <c r="VUR256" s="2228"/>
      <c r="VUS256" s="2228"/>
      <c r="VUT256" s="2228"/>
      <c r="VUU256" s="2228"/>
      <c r="VUV256" s="2228"/>
      <c r="VUW256" s="2227"/>
      <c r="VUX256" s="2228"/>
      <c r="VUY256" s="2228"/>
      <c r="VUZ256" s="2228"/>
      <c r="VVA256" s="2228"/>
      <c r="VVB256" s="2228"/>
      <c r="VVC256" s="2228"/>
      <c r="VVD256" s="2228"/>
      <c r="VVE256" s="2228"/>
      <c r="VVF256" s="2228"/>
      <c r="VVG256" s="2228"/>
      <c r="VVH256" s="2228"/>
      <c r="VVI256" s="2228"/>
      <c r="VVJ256" s="2228"/>
      <c r="VVK256" s="2228"/>
      <c r="VVL256" s="2228"/>
      <c r="VVM256" s="2227"/>
      <c r="VVN256" s="2228"/>
      <c r="VVO256" s="2228"/>
      <c r="VVP256" s="2228"/>
      <c r="VVQ256" s="2228"/>
      <c r="VVR256" s="2228"/>
      <c r="VVS256" s="2228"/>
      <c r="VVT256" s="2228"/>
      <c r="VVU256" s="2228"/>
      <c r="VVV256" s="2228"/>
      <c r="VVW256" s="2228"/>
      <c r="VVX256" s="2228"/>
      <c r="VVY256" s="2228"/>
      <c r="VVZ256" s="2228"/>
      <c r="VWA256" s="2228"/>
      <c r="VWB256" s="2228"/>
      <c r="VWC256" s="2227"/>
      <c r="VWD256" s="2228"/>
      <c r="VWE256" s="2228"/>
      <c r="VWF256" s="2228"/>
      <c r="VWG256" s="2228"/>
      <c r="VWH256" s="2228"/>
      <c r="VWI256" s="2228"/>
      <c r="VWJ256" s="2228"/>
      <c r="VWK256" s="2228"/>
      <c r="VWL256" s="2228"/>
      <c r="VWM256" s="2228"/>
      <c r="VWN256" s="2228"/>
      <c r="VWO256" s="2228"/>
      <c r="VWP256" s="2228"/>
      <c r="VWQ256" s="2228"/>
      <c r="VWR256" s="2228"/>
      <c r="VWS256" s="2227"/>
      <c r="VWT256" s="2228"/>
      <c r="VWU256" s="2228"/>
      <c r="VWV256" s="2228"/>
      <c r="VWW256" s="2228"/>
      <c r="VWX256" s="2228"/>
      <c r="VWY256" s="2228"/>
      <c r="VWZ256" s="2228"/>
      <c r="VXA256" s="2228"/>
      <c r="VXB256" s="2228"/>
      <c r="VXC256" s="2228"/>
      <c r="VXD256" s="2228"/>
      <c r="VXE256" s="2228"/>
      <c r="VXF256" s="2228"/>
      <c r="VXG256" s="2228"/>
      <c r="VXH256" s="2228"/>
      <c r="VXI256" s="2227"/>
      <c r="VXJ256" s="2228"/>
      <c r="VXK256" s="2228"/>
      <c r="VXL256" s="2228"/>
      <c r="VXM256" s="2228"/>
      <c r="VXN256" s="2228"/>
      <c r="VXO256" s="2228"/>
      <c r="VXP256" s="2228"/>
      <c r="VXQ256" s="2228"/>
      <c r="VXR256" s="2228"/>
      <c r="VXS256" s="2228"/>
      <c r="VXT256" s="2228"/>
      <c r="VXU256" s="2228"/>
      <c r="VXV256" s="2228"/>
      <c r="VXW256" s="2228"/>
      <c r="VXX256" s="2228"/>
      <c r="VXY256" s="2227"/>
      <c r="VXZ256" s="2228"/>
      <c r="VYA256" s="2228"/>
      <c r="VYB256" s="2228"/>
      <c r="VYC256" s="2228"/>
      <c r="VYD256" s="2228"/>
      <c r="VYE256" s="2228"/>
      <c r="VYF256" s="2228"/>
      <c r="VYG256" s="2228"/>
      <c r="VYH256" s="2228"/>
      <c r="VYI256" s="2228"/>
      <c r="VYJ256" s="2228"/>
      <c r="VYK256" s="2228"/>
      <c r="VYL256" s="2228"/>
      <c r="VYM256" s="2228"/>
      <c r="VYN256" s="2228"/>
      <c r="VYO256" s="2227"/>
      <c r="VYP256" s="2228"/>
      <c r="VYQ256" s="2228"/>
      <c r="VYR256" s="2228"/>
      <c r="VYS256" s="2228"/>
      <c r="VYT256" s="2228"/>
      <c r="VYU256" s="2228"/>
      <c r="VYV256" s="2228"/>
      <c r="VYW256" s="2228"/>
      <c r="VYX256" s="2228"/>
      <c r="VYY256" s="2228"/>
      <c r="VYZ256" s="2228"/>
      <c r="VZA256" s="2228"/>
      <c r="VZB256" s="2228"/>
      <c r="VZC256" s="2228"/>
      <c r="VZD256" s="2228"/>
      <c r="VZE256" s="2227"/>
      <c r="VZF256" s="2228"/>
      <c r="VZG256" s="2228"/>
      <c r="VZH256" s="2228"/>
      <c r="VZI256" s="2228"/>
      <c r="VZJ256" s="2228"/>
      <c r="VZK256" s="2228"/>
      <c r="VZL256" s="2228"/>
      <c r="VZM256" s="2228"/>
      <c r="VZN256" s="2228"/>
      <c r="VZO256" s="2228"/>
      <c r="VZP256" s="2228"/>
      <c r="VZQ256" s="2228"/>
      <c r="VZR256" s="2228"/>
      <c r="VZS256" s="2228"/>
      <c r="VZT256" s="2228"/>
      <c r="VZU256" s="2227"/>
      <c r="VZV256" s="2228"/>
      <c r="VZW256" s="2228"/>
      <c r="VZX256" s="2228"/>
      <c r="VZY256" s="2228"/>
      <c r="VZZ256" s="2228"/>
      <c r="WAA256" s="2228"/>
      <c r="WAB256" s="2228"/>
      <c r="WAC256" s="2228"/>
      <c r="WAD256" s="2228"/>
      <c r="WAE256" s="2228"/>
      <c r="WAF256" s="2228"/>
      <c r="WAG256" s="2228"/>
      <c r="WAH256" s="2228"/>
      <c r="WAI256" s="2228"/>
      <c r="WAJ256" s="2228"/>
      <c r="WAK256" s="2227"/>
      <c r="WAL256" s="2228"/>
      <c r="WAM256" s="2228"/>
      <c r="WAN256" s="2228"/>
      <c r="WAO256" s="2228"/>
      <c r="WAP256" s="2228"/>
      <c r="WAQ256" s="2228"/>
      <c r="WAR256" s="2228"/>
      <c r="WAS256" s="2228"/>
      <c r="WAT256" s="2228"/>
      <c r="WAU256" s="2228"/>
      <c r="WAV256" s="2228"/>
      <c r="WAW256" s="2228"/>
      <c r="WAX256" s="2228"/>
      <c r="WAY256" s="2228"/>
      <c r="WAZ256" s="2228"/>
      <c r="WBA256" s="2227"/>
      <c r="WBB256" s="2228"/>
      <c r="WBC256" s="2228"/>
      <c r="WBD256" s="2228"/>
      <c r="WBE256" s="2228"/>
      <c r="WBF256" s="2228"/>
      <c r="WBG256" s="2228"/>
      <c r="WBH256" s="2228"/>
      <c r="WBI256" s="2228"/>
      <c r="WBJ256" s="2228"/>
      <c r="WBK256" s="2228"/>
      <c r="WBL256" s="2228"/>
      <c r="WBM256" s="2228"/>
      <c r="WBN256" s="2228"/>
      <c r="WBO256" s="2228"/>
      <c r="WBP256" s="2228"/>
      <c r="WBQ256" s="2227"/>
      <c r="WBR256" s="2228"/>
      <c r="WBS256" s="2228"/>
      <c r="WBT256" s="2228"/>
      <c r="WBU256" s="2228"/>
      <c r="WBV256" s="2228"/>
      <c r="WBW256" s="2228"/>
      <c r="WBX256" s="2228"/>
      <c r="WBY256" s="2228"/>
      <c r="WBZ256" s="2228"/>
      <c r="WCA256" s="2228"/>
      <c r="WCB256" s="2228"/>
      <c r="WCC256" s="2228"/>
      <c r="WCD256" s="2228"/>
      <c r="WCE256" s="2228"/>
      <c r="WCF256" s="2228"/>
      <c r="WCG256" s="2227"/>
      <c r="WCH256" s="2228"/>
      <c r="WCI256" s="2228"/>
      <c r="WCJ256" s="2228"/>
      <c r="WCK256" s="2228"/>
      <c r="WCL256" s="2228"/>
      <c r="WCM256" s="2228"/>
      <c r="WCN256" s="2228"/>
      <c r="WCO256" s="2228"/>
      <c r="WCP256" s="2228"/>
      <c r="WCQ256" s="2228"/>
      <c r="WCR256" s="2228"/>
      <c r="WCS256" s="2228"/>
      <c r="WCT256" s="2228"/>
      <c r="WCU256" s="2228"/>
      <c r="WCV256" s="2228"/>
      <c r="WCW256" s="2227"/>
      <c r="WCX256" s="2228"/>
      <c r="WCY256" s="2228"/>
      <c r="WCZ256" s="2228"/>
      <c r="WDA256" s="2228"/>
      <c r="WDB256" s="2228"/>
      <c r="WDC256" s="2228"/>
      <c r="WDD256" s="2228"/>
      <c r="WDE256" s="2228"/>
      <c r="WDF256" s="2228"/>
      <c r="WDG256" s="2228"/>
      <c r="WDH256" s="2228"/>
      <c r="WDI256" s="2228"/>
      <c r="WDJ256" s="2228"/>
      <c r="WDK256" s="2228"/>
      <c r="WDL256" s="2228"/>
      <c r="WDM256" s="2227"/>
      <c r="WDN256" s="2228"/>
      <c r="WDO256" s="2228"/>
      <c r="WDP256" s="2228"/>
      <c r="WDQ256" s="2228"/>
      <c r="WDR256" s="2228"/>
      <c r="WDS256" s="2228"/>
      <c r="WDT256" s="2228"/>
      <c r="WDU256" s="2228"/>
      <c r="WDV256" s="2228"/>
      <c r="WDW256" s="2228"/>
      <c r="WDX256" s="2228"/>
      <c r="WDY256" s="2228"/>
      <c r="WDZ256" s="2228"/>
      <c r="WEA256" s="2228"/>
      <c r="WEB256" s="2228"/>
      <c r="WEC256" s="2227"/>
      <c r="WED256" s="2228"/>
      <c r="WEE256" s="2228"/>
      <c r="WEF256" s="2228"/>
      <c r="WEG256" s="2228"/>
      <c r="WEH256" s="2228"/>
      <c r="WEI256" s="2228"/>
      <c r="WEJ256" s="2228"/>
      <c r="WEK256" s="2228"/>
      <c r="WEL256" s="2228"/>
      <c r="WEM256" s="2228"/>
      <c r="WEN256" s="2228"/>
      <c r="WEO256" s="2228"/>
      <c r="WEP256" s="2228"/>
      <c r="WEQ256" s="2228"/>
      <c r="WER256" s="2228"/>
      <c r="WES256" s="2227"/>
      <c r="WET256" s="2228"/>
      <c r="WEU256" s="2228"/>
      <c r="WEV256" s="2228"/>
      <c r="WEW256" s="2228"/>
      <c r="WEX256" s="2228"/>
      <c r="WEY256" s="2228"/>
      <c r="WEZ256" s="2228"/>
      <c r="WFA256" s="2228"/>
      <c r="WFB256" s="2228"/>
      <c r="WFC256" s="2228"/>
      <c r="WFD256" s="2228"/>
      <c r="WFE256" s="2228"/>
      <c r="WFF256" s="2228"/>
      <c r="WFG256" s="2228"/>
      <c r="WFH256" s="2228"/>
      <c r="WFI256" s="2227"/>
      <c r="WFJ256" s="2228"/>
      <c r="WFK256" s="2228"/>
      <c r="WFL256" s="2228"/>
      <c r="WFM256" s="2228"/>
      <c r="WFN256" s="2228"/>
      <c r="WFO256" s="2228"/>
      <c r="WFP256" s="2228"/>
      <c r="WFQ256" s="2228"/>
      <c r="WFR256" s="2228"/>
      <c r="WFS256" s="2228"/>
      <c r="WFT256" s="2228"/>
      <c r="WFU256" s="2228"/>
      <c r="WFV256" s="2228"/>
      <c r="WFW256" s="2228"/>
      <c r="WFX256" s="2228"/>
      <c r="WFY256" s="2227"/>
      <c r="WFZ256" s="2228"/>
      <c r="WGA256" s="2228"/>
      <c r="WGB256" s="2228"/>
      <c r="WGC256" s="2228"/>
      <c r="WGD256" s="2228"/>
      <c r="WGE256" s="2228"/>
      <c r="WGF256" s="2228"/>
      <c r="WGG256" s="2228"/>
      <c r="WGH256" s="2228"/>
      <c r="WGI256" s="2228"/>
      <c r="WGJ256" s="2228"/>
      <c r="WGK256" s="2228"/>
      <c r="WGL256" s="2228"/>
      <c r="WGM256" s="2228"/>
      <c r="WGN256" s="2228"/>
      <c r="WGO256" s="2227"/>
      <c r="WGP256" s="2228"/>
      <c r="WGQ256" s="2228"/>
      <c r="WGR256" s="2228"/>
      <c r="WGS256" s="2228"/>
      <c r="WGT256" s="2228"/>
      <c r="WGU256" s="2228"/>
      <c r="WGV256" s="2228"/>
      <c r="WGW256" s="2228"/>
      <c r="WGX256" s="2228"/>
      <c r="WGY256" s="2228"/>
      <c r="WGZ256" s="2228"/>
      <c r="WHA256" s="2228"/>
      <c r="WHB256" s="2228"/>
      <c r="WHC256" s="2228"/>
      <c r="WHD256" s="2228"/>
      <c r="WHE256" s="2227"/>
      <c r="WHF256" s="2228"/>
      <c r="WHG256" s="2228"/>
      <c r="WHH256" s="2228"/>
      <c r="WHI256" s="2228"/>
      <c r="WHJ256" s="2228"/>
      <c r="WHK256" s="2228"/>
      <c r="WHL256" s="2228"/>
      <c r="WHM256" s="2228"/>
      <c r="WHN256" s="2228"/>
      <c r="WHO256" s="2228"/>
      <c r="WHP256" s="2228"/>
      <c r="WHQ256" s="2228"/>
      <c r="WHR256" s="2228"/>
      <c r="WHS256" s="2228"/>
      <c r="WHT256" s="2228"/>
      <c r="WHU256" s="2227"/>
      <c r="WHV256" s="2228"/>
      <c r="WHW256" s="2228"/>
      <c r="WHX256" s="2228"/>
      <c r="WHY256" s="2228"/>
      <c r="WHZ256" s="2228"/>
      <c r="WIA256" s="2228"/>
      <c r="WIB256" s="2228"/>
      <c r="WIC256" s="2228"/>
      <c r="WID256" s="2228"/>
      <c r="WIE256" s="2228"/>
      <c r="WIF256" s="2228"/>
      <c r="WIG256" s="2228"/>
      <c r="WIH256" s="2228"/>
      <c r="WII256" s="2228"/>
      <c r="WIJ256" s="2228"/>
      <c r="WIK256" s="2227"/>
      <c r="WIL256" s="2228"/>
      <c r="WIM256" s="2228"/>
      <c r="WIN256" s="2228"/>
      <c r="WIO256" s="2228"/>
      <c r="WIP256" s="2228"/>
      <c r="WIQ256" s="2228"/>
      <c r="WIR256" s="2228"/>
      <c r="WIS256" s="2228"/>
      <c r="WIT256" s="2228"/>
      <c r="WIU256" s="2228"/>
      <c r="WIV256" s="2228"/>
      <c r="WIW256" s="2228"/>
      <c r="WIX256" s="2228"/>
      <c r="WIY256" s="2228"/>
      <c r="WIZ256" s="2228"/>
      <c r="WJA256" s="2227"/>
      <c r="WJB256" s="2228"/>
      <c r="WJC256" s="2228"/>
      <c r="WJD256" s="2228"/>
      <c r="WJE256" s="2228"/>
      <c r="WJF256" s="2228"/>
      <c r="WJG256" s="2228"/>
      <c r="WJH256" s="2228"/>
      <c r="WJI256" s="2228"/>
      <c r="WJJ256" s="2228"/>
      <c r="WJK256" s="2228"/>
      <c r="WJL256" s="2228"/>
      <c r="WJM256" s="2228"/>
      <c r="WJN256" s="2228"/>
      <c r="WJO256" s="2228"/>
      <c r="WJP256" s="2228"/>
      <c r="WJQ256" s="2227"/>
      <c r="WJR256" s="2228"/>
      <c r="WJS256" s="2228"/>
      <c r="WJT256" s="2228"/>
      <c r="WJU256" s="2228"/>
      <c r="WJV256" s="2228"/>
      <c r="WJW256" s="2228"/>
      <c r="WJX256" s="2228"/>
      <c r="WJY256" s="2228"/>
      <c r="WJZ256" s="2228"/>
      <c r="WKA256" s="2228"/>
      <c r="WKB256" s="2228"/>
      <c r="WKC256" s="2228"/>
      <c r="WKD256" s="2228"/>
      <c r="WKE256" s="2228"/>
      <c r="WKF256" s="2228"/>
      <c r="WKG256" s="2227"/>
      <c r="WKH256" s="2228"/>
      <c r="WKI256" s="2228"/>
      <c r="WKJ256" s="2228"/>
      <c r="WKK256" s="2228"/>
      <c r="WKL256" s="2228"/>
      <c r="WKM256" s="2228"/>
      <c r="WKN256" s="2228"/>
      <c r="WKO256" s="2228"/>
      <c r="WKP256" s="2228"/>
      <c r="WKQ256" s="2228"/>
      <c r="WKR256" s="2228"/>
      <c r="WKS256" s="2228"/>
      <c r="WKT256" s="2228"/>
      <c r="WKU256" s="2228"/>
      <c r="WKV256" s="2228"/>
      <c r="WKW256" s="2227"/>
      <c r="WKX256" s="2228"/>
      <c r="WKY256" s="2228"/>
      <c r="WKZ256" s="2228"/>
      <c r="WLA256" s="2228"/>
      <c r="WLB256" s="2228"/>
      <c r="WLC256" s="2228"/>
      <c r="WLD256" s="2228"/>
      <c r="WLE256" s="2228"/>
      <c r="WLF256" s="2228"/>
      <c r="WLG256" s="2228"/>
      <c r="WLH256" s="2228"/>
      <c r="WLI256" s="2228"/>
      <c r="WLJ256" s="2228"/>
      <c r="WLK256" s="2228"/>
      <c r="WLL256" s="2228"/>
      <c r="WLM256" s="2227"/>
      <c r="WLN256" s="2228"/>
      <c r="WLO256" s="2228"/>
      <c r="WLP256" s="2228"/>
      <c r="WLQ256" s="2228"/>
      <c r="WLR256" s="2228"/>
      <c r="WLS256" s="2228"/>
      <c r="WLT256" s="2228"/>
      <c r="WLU256" s="2228"/>
      <c r="WLV256" s="2228"/>
      <c r="WLW256" s="2228"/>
      <c r="WLX256" s="2228"/>
      <c r="WLY256" s="2228"/>
      <c r="WLZ256" s="2228"/>
      <c r="WMA256" s="2228"/>
      <c r="WMB256" s="2228"/>
      <c r="WMC256" s="2227"/>
      <c r="WMD256" s="2228"/>
      <c r="WME256" s="2228"/>
      <c r="WMF256" s="2228"/>
      <c r="WMG256" s="2228"/>
      <c r="WMH256" s="2228"/>
      <c r="WMI256" s="2228"/>
      <c r="WMJ256" s="2228"/>
      <c r="WMK256" s="2228"/>
      <c r="WML256" s="2228"/>
      <c r="WMM256" s="2228"/>
      <c r="WMN256" s="2228"/>
      <c r="WMO256" s="2228"/>
      <c r="WMP256" s="2228"/>
      <c r="WMQ256" s="2228"/>
      <c r="WMR256" s="2228"/>
      <c r="WMS256" s="2227"/>
      <c r="WMT256" s="2228"/>
      <c r="WMU256" s="2228"/>
      <c r="WMV256" s="2228"/>
      <c r="WMW256" s="2228"/>
      <c r="WMX256" s="2228"/>
      <c r="WMY256" s="2228"/>
      <c r="WMZ256" s="2228"/>
      <c r="WNA256" s="2228"/>
      <c r="WNB256" s="2228"/>
      <c r="WNC256" s="2228"/>
      <c r="WND256" s="2228"/>
      <c r="WNE256" s="2228"/>
      <c r="WNF256" s="2228"/>
      <c r="WNG256" s="2228"/>
      <c r="WNH256" s="2228"/>
      <c r="WNI256" s="2227"/>
      <c r="WNJ256" s="2228"/>
      <c r="WNK256" s="2228"/>
      <c r="WNL256" s="2228"/>
      <c r="WNM256" s="2228"/>
      <c r="WNN256" s="2228"/>
      <c r="WNO256" s="2228"/>
      <c r="WNP256" s="2228"/>
      <c r="WNQ256" s="2228"/>
      <c r="WNR256" s="2228"/>
      <c r="WNS256" s="2228"/>
      <c r="WNT256" s="2228"/>
      <c r="WNU256" s="2228"/>
      <c r="WNV256" s="2228"/>
      <c r="WNW256" s="2228"/>
      <c r="WNX256" s="2228"/>
      <c r="WNY256" s="2227"/>
      <c r="WNZ256" s="2228"/>
      <c r="WOA256" s="2228"/>
      <c r="WOB256" s="2228"/>
      <c r="WOC256" s="2228"/>
      <c r="WOD256" s="2228"/>
      <c r="WOE256" s="2228"/>
      <c r="WOF256" s="2228"/>
      <c r="WOG256" s="2228"/>
      <c r="WOH256" s="2228"/>
      <c r="WOI256" s="2228"/>
      <c r="WOJ256" s="2228"/>
      <c r="WOK256" s="2228"/>
      <c r="WOL256" s="2228"/>
      <c r="WOM256" s="2228"/>
      <c r="WON256" s="2228"/>
      <c r="WOO256" s="2227"/>
      <c r="WOP256" s="2228"/>
      <c r="WOQ256" s="2228"/>
      <c r="WOR256" s="2228"/>
      <c r="WOS256" s="2228"/>
      <c r="WOT256" s="2228"/>
      <c r="WOU256" s="2228"/>
      <c r="WOV256" s="2228"/>
      <c r="WOW256" s="2228"/>
      <c r="WOX256" s="2228"/>
      <c r="WOY256" s="2228"/>
      <c r="WOZ256" s="2228"/>
      <c r="WPA256" s="2228"/>
      <c r="WPB256" s="2228"/>
      <c r="WPC256" s="2228"/>
      <c r="WPD256" s="2228"/>
      <c r="WPE256" s="2227"/>
      <c r="WPF256" s="2228"/>
      <c r="WPG256" s="2228"/>
      <c r="WPH256" s="2228"/>
      <c r="WPI256" s="2228"/>
      <c r="WPJ256" s="2228"/>
      <c r="WPK256" s="2228"/>
      <c r="WPL256" s="2228"/>
      <c r="WPM256" s="2228"/>
      <c r="WPN256" s="2228"/>
      <c r="WPO256" s="2228"/>
      <c r="WPP256" s="2228"/>
      <c r="WPQ256" s="2228"/>
      <c r="WPR256" s="2228"/>
      <c r="WPS256" s="2228"/>
      <c r="WPT256" s="2228"/>
      <c r="WPU256" s="2227"/>
      <c r="WPV256" s="2228"/>
      <c r="WPW256" s="2228"/>
      <c r="WPX256" s="2228"/>
      <c r="WPY256" s="2228"/>
      <c r="WPZ256" s="2228"/>
      <c r="WQA256" s="2228"/>
      <c r="WQB256" s="2228"/>
      <c r="WQC256" s="2228"/>
      <c r="WQD256" s="2228"/>
      <c r="WQE256" s="2228"/>
      <c r="WQF256" s="2228"/>
      <c r="WQG256" s="2228"/>
      <c r="WQH256" s="2228"/>
      <c r="WQI256" s="2228"/>
      <c r="WQJ256" s="2228"/>
      <c r="WQK256" s="2227"/>
      <c r="WQL256" s="2228"/>
      <c r="WQM256" s="2228"/>
      <c r="WQN256" s="2228"/>
      <c r="WQO256" s="2228"/>
      <c r="WQP256" s="2228"/>
      <c r="WQQ256" s="2228"/>
      <c r="WQR256" s="2228"/>
      <c r="WQS256" s="2228"/>
      <c r="WQT256" s="2228"/>
      <c r="WQU256" s="2228"/>
      <c r="WQV256" s="2228"/>
      <c r="WQW256" s="2228"/>
      <c r="WQX256" s="2228"/>
      <c r="WQY256" s="2228"/>
      <c r="WQZ256" s="2228"/>
      <c r="WRA256" s="2227"/>
      <c r="WRB256" s="2228"/>
      <c r="WRC256" s="2228"/>
      <c r="WRD256" s="2228"/>
      <c r="WRE256" s="2228"/>
      <c r="WRF256" s="2228"/>
      <c r="WRG256" s="2228"/>
      <c r="WRH256" s="2228"/>
      <c r="WRI256" s="2228"/>
      <c r="WRJ256" s="2228"/>
      <c r="WRK256" s="2228"/>
      <c r="WRL256" s="2228"/>
      <c r="WRM256" s="2228"/>
      <c r="WRN256" s="2228"/>
      <c r="WRO256" s="2228"/>
      <c r="WRP256" s="2228"/>
      <c r="WRQ256" s="2227"/>
      <c r="WRR256" s="2228"/>
      <c r="WRS256" s="2228"/>
      <c r="WRT256" s="2228"/>
      <c r="WRU256" s="2228"/>
      <c r="WRV256" s="2228"/>
      <c r="WRW256" s="2228"/>
      <c r="WRX256" s="2228"/>
      <c r="WRY256" s="2228"/>
      <c r="WRZ256" s="2228"/>
      <c r="WSA256" s="2228"/>
      <c r="WSB256" s="2228"/>
      <c r="WSC256" s="2228"/>
      <c r="WSD256" s="2228"/>
      <c r="WSE256" s="2228"/>
      <c r="WSF256" s="2228"/>
      <c r="WSG256" s="2227"/>
      <c r="WSH256" s="2228"/>
      <c r="WSI256" s="2228"/>
      <c r="WSJ256" s="2228"/>
      <c r="WSK256" s="2228"/>
      <c r="WSL256" s="2228"/>
      <c r="WSM256" s="2228"/>
      <c r="WSN256" s="2228"/>
      <c r="WSO256" s="2228"/>
      <c r="WSP256" s="2228"/>
      <c r="WSQ256" s="2228"/>
      <c r="WSR256" s="2228"/>
      <c r="WSS256" s="2228"/>
      <c r="WST256" s="2228"/>
      <c r="WSU256" s="2228"/>
      <c r="WSV256" s="2228"/>
      <c r="WSW256" s="2227"/>
      <c r="WSX256" s="2228"/>
      <c r="WSY256" s="2228"/>
      <c r="WSZ256" s="2228"/>
      <c r="WTA256" s="2228"/>
      <c r="WTB256" s="2228"/>
      <c r="WTC256" s="2228"/>
      <c r="WTD256" s="2228"/>
      <c r="WTE256" s="2228"/>
      <c r="WTF256" s="2228"/>
      <c r="WTG256" s="2228"/>
      <c r="WTH256" s="2228"/>
      <c r="WTI256" s="2228"/>
      <c r="WTJ256" s="2228"/>
      <c r="WTK256" s="2228"/>
      <c r="WTL256" s="2228"/>
      <c r="WTM256" s="2227"/>
      <c r="WTN256" s="2228"/>
      <c r="WTO256" s="2228"/>
      <c r="WTP256" s="2228"/>
      <c r="WTQ256" s="2228"/>
      <c r="WTR256" s="2228"/>
      <c r="WTS256" s="2228"/>
      <c r="WTT256" s="2228"/>
      <c r="WTU256" s="2228"/>
      <c r="WTV256" s="2228"/>
      <c r="WTW256" s="2228"/>
      <c r="WTX256" s="2228"/>
      <c r="WTY256" s="2228"/>
      <c r="WTZ256" s="2228"/>
      <c r="WUA256" s="2228"/>
      <c r="WUB256" s="2228"/>
      <c r="WUC256" s="2227"/>
      <c r="WUD256" s="2228"/>
      <c r="WUE256" s="2228"/>
      <c r="WUF256" s="2228"/>
      <c r="WUG256" s="2228"/>
      <c r="WUH256" s="2228"/>
      <c r="WUI256" s="2228"/>
      <c r="WUJ256" s="2228"/>
      <c r="WUK256" s="2228"/>
      <c r="WUL256" s="2228"/>
      <c r="WUM256" s="2228"/>
      <c r="WUN256" s="2228"/>
      <c r="WUO256" s="2228"/>
      <c r="WUP256" s="2228"/>
      <c r="WUQ256" s="2228"/>
      <c r="WUR256" s="2228"/>
      <c r="WUS256" s="2227"/>
      <c r="WUT256" s="2228"/>
      <c r="WUU256" s="2228"/>
      <c r="WUV256" s="2228"/>
      <c r="WUW256" s="2228"/>
      <c r="WUX256" s="2228"/>
      <c r="WUY256" s="2228"/>
      <c r="WUZ256" s="2228"/>
      <c r="WVA256" s="2228"/>
      <c r="WVB256" s="2228"/>
      <c r="WVC256" s="2228"/>
      <c r="WVD256" s="2228"/>
      <c r="WVE256" s="2228"/>
      <c r="WVF256" s="2228"/>
      <c r="WVG256" s="2228"/>
      <c r="WVH256" s="2228"/>
      <c r="WVI256" s="2227"/>
      <c r="WVJ256" s="2228"/>
      <c r="WVK256" s="2228"/>
      <c r="WVL256" s="2228"/>
      <c r="WVM256" s="2228"/>
      <c r="WVN256" s="2228"/>
      <c r="WVO256" s="2228"/>
      <c r="WVP256" s="2228"/>
      <c r="WVQ256" s="2228"/>
      <c r="WVR256" s="2228"/>
      <c r="WVS256" s="2228"/>
      <c r="WVT256" s="2228"/>
      <c r="WVU256" s="2228"/>
      <c r="WVV256" s="2228"/>
      <c r="WVW256" s="2228"/>
      <c r="WVX256" s="2228"/>
      <c r="WVY256" s="2227"/>
      <c r="WVZ256" s="2228"/>
      <c r="WWA256" s="2228"/>
      <c r="WWB256" s="2228"/>
      <c r="WWC256" s="2228"/>
      <c r="WWD256" s="2228"/>
      <c r="WWE256" s="2228"/>
      <c r="WWF256" s="2228"/>
      <c r="WWG256" s="2228"/>
      <c r="WWH256" s="2228"/>
      <c r="WWI256" s="2228"/>
      <c r="WWJ256" s="2228"/>
      <c r="WWK256" s="2228"/>
      <c r="WWL256" s="2228"/>
      <c r="WWM256" s="2228"/>
      <c r="WWN256" s="2228"/>
      <c r="WWO256" s="2227"/>
      <c r="WWP256" s="2228"/>
      <c r="WWQ256" s="2228"/>
      <c r="WWR256" s="2228"/>
      <c r="WWS256" s="2228"/>
      <c r="WWT256" s="2228"/>
      <c r="WWU256" s="2228"/>
      <c r="WWV256" s="2228"/>
      <c r="WWW256" s="2228"/>
      <c r="WWX256" s="2228"/>
      <c r="WWY256" s="2228"/>
      <c r="WWZ256" s="2228"/>
      <c r="WXA256" s="2228"/>
      <c r="WXB256" s="2228"/>
      <c r="WXC256" s="2228"/>
      <c r="WXD256" s="2228"/>
      <c r="WXE256" s="2227"/>
      <c r="WXF256" s="2228"/>
      <c r="WXG256" s="2228"/>
      <c r="WXH256" s="2228"/>
      <c r="WXI256" s="2228"/>
      <c r="WXJ256" s="2228"/>
      <c r="WXK256" s="2228"/>
      <c r="WXL256" s="2228"/>
      <c r="WXM256" s="2228"/>
      <c r="WXN256" s="2228"/>
      <c r="WXO256" s="2228"/>
      <c r="WXP256" s="2228"/>
      <c r="WXQ256" s="2228"/>
      <c r="WXR256" s="2228"/>
      <c r="WXS256" s="2228"/>
      <c r="WXT256" s="2228"/>
      <c r="WXU256" s="2227"/>
      <c r="WXV256" s="2228"/>
      <c r="WXW256" s="2228"/>
      <c r="WXX256" s="2228"/>
      <c r="WXY256" s="2228"/>
      <c r="WXZ256" s="2228"/>
      <c r="WYA256" s="2228"/>
      <c r="WYB256" s="2228"/>
      <c r="WYC256" s="2228"/>
      <c r="WYD256" s="2228"/>
      <c r="WYE256" s="2228"/>
      <c r="WYF256" s="2228"/>
      <c r="WYG256" s="2228"/>
      <c r="WYH256" s="2228"/>
      <c r="WYI256" s="2228"/>
      <c r="WYJ256" s="2228"/>
      <c r="WYK256" s="2227"/>
      <c r="WYL256" s="2228"/>
      <c r="WYM256" s="2228"/>
      <c r="WYN256" s="2228"/>
      <c r="WYO256" s="2228"/>
      <c r="WYP256" s="2228"/>
      <c r="WYQ256" s="2228"/>
      <c r="WYR256" s="2228"/>
      <c r="WYS256" s="2228"/>
      <c r="WYT256" s="2228"/>
      <c r="WYU256" s="2228"/>
      <c r="WYV256" s="2228"/>
      <c r="WYW256" s="2228"/>
      <c r="WYX256" s="2228"/>
      <c r="WYY256" s="2228"/>
      <c r="WYZ256" s="2228"/>
      <c r="WZA256" s="2227"/>
      <c r="WZB256" s="2228"/>
      <c r="WZC256" s="2228"/>
      <c r="WZD256" s="2228"/>
      <c r="WZE256" s="2228"/>
      <c r="WZF256" s="2228"/>
      <c r="WZG256" s="2228"/>
      <c r="WZH256" s="2228"/>
      <c r="WZI256" s="2228"/>
      <c r="WZJ256" s="2228"/>
      <c r="WZK256" s="2228"/>
      <c r="WZL256" s="2228"/>
      <c r="WZM256" s="2228"/>
      <c r="WZN256" s="2228"/>
      <c r="WZO256" s="2228"/>
      <c r="WZP256" s="2228"/>
      <c r="WZQ256" s="2227"/>
      <c r="WZR256" s="2228"/>
      <c r="WZS256" s="2228"/>
      <c r="WZT256" s="2228"/>
      <c r="WZU256" s="2228"/>
      <c r="WZV256" s="2228"/>
      <c r="WZW256" s="2228"/>
      <c r="WZX256" s="2228"/>
      <c r="WZY256" s="2228"/>
      <c r="WZZ256" s="2228"/>
      <c r="XAA256" s="2228"/>
      <c r="XAB256" s="2228"/>
      <c r="XAC256" s="2228"/>
      <c r="XAD256" s="2228"/>
      <c r="XAE256" s="2228"/>
      <c r="XAF256" s="2228"/>
      <c r="XAG256" s="2227"/>
      <c r="XAH256" s="2228"/>
      <c r="XAI256" s="2228"/>
      <c r="XAJ256" s="2228"/>
      <c r="XAK256" s="2228"/>
      <c r="XAL256" s="2228"/>
      <c r="XAM256" s="2228"/>
      <c r="XAN256" s="2228"/>
      <c r="XAO256" s="2228"/>
      <c r="XAP256" s="2228"/>
      <c r="XAQ256" s="2228"/>
      <c r="XAR256" s="2228"/>
      <c r="XAS256" s="2228"/>
      <c r="XAT256" s="2228"/>
      <c r="XAU256" s="2228"/>
      <c r="XAV256" s="2228"/>
      <c r="XAW256" s="2227"/>
      <c r="XAX256" s="2228"/>
      <c r="XAY256" s="2228"/>
      <c r="XAZ256" s="2228"/>
      <c r="XBA256" s="2228"/>
      <c r="XBB256" s="2228"/>
      <c r="XBC256" s="2228"/>
      <c r="XBD256" s="2228"/>
      <c r="XBE256" s="2228"/>
      <c r="XBF256" s="2228"/>
      <c r="XBG256" s="2228"/>
      <c r="XBH256" s="2228"/>
      <c r="XBI256" s="2228"/>
      <c r="XBJ256" s="2228"/>
      <c r="XBK256" s="2228"/>
      <c r="XBL256" s="2228"/>
      <c r="XBM256" s="2227"/>
      <c r="XBN256" s="2228"/>
      <c r="XBO256" s="2228"/>
      <c r="XBP256" s="2228"/>
      <c r="XBQ256" s="2228"/>
      <c r="XBR256" s="2228"/>
      <c r="XBS256" s="2228"/>
      <c r="XBT256" s="2228"/>
      <c r="XBU256" s="2228"/>
      <c r="XBV256" s="2228"/>
      <c r="XBW256" s="2228"/>
      <c r="XBX256" s="2228"/>
      <c r="XBY256" s="2228"/>
      <c r="XBZ256" s="2228"/>
      <c r="XCA256" s="2228"/>
      <c r="XCB256" s="2228"/>
      <c r="XCC256" s="2227"/>
      <c r="XCD256" s="2228"/>
      <c r="XCE256" s="2228"/>
      <c r="XCF256" s="2228"/>
      <c r="XCG256" s="2228"/>
      <c r="XCH256" s="2228"/>
      <c r="XCI256" s="2228"/>
      <c r="XCJ256" s="2228"/>
      <c r="XCK256" s="2228"/>
      <c r="XCL256" s="2228"/>
      <c r="XCM256" s="2228"/>
      <c r="XCN256" s="2228"/>
      <c r="XCO256" s="2228"/>
      <c r="XCP256" s="2228"/>
      <c r="XCQ256" s="2228"/>
      <c r="XCR256" s="2228"/>
      <c r="XCS256" s="2227"/>
      <c r="XCT256" s="2228"/>
      <c r="XCU256" s="2228"/>
      <c r="XCV256" s="2228"/>
      <c r="XCW256" s="2228"/>
      <c r="XCX256" s="2228"/>
      <c r="XCY256" s="2228"/>
      <c r="XCZ256" s="2228"/>
      <c r="XDA256" s="2228"/>
      <c r="XDB256" s="2228"/>
      <c r="XDC256" s="2228"/>
      <c r="XDD256" s="2228"/>
      <c r="XDE256" s="2228"/>
      <c r="XDF256" s="2228"/>
      <c r="XDG256" s="2228"/>
      <c r="XDH256" s="2228"/>
      <c r="XDI256" s="2227"/>
      <c r="XDJ256" s="2228"/>
      <c r="XDK256" s="2228"/>
      <c r="XDL256" s="2228"/>
      <c r="XDM256" s="2228"/>
      <c r="XDN256" s="2228"/>
      <c r="XDO256" s="2228"/>
      <c r="XDP256" s="2228"/>
      <c r="XDQ256" s="2228"/>
      <c r="XDR256" s="2228"/>
      <c r="XDS256" s="2228"/>
      <c r="XDT256" s="2228"/>
      <c r="XDU256" s="2228"/>
      <c r="XDV256" s="2228"/>
      <c r="XDW256" s="2228"/>
      <c r="XDX256" s="2228"/>
      <c r="XDY256" s="2227"/>
      <c r="XDZ256" s="2228"/>
      <c r="XEA256" s="2228"/>
      <c r="XEB256" s="2228"/>
      <c r="XEC256" s="2228"/>
      <c r="XED256" s="2228"/>
      <c r="XEE256" s="2228"/>
      <c r="XEF256" s="2228"/>
      <c r="XEG256" s="2228"/>
      <c r="XEH256" s="2228"/>
      <c r="XEI256" s="2228"/>
      <c r="XEJ256" s="2228"/>
      <c r="XEK256" s="2228"/>
      <c r="XEL256" s="2228"/>
      <c r="XEM256" s="2228"/>
      <c r="XEN256" s="2228"/>
      <c r="XEO256" s="2227"/>
      <c r="XEP256" s="2228"/>
      <c r="XEQ256" s="2228"/>
      <c r="XER256" s="2228"/>
      <c r="XES256" s="2228"/>
      <c r="XET256" s="2228"/>
      <c r="XEU256" s="2228"/>
      <c r="XEV256" s="2228"/>
      <c r="XEW256" s="2228"/>
      <c r="XEX256" s="2228"/>
      <c r="XEY256" s="2228"/>
      <c r="XEZ256" s="2228"/>
      <c r="XFA256" s="2228"/>
      <c r="XFB256" s="2228"/>
      <c r="XFC256" s="2228"/>
      <c r="XFD256" s="2228"/>
    </row>
    <row r="257" spans="2:16" s="126" customFormat="1">
      <c r="B257" s="1649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2:16" s="126" customFormat="1"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2:16" s="126" customFormat="1"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2:16" s="126" customFormat="1">
      <c r="B260" s="1539"/>
      <c r="C260" s="1539"/>
      <c r="D260" s="1539"/>
      <c r="E260" s="1539"/>
      <c r="F260" s="1539"/>
      <c r="G260" s="1539"/>
      <c r="H260" s="1539"/>
      <c r="I260" s="1539"/>
      <c r="J260" s="1539"/>
      <c r="K260" s="1539"/>
      <c r="L260" s="1539"/>
      <c r="M260" s="1539"/>
      <c r="N260" s="1539"/>
      <c r="O260" s="1539"/>
      <c r="P260" s="1539"/>
    </row>
    <row r="261" spans="2:16" s="126" customFormat="1"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2:16" s="126" customFormat="1"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2:16" s="126" customFormat="1"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2:16" s="126" customFormat="1"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2:16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2:16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2:16" s="126" customFormat="1"/>
    <row r="268" spans="2:16" s="126" customFormat="1"/>
    <row r="269" spans="2:16" s="126" customFormat="1"/>
    <row r="270" spans="2:16" s="126" customFormat="1"/>
    <row r="271" spans="2:16" s="126" customFormat="1"/>
    <row r="272" spans="2:16" s="126" customFormat="1"/>
    <row r="273" spans="18:18" s="126" customFormat="1">
      <c r="R273" s="242"/>
    </row>
  </sheetData>
  <mergeCells count="1030">
    <mergeCell ref="RM256:SB256"/>
    <mergeCell ref="A2:P2"/>
    <mergeCell ref="A3:P3"/>
    <mergeCell ref="A253:P253"/>
    <mergeCell ref="A254:P254"/>
    <mergeCell ref="A255:P255"/>
    <mergeCell ref="A256:P256"/>
    <mergeCell ref="A252:P252"/>
    <mergeCell ref="Q256:AF256"/>
    <mergeCell ref="AG256:AV256"/>
    <mergeCell ref="AW256:BL256"/>
    <mergeCell ref="BM256:CB256"/>
    <mergeCell ref="CC256:CR256"/>
    <mergeCell ref="CS256:DH256"/>
    <mergeCell ref="DI256:DX256"/>
    <mergeCell ref="DY256:EN256"/>
    <mergeCell ref="EO256:FD256"/>
    <mergeCell ref="FE256:FT256"/>
    <mergeCell ref="FU256:GJ256"/>
    <mergeCell ref="GK256:GZ256"/>
    <mergeCell ref="HA256:HP256"/>
    <mergeCell ref="HQ256:IF256"/>
    <mergeCell ref="IG256:IV256"/>
    <mergeCell ref="IW256:JL256"/>
    <mergeCell ref="JM256:KB256"/>
    <mergeCell ref="KC256:KR256"/>
    <mergeCell ref="KS256:LH256"/>
    <mergeCell ref="LI256:LX256"/>
    <mergeCell ref="LY256:MN256"/>
    <mergeCell ref="MO256:ND256"/>
    <mergeCell ref="NE256:NT256"/>
    <mergeCell ref="NU256:OJ256"/>
    <mergeCell ref="OK256:OZ256"/>
    <mergeCell ref="PA256:PP256"/>
    <mergeCell ref="PQ256:QF256"/>
    <mergeCell ref="QG256:QV256"/>
    <mergeCell ref="QW256:RL256"/>
    <mergeCell ref="ANQ256:AOF256"/>
    <mergeCell ref="SC256:SR256"/>
    <mergeCell ref="SS256:TH256"/>
    <mergeCell ref="TI256:TX256"/>
    <mergeCell ref="TY256:UN256"/>
    <mergeCell ref="UO256:VD256"/>
    <mergeCell ref="VE256:VT256"/>
    <mergeCell ref="VU256:WJ256"/>
    <mergeCell ref="WK256:WZ256"/>
    <mergeCell ref="XA256:XP256"/>
    <mergeCell ref="XQ256:YF256"/>
    <mergeCell ref="YG256:YV256"/>
    <mergeCell ref="YW256:ZL256"/>
    <mergeCell ref="ZM256:AAB256"/>
    <mergeCell ref="AAC256:AAR256"/>
    <mergeCell ref="AAS256:ABH256"/>
    <mergeCell ref="ABI256:ABX256"/>
    <mergeCell ref="ABY256:ACN256"/>
    <mergeCell ref="ACO256:ADD256"/>
    <mergeCell ref="ADE256:ADT256"/>
    <mergeCell ref="ADU256:AEJ256"/>
    <mergeCell ref="AEK256:AEZ256"/>
    <mergeCell ref="AFA256:AFP256"/>
    <mergeCell ref="AFQ256:AGF256"/>
    <mergeCell ref="AGG256:AGV256"/>
    <mergeCell ref="AGW256:AHL256"/>
    <mergeCell ref="AHM256:AIB256"/>
    <mergeCell ref="AIC256:AIR256"/>
    <mergeCell ref="AIS256:AJH256"/>
    <mergeCell ref="AJI256:AJX256"/>
    <mergeCell ref="AJY256:AKN256"/>
    <mergeCell ref="AKO256:ALD256"/>
    <mergeCell ref="ALE256:ALT256"/>
    <mergeCell ref="ALU256:AMJ256"/>
    <mergeCell ref="AMK256:AMZ256"/>
    <mergeCell ref="ANA256:ANP256"/>
    <mergeCell ref="BJU256:BKJ256"/>
    <mergeCell ref="AOG256:AOV256"/>
    <mergeCell ref="AOW256:APL256"/>
    <mergeCell ref="APM256:AQB256"/>
    <mergeCell ref="AQC256:AQR256"/>
    <mergeCell ref="AQS256:ARH256"/>
    <mergeCell ref="ARI256:ARX256"/>
    <mergeCell ref="ARY256:ASN256"/>
    <mergeCell ref="ASO256:ATD256"/>
    <mergeCell ref="ATE256:ATT256"/>
    <mergeCell ref="ATU256:AUJ256"/>
    <mergeCell ref="AUK256:AUZ256"/>
    <mergeCell ref="AVA256:AVP256"/>
    <mergeCell ref="AVQ256:AWF256"/>
    <mergeCell ref="AWG256:AWV256"/>
    <mergeCell ref="AWW256:AXL256"/>
    <mergeCell ref="AXM256:AYB256"/>
    <mergeCell ref="AYC256:AYR256"/>
    <mergeCell ref="AYS256:AZH256"/>
    <mergeCell ref="AZI256:AZX256"/>
    <mergeCell ref="AZY256:BAN256"/>
    <mergeCell ref="BAO256:BBD256"/>
    <mergeCell ref="BBE256:BBT256"/>
    <mergeCell ref="BBU256:BCJ256"/>
    <mergeCell ref="BCK256:BCZ256"/>
    <mergeCell ref="BDA256:BDP256"/>
    <mergeCell ref="BDQ256:BEF256"/>
    <mergeCell ref="BEG256:BEV256"/>
    <mergeCell ref="BEW256:BFL256"/>
    <mergeCell ref="BFM256:BGB256"/>
    <mergeCell ref="BGC256:BGR256"/>
    <mergeCell ref="BGS256:BHH256"/>
    <mergeCell ref="BHI256:BHX256"/>
    <mergeCell ref="BHY256:BIN256"/>
    <mergeCell ref="BIO256:BJD256"/>
    <mergeCell ref="BJE256:BJT256"/>
    <mergeCell ref="CFY256:CGN256"/>
    <mergeCell ref="BKK256:BKZ256"/>
    <mergeCell ref="BLA256:BLP256"/>
    <mergeCell ref="BLQ256:BMF256"/>
    <mergeCell ref="BMG256:BMV256"/>
    <mergeCell ref="BMW256:BNL256"/>
    <mergeCell ref="BNM256:BOB256"/>
    <mergeCell ref="BOC256:BOR256"/>
    <mergeCell ref="BOS256:BPH256"/>
    <mergeCell ref="BPI256:BPX256"/>
    <mergeCell ref="BPY256:BQN256"/>
    <mergeCell ref="BQO256:BRD256"/>
    <mergeCell ref="BRE256:BRT256"/>
    <mergeCell ref="BRU256:BSJ256"/>
    <mergeCell ref="BSK256:BSZ256"/>
    <mergeCell ref="BTA256:BTP256"/>
    <mergeCell ref="BTQ256:BUF256"/>
    <mergeCell ref="BUG256:BUV256"/>
    <mergeCell ref="BUW256:BVL256"/>
    <mergeCell ref="BVM256:BWB256"/>
    <mergeCell ref="BWC256:BWR256"/>
    <mergeCell ref="BWS256:BXH256"/>
    <mergeCell ref="BXI256:BXX256"/>
    <mergeCell ref="BXY256:BYN256"/>
    <mergeCell ref="BYO256:BZD256"/>
    <mergeCell ref="BZE256:BZT256"/>
    <mergeCell ref="BZU256:CAJ256"/>
    <mergeCell ref="CAK256:CAZ256"/>
    <mergeCell ref="CBA256:CBP256"/>
    <mergeCell ref="CBQ256:CCF256"/>
    <mergeCell ref="CCG256:CCV256"/>
    <mergeCell ref="CCW256:CDL256"/>
    <mergeCell ref="CDM256:CEB256"/>
    <mergeCell ref="CEC256:CER256"/>
    <mergeCell ref="CES256:CFH256"/>
    <mergeCell ref="CFI256:CFX256"/>
    <mergeCell ref="DCC256:DCR256"/>
    <mergeCell ref="CGO256:CHD256"/>
    <mergeCell ref="CHE256:CHT256"/>
    <mergeCell ref="CHU256:CIJ256"/>
    <mergeCell ref="CIK256:CIZ256"/>
    <mergeCell ref="CJA256:CJP256"/>
    <mergeCell ref="CJQ256:CKF256"/>
    <mergeCell ref="CKG256:CKV256"/>
    <mergeCell ref="CKW256:CLL256"/>
    <mergeCell ref="CLM256:CMB256"/>
    <mergeCell ref="CMC256:CMR256"/>
    <mergeCell ref="CMS256:CNH256"/>
    <mergeCell ref="CNI256:CNX256"/>
    <mergeCell ref="CNY256:CON256"/>
    <mergeCell ref="COO256:CPD256"/>
    <mergeCell ref="CPE256:CPT256"/>
    <mergeCell ref="CPU256:CQJ256"/>
    <mergeCell ref="CQK256:CQZ256"/>
    <mergeCell ref="CRA256:CRP256"/>
    <mergeCell ref="CRQ256:CSF256"/>
    <mergeCell ref="CSG256:CSV256"/>
    <mergeCell ref="CSW256:CTL256"/>
    <mergeCell ref="CTM256:CUB256"/>
    <mergeCell ref="CUC256:CUR256"/>
    <mergeCell ref="CUS256:CVH256"/>
    <mergeCell ref="CVI256:CVX256"/>
    <mergeCell ref="CVY256:CWN256"/>
    <mergeCell ref="CWO256:CXD256"/>
    <mergeCell ref="CXE256:CXT256"/>
    <mergeCell ref="CXU256:CYJ256"/>
    <mergeCell ref="CYK256:CYZ256"/>
    <mergeCell ref="CZA256:CZP256"/>
    <mergeCell ref="CZQ256:DAF256"/>
    <mergeCell ref="DAG256:DAV256"/>
    <mergeCell ref="DAW256:DBL256"/>
    <mergeCell ref="DBM256:DCB256"/>
    <mergeCell ref="DYG256:DYV256"/>
    <mergeCell ref="DCS256:DDH256"/>
    <mergeCell ref="DDI256:DDX256"/>
    <mergeCell ref="DDY256:DEN256"/>
    <mergeCell ref="DEO256:DFD256"/>
    <mergeCell ref="DFE256:DFT256"/>
    <mergeCell ref="DFU256:DGJ256"/>
    <mergeCell ref="DGK256:DGZ256"/>
    <mergeCell ref="DHA256:DHP256"/>
    <mergeCell ref="DHQ256:DIF256"/>
    <mergeCell ref="DIG256:DIV256"/>
    <mergeCell ref="DIW256:DJL256"/>
    <mergeCell ref="DJM256:DKB256"/>
    <mergeCell ref="DKC256:DKR256"/>
    <mergeCell ref="DKS256:DLH256"/>
    <mergeCell ref="DLI256:DLX256"/>
    <mergeCell ref="DLY256:DMN256"/>
    <mergeCell ref="DMO256:DND256"/>
    <mergeCell ref="DNE256:DNT256"/>
    <mergeCell ref="DNU256:DOJ256"/>
    <mergeCell ref="DOK256:DOZ256"/>
    <mergeCell ref="DPA256:DPP256"/>
    <mergeCell ref="DPQ256:DQF256"/>
    <mergeCell ref="DQG256:DQV256"/>
    <mergeCell ref="DQW256:DRL256"/>
    <mergeCell ref="DRM256:DSB256"/>
    <mergeCell ref="DSC256:DSR256"/>
    <mergeCell ref="DSS256:DTH256"/>
    <mergeCell ref="DTI256:DTX256"/>
    <mergeCell ref="DTY256:DUN256"/>
    <mergeCell ref="DUO256:DVD256"/>
    <mergeCell ref="DVE256:DVT256"/>
    <mergeCell ref="DVU256:DWJ256"/>
    <mergeCell ref="DWK256:DWZ256"/>
    <mergeCell ref="DXA256:DXP256"/>
    <mergeCell ref="DXQ256:DYF256"/>
    <mergeCell ref="EUK256:EUZ256"/>
    <mergeCell ref="DYW256:DZL256"/>
    <mergeCell ref="DZM256:EAB256"/>
    <mergeCell ref="EAC256:EAR256"/>
    <mergeCell ref="EAS256:EBH256"/>
    <mergeCell ref="EBI256:EBX256"/>
    <mergeCell ref="EBY256:ECN256"/>
    <mergeCell ref="ECO256:EDD256"/>
    <mergeCell ref="EDE256:EDT256"/>
    <mergeCell ref="EDU256:EEJ256"/>
    <mergeCell ref="EEK256:EEZ256"/>
    <mergeCell ref="EFA256:EFP256"/>
    <mergeCell ref="EFQ256:EGF256"/>
    <mergeCell ref="EGG256:EGV256"/>
    <mergeCell ref="EGW256:EHL256"/>
    <mergeCell ref="EHM256:EIB256"/>
    <mergeCell ref="EIC256:EIR256"/>
    <mergeCell ref="EIS256:EJH256"/>
    <mergeCell ref="EJI256:EJX256"/>
    <mergeCell ref="EJY256:EKN256"/>
    <mergeCell ref="EKO256:ELD256"/>
    <mergeCell ref="ELE256:ELT256"/>
    <mergeCell ref="ELU256:EMJ256"/>
    <mergeCell ref="EMK256:EMZ256"/>
    <mergeCell ref="ENA256:ENP256"/>
    <mergeCell ref="ENQ256:EOF256"/>
    <mergeCell ref="EOG256:EOV256"/>
    <mergeCell ref="EOW256:EPL256"/>
    <mergeCell ref="EPM256:EQB256"/>
    <mergeCell ref="EQC256:EQR256"/>
    <mergeCell ref="EQS256:ERH256"/>
    <mergeCell ref="ERI256:ERX256"/>
    <mergeCell ref="ERY256:ESN256"/>
    <mergeCell ref="ESO256:ETD256"/>
    <mergeCell ref="ETE256:ETT256"/>
    <mergeCell ref="ETU256:EUJ256"/>
    <mergeCell ref="FQO256:FRD256"/>
    <mergeCell ref="EVA256:EVP256"/>
    <mergeCell ref="EVQ256:EWF256"/>
    <mergeCell ref="EWG256:EWV256"/>
    <mergeCell ref="EWW256:EXL256"/>
    <mergeCell ref="EXM256:EYB256"/>
    <mergeCell ref="EYC256:EYR256"/>
    <mergeCell ref="EYS256:EZH256"/>
    <mergeCell ref="EZI256:EZX256"/>
    <mergeCell ref="EZY256:FAN256"/>
    <mergeCell ref="FAO256:FBD256"/>
    <mergeCell ref="FBE256:FBT256"/>
    <mergeCell ref="FBU256:FCJ256"/>
    <mergeCell ref="FCK256:FCZ256"/>
    <mergeCell ref="FDA256:FDP256"/>
    <mergeCell ref="FDQ256:FEF256"/>
    <mergeCell ref="FEG256:FEV256"/>
    <mergeCell ref="FEW256:FFL256"/>
    <mergeCell ref="FFM256:FGB256"/>
    <mergeCell ref="FGC256:FGR256"/>
    <mergeCell ref="FGS256:FHH256"/>
    <mergeCell ref="FHI256:FHX256"/>
    <mergeCell ref="FHY256:FIN256"/>
    <mergeCell ref="FIO256:FJD256"/>
    <mergeCell ref="FJE256:FJT256"/>
    <mergeCell ref="FJU256:FKJ256"/>
    <mergeCell ref="FKK256:FKZ256"/>
    <mergeCell ref="FLA256:FLP256"/>
    <mergeCell ref="FLQ256:FMF256"/>
    <mergeCell ref="FMG256:FMV256"/>
    <mergeCell ref="FMW256:FNL256"/>
    <mergeCell ref="FNM256:FOB256"/>
    <mergeCell ref="FOC256:FOR256"/>
    <mergeCell ref="FOS256:FPH256"/>
    <mergeCell ref="FPI256:FPX256"/>
    <mergeCell ref="FPY256:FQN256"/>
    <mergeCell ref="GMS256:GNH256"/>
    <mergeCell ref="FRE256:FRT256"/>
    <mergeCell ref="FRU256:FSJ256"/>
    <mergeCell ref="FSK256:FSZ256"/>
    <mergeCell ref="FTA256:FTP256"/>
    <mergeCell ref="FTQ256:FUF256"/>
    <mergeCell ref="FUG256:FUV256"/>
    <mergeCell ref="FUW256:FVL256"/>
    <mergeCell ref="FVM256:FWB256"/>
    <mergeCell ref="FWC256:FWR256"/>
    <mergeCell ref="FWS256:FXH256"/>
    <mergeCell ref="FXI256:FXX256"/>
    <mergeCell ref="FXY256:FYN256"/>
    <mergeCell ref="FYO256:FZD256"/>
    <mergeCell ref="FZE256:FZT256"/>
    <mergeCell ref="FZU256:GAJ256"/>
    <mergeCell ref="GAK256:GAZ256"/>
    <mergeCell ref="GBA256:GBP256"/>
    <mergeCell ref="GBQ256:GCF256"/>
    <mergeCell ref="GCG256:GCV256"/>
    <mergeCell ref="GCW256:GDL256"/>
    <mergeCell ref="GDM256:GEB256"/>
    <mergeCell ref="GEC256:GER256"/>
    <mergeCell ref="GES256:GFH256"/>
    <mergeCell ref="GFI256:GFX256"/>
    <mergeCell ref="GFY256:GGN256"/>
    <mergeCell ref="GGO256:GHD256"/>
    <mergeCell ref="GHE256:GHT256"/>
    <mergeCell ref="GHU256:GIJ256"/>
    <mergeCell ref="GIK256:GIZ256"/>
    <mergeCell ref="GJA256:GJP256"/>
    <mergeCell ref="GJQ256:GKF256"/>
    <mergeCell ref="GKG256:GKV256"/>
    <mergeCell ref="GKW256:GLL256"/>
    <mergeCell ref="GLM256:GMB256"/>
    <mergeCell ref="GMC256:GMR256"/>
    <mergeCell ref="HIW256:HJL256"/>
    <mergeCell ref="GNI256:GNX256"/>
    <mergeCell ref="GNY256:GON256"/>
    <mergeCell ref="GOO256:GPD256"/>
    <mergeCell ref="GPE256:GPT256"/>
    <mergeCell ref="GPU256:GQJ256"/>
    <mergeCell ref="GQK256:GQZ256"/>
    <mergeCell ref="GRA256:GRP256"/>
    <mergeCell ref="GRQ256:GSF256"/>
    <mergeCell ref="GSG256:GSV256"/>
    <mergeCell ref="GSW256:GTL256"/>
    <mergeCell ref="GTM256:GUB256"/>
    <mergeCell ref="GUC256:GUR256"/>
    <mergeCell ref="GUS256:GVH256"/>
    <mergeCell ref="GVI256:GVX256"/>
    <mergeCell ref="GVY256:GWN256"/>
    <mergeCell ref="GWO256:GXD256"/>
    <mergeCell ref="GXE256:GXT256"/>
    <mergeCell ref="GXU256:GYJ256"/>
    <mergeCell ref="GYK256:GYZ256"/>
    <mergeCell ref="GZA256:GZP256"/>
    <mergeCell ref="GZQ256:HAF256"/>
    <mergeCell ref="HAG256:HAV256"/>
    <mergeCell ref="HAW256:HBL256"/>
    <mergeCell ref="HBM256:HCB256"/>
    <mergeCell ref="HCC256:HCR256"/>
    <mergeCell ref="HCS256:HDH256"/>
    <mergeCell ref="HDI256:HDX256"/>
    <mergeCell ref="HDY256:HEN256"/>
    <mergeCell ref="HEO256:HFD256"/>
    <mergeCell ref="HFE256:HFT256"/>
    <mergeCell ref="HFU256:HGJ256"/>
    <mergeCell ref="HGK256:HGZ256"/>
    <mergeCell ref="HHA256:HHP256"/>
    <mergeCell ref="HHQ256:HIF256"/>
    <mergeCell ref="HIG256:HIV256"/>
    <mergeCell ref="IFA256:IFP256"/>
    <mergeCell ref="HJM256:HKB256"/>
    <mergeCell ref="HKC256:HKR256"/>
    <mergeCell ref="HKS256:HLH256"/>
    <mergeCell ref="HLI256:HLX256"/>
    <mergeCell ref="HLY256:HMN256"/>
    <mergeCell ref="HMO256:HND256"/>
    <mergeCell ref="HNE256:HNT256"/>
    <mergeCell ref="HNU256:HOJ256"/>
    <mergeCell ref="HOK256:HOZ256"/>
    <mergeCell ref="HPA256:HPP256"/>
    <mergeCell ref="HPQ256:HQF256"/>
    <mergeCell ref="HQG256:HQV256"/>
    <mergeCell ref="HQW256:HRL256"/>
    <mergeCell ref="HRM256:HSB256"/>
    <mergeCell ref="HSC256:HSR256"/>
    <mergeCell ref="HSS256:HTH256"/>
    <mergeCell ref="HTI256:HTX256"/>
    <mergeCell ref="HTY256:HUN256"/>
    <mergeCell ref="HUO256:HVD256"/>
    <mergeCell ref="HVE256:HVT256"/>
    <mergeCell ref="HVU256:HWJ256"/>
    <mergeCell ref="HWK256:HWZ256"/>
    <mergeCell ref="HXA256:HXP256"/>
    <mergeCell ref="HXQ256:HYF256"/>
    <mergeCell ref="HYG256:HYV256"/>
    <mergeCell ref="HYW256:HZL256"/>
    <mergeCell ref="HZM256:IAB256"/>
    <mergeCell ref="IAC256:IAR256"/>
    <mergeCell ref="IAS256:IBH256"/>
    <mergeCell ref="IBI256:IBX256"/>
    <mergeCell ref="IBY256:ICN256"/>
    <mergeCell ref="ICO256:IDD256"/>
    <mergeCell ref="IDE256:IDT256"/>
    <mergeCell ref="IDU256:IEJ256"/>
    <mergeCell ref="IEK256:IEZ256"/>
    <mergeCell ref="JBE256:JBT256"/>
    <mergeCell ref="IFQ256:IGF256"/>
    <mergeCell ref="IGG256:IGV256"/>
    <mergeCell ref="IGW256:IHL256"/>
    <mergeCell ref="IHM256:IIB256"/>
    <mergeCell ref="IIC256:IIR256"/>
    <mergeCell ref="IIS256:IJH256"/>
    <mergeCell ref="IJI256:IJX256"/>
    <mergeCell ref="IJY256:IKN256"/>
    <mergeCell ref="IKO256:ILD256"/>
    <mergeCell ref="ILE256:ILT256"/>
    <mergeCell ref="ILU256:IMJ256"/>
    <mergeCell ref="IMK256:IMZ256"/>
    <mergeCell ref="INA256:INP256"/>
    <mergeCell ref="INQ256:IOF256"/>
    <mergeCell ref="IOG256:IOV256"/>
    <mergeCell ref="IOW256:IPL256"/>
    <mergeCell ref="IPM256:IQB256"/>
    <mergeCell ref="IQC256:IQR256"/>
    <mergeCell ref="IQS256:IRH256"/>
    <mergeCell ref="IRI256:IRX256"/>
    <mergeCell ref="IRY256:ISN256"/>
    <mergeCell ref="ISO256:ITD256"/>
    <mergeCell ref="ITE256:ITT256"/>
    <mergeCell ref="ITU256:IUJ256"/>
    <mergeCell ref="IUK256:IUZ256"/>
    <mergeCell ref="IVA256:IVP256"/>
    <mergeCell ref="IVQ256:IWF256"/>
    <mergeCell ref="IWG256:IWV256"/>
    <mergeCell ref="IWW256:IXL256"/>
    <mergeCell ref="IXM256:IYB256"/>
    <mergeCell ref="IYC256:IYR256"/>
    <mergeCell ref="IYS256:IZH256"/>
    <mergeCell ref="IZI256:IZX256"/>
    <mergeCell ref="IZY256:JAN256"/>
    <mergeCell ref="JAO256:JBD256"/>
    <mergeCell ref="JXI256:JXX256"/>
    <mergeCell ref="JBU256:JCJ256"/>
    <mergeCell ref="JCK256:JCZ256"/>
    <mergeCell ref="JDA256:JDP256"/>
    <mergeCell ref="JDQ256:JEF256"/>
    <mergeCell ref="JEG256:JEV256"/>
    <mergeCell ref="JEW256:JFL256"/>
    <mergeCell ref="JFM256:JGB256"/>
    <mergeCell ref="JGC256:JGR256"/>
    <mergeCell ref="JGS256:JHH256"/>
    <mergeCell ref="JHI256:JHX256"/>
    <mergeCell ref="JHY256:JIN256"/>
    <mergeCell ref="JIO256:JJD256"/>
    <mergeCell ref="JJE256:JJT256"/>
    <mergeCell ref="JJU256:JKJ256"/>
    <mergeCell ref="JKK256:JKZ256"/>
    <mergeCell ref="JLA256:JLP256"/>
    <mergeCell ref="JLQ256:JMF256"/>
    <mergeCell ref="JMG256:JMV256"/>
    <mergeCell ref="JMW256:JNL256"/>
    <mergeCell ref="JNM256:JOB256"/>
    <mergeCell ref="JOC256:JOR256"/>
    <mergeCell ref="JOS256:JPH256"/>
    <mergeCell ref="JPI256:JPX256"/>
    <mergeCell ref="JPY256:JQN256"/>
    <mergeCell ref="JQO256:JRD256"/>
    <mergeCell ref="JRE256:JRT256"/>
    <mergeCell ref="JRU256:JSJ256"/>
    <mergeCell ref="JSK256:JSZ256"/>
    <mergeCell ref="JTA256:JTP256"/>
    <mergeCell ref="JTQ256:JUF256"/>
    <mergeCell ref="JUG256:JUV256"/>
    <mergeCell ref="JUW256:JVL256"/>
    <mergeCell ref="JVM256:JWB256"/>
    <mergeCell ref="JWC256:JWR256"/>
    <mergeCell ref="JWS256:JXH256"/>
    <mergeCell ref="KTM256:KUB256"/>
    <mergeCell ref="JXY256:JYN256"/>
    <mergeCell ref="JYO256:JZD256"/>
    <mergeCell ref="JZE256:JZT256"/>
    <mergeCell ref="JZU256:KAJ256"/>
    <mergeCell ref="KAK256:KAZ256"/>
    <mergeCell ref="KBA256:KBP256"/>
    <mergeCell ref="KBQ256:KCF256"/>
    <mergeCell ref="KCG256:KCV256"/>
    <mergeCell ref="KCW256:KDL256"/>
    <mergeCell ref="KDM256:KEB256"/>
    <mergeCell ref="KEC256:KER256"/>
    <mergeCell ref="KES256:KFH256"/>
    <mergeCell ref="KFI256:KFX256"/>
    <mergeCell ref="KFY256:KGN256"/>
    <mergeCell ref="KGO256:KHD256"/>
    <mergeCell ref="KHE256:KHT256"/>
    <mergeCell ref="KHU256:KIJ256"/>
    <mergeCell ref="KIK256:KIZ256"/>
    <mergeCell ref="KJA256:KJP256"/>
    <mergeCell ref="KJQ256:KKF256"/>
    <mergeCell ref="KKG256:KKV256"/>
    <mergeCell ref="KKW256:KLL256"/>
    <mergeCell ref="KLM256:KMB256"/>
    <mergeCell ref="KMC256:KMR256"/>
    <mergeCell ref="KMS256:KNH256"/>
    <mergeCell ref="KNI256:KNX256"/>
    <mergeCell ref="KNY256:KON256"/>
    <mergeCell ref="KOO256:KPD256"/>
    <mergeCell ref="KPE256:KPT256"/>
    <mergeCell ref="KPU256:KQJ256"/>
    <mergeCell ref="KQK256:KQZ256"/>
    <mergeCell ref="KRA256:KRP256"/>
    <mergeCell ref="KRQ256:KSF256"/>
    <mergeCell ref="KSG256:KSV256"/>
    <mergeCell ref="KSW256:KTL256"/>
    <mergeCell ref="LPQ256:LQF256"/>
    <mergeCell ref="KUC256:KUR256"/>
    <mergeCell ref="KUS256:KVH256"/>
    <mergeCell ref="KVI256:KVX256"/>
    <mergeCell ref="KVY256:KWN256"/>
    <mergeCell ref="KWO256:KXD256"/>
    <mergeCell ref="KXE256:KXT256"/>
    <mergeCell ref="KXU256:KYJ256"/>
    <mergeCell ref="KYK256:KYZ256"/>
    <mergeCell ref="KZA256:KZP256"/>
    <mergeCell ref="KZQ256:LAF256"/>
    <mergeCell ref="LAG256:LAV256"/>
    <mergeCell ref="LAW256:LBL256"/>
    <mergeCell ref="LBM256:LCB256"/>
    <mergeCell ref="LCC256:LCR256"/>
    <mergeCell ref="LCS256:LDH256"/>
    <mergeCell ref="LDI256:LDX256"/>
    <mergeCell ref="LDY256:LEN256"/>
    <mergeCell ref="LEO256:LFD256"/>
    <mergeCell ref="LFE256:LFT256"/>
    <mergeCell ref="LFU256:LGJ256"/>
    <mergeCell ref="LGK256:LGZ256"/>
    <mergeCell ref="LHA256:LHP256"/>
    <mergeCell ref="LHQ256:LIF256"/>
    <mergeCell ref="LIG256:LIV256"/>
    <mergeCell ref="LIW256:LJL256"/>
    <mergeCell ref="LJM256:LKB256"/>
    <mergeCell ref="LKC256:LKR256"/>
    <mergeCell ref="LKS256:LLH256"/>
    <mergeCell ref="LLI256:LLX256"/>
    <mergeCell ref="LLY256:LMN256"/>
    <mergeCell ref="LMO256:LND256"/>
    <mergeCell ref="LNE256:LNT256"/>
    <mergeCell ref="LNU256:LOJ256"/>
    <mergeCell ref="LOK256:LOZ256"/>
    <mergeCell ref="LPA256:LPP256"/>
    <mergeCell ref="MLU256:MMJ256"/>
    <mergeCell ref="LQG256:LQV256"/>
    <mergeCell ref="LQW256:LRL256"/>
    <mergeCell ref="LRM256:LSB256"/>
    <mergeCell ref="LSC256:LSR256"/>
    <mergeCell ref="LSS256:LTH256"/>
    <mergeCell ref="LTI256:LTX256"/>
    <mergeCell ref="LTY256:LUN256"/>
    <mergeCell ref="LUO256:LVD256"/>
    <mergeCell ref="LVE256:LVT256"/>
    <mergeCell ref="LVU256:LWJ256"/>
    <mergeCell ref="LWK256:LWZ256"/>
    <mergeCell ref="LXA256:LXP256"/>
    <mergeCell ref="LXQ256:LYF256"/>
    <mergeCell ref="LYG256:LYV256"/>
    <mergeCell ref="LYW256:LZL256"/>
    <mergeCell ref="LZM256:MAB256"/>
    <mergeCell ref="MAC256:MAR256"/>
    <mergeCell ref="MAS256:MBH256"/>
    <mergeCell ref="MBI256:MBX256"/>
    <mergeCell ref="MBY256:MCN256"/>
    <mergeCell ref="MCO256:MDD256"/>
    <mergeCell ref="MDE256:MDT256"/>
    <mergeCell ref="MDU256:MEJ256"/>
    <mergeCell ref="MEK256:MEZ256"/>
    <mergeCell ref="MFA256:MFP256"/>
    <mergeCell ref="MFQ256:MGF256"/>
    <mergeCell ref="MGG256:MGV256"/>
    <mergeCell ref="MGW256:MHL256"/>
    <mergeCell ref="MHM256:MIB256"/>
    <mergeCell ref="MIC256:MIR256"/>
    <mergeCell ref="MIS256:MJH256"/>
    <mergeCell ref="MJI256:MJX256"/>
    <mergeCell ref="MJY256:MKN256"/>
    <mergeCell ref="MKO256:MLD256"/>
    <mergeCell ref="MLE256:MLT256"/>
    <mergeCell ref="NHY256:NIN256"/>
    <mergeCell ref="MMK256:MMZ256"/>
    <mergeCell ref="MNA256:MNP256"/>
    <mergeCell ref="MNQ256:MOF256"/>
    <mergeCell ref="MOG256:MOV256"/>
    <mergeCell ref="MOW256:MPL256"/>
    <mergeCell ref="MPM256:MQB256"/>
    <mergeCell ref="MQC256:MQR256"/>
    <mergeCell ref="MQS256:MRH256"/>
    <mergeCell ref="MRI256:MRX256"/>
    <mergeCell ref="MRY256:MSN256"/>
    <mergeCell ref="MSO256:MTD256"/>
    <mergeCell ref="MTE256:MTT256"/>
    <mergeCell ref="MTU256:MUJ256"/>
    <mergeCell ref="MUK256:MUZ256"/>
    <mergeCell ref="MVA256:MVP256"/>
    <mergeCell ref="MVQ256:MWF256"/>
    <mergeCell ref="MWG256:MWV256"/>
    <mergeCell ref="MWW256:MXL256"/>
    <mergeCell ref="MXM256:MYB256"/>
    <mergeCell ref="MYC256:MYR256"/>
    <mergeCell ref="MYS256:MZH256"/>
    <mergeCell ref="MZI256:MZX256"/>
    <mergeCell ref="MZY256:NAN256"/>
    <mergeCell ref="NAO256:NBD256"/>
    <mergeCell ref="NBE256:NBT256"/>
    <mergeCell ref="NBU256:NCJ256"/>
    <mergeCell ref="NCK256:NCZ256"/>
    <mergeCell ref="NDA256:NDP256"/>
    <mergeCell ref="NDQ256:NEF256"/>
    <mergeCell ref="NEG256:NEV256"/>
    <mergeCell ref="NEW256:NFL256"/>
    <mergeCell ref="NFM256:NGB256"/>
    <mergeCell ref="NGC256:NGR256"/>
    <mergeCell ref="NGS256:NHH256"/>
    <mergeCell ref="NHI256:NHX256"/>
    <mergeCell ref="OEC256:OER256"/>
    <mergeCell ref="NIO256:NJD256"/>
    <mergeCell ref="NJE256:NJT256"/>
    <mergeCell ref="NJU256:NKJ256"/>
    <mergeCell ref="NKK256:NKZ256"/>
    <mergeCell ref="NLA256:NLP256"/>
    <mergeCell ref="NLQ256:NMF256"/>
    <mergeCell ref="NMG256:NMV256"/>
    <mergeCell ref="NMW256:NNL256"/>
    <mergeCell ref="NNM256:NOB256"/>
    <mergeCell ref="NOC256:NOR256"/>
    <mergeCell ref="NOS256:NPH256"/>
    <mergeCell ref="NPI256:NPX256"/>
    <mergeCell ref="NPY256:NQN256"/>
    <mergeCell ref="NQO256:NRD256"/>
    <mergeCell ref="NRE256:NRT256"/>
    <mergeCell ref="NRU256:NSJ256"/>
    <mergeCell ref="NSK256:NSZ256"/>
    <mergeCell ref="NTA256:NTP256"/>
    <mergeCell ref="NTQ256:NUF256"/>
    <mergeCell ref="NUG256:NUV256"/>
    <mergeCell ref="NUW256:NVL256"/>
    <mergeCell ref="NVM256:NWB256"/>
    <mergeCell ref="NWC256:NWR256"/>
    <mergeCell ref="NWS256:NXH256"/>
    <mergeCell ref="NXI256:NXX256"/>
    <mergeCell ref="NXY256:NYN256"/>
    <mergeCell ref="NYO256:NZD256"/>
    <mergeCell ref="NZE256:NZT256"/>
    <mergeCell ref="NZU256:OAJ256"/>
    <mergeCell ref="OAK256:OAZ256"/>
    <mergeCell ref="OBA256:OBP256"/>
    <mergeCell ref="OBQ256:OCF256"/>
    <mergeCell ref="OCG256:OCV256"/>
    <mergeCell ref="OCW256:ODL256"/>
    <mergeCell ref="ODM256:OEB256"/>
    <mergeCell ref="PAG256:PAV256"/>
    <mergeCell ref="OES256:OFH256"/>
    <mergeCell ref="OFI256:OFX256"/>
    <mergeCell ref="OFY256:OGN256"/>
    <mergeCell ref="OGO256:OHD256"/>
    <mergeCell ref="OHE256:OHT256"/>
    <mergeCell ref="OHU256:OIJ256"/>
    <mergeCell ref="OIK256:OIZ256"/>
    <mergeCell ref="OJA256:OJP256"/>
    <mergeCell ref="OJQ256:OKF256"/>
    <mergeCell ref="OKG256:OKV256"/>
    <mergeCell ref="OKW256:OLL256"/>
    <mergeCell ref="OLM256:OMB256"/>
    <mergeCell ref="OMC256:OMR256"/>
    <mergeCell ref="OMS256:ONH256"/>
    <mergeCell ref="ONI256:ONX256"/>
    <mergeCell ref="ONY256:OON256"/>
    <mergeCell ref="OOO256:OPD256"/>
    <mergeCell ref="OPE256:OPT256"/>
    <mergeCell ref="OPU256:OQJ256"/>
    <mergeCell ref="OQK256:OQZ256"/>
    <mergeCell ref="ORA256:ORP256"/>
    <mergeCell ref="ORQ256:OSF256"/>
    <mergeCell ref="OSG256:OSV256"/>
    <mergeCell ref="OSW256:OTL256"/>
    <mergeCell ref="OTM256:OUB256"/>
    <mergeCell ref="OUC256:OUR256"/>
    <mergeCell ref="OUS256:OVH256"/>
    <mergeCell ref="OVI256:OVX256"/>
    <mergeCell ref="OVY256:OWN256"/>
    <mergeCell ref="OWO256:OXD256"/>
    <mergeCell ref="OXE256:OXT256"/>
    <mergeCell ref="OXU256:OYJ256"/>
    <mergeCell ref="OYK256:OYZ256"/>
    <mergeCell ref="OZA256:OZP256"/>
    <mergeCell ref="OZQ256:PAF256"/>
    <mergeCell ref="PWK256:PWZ256"/>
    <mergeCell ref="PAW256:PBL256"/>
    <mergeCell ref="PBM256:PCB256"/>
    <mergeCell ref="PCC256:PCR256"/>
    <mergeCell ref="PCS256:PDH256"/>
    <mergeCell ref="PDI256:PDX256"/>
    <mergeCell ref="PDY256:PEN256"/>
    <mergeCell ref="PEO256:PFD256"/>
    <mergeCell ref="PFE256:PFT256"/>
    <mergeCell ref="PFU256:PGJ256"/>
    <mergeCell ref="PGK256:PGZ256"/>
    <mergeCell ref="PHA256:PHP256"/>
    <mergeCell ref="PHQ256:PIF256"/>
    <mergeCell ref="PIG256:PIV256"/>
    <mergeCell ref="PIW256:PJL256"/>
    <mergeCell ref="PJM256:PKB256"/>
    <mergeCell ref="PKC256:PKR256"/>
    <mergeCell ref="PKS256:PLH256"/>
    <mergeCell ref="PLI256:PLX256"/>
    <mergeCell ref="PLY256:PMN256"/>
    <mergeCell ref="PMO256:PND256"/>
    <mergeCell ref="PNE256:PNT256"/>
    <mergeCell ref="PNU256:POJ256"/>
    <mergeCell ref="POK256:POZ256"/>
    <mergeCell ref="PPA256:PPP256"/>
    <mergeCell ref="PPQ256:PQF256"/>
    <mergeCell ref="PQG256:PQV256"/>
    <mergeCell ref="PQW256:PRL256"/>
    <mergeCell ref="PRM256:PSB256"/>
    <mergeCell ref="PSC256:PSR256"/>
    <mergeCell ref="PSS256:PTH256"/>
    <mergeCell ref="PTI256:PTX256"/>
    <mergeCell ref="PTY256:PUN256"/>
    <mergeCell ref="PUO256:PVD256"/>
    <mergeCell ref="PVE256:PVT256"/>
    <mergeCell ref="PVU256:PWJ256"/>
    <mergeCell ref="QSO256:QTD256"/>
    <mergeCell ref="PXA256:PXP256"/>
    <mergeCell ref="PXQ256:PYF256"/>
    <mergeCell ref="PYG256:PYV256"/>
    <mergeCell ref="PYW256:PZL256"/>
    <mergeCell ref="PZM256:QAB256"/>
    <mergeCell ref="QAC256:QAR256"/>
    <mergeCell ref="QAS256:QBH256"/>
    <mergeCell ref="QBI256:QBX256"/>
    <mergeCell ref="QBY256:QCN256"/>
    <mergeCell ref="QCO256:QDD256"/>
    <mergeCell ref="QDE256:QDT256"/>
    <mergeCell ref="QDU256:QEJ256"/>
    <mergeCell ref="QEK256:QEZ256"/>
    <mergeCell ref="QFA256:QFP256"/>
    <mergeCell ref="QFQ256:QGF256"/>
    <mergeCell ref="QGG256:QGV256"/>
    <mergeCell ref="QGW256:QHL256"/>
    <mergeCell ref="QHM256:QIB256"/>
    <mergeCell ref="QIC256:QIR256"/>
    <mergeCell ref="QIS256:QJH256"/>
    <mergeCell ref="QJI256:QJX256"/>
    <mergeCell ref="QJY256:QKN256"/>
    <mergeCell ref="QKO256:QLD256"/>
    <mergeCell ref="QLE256:QLT256"/>
    <mergeCell ref="QLU256:QMJ256"/>
    <mergeCell ref="QMK256:QMZ256"/>
    <mergeCell ref="QNA256:QNP256"/>
    <mergeCell ref="QNQ256:QOF256"/>
    <mergeCell ref="QOG256:QOV256"/>
    <mergeCell ref="QOW256:QPL256"/>
    <mergeCell ref="QPM256:QQB256"/>
    <mergeCell ref="QQC256:QQR256"/>
    <mergeCell ref="QQS256:QRH256"/>
    <mergeCell ref="QRI256:QRX256"/>
    <mergeCell ref="QRY256:QSN256"/>
    <mergeCell ref="ROS256:RPH256"/>
    <mergeCell ref="QTE256:QTT256"/>
    <mergeCell ref="QTU256:QUJ256"/>
    <mergeCell ref="QUK256:QUZ256"/>
    <mergeCell ref="QVA256:QVP256"/>
    <mergeCell ref="QVQ256:QWF256"/>
    <mergeCell ref="QWG256:QWV256"/>
    <mergeCell ref="QWW256:QXL256"/>
    <mergeCell ref="QXM256:QYB256"/>
    <mergeCell ref="QYC256:QYR256"/>
    <mergeCell ref="QYS256:QZH256"/>
    <mergeCell ref="QZI256:QZX256"/>
    <mergeCell ref="QZY256:RAN256"/>
    <mergeCell ref="RAO256:RBD256"/>
    <mergeCell ref="RBE256:RBT256"/>
    <mergeCell ref="RBU256:RCJ256"/>
    <mergeCell ref="RCK256:RCZ256"/>
    <mergeCell ref="RDA256:RDP256"/>
    <mergeCell ref="RDQ256:REF256"/>
    <mergeCell ref="REG256:REV256"/>
    <mergeCell ref="REW256:RFL256"/>
    <mergeCell ref="RFM256:RGB256"/>
    <mergeCell ref="RGC256:RGR256"/>
    <mergeCell ref="RGS256:RHH256"/>
    <mergeCell ref="RHI256:RHX256"/>
    <mergeCell ref="RHY256:RIN256"/>
    <mergeCell ref="RIO256:RJD256"/>
    <mergeCell ref="RJE256:RJT256"/>
    <mergeCell ref="RJU256:RKJ256"/>
    <mergeCell ref="RKK256:RKZ256"/>
    <mergeCell ref="RLA256:RLP256"/>
    <mergeCell ref="RLQ256:RMF256"/>
    <mergeCell ref="RMG256:RMV256"/>
    <mergeCell ref="RMW256:RNL256"/>
    <mergeCell ref="RNM256:ROB256"/>
    <mergeCell ref="ROC256:ROR256"/>
    <mergeCell ref="SKW256:SLL256"/>
    <mergeCell ref="RPI256:RPX256"/>
    <mergeCell ref="RPY256:RQN256"/>
    <mergeCell ref="RQO256:RRD256"/>
    <mergeCell ref="RRE256:RRT256"/>
    <mergeCell ref="RRU256:RSJ256"/>
    <mergeCell ref="RSK256:RSZ256"/>
    <mergeCell ref="RTA256:RTP256"/>
    <mergeCell ref="RTQ256:RUF256"/>
    <mergeCell ref="RUG256:RUV256"/>
    <mergeCell ref="RUW256:RVL256"/>
    <mergeCell ref="RVM256:RWB256"/>
    <mergeCell ref="RWC256:RWR256"/>
    <mergeCell ref="RWS256:RXH256"/>
    <mergeCell ref="RXI256:RXX256"/>
    <mergeCell ref="RXY256:RYN256"/>
    <mergeCell ref="RYO256:RZD256"/>
    <mergeCell ref="RZE256:RZT256"/>
    <mergeCell ref="RZU256:SAJ256"/>
    <mergeCell ref="SAK256:SAZ256"/>
    <mergeCell ref="SBA256:SBP256"/>
    <mergeCell ref="SBQ256:SCF256"/>
    <mergeCell ref="SCG256:SCV256"/>
    <mergeCell ref="SCW256:SDL256"/>
    <mergeCell ref="SDM256:SEB256"/>
    <mergeCell ref="SEC256:SER256"/>
    <mergeCell ref="SES256:SFH256"/>
    <mergeCell ref="SFI256:SFX256"/>
    <mergeCell ref="SFY256:SGN256"/>
    <mergeCell ref="SGO256:SHD256"/>
    <mergeCell ref="SHE256:SHT256"/>
    <mergeCell ref="SHU256:SIJ256"/>
    <mergeCell ref="SIK256:SIZ256"/>
    <mergeCell ref="SJA256:SJP256"/>
    <mergeCell ref="SJQ256:SKF256"/>
    <mergeCell ref="SKG256:SKV256"/>
    <mergeCell ref="THA256:THP256"/>
    <mergeCell ref="SLM256:SMB256"/>
    <mergeCell ref="SMC256:SMR256"/>
    <mergeCell ref="SMS256:SNH256"/>
    <mergeCell ref="SNI256:SNX256"/>
    <mergeCell ref="SNY256:SON256"/>
    <mergeCell ref="SOO256:SPD256"/>
    <mergeCell ref="SPE256:SPT256"/>
    <mergeCell ref="SPU256:SQJ256"/>
    <mergeCell ref="SQK256:SQZ256"/>
    <mergeCell ref="SRA256:SRP256"/>
    <mergeCell ref="SRQ256:SSF256"/>
    <mergeCell ref="SSG256:SSV256"/>
    <mergeCell ref="SSW256:STL256"/>
    <mergeCell ref="STM256:SUB256"/>
    <mergeCell ref="SUC256:SUR256"/>
    <mergeCell ref="SUS256:SVH256"/>
    <mergeCell ref="SVI256:SVX256"/>
    <mergeCell ref="SVY256:SWN256"/>
    <mergeCell ref="SWO256:SXD256"/>
    <mergeCell ref="SXE256:SXT256"/>
    <mergeCell ref="SXU256:SYJ256"/>
    <mergeCell ref="SYK256:SYZ256"/>
    <mergeCell ref="SZA256:SZP256"/>
    <mergeCell ref="SZQ256:TAF256"/>
    <mergeCell ref="TAG256:TAV256"/>
    <mergeCell ref="TAW256:TBL256"/>
    <mergeCell ref="TBM256:TCB256"/>
    <mergeCell ref="TCC256:TCR256"/>
    <mergeCell ref="TCS256:TDH256"/>
    <mergeCell ref="TDI256:TDX256"/>
    <mergeCell ref="TDY256:TEN256"/>
    <mergeCell ref="TEO256:TFD256"/>
    <mergeCell ref="TFE256:TFT256"/>
    <mergeCell ref="TFU256:TGJ256"/>
    <mergeCell ref="TGK256:TGZ256"/>
    <mergeCell ref="UDE256:UDT256"/>
    <mergeCell ref="THQ256:TIF256"/>
    <mergeCell ref="TIG256:TIV256"/>
    <mergeCell ref="TIW256:TJL256"/>
    <mergeCell ref="TJM256:TKB256"/>
    <mergeCell ref="TKC256:TKR256"/>
    <mergeCell ref="TKS256:TLH256"/>
    <mergeCell ref="TLI256:TLX256"/>
    <mergeCell ref="TLY256:TMN256"/>
    <mergeCell ref="TMO256:TND256"/>
    <mergeCell ref="TNE256:TNT256"/>
    <mergeCell ref="TNU256:TOJ256"/>
    <mergeCell ref="TOK256:TOZ256"/>
    <mergeCell ref="TPA256:TPP256"/>
    <mergeCell ref="TPQ256:TQF256"/>
    <mergeCell ref="TQG256:TQV256"/>
    <mergeCell ref="TQW256:TRL256"/>
    <mergeCell ref="TRM256:TSB256"/>
    <mergeCell ref="TSC256:TSR256"/>
    <mergeCell ref="TSS256:TTH256"/>
    <mergeCell ref="TTI256:TTX256"/>
    <mergeCell ref="TTY256:TUN256"/>
    <mergeCell ref="TUO256:TVD256"/>
    <mergeCell ref="TVE256:TVT256"/>
    <mergeCell ref="TVU256:TWJ256"/>
    <mergeCell ref="TWK256:TWZ256"/>
    <mergeCell ref="TXA256:TXP256"/>
    <mergeCell ref="TXQ256:TYF256"/>
    <mergeCell ref="TYG256:TYV256"/>
    <mergeCell ref="TYW256:TZL256"/>
    <mergeCell ref="TZM256:UAB256"/>
    <mergeCell ref="UAC256:UAR256"/>
    <mergeCell ref="UAS256:UBH256"/>
    <mergeCell ref="UBI256:UBX256"/>
    <mergeCell ref="UBY256:UCN256"/>
    <mergeCell ref="UCO256:UDD256"/>
    <mergeCell ref="UZI256:UZX256"/>
    <mergeCell ref="UDU256:UEJ256"/>
    <mergeCell ref="UEK256:UEZ256"/>
    <mergeCell ref="UFA256:UFP256"/>
    <mergeCell ref="UFQ256:UGF256"/>
    <mergeCell ref="UGG256:UGV256"/>
    <mergeCell ref="UGW256:UHL256"/>
    <mergeCell ref="UHM256:UIB256"/>
    <mergeCell ref="UIC256:UIR256"/>
    <mergeCell ref="UIS256:UJH256"/>
    <mergeCell ref="UJI256:UJX256"/>
    <mergeCell ref="UJY256:UKN256"/>
    <mergeCell ref="UKO256:ULD256"/>
    <mergeCell ref="ULE256:ULT256"/>
    <mergeCell ref="ULU256:UMJ256"/>
    <mergeCell ref="UMK256:UMZ256"/>
    <mergeCell ref="UNA256:UNP256"/>
    <mergeCell ref="UNQ256:UOF256"/>
    <mergeCell ref="UOG256:UOV256"/>
    <mergeCell ref="UOW256:UPL256"/>
    <mergeCell ref="UPM256:UQB256"/>
    <mergeCell ref="UQC256:UQR256"/>
    <mergeCell ref="UQS256:URH256"/>
    <mergeCell ref="URI256:URX256"/>
    <mergeCell ref="URY256:USN256"/>
    <mergeCell ref="USO256:UTD256"/>
    <mergeCell ref="UTE256:UTT256"/>
    <mergeCell ref="UTU256:UUJ256"/>
    <mergeCell ref="UUK256:UUZ256"/>
    <mergeCell ref="UVA256:UVP256"/>
    <mergeCell ref="UVQ256:UWF256"/>
    <mergeCell ref="UWG256:UWV256"/>
    <mergeCell ref="UWW256:UXL256"/>
    <mergeCell ref="UXM256:UYB256"/>
    <mergeCell ref="UYC256:UYR256"/>
    <mergeCell ref="UYS256:UZH256"/>
    <mergeCell ref="VVM256:VWB256"/>
    <mergeCell ref="UZY256:VAN256"/>
    <mergeCell ref="VAO256:VBD256"/>
    <mergeCell ref="VBE256:VBT256"/>
    <mergeCell ref="VBU256:VCJ256"/>
    <mergeCell ref="VCK256:VCZ256"/>
    <mergeCell ref="VDA256:VDP256"/>
    <mergeCell ref="VDQ256:VEF256"/>
    <mergeCell ref="VEG256:VEV256"/>
    <mergeCell ref="VEW256:VFL256"/>
    <mergeCell ref="VFM256:VGB256"/>
    <mergeCell ref="VGC256:VGR256"/>
    <mergeCell ref="VGS256:VHH256"/>
    <mergeCell ref="VHI256:VHX256"/>
    <mergeCell ref="VHY256:VIN256"/>
    <mergeCell ref="VIO256:VJD256"/>
    <mergeCell ref="VJE256:VJT256"/>
    <mergeCell ref="VJU256:VKJ256"/>
    <mergeCell ref="VKK256:VKZ256"/>
    <mergeCell ref="VLA256:VLP256"/>
    <mergeCell ref="VLQ256:VMF256"/>
    <mergeCell ref="VMG256:VMV256"/>
    <mergeCell ref="VMW256:VNL256"/>
    <mergeCell ref="VNM256:VOB256"/>
    <mergeCell ref="VOC256:VOR256"/>
    <mergeCell ref="VOS256:VPH256"/>
    <mergeCell ref="VPI256:VPX256"/>
    <mergeCell ref="VPY256:VQN256"/>
    <mergeCell ref="VQO256:VRD256"/>
    <mergeCell ref="VRE256:VRT256"/>
    <mergeCell ref="VRU256:VSJ256"/>
    <mergeCell ref="VSK256:VSZ256"/>
    <mergeCell ref="VTA256:VTP256"/>
    <mergeCell ref="VTQ256:VUF256"/>
    <mergeCell ref="VUG256:VUV256"/>
    <mergeCell ref="VUW256:VVL256"/>
    <mergeCell ref="WRQ256:WSF256"/>
    <mergeCell ref="VWC256:VWR256"/>
    <mergeCell ref="VWS256:VXH256"/>
    <mergeCell ref="VXI256:VXX256"/>
    <mergeCell ref="VXY256:VYN256"/>
    <mergeCell ref="VYO256:VZD256"/>
    <mergeCell ref="VZE256:VZT256"/>
    <mergeCell ref="VZU256:WAJ256"/>
    <mergeCell ref="WAK256:WAZ256"/>
    <mergeCell ref="WBA256:WBP256"/>
    <mergeCell ref="WBQ256:WCF256"/>
    <mergeCell ref="WCG256:WCV256"/>
    <mergeCell ref="WCW256:WDL256"/>
    <mergeCell ref="WDM256:WEB256"/>
    <mergeCell ref="WEC256:WER256"/>
    <mergeCell ref="WES256:WFH256"/>
    <mergeCell ref="WFI256:WFX256"/>
    <mergeCell ref="WFY256:WGN256"/>
    <mergeCell ref="WGO256:WHD256"/>
    <mergeCell ref="WHE256:WHT256"/>
    <mergeCell ref="WHU256:WIJ256"/>
    <mergeCell ref="WIK256:WIZ256"/>
    <mergeCell ref="WJA256:WJP256"/>
    <mergeCell ref="WJQ256:WKF256"/>
    <mergeCell ref="WKG256:WKV256"/>
    <mergeCell ref="WVY256:WWN256"/>
    <mergeCell ref="WWO256:WXD256"/>
    <mergeCell ref="WXE256:WXT256"/>
    <mergeCell ref="WXU256:WYJ256"/>
    <mergeCell ref="WYK256:WYZ256"/>
    <mergeCell ref="WZA256:WZP256"/>
    <mergeCell ref="XDI256:XDX256"/>
    <mergeCell ref="XDY256:XEN256"/>
    <mergeCell ref="XEO256:XFD256"/>
    <mergeCell ref="WZQ256:XAF256"/>
    <mergeCell ref="XAG256:XAV256"/>
    <mergeCell ref="XAW256:XBL256"/>
    <mergeCell ref="XBM256:XCB256"/>
    <mergeCell ref="XCC256:XCR256"/>
    <mergeCell ref="XCS256:XDH256"/>
    <mergeCell ref="WKW256:WLL256"/>
    <mergeCell ref="WLM256:WMB256"/>
    <mergeCell ref="WMC256:WMR256"/>
    <mergeCell ref="WMS256:WNH256"/>
    <mergeCell ref="WNI256:WNX256"/>
    <mergeCell ref="WNY256:WON256"/>
    <mergeCell ref="WOO256:WPD256"/>
    <mergeCell ref="WPE256:WPT256"/>
    <mergeCell ref="WPU256:WQJ256"/>
    <mergeCell ref="WQK256:WQZ256"/>
    <mergeCell ref="WRA256:WRP256"/>
    <mergeCell ref="WSG256:WSV256"/>
    <mergeCell ref="WSW256:WTL256"/>
    <mergeCell ref="WTM256:WUB256"/>
    <mergeCell ref="WUC256:WUR256"/>
    <mergeCell ref="WUS256:WVH256"/>
    <mergeCell ref="WVI256:WVX256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2024-03-28T13:20:56Z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